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pfnunez\Documents\Pedro\Proforma\Informe\Final\Alcance\Alcance al 01 12 2020\"/>
    </mc:Choice>
  </mc:AlternateContent>
  <bookViews>
    <workbookView xWindow="0" yWindow="0" windowWidth="24000" windowHeight="9600" firstSheet="7" activeTab="7"/>
  </bookViews>
  <sheets>
    <sheet name="CEDULA 1-12-2020" sheetId="1" state="hidden" r:id="rId1"/>
    <sheet name="CEDULA 1-12-2020 metro" sheetId="10" state="hidden" r:id="rId2"/>
    <sheet name="CEDULA 30102020" sheetId="6" state="hidden" r:id="rId3"/>
    <sheet name="CEDULA 30102020 metro" sheetId="11" state="hidden" r:id="rId4"/>
    <sheet name="DEPENDENCIA" sheetId="4" state="hidden" r:id="rId5"/>
    <sheet name="CUADRO COMPARATIVO" sheetId="2" state="hidden" r:id="rId6"/>
    <sheet name="Gastos TD" sheetId="5" state="hidden" r:id="rId7"/>
    <sheet name="Ingresos" sheetId="12" r:id="rId8"/>
    <sheet name="Gastos" sheetId="13" r:id="rId9"/>
  </sheets>
  <externalReferences>
    <externalReference r:id="rId10"/>
  </externalReferences>
  <definedNames>
    <definedName name="_xlnm._FilterDatabase" localSheetId="0" hidden="1">'CEDULA 1-12-2020'!$A$1:$W$3936</definedName>
    <definedName name="_xlnm._FilterDatabase" localSheetId="1" hidden="1">'CEDULA 1-12-2020 metro'!$A$1:$W$9</definedName>
    <definedName name="_xlnm._FilterDatabase" localSheetId="2" hidden="1">'CEDULA 30102020'!$A$1:$W$3098</definedName>
    <definedName name="_xlnm._FilterDatabase" localSheetId="3" hidden="1">'CEDULA 30102020 metro'!$A$1:$W$9</definedName>
  </definedNames>
  <calcPr calcId="162913"/>
  <pivotCaches>
    <pivotCache cacheId="19" r:id="rId11"/>
    <pivotCache cacheId="20" r:id="rId12"/>
    <pivotCache cacheId="21" r:id="rId13"/>
    <pivotCache cacheId="22" r:id="rId14"/>
  </pivotCaches>
</workbook>
</file>

<file path=xl/calcChain.xml><?xml version="1.0" encoding="utf-8"?>
<calcChain xmlns="http://schemas.openxmlformats.org/spreadsheetml/2006/main">
  <c r="I7" i="12" l="1"/>
  <c r="J7" i="12" s="1"/>
  <c r="G7" i="12"/>
  <c r="H7" i="12" s="1"/>
  <c r="G75" i="12"/>
  <c r="H75" i="12" s="1"/>
  <c r="I75" i="12"/>
  <c r="J75" i="12" s="1"/>
  <c r="G76" i="12"/>
  <c r="H76" i="12"/>
  <c r="I76" i="12"/>
  <c r="J76" i="12" s="1"/>
  <c r="G77" i="12"/>
  <c r="H77" i="12" s="1"/>
  <c r="I77" i="12"/>
  <c r="J77" i="12" s="1"/>
  <c r="G78" i="12"/>
  <c r="H78" i="12"/>
  <c r="I78" i="12"/>
  <c r="J78" i="12"/>
  <c r="G79" i="12"/>
  <c r="H79" i="12" s="1"/>
  <c r="I79" i="12"/>
  <c r="J79" i="12" s="1"/>
  <c r="G80" i="12"/>
  <c r="H80" i="12" s="1"/>
  <c r="I80" i="12"/>
  <c r="J80" i="12"/>
  <c r="G81" i="12"/>
  <c r="H81" i="12" s="1"/>
  <c r="I81" i="12"/>
  <c r="J81" i="12" s="1"/>
  <c r="G82" i="12"/>
  <c r="H82" i="12" s="1"/>
  <c r="I82" i="12"/>
  <c r="J82" i="12" s="1"/>
  <c r="I74" i="12"/>
  <c r="J74" i="12" s="1"/>
  <c r="G74" i="12"/>
  <c r="H74" i="12" s="1"/>
  <c r="J11" i="12"/>
  <c r="J20" i="12"/>
  <c r="J21" i="12"/>
  <c r="J27" i="12"/>
  <c r="J36" i="12"/>
  <c r="J37" i="12"/>
  <c r="J43" i="12"/>
  <c r="J52" i="12"/>
  <c r="J53" i="12"/>
  <c r="J59" i="12"/>
  <c r="H10" i="12"/>
  <c r="H11" i="12"/>
  <c r="H17" i="12"/>
  <c r="H26" i="12"/>
  <c r="H27" i="12"/>
  <c r="H33" i="12"/>
  <c r="H42" i="12"/>
  <c r="H43" i="12"/>
  <c r="H49" i="12"/>
  <c r="H58" i="12"/>
  <c r="H59" i="12"/>
  <c r="I8" i="12"/>
  <c r="J8" i="12" s="1"/>
  <c r="I9" i="12"/>
  <c r="J9" i="12" s="1"/>
  <c r="I10" i="12"/>
  <c r="J10" i="12" s="1"/>
  <c r="I11" i="12"/>
  <c r="I12" i="12"/>
  <c r="J12" i="12" s="1"/>
  <c r="I13" i="12"/>
  <c r="J13" i="12" s="1"/>
  <c r="I14" i="12"/>
  <c r="J14" i="12" s="1"/>
  <c r="I15" i="12"/>
  <c r="J15" i="12" s="1"/>
  <c r="I16" i="12"/>
  <c r="J16" i="12" s="1"/>
  <c r="I17" i="12"/>
  <c r="J17" i="12" s="1"/>
  <c r="I18" i="12"/>
  <c r="J18" i="12" s="1"/>
  <c r="I19" i="12"/>
  <c r="J19" i="12" s="1"/>
  <c r="I20" i="12"/>
  <c r="I21" i="12"/>
  <c r="I22" i="12"/>
  <c r="J22" i="12" s="1"/>
  <c r="I23" i="12"/>
  <c r="J23" i="12" s="1"/>
  <c r="I24" i="12"/>
  <c r="J24" i="12" s="1"/>
  <c r="I25" i="12"/>
  <c r="J25" i="12" s="1"/>
  <c r="I26" i="12"/>
  <c r="J26" i="12" s="1"/>
  <c r="I27" i="12"/>
  <c r="I28" i="12"/>
  <c r="J28" i="12" s="1"/>
  <c r="I29" i="12"/>
  <c r="J29" i="12" s="1"/>
  <c r="I30" i="12"/>
  <c r="J30" i="12" s="1"/>
  <c r="I31" i="12"/>
  <c r="J31" i="12" s="1"/>
  <c r="I32" i="12"/>
  <c r="J32" i="12" s="1"/>
  <c r="I33" i="12"/>
  <c r="J33" i="12" s="1"/>
  <c r="I34" i="12"/>
  <c r="J34" i="12" s="1"/>
  <c r="I35" i="12"/>
  <c r="J35" i="12" s="1"/>
  <c r="I36" i="12"/>
  <c r="I37" i="12"/>
  <c r="I38" i="12"/>
  <c r="J38" i="12" s="1"/>
  <c r="I39" i="12"/>
  <c r="J39" i="12" s="1"/>
  <c r="I40" i="12"/>
  <c r="J40" i="12" s="1"/>
  <c r="I41" i="12"/>
  <c r="J41" i="12" s="1"/>
  <c r="I42" i="12"/>
  <c r="J42" i="12" s="1"/>
  <c r="I43" i="12"/>
  <c r="I44" i="12"/>
  <c r="J44" i="12" s="1"/>
  <c r="I45" i="12"/>
  <c r="J45" i="12" s="1"/>
  <c r="I46" i="12"/>
  <c r="J46" i="12" s="1"/>
  <c r="I47" i="12"/>
  <c r="J47" i="12" s="1"/>
  <c r="I48" i="12"/>
  <c r="J48" i="12" s="1"/>
  <c r="I49" i="12"/>
  <c r="J49" i="12" s="1"/>
  <c r="I50" i="12"/>
  <c r="J50" i="12" s="1"/>
  <c r="I51" i="12"/>
  <c r="J51" i="12" s="1"/>
  <c r="I52" i="12"/>
  <c r="I53" i="12"/>
  <c r="I54" i="12"/>
  <c r="J54" i="12" s="1"/>
  <c r="I55" i="12"/>
  <c r="J55" i="12" s="1"/>
  <c r="I56" i="12"/>
  <c r="J56" i="12" s="1"/>
  <c r="I57" i="12"/>
  <c r="J57" i="12" s="1"/>
  <c r="I58" i="12"/>
  <c r="J58" i="12" s="1"/>
  <c r="I59" i="12"/>
  <c r="I60" i="12"/>
  <c r="J60" i="12" s="1"/>
  <c r="I61" i="12"/>
  <c r="J61" i="12" s="1"/>
  <c r="I62" i="12"/>
  <c r="J62" i="12" s="1"/>
  <c r="I63" i="12"/>
  <c r="J63" i="12" s="1"/>
  <c r="I64" i="12"/>
  <c r="J64" i="12" s="1"/>
  <c r="G8" i="12"/>
  <c r="H8" i="12" s="1"/>
  <c r="G9" i="12"/>
  <c r="H9" i="12" s="1"/>
  <c r="G10" i="12"/>
  <c r="G11" i="12"/>
  <c r="G12" i="12"/>
  <c r="H12" i="12" s="1"/>
  <c r="G13" i="12"/>
  <c r="H13" i="12" s="1"/>
  <c r="G14" i="12"/>
  <c r="H14" i="12" s="1"/>
  <c r="G15" i="12"/>
  <c r="H15" i="12" s="1"/>
  <c r="G16" i="12"/>
  <c r="H16" i="12" s="1"/>
  <c r="G17" i="12"/>
  <c r="G18" i="12"/>
  <c r="H18" i="12" s="1"/>
  <c r="G19" i="12"/>
  <c r="H19" i="12" s="1"/>
  <c r="G20" i="12"/>
  <c r="H20" i="12" s="1"/>
  <c r="G21" i="12"/>
  <c r="H21" i="12" s="1"/>
  <c r="G22" i="12"/>
  <c r="H22" i="12" s="1"/>
  <c r="G23" i="12"/>
  <c r="H23" i="12" s="1"/>
  <c r="G24" i="12"/>
  <c r="H24" i="12" s="1"/>
  <c r="G25" i="12"/>
  <c r="H25" i="12" s="1"/>
  <c r="G26" i="12"/>
  <c r="G27" i="12"/>
  <c r="G28" i="12"/>
  <c r="H28" i="12" s="1"/>
  <c r="G29" i="12"/>
  <c r="H29" i="12" s="1"/>
  <c r="G30" i="12"/>
  <c r="H30" i="12" s="1"/>
  <c r="G31" i="12"/>
  <c r="H31" i="12" s="1"/>
  <c r="G32" i="12"/>
  <c r="H32" i="12" s="1"/>
  <c r="G33" i="12"/>
  <c r="G34" i="12"/>
  <c r="H34" i="12" s="1"/>
  <c r="G35" i="12"/>
  <c r="H35" i="12" s="1"/>
  <c r="G36" i="12"/>
  <c r="H36" i="12" s="1"/>
  <c r="G37" i="12"/>
  <c r="H37" i="12" s="1"/>
  <c r="G38" i="12"/>
  <c r="H38" i="12" s="1"/>
  <c r="G39" i="12"/>
  <c r="H39" i="12" s="1"/>
  <c r="G40" i="12"/>
  <c r="H40" i="12" s="1"/>
  <c r="G41" i="12"/>
  <c r="H41" i="12" s="1"/>
  <c r="G42" i="12"/>
  <c r="G43" i="12"/>
  <c r="G44" i="12"/>
  <c r="H44" i="12" s="1"/>
  <c r="G45" i="12"/>
  <c r="H45" i="12" s="1"/>
  <c r="G46" i="12"/>
  <c r="H46" i="12" s="1"/>
  <c r="G47" i="12"/>
  <c r="H47" i="12" s="1"/>
  <c r="G48" i="12"/>
  <c r="H48" i="12" s="1"/>
  <c r="G49" i="12"/>
  <c r="G50" i="12"/>
  <c r="H50" i="12" s="1"/>
  <c r="G51" i="12"/>
  <c r="H51" i="12" s="1"/>
  <c r="G52" i="12"/>
  <c r="H52" i="12" s="1"/>
  <c r="G53" i="12"/>
  <c r="H53" i="12" s="1"/>
  <c r="G54" i="12"/>
  <c r="H54" i="12" s="1"/>
  <c r="G55" i="12"/>
  <c r="H55" i="12" s="1"/>
  <c r="G56" i="12"/>
  <c r="H56" i="12" s="1"/>
  <c r="G57" i="12"/>
  <c r="H57" i="12" s="1"/>
  <c r="G58" i="12"/>
  <c r="G59" i="12"/>
  <c r="G60" i="12"/>
  <c r="H60" i="12" s="1"/>
  <c r="G61" i="12"/>
  <c r="H61" i="12" s="1"/>
  <c r="G62" i="12"/>
  <c r="H62" i="12" s="1"/>
  <c r="G63" i="12"/>
  <c r="H63" i="12" s="1"/>
  <c r="G64" i="12"/>
  <c r="H64" i="12" s="1"/>
  <c r="F83" i="12"/>
  <c r="G83" i="12" s="1"/>
  <c r="H83" i="12" s="1"/>
  <c r="E83" i="12"/>
  <c r="E86" i="12" s="1"/>
  <c r="C83" i="12"/>
  <c r="C86" i="12" s="1"/>
  <c r="D83" i="12"/>
  <c r="D86" i="12" s="1"/>
  <c r="B83" i="12"/>
  <c r="B86" i="12" s="1"/>
  <c r="I83" i="12" l="1"/>
  <c r="J83" i="12" s="1"/>
  <c r="F86" i="12"/>
  <c r="I86" i="12"/>
  <c r="J86" i="12" s="1"/>
  <c r="G86" i="12"/>
  <c r="H86" i="12" s="1"/>
  <c r="J119" i="2"/>
  <c r="H119" i="2"/>
  <c r="I119" i="2"/>
  <c r="G119" i="2"/>
  <c r="F119" i="2"/>
  <c r="E120" i="5"/>
  <c r="F115" i="5"/>
  <c r="F116" i="2"/>
  <c r="F114" i="2"/>
  <c r="F113" i="2" s="1"/>
  <c r="F22" i="5"/>
  <c r="F6" i="5" s="1"/>
  <c r="F100" i="5" s="1"/>
  <c r="E119" i="2"/>
  <c r="D119" i="2"/>
  <c r="C119" i="2"/>
  <c r="B119" i="2"/>
  <c r="J116" i="2"/>
  <c r="J115" i="2"/>
  <c r="J114" i="2"/>
  <c r="H116" i="2"/>
  <c r="H115" i="2"/>
  <c r="H114" i="2"/>
  <c r="J113" i="2"/>
  <c r="H113" i="2"/>
  <c r="I116" i="2"/>
  <c r="I115" i="2"/>
  <c r="I114" i="2"/>
  <c r="I113" i="2"/>
  <c r="G116" i="2"/>
  <c r="G115" i="2"/>
  <c r="G114" i="2"/>
  <c r="G113" i="2"/>
  <c r="C120" i="5"/>
  <c r="I115" i="5"/>
  <c r="D120" i="5"/>
  <c r="B120" i="5"/>
  <c r="G115" i="5"/>
  <c r="I116" i="5"/>
  <c r="G116" i="5"/>
  <c r="G95" i="5"/>
  <c r="G87" i="5"/>
  <c r="G79" i="5"/>
  <c r="G71" i="5"/>
  <c r="G63" i="5"/>
  <c r="G55" i="5"/>
  <c r="G47" i="5"/>
  <c r="G39" i="5"/>
  <c r="G15" i="5"/>
  <c r="I88" i="5"/>
  <c r="I72" i="5"/>
  <c r="I56" i="5"/>
  <c r="I40" i="5"/>
  <c r="G25" i="5"/>
  <c r="I55" i="5"/>
  <c r="G23" i="5"/>
  <c r="I28" i="5"/>
  <c r="G10" i="5"/>
  <c r="I91" i="5"/>
  <c r="I75" i="5"/>
  <c r="I49" i="5"/>
  <c r="I15" i="5"/>
  <c r="I12" i="5"/>
  <c r="G56" i="5"/>
  <c r="I27" i="5"/>
  <c r="I93" i="5"/>
  <c r="I6" i="5"/>
  <c r="G94" i="5"/>
  <c r="G86" i="5"/>
  <c r="G78" i="5"/>
  <c r="G70" i="5"/>
  <c r="G62" i="5"/>
  <c r="G54" i="5"/>
  <c r="G46" i="5"/>
  <c r="G38" i="5"/>
  <c r="G14" i="5"/>
  <c r="I86" i="5"/>
  <c r="I70" i="5"/>
  <c r="I54" i="5"/>
  <c r="I38" i="5"/>
  <c r="I23" i="5"/>
  <c r="I51" i="5"/>
  <c r="G36" i="5"/>
  <c r="G26" i="5"/>
  <c r="G9" i="5"/>
  <c r="I89" i="5"/>
  <c r="I73" i="5"/>
  <c r="I45" i="5"/>
  <c r="I8" i="5"/>
  <c r="G60" i="5"/>
  <c r="I98" i="5"/>
  <c r="I50" i="5"/>
  <c r="I43" i="5"/>
  <c r="G7" i="5"/>
  <c r="I67" i="5"/>
  <c r="I11" i="5"/>
  <c r="G89" i="5"/>
  <c r="G57" i="5"/>
  <c r="I92" i="5"/>
  <c r="G29" i="5"/>
  <c r="G12" i="5"/>
  <c r="I22" i="5"/>
  <c r="G64" i="5"/>
  <c r="I90" i="5"/>
  <c r="I59" i="5"/>
  <c r="I53" i="5"/>
  <c r="G93" i="5"/>
  <c r="G85" i="5"/>
  <c r="G77" i="5"/>
  <c r="G69" i="5"/>
  <c r="G61" i="5"/>
  <c r="G53" i="5"/>
  <c r="G45" i="5"/>
  <c r="G21" i="5"/>
  <c r="G13" i="5"/>
  <c r="I84" i="5"/>
  <c r="I68" i="5"/>
  <c r="I52" i="5"/>
  <c r="G37" i="5"/>
  <c r="I21" i="5"/>
  <c r="I47" i="5"/>
  <c r="I30" i="5"/>
  <c r="I24" i="5"/>
  <c r="G8" i="5"/>
  <c r="I87" i="5"/>
  <c r="I71" i="5"/>
  <c r="I41" i="5"/>
  <c r="I34" i="5"/>
  <c r="I16" i="5"/>
  <c r="G76" i="5"/>
  <c r="G44" i="5"/>
  <c r="I66" i="5"/>
  <c r="I35" i="5"/>
  <c r="G28" i="5"/>
  <c r="I85" i="5"/>
  <c r="G32" i="5"/>
  <c r="G73" i="5"/>
  <c r="G41" i="5"/>
  <c r="I76" i="5"/>
  <c r="I29" i="5"/>
  <c r="I25" i="5"/>
  <c r="G88" i="5"/>
  <c r="G40" i="5"/>
  <c r="I58" i="5"/>
  <c r="G11" i="5"/>
  <c r="I19" i="5"/>
  <c r="G92" i="5"/>
  <c r="G84" i="5"/>
  <c r="G68" i="5"/>
  <c r="G52" i="5"/>
  <c r="G20" i="5"/>
  <c r="I82" i="5"/>
  <c r="I17" i="5"/>
  <c r="G22" i="5"/>
  <c r="I37" i="5"/>
  <c r="G81" i="5"/>
  <c r="G49" i="5"/>
  <c r="I44" i="5"/>
  <c r="I32" i="5"/>
  <c r="I79" i="5"/>
  <c r="G96" i="5"/>
  <c r="G72" i="5"/>
  <c r="G16" i="5"/>
  <c r="I42" i="5"/>
  <c r="G30" i="5"/>
  <c r="I9" i="5"/>
  <c r="G99" i="5"/>
  <c r="G91" i="5"/>
  <c r="G83" i="5"/>
  <c r="G75" i="5"/>
  <c r="G67" i="5"/>
  <c r="G59" i="5"/>
  <c r="G51" i="5"/>
  <c r="G43" i="5"/>
  <c r="G19" i="5"/>
  <c r="I96" i="5"/>
  <c r="I80" i="5"/>
  <c r="I64" i="5"/>
  <c r="I48" i="5"/>
  <c r="G33" i="5"/>
  <c r="I13" i="5"/>
  <c r="I39" i="5"/>
  <c r="I36" i="5"/>
  <c r="I18" i="5"/>
  <c r="I99" i="5"/>
  <c r="I83" i="5"/>
  <c r="I65" i="5"/>
  <c r="I33" i="5"/>
  <c r="I26" i="5"/>
  <c r="I7" i="5"/>
  <c r="G98" i="5"/>
  <c r="G90" i="5"/>
  <c r="G82" i="5"/>
  <c r="G74" i="5"/>
  <c r="G66" i="5"/>
  <c r="G58" i="5"/>
  <c r="G50" i="5"/>
  <c r="G42" i="5"/>
  <c r="G18" i="5"/>
  <c r="I94" i="5"/>
  <c r="I78" i="5"/>
  <c r="I62" i="5"/>
  <c r="I46" i="5"/>
  <c r="I31" i="5"/>
  <c r="I69" i="5"/>
  <c r="G35" i="5"/>
  <c r="G34" i="5"/>
  <c r="I14" i="5"/>
  <c r="I97" i="5"/>
  <c r="I81" i="5"/>
  <c r="I61" i="5"/>
  <c r="G31" i="5"/>
  <c r="G24" i="5"/>
  <c r="I20" i="5"/>
  <c r="G97" i="5"/>
  <c r="G65" i="5"/>
  <c r="G17" i="5"/>
  <c r="I60" i="5"/>
  <c r="I63" i="5"/>
  <c r="I95" i="5"/>
  <c r="I57" i="5"/>
  <c r="I10" i="5"/>
  <c r="G80" i="5"/>
  <c r="G48" i="5"/>
  <c r="I74" i="5"/>
  <c r="G27" i="5"/>
  <c r="I77" i="5"/>
  <c r="I100" i="5"/>
  <c r="F114" i="5" l="1"/>
  <c r="F23" i="2"/>
  <c r="F7" i="2" s="1"/>
  <c r="F101" i="2" s="1"/>
  <c r="C111" i="4"/>
  <c r="C110" i="4" s="1"/>
  <c r="C100" i="4"/>
  <c r="C99" i="4"/>
  <c r="C98" i="4"/>
  <c r="C97" i="4"/>
  <c r="C95" i="4"/>
  <c r="C94" i="4"/>
  <c r="C93" i="4"/>
  <c r="C91" i="4"/>
  <c r="C90" i="4"/>
  <c r="C89" i="4"/>
  <c r="C88" i="4"/>
  <c r="C87" i="4"/>
  <c r="C86" i="4"/>
  <c r="C85" i="4"/>
  <c r="C84" i="4"/>
  <c r="C83" i="4"/>
  <c r="C82" i="4"/>
  <c r="C80" i="4"/>
  <c r="C79" i="4"/>
  <c r="C78" i="4"/>
  <c r="C77" i="4"/>
  <c r="C76" i="4"/>
  <c r="C73" i="4"/>
  <c r="C72" i="4"/>
  <c r="C71" i="4"/>
  <c r="C69" i="4"/>
  <c r="C68" i="4"/>
  <c r="C67" i="4"/>
  <c r="C66" i="4"/>
  <c r="C65" i="4"/>
  <c r="C64" i="4"/>
  <c r="C62" i="4"/>
  <c r="C61" i="4" s="1"/>
  <c r="C60" i="4"/>
  <c r="C59" i="4" s="1"/>
  <c r="C58" i="4"/>
  <c r="C57" i="4"/>
  <c r="C56" i="4"/>
  <c r="C55" i="4"/>
  <c r="C54" i="4"/>
  <c r="C53" i="4"/>
  <c r="C52" i="4"/>
  <c r="C51" i="4"/>
  <c r="C50" i="4"/>
  <c r="C49" i="4"/>
  <c r="C48" i="4"/>
  <c r="C45" i="4"/>
  <c r="C44" i="4"/>
  <c r="C43" i="4"/>
  <c r="C42" i="4"/>
  <c r="C40" i="4"/>
  <c r="C39" i="4"/>
  <c r="C36" i="4"/>
  <c r="C35" i="4"/>
  <c r="C34" i="4"/>
  <c r="C33" i="4"/>
  <c r="C31" i="4"/>
  <c r="C30" i="4"/>
  <c r="C29" i="4" s="1"/>
  <c r="C28" i="4"/>
  <c r="C27" i="4"/>
  <c r="C26" i="4"/>
  <c r="C25" i="4"/>
  <c r="C24" i="4"/>
  <c r="C22" i="4"/>
  <c r="C21" i="4"/>
  <c r="C20" i="4"/>
  <c r="C19" i="4"/>
  <c r="C18" i="4"/>
  <c r="C17" i="4"/>
  <c r="C16" i="4"/>
  <c r="C15" i="4"/>
  <c r="C14" i="4"/>
  <c r="C13" i="4"/>
  <c r="C12" i="4"/>
  <c r="C10" i="4"/>
  <c r="C9" i="4"/>
  <c r="I101" i="2"/>
  <c r="I97" i="2"/>
  <c r="I100" i="2"/>
  <c r="I96" i="2"/>
  <c r="I92" i="2"/>
  <c r="I88" i="2"/>
  <c r="I84" i="2"/>
  <c r="I80" i="2"/>
  <c r="I76" i="2"/>
  <c r="I72" i="2"/>
  <c r="I68" i="2"/>
  <c r="I64" i="2"/>
  <c r="I60" i="2"/>
  <c r="I56" i="2"/>
  <c r="I52" i="2"/>
  <c r="I48" i="2"/>
  <c r="I44" i="2"/>
  <c r="I40" i="2"/>
  <c r="I36" i="2"/>
  <c r="I32" i="2"/>
  <c r="I28" i="2"/>
  <c r="I24" i="2"/>
  <c r="I20" i="2"/>
  <c r="I16" i="2"/>
  <c r="I12" i="2"/>
  <c r="I8" i="2"/>
  <c r="G99" i="2"/>
  <c r="G95" i="2"/>
  <c r="G91" i="2"/>
  <c r="G87" i="2"/>
  <c r="G83" i="2"/>
  <c r="G79" i="2"/>
  <c r="G75" i="2"/>
  <c r="G71" i="2"/>
  <c r="G67" i="2"/>
  <c r="G63" i="2"/>
  <c r="G59" i="2"/>
  <c r="G55" i="2"/>
  <c r="G51" i="2"/>
  <c r="G47" i="2"/>
  <c r="G43" i="2"/>
  <c r="G39" i="2"/>
  <c r="G35" i="2"/>
  <c r="G31" i="2"/>
  <c r="G27" i="2"/>
  <c r="G23" i="2"/>
  <c r="G19" i="2"/>
  <c r="G15" i="2"/>
  <c r="G11" i="2"/>
  <c r="G73" i="2"/>
  <c r="G61" i="2"/>
  <c r="G57" i="2"/>
  <c r="G49" i="2"/>
  <c r="G37" i="2"/>
  <c r="G33" i="2"/>
  <c r="G21" i="2"/>
  <c r="I93" i="2"/>
  <c r="I65" i="2"/>
  <c r="I61" i="2"/>
  <c r="I49" i="2"/>
  <c r="I37" i="2"/>
  <c r="I29" i="2"/>
  <c r="I17" i="2"/>
  <c r="G96" i="2"/>
  <c r="G88" i="2"/>
  <c r="G76" i="2"/>
  <c r="G68" i="2"/>
  <c r="G56" i="2"/>
  <c r="G52" i="2"/>
  <c r="G40" i="2"/>
  <c r="G32" i="2"/>
  <c r="G20" i="2"/>
  <c r="G12" i="2"/>
  <c r="I99" i="2"/>
  <c r="I95" i="2"/>
  <c r="I91" i="2"/>
  <c r="I87" i="2"/>
  <c r="I83" i="2"/>
  <c r="I79" i="2"/>
  <c r="I75" i="2"/>
  <c r="I71" i="2"/>
  <c r="I67" i="2"/>
  <c r="I63" i="2"/>
  <c r="I59" i="2"/>
  <c r="I55" i="2"/>
  <c r="I51" i="2"/>
  <c r="I47" i="2"/>
  <c r="I43" i="2"/>
  <c r="I39" i="2"/>
  <c r="I35" i="2"/>
  <c r="I31" i="2"/>
  <c r="I27" i="2"/>
  <c r="I23" i="2"/>
  <c r="I19" i="2"/>
  <c r="I15" i="2"/>
  <c r="I11" i="2"/>
  <c r="I7" i="2"/>
  <c r="G98" i="2"/>
  <c r="G94" i="2"/>
  <c r="G90" i="2"/>
  <c r="G86" i="2"/>
  <c r="G82" i="2"/>
  <c r="G78" i="2"/>
  <c r="G74" i="2"/>
  <c r="G70" i="2"/>
  <c r="G66" i="2"/>
  <c r="G62" i="2"/>
  <c r="G58" i="2"/>
  <c r="G54" i="2"/>
  <c r="G50" i="2"/>
  <c r="G46" i="2"/>
  <c r="G42" i="2"/>
  <c r="G38" i="2"/>
  <c r="G34" i="2"/>
  <c r="G30" i="2"/>
  <c r="G26" i="2"/>
  <c r="G22" i="2"/>
  <c r="G18" i="2"/>
  <c r="G14" i="2"/>
  <c r="G10" i="2"/>
  <c r="G69" i="2"/>
  <c r="G53" i="2"/>
  <c r="G45" i="2"/>
  <c r="G29" i="2"/>
  <c r="G25" i="2"/>
  <c r="G17" i="2"/>
  <c r="G13" i="2"/>
  <c r="I89" i="2"/>
  <c r="I69" i="2"/>
  <c r="I53" i="2"/>
  <c r="I45" i="2"/>
  <c r="I33" i="2"/>
  <c r="I21" i="2"/>
  <c r="I13" i="2"/>
  <c r="G100" i="2"/>
  <c r="G92" i="2"/>
  <c r="G80" i="2"/>
  <c r="G72" i="2"/>
  <c r="G60" i="2"/>
  <c r="G48" i="2"/>
  <c r="G36" i="2"/>
  <c r="G28" i="2"/>
  <c r="G16" i="2"/>
  <c r="G8" i="2"/>
  <c r="I98" i="2"/>
  <c r="I94" i="2"/>
  <c r="I90" i="2"/>
  <c r="I86" i="2"/>
  <c r="I82" i="2"/>
  <c r="I78" i="2"/>
  <c r="I74" i="2"/>
  <c r="I70" i="2"/>
  <c r="I66" i="2"/>
  <c r="I62" i="2"/>
  <c r="I58" i="2"/>
  <c r="I54" i="2"/>
  <c r="I50" i="2"/>
  <c r="I46" i="2"/>
  <c r="I42" i="2"/>
  <c r="I38" i="2"/>
  <c r="I34" i="2"/>
  <c r="I30" i="2"/>
  <c r="I26" i="2"/>
  <c r="I22" i="2"/>
  <c r="I18" i="2"/>
  <c r="I14" i="2"/>
  <c r="I10" i="2"/>
  <c r="G101" i="2"/>
  <c r="G97" i="2"/>
  <c r="G93" i="2"/>
  <c r="G89" i="2"/>
  <c r="G85" i="2"/>
  <c r="G81" i="2"/>
  <c r="G77" i="2"/>
  <c r="G65" i="2"/>
  <c r="G41" i="2"/>
  <c r="G9" i="2"/>
  <c r="I85" i="2"/>
  <c r="I81" i="2"/>
  <c r="I77" i="2"/>
  <c r="I73" i="2"/>
  <c r="I57" i="2"/>
  <c r="I41" i="2"/>
  <c r="I25" i="2"/>
  <c r="I9" i="2"/>
  <c r="G84" i="2"/>
  <c r="G64" i="2"/>
  <c r="G44" i="2"/>
  <c r="G24" i="2"/>
  <c r="H116" i="5"/>
  <c r="J116" i="5"/>
  <c r="G114" i="5"/>
  <c r="H115" i="5"/>
  <c r="I114" i="5"/>
  <c r="J115" i="5"/>
  <c r="J19" i="5"/>
  <c r="H11" i="5"/>
  <c r="J27" i="5"/>
  <c r="J90" i="5"/>
  <c r="H56" i="5"/>
  <c r="H88" i="5"/>
  <c r="J25" i="5"/>
  <c r="H12" i="5"/>
  <c r="H29" i="5"/>
  <c r="J92" i="5"/>
  <c r="H57" i="5"/>
  <c r="H89" i="5"/>
  <c r="J83" i="5"/>
  <c r="J64" i="5"/>
  <c r="H71" i="5"/>
  <c r="H31" i="5"/>
  <c r="H10" i="5"/>
  <c r="J37" i="5"/>
  <c r="H22" i="5"/>
  <c r="J35" i="5"/>
  <c r="J98" i="5"/>
  <c r="H60" i="5"/>
  <c r="H92" i="5"/>
  <c r="J41" i="5"/>
  <c r="J24" i="5"/>
  <c r="H37" i="5"/>
  <c r="H13" i="5"/>
  <c r="H61" i="5"/>
  <c r="H93" i="5"/>
  <c r="J99" i="5"/>
  <c r="J80" i="5"/>
  <c r="H79" i="5"/>
  <c r="J45" i="5"/>
  <c r="H26" i="5"/>
  <c r="J38" i="5"/>
  <c r="H14" i="5"/>
  <c r="H62" i="5"/>
  <c r="H94" i="5"/>
  <c r="J28" i="5"/>
  <c r="H19" i="5"/>
  <c r="H99" i="5"/>
  <c r="J51" i="5"/>
  <c r="J49" i="5"/>
  <c r="H53" i="5"/>
  <c r="J100" i="5"/>
  <c r="H86" i="5"/>
  <c r="J31" i="5"/>
  <c r="J96" i="5"/>
  <c r="J53" i="5"/>
  <c r="H30" i="5"/>
  <c r="J42" i="5"/>
  <c r="H16" i="5"/>
  <c r="H64" i="5"/>
  <c r="H96" i="5"/>
  <c r="J57" i="5"/>
  <c r="J32" i="5"/>
  <c r="J44" i="5"/>
  <c r="H17" i="5"/>
  <c r="H65" i="5"/>
  <c r="H97" i="5"/>
  <c r="J18" i="5"/>
  <c r="J88" i="5"/>
  <c r="H87" i="5"/>
  <c r="J61" i="5"/>
  <c r="H34" i="5"/>
  <c r="J46" i="5"/>
  <c r="H18" i="5"/>
  <c r="H66" i="5"/>
  <c r="H98" i="5"/>
  <c r="H23" i="5"/>
  <c r="H43" i="5"/>
  <c r="J30" i="5"/>
  <c r="H69" i="5"/>
  <c r="J36" i="5"/>
  <c r="H95" i="5"/>
  <c r="J73" i="5"/>
  <c r="J54" i="5"/>
  <c r="H70" i="5"/>
  <c r="J13" i="5"/>
  <c r="H44" i="5"/>
  <c r="J68" i="5"/>
  <c r="J26" i="5"/>
  <c r="J8" i="5"/>
  <c r="H46" i="5"/>
  <c r="J40" i="5"/>
  <c r="H63" i="5"/>
  <c r="H54" i="5"/>
  <c r="H83" i="5"/>
  <c r="J94" i="5"/>
  <c r="J67" i="5"/>
  <c r="H28" i="5"/>
  <c r="J50" i="5"/>
  <c r="H20" i="5"/>
  <c r="H68" i="5"/>
  <c r="G6" i="5"/>
  <c r="J71" i="5"/>
  <c r="J52" i="5"/>
  <c r="H21" i="5"/>
  <c r="G100" i="5"/>
  <c r="H100" i="5" s="1"/>
  <c r="H15" i="5"/>
  <c r="H36" i="5"/>
  <c r="H38" i="5"/>
  <c r="J7" i="5"/>
  <c r="H51" i="5"/>
  <c r="J16" i="5"/>
  <c r="H77" i="5"/>
  <c r="H47" i="5"/>
  <c r="J70" i="5"/>
  <c r="H67" i="5"/>
  <c r="J48" i="5"/>
  <c r="J86" i="5"/>
  <c r="J91" i="5"/>
  <c r="J14" i="5"/>
  <c r="J6" i="5"/>
  <c r="J77" i="5"/>
  <c r="H27" i="5"/>
  <c r="J58" i="5"/>
  <c r="H40" i="5"/>
  <c r="H72" i="5"/>
  <c r="J10" i="5"/>
  <c r="J79" i="5"/>
  <c r="J29" i="5"/>
  <c r="J60" i="5"/>
  <c r="H41" i="5"/>
  <c r="H73" i="5"/>
  <c r="J12" i="5"/>
  <c r="J39" i="5"/>
  <c r="H39" i="5"/>
  <c r="J20" i="5"/>
  <c r="J81" i="5"/>
  <c r="H35" i="5"/>
  <c r="J62" i="5"/>
  <c r="H42" i="5"/>
  <c r="H74" i="5"/>
  <c r="J15" i="5"/>
  <c r="H25" i="5"/>
  <c r="H59" i="5"/>
  <c r="J11" i="5"/>
  <c r="J85" i="5"/>
  <c r="J43" i="5"/>
  <c r="J66" i="5"/>
  <c r="H76" i="5"/>
  <c r="J87" i="5"/>
  <c r="J47" i="5"/>
  <c r="H45" i="5"/>
  <c r="J55" i="5"/>
  <c r="J89" i="5"/>
  <c r="H78" i="5"/>
  <c r="H85" i="5"/>
  <c r="J23" i="5"/>
  <c r="J72" i="5"/>
  <c r="H58" i="5"/>
  <c r="H91" i="5"/>
  <c r="J9" i="5"/>
  <c r="J93" i="5"/>
  <c r="J59" i="5"/>
  <c r="J74" i="5"/>
  <c r="H48" i="5"/>
  <c r="H80" i="5"/>
  <c r="J22" i="5"/>
  <c r="J95" i="5"/>
  <c r="J63" i="5"/>
  <c r="J76" i="5"/>
  <c r="H49" i="5"/>
  <c r="H81" i="5"/>
  <c r="J33" i="5"/>
  <c r="H33" i="5"/>
  <c r="H55" i="5"/>
  <c r="H24" i="5"/>
  <c r="J97" i="5"/>
  <c r="J69" i="5"/>
  <c r="J78" i="5"/>
  <c r="H50" i="5"/>
  <c r="H82" i="5"/>
  <c r="J75" i="5"/>
  <c r="J56" i="5"/>
  <c r="H75" i="5"/>
  <c r="H32" i="5"/>
  <c r="H7" i="5"/>
  <c r="J17" i="5"/>
  <c r="J82" i="5"/>
  <c r="H52" i="5"/>
  <c r="H84" i="5"/>
  <c r="J34" i="5"/>
  <c r="H8" i="5"/>
  <c r="J21" i="5"/>
  <c r="J84" i="5"/>
  <c r="J65" i="5"/>
  <c r="H9" i="5"/>
  <c r="H90" i="5"/>
  <c r="C8" i="4" l="1"/>
  <c r="C38" i="4"/>
  <c r="C75" i="4"/>
  <c r="F117" i="5"/>
  <c r="C32" i="4"/>
  <c r="C11" i="4"/>
  <c r="C92" i="4"/>
  <c r="C96" i="4"/>
  <c r="C70" i="4"/>
  <c r="C81" i="4"/>
  <c r="C74" i="4" s="1"/>
  <c r="C41" i="4"/>
  <c r="C47" i="4"/>
  <c r="C23" i="4"/>
  <c r="C63" i="4"/>
  <c r="C109" i="4"/>
  <c r="H24" i="2"/>
  <c r="J9" i="2"/>
  <c r="J73" i="2"/>
  <c r="H9" i="2"/>
  <c r="H81" i="2"/>
  <c r="H97" i="2"/>
  <c r="J18" i="2"/>
  <c r="J34" i="2"/>
  <c r="J50" i="2"/>
  <c r="J66" i="2"/>
  <c r="J82" i="2"/>
  <c r="J98" i="2"/>
  <c r="H36" i="2"/>
  <c r="H80" i="2"/>
  <c r="J21" i="2"/>
  <c r="J69" i="2"/>
  <c r="H25" i="2"/>
  <c r="H69" i="2"/>
  <c r="H22" i="2"/>
  <c r="H38" i="2"/>
  <c r="H54" i="2"/>
  <c r="H70" i="2"/>
  <c r="H86" i="2"/>
  <c r="J7" i="2"/>
  <c r="J23" i="2"/>
  <c r="J39" i="2"/>
  <c r="J55" i="2"/>
  <c r="J71" i="2"/>
  <c r="J87" i="2"/>
  <c r="H12" i="2"/>
  <c r="H52" i="2"/>
  <c r="H88" i="2"/>
  <c r="J37" i="2"/>
  <c r="J93" i="2"/>
  <c r="H49" i="2"/>
  <c r="H11" i="2"/>
  <c r="H27" i="2"/>
  <c r="H43" i="2"/>
  <c r="H59" i="2"/>
  <c r="H75" i="2"/>
  <c r="H91" i="2"/>
  <c r="J12" i="2"/>
  <c r="J28" i="2"/>
  <c r="J44" i="2"/>
  <c r="J60" i="2"/>
  <c r="J76" i="2"/>
  <c r="J92" i="2"/>
  <c r="J101" i="2"/>
  <c r="G7" i="2"/>
  <c r="J43" i="2"/>
  <c r="H20" i="2"/>
  <c r="H21" i="2"/>
  <c r="H31" i="2"/>
  <c r="H95" i="2"/>
  <c r="J32" i="2"/>
  <c r="J64" i="2"/>
  <c r="H35" i="2"/>
  <c r="H99" i="2"/>
  <c r="J36" i="2"/>
  <c r="J68" i="2"/>
  <c r="H44" i="2"/>
  <c r="J25" i="2"/>
  <c r="J77" i="2"/>
  <c r="H41" i="2"/>
  <c r="H85" i="2"/>
  <c r="H101" i="2"/>
  <c r="J22" i="2"/>
  <c r="J38" i="2"/>
  <c r="J54" i="2"/>
  <c r="J70" i="2"/>
  <c r="J86" i="2"/>
  <c r="H8" i="2"/>
  <c r="H48" i="2"/>
  <c r="H92" i="2"/>
  <c r="J33" i="2"/>
  <c r="J89" i="2"/>
  <c r="H29" i="2"/>
  <c r="H10" i="2"/>
  <c r="H26" i="2"/>
  <c r="H42" i="2"/>
  <c r="H58" i="2"/>
  <c r="H74" i="2"/>
  <c r="H90" i="2"/>
  <c r="J11" i="2"/>
  <c r="J27" i="2"/>
  <c r="J59" i="2"/>
  <c r="J91" i="2"/>
  <c r="J49" i="2"/>
  <c r="H63" i="2"/>
  <c r="J96" i="2"/>
  <c r="J100" i="2"/>
  <c r="H64" i="2"/>
  <c r="J41" i="2"/>
  <c r="J81" i="2"/>
  <c r="H65" i="2"/>
  <c r="H89" i="2"/>
  <c r="J10" i="2"/>
  <c r="J26" i="2"/>
  <c r="J42" i="2"/>
  <c r="J58" i="2"/>
  <c r="J74" i="2"/>
  <c r="J90" i="2"/>
  <c r="H16" i="2"/>
  <c r="H60" i="2"/>
  <c r="H100" i="2"/>
  <c r="J45" i="2"/>
  <c r="H13" i="2"/>
  <c r="H45" i="2"/>
  <c r="H14" i="2"/>
  <c r="H30" i="2"/>
  <c r="H46" i="2"/>
  <c r="H62" i="2"/>
  <c r="H78" i="2"/>
  <c r="H94" i="2"/>
  <c r="J15" i="2"/>
  <c r="J31" i="2"/>
  <c r="J47" i="2"/>
  <c r="J63" i="2"/>
  <c r="J79" i="2"/>
  <c r="J95" i="2"/>
  <c r="H32" i="2"/>
  <c r="H68" i="2"/>
  <c r="J17" i="2"/>
  <c r="J61" i="2"/>
  <c r="H33" i="2"/>
  <c r="H61" i="2"/>
  <c r="H19" i="2"/>
  <c r="H67" i="2"/>
  <c r="J20" i="2"/>
  <c r="J84" i="2"/>
  <c r="H84" i="2"/>
  <c r="J57" i="2"/>
  <c r="J85" i="2"/>
  <c r="H77" i="2"/>
  <c r="H93" i="2"/>
  <c r="J14" i="2"/>
  <c r="J30" i="2"/>
  <c r="J46" i="2"/>
  <c r="J62" i="2"/>
  <c r="J78" i="2"/>
  <c r="J94" i="2"/>
  <c r="H28" i="2"/>
  <c r="H72" i="2"/>
  <c r="J13" i="2"/>
  <c r="J53" i="2"/>
  <c r="H17" i="2"/>
  <c r="H53" i="2"/>
  <c r="H18" i="2"/>
  <c r="H34" i="2"/>
  <c r="H50" i="2"/>
  <c r="H66" i="2"/>
  <c r="H82" i="2"/>
  <c r="H98" i="2"/>
  <c r="J19" i="2"/>
  <c r="J35" i="2"/>
  <c r="J51" i="2"/>
  <c r="J67" i="2"/>
  <c r="J83" i="2"/>
  <c r="J99" i="2"/>
  <c r="H40" i="2"/>
  <c r="H76" i="2"/>
  <c r="J29" i="2"/>
  <c r="J65" i="2"/>
  <c r="H37" i="2"/>
  <c r="H73" i="2"/>
  <c r="H23" i="2"/>
  <c r="H39" i="2"/>
  <c r="H55" i="2"/>
  <c r="H71" i="2"/>
  <c r="H87" i="2"/>
  <c r="J8" i="2"/>
  <c r="J24" i="2"/>
  <c r="J40" i="2"/>
  <c r="J56" i="2"/>
  <c r="J72" i="2"/>
  <c r="J88" i="2"/>
  <c r="J97" i="2"/>
  <c r="J75" i="2"/>
  <c r="H56" i="2"/>
  <c r="H96" i="2"/>
  <c r="H57" i="2"/>
  <c r="H15" i="2"/>
  <c r="H47" i="2"/>
  <c r="H79" i="2"/>
  <c r="J16" i="2"/>
  <c r="J48" i="2"/>
  <c r="J80" i="2"/>
  <c r="H51" i="2"/>
  <c r="H83" i="2"/>
  <c r="J52" i="2"/>
  <c r="J114" i="5"/>
  <c r="H114" i="5"/>
  <c r="G117" i="5"/>
  <c r="I117" i="5"/>
  <c r="H6" i="5"/>
  <c r="C7" i="4" l="1"/>
  <c r="C101" i="4" s="1"/>
  <c r="C37" i="4"/>
  <c r="I120" i="5"/>
  <c r="J120" i="5" s="1"/>
  <c r="G120" i="5"/>
  <c r="H120" i="5" s="1"/>
  <c r="F120" i="5"/>
  <c r="C46" i="4"/>
  <c r="C112" i="4"/>
  <c r="H7" i="2"/>
  <c r="H117" i="5"/>
  <c r="J117" i="5"/>
  <c r="C114" i="4" l="1"/>
  <c r="D112" i="4" s="1"/>
  <c r="D101" i="4" l="1"/>
  <c r="D10" i="4"/>
  <c r="D33" i="4"/>
  <c r="D16" i="4"/>
  <c r="D34" i="4"/>
  <c r="D54" i="4"/>
  <c r="D75" i="4"/>
  <c r="D89" i="4"/>
  <c r="D13" i="4"/>
  <c r="D31" i="4"/>
  <c r="D51" i="4"/>
  <c r="D71" i="4"/>
  <c r="D90" i="4"/>
  <c r="D37" i="4"/>
  <c r="D14" i="4"/>
  <c r="D32" i="4"/>
  <c r="D67" i="4"/>
  <c r="D87" i="4"/>
  <c r="D63" i="4"/>
  <c r="D84" i="4"/>
  <c r="D110" i="4"/>
  <c r="D38" i="4"/>
  <c r="D62" i="4"/>
  <c r="D82" i="4"/>
  <c r="D8" i="4"/>
  <c r="D19" i="4"/>
  <c r="D43" i="4"/>
  <c r="D20" i="4"/>
  <c r="D39" i="4"/>
  <c r="D58" i="4"/>
  <c r="D93" i="4"/>
  <c r="D17" i="4"/>
  <c r="D35" i="4"/>
  <c r="D55" i="4"/>
  <c r="D77" i="4"/>
  <c r="D94" i="4"/>
  <c r="D49" i="4"/>
  <c r="D18" i="4"/>
  <c r="D36" i="4"/>
  <c r="D52" i="4"/>
  <c r="D70" i="4"/>
  <c r="D91" i="4"/>
  <c r="D68" i="4"/>
  <c r="D88" i="4"/>
  <c r="D42" i="4"/>
  <c r="D64" i="4"/>
  <c r="D98" i="4"/>
  <c r="D11" i="4"/>
  <c r="D69" i="4"/>
  <c r="D86" i="4"/>
  <c r="D9" i="4"/>
  <c r="D47" i="4"/>
  <c r="D83" i="4"/>
  <c r="D79" i="4"/>
  <c r="D30" i="4"/>
  <c r="D76" i="4"/>
  <c r="D23" i="4"/>
  <c r="D53" i="4"/>
  <c r="D25" i="4"/>
  <c r="D44" i="4"/>
  <c r="D65" i="4"/>
  <c r="D80" i="4"/>
  <c r="D96" i="4"/>
  <c r="D21" i="4"/>
  <c r="D40" i="4"/>
  <c r="D59" i="4"/>
  <c r="D81" i="4"/>
  <c r="D99" i="4"/>
  <c r="D57" i="4"/>
  <c r="D22" i="4"/>
  <c r="D41" i="4"/>
  <c r="D56" i="4"/>
  <c r="D78" i="4"/>
  <c r="D95" i="4"/>
  <c r="D73" i="4"/>
  <c r="D92" i="4"/>
  <c r="D24" i="4"/>
  <c r="D48" i="4"/>
  <c r="D72" i="4"/>
  <c r="D111" i="4"/>
  <c r="D28" i="4"/>
  <c r="D29" i="4"/>
  <c r="D50" i="4"/>
  <c r="D85" i="4"/>
  <c r="D26" i="4"/>
  <c r="D45" i="4"/>
  <c r="D66" i="4"/>
  <c r="D15" i="4"/>
  <c r="D27" i="4"/>
  <c r="D61" i="4"/>
  <c r="D100" i="4"/>
  <c r="D97" i="4"/>
  <c r="D60" i="4"/>
  <c r="D12" i="4"/>
  <c r="D7" i="4"/>
  <c r="D74" i="4"/>
  <c r="D46" i="4"/>
  <c r="D109" i="4"/>
</calcChain>
</file>

<file path=xl/comments1.xml><?xml version="1.0" encoding="utf-8"?>
<comments xmlns="http://schemas.openxmlformats.org/spreadsheetml/2006/main">
  <authors>
    <author>Daissy Tatiana Machuca Campos</author>
  </authors>
  <commentList>
    <comment ref="A78" authorId="0" shapeId="0">
      <text>
        <r>
          <rPr>
            <sz val="9"/>
            <color indexed="81"/>
            <rFont val="Tahoma"/>
            <family val="2"/>
          </rPr>
          <t xml:space="preserve">No se incluyo el valor que MDMQ entrega a METRO QUITO USD. 1.593.224,00
</t>
        </r>
      </text>
    </comment>
  </commentList>
</comments>
</file>

<file path=xl/sharedStrings.xml><?xml version="1.0" encoding="utf-8"?>
<sst xmlns="http://schemas.openxmlformats.org/spreadsheetml/2006/main" count="92406" uniqueCount="2128">
  <si>
    <t>51</t>
  </si>
  <si>
    <t>GENERALES</t>
  </si>
  <si>
    <t>ADMINISTRACION GENERAL</t>
  </si>
  <si>
    <t>RP36A010</t>
  </si>
  <si>
    <t>Registro de la Propiedad</t>
  </si>
  <si>
    <t>A101</t>
  </si>
  <si>
    <t>FORTALECIMIENTO INSTITUCIONAL</t>
  </si>
  <si>
    <t>GC00A10100001D</t>
  </si>
  <si>
    <t>GC00A10100001D GASTOS ADMINISTRATIVOS</t>
  </si>
  <si>
    <t>51 GASTOS EN PERSONAL</t>
  </si>
  <si>
    <t>510502 Remuneración Unificada para Pasantes e Inte</t>
  </si>
  <si>
    <t>G/510502/1AA101</t>
  </si>
  <si>
    <t>001</t>
  </si>
  <si>
    <t>ZA01A009</t>
  </si>
  <si>
    <t>DM de Servicios Ciudadanos</t>
  </si>
  <si>
    <t>002</t>
  </si>
  <si>
    <t>COORDINACION DE ALCALDIA Y SECRETARIA DEL CONCEJO</t>
  </si>
  <si>
    <t>ZA01C030</t>
  </si>
  <si>
    <t>Concejo Metropolitano</t>
  </si>
  <si>
    <t>G/510502/1CA101</t>
  </si>
  <si>
    <t>ZA01A000</t>
  </si>
  <si>
    <t>Administración General</t>
  </si>
  <si>
    <t>510601 Aporte Patronal</t>
  </si>
  <si>
    <t>G/510601/1AA101</t>
  </si>
  <si>
    <t>G/510601/1CA101</t>
  </si>
  <si>
    <t>ZA01A002</t>
  </si>
  <si>
    <t>DM de Recursos Humanos</t>
  </si>
  <si>
    <t>510606 Asignación Global de Jubilación Patronal pa</t>
  </si>
  <si>
    <t>G/510606/1AA101</t>
  </si>
  <si>
    <t>510706 Beneficio por Jubilación</t>
  </si>
  <si>
    <t>G/510706/1AA101</t>
  </si>
  <si>
    <t>SOCIALES</t>
  </si>
  <si>
    <t>SALUD</t>
  </si>
  <si>
    <t>US33M030</t>
  </si>
  <si>
    <t>Unidad de Salud Sur</t>
  </si>
  <si>
    <t>GC00A10100004D</t>
  </si>
  <si>
    <t>GC00A10100004D REMUNERACION PERSONAL</t>
  </si>
  <si>
    <t>510105 Remuneraciones Unificadas</t>
  </si>
  <si>
    <t>G/510105/1MA101</t>
  </si>
  <si>
    <t>COMUNALES</t>
  </si>
  <si>
    <t>MOVILIDAD</t>
  </si>
  <si>
    <t>ZA01K000</t>
  </si>
  <si>
    <t>Secretaría De Movilidad</t>
  </si>
  <si>
    <t>G/510105/1KA101</t>
  </si>
  <si>
    <t>PLANIFICACION</t>
  </si>
  <si>
    <t>ZA01L000</t>
  </si>
  <si>
    <t>Secretaría General de Planificación</t>
  </si>
  <si>
    <t>G/510105/1LA101</t>
  </si>
  <si>
    <t>G/510105/1CA101</t>
  </si>
  <si>
    <t>INCLUSION SOCIAL</t>
  </si>
  <si>
    <t>ZA01J000</t>
  </si>
  <si>
    <t>Secretaría De Inclusión Social</t>
  </si>
  <si>
    <t>G/510105/1JA101</t>
  </si>
  <si>
    <t>ECONÓMICOS</t>
  </si>
  <si>
    <t>AGENCIA DE COORDINACIÓN DISTRITAL DE COMERCIO</t>
  </si>
  <si>
    <t>AC67Q000</t>
  </si>
  <si>
    <t>Agencia de Coord. Distrital del Comercio</t>
  </si>
  <si>
    <t>G/510105/2QA101</t>
  </si>
  <si>
    <t>COORDINACION TERRITORIAL Y PARTICIPACION CIUDADANA</t>
  </si>
  <si>
    <t>ZC09F090</t>
  </si>
  <si>
    <t>Administración Zonal Calderón</t>
  </si>
  <si>
    <t>G/510105/1FA101</t>
  </si>
  <si>
    <t>ZA01C002</t>
  </si>
  <si>
    <t>DM Relaciones Internacionales</t>
  </si>
  <si>
    <t>ZA01C060</t>
  </si>
  <si>
    <t>IMPU</t>
  </si>
  <si>
    <t>TERRITORIO HABITAT Y VIVIENDA</t>
  </si>
  <si>
    <t>FS66P020</t>
  </si>
  <si>
    <t>Instituto Metropolitano de Patrimonio</t>
  </si>
  <si>
    <t>G/510105/1PA101</t>
  </si>
  <si>
    <t>SEGURIDAD Y GOBERNABILIDAD</t>
  </si>
  <si>
    <t>ZA01N000</t>
  </si>
  <si>
    <t>Secretaría General Seguridad Gobernabili</t>
  </si>
  <si>
    <t>G/510105/1NA101</t>
  </si>
  <si>
    <t>G/510105/1AA101</t>
  </si>
  <si>
    <t>UN31M010</t>
  </si>
  <si>
    <t>Unidad de Salud Norte</t>
  </si>
  <si>
    <t>AT69K040</t>
  </si>
  <si>
    <t>Agencia Metrop Control Transito Seg vial</t>
  </si>
  <si>
    <t>EDUCACION, RECREACION Y DEPORTE</t>
  </si>
  <si>
    <t>CB21I040</t>
  </si>
  <si>
    <t>COLEGIO BENALCAZAR</t>
  </si>
  <si>
    <t>G/510105/1IA101</t>
  </si>
  <si>
    <t>ZA01I000</t>
  </si>
  <si>
    <t>Secretaría Educación, Recreación Deporte</t>
  </si>
  <si>
    <t>DESARROLLO PRODUCTIVO Y COMPETITIVIDAD</t>
  </si>
  <si>
    <t>ZA01H000</t>
  </si>
  <si>
    <t>Secretaría Desarrollo Productivo Competi</t>
  </si>
  <si>
    <t>G/510105/1HA101</t>
  </si>
  <si>
    <t>PM71N010</t>
  </si>
  <si>
    <t>Cuerpo de Agentes de Control</t>
  </si>
  <si>
    <t>AGENCIA METROPOLITANA DE CONTROL</t>
  </si>
  <si>
    <t>MC37B000</t>
  </si>
  <si>
    <t>Agencia Metropolitana de Control</t>
  </si>
  <si>
    <t>G/510105/1BA101</t>
  </si>
  <si>
    <t>AMBIENTE</t>
  </si>
  <si>
    <t>ZA01D000</t>
  </si>
  <si>
    <t>Secretaría De Ambiente</t>
  </si>
  <si>
    <t>G/510105/1DA101</t>
  </si>
  <si>
    <t>COMUNICACION</t>
  </si>
  <si>
    <t>ZA01E000</t>
  </si>
  <si>
    <t>Secretaría De Comunicación</t>
  </si>
  <si>
    <t>G/510105/1EA101</t>
  </si>
  <si>
    <t>ZA01C000</t>
  </si>
  <si>
    <t>Alcaldía Metropolitana</t>
  </si>
  <si>
    <t>ZA01F000</t>
  </si>
  <si>
    <t>Secretaría General Coordinac Territorial</t>
  </si>
  <si>
    <t>CULTURA</t>
  </si>
  <si>
    <t>ZA01G000</t>
  </si>
  <si>
    <t>Secretaría De Cultura</t>
  </si>
  <si>
    <t>G/510105/1GA101</t>
  </si>
  <si>
    <t>JM40I070</t>
  </si>
  <si>
    <t>Unidad Educativa Julio E.Moreno</t>
  </si>
  <si>
    <t>MB42I090</t>
  </si>
  <si>
    <t>Unidad Educativa Milenio Bicentenario</t>
  </si>
  <si>
    <t>OL41I060</t>
  </si>
  <si>
    <t>Unidad Educativa Oswaldo Lombeyda</t>
  </si>
  <si>
    <t>ES12I020</t>
  </si>
  <si>
    <t>Unidad Educativa Sucre</t>
  </si>
  <si>
    <t>RB34F010</t>
  </si>
  <si>
    <t>Unidad Especial Regula Tu Barrio</t>
  </si>
  <si>
    <t>ZA01P000</t>
  </si>
  <si>
    <t>Secretaría Territorio, Hábitat  Vivienda</t>
  </si>
  <si>
    <t>UC32M020</t>
  </si>
  <si>
    <t>Unidad de Salud Centro</t>
  </si>
  <si>
    <t>SF43I080</t>
  </si>
  <si>
    <t>Unidad Educativa San Francisco de Quito</t>
  </si>
  <si>
    <t>EQ13I030</t>
  </si>
  <si>
    <t>Unidad Educativa Quitumbe</t>
  </si>
  <si>
    <t>TM68F100</t>
  </si>
  <si>
    <t>Unidad Especial Turística La Mariscal</t>
  </si>
  <si>
    <t>EE11I010</t>
  </si>
  <si>
    <t>Unidad Educativa Espejo</t>
  </si>
  <si>
    <t>CF22I050</t>
  </si>
  <si>
    <t>Colegio Fernández Madrid</t>
  </si>
  <si>
    <t>ZV05F050</t>
  </si>
  <si>
    <t>Administración Zonal Valle los Chillos</t>
  </si>
  <si>
    <t>ZT06F060</t>
  </si>
  <si>
    <t>Administración Zonal Valle de Tumbaco</t>
  </si>
  <si>
    <t>ZM04F040</t>
  </si>
  <si>
    <t>Administración Zonal Manuela Sáenz</t>
  </si>
  <si>
    <t>ZA01M000</t>
  </si>
  <si>
    <t>Secretaría De Salud</t>
  </si>
  <si>
    <t>ZD07F070</t>
  </si>
  <si>
    <t>Adm Zonal Equinoccia - La Delicia</t>
  </si>
  <si>
    <t>ZQ08F080</t>
  </si>
  <si>
    <t>Administración Zonal Quitumbe</t>
  </si>
  <si>
    <t>ZS03F030</t>
  </si>
  <si>
    <t>Administración Zonal Eloy Alfaro (Sur)</t>
  </si>
  <si>
    <t>ZN02F020</t>
  </si>
  <si>
    <t>Administración Z Eugenio Espejo (Norte)</t>
  </si>
  <si>
    <t>510106 Salarios Unificados</t>
  </si>
  <si>
    <t>G/510106/1KA101</t>
  </si>
  <si>
    <t>G/510106/1CA101</t>
  </si>
  <si>
    <t>G/510106/1FA101</t>
  </si>
  <si>
    <t>G/510106/1IA101</t>
  </si>
  <si>
    <t>G/510106/1GA101</t>
  </si>
  <si>
    <t>G/510106/1LA101</t>
  </si>
  <si>
    <t>G/510106/1DA101</t>
  </si>
  <si>
    <t>G/510106/1NA101</t>
  </si>
  <si>
    <t>G/510106/1EA101</t>
  </si>
  <si>
    <t>G/510106/1AA101</t>
  </si>
  <si>
    <t>G/510106/1MA101</t>
  </si>
  <si>
    <t>G/510106/1BA101</t>
  </si>
  <si>
    <t>G/510106/1PA101</t>
  </si>
  <si>
    <t>G/510106/1HA101</t>
  </si>
  <si>
    <t>G/510106/2QA101</t>
  </si>
  <si>
    <t>510108 Remuneración Mensual Unificada de Docentes</t>
  </si>
  <si>
    <t>G/510108/1IA101</t>
  </si>
  <si>
    <t>510203 Decimotercer Sueldo</t>
  </si>
  <si>
    <t>G/510203/1FA101</t>
  </si>
  <si>
    <t>G/510203/1CA101</t>
  </si>
  <si>
    <t>G/510203/1IA101</t>
  </si>
  <si>
    <t>G/510203/1DA101</t>
  </si>
  <si>
    <t>G/510203/1AA101</t>
  </si>
  <si>
    <t>G/510203/1LA101</t>
  </si>
  <si>
    <t>G/510203/1HA101</t>
  </si>
  <si>
    <t>G/510203/1MA101</t>
  </si>
  <si>
    <t>G/510203/1KA101</t>
  </si>
  <si>
    <t>G/510203/2QA101</t>
  </si>
  <si>
    <t>G/510203/1EA101</t>
  </si>
  <si>
    <t>G/510203/1BA101</t>
  </si>
  <si>
    <t>G/510203/1PA101</t>
  </si>
  <si>
    <t>G/510203/1NA101</t>
  </si>
  <si>
    <t>G/510203/1JA101</t>
  </si>
  <si>
    <t>G/510203/1GA101</t>
  </si>
  <si>
    <t>510204 Decimocuarto Sueldo</t>
  </si>
  <si>
    <t>G/510204/1PA101</t>
  </si>
  <si>
    <t>G/510204/1FA101</t>
  </si>
  <si>
    <t>G/510204/1BA101</t>
  </si>
  <si>
    <t>G/510204/1NA101</t>
  </si>
  <si>
    <t>G/510204/1MA101</t>
  </si>
  <si>
    <t>G/510204/1LA101</t>
  </si>
  <si>
    <t>G/510204/1GA101</t>
  </si>
  <si>
    <t>G/510204/1AA101</t>
  </si>
  <si>
    <t>G/510204/1HA101</t>
  </si>
  <si>
    <t>G/510204/1IA101</t>
  </si>
  <si>
    <t>G/510204/1JA101</t>
  </si>
  <si>
    <t>G/510204/1KA101</t>
  </si>
  <si>
    <t>G/510204/1EA101</t>
  </si>
  <si>
    <t>G/510204/1CA101</t>
  </si>
  <si>
    <t>G/510204/2QA101</t>
  </si>
  <si>
    <t>G/510204/1DA101</t>
  </si>
  <si>
    <t>510304 Compensación por Transporte</t>
  </si>
  <si>
    <t>G/510304/1IA101</t>
  </si>
  <si>
    <t>G/510304/1CA101</t>
  </si>
  <si>
    <t>G/510304/1KA101</t>
  </si>
  <si>
    <t>G/510304/1NA101</t>
  </si>
  <si>
    <t>G/510304/1MA101</t>
  </si>
  <si>
    <t>G/510304/1AA101</t>
  </si>
  <si>
    <t>G/510304/1FA101</t>
  </si>
  <si>
    <t>G/510304/2QA101</t>
  </si>
  <si>
    <t>G/510304/1DA101</t>
  </si>
  <si>
    <t>G/510304/1LA101</t>
  </si>
  <si>
    <t>G/510304/1PA101</t>
  </si>
  <si>
    <t>G/510304/1BA101</t>
  </si>
  <si>
    <t>G/510304/1EA101</t>
  </si>
  <si>
    <t>G/510304/1HA101</t>
  </si>
  <si>
    <t>G/510304/1GA101</t>
  </si>
  <si>
    <t>510306 Alimentación</t>
  </si>
  <si>
    <t>G/510306/1HA101</t>
  </si>
  <si>
    <t>G/510306/1IA101</t>
  </si>
  <si>
    <t>G/510306/1NA101</t>
  </si>
  <si>
    <t>G/510306/1FA101</t>
  </si>
  <si>
    <t>G/510306/1AA101</t>
  </si>
  <si>
    <t>G/510306/1MA101</t>
  </si>
  <si>
    <t>G/510306/1CA101</t>
  </si>
  <si>
    <t>G/510306/1KA101</t>
  </si>
  <si>
    <t>G/510306/2QA101</t>
  </si>
  <si>
    <t>G/510306/1BA101</t>
  </si>
  <si>
    <t>G/510306/1EA101</t>
  </si>
  <si>
    <t>G/510306/1DA101</t>
  </si>
  <si>
    <t>G/510306/1LA101</t>
  </si>
  <si>
    <t>G/510306/1PA101</t>
  </si>
  <si>
    <t>G/510306/1GA101</t>
  </si>
  <si>
    <t>510401 Por Cargas Familiares</t>
  </si>
  <si>
    <t>G/510401/1NA101</t>
  </si>
  <si>
    <t>G/510401/1FA101</t>
  </si>
  <si>
    <t>G/510401/1LA101</t>
  </si>
  <si>
    <t>G/510401/1EA101</t>
  </si>
  <si>
    <t>G/510401/1AA101</t>
  </si>
  <si>
    <t>G/510401/1CA101</t>
  </si>
  <si>
    <t>G/510401/1PA101</t>
  </si>
  <si>
    <t>G/510401/1KA101</t>
  </si>
  <si>
    <t>G/510401/1MA101</t>
  </si>
  <si>
    <t>G/510401/1IA101</t>
  </si>
  <si>
    <t>G/510401/2QA101</t>
  </si>
  <si>
    <t>G/510401/1HA101</t>
  </si>
  <si>
    <t>G/510401/1GA101</t>
  </si>
  <si>
    <t>G/510401/1DA101</t>
  </si>
  <si>
    <t>G/510401/1BA101</t>
  </si>
  <si>
    <t>510408 Subsidio de Antigüedad</t>
  </si>
  <si>
    <t>G/510408/1FA101</t>
  </si>
  <si>
    <t>G/510408/1AA101</t>
  </si>
  <si>
    <t>G/510408/1MA101</t>
  </si>
  <si>
    <t>G/510408/1CA101</t>
  </si>
  <si>
    <t>G/510408/1EA101</t>
  </si>
  <si>
    <t>G/510408/2QA101</t>
  </si>
  <si>
    <t>G/510408/1IA101</t>
  </si>
  <si>
    <t>G/510408/1DA101</t>
  </si>
  <si>
    <t>G/510408/1GA101</t>
  </si>
  <si>
    <t>G/510408/1BA101</t>
  </si>
  <si>
    <t>G/510408/1LA101</t>
  </si>
  <si>
    <t>G/510408/1KA101</t>
  </si>
  <si>
    <t>G/510408/1NA101</t>
  </si>
  <si>
    <t>G/510408/1HA101</t>
  </si>
  <si>
    <t>G/510408/1PA101</t>
  </si>
  <si>
    <t>510507 Honorarios</t>
  </si>
  <si>
    <t>G/510507/1PA101</t>
  </si>
  <si>
    <t>G/510507/1FA101</t>
  </si>
  <si>
    <t>G/510507/1KA101</t>
  </si>
  <si>
    <t>G/510507/1CA101</t>
  </si>
  <si>
    <t>G/510507/1AA101</t>
  </si>
  <si>
    <t>G/510507/2QA101</t>
  </si>
  <si>
    <t>G/510507/1IA101</t>
  </si>
  <si>
    <t>G/510507/1EA101</t>
  </si>
  <si>
    <t>G/510507/1HA101</t>
  </si>
  <si>
    <t>G/510507/1LA101</t>
  </si>
  <si>
    <t>G/510507/1MA101</t>
  </si>
  <si>
    <t>G/510507/1BA101</t>
  </si>
  <si>
    <t>G/510507/1JA101</t>
  </si>
  <si>
    <t>G/510507/1GA101</t>
  </si>
  <si>
    <t>G/510507/1DA101</t>
  </si>
  <si>
    <t>G/510507/1NA101</t>
  </si>
  <si>
    <t>510509 Horas Extraordinarias y Suplementarias</t>
  </si>
  <si>
    <t>G/510509/1AA101</t>
  </si>
  <si>
    <t>G/510509/1CA101</t>
  </si>
  <si>
    <t>G/510509/1LA101</t>
  </si>
  <si>
    <t>G/510509/1EA101</t>
  </si>
  <si>
    <t>G/510509/1FA101</t>
  </si>
  <si>
    <t>G/510509/1IA101</t>
  </si>
  <si>
    <t>G/510509/1PA101</t>
  </si>
  <si>
    <t>G/510509/1MA101</t>
  </si>
  <si>
    <t>G/510509/1KA101</t>
  </si>
  <si>
    <t>G/510509/1JA101</t>
  </si>
  <si>
    <t>G/510509/1GA101</t>
  </si>
  <si>
    <t>G/510509/1BA101</t>
  </si>
  <si>
    <t>G/510509/1NA101</t>
  </si>
  <si>
    <t>G/510509/1DA101</t>
  </si>
  <si>
    <t>G/510509/2QA101</t>
  </si>
  <si>
    <t>G/510509/1HA101</t>
  </si>
  <si>
    <t>510510 Servicios Personales por Contrato</t>
  </si>
  <si>
    <t>G/510510/1DA101</t>
  </si>
  <si>
    <t>G/510510/1NA101</t>
  </si>
  <si>
    <t>G/510510/1JA101</t>
  </si>
  <si>
    <t>G/510510/1MA101</t>
  </si>
  <si>
    <t>G/510510/1FA101</t>
  </si>
  <si>
    <t>G/510510/1KA101</t>
  </si>
  <si>
    <t>G/510510/1IA101</t>
  </si>
  <si>
    <t>G/510510/2QA101</t>
  </si>
  <si>
    <t>G/510510/1BA101</t>
  </si>
  <si>
    <t>G/510510/1CA101</t>
  </si>
  <si>
    <t>G/510510/1PA101</t>
  </si>
  <si>
    <t>G/510510/1LA101</t>
  </si>
  <si>
    <t>G/510510/1AA101</t>
  </si>
  <si>
    <t>G/510510/1HA101</t>
  </si>
  <si>
    <t>G/510510/1EA101</t>
  </si>
  <si>
    <t>G/510510/1GA101</t>
  </si>
  <si>
    <t>510512 Subrogación</t>
  </si>
  <si>
    <t>G/510512/1NA101</t>
  </si>
  <si>
    <t>G/510512/1MA101</t>
  </si>
  <si>
    <t>G/510512/1BA101</t>
  </si>
  <si>
    <t>G/510512/1GA101</t>
  </si>
  <si>
    <t>G/510512/1JA101</t>
  </si>
  <si>
    <t>G/510512/1EA101</t>
  </si>
  <si>
    <t>G/510512/1FA101</t>
  </si>
  <si>
    <t>G/510512/1CA101</t>
  </si>
  <si>
    <t>G/510512/1PA101</t>
  </si>
  <si>
    <t>G/510512/1KA101</t>
  </si>
  <si>
    <t>G/510512/1AA101</t>
  </si>
  <si>
    <t>G/510512/1LA101</t>
  </si>
  <si>
    <t>G/510512/1DA101</t>
  </si>
  <si>
    <t>G/510512/2QA101</t>
  </si>
  <si>
    <t>G/510512/1IA101</t>
  </si>
  <si>
    <t>G/510512/1HA101</t>
  </si>
  <si>
    <t>510513 Encargos</t>
  </si>
  <si>
    <t>G/510513/1MA101</t>
  </si>
  <si>
    <t>G/510513/1AA101</t>
  </si>
  <si>
    <t>G/510513/1IA101</t>
  </si>
  <si>
    <t>G/510513/1FA101</t>
  </si>
  <si>
    <t>G/510513/1PA101</t>
  </si>
  <si>
    <t>G/510513/1NA101</t>
  </si>
  <si>
    <t>G/510513/1GA101</t>
  </si>
  <si>
    <t>G/510513/1KA101</t>
  </si>
  <si>
    <t>G/510513/2QA101</t>
  </si>
  <si>
    <t>G/510513/1CA101</t>
  </si>
  <si>
    <t>G/510513/1LA101</t>
  </si>
  <si>
    <t>G/510513/1HA101</t>
  </si>
  <si>
    <t>G/510513/1EA101</t>
  </si>
  <si>
    <t>G/510513/1JA101</t>
  </si>
  <si>
    <t>G/510513/1BA101</t>
  </si>
  <si>
    <t>G/510513/1DA101</t>
  </si>
  <si>
    <t>G/510601/1KA101</t>
  </si>
  <si>
    <t>G/510601/1FA101</t>
  </si>
  <si>
    <t>G/510601/1IA101</t>
  </si>
  <si>
    <t>G/510601/1PA101</t>
  </si>
  <si>
    <t>G/510601/1BA101</t>
  </si>
  <si>
    <t>G/510601/1EA101</t>
  </si>
  <si>
    <t>G/510601/1LA101</t>
  </si>
  <si>
    <t>G/510601/1NA101</t>
  </si>
  <si>
    <t>G/510601/1HA101</t>
  </si>
  <si>
    <t>G/510601/1MA101</t>
  </si>
  <si>
    <t>G/510601/1DA101</t>
  </si>
  <si>
    <t>G/510601/1GA101</t>
  </si>
  <si>
    <t>G/510601/2QA101</t>
  </si>
  <si>
    <t>G/510601/1JA101</t>
  </si>
  <si>
    <t>510602 Fondo de Reserva</t>
  </si>
  <si>
    <t>G/510602/1CA101</t>
  </si>
  <si>
    <t>G/510602/1FA101</t>
  </si>
  <si>
    <t>G/510602/1IA101</t>
  </si>
  <si>
    <t>G/510602/1EA101</t>
  </si>
  <si>
    <t>G/510602/1BA101</t>
  </si>
  <si>
    <t>G/510602/1HA101</t>
  </si>
  <si>
    <t>G/510602/1JA101</t>
  </si>
  <si>
    <t>G/510602/1KA101</t>
  </si>
  <si>
    <t>G/510602/1LA101</t>
  </si>
  <si>
    <t>G/510602/1MA101</t>
  </si>
  <si>
    <t>G/510602/1GA101</t>
  </si>
  <si>
    <t>G/510602/1NA101</t>
  </si>
  <si>
    <t>G/510602/1DA101</t>
  </si>
  <si>
    <t>G/510602/1PA101</t>
  </si>
  <si>
    <t>G/510602/2QA101</t>
  </si>
  <si>
    <t>G/510602/1AA101</t>
  </si>
  <si>
    <t>510705 Restitución de Puesto</t>
  </si>
  <si>
    <t>G/510705/1AA101</t>
  </si>
  <si>
    <t>510707 Compensación por Vacaciones no Gozadas por</t>
  </si>
  <si>
    <t>G/510707/1FA101</t>
  </si>
  <si>
    <t>G/510707/1IA101</t>
  </si>
  <si>
    <t>G/510707/1AA101</t>
  </si>
  <si>
    <t>G/510707/1BA101</t>
  </si>
  <si>
    <t>G/510707/1PA101</t>
  </si>
  <si>
    <t>G/510707/1CA101</t>
  </si>
  <si>
    <t>G/510707/1MA101</t>
  </si>
  <si>
    <t>G/510707/1DA101</t>
  </si>
  <si>
    <t>G/510707/1NA101</t>
  </si>
  <si>
    <t>G/510707/1EA101</t>
  </si>
  <si>
    <t>G/510707/1GA101</t>
  </si>
  <si>
    <t>G/510707/1HA101</t>
  </si>
  <si>
    <t>G/510707/1JA101</t>
  </si>
  <si>
    <t>G/510707/1KA101</t>
  </si>
  <si>
    <t>G/510707/1LA101</t>
  </si>
  <si>
    <t>G/510707/2QA101</t>
  </si>
  <si>
    <t>53</t>
  </si>
  <si>
    <t>53 BIENES Y SERVICIOS DE CONSUMO</t>
  </si>
  <si>
    <t>530101  Agua Potable</t>
  </si>
  <si>
    <t>G/530101/1IA101</t>
  </si>
  <si>
    <t>G/530101/1FA101</t>
  </si>
  <si>
    <t>G/530101/1MA101</t>
  </si>
  <si>
    <t>G/530101/1AA101</t>
  </si>
  <si>
    <t>G/530101/1KA101</t>
  </si>
  <si>
    <t>ZA01A001</t>
  </si>
  <si>
    <t>DM Administrativa</t>
  </si>
  <si>
    <t>G/530101/1PA101</t>
  </si>
  <si>
    <t>G/530101/1BA101</t>
  </si>
  <si>
    <t>G/530101/1NA101</t>
  </si>
  <si>
    <t>530104 Energía Eléctrica</t>
  </si>
  <si>
    <t>G/530104/1IA101</t>
  </si>
  <si>
    <t>G/530104/1KA101</t>
  </si>
  <si>
    <t>G/530104/1NA101</t>
  </si>
  <si>
    <t>G/530104/1FA101</t>
  </si>
  <si>
    <t>G/530104/1PA101</t>
  </si>
  <si>
    <t>G/530104/1QA101</t>
  </si>
  <si>
    <t>G/530104/1AA101</t>
  </si>
  <si>
    <t>G/530104/1MA101</t>
  </si>
  <si>
    <t>G/530104/1BA101</t>
  </si>
  <si>
    <t>530105 Telecomunicaciones</t>
  </si>
  <si>
    <t>G/530105/1QA101</t>
  </si>
  <si>
    <t>G/530105/1KA101</t>
  </si>
  <si>
    <t>G/530105/1FA101</t>
  </si>
  <si>
    <t>G/530105/1IA101</t>
  </si>
  <si>
    <t>G/530105/1AA101</t>
  </si>
  <si>
    <t>G/530105/1BA101</t>
  </si>
  <si>
    <t>G/530105/1PA101</t>
  </si>
  <si>
    <t>G/530105/1MA101</t>
  </si>
  <si>
    <t>G/530105/1NA101</t>
  </si>
  <si>
    <t>530106  Servicio de Correo</t>
  </si>
  <si>
    <t>G/530106/1BA101</t>
  </si>
  <si>
    <t>G/530106/1DA101</t>
  </si>
  <si>
    <t>G/530106/1CA101</t>
  </si>
  <si>
    <t>G/530106/1AA101</t>
  </si>
  <si>
    <t>G/530106/1FA101</t>
  </si>
  <si>
    <t>G/530106/1IA101</t>
  </si>
  <si>
    <t>G/530106/1KA101</t>
  </si>
  <si>
    <t>530201 Transporte de Personal</t>
  </si>
  <si>
    <t>G/530201/1FA101</t>
  </si>
  <si>
    <t>G/530201/1AA101</t>
  </si>
  <si>
    <t>G/530201/1BA101</t>
  </si>
  <si>
    <t>G/530201/1MA101</t>
  </si>
  <si>
    <t>530202 Fletes y Maniobras</t>
  </si>
  <si>
    <t>G/530202/1BA101</t>
  </si>
  <si>
    <t>G/530202/1NA101</t>
  </si>
  <si>
    <t>G/530202/1AA101</t>
  </si>
  <si>
    <t>G/530202/1IA101</t>
  </si>
  <si>
    <t>530203 Almacenamiento, Embalaje, Desembalaje, Enva</t>
  </si>
  <si>
    <t>G/530203/1IA101</t>
  </si>
  <si>
    <t>G/530203/1FA101</t>
  </si>
  <si>
    <t>G/530203/1AA101</t>
  </si>
  <si>
    <t>G/530203/1MA101</t>
  </si>
  <si>
    <t>G/530203/1DA101</t>
  </si>
  <si>
    <t>530204 Edición, Impresión, Reproducción, Public</t>
  </si>
  <si>
    <t>G/530204/1IA101</t>
  </si>
  <si>
    <t>G/530204/1NA101</t>
  </si>
  <si>
    <t>G/530204/1AA101</t>
  </si>
  <si>
    <t>ZA01A005</t>
  </si>
  <si>
    <t>DM de Catastro</t>
  </si>
  <si>
    <t>G/530204/1FA101</t>
  </si>
  <si>
    <t>G/530204/1QA101</t>
  </si>
  <si>
    <t>G/530204/1DA101</t>
  </si>
  <si>
    <t>G/530204/1BA101</t>
  </si>
  <si>
    <t>G/530204/1PA101</t>
  </si>
  <si>
    <t>G/530204/1MA101</t>
  </si>
  <si>
    <t>G/530204/1GA101</t>
  </si>
  <si>
    <t>G/530204/1KA101</t>
  </si>
  <si>
    <t>G/530204/1CA101</t>
  </si>
  <si>
    <t>ZA01A003</t>
  </si>
  <si>
    <t>DM Financiera</t>
  </si>
  <si>
    <t>530205 Espectáculos Culturales y Sociales</t>
  </si>
  <si>
    <t>G/530205/1GA101</t>
  </si>
  <si>
    <t>G/530205/1IA101</t>
  </si>
  <si>
    <t>G/530205/1BA101</t>
  </si>
  <si>
    <t>530207 Difusión, Información y Publicidad</t>
  </si>
  <si>
    <t>G/530207/1BA101</t>
  </si>
  <si>
    <t>G/530207/1MA101</t>
  </si>
  <si>
    <t>G/530207/1FA101</t>
  </si>
  <si>
    <t>G/530207/1AA101</t>
  </si>
  <si>
    <t>G/530207/1IA101</t>
  </si>
  <si>
    <t>530208 Servicio de Seguridad y Vigilancia</t>
  </si>
  <si>
    <t>G/530208/1KA101</t>
  </si>
  <si>
    <t>G/530208/1PA101</t>
  </si>
  <si>
    <t>G/530208/1FA101</t>
  </si>
  <si>
    <t>G/530208/1IA101</t>
  </si>
  <si>
    <t>G/530208/1AA101</t>
  </si>
  <si>
    <t>G/530208/1BA101</t>
  </si>
  <si>
    <t>G/530208/1MA101</t>
  </si>
  <si>
    <t>530209 Servicios de Aseo, Lavado de Vestimenta</t>
  </si>
  <si>
    <t>G/530209/1FA101</t>
  </si>
  <si>
    <t>G/530209/1AA101</t>
  </si>
  <si>
    <t>G/530209/1BA101</t>
  </si>
  <si>
    <t>G/530209/1IA101</t>
  </si>
  <si>
    <t>G/530209/1KA101</t>
  </si>
  <si>
    <t>G/530209/1MA101</t>
  </si>
  <si>
    <t>G/530209/1NA101</t>
  </si>
  <si>
    <t>G/530209/1PA101</t>
  </si>
  <si>
    <t>530225 Servicio de Incineración de Documentos Públ</t>
  </si>
  <si>
    <t>G/530225/1MA101</t>
  </si>
  <si>
    <t>ZA01A006</t>
  </si>
  <si>
    <t>DM de Gestión documental y Archivo</t>
  </si>
  <si>
    <t>530230 Digitalización de Información y Datos Pú</t>
  </si>
  <si>
    <t>G/530230/1AA101</t>
  </si>
  <si>
    <t>G/530230/1CA101</t>
  </si>
  <si>
    <t>G/530230/1QA101</t>
  </si>
  <si>
    <t>G/530230/1DA101</t>
  </si>
  <si>
    <t>530235 Servicio de Alimentación</t>
  </si>
  <si>
    <t>G/530235/1CA101</t>
  </si>
  <si>
    <t>G/530235/1AA101</t>
  </si>
  <si>
    <t>G/530235/1KA101</t>
  </si>
  <si>
    <t>G/530235/1IA101</t>
  </si>
  <si>
    <t>530241 Servicio de Monitoreo de la Información en</t>
  </si>
  <si>
    <t>G/530241/1DA101</t>
  </si>
  <si>
    <t>530243 Garantía extendida de bienes</t>
  </si>
  <si>
    <t>G/530243/1FA101</t>
  </si>
  <si>
    <t>530246 Servicios de Identificación, Marcación, Aut</t>
  </si>
  <si>
    <t>G/530246/1FA101</t>
  </si>
  <si>
    <t>530249 Eventos Públicos Promocionales</t>
  </si>
  <si>
    <t>G/530249/1AA101</t>
  </si>
  <si>
    <t>G/530249/1KA101</t>
  </si>
  <si>
    <t>530301 Pasajes al Interior</t>
  </si>
  <si>
    <t>G/530301/1AA101</t>
  </si>
  <si>
    <t>G/530301/1MA101</t>
  </si>
  <si>
    <t>G/530301/1PA101</t>
  </si>
  <si>
    <t>530302 Pasajes al Exterior</t>
  </si>
  <si>
    <t>G/530302/1CA101</t>
  </si>
  <si>
    <t>G/530302/1PA101</t>
  </si>
  <si>
    <t>530303 Viáticos y Subsistencias en el Interior</t>
  </si>
  <si>
    <t>G/530303/1PA101</t>
  </si>
  <si>
    <t>G/530303/1AA101</t>
  </si>
  <si>
    <t>530304 Viáticos y Subsistencias en el Exterior</t>
  </si>
  <si>
    <t>G/530304/1AA101</t>
  </si>
  <si>
    <t>G/530304/1PA101</t>
  </si>
  <si>
    <t>530402 Edificios, Locales, Residencias y Cablea</t>
  </si>
  <si>
    <t>G/530402/1AA101</t>
  </si>
  <si>
    <t>G/530402/1MA101</t>
  </si>
  <si>
    <t>G/530402/1FA101</t>
  </si>
  <si>
    <t>G/530402/1DA101</t>
  </si>
  <si>
    <t>G/530402/1IA101</t>
  </si>
  <si>
    <t>G/530402/1GA101</t>
  </si>
  <si>
    <t>G/530402/1BA101</t>
  </si>
  <si>
    <t>G/530402/1PA101</t>
  </si>
  <si>
    <t>G/530402/1NA101</t>
  </si>
  <si>
    <t>G/530402/1KA101</t>
  </si>
  <si>
    <t>530403 Mobiliarios (Instalación, Mantenimiento</t>
  </si>
  <si>
    <t>G/530403/1IA101</t>
  </si>
  <si>
    <t>G/530403/1KA101</t>
  </si>
  <si>
    <t>G/530403/1FA101</t>
  </si>
  <si>
    <t>G/530403/1AA101</t>
  </si>
  <si>
    <t>G/530403/1MA101</t>
  </si>
  <si>
    <t>G/530403/1PA101</t>
  </si>
  <si>
    <t>G/530403/1NA101</t>
  </si>
  <si>
    <t>530404 Maquinarias y Equipos (Instalación, Mant</t>
  </si>
  <si>
    <t>G/530404/1FA101</t>
  </si>
  <si>
    <t>G/530404/1PA101</t>
  </si>
  <si>
    <t>G/530404/1IA101</t>
  </si>
  <si>
    <t>G/530404/1NA101</t>
  </si>
  <si>
    <t>G/530404/1MA101</t>
  </si>
  <si>
    <t>G/530404/1DA101</t>
  </si>
  <si>
    <t>G/530404/1QA101</t>
  </si>
  <si>
    <t>G/530404/1AA101</t>
  </si>
  <si>
    <t>G/530404/1BA101</t>
  </si>
  <si>
    <t>530405 Vehículos (Servicio para Mantenimiento y Re</t>
  </si>
  <si>
    <t>G/530405/1BA101</t>
  </si>
  <si>
    <t>G/530405/1FA101</t>
  </si>
  <si>
    <t>G/530405/1IA101</t>
  </si>
  <si>
    <t>G/530405/1MA101</t>
  </si>
  <si>
    <t>G/530405/1QA101</t>
  </si>
  <si>
    <t>G/530405/1AA101</t>
  </si>
  <si>
    <t>G/530405/1PA101</t>
  </si>
  <si>
    <t>530406 Herramientas (Mantenimiento y Reparación)</t>
  </si>
  <si>
    <t>G/530406/1QA101</t>
  </si>
  <si>
    <t>530418 Mantenimiento de Áreas Verdes y Arreglo de</t>
  </si>
  <si>
    <t>G/530418/1IA101</t>
  </si>
  <si>
    <t>G/530418/1PA101</t>
  </si>
  <si>
    <t>G/530418/1KA101</t>
  </si>
  <si>
    <t>530419 Bienes Deportivos (Instalación, Mantenimien</t>
  </si>
  <si>
    <t>G/530419/1IA101</t>
  </si>
  <si>
    <t>530502 Edificios, Locales y Residencias, Parque</t>
  </si>
  <si>
    <t>G/530502/1BA101</t>
  </si>
  <si>
    <t>G/530502/1PA101</t>
  </si>
  <si>
    <t>G/530502/1FA101</t>
  </si>
  <si>
    <t>G/530502/1KA101</t>
  </si>
  <si>
    <t>ZA01A008</t>
  </si>
  <si>
    <t>DM de Gestión de Bienes Inmuebles</t>
  </si>
  <si>
    <t>G/530502/1AA101</t>
  </si>
  <si>
    <t>530503 Mobiliario (Arrendamiento)</t>
  </si>
  <si>
    <t>G/530503/1AA101</t>
  </si>
  <si>
    <t>530504 Maquinarias y Equipos (Arrendamientos)</t>
  </si>
  <si>
    <t>G/530504/1AA101</t>
  </si>
  <si>
    <t>530505 Vehículos (Arrendamiento)</t>
  </si>
  <si>
    <t>G/530505/1AA101</t>
  </si>
  <si>
    <t>G/530505/1FA101</t>
  </si>
  <si>
    <t>G/530505/1DA101</t>
  </si>
  <si>
    <t>G/530505/1MA101</t>
  </si>
  <si>
    <t>G/530505/1BA101</t>
  </si>
  <si>
    <t>530601 Consultoría, Asesoría e Investigación Es</t>
  </si>
  <si>
    <t>G/530601/1AA101</t>
  </si>
  <si>
    <t>530602 Servicio de Auditoría</t>
  </si>
  <si>
    <t>G/530602/1AA101</t>
  </si>
  <si>
    <t>G/530602/1DA101</t>
  </si>
  <si>
    <t>530606 Honorarios por Contratos Civiles de Servici</t>
  </si>
  <si>
    <t>G/530606/1AA101</t>
  </si>
  <si>
    <t>530609 Investigaciones Profesionales y Análisis</t>
  </si>
  <si>
    <t>G/530609/1DA101</t>
  </si>
  <si>
    <t>530612 Capacitación a Servidores Publicos</t>
  </si>
  <si>
    <t>G/530612/1AA101</t>
  </si>
  <si>
    <t>530701 Desarrollo, Actualización, Asistencia Técni</t>
  </si>
  <si>
    <t>G/530701/1FA101</t>
  </si>
  <si>
    <t>G/530701/1IA101</t>
  </si>
  <si>
    <t>530702 Arrendamiento y Licencias de Uso de Paquete</t>
  </si>
  <si>
    <t>G/530702/1AA101</t>
  </si>
  <si>
    <t>530702 Arrendamiento y Licencias de Uso de Paqu</t>
  </si>
  <si>
    <t>G/530702/1BA101</t>
  </si>
  <si>
    <t>G/530702/1FA101</t>
  </si>
  <si>
    <t>530704 Mantenimiento y Reparación de Equipos y Sis</t>
  </si>
  <si>
    <t>G/530704/1QA101</t>
  </si>
  <si>
    <t>G/530704/1AA101</t>
  </si>
  <si>
    <t>G/530704/1IA101</t>
  </si>
  <si>
    <t>G/530704/1DA101</t>
  </si>
  <si>
    <t>G/530704/1FA101</t>
  </si>
  <si>
    <t>G/530704/1BA101</t>
  </si>
  <si>
    <t>G/530704/1PA101</t>
  </si>
  <si>
    <t>G/530704/1MA101</t>
  </si>
  <si>
    <t>ZA01A004</t>
  </si>
  <si>
    <t>DM Tributaria</t>
  </si>
  <si>
    <t>530801 Alimentos y Bebidas</t>
  </si>
  <si>
    <t>G/530801/1AA101</t>
  </si>
  <si>
    <t>G/530801/1CA101</t>
  </si>
  <si>
    <t>G/530801/1FA101</t>
  </si>
  <si>
    <t>G/530801/1KA101</t>
  </si>
  <si>
    <t>G/530801/1BA101</t>
  </si>
  <si>
    <t>G/530801/1NA101</t>
  </si>
  <si>
    <t>G/530801/1PA101</t>
  </si>
  <si>
    <t>G/530801/1IA101</t>
  </si>
  <si>
    <t>530802 Vestuario, Lencería, Prendas de Protecc</t>
  </si>
  <si>
    <t>G/530802/1AA101</t>
  </si>
  <si>
    <t>G/530802/1PA101</t>
  </si>
  <si>
    <t>G/530802/1BA101</t>
  </si>
  <si>
    <t>G/530802/1IA101</t>
  </si>
  <si>
    <t>G/530802/1FA101</t>
  </si>
  <si>
    <t>530803 Combustibles y Lubricantes</t>
  </si>
  <si>
    <t>G/530803/1FA101</t>
  </si>
  <si>
    <t>G/530803/1MA101</t>
  </si>
  <si>
    <t>G/530803/1PA101</t>
  </si>
  <si>
    <t>G/530803/1IA101</t>
  </si>
  <si>
    <t>G/530803/1NA101</t>
  </si>
  <si>
    <t>G/530803/1AA101</t>
  </si>
  <si>
    <t>G/530803/1QA101</t>
  </si>
  <si>
    <t>G/530803/1BA101</t>
  </si>
  <si>
    <t>530804 Materiales de Oficina</t>
  </si>
  <si>
    <t>G/530804/1QA101</t>
  </si>
  <si>
    <t>G/530804/1AA101</t>
  </si>
  <si>
    <t>G/530804/1FA101</t>
  </si>
  <si>
    <t>G/530804/1NA101</t>
  </si>
  <si>
    <t>G/530804/1MA101</t>
  </si>
  <si>
    <t>G/530804/1IA101</t>
  </si>
  <si>
    <t>G/530804/1CA101</t>
  </si>
  <si>
    <t>G/530804/1BA101</t>
  </si>
  <si>
    <t>G/530804/1KA101</t>
  </si>
  <si>
    <t>G/530804/1PA101</t>
  </si>
  <si>
    <t>530805 Materiales de Aseo</t>
  </si>
  <si>
    <t>G/530805/1FA101</t>
  </si>
  <si>
    <t>G/530805/1QA101</t>
  </si>
  <si>
    <t>G/530805/1MA101</t>
  </si>
  <si>
    <t>G/530805/1AA101</t>
  </si>
  <si>
    <t>G/530805/1IA101</t>
  </si>
  <si>
    <t>G/530805/1PA101</t>
  </si>
  <si>
    <t>G/530805/1DA101</t>
  </si>
  <si>
    <t>G/530805/1BA101</t>
  </si>
  <si>
    <t>G/530805/1NA101</t>
  </si>
  <si>
    <t>530807 Materiales de Impresión, Fotografía, Rep</t>
  </si>
  <si>
    <t>G/530807/1FA101</t>
  </si>
  <si>
    <t>G/530807/1QA101</t>
  </si>
  <si>
    <t>G/530807/1MA101</t>
  </si>
  <si>
    <t>G/530807/1DA101</t>
  </si>
  <si>
    <t>G/530807/1IA101</t>
  </si>
  <si>
    <t>G/530807/1AA101</t>
  </si>
  <si>
    <t>G/530807/1NA101</t>
  </si>
  <si>
    <t>G/530807/1BA101</t>
  </si>
  <si>
    <t>G/530807/1PA101</t>
  </si>
  <si>
    <t>530808 Instrumental Médico Quirúrgico</t>
  </si>
  <si>
    <t>G/530808/1AA101</t>
  </si>
  <si>
    <t>530809 Medicamentos</t>
  </si>
  <si>
    <t>G/530809/1NA101</t>
  </si>
  <si>
    <t>G/530809/1AA101</t>
  </si>
  <si>
    <t>G/530809/1FA101</t>
  </si>
  <si>
    <t>530810 Dispositivos Médicos para Laboratorio Cl</t>
  </si>
  <si>
    <t>G/530810/1DA101</t>
  </si>
  <si>
    <t>G/530810/1FA101</t>
  </si>
  <si>
    <t>530811 Insumos, Materiales y Suministros para Cons</t>
  </si>
  <si>
    <t>G/530811/1IA101</t>
  </si>
  <si>
    <t>G/530811/1PA101</t>
  </si>
  <si>
    <t>G/530811/1FA101</t>
  </si>
  <si>
    <t>G/530811/1KA101</t>
  </si>
  <si>
    <t>G/530811/1AA101</t>
  </si>
  <si>
    <t>G/530811/1MA101</t>
  </si>
  <si>
    <t>G/530811/1BA101</t>
  </si>
  <si>
    <t>G/530811/1QA101</t>
  </si>
  <si>
    <t>G/530811/1NA101</t>
  </si>
  <si>
    <t>530812 Materiales Didácticos</t>
  </si>
  <si>
    <t>G/530812/1PA101</t>
  </si>
  <si>
    <t>G/530812/1IA101</t>
  </si>
  <si>
    <t>530813 Repuestos y Accesorios</t>
  </si>
  <si>
    <t>G/530813/1DA101</t>
  </si>
  <si>
    <t>G/530813/1FA101</t>
  </si>
  <si>
    <t>G/530813/1PA101</t>
  </si>
  <si>
    <t>G/530813/1IA101</t>
  </si>
  <si>
    <t>G/530813/1BA101</t>
  </si>
  <si>
    <t>G/530813/1GA101</t>
  </si>
  <si>
    <t>G/530813/1MA101</t>
  </si>
  <si>
    <t>G/530813/1AA101</t>
  </si>
  <si>
    <t>530814 Suministros para Actividades Agropecuarias,</t>
  </si>
  <si>
    <t>G/530814/1PA101</t>
  </si>
  <si>
    <t>530819 Accesorios e Insumos Químicos y Orgánico</t>
  </si>
  <si>
    <t>G/530819/1IA101</t>
  </si>
  <si>
    <t>G/530819/1FA101</t>
  </si>
  <si>
    <t>530820 Menaje y Accesorios Descartables</t>
  </si>
  <si>
    <t>G/530820/1KA101</t>
  </si>
  <si>
    <t>G/530820/1MA101</t>
  </si>
  <si>
    <t>G/530820/1PA101</t>
  </si>
  <si>
    <t>G/530820/1BA101</t>
  </si>
  <si>
    <t>530822 Condecoraciones</t>
  </si>
  <si>
    <t>G/530822/1AA101</t>
  </si>
  <si>
    <t>530823 Egresos para Sanidad Agropecuaria</t>
  </si>
  <si>
    <t>G/530823/1AA101</t>
  </si>
  <si>
    <t>530826 Dispositivos Médicos de Uso General</t>
  </si>
  <si>
    <t>G/530826/1BA101</t>
  </si>
  <si>
    <t>G/530826/1AA101</t>
  </si>
  <si>
    <t>G/530826/1PA101</t>
  </si>
  <si>
    <t>G/530826/1IA101</t>
  </si>
  <si>
    <t>530827 Uniformes Deportivos</t>
  </si>
  <si>
    <t>G/530827/1IA101</t>
  </si>
  <si>
    <t>530832 Dispositivos Médicos para Odontología</t>
  </si>
  <si>
    <t>G/530832/1PA101</t>
  </si>
  <si>
    <t>531403 Mobiliario</t>
  </si>
  <si>
    <t>G/531403/1IA101</t>
  </si>
  <si>
    <t>G/531403/1MA101</t>
  </si>
  <si>
    <t>G/531403/1AA101</t>
  </si>
  <si>
    <t>531404 Maquinarias y Equipos</t>
  </si>
  <si>
    <t>G/531404/1IA101</t>
  </si>
  <si>
    <t>G/531404/1PA101</t>
  </si>
  <si>
    <t>G/531404/1FA101</t>
  </si>
  <si>
    <t>G/531404/1BA101</t>
  </si>
  <si>
    <t>G/531404/1MA101</t>
  </si>
  <si>
    <t>531406 Herramientas y Equipos menores</t>
  </si>
  <si>
    <t>G/531406/1MA101</t>
  </si>
  <si>
    <t>G/531406/1FA101</t>
  </si>
  <si>
    <t>531407 Equipos, Sistemas y Paquetes Informáticos</t>
  </si>
  <si>
    <t>G/531407/1FA101</t>
  </si>
  <si>
    <t>G/531407/1QA101</t>
  </si>
  <si>
    <t>G/531407/1IA101</t>
  </si>
  <si>
    <t>G/531407/1BA101</t>
  </si>
  <si>
    <t>531409 Libros y Colecciones</t>
  </si>
  <si>
    <t>G/531409/1IA101</t>
  </si>
  <si>
    <t>531411 Partes y Repuestos</t>
  </si>
  <si>
    <t>G/531411/1FA101</t>
  </si>
  <si>
    <t>56</t>
  </si>
  <si>
    <t>56 GASTOS FINANCIEROS</t>
  </si>
  <si>
    <t>560201 Sector Público Financiero</t>
  </si>
  <si>
    <t>G/560201/1AA101</t>
  </si>
  <si>
    <t>560301 A Organismos Multilaterales</t>
  </si>
  <si>
    <t>G/560301/1AA101</t>
  </si>
  <si>
    <t>560304 Al Sector Privado No Financiero</t>
  </si>
  <si>
    <t>G/560304/1AA101</t>
  </si>
  <si>
    <t>57</t>
  </si>
  <si>
    <t>57 OTROS GASTOS CORRIENTES</t>
  </si>
  <si>
    <t>570102 Tasas Generales, Impuestos, Contribuciones,</t>
  </si>
  <si>
    <t>G/570102/1MA101</t>
  </si>
  <si>
    <t>G/570102/1FA101</t>
  </si>
  <si>
    <t>G/570102/1AA101</t>
  </si>
  <si>
    <t>G/570102/1IA101</t>
  </si>
  <si>
    <t>G/570102/1KA101</t>
  </si>
  <si>
    <t>G/570102/1QA101</t>
  </si>
  <si>
    <t>G/570102/1PA101</t>
  </si>
  <si>
    <t>G/570102/1BA101</t>
  </si>
  <si>
    <t>570201 Seguros</t>
  </si>
  <si>
    <t>G/570201/1AA101</t>
  </si>
  <si>
    <t>G/570201/1NA101</t>
  </si>
  <si>
    <t>570203 Comisiones Bancarias</t>
  </si>
  <si>
    <t>G/570203/1FA101</t>
  </si>
  <si>
    <t>G/570203/1BA101</t>
  </si>
  <si>
    <t>G/570203/1QA101</t>
  </si>
  <si>
    <t>G/570203/1AA101</t>
  </si>
  <si>
    <t>G/570203/1PA101</t>
  </si>
  <si>
    <t>G/570203/1KA101</t>
  </si>
  <si>
    <t>G/570203/1MA101</t>
  </si>
  <si>
    <t>570206 Costas Judiciales, Trámites Notariales, Leg</t>
  </si>
  <si>
    <t>G/570206/1KA101</t>
  </si>
  <si>
    <t>G/570206/1AA101</t>
  </si>
  <si>
    <t>G/570206/1FA101</t>
  </si>
  <si>
    <t>ZA01C010</t>
  </si>
  <si>
    <t>Procuraduría Metropolitana</t>
  </si>
  <si>
    <t>G/570206/1CA101</t>
  </si>
  <si>
    <t>G/570206/1QA101</t>
  </si>
  <si>
    <t>G/570206/1NA101</t>
  </si>
  <si>
    <t>570215 Indemnizaciones por Sentencias Judiciales</t>
  </si>
  <si>
    <t>G/570215/1AA101</t>
  </si>
  <si>
    <t>570219 Devoluciones</t>
  </si>
  <si>
    <t>G/570219/1AA101</t>
  </si>
  <si>
    <t>58</t>
  </si>
  <si>
    <t>58 TRANSFERENCIAS Y DONACIONES CORRIENTES</t>
  </si>
  <si>
    <t>580101 A Entidades del Presupuesto General del</t>
  </si>
  <si>
    <t>G/580101/1AA101</t>
  </si>
  <si>
    <t>580102 A Entidades Descentralizadas y Autónomas</t>
  </si>
  <si>
    <t>G/580102/1AA101</t>
  </si>
  <si>
    <t>580103 A Empresas Públicas</t>
  </si>
  <si>
    <t>G/580103/1AA101</t>
  </si>
  <si>
    <t>580204 Al Sector Privado no Financiero</t>
  </si>
  <si>
    <t>G/580204/1AA101</t>
  </si>
  <si>
    <t>580209 A Jubilados Patronales</t>
  </si>
  <si>
    <t>G/580209/1AA101</t>
  </si>
  <si>
    <t>ZA01C050</t>
  </si>
  <si>
    <t>QUITO HONESTO</t>
  </si>
  <si>
    <t>A102</t>
  </si>
  <si>
    <t>TRANSFERENCIA</t>
  </si>
  <si>
    <t>GI00A10200005T</t>
  </si>
  <si>
    <t>GI00A10200005T QUITO HONESTO</t>
  </si>
  <si>
    <t>G/580102/1CA102</t>
  </si>
  <si>
    <t>G/580103/1CA102</t>
  </si>
  <si>
    <t>ZA01P050</t>
  </si>
  <si>
    <t>EPM HABITAT Y VIVENDA</t>
  </si>
  <si>
    <t>GI00A10200016T</t>
  </si>
  <si>
    <t>GI00A10200016T EPM HABITAT Y VIVENDA</t>
  </si>
  <si>
    <t>G/580103/1PA102</t>
  </si>
  <si>
    <t>ZA01H020</t>
  </si>
  <si>
    <t>EPM SERVICIOS AEROPORTUARIOS Y GESTION D</t>
  </si>
  <si>
    <t>GI00A10200017T</t>
  </si>
  <si>
    <t>GI00A10200017T SERVICIOS AEROPORTUARIOS Y GESTION DE ZO</t>
  </si>
  <si>
    <t>G/580103/1HA102</t>
  </si>
  <si>
    <t>71</t>
  </si>
  <si>
    <t>F102</t>
  </si>
  <si>
    <t>PARTICIPACION CIUDADANA</t>
  </si>
  <si>
    <t>GI00F10200002D</t>
  </si>
  <si>
    <t>GI00F10200002D SISTEMA DE PARTICIPACION CIUDADANA</t>
  </si>
  <si>
    <t>71 GASTOS EN PERSONAL PARA INVERSIÓN</t>
  </si>
  <si>
    <t>710203 Decimotercer Sueldo</t>
  </si>
  <si>
    <t>G/710203/1FF102</t>
  </si>
  <si>
    <t>710204 Decimocuarto Sueldo</t>
  </si>
  <si>
    <t>G/710204/1FF102</t>
  </si>
  <si>
    <t>710510 Servicios Personales por Contrato</t>
  </si>
  <si>
    <t>G/710510/1FF102</t>
  </si>
  <si>
    <t>710601 Aporte Patronal</t>
  </si>
  <si>
    <t>G/710601/1FF102</t>
  </si>
  <si>
    <t>710602 Fondo de Reserva</t>
  </si>
  <si>
    <t>G/710602/1FF102</t>
  </si>
  <si>
    <t>GI00F10200005D</t>
  </si>
  <si>
    <t>GI00F10200005D CASAS SOMOS QUITO</t>
  </si>
  <si>
    <t>710507 Honorarios</t>
  </si>
  <si>
    <t>G/710507/1FF102</t>
  </si>
  <si>
    <t>G101</t>
  </si>
  <si>
    <t>ARTE, CULTURA Y PATRIMONIO</t>
  </si>
  <si>
    <t>GI00G10100001D</t>
  </si>
  <si>
    <t>GI00G10100001D AGENDA CULTURAL METROPOLITANA</t>
  </si>
  <si>
    <t>G/710203/1GG101</t>
  </si>
  <si>
    <t>G/710204/1GG101</t>
  </si>
  <si>
    <t>G/710507/1GG101</t>
  </si>
  <si>
    <t>710509 Horas Extraordinarias y Suplementarias</t>
  </si>
  <si>
    <t>G/710509/1GG101</t>
  </si>
  <si>
    <t>G/710510/1GG101</t>
  </si>
  <si>
    <t>710512 Subrogación</t>
  </si>
  <si>
    <t>G/710512/1GG101</t>
  </si>
  <si>
    <t>G/710601/1GG101</t>
  </si>
  <si>
    <t>G/710602/1GG101</t>
  </si>
  <si>
    <t>GI00G10100003D</t>
  </si>
  <si>
    <t>GI00G10100003D SERVICIOS CULTURALES COMUNITARIOS Y DEPO</t>
  </si>
  <si>
    <t>710513 Encargos</t>
  </si>
  <si>
    <t>G/710513/1GG101</t>
  </si>
  <si>
    <t>I101</t>
  </si>
  <si>
    <t>PRACTICAS SALUDABLES</t>
  </si>
  <si>
    <t>GI00I10100003D</t>
  </si>
  <si>
    <t>GI00I10100003D QUITO SI LA MUEVE</t>
  </si>
  <si>
    <t>G/710203/1II101</t>
  </si>
  <si>
    <t>G/710204/1II101</t>
  </si>
  <si>
    <t>G/710510/1II101</t>
  </si>
  <si>
    <t>G/710601/1II101</t>
  </si>
  <si>
    <t>G/710602/1II101</t>
  </si>
  <si>
    <t>I102</t>
  </si>
  <si>
    <t>SISTEMA EDUCATIVO MUNICIPAL</t>
  </si>
  <si>
    <t>GI00I10200008D</t>
  </si>
  <si>
    <t>GI00I10200008D AMPLIACIÓN DE LA OFERTA EDUCATIVA VIRTUA</t>
  </si>
  <si>
    <t>G/710203/1II102</t>
  </si>
  <si>
    <t>G/710204/1II102</t>
  </si>
  <si>
    <t>G/710507/1II102</t>
  </si>
  <si>
    <t>G/710510/1II102</t>
  </si>
  <si>
    <t>G/710601/1II102</t>
  </si>
  <si>
    <t>G/710602/1II102</t>
  </si>
  <si>
    <t>J103</t>
  </si>
  <si>
    <t>PROMOCIÓN Y PROTECCIÓN DE DERECHOS</t>
  </si>
  <si>
    <t>GI00J10300001D</t>
  </si>
  <si>
    <t>GI00J10300001D GARANTÍA DE PROTECCIÓN DE DERECHOS</t>
  </si>
  <si>
    <t>G/710203/1JJ103</t>
  </si>
  <si>
    <t>G/710204/1JJ103</t>
  </si>
  <si>
    <t>G/710510/1JJ103</t>
  </si>
  <si>
    <t>G/710601/1JJ103</t>
  </si>
  <si>
    <t>G/710602/1JJ103</t>
  </si>
  <si>
    <t>GI00J10300002D</t>
  </si>
  <si>
    <t>GI00J10300002D PROMOCIÓN DE DERECHOS DE GRUPOS DE ATENC</t>
  </si>
  <si>
    <t>G/710203/1FJ103</t>
  </si>
  <si>
    <t>G/710204/1FJ103</t>
  </si>
  <si>
    <t>G/710507/1JJ103</t>
  </si>
  <si>
    <t>G/710510/1FJ103</t>
  </si>
  <si>
    <t>G/710512/1FJ103</t>
  </si>
  <si>
    <t>G/710601/1FJ103</t>
  </si>
  <si>
    <t>G/710602/1FJ103</t>
  </si>
  <si>
    <t>L101</t>
  </si>
  <si>
    <t>GESTION INSTITUCIONAL EFICIENTE E INNOVADORA</t>
  </si>
  <si>
    <t>GI00L10100001D</t>
  </si>
  <si>
    <t>GI00L10100001D GESTION CATASTRAL</t>
  </si>
  <si>
    <t>G/710203/1AL101</t>
  </si>
  <si>
    <t>G/710204/1AL101</t>
  </si>
  <si>
    <t>G/710510/1AL101</t>
  </si>
  <si>
    <t>G/710601/1AL101</t>
  </si>
  <si>
    <t>G/710602/1AL101</t>
  </si>
  <si>
    <t>GI00L10100010D</t>
  </si>
  <si>
    <t>GI00L10100010D CONTROL DE CUMPLIMIENTO DE LA NORMATIVA</t>
  </si>
  <si>
    <t>G/710203/1BL101</t>
  </si>
  <si>
    <t>G/710204/1BL101</t>
  </si>
  <si>
    <t>710502 Remuneración Unificada para Pasantes</t>
  </si>
  <si>
    <t>G/710502/1BL101</t>
  </si>
  <si>
    <t>G/710509/1BL101</t>
  </si>
  <si>
    <t>G/710510/1BL101</t>
  </si>
  <si>
    <t>G/710512/1BL101</t>
  </si>
  <si>
    <t>G/710601/1BL101</t>
  </si>
  <si>
    <t>G/710602/1BL101</t>
  </si>
  <si>
    <t>GI00L10100036D</t>
  </si>
  <si>
    <t>GI00L10100036D MODERNIZACIÓN DE LA GESTIÓN DE BIENES IN</t>
  </si>
  <si>
    <t>M103</t>
  </si>
  <si>
    <t>SALUD AL DIA</t>
  </si>
  <si>
    <t>GI00M10300005D</t>
  </si>
  <si>
    <t>GI00M10300005D MANEJO DE FAUNA URBANA EN EL DMQ</t>
  </si>
  <si>
    <t>G/710203/1FM103</t>
  </si>
  <si>
    <t>G/710203/1MM103</t>
  </si>
  <si>
    <t>G/710204/1FM103</t>
  </si>
  <si>
    <t>G/710204/1MM103</t>
  </si>
  <si>
    <t>G/710507/1MM103</t>
  </si>
  <si>
    <t>G/710507/1FM103</t>
  </si>
  <si>
    <t>G/710510/1MM103</t>
  </si>
  <si>
    <t>G/710510/1FM103</t>
  </si>
  <si>
    <t>G/710601/1FM103</t>
  </si>
  <si>
    <t>G/710601/1MM103</t>
  </si>
  <si>
    <t>G/710602/1FM103</t>
  </si>
  <si>
    <t>G/710602/1MM103</t>
  </si>
  <si>
    <t>GI00M10300006D</t>
  </si>
  <si>
    <t>GI00M10300006D ATENCIÓN Y PREVENCIÓN DE LA ENFERMEDAD</t>
  </si>
  <si>
    <t>710106 Salarios Unificados</t>
  </si>
  <si>
    <t>G/710106/1MM103</t>
  </si>
  <si>
    <t>710304 Compensación por Tra</t>
  </si>
  <si>
    <t>G/710304/1MM103</t>
  </si>
  <si>
    <t>710306 Alimentación</t>
  </si>
  <si>
    <t>G/710306/1MM103</t>
  </si>
  <si>
    <t>710401 Cargas Familiares</t>
  </si>
  <si>
    <t>G/710401/1MM103</t>
  </si>
  <si>
    <t>710704 Compensación por Desahucio</t>
  </si>
  <si>
    <t>G/710704/1MM103</t>
  </si>
  <si>
    <t>710707 Compensación por Vacaciones no Gozadas por</t>
  </si>
  <si>
    <t>G/710707/1MM103</t>
  </si>
  <si>
    <t>GI00M10300007D</t>
  </si>
  <si>
    <t>GI00M10300007D PREVENCION INTEGRAL DE ADICCIONES</t>
  </si>
  <si>
    <t>GI00M10300009D</t>
  </si>
  <si>
    <t>GI00M10300009D PREVENCIÓN DE LA MAL NUTRICIÓN EN EL DMQ</t>
  </si>
  <si>
    <t>P303</t>
  </si>
  <si>
    <t>PROTEGER EL PATRIMONIO HISTORICO Y CULTURAL DEL DM</t>
  </si>
  <si>
    <t>GI00P30300005D</t>
  </si>
  <si>
    <t>GI00P30300005D SISTEMA DE INFORMACION DEL PATRIMONIO CU</t>
  </si>
  <si>
    <t>G/710203/3PP303</t>
  </si>
  <si>
    <t>G/710204/3PP303</t>
  </si>
  <si>
    <t>G/710507/3PP303</t>
  </si>
  <si>
    <t>G/710510/3PP303</t>
  </si>
  <si>
    <t>G/710601/3PP303</t>
  </si>
  <si>
    <t>G/710602/3PP303</t>
  </si>
  <si>
    <t>G/710707/3PP303</t>
  </si>
  <si>
    <t>GI00P30300008D</t>
  </si>
  <si>
    <t>GI00P30300008D CONSERVACIÓN DEL ESPACIO PÚBLICO EN EL C</t>
  </si>
  <si>
    <t>P306</t>
  </si>
  <si>
    <t>REGULACIÓN DEL USO Y GESTIÓN DEL SUELO</t>
  </si>
  <si>
    <t>GI00P30600001D</t>
  </si>
  <si>
    <t>GI00P30600001D ACTUALIZACIÓN DE LOS INSTRUMENTOS DE PLA</t>
  </si>
  <si>
    <t>G/710203/3PP306</t>
  </si>
  <si>
    <t>G/710204/3PP306</t>
  </si>
  <si>
    <t>G/710507/3PP306</t>
  </si>
  <si>
    <t>G/710510/3PP306</t>
  </si>
  <si>
    <t>G/710512/3PP306</t>
  </si>
  <si>
    <t>G/710601/3PP306</t>
  </si>
  <si>
    <t>G/710602/3PP306</t>
  </si>
  <si>
    <t>GI00P30600004D</t>
  </si>
  <si>
    <t>GI00P30600004D REGULA TU BARRIO</t>
  </si>
  <si>
    <t>G/710203/3FP306</t>
  </si>
  <si>
    <t>G/710204/3FP306</t>
  </si>
  <si>
    <t>G/710507/3FP306</t>
  </si>
  <si>
    <t>G/710510/3FP306</t>
  </si>
  <si>
    <t>G/710601/3FP306</t>
  </si>
  <si>
    <t>G/710602/3FP306</t>
  </si>
  <si>
    <t>73</t>
  </si>
  <si>
    <t>73 BIENES Y SERVICIOS PARA INVERSIÓN</t>
  </si>
  <si>
    <t>730106 Servicio de Correo</t>
  </si>
  <si>
    <t>G/730106/1BA101</t>
  </si>
  <si>
    <t>730402 Edificios, Locales, Residencias y Cablea</t>
  </si>
  <si>
    <t>G/730402/1IA101</t>
  </si>
  <si>
    <t>D301</t>
  </si>
  <si>
    <t>CERO RESIDUOSCERO RESIDUOS</t>
  </si>
  <si>
    <t>GI00D30100004D</t>
  </si>
  <si>
    <t>GI00D30100004D IMPLEMENTACIÓN DE CENTROS DE APROVECHAMI</t>
  </si>
  <si>
    <t>730404 Maquinarias y Equipos (Instalación, Mant</t>
  </si>
  <si>
    <t>G/730404/3FD301</t>
  </si>
  <si>
    <t>730505 Vehículos (Arrendamiento)</t>
  </si>
  <si>
    <t>G/730505/3FD301</t>
  </si>
  <si>
    <t>730601 Consultoría, Asesoría e Investigación Es</t>
  </si>
  <si>
    <t>G/730601/3FD301</t>
  </si>
  <si>
    <t>730605 Estudio y Diseño de Proyectos</t>
  </si>
  <si>
    <t>G/730605/3FD301</t>
  </si>
  <si>
    <t>730606 Honorarios por Contratos Civiles de Servici</t>
  </si>
  <si>
    <t>G/730606/3FD301</t>
  </si>
  <si>
    <t>730804 Materiales de Oficina</t>
  </si>
  <si>
    <t>G/730804/3FD301</t>
  </si>
  <si>
    <t>730814 Suministros para Actividades Agropecuarias,</t>
  </si>
  <si>
    <t>G/730814/3FD301</t>
  </si>
  <si>
    <t>731406 Herramientas y equipos menores</t>
  </si>
  <si>
    <t>G/731406/3FD301</t>
  </si>
  <si>
    <t>D303</t>
  </si>
  <si>
    <t>PREVENCION, CONTROL Y REGULACION AMBIENTAL</t>
  </si>
  <si>
    <t>GI00D30300001D</t>
  </si>
  <si>
    <t>GI00D30300001D MEJORAMIENTO DE LA GESTION DE LA CALIDAD</t>
  </si>
  <si>
    <t>730701 Desarrollo, Actualización, Asistencia Té</t>
  </si>
  <si>
    <t>G/730701/3DD303</t>
  </si>
  <si>
    <t>730702 Arrendamiento y Licencias de Uso de Paquete</t>
  </si>
  <si>
    <t>G/730702/3DD303</t>
  </si>
  <si>
    <t>D305</t>
  </si>
  <si>
    <t>ÁREAS PROTEGIDAS  Y CORREDORES ECOLÓGICOS</t>
  </si>
  <si>
    <t>GI00D30500001D</t>
  </si>
  <si>
    <t>GI00D30500001D MANEJO  AMBIENTAL  DE LAS QUEBRADAS PRIO</t>
  </si>
  <si>
    <t>730204 Edición, Impresión, Reproducción, Public</t>
  </si>
  <si>
    <t>G/730204/3DD305</t>
  </si>
  <si>
    <t>730205 Espectáculos Culturales y Sociales</t>
  </si>
  <si>
    <t>G/730205/3DD305</t>
  </si>
  <si>
    <t>730236 Servicios en Plantaciones Forestales</t>
  </si>
  <si>
    <t>G/730236/3DD305</t>
  </si>
  <si>
    <t>730237 Remediación, Restauración y Descontaminació</t>
  </si>
  <si>
    <t>G/730237/3DD305</t>
  </si>
  <si>
    <t>731515 Plantas</t>
  </si>
  <si>
    <t>G/731515/3DD305</t>
  </si>
  <si>
    <t>D306</t>
  </si>
  <si>
    <t>QUITO CIUDAD LIMPIA</t>
  </si>
  <si>
    <t>GI00D30600002D</t>
  </si>
  <si>
    <t>GI00D30600002D MONITOREO DE LA CALIDAD DE LOS RECURSOS</t>
  </si>
  <si>
    <t>G/730701/3DD306</t>
  </si>
  <si>
    <t>G/730702/3DD306</t>
  </si>
  <si>
    <t>D307</t>
  </si>
  <si>
    <t>RECUPERACIÓN DE COBERTURA VEGETAL EN EL DMQ</t>
  </si>
  <si>
    <t>GI00D30700002D</t>
  </si>
  <si>
    <t>GI00D30700002D RESTAURACIÓN ECOLÓGICA PARA EL MEJORAMIE</t>
  </si>
  <si>
    <t>G/730204/3DD307</t>
  </si>
  <si>
    <t>730207 Difusión, Información y Publicidad</t>
  </si>
  <si>
    <t>G/730207/3DD307</t>
  </si>
  <si>
    <t>G/730236/3DD307</t>
  </si>
  <si>
    <t>730802 Vestuario, Lencería, Prendas de Protecci</t>
  </si>
  <si>
    <t>G/730802/3DD307</t>
  </si>
  <si>
    <t>G/731406/3DD307</t>
  </si>
  <si>
    <t>GI00F10200001D</t>
  </si>
  <si>
    <t>GI00F10200001D PRESUPUESTOS PARTICIPATIVOS</t>
  </si>
  <si>
    <t>G/730204/1FF102</t>
  </si>
  <si>
    <t>G/730205/1FF102</t>
  </si>
  <si>
    <t>730235 Servicio de Alimentación</t>
  </si>
  <si>
    <t>G/730235/1FF102</t>
  </si>
  <si>
    <t>G/730237/1FF102</t>
  </si>
  <si>
    <t>730504 Maquinarias y Equipos (Arrendamiento)</t>
  </si>
  <si>
    <t>G/730504/1FF102</t>
  </si>
  <si>
    <t>G/730505/1FF102</t>
  </si>
  <si>
    <t>730604 Fiscalización e Inspecciones Técnicas</t>
  </si>
  <si>
    <t>G/730604/1FF102</t>
  </si>
  <si>
    <t>G/730605/1FF102</t>
  </si>
  <si>
    <t>G/730606/1FF102</t>
  </si>
  <si>
    <t>730613 Capacitación para la Ciudadanía en Gener</t>
  </si>
  <si>
    <t>G/730613/1FF102</t>
  </si>
  <si>
    <t>G/730802/1FF102</t>
  </si>
  <si>
    <t>G/730804/1FF102</t>
  </si>
  <si>
    <t>730811 Insumos, Materiales y Suministros para Cons</t>
  </si>
  <si>
    <t>G/730811/1FF102</t>
  </si>
  <si>
    <t>730812 Materiales Didácticos</t>
  </si>
  <si>
    <t>G/730812/1FF102</t>
  </si>
  <si>
    <t>G/730814/1FF102</t>
  </si>
  <si>
    <t>G/730207/1FF102</t>
  </si>
  <si>
    <t>730248 Eventos Oficiales</t>
  </si>
  <si>
    <t>G/730248/1FF102</t>
  </si>
  <si>
    <t>730249 Eventos Públicos Promocionales</t>
  </si>
  <si>
    <t>G/730249/1FF102</t>
  </si>
  <si>
    <t>730807 Materiales de Impresión, Fotografía, Rep</t>
  </si>
  <si>
    <t>G/730807/1FF102</t>
  </si>
  <si>
    <t>GI00F10200003D</t>
  </si>
  <si>
    <t>GI00F10200003D "VOLUNTARIADO ""QUITO ACCION"""</t>
  </si>
  <si>
    <t>730824 Insumos, Bienes y Materiales para la Produc</t>
  </si>
  <si>
    <t>G/730824/1FF102</t>
  </si>
  <si>
    <t>730827 Uniformes Deportivos</t>
  </si>
  <si>
    <t>G/730827/1FF102</t>
  </si>
  <si>
    <t>730101 Agua Potable</t>
  </si>
  <si>
    <t>G/730101/1FF102</t>
  </si>
  <si>
    <t>730104 Energía Eléctrica</t>
  </si>
  <si>
    <t>G/730104/1FF102</t>
  </si>
  <si>
    <t>730105 Telecomunicaciones</t>
  </si>
  <si>
    <t>G/730105/1FF102</t>
  </si>
  <si>
    <t>730203 Almacenamiento, Embalaje, Desembalaje, E</t>
  </si>
  <si>
    <t>G/730203/1FF102</t>
  </si>
  <si>
    <t>730208 Servicio de Seguridad y Vigilancia</t>
  </si>
  <si>
    <t>G/730208/1FF102</t>
  </si>
  <si>
    <t>730209 Servicios de Aseo, Lavado de Vestimenta</t>
  </si>
  <si>
    <t>G/730209/1FF102</t>
  </si>
  <si>
    <t>G/730402/1FF102</t>
  </si>
  <si>
    <t>730403 Mobiliarios (Instalación, Mantenimiento</t>
  </si>
  <si>
    <t>G/730403/1FF102</t>
  </si>
  <si>
    <t>G/730404/1FF102</t>
  </si>
  <si>
    <t>730704 Mantenimiento y Reparación de Equipos y</t>
  </si>
  <si>
    <t>G/730704/1FF102</t>
  </si>
  <si>
    <t>730820 Menaje y Accesorios Descartables</t>
  </si>
  <si>
    <t>G/730820/1FF102</t>
  </si>
  <si>
    <t>731403 Mobiliarios</t>
  </si>
  <si>
    <t>G/731403/1FF102</t>
  </si>
  <si>
    <t>G/731406/1FF102</t>
  </si>
  <si>
    <t>731408 Bienes Artísticos, Culturales, Bienes De</t>
  </si>
  <si>
    <t>G/731408/1FF102</t>
  </si>
  <si>
    <t>GI00F10200006D</t>
  </si>
  <si>
    <t>GI00F10200006D INFRAESTRUCTURA COMUNITARIA</t>
  </si>
  <si>
    <t>730417 Infraestructura</t>
  </si>
  <si>
    <t>G/730417/1FF102</t>
  </si>
  <si>
    <t>730418 Mantenimiento de Áreas Verdes y Arreglo</t>
  </si>
  <si>
    <t>G/730418/1FF102</t>
  </si>
  <si>
    <t>G/730601/1FF102</t>
  </si>
  <si>
    <t>GI00F10200007D</t>
  </si>
  <si>
    <t>GI00F10200007D COLONIAS VACACIONALES RECREANDO QUITO</t>
  </si>
  <si>
    <t>GI00F10200008D</t>
  </si>
  <si>
    <t>GI00F10200008D FORTALECIMIENTO A PARROQUIAS RURALES Y C</t>
  </si>
  <si>
    <t>GI00F10200009D</t>
  </si>
  <si>
    <t>GI00F10200009D MEGAMINGAS EN BARRIOS DEL DMQ</t>
  </si>
  <si>
    <t>G/730204/1FG101</t>
  </si>
  <si>
    <t>G/730205/1FG101</t>
  </si>
  <si>
    <t>G/730205/1GG101</t>
  </si>
  <si>
    <t>G/730249/1FG101</t>
  </si>
  <si>
    <t>G/730504/1GG101</t>
  </si>
  <si>
    <t>GI00G10100002D</t>
  </si>
  <si>
    <t>GI00G10100002D PROMOCION DE DERECHOS CULTURALES</t>
  </si>
  <si>
    <t>G/730204/1GG101</t>
  </si>
  <si>
    <t>G/730207/1GG101</t>
  </si>
  <si>
    <t>G/730235/1GG101</t>
  </si>
  <si>
    <t>G/730402/1GG101</t>
  </si>
  <si>
    <t>730425 Instalación, Readecuación, Montaje de Expos</t>
  </si>
  <si>
    <t>G/730425/1GG101</t>
  </si>
  <si>
    <t>G/730606/1GG101</t>
  </si>
  <si>
    <t>G/730613/1GG101</t>
  </si>
  <si>
    <t>G/730812/1GG101</t>
  </si>
  <si>
    <t>G/730209/1GG101</t>
  </si>
  <si>
    <t>G/730403/1GG101</t>
  </si>
  <si>
    <t>G/730404/1GG101</t>
  </si>
  <si>
    <t>G/730418/1GG101</t>
  </si>
  <si>
    <t>G/730704/1GG101</t>
  </si>
  <si>
    <t>G/730811/1GG101</t>
  </si>
  <si>
    <t>731409 Libros y Colecciones</t>
  </si>
  <si>
    <t>G/731409/1GG101</t>
  </si>
  <si>
    <t>731411 Partes y Repuestos</t>
  </si>
  <si>
    <t>G/731411/1GG101</t>
  </si>
  <si>
    <t>ZA01G040</t>
  </si>
  <si>
    <t>Centro Cultural Benjamín Carrión</t>
  </si>
  <si>
    <t>GI00G10100004D</t>
  </si>
  <si>
    <t>GI00G10100004D SISTEMA DE CENTROS CULTURALES</t>
  </si>
  <si>
    <t>ZA01G030</t>
  </si>
  <si>
    <t>Centro Cultural Metropolitano</t>
  </si>
  <si>
    <t>GI00G10100007D</t>
  </si>
  <si>
    <t>GI00G10100007D AMPLIACION DE LA OFERTA CULTURAL A TRAVE</t>
  </si>
  <si>
    <t>G/730605/1GG101</t>
  </si>
  <si>
    <t>GI00G10100008D</t>
  </si>
  <si>
    <t>GI00G10100008D FORTALECIMIENTO DE LA RED METROPOLITANA</t>
  </si>
  <si>
    <t>730239 Membrecías</t>
  </si>
  <si>
    <t>G/730239/1GG101</t>
  </si>
  <si>
    <t>730302 Pasajes al Exterior</t>
  </si>
  <si>
    <t>G/730302/1GG101</t>
  </si>
  <si>
    <t>730602 Servicio de Auditoría</t>
  </si>
  <si>
    <t>G/730602/1GG101</t>
  </si>
  <si>
    <t>G/730804/1GG101</t>
  </si>
  <si>
    <t>G/731403/1GG101</t>
  </si>
  <si>
    <t>731404 Maquinarias y Equipos</t>
  </si>
  <si>
    <t>G/731404/1GG101</t>
  </si>
  <si>
    <t>731407 Equipos, Sistemas y Paquetes Informáticos</t>
  </si>
  <si>
    <t>G/731407/1GG101</t>
  </si>
  <si>
    <t>GI00G10100011D</t>
  </si>
  <si>
    <t>GI00G10100011D TERRITORIO Y CULTURA</t>
  </si>
  <si>
    <t>G/730235/1FG101</t>
  </si>
  <si>
    <t>G/730505/1FG101</t>
  </si>
  <si>
    <t>G/730606/1FG101</t>
  </si>
  <si>
    <t>G/730613/1FG101</t>
  </si>
  <si>
    <t>G/730812/1FG101</t>
  </si>
  <si>
    <t>730813 Repuestos y Accesorios</t>
  </si>
  <si>
    <t>G/730813/1GG101</t>
  </si>
  <si>
    <t>H209</t>
  </si>
  <si>
    <t>FOMENTO DEL DESARROLLO ECONÓMICO LOCAL</t>
  </si>
  <si>
    <t>GI00H20900001D</t>
  </si>
  <si>
    <t>GI00H20900001D REPOTENCIACION DE INFRAESTRUCTURA DE MER</t>
  </si>
  <si>
    <t>G/730402/2QH209</t>
  </si>
  <si>
    <t>G/730601/2QH209</t>
  </si>
  <si>
    <t>GI00H20900002D</t>
  </si>
  <si>
    <t>GI00H20900002D MEJORAMIENTO DEL SERVICIO DEL SISTEMA DE</t>
  </si>
  <si>
    <t>G/730105/2QH209</t>
  </si>
  <si>
    <t>G/730207/2QH209</t>
  </si>
  <si>
    <t>730224 Servicio de Implementación de Bancos de Inf</t>
  </si>
  <si>
    <t>G/730224/2QH209</t>
  </si>
  <si>
    <t>G/730249/2QH209</t>
  </si>
  <si>
    <t>G/730404/2QH209</t>
  </si>
  <si>
    <t>G/730613/2QH209</t>
  </si>
  <si>
    <t>G/730702/2QH209</t>
  </si>
  <si>
    <t>G/730802/2QH209</t>
  </si>
  <si>
    <t>G/730804/2QH209</t>
  </si>
  <si>
    <t>G/730807/2QH209</t>
  </si>
  <si>
    <t>H210</t>
  </si>
  <si>
    <t>CLÚSTER PRODUCTIVOS</t>
  </si>
  <si>
    <t>GI00H21000001D</t>
  </si>
  <si>
    <t>GI00H21000001D CADENAS PRODUCTIVAS DE VALOR</t>
  </si>
  <si>
    <t>G/730606/2HH210</t>
  </si>
  <si>
    <t>H211</t>
  </si>
  <si>
    <t>DESARROLLO TERRITORIAL</t>
  </si>
  <si>
    <t>GI00H21100002D</t>
  </si>
  <si>
    <t>GI00H21100002D PROMOCIÓN DE VOCACIONES PRODUCTIVAS TERR</t>
  </si>
  <si>
    <t>G/730204/2FH211</t>
  </si>
  <si>
    <t>G/730205/2FH211</t>
  </si>
  <si>
    <t>G/730235/2FH211</t>
  </si>
  <si>
    <t>G/730249/2FH211</t>
  </si>
  <si>
    <t>730503 Mobiliario (Arrendamiento)</t>
  </si>
  <si>
    <t>G/730503/2FH211</t>
  </si>
  <si>
    <t>G/730505/2FH211</t>
  </si>
  <si>
    <t>G/730606/2FH211</t>
  </si>
  <si>
    <t>G/730613/2FH211</t>
  </si>
  <si>
    <t>G/730804/2FH211</t>
  </si>
  <si>
    <t>G/730811/2FH211</t>
  </si>
  <si>
    <t>G/730814/2FH211</t>
  </si>
  <si>
    <t>H212</t>
  </si>
  <si>
    <t>FORTALECIMIENTO DE LA COMPETITIVIDAD</t>
  </si>
  <si>
    <t>GI00H21200002D</t>
  </si>
  <si>
    <t>GI00H21200002D QUITO COMPETITIVA Y DE INVERSIONES</t>
  </si>
  <si>
    <t>G/730249/2HH212</t>
  </si>
  <si>
    <t>G/730601/2HH212</t>
  </si>
  <si>
    <t>G/730606/2HH212</t>
  </si>
  <si>
    <t>H213</t>
  </si>
  <si>
    <t>LOGÍSTICA EFICIENTE</t>
  </si>
  <si>
    <t>GI00H21300002D</t>
  </si>
  <si>
    <t>GI00H21300002D SISTEMAS AGROALIMENTARIOS SOSTENIBLES</t>
  </si>
  <si>
    <t>G/730249/2HH213</t>
  </si>
  <si>
    <t>G/730601/2HH213</t>
  </si>
  <si>
    <t>G/730205/1II101</t>
  </si>
  <si>
    <t>G/730606/1II101</t>
  </si>
  <si>
    <t>GI00I10100004D</t>
  </si>
  <si>
    <t>GI00I10100004D QUITO A LA CANCHA</t>
  </si>
  <si>
    <t>G/730604/1II101</t>
  </si>
  <si>
    <t>G/730702/1II101</t>
  </si>
  <si>
    <t>GI00I10200004D</t>
  </si>
  <si>
    <t>GI00I10200004D FORTALECIMIENTO PEDAGOGICO</t>
  </si>
  <si>
    <t>G/730106/1II102</t>
  </si>
  <si>
    <t>G/730204/1II102</t>
  </si>
  <si>
    <t>G/730239/1II102</t>
  </si>
  <si>
    <t>730301 Pasajes al Interior</t>
  </si>
  <si>
    <t>G/730301/1II102</t>
  </si>
  <si>
    <t>730303 Viáticos y Subsistencias en el Interior</t>
  </si>
  <si>
    <t>G/730303/1II102</t>
  </si>
  <si>
    <t>G/730402/1II102</t>
  </si>
  <si>
    <t>G/730404/1II102</t>
  </si>
  <si>
    <t>G/730606/1II102</t>
  </si>
  <si>
    <t>730612 Capacitación a Servidores Públicos</t>
  </si>
  <si>
    <t>G/730612/1II102</t>
  </si>
  <si>
    <t>G/730702/1II102</t>
  </si>
  <si>
    <t>G/730802/1II102</t>
  </si>
  <si>
    <t>G/730813/1II102</t>
  </si>
  <si>
    <t>G/731404/1II102</t>
  </si>
  <si>
    <t>G/731409/1II102</t>
  </si>
  <si>
    <t>GI00I10200007D</t>
  </si>
  <si>
    <t>GI00I10200007D AMPLIACIÓN DE LA OFERTA DE ATENCIÓN PSIC</t>
  </si>
  <si>
    <t>G/730804/1II102</t>
  </si>
  <si>
    <t>G/730812/1II102</t>
  </si>
  <si>
    <t>G/730205/1II102</t>
  </si>
  <si>
    <t>G/730207/1II102</t>
  </si>
  <si>
    <t>G/730701/1II102</t>
  </si>
  <si>
    <t>G/731407/1II102</t>
  </si>
  <si>
    <t>GI00I10200009D</t>
  </si>
  <si>
    <t>GI00I10200009D EDUCACIÓN EXTRAORDINARIA PRESENCIAL Y SE</t>
  </si>
  <si>
    <t>G/730613/1II102</t>
  </si>
  <si>
    <t>G/730807/1II102</t>
  </si>
  <si>
    <t>GI00I10200010D</t>
  </si>
  <si>
    <t>GI00I10200010D FORTALECIMIENTO DE LA CALIDAD DEL SERVIC</t>
  </si>
  <si>
    <t>G/730105/1II102</t>
  </si>
  <si>
    <t>730609 Investigaciones Profesionales y Análisis de</t>
  </si>
  <si>
    <t>G/730609/1II102</t>
  </si>
  <si>
    <t>G/730704/1II102</t>
  </si>
  <si>
    <t>G/731408/1II102</t>
  </si>
  <si>
    <t>GI00I10200012D</t>
  </si>
  <si>
    <t>GI00I10200012D REPOTENCIACIÓN DE LA INFRAESTRUCTURA EDU</t>
  </si>
  <si>
    <t>G/730605/1II102</t>
  </si>
  <si>
    <t>GI00I10200013D</t>
  </si>
  <si>
    <t>GI00I10200013D MODELO  PSICOPEDAGÓGICO  INTEGRAL PARA I</t>
  </si>
  <si>
    <t>730201 Transporte de Personal</t>
  </si>
  <si>
    <t>G/730201/1II102</t>
  </si>
  <si>
    <t>J102</t>
  </si>
  <si>
    <t>POLÍTICA SOCIAL INTEGRAL</t>
  </si>
  <si>
    <t>GI00J10200001D</t>
  </si>
  <si>
    <t>GI00J10200001D POLÍTICAS  PÚBLICAS  DE SALUD EN EL DMQ</t>
  </si>
  <si>
    <t>G/730248/1MJ102</t>
  </si>
  <si>
    <t>G/730249/1MJ102</t>
  </si>
  <si>
    <t>G/730605/1MJ102</t>
  </si>
  <si>
    <t>G/730204/1JJ103</t>
  </si>
  <si>
    <t>G/730205/1JJ103</t>
  </si>
  <si>
    <t>G/730235/1JJ103</t>
  </si>
  <si>
    <t>G/730402/1JJ103</t>
  </si>
  <si>
    <t>G/730606/1JJ103</t>
  </si>
  <si>
    <t>G/730613/1JJ103</t>
  </si>
  <si>
    <t>730805 Materiales de Aseo</t>
  </si>
  <si>
    <t>G/730805/1JJ103</t>
  </si>
  <si>
    <t>730811 Insumos,MaterialesySuministrosparaConstrucc</t>
  </si>
  <si>
    <t>G/730811/1JJ103</t>
  </si>
  <si>
    <t>G/730812/1JJ103</t>
  </si>
  <si>
    <t>G/730820/1JJ103</t>
  </si>
  <si>
    <t>G/731404/1JJ103</t>
  </si>
  <si>
    <t>G/730204/1FJ103</t>
  </si>
  <si>
    <t>G/730205/1FJ103</t>
  </si>
  <si>
    <t>G/730207/1JJ103</t>
  </si>
  <si>
    <t>G/730235/1FJ103</t>
  </si>
  <si>
    <t>G/730249/1FJ103</t>
  </si>
  <si>
    <t>G/730505/1FJ103</t>
  </si>
  <si>
    <t>G/730606/1FJ103</t>
  </si>
  <si>
    <t>730607 Servicios Técnicos Especializados</t>
  </si>
  <si>
    <t>G/730607/1JJ103</t>
  </si>
  <si>
    <t>G/730613/1FJ103</t>
  </si>
  <si>
    <t>G/730702/1JJ103</t>
  </si>
  <si>
    <t>730801 Alimentos y Bebidas</t>
  </si>
  <si>
    <t>G/730801/1JJ103</t>
  </si>
  <si>
    <t>G/730802/1JJ103</t>
  </si>
  <si>
    <t>G/730802/1FJ103</t>
  </si>
  <si>
    <t>G/730804/1FJ103</t>
  </si>
  <si>
    <t>G/730811/1FJ103</t>
  </si>
  <si>
    <t>G/730812/1FJ103</t>
  </si>
  <si>
    <t>G/730820/1FJ103</t>
  </si>
  <si>
    <t>730824 Insumos,BienesyMaterialesparalaProducciónde</t>
  </si>
  <si>
    <t>G/730824/1JJ103</t>
  </si>
  <si>
    <t>730825 Ayudas Técnicas para Compensar Discapacidad</t>
  </si>
  <si>
    <t>G/730825/1JJ103</t>
  </si>
  <si>
    <t>730826 Dispositivos Médicos de Uso General</t>
  </si>
  <si>
    <t>G/730826/1JJ103</t>
  </si>
  <si>
    <t>G/731407/1FJ103</t>
  </si>
  <si>
    <t>GI00J10300004D</t>
  </si>
  <si>
    <t>GI00J10300004D IMPLEMENTACIÓN CASA DE LA INCLUSIÓN A FA</t>
  </si>
  <si>
    <t>G/730101/1JJ103</t>
  </si>
  <si>
    <t>G/730104/1JJ103</t>
  </si>
  <si>
    <t>G/730105/1JJ103</t>
  </si>
  <si>
    <t>G/730208/1JJ103</t>
  </si>
  <si>
    <t>G/730224/1JJ103</t>
  </si>
  <si>
    <t>G/731403/1JJ103</t>
  </si>
  <si>
    <t>K305</t>
  </si>
  <si>
    <t>MOVILIDAD SEGURA</t>
  </si>
  <si>
    <t>GI00K30500003D</t>
  </si>
  <si>
    <t>GI00K30500003D AUDITORÍA DE SEGURIDAD VIAL</t>
  </si>
  <si>
    <t>G/730612/3KK305</t>
  </si>
  <si>
    <t>GI00K30500004D</t>
  </si>
  <si>
    <t>GI00K30500004D EDUCACIÓN VIAL</t>
  </si>
  <si>
    <t>G/730207/3KK305</t>
  </si>
  <si>
    <t>GI00K30500005D</t>
  </si>
  <si>
    <t>GI00K30500005D EDUCACIÓN Y SEGURIDAD VIAL</t>
  </si>
  <si>
    <t>G/730204/3KK305</t>
  </si>
  <si>
    <t>G/730802/3KK305</t>
  </si>
  <si>
    <t>G/730811/3KK305</t>
  </si>
  <si>
    <t>G/730812/3KK305</t>
  </si>
  <si>
    <t>G/731403/3KK305</t>
  </si>
  <si>
    <t>GI00K30500006D</t>
  </si>
  <si>
    <t>GI00K30500006D FORTALECIMIENTO DEL CONTROL DEL TRÁNSITO</t>
  </si>
  <si>
    <t>G/730105/3KK305</t>
  </si>
  <si>
    <t>G/730205/3KK305</t>
  </si>
  <si>
    <t>G/730208/3KK305</t>
  </si>
  <si>
    <t>G/730235/3KK305</t>
  </si>
  <si>
    <t>G/730404/3KK305</t>
  </si>
  <si>
    <t>730405 Vehículos (Servicio para Mantenimiento y</t>
  </si>
  <si>
    <t>G/730405/3KK305</t>
  </si>
  <si>
    <t>G/730505/3KK305</t>
  </si>
  <si>
    <t>G/730601/3KK305</t>
  </si>
  <si>
    <t>G/730702/3KK305</t>
  </si>
  <si>
    <t>730803 Combustibles y Lubricantes</t>
  </si>
  <si>
    <t>G/730803/3KK305</t>
  </si>
  <si>
    <t>G/730804/3KK305</t>
  </si>
  <si>
    <t>G/730805/3KK305</t>
  </si>
  <si>
    <t>G/730807/3KK305</t>
  </si>
  <si>
    <t>730808 Instrumental Médico Quirúrgico</t>
  </si>
  <si>
    <t>G/730808/3KK305</t>
  </si>
  <si>
    <t>730809 Medicamentos</t>
  </si>
  <si>
    <t>G/730809/3KK305</t>
  </si>
  <si>
    <t>730810 Dispositivos Médicos para Laboratorio Cl</t>
  </si>
  <si>
    <t>G/730810/3KK305</t>
  </si>
  <si>
    <t>G/730813/3KK305</t>
  </si>
  <si>
    <t>G/730826/3KK305</t>
  </si>
  <si>
    <t>730832 Dispositivos Médicos para Odontología</t>
  </si>
  <si>
    <t>G/730832/3KK305</t>
  </si>
  <si>
    <t>G/731404/3KK305</t>
  </si>
  <si>
    <t>G/731406/3KK305</t>
  </si>
  <si>
    <t>G/731407/3KK305</t>
  </si>
  <si>
    <t>GI00K30500007D</t>
  </si>
  <si>
    <t>GI00K30500007D MODERNIZACIÓN DE LOS SERVICIOS DE LA AGE</t>
  </si>
  <si>
    <t>G/730701/3KK305</t>
  </si>
  <si>
    <t>G/730704/3KK305</t>
  </si>
  <si>
    <t>K308</t>
  </si>
  <si>
    <t>MOVILIDAD SOSTENIBLE</t>
  </si>
  <si>
    <t>GI00K30800002D</t>
  </si>
  <si>
    <t>GI00K30800002D MEJORAMIENTO DE LA CIRCULACIÓN DEL TRÁFI</t>
  </si>
  <si>
    <t>G/730207/3KK308</t>
  </si>
  <si>
    <t>G/730404/3KK308</t>
  </si>
  <si>
    <t>G/730601/3KK308</t>
  </si>
  <si>
    <t>G/730605/3KK308</t>
  </si>
  <si>
    <t>G/730606/3KK308</t>
  </si>
  <si>
    <t>GI00K30800003D</t>
  </si>
  <si>
    <t>GI00K30800003D MEJORAMIENTO DEL SERVICIO DE TRANSPORTE</t>
  </si>
  <si>
    <t>GI00K30800004D</t>
  </si>
  <si>
    <t>GI00K30800004D PASEO DOMINICAL</t>
  </si>
  <si>
    <t>G/730402/3KK308</t>
  </si>
  <si>
    <t>G/730505/3KK308</t>
  </si>
  <si>
    <t>G/730811/3KK308</t>
  </si>
  <si>
    <t>G/731404/3KK308</t>
  </si>
  <si>
    <t>GI00K30800005D</t>
  </si>
  <si>
    <t>GI00K30800005D PROMOCIÓN DE LOS MODOS DE TRANSPORTE NO</t>
  </si>
  <si>
    <t>K310</t>
  </si>
  <si>
    <t>SISTEMA  DE TRANSPORTE PÚBLICO EFICIENTE</t>
  </si>
  <si>
    <t>GI00K31000001D</t>
  </si>
  <si>
    <t>GI00K31000001D MEJORAMIENTO DEL SERVICIO DEL SISTEMA ME</t>
  </si>
  <si>
    <t>G/730249/3KK310</t>
  </si>
  <si>
    <t>G/730601/3KK310</t>
  </si>
  <si>
    <t>G/730605/3KK310</t>
  </si>
  <si>
    <t>G/730606/3KK310</t>
  </si>
  <si>
    <t>GI00K31000003D</t>
  </si>
  <si>
    <t>GI00K31000003D PRIMERA LÍNEA DEL METRO DE QUITO</t>
  </si>
  <si>
    <t>202</t>
  </si>
  <si>
    <t>G/730505/1AL101</t>
  </si>
  <si>
    <t>G/730601/1AL101</t>
  </si>
  <si>
    <t>G/730606/1AL101</t>
  </si>
  <si>
    <t>730610 Servicios de Cartografía</t>
  </si>
  <si>
    <t>G/730610/1AL101</t>
  </si>
  <si>
    <t>GI00L10100005D</t>
  </si>
  <si>
    <t>GI00L10100005D GESTIÓN FINANCIERA</t>
  </si>
  <si>
    <t>G/730701/1AL101</t>
  </si>
  <si>
    <t>GI00L10100009D</t>
  </si>
  <si>
    <t>GI00L10100009D MODERNIZACION INTEGRAL DEL REGISTRO DE L</t>
  </si>
  <si>
    <t>G/730204/1AL101</t>
  </si>
  <si>
    <t>G/730207/1AL101</t>
  </si>
  <si>
    <t>730222 Servicios y Derechos en Producción y Progra</t>
  </si>
  <si>
    <t>G/730222/1AL101</t>
  </si>
  <si>
    <t>730230 Digitalización de Información y Datos Públi</t>
  </si>
  <si>
    <t>G/730230/1AL101</t>
  </si>
  <si>
    <t>G/730404/1AL101</t>
  </si>
  <si>
    <t>G/730602/1AL101</t>
  </si>
  <si>
    <t>G/730702/1AA101</t>
  </si>
  <si>
    <t>G/730702/1AL101</t>
  </si>
  <si>
    <t>G/730704/1AL101</t>
  </si>
  <si>
    <t>G/730105/1BL101</t>
  </si>
  <si>
    <t>G/730106/1BL101</t>
  </si>
  <si>
    <t>G/730204/1BL101</t>
  </si>
  <si>
    <t>G/730207/1BL101</t>
  </si>
  <si>
    <t>G/730208/1BL101</t>
  </si>
  <si>
    <t>G/730230/1BL101</t>
  </si>
  <si>
    <t>G/730249/1BL101</t>
  </si>
  <si>
    <t>G/730303/1BL101</t>
  </si>
  <si>
    <t>G/730505/1BL101</t>
  </si>
  <si>
    <t>G/730601/1BL101</t>
  </si>
  <si>
    <t>G/730606/1BL101</t>
  </si>
  <si>
    <t>G/730701/1BL101</t>
  </si>
  <si>
    <t>G/730702/1BL101</t>
  </si>
  <si>
    <t>G/730802/1BL101</t>
  </si>
  <si>
    <t>G/730805/1BL101</t>
  </si>
  <si>
    <t>G/730820/1BL101</t>
  </si>
  <si>
    <t>GI00L10100011D</t>
  </si>
  <si>
    <t>GI00L10100011D DIFUSION DE LA GESTION INSTITUCIONAL</t>
  </si>
  <si>
    <t>G/730105/1EL101</t>
  </si>
  <si>
    <t>G/730207/1EL101</t>
  </si>
  <si>
    <t>G/730222/1EL101</t>
  </si>
  <si>
    <t>730241 Servicios de Monitoreo de la Información en</t>
  </si>
  <si>
    <t>G/730241/1EL101</t>
  </si>
  <si>
    <t>G/730248/1EL101</t>
  </si>
  <si>
    <t>G/730404/1EL101</t>
  </si>
  <si>
    <t>G/730701/1EL101</t>
  </si>
  <si>
    <t>G/730702/1EL101</t>
  </si>
  <si>
    <t>ZA01L010</t>
  </si>
  <si>
    <t>Instituto Metropolitano de Capacitación</t>
  </si>
  <si>
    <t>GI00L10100015D</t>
  </si>
  <si>
    <t>GI00L10100015D CAPACITACION, FORMACION Y DESARROLLO DEL</t>
  </si>
  <si>
    <t>G/730612/1LL101</t>
  </si>
  <si>
    <t>GI00L10100017D</t>
  </si>
  <si>
    <t>GI00L10100017D PLANIFICACION, SEGUIMIENTO Y EVALUACION</t>
  </si>
  <si>
    <t>G/730606/1LL101</t>
  </si>
  <si>
    <t>GI00L10100024D</t>
  </si>
  <si>
    <t>GI00L10100024D MEJORA CONTINUA DE PROCESOS</t>
  </si>
  <si>
    <t>G/730601/1LL101</t>
  </si>
  <si>
    <t>GI00L10100025D</t>
  </si>
  <si>
    <t>GI00L10100025D IMPLEMENTACIÓN DE UN PLAN PARA MEJORAR L</t>
  </si>
  <si>
    <t>GI00L10100027D</t>
  </si>
  <si>
    <t>GI00L10100027D SISTEMA METROPOLITANO DE INFORMACIÓN DEL</t>
  </si>
  <si>
    <t>G/730702/1LL101</t>
  </si>
  <si>
    <t>GI00L10100031D</t>
  </si>
  <si>
    <t>GI00L10100031D PLANEACIÓN DE DESARROLLO</t>
  </si>
  <si>
    <t>G/730204/1CL101</t>
  </si>
  <si>
    <t>G/730605/1CL101</t>
  </si>
  <si>
    <t>G/730613/1CL101</t>
  </si>
  <si>
    <t>GI00L10100032D</t>
  </si>
  <si>
    <t>GI00L10100032D RELACIONES Y COOPERACIÓN INTERNACIONAL P</t>
  </si>
  <si>
    <t>G/730207/1CL101</t>
  </si>
  <si>
    <t>G/730239/1CL101</t>
  </si>
  <si>
    <t>G/730248/1CL101</t>
  </si>
  <si>
    <t>730307 Atención a Delegados Extranjeros y Nacional</t>
  </si>
  <si>
    <t>G/730307/1CL101</t>
  </si>
  <si>
    <t>GI00L10100033D</t>
  </si>
  <si>
    <t>GI00L10100033D GESTIÓN TRIBUTARIA EFICIENTE</t>
  </si>
  <si>
    <t>G/730607/1AL101</t>
  </si>
  <si>
    <t>G/730612/1AL101</t>
  </si>
  <si>
    <t>GI00L10100034D</t>
  </si>
  <si>
    <t>GI00L10100034D INNOVACIÓN DE LOS SERVICIOS DE ATENCIÓN</t>
  </si>
  <si>
    <t>G/730105/1AL101</t>
  </si>
  <si>
    <t>G/730201/1AL101</t>
  </si>
  <si>
    <t>G/730402/1AL101</t>
  </si>
  <si>
    <t>G/730503/1AL101</t>
  </si>
  <si>
    <t>G/731403/1AL101</t>
  </si>
  <si>
    <t>GI00L10100035D</t>
  </si>
  <si>
    <t>GI00L10100035D MODERNIZACIÓN DE LA ADMINISTRACIÓN</t>
  </si>
  <si>
    <t>GI00L10100037D</t>
  </si>
  <si>
    <t>GI00L10100037D MODERNIZACIÓN DE LA GESTIÓN DOCUMENTAL Y</t>
  </si>
  <si>
    <t>730202 Fletes y Maniobras</t>
  </si>
  <si>
    <t>G/730202/1AL101</t>
  </si>
  <si>
    <t>G/730811/1AL101</t>
  </si>
  <si>
    <t>GI00L10100038D</t>
  </si>
  <si>
    <t>GI00L10100038D PROYECTOS ESPECIALES DE EJECUCIÓN DEL NU</t>
  </si>
  <si>
    <t>GI00L10100039D</t>
  </si>
  <si>
    <t>GI00L10100039D CONTROL Y BUEN USO DEL ESPACIO PÚBLICO "</t>
  </si>
  <si>
    <t>G/730704/1BL101</t>
  </si>
  <si>
    <t>G/731403/1BL101</t>
  </si>
  <si>
    <t>ZA01A007</t>
  </si>
  <si>
    <t>DM de Informática</t>
  </si>
  <si>
    <t>GI00L10100040D</t>
  </si>
  <si>
    <t>GI00L10100040D CIUDAD INTELIGENTE</t>
  </si>
  <si>
    <t>GI00L10100041D</t>
  </si>
  <si>
    <t>GI00L10100041D INNOVACION Y FORTALECIMIENTO DE LA INFRA</t>
  </si>
  <si>
    <t>730502 Edificios, Locales, Residencias, Parquea</t>
  </si>
  <si>
    <t>G/730502/1AL101</t>
  </si>
  <si>
    <t>G/730804/1AL101</t>
  </si>
  <si>
    <t>G/730813/1AL101</t>
  </si>
  <si>
    <t>GI00L10100042D</t>
  </si>
  <si>
    <t>GI00L10100042D GEOPARQUE QUITO</t>
  </si>
  <si>
    <t>GI00M10300001D</t>
  </si>
  <si>
    <t>GI00M10300001D MEJORAMIENTO DEL MODELO DE GESTIÓN DE SA</t>
  </si>
  <si>
    <t>G/730201/1MM103</t>
  </si>
  <si>
    <t>G/730204/1MM103</t>
  </si>
  <si>
    <t>730226 Servicios Médicos Hospitalarios y Complemen</t>
  </si>
  <si>
    <t>G/730226/1MM103</t>
  </si>
  <si>
    <t>730242 Servicios de Almacenamiento,Control,Custodi</t>
  </si>
  <si>
    <t>G/730242/1MM103</t>
  </si>
  <si>
    <t>G/730402/1MM103</t>
  </si>
  <si>
    <t>G/730802/1MM103</t>
  </si>
  <si>
    <t>G/730804/1MM103</t>
  </si>
  <si>
    <t>G/730805/1MM103</t>
  </si>
  <si>
    <t>G/730810/1MM103</t>
  </si>
  <si>
    <t>G/730811/1MM103</t>
  </si>
  <si>
    <t>730819 Accesorios e Insumos Químicos y Orgánicos</t>
  </si>
  <si>
    <t>G/730819/1MM103</t>
  </si>
  <si>
    <t>G/730820/1MM103</t>
  </si>
  <si>
    <t>G/730826/1MM103</t>
  </si>
  <si>
    <t>G/731404/1MM103</t>
  </si>
  <si>
    <t>GI00M10300003D</t>
  </si>
  <si>
    <t>GI00M10300003D SEGURIDAD ALIMENTARIA Y DE CALIDAD</t>
  </si>
  <si>
    <t>G/730204/1FM103</t>
  </si>
  <si>
    <t>G/730205/1FM103</t>
  </si>
  <si>
    <t>G/730404/1MM103</t>
  </si>
  <si>
    <t>G/730505/1FM103</t>
  </si>
  <si>
    <t>G/730606/1FM103</t>
  </si>
  <si>
    <t>G/730606/1MM103</t>
  </si>
  <si>
    <t>G/730802/1FM103</t>
  </si>
  <si>
    <t>G/730810/1FM103</t>
  </si>
  <si>
    <t>G/730812/1FM103</t>
  </si>
  <si>
    <t>GI00M10300004D</t>
  </si>
  <si>
    <t>GI00M10300004D SISTEMA INTEGRAL DE PROMOCIÓN DE LA SALU</t>
  </si>
  <si>
    <t>G/730105/1FM103</t>
  </si>
  <si>
    <t>G/730249/1FM103</t>
  </si>
  <si>
    <t>G/730612/1MM103</t>
  </si>
  <si>
    <t>G/730105/1MM103</t>
  </si>
  <si>
    <t>G/730209/1MM103</t>
  </si>
  <si>
    <t>730225 Servicio de Incineración de Documentos Públ</t>
  </si>
  <si>
    <t>G/730225/1MM103</t>
  </si>
  <si>
    <t>G/730405/1MM103</t>
  </si>
  <si>
    <t>G/730505/1MM103</t>
  </si>
  <si>
    <t>G/730701/1MM103</t>
  </si>
  <si>
    <t>G/730704/1MM103</t>
  </si>
  <si>
    <t>G/730807/1MM103</t>
  </si>
  <si>
    <t>G/730808/1MM103</t>
  </si>
  <si>
    <t>G/730809/1MM103</t>
  </si>
  <si>
    <t>G/730813/1MM103</t>
  </si>
  <si>
    <t>730823 Egresos para Sanidad Agropecuaria</t>
  </si>
  <si>
    <t>G/730823/1MM103</t>
  </si>
  <si>
    <t>G/731406/1MM103</t>
  </si>
  <si>
    <t>G/730101/1MM103</t>
  </si>
  <si>
    <t>G/730104/1MM103</t>
  </si>
  <si>
    <t>G/730202/1MM103</t>
  </si>
  <si>
    <t>G/730205/1MM103</t>
  </si>
  <si>
    <t>G/730208/1MM103</t>
  </si>
  <si>
    <t>G/730235/1MM103</t>
  </si>
  <si>
    <t>G/730403/1MM103</t>
  </si>
  <si>
    <t>G/730812/1MM103</t>
  </si>
  <si>
    <t>G/730832/1MM103</t>
  </si>
  <si>
    <t>G/731403/1MM103</t>
  </si>
  <si>
    <t>G/730207/1MM103</t>
  </si>
  <si>
    <t>G/730248/1MM103</t>
  </si>
  <si>
    <t>G/730249/1MM103</t>
  </si>
  <si>
    <t>G/730417/1MM103</t>
  </si>
  <si>
    <t>G/730418/1MM103</t>
  </si>
  <si>
    <t>G/730613/1MM103</t>
  </si>
  <si>
    <t>GI00M10300008D</t>
  </si>
  <si>
    <t>GI00M10300008D ADOLESCENTES INFORMADOS EN SEXUALIDAD RE</t>
  </si>
  <si>
    <t>G/730803/1MM103</t>
  </si>
  <si>
    <t>G/731408/1MM103</t>
  </si>
  <si>
    <t>GI00M10300010D</t>
  </si>
  <si>
    <t>GI00M10300010D REMODELACIÓN DE LA UNIDAD METROPOLITAN</t>
  </si>
  <si>
    <t>G/730605/1MM103</t>
  </si>
  <si>
    <t>N103</t>
  </si>
  <si>
    <t>QUITO SIN MIEDO</t>
  </si>
  <si>
    <t>GI00N10300002D</t>
  </si>
  <si>
    <t>GI00N10300002D IMPLEMENTACIÓN DE UN NUEVO MODELO DE GES</t>
  </si>
  <si>
    <t>G/730601/1NN103</t>
  </si>
  <si>
    <t>G/730612/1NN103</t>
  </si>
  <si>
    <t>G/730701/1NN103</t>
  </si>
  <si>
    <t>GI00N10300003D</t>
  </si>
  <si>
    <t>GI00N10300003D PREVENCIÓN DE LA VIOLENCIA INTRAFAMILIAR</t>
  </si>
  <si>
    <t>G/730203/1FN103</t>
  </si>
  <si>
    <t>G/730204/1NN103</t>
  </si>
  <si>
    <t>G/730205/1NN103</t>
  </si>
  <si>
    <t>G/730207/1NN103</t>
  </si>
  <si>
    <t>730243 Garantía Extendida de Bienes</t>
  </si>
  <si>
    <t>G/730243/1NN103</t>
  </si>
  <si>
    <t>G/730402/1FN103</t>
  </si>
  <si>
    <t>G/730402/1NN103</t>
  </si>
  <si>
    <t>G/730502/1NN103</t>
  </si>
  <si>
    <t>G/730704/1NN103</t>
  </si>
  <si>
    <t>G/730811/1FN103</t>
  </si>
  <si>
    <t>G/730812/1NN103</t>
  </si>
  <si>
    <t>G/730812/1FN103</t>
  </si>
  <si>
    <t>G/730813/1NN103</t>
  </si>
  <si>
    <t>G/731403/1FN103</t>
  </si>
  <si>
    <t>G/731404/1FN103</t>
  </si>
  <si>
    <t>GI00N10300004D</t>
  </si>
  <si>
    <t>GI00N10300004D PREVENCIÓN SITUACIONAL Y CONVIVENCIA PAC</t>
  </si>
  <si>
    <t>G/730105/1NN103</t>
  </si>
  <si>
    <t>G/730203/1NN103</t>
  </si>
  <si>
    <t>G/730205/1FN103</t>
  </si>
  <si>
    <t>G/730248/1NN103</t>
  </si>
  <si>
    <t>G/730404/1NN103</t>
  </si>
  <si>
    <t>G/730405/1NN103</t>
  </si>
  <si>
    <t>730415 Bienes Biológicos</t>
  </si>
  <si>
    <t>G/730415/1NN103</t>
  </si>
  <si>
    <t>G/730605/1NN103</t>
  </si>
  <si>
    <t>G/730607/1NN103</t>
  </si>
  <si>
    <t>G/730702/1NN103</t>
  </si>
  <si>
    <t>G/730802/1NN103</t>
  </si>
  <si>
    <t>G/730803/1NN103</t>
  </si>
  <si>
    <t>G/730805/1NN103</t>
  </si>
  <si>
    <t>G/730805/1FN103</t>
  </si>
  <si>
    <t>G/730807/1FN103</t>
  </si>
  <si>
    <t>G/730808/1NN103</t>
  </si>
  <si>
    <t>G/730809/1NN103</t>
  </si>
  <si>
    <t>G/730811/1NN103</t>
  </si>
  <si>
    <t>G/730820/1NN103</t>
  </si>
  <si>
    <t>G/730823/1NN103</t>
  </si>
  <si>
    <t>G/730826/1NN103</t>
  </si>
  <si>
    <t>G/730832/1NN103</t>
  </si>
  <si>
    <t>G/731404/1NN103</t>
  </si>
  <si>
    <t>G/731406/1FN103</t>
  </si>
  <si>
    <t>G/731406/1NN103</t>
  </si>
  <si>
    <t>GI00N10300007D</t>
  </si>
  <si>
    <t>GI00N10300007D SISTEMA DE INDICADORES DE SEGURIDAD CIUD</t>
  </si>
  <si>
    <t>N301</t>
  </si>
  <si>
    <t>GESTION DE RIESGOS</t>
  </si>
  <si>
    <t>GI00N30100004D</t>
  </si>
  <si>
    <t>GI00N30100004D ANÁLISIS DE RIESGOS NATURALES Y ANTRÓPIC</t>
  </si>
  <si>
    <t>G/730204/3NN301</t>
  </si>
  <si>
    <t>GI00N30100005D</t>
  </si>
  <si>
    <t>GI00N30100005D REDUCCIÓN DE RIESGOS DE DESASTRES EN EL</t>
  </si>
  <si>
    <t>G/730202/3FN301</t>
  </si>
  <si>
    <t>G/730204/3FN301</t>
  </si>
  <si>
    <t>G/730205/3FN301</t>
  </si>
  <si>
    <t>G/730209/3FN301</t>
  </si>
  <si>
    <t>G/730418/3FN301</t>
  </si>
  <si>
    <t>G/730504/3FN301</t>
  </si>
  <si>
    <t>G/730606/3FN301</t>
  </si>
  <si>
    <t>G/730802/3FN301</t>
  </si>
  <si>
    <t>G/730805/3FN301</t>
  </si>
  <si>
    <t>G/730811/3FN301</t>
  </si>
  <si>
    <t>G/730820/3FN301</t>
  </si>
  <si>
    <t>G/731403/3FN301</t>
  </si>
  <si>
    <t>GI00N30100006D</t>
  </si>
  <si>
    <t>GI00N30100006D ATENCIÓN Y RESPUESTA DE EMERGENCIAS</t>
  </si>
  <si>
    <t>G/730203/3FN301</t>
  </si>
  <si>
    <t>G/730505/3FN301</t>
  </si>
  <si>
    <t>G/730802/3NN301</t>
  </si>
  <si>
    <t>G/731406/3FN301</t>
  </si>
  <si>
    <t>G/730204/3PP303</t>
  </si>
  <si>
    <t>G/730205/3PP303</t>
  </si>
  <si>
    <t>G/730207/3PP303</t>
  </si>
  <si>
    <t>G/730425/3PP303</t>
  </si>
  <si>
    <t>G/730601/3PP303</t>
  </si>
  <si>
    <t>G/730606/3PP303</t>
  </si>
  <si>
    <t>G/730613/3PP303</t>
  </si>
  <si>
    <t>G/730812/3PP303</t>
  </si>
  <si>
    <t>GI00P30300006D</t>
  </si>
  <si>
    <t>GI00P30300006D  CONSERVACIÓN DE EDIFICACIONES PATRIMONI</t>
  </si>
  <si>
    <t>G/730230/3PP303</t>
  </si>
  <si>
    <t>G/730605/3PP303</t>
  </si>
  <si>
    <t>G/730101/3PP303</t>
  </si>
  <si>
    <t>G/730104/3PP303</t>
  </si>
  <si>
    <t>G/730208/3PP303</t>
  </si>
  <si>
    <t>G/730402/3PP303</t>
  </si>
  <si>
    <t>GI00P30300009D</t>
  </si>
  <si>
    <t>GI00P30300009D CONSERVACIÓN DEL PATRIMONIO  ARQUEOLÓGIC</t>
  </si>
  <si>
    <t>G/730418/3PP303</t>
  </si>
  <si>
    <t>G/730609/3PP303</t>
  </si>
  <si>
    <t>G/731515/3PP303</t>
  </si>
  <si>
    <t>G/730207/3PP306</t>
  </si>
  <si>
    <t>G/730606/3PP306</t>
  </si>
  <si>
    <t>G/730702/3PP306</t>
  </si>
  <si>
    <t>G/730704/3PP306</t>
  </si>
  <si>
    <t>G/730807/3PP306</t>
  </si>
  <si>
    <t>G/730813/3PP306</t>
  </si>
  <si>
    <t>GI00P30600002D</t>
  </si>
  <si>
    <t>GI00P30600002D IMPLEMENTACIÓN DE LABORATORIOS URBANOS</t>
  </si>
  <si>
    <t>G/730204/3PP306</t>
  </si>
  <si>
    <t>G/730205/3PP306</t>
  </si>
  <si>
    <t>GI00P30600003D</t>
  </si>
  <si>
    <t>GI00P30600003D SISTEMA DE INFORMACIÓN DE ORDENAMIENTO T</t>
  </si>
  <si>
    <t>G/730601/3PP306</t>
  </si>
  <si>
    <t>G/730204/3FP306</t>
  </si>
  <si>
    <t>G/730207/3FP306</t>
  </si>
  <si>
    <t>G/730404/3FP306</t>
  </si>
  <si>
    <t>G/730505/3FP306</t>
  </si>
  <si>
    <t>G/730601/3FP306</t>
  </si>
  <si>
    <t>G/730606/3FP306</t>
  </si>
  <si>
    <t>G/730702/3FP306</t>
  </si>
  <si>
    <t>G/730704/3FP306</t>
  </si>
  <si>
    <t>G/730804/3FP306</t>
  </si>
  <si>
    <t>G/730807/3FP306</t>
  </si>
  <si>
    <t>75</t>
  </si>
  <si>
    <t>75 OBRAS PÚBLICAS</t>
  </si>
  <si>
    <t>750107 Construcciones y Edificaciones</t>
  </si>
  <si>
    <t>G/750107/3FD301</t>
  </si>
  <si>
    <t>750104 Urbanización y Embellecimiento</t>
  </si>
  <si>
    <t>G/750104/1FF102</t>
  </si>
  <si>
    <t>750105 Transporte y Vías</t>
  </si>
  <si>
    <t>G/750105/1FF102</t>
  </si>
  <si>
    <t>G/750107/1FF102</t>
  </si>
  <si>
    <t>750501 Obras de Infraestructura</t>
  </si>
  <si>
    <t>G/750501/1FF102</t>
  </si>
  <si>
    <t>G/750501/1GG101</t>
  </si>
  <si>
    <t>H203</t>
  </si>
  <si>
    <t>QUITO PRODUCE</t>
  </si>
  <si>
    <t>GI00H20300007D</t>
  </si>
  <si>
    <t>GI00H20300007D REPOTENCIACION DE INFRAESTRUCTURA DE MER</t>
  </si>
  <si>
    <t>G/750107/2QH203</t>
  </si>
  <si>
    <t>G/750107/2QH209</t>
  </si>
  <si>
    <t>G/750104/2FH211</t>
  </si>
  <si>
    <t>G/750107/1II101</t>
  </si>
  <si>
    <t>G/750107/1II102</t>
  </si>
  <si>
    <t>G/750105/3KK310</t>
  </si>
  <si>
    <t>G/750501/1MM103</t>
  </si>
  <si>
    <t>750109 Construcciones Agropecuarias</t>
  </si>
  <si>
    <t>G/750109/1NN103</t>
  </si>
  <si>
    <t>G/750105/3FN301</t>
  </si>
  <si>
    <t>G/750104/3PP303</t>
  </si>
  <si>
    <t>GI00P30300007D</t>
  </si>
  <si>
    <t>GI00P30300007D CONSERVACIÓN DE LA ARQUITECTURA RELIGIOS</t>
  </si>
  <si>
    <t>GI00P30300010D</t>
  </si>
  <si>
    <t>GI00P30300010D CONSERVACIÓN DEL PATRIMONIO DE BIENES MU</t>
  </si>
  <si>
    <t>77</t>
  </si>
  <si>
    <t>77 OTROS GASTOS DE INVERSIÓN</t>
  </si>
  <si>
    <t>770206 Costas Judiciales, Trámites Notariales, Leg</t>
  </si>
  <si>
    <t>G/770206/1II102</t>
  </si>
  <si>
    <t>770102 Tasas Generales, Impuestos, Contribuciones,</t>
  </si>
  <si>
    <t>G/770102/3KK305</t>
  </si>
  <si>
    <t>G/770102/1MM103</t>
  </si>
  <si>
    <t>G/770102/1NN103</t>
  </si>
  <si>
    <t>G/770206/1NN103</t>
  </si>
  <si>
    <t>G/770206/3PP303</t>
  </si>
  <si>
    <t>78</t>
  </si>
  <si>
    <t>ZA01Q010</t>
  </si>
  <si>
    <t>EPM MERCADO MAYORISTA</t>
  </si>
  <si>
    <t>GI00A10200001T</t>
  </si>
  <si>
    <t>GI00A10200001T EPM MERCADO MAYORISTA</t>
  </si>
  <si>
    <t>78 TRANSFERENCIAS Y DONACIONES PARA INVERSIÓN</t>
  </si>
  <si>
    <t>780103 A Empresas Públicas</t>
  </si>
  <si>
    <t>G/780103/2QA102</t>
  </si>
  <si>
    <t>ZA01D020</t>
  </si>
  <si>
    <t>EPM GESTION INTEGRAL DE RESIDUOS SOLIDOS</t>
  </si>
  <si>
    <t>GI00A10200003T</t>
  </si>
  <si>
    <t>GI00A10200003T EPM GESTION INTEGRAL DE RESIDUOS SOLIDOS</t>
  </si>
  <si>
    <t>G/780103/3DA102</t>
  </si>
  <si>
    <t>ZA01G020</t>
  </si>
  <si>
    <t>FUNDACION MUSEOS DE LA CIUDAD</t>
  </si>
  <si>
    <t>GI00A10200006T</t>
  </si>
  <si>
    <t>GI00A10200006T FUNDACION MUSEOS DE LA CIUDAD</t>
  </si>
  <si>
    <t>780204 Transferencias o Donaciones al Sector Priva</t>
  </si>
  <si>
    <t>G/780204/1GA102</t>
  </si>
  <si>
    <t>ZA01G010</t>
  </si>
  <si>
    <t>FUNDACION TEATRO NACIONAL SUCRE</t>
  </si>
  <si>
    <t>GI00A10200007T</t>
  </si>
  <si>
    <t>GI00A10200007T FUNDACION TEATRO NACIONAL SUCRE</t>
  </si>
  <si>
    <t>ZA01H030</t>
  </si>
  <si>
    <t>CONQUITO</t>
  </si>
  <si>
    <t>GI00A10200008T</t>
  </si>
  <si>
    <t>GI00A10200008T CONQUITO</t>
  </si>
  <si>
    <t>G/780204/1HA102</t>
  </si>
  <si>
    <t>ZA01H010</t>
  </si>
  <si>
    <t>EPM GESTION DE DESTINO TURISTICO</t>
  </si>
  <si>
    <t>GI00A10200009T</t>
  </si>
  <si>
    <t>GI00A10200009T EPM GESTION DE DESTINO TURISTICO</t>
  </si>
  <si>
    <t>G/780103/1HA102</t>
  </si>
  <si>
    <t>ZA01J010</t>
  </si>
  <si>
    <t>UNIDAD PATRONATO MUNICIPAL SAN JOSE</t>
  </si>
  <si>
    <t>GI00A10200010T</t>
  </si>
  <si>
    <t>GI00A10200010T UNIDAD PATRONATO MUNICIPAL SAN JOSE</t>
  </si>
  <si>
    <t>780102 A Entidades Descentralizadas y Autónomas</t>
  </si>
  <si>
    <t>G/780102/1JA102</t>
  </si>
  <si>
    <t>G/780103/1JA102</t>
  </si>
  <si>
    <t>ZA01K010</t>
  </si>
  <si>
    <t>EPM MOVILIDAD Y OBRAS PUBLICAS</t>
  </si>
  <si>
    <t>GI00A10200011T</t>
  </si>
  <si>
    <t>GI00A10200011T MOVILIDAD Y OBRAS PUBLICAS</t>
  </si>
  <si>
    <t>G/780103/1KA102</t>
  </si>
  <si>
    <t>ZA01K020</t>
  </si>
  <si>
    <t>EPM TRANSPORTE DE PASAJEROS</t>
  </si>
  <si>
    <t>GI00A10200012T</t>
  </si>
  <si>
    <t>GI00A10200012T EPM TRANSPORTE DE PASAJEROS</t>
  </si>
  <si>
    <t>ZA01K030</t>
  </si>
  <si>
    <t>EPM METRO QUITO</t>
  </si>
  <si>
    <t>GI00A10200013T</t>
  </si>
  <si>
    <t>GI00A10200013T METRO DE QUITO</t>
  </si>
  <si>
    <t>ZA01L020</t>
  </si>
  <si>
    <t>INSTITUTO DE LA CIUDAD</t>
  </si>
  <si>
    <t>GI00A10200014T</t>
  </si>
  <si>
    <t>GI00A10200014T INSTITUTO DE LA CIUDAD</t>
  </si>
  <si>
    <t>G/780102/1LA102</t>
  </si>
  <si>
    <t>780304 Transferencias o Donaciones de Inversión al</t>
  </si>
  <si>
    <t>G/780304/1LA102</t>
  </si>
  <si>
    <t>ZA01P030</t>
  </si>
  <si>
    <t>EPM AGUA POTABLE</t>
  </si>
  <si>
    <t>GI00A10200015T</t>
  </si>
  <si>
    <t>GI00A10200015T EPM AGUA POTABLE</t>
  </si>
  <si>
    <t>G/780103/1PA102</t>
  </si>
  <si>
    <t>ZA01J020</t>
  </si>
  <si>
    <t>COMPINA</t>
  </si>
  <si>
    <t>GI00A10200018T</t>
  </si>
  <si>
    <t>GI00A10200018T COMPINA</t>
  </si>
  <si>
    <t>GI00D30500002D</t>
  </si>
  <si>
    <t>GI00D30500002D RESTAURACIÓN AMBIENTAL DE LAS FUENTES  D</t>
  </si>
  <si>
    <t>G/780204/3DD305</t>
  </si>
  <si>
    <t>780104 A Gobiernos Autónomos Descentralizados</t>
  </si>
  <si>
    <t>G/780104/1FF102</t>
  </si>
  <si>
    <t>G/780204/1GG101</t>
  </si>
  <si>
    <t>G/780103/1GG101</t>
  </si>
  <si>
    <t>G/780204/2HH210</t>
  </si>
  <si>
    <t>G/780204/2HH212</t>
  </si>
  <si>
    <t>G/780204/2HH213</t>
  </si>
  <si>
    <t>G/780204/1II101</t>
  </si>
  <si>
    <t>G/780204/1II102</t>
  </si>
  <si>
    <t>J101</t>
  </si>
  <si>
    <t>ATENCION A GRUPOS VULNERABLES</t>
  </si>
  <si>
    <t>GI00J10100001D</t>
  </si>
  <si>
    <t>GI00J10100001D INCLUSIÓN EDUCATIVA</t>
  </si>
  <si>
    <t>G/780204/1JJ101</t>
  </si>
  <si>
    <t>780206 Becas</t>
  </si>
  <si>
    <t>G/780206/1JJ101</t>
  </si>
  <si>
    <t>G/780204/1JJ103</t>
  </si>
  <si>
    <t>G/780204/3KK305</t>
  </si>
  <si>
    <t>G/780304/1CL101</t>
  </si>
  <si>
    <t>G/780206/1MM103</t>
  </si>
  <si>
    <t>G/780103/1NN103</t>
  </si>
  <si>
    <t>G/780204/1NN103</t>
  </si>
  <si>
    <t>G/780104/3NN301</t>
  </si>
  <si>
    <t>G/780204/3NN301</t>
  </si>
  <si>
    <t>G/780103/3NN301</t>
  </si>
  <si>
    <t>G/780103/3PP303</t>
  </si>
  <si>
    <t>G/780204/3PP303</t>
  </si>
  <si>
    <t>84</t>
  </si>
  <si>
    <t>84 BIENES DE LARGA DURACIÓN</t>
  </si>
  <si>
    <t>840104 Maquinarias y Equipos</t>
  </si>
  <si>
    <t>G/840104/3FD301</t>
  </si>
  <si>
    <t>840107 Equipos, Sistemas y Paquetes Informáticos</t>
  </si>
  <si>
    <t>G/840107/3FD301</t>
  </si>
  <si>
    <t>G/840107/3DD303</t>
  </si>
  <si>
    <t>G/840107/3DD306</t>
  </si>
  <si>
    <t>G/840104/1FF102</t>
  </si>
  <si>
    <t>840103 Mobiliarios</t>
  </si>
  <si>
    <t>G/840103/1FF102</t>
  </si>
  <si>
    <t>840106 Herramientas</t>
  </si>
  <si>
    <t>G/840106/1FF102</t>
  </si>
  <si>
    <t>G/840107/1FF102</t>
  </si>
  <si>
    <t>G/840104/1GG101</t>
  </si>
  <si>
    <t>G/840103/1GG101</t>
  </si>
  <si>
    <t>G/840106/1GG101</t>
  </si>
  <si>
    <t>G/840107/1GG101</t>
  </si>
  <si>
    <t>840108 Bienes Artísticos y Culturales</t>
  </si>
  <si>
    <t>G/840108/1GG101</t>
  </si>
  <si>
    <t>G/840104/2QH209</t>
  </si>
  <si>
    <t>G/840107/2QH209</t>
  </si>
  <si>
    <t>G/840107/2FH211</t>
  </si>
  <si>
    <t>G/840107/1II101</t>
  </si>
  <si>
    <t>840401 Patentes, Derechos de Autor, Marcas Registr</t>
  </si>
  <si>
    <t>G/840401/1II101</t>
  </si>
  <si>
    <t>G/840103/1II102</t>
  </si>
  <si>
    <t>G/840104/1II102</t>
  </si>
  <si>
    <t>G/840107/1II102</t>
  </si>
  <si>
    <t>G/840103/1JJ103</t>
  </si>
  <si>
    <t>G/840104/1JJ103</t>
  </si>
  <si>
    <t>G/840107/1JJ103</t>
  </si>
  <si>
    <t>840113 Equipos Médicos</t>
  </si>
  <si>
    <t>G/840113/1JJ103</t>
  </si>
  <si>
    <t>G/840104/3KK305</t>
  </si>
  <si>
    <t>G/840107/3KK305</t>
  </si>
  <si>
    <t>G/840103/3KK305</t>
  </si>
  <si>
    <t>G/840106/3KK305</t>
  </si>
  <si>
    <t>840203 Bienes Prefabricados (Inmuebles)</t>
  </si>
  <si>
    <t>G/840203/3KK305</t>
  </si>
  <si>
    <t>G/840104/3KK308</t>
  </si>
  <si>
    <t>G/840107/3KK308</t>
  </si>
  <si>
    <t>G/840103/3KK308</t>
  </si>
  <si>
    <t>840105 Vehículos</t>
  </si>
  <si>
    <t>G/840105/3KK310</t>
  </si>
  <si>
    <t>840301 Terrenos (Expropiación)</t>
  </si>
  <si>
    <t>G/840301/3KK310</t>
  </si>
  <si>
    <t>G/840104/1AL101</t>
  </si>
  <si>
    <t>G/840103/1AL101</t>
  </si>
  <si>
    <t>G/840107/1AL101</t>
  </si>
  <si>
    <t>840402 Licencias Computacionales</t>
  </si>
  <si>
    <t>G/840402/1AL101</t>
  </si>
  <si>
    <t>G/840103/1BL101</t>
  </si>
  <si>
    <t>G/840104/1BL101</t>
  </si>
  <si>
    <t>G/840105/1BL101</t>
  </si>
  <si>
    <t>G/840107/1BL101</t>
  </si>
  <si>
    <t>G/840104/1EL101</t>
  </si>
  <si>
    <t>G/840401/1EL101</t>
  </si>
  <si>
    <t>G/840301/1AL101</t>
  </si>
  <si>
    <t>G/840107/1MM103</t>
  </si>
  <si>
    <t>G/840104/1FM103</t>
  </si>
  <si>
    <t>G/840113/1FM103</t>
  </si>
  <si>
    <t>G/840107/1FM103</t>
  </si>
  <si>
    <t>G/840103/1FM103</t>
  </si>
  <si>
    <t>G/840103/1MM103</t>
  </si>
  <si>
    <t>G/840104/1MM103</t>
  </si>
  <si>
    <t>G/840105/1MM103</t>
  </si>
  <si>
    <t>840111 Partes y Repuestos</t>
  </si>
  <si>
    <t>G/840111/1MM103</t>
  </si>
  <si>
    <t>G/840113/1MM103</t>
  </si>
  <si>
    <t>840115 Equipos Odontológicos</t>
  </si>
  <si>
    <t>G/840115/1MM103</t>
  </si>
  <si>
    <t>G/840107/1NN103</t>
  </si>
  <si>
    <t>G/840104/1NN103</t>
  </si>
  <si>
    <t>G/840107/1FN103</t>
  </si>
  <si>
    <t>840512 Semovientes</t>
  </si>
  <si>
    <t>G/840512/1NN103</t>
  </si>
  <si>
    <t>G/840107/3NN301</t>
  </si>
  <si>
    <t>G/840103/3FN301</t>
  </si>
  <si>
    <t>G/840104/3FN301</t>
  </si>
  <si>
    <t>G/840107/3FN301</t>
  </si>
  <si>
    <t>G/840104/3NN301</t>
  </si>
  <si>
    <t>G/840106/3NN301</t>
  </si>
  <si>
    <t>G/840103/3PP303</t>
  </si>
  <si>
    <t>G/840107/3PP306</t>
  </si>
  <si>
    <t>G/840104/3FP306</t>
  </si>
  <si>
    <t>G/840107/3FP306</t>
  </si>
  <si>
    <t>96</t>
  </si>
  <si>
    <t>96 AMORTIZACIÓN DE LA DEUDA PÚBLICA</t>
  </si>
  <si>
    <t>960201 Al Sector Público Financiero</t>
  </si>
  <si>
    <t>G/960201/1AL101</t>
  </si>
  <si>
    <t>960301 A Organismos Multilaterales</t>
  </si>
  <si>
    <t>G/960301/1AL101</t>
  </si>
  <si>
    <t>960604 Al Sector Privado no Financiero</t>
  </si>
  <si>
    <t>G/960604/1AL101</t>
  </si>
  <si>
    <t>99</t>
  </si>
  <si>
    <t>99 OTROS PASIVOS</t>
  </si>
  <si>
    <t>990103 Obligaciones de Ejercicios Anteriores por L</t>
  </si>
  <si>
    <t>G/990103/1AA101</t>
  </si>
  <si>
    <t>990101 Obligaciones de Ejercicios Anteriores por E</t>
  </si>
  <si>
    <t>G/990101/1AA101</t>
  </si>
  <si>
    <t>G/990101/1BA101</t>
  </si>
  <si>
    <t>G/990101/1FF102</t>
  </si>
  <si>
    <t>Grupo</t>
  </si>
  <si>
    <t>Area</t>
  </si>
  <si>
    <t>Sector Texto</t>
  </si>
  <si>
    <t>Centro gestor</t>
  </si>
  <si>
    <t>Des.Centro Gestor</t>
  </si>
  <si>
    <t>Programa</t>
  </si>
  <si>
    <t>Programa Texto</t>
  </si>
  <si>
    <t>Proyecto</t>
  </si>
  <si>
    <t>Des.Proyecto</t>
  </si>
  <si>
    <t>Partida - Descripción</t>
  </si>
  <si>
    <t>Partida</t>
  </si>
  <si>
    <t>Posición Presupuestaria</t>
  </si>
  <si>
    <t>Fondo</t>
  </si>
  <si>
    <t>Asignación inicial</t>
  </si>
  <si>
    <t>Traspasos</t>
  </si>
  <si>
    <t>Reformas</t>
  </si>
  <si>
    <t>Codificado</t>
  </si>
  <si>
    <t>Certificado</t>
  </si>
  <si>
    <t>Comprometido</t>
  </si>
  <si>
    <t>Devengado</t>
  </si>
  <si>
    <t>Saldo por Comprometer</t>
  </si>
  <si>
    <t>Saldo por Devengar</t>
  </si>
  <si>
    <t>Disponible</t>
  </si>
  <si>
    <t>Total general</t>
  </si>
  <si>
    <t>Asignación inicial 2020</t>
  </si>
  <si>
    <t>Codificado 2020</t>
  </si>
  <si>
    <t>Reformas 2020</t>
  </si>
  <si>
    <t>Proforma 2021</t>
  </si>
  <si>
    <t>Área / Sector / Centro Gestor</t>
  </si>
  <si>
    <t xml:space="preserve"> % Part 2021</t>
  </si>
  <si>
    <t>SECRETARIA AMBIENTE</t>
  </si>
  <si>
    <t>DM DE CATASTRO</t>
  </si>
  <si>
    <t>DM BIENES INMUEBLES</t>
  </si>
  <si>
    <t>DM GESTION DOCUMENTA</t>
  </si>
  <si>
    <t>DM SERVIC CIUDADANOS</t>
  </si>
  <si>
    <t>DM TRIBUTARIA</t>
  </si>
  <si>
    <t>PROCURADURIA METROPO</t>
  </si>
  <si>
    <t>INSTTUTO DE LA CIUDA</t>
  </si>
  <si>
    <t>INSTITUTO DE CAPACITACIÓN METROPOLITANO</t>
  </si>
  <si>
    <t>Total MDMQ</t>
  </si>
  <si>
    <t xml:space="preserve">Variación Proforma 2021 - Asignación Inicial 2020 </t>
  </si>
  <si>
    <t>Variación Proforma 2021 - Codificado 2020</t>
  </si>
  <si>
    <t>%</t>
  </si>
  <si>
    <t>Area / Sector / Centro Gestor</t>
  </si>
  <si>
    <t>CUADRO NRO. 5</t>
  </si>
  <si>
    <t>MUNICIPIO  DEL DISTRITO METROPOLITANO DE QUITO</t>
  </si>
  <si>
    <t>PROFORMA PRESUPUESTARIA 2021</t>
  </si>
  <si>
    <t>GASTOS POR DEPENDENCIA</t>
  </si>
  <si>
    <t>GAD DEL DISTRITO METROPOLITANO DE QUITO</t>
  </si>
  <si>
    <t>PROYECTO METRO DE QUITO</t>
  </si>
  <si>
    <t>Total Proyecto METRO</t>
  </si>
  <si>
    <t>Total General</t>
  </si>
  <si>
    <t>100.00%</t>
  </si>
  <si>
    <t>Fuente: SIPARI</t>
  </si>
  <si>
    <t>Elaborado por: Unidad de Presupuesto</t>
  </si>
  <si>
    <t>CUADRO COMPARATIVO PRESUPUESTO 2020, PROFORMA 2021</t>
  </si>
  <si>
    <t>AL 1 DE DICIEMBRE DE 2020</t>
  </si>
  <si>
    <t>Devengado 1/12/2020</t>
  </si>
  <si>
    <t>Devengado 30/10/2020</t>
  </si>
  <si>
    <t>530221 Servicios Personales Eventuales sin Relació</t>
  </si>
  <si>
    <t>G/530221/1AA101</t>
  </si>
  <si>
    <t>G/530801/1QA101</t>
  </si>
  <si>
    <t>530806 Herramientas y Equipos Menores</t>
  </si>
  <si>
    <t>G/530806/1FA101</t>
  </si>
  <si>
    <t>G/530809/1QA101</t>
  </si>
  <si>
    <t>531408 Bienes Artísticos, Culturales, Bienes De</t>
  </si>
  <si>
    <t>G/531408/1FA101</t>
  </si>
  <si>
    <t>Etiquetas de fila</t>
  </si>
  <si>
    <t>Suma de Devengado</t>
  </si>
  <si>
    <t>Reforma 2020</t>
  </si>
  <si>
    <t>Partida Presupuestaria</t>
  </si>
  <si>
    <t xml:space="preserve"> Asignación inicial</t>
  </si>
  <si>
    <t xml:space="preserve"> Reformas</t>
  </si>
  <si>
    <t xml:space="preserve"> Codificado</t>
  </si>
  <si>
    <t xml:space="preserve"> Devengado a Octubre</t>
  </si>
  <si>
    <t xml:space="preserve"> Proforma Presupuestaria 2021</t>
  </si>
  <si>
    <t xml:space="preserve"> Variación Proforma 2021 - Asignación Inicial 2020 </t>
  </si>
  <si>
    <t xml:space="preserve"> % Variación Proforma 2021 - Asignación Inicial 2020 </t>
  </si>
  <si>
    <t xml:space="preserve"> Variación Proforma 2021 - Codificado 2020</t>
  </si>
  <si>
    <t xml:space="preserve"> %Variación Proforma 2021 - Codificado 2020</t>
  </si>
  <si>
    <t>110102 A la Utilidad por la Venta de Predios Urban</t>
  </si>
  <si>
    <t>110201 A los Predios Urbanos</t>
  </si>
  <si>
    <t>110202 A los Predios Rurales</t>
  </si>
  <si>
    <t>110203 A la Inscripción en el Registro de la Propi</t>
  </si>
  <si>
    <t>110205 De Vehículos Motorizados de Transporte Terr</t>
  </si>
  <si>
    <t>110206 De Alcabalas</t>
  </si>
  <si>
    <t>110207 A los Activos Totales</t>
  </si>
  <si>
    <t>110312 A los Espectáculos Públicos</t>
  </si>
  <si>
    <t>110704 Patentes Comerciales, Industriales, Financi</t>
  </si>
  <si>
    <t>110710 Al Juego</t>
  </si>
  <si>
    <t>130102 Acceso a Lugares Públicos</t>
  </si>
  <si>
    <t>130103 Ocupación de Lugares Públicos</t>
  </si>
  <si>
    <t>130107 Venta de Bases</t>
  </si>
  <si>
    <t>130108 Prestación de Servicios</t>
  </si>
  <si>
    <t>130110 Control de Alimentos y de Establecimientos</t>
  </si>
  <si>
    <t>130111 Inscripciones, Registros y Matrículas</t>
  </si>
  <si>
    <t>130112 Permisos, Licencias y Patentes</t>
  </si>
  <si>
    <t>130113 Registro Sanitario y Toxicología</t>
  </si>
  <si>
    <t>130118 Aprobación de Planos e Inspección de Constr</t>
  </si>
  <si>
    <t>130128 Patentes de Conservación Minera</t>
  </si>
  <si>
    <t>130199 Otras Tasas</t>
  </si>
  <si>
    <t>130307 Superficiarios Mineros</t>
  </si>
  <si>
    <t>130308 Regalías Mineras</t>
  </si>
  <si>
    <t>130399 Otras Concesiones</t>
  </si>
  <si>
    <t>130407 Repavimentación Urbana</t>
  </si>
  <si>
    <t>130408 Aceras, Bordillos y Cercas</t>
  </si>
  <si>
    <t>130413 Obras de Regeneración Urbana</t>
  </si>
  <si>
    <t>130499 Otras Contribuciones</t>
  </si>
  <si>
    <t>140204 De Oficina, Didácticos y Publicaciones</t>
  </si>
  <si>
    <t>140306 De Correos</t>
  </si>
  <si>
    <t>170107 Dividendos de Sociedades y Empresas Privada</t>
  </si>
  <si>
    <t>170199 Intereses por Otras Operaciones</t>
  </si>
  <si>
    <t>170202 Edificios, Locales y Residencias</t>
  </si>
  <si>
    <t>170301 Tributaria</t>
  </si>
  <si>
    <t>170401 Tributarias</t>
  </si>
  <si>
    <t>170402 Infracción a Ordenanzas Municipales</t>
  </si>
  <si>
    <t>170404 Incumplimientos de Contratos</t>
  </si>
  <si>
    <t>170416 Infracciones a la Ley Orgánica de Transport</t>
  </si>
  <si>
    <t>170499 Otras Multas</t>
  </si>
  <si>
    <t>190101 Ejecución de Garantías</t>
  </si>
  <si>
    <t>190201 Indemnizaciones por Siniestros</t>
  </si>
  <si>
    <t>190299 Otras Indemnizaciones y Valores no Reclamad</t>
  </si>
  <si>
    <t>190401 Comisiones</t>
  </si>
  <si>
    <t>190407 Devolución de disponibilidades</t>
  </si>
  <si>
    <t>190499 Otros no Especificados</t>
  </si>
  <si>
    <t>240105 Vehículos</t>
  </si>
  <si>
    <t>240201 Terrenos</t>
  </si>
  <si>
    <t>240202 Edificios, Locales y Residencias</t>
  </si>
  <si>
    <t>280101 Del Presupuesto General del Estado</t>
  </si>
  <si>
    <t>280301 De Organismos Multilaterales</t>
  </si>
  <si>
    <t>281002 Del Presupuesto General de Estado a Gobiern</t>
  </si>
  <si>
    <t>360301 De Organismos Multilaterales</t>
  </si>
  <si>
    <t>370102 De Fondos de Autogestión</t>
  </si>
  <si>
    <t>370104 De Préstamos</t>
  </si>
  <si>
    <t>380101 De Cuentas por Cobrar</t>
  </si>
  <si>
    <t>380107 De anticipos por Devengar de Ejercicios Ant</t>
  </si>
  <si>
    <t>380108 De anticipos por Devengar de Ejercicios Ant</t>
  </si>
  <si>
    <t>FUENTE:SIPARI</t>
  </si>
  <si>
    <t>CEDULA PRESUPUESTARIA  DE INGRESOS PROYECTO METRO DE QUITO</t>
  </si>
  <si>
    <t>281002 Del Presupuesto General de Estado a Gobiernos Autónomos Descentralizados Municipales</t>
  </si>
  <si>
    <t xml:space="preserve">Area / Sector / Centro Gestor  </t>
  </si>
  <si>
    <t>CUADRO COMPARATIVO GASTOS PRESUPUESTO 2020, PROFORMA 2021</t>
  </si>
  <si>
    <t>CUADRO COMPARATIVO INGRESOS PRESUPUESTO 2020, PROFORMA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</si>
</sst>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6" formatCode="_(* #,##0.00_);_(* \(#,##0.00\);_(* &quot;-&quot;??_);_(@_)"/>
  </numFmts>
  <fonts count="18" x14ac:knownFonts="1">
    <font>
      <sz val="10"/>
      <name val="Arial"/>
    </font>
    <font>
      <b/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7"/>
      <color rgb="FFFFFFFF"/>
      <name val="Century Gothic"/>
      <family val="2"/>
    </font>
    <font>
      <b/>
      <sz val="7"/>
      <color rgb="FF000000"/>
      <name val="Century Gothic"/>
      <family val="2"/>
    </font>
    <font>
      <sz val="7"/>
      <name val="Century Gothic"/>
      <family val="2"/>
    </font>
    <font>
      <b/>
      <sz val="7"/>
      <name val="Century Gothic"/>
      <family val="2"/>
    </font>
    <font>
      <b/>
      <sz val="8"/>
      <name val="Century Gothic"/>
      <family val="2"/>
    </font>
    <font>
      <sz val="11"/>
      <name val="Calibri"/>
      <family val="2"/>
    </font>
    <font>
      <sz val="6"/>
      <name val="Century Gothic"/>
      <family val="2"/>
    </font>
    <font>
      <b/>
      <sz val="10"/>
      <name val="Arial"/>
      <family val="2"/>
    </font>
    <font>
      <sz val="10"/>
      <name val="Arial"/>
    </font>
    <font>
      <b/>
      <sz val="10"/>
      <color theme="1"/>
      <name val="Arial"/>
    </font>
    <font>
      <sz val="10"/>
      <color theme="1"/>
      <name val="Arial"/>
    </font>
    <font>
      <sz val="10"/>
      <color theme="0"/>
      <name val="Arial"/>
    </font>
    <font>
      <sz val="8"/>
      <name val="Arial"/>
      <family val="2"/>
    </font>
    <font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4472C4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theme="4" tint="0.39997558519241921"/>
        <bgColor theme="4" tint="0.39997558519241921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 tint="0.79998168889431442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rgb="FF3F3F3F"/>
      </left>
      <right/>
      <top style="medium">
        <color rgb="FF3F3F3F"/>
      </top>
      <bottom style="medium">
        <color rgb="FF3F3F3F"/>
      </bottom>
      <diagonal/>
    </border>
    <border>
      <left/>
      <right style="medium">
        <color rgb="FF3F3F3F"/>
      </right>
      <top style="medium">
        <color rgb="FF3F3F3F"/>
      </top>
      <bottom style="medium">
        <color rgb="FF3F3F3F"/>
      </bottom>
      <diagonal/>
    </border>
    <border>
      <left/>
      <right/>
      <top style="medium">
        <color rgb="FF3F3F3F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medium">
        <color rgb="FF5B9BD5"/>
      </bottom>
      <diagonal/>
    </border>
    <border>
      <left/>
      <right/>
      <top style="medium">
        <color rgb="FF5B9BD5"/>
      </top>
      <bottom style="double">
        <color rgb="FF5B9BD5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rgb="FF3F3F3F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double">
        <color rgb="FF5B9BD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3F3F3F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rgb="FF5B9BD5"/>
      </top>
      <bottom style="medium">
        <color rgb="FF5B9BD5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 style="thin">
        <color theme="4"/>
      </bottom>
      <diagonal/>
    </border>
    <border>
      <left/>
      <right/>
      <top style="double">
        <color theme="4" tint="-0.249977111117893"/>
      </top>
      <bottom/>
      <diagonal/>
    </border>
    <border>
      <left/>
      <right/>
      <top/>
      <bottom style="thin">
        <color theme="4" tint="0.79998168889431442"/>
      </bottom>
      <diagonal/>
    </border>
    <border>
      <left/>
      <right/>
      <top/>
      <bottom style="thin">
        <color theme="4" tint="0.59999389629810485"/>
      </bottom>
      <diagonal/>
    </border>
  </borders>
  <cellStyleXfs count="6">
    <xf numFmtId="0" fontId="0" fillId="0" borderId="0"/>
    <xf numFmtId="0" fontId="3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63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2" fontId="0" fillId="0" borderId="0" xfId="0" applyNumberFormat="1" applyAlignment="1">
      <alignment horizontal="right" vertical="top"/>
    </xf>
    <xf numFmtId="0" fontId="0" fillId="0" borderId="0" xfId="0" pivotButton="1" applyAlignment="1">
      <alignment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indent="1"/>
    </xf>
    <xf numFmtId="0" fontId="0" fillId="0" borderId="0" xfId="0" applyAlignment="1">
      <alignment horizontal="left" vertical="top" indent="2"/>
    </xf>
    <xf numFmtId="4" fontId="0" fillId="0" borderId="0" xfId="0" applyNumberFormat="1" applyAlignment="1">
      <alignment vertical="top"/>
    </xf>
    <xf numFmtId="4" fontId="0" fillId="0" borderId="0" xfId="0" applyNumberFormat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Border="1" applyAlignment="1">
      <alignment vertical="top"/>
    </xf>
    <xf numFmtId="4" fontId="1" fillId="3" borderId="3" xfId="0" applyNumberFormat="1" applyFont="1" applyFill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4" fontId="0" fillId="0" borderId="0" xfId="0" applyNumberFormat="1" applyBorder="1" applyAlignment="1">
      <alignment vertical="top"/>
    </xf>
    <xf numFmtId="4" fontId="1" fillId="0" borderId="0" xfId="0" applyNumberFormat="1" applyFont="1" applyBorder="1" applyAlignment="1">
      <alignment vertical="top"/>
    </xf>
    <xf numFmtId="4" fontId="2" fillId="0" borderId="7" xfId="0" applyNumberFormat="1" applyFont="1" applyBorder="1" applyAlignment="1">
      <alignment vertical="top"/>
    </xf>
    <xf numFmtId="10" fontId="2" fillId="0" borderId="7" xfId="0" applyNumberFormat="1" applyFont="1" applyBorder="1" applyAlignment="1">
      <alignment vertical="top"/>
    </xf>
    <xf numFmtId="10" fontId="0" fillId="0" borderId="0" xfId="0" applyNumberFormat="1" applyBorder="1" applyAlignment="1">
      <alignment vertical="top"/>
    </xf>
    <xf numFmtId="10" fontId="1" fillId="0" borderId="0" xfId="0" applyNumberFormat="1" applyFont="1" applyBorder="1" applyAlignment="1">
      <alignment vertical="top"/>
    </xf>
    <xf numFmtId="10" fontId="1" fillId="0" borderId="2" xfId="0" applyNumberFormat="1" applyFont="1" applyBorder="1" applyAlignment="1">
      <alignment vertical="top"/>
    </xf>
    <xf numFmtId="10" fontId="1" fillId="3" borderId="3" xfId="0" applyNumberFormat="1" applyFont="1" applyFill="1" applyBorder="1" applyAlignment="1">
      <alignment vertical="top"/>
    </xf>
    <xf numFmtId="0" fontId="3" fillId="0" borderId="0" xfId="1" applyAlignment="1">
      <alignment vertical="top"/>
    </xf>
    <xf numFmtId="0" fontId="8" fillId="0" borderId="0" xfId="1" applyFont="1" applyBorder="1" applyAlignment="1">
      <alignment horizontal="center" vertical="center"/>
    </xf>
    <xf numFmtId="0" fontId="9" fillId="0" borderId="0" xfId="1" applyFont="1" applyAlignment="1">
      <alignment vertical="top"/>
    </xf>
    <xf numFmtId="0" fontId="3" fillId="0" borderId="0" xfId="1" applyBorder="1" applyAlignment="1">
      <alignment vertical="top"/>
    </xf>
    <xf numFmtId="0" fontId="4" fillId="4" borderId="5" xfId="1" applyFont="1" applyFill="1" applyBorder="1" applyAlignment="1">
      <alignment vertical="center"/>
    </xf>
    <xf numFmtId="4" fontId="4" fillId="5" borderId="6" xfId="1" applyNumberFormat="1" applyFont="1" applyFill="1" applyBorder="1" applyAlignment="1">
      <alignment horizontal="right" vertical="center"/>
    </xf>
    <xf numFmtId="10" fontId="4" fillId="5" borderId="6" xfId="1" applyNumberFormat="1" applyFont="1" applyFill="1" applyBorder="1" applyAlignment="1">
      <alignment horizontal="right" vertical="center"/>
    </xf>
    <xf numFmtId="4" fontId="5" fillId="6" borderId="2" xfId="1" applyNumberFormat="1" applyFont="1" applyFill="1" applyBorder="1" applyAlignment="1">
      <alignment horizontal="right" vertical="center"/>
    </xf>
    <xf numFmtId="10" fontId="5" fillId="6" borderId="2" xfId="1" applyNumberFormat="1" applyFont="1" applyFill="1" applyBorder="1" applyAlignment="1">
      <alignment horizontal="right" vertical="center"/>
    </xf>
    <xf numFmtId="4" fontId="6" fillId="0" borderId="7" xfId="1" applyNumberFormat="1" applyFont="1" applyBorder="1" applyAlignment="1">
      <alignment horizontal="right" vertical="center"/>
    </xf>
    <xf numFmtId="10" fontId="6" fillId="0" borderId="7" xfId="1" applyNumberFormat="1" applyFont="1" applyBorder="1" applyAlignment="1">
      <alignment horizontal="right" vertical="center"/>
    </xf>
    <xf numFmtId="4" fontId="5" fillId="6" borderId="7" xfId="1" applyNumberFormat="1" applyFont="1" applyFill="1" applyBorder="1" applyAlignment="1">
      <alignment horizontal="right" vertical="center"/>
    </xf>
    <xf numFmtId="10" fontId="5" fillId="6" borderId="7" xfId="1" applyNumberFormat="1" applyFont="1" applyFill="1" applyBorder="1" applyAlignment="1">
      <alignment horizontal="right" vertical="center"/>
    </xf>
    <xf numFmtId="10" fontId="6" fillId="0" borderId="0" xfId="1" applyNumberFormat="1" applyFont="1" applyAlignment="1">
      <alignment horizontal="right" vertical="center"/>
    </xf>
    <xf numFmtId="4" fontId="5" fillId="6" borderId="19" xfId="1" applyNumberFormat="1" applyFont="1" applyFill="1" applyBorder="1" applyAlignment="1">
      <alignment horizontal="right" vertical="center"/>
    </xf>
    <xf numFmtId="10" fontId="5" fillId="6" borderId="19" xfId="1" applyNumberFormat="1" applyFont="1" applyFill="1" applyBorder="1" applyAlignment="1">
      <alignment horizontal="right" vertical="center"/>
    </xf>
    <xf numFmtId="4" fontId="4" fillId="5" borderId="7" xfId="1" applyNumberFormat="1" applyFont="1" applyFill="1" applyBorder="1" applyAlignment="1">
      <alignment horizontal="right" vertical="center"/>
    </xf>
    <xf numFmtId="10" fontId="4" fillId="5" borderId="7" xfId="1" applyNumberFormat="1" applyFont="1" applyFill="1" applyBorder="1" applyAlignment="1">
      <alignment horizontal="right" vertical="center"/>
    </xf>
    <xf numFmtId="4" fontId="4" fillId="5" borderId="0" xfId="1" applyNumberFormat="1" applyFont="1" applyFill="1" applyAlignment="1">
      <alignment horizontal="right" vertical="center"/>
    </xf>
    <xf numFmtId="10" fontId="4" fillId="5" borderId="0" xfId="1" applyNumberFormat="1" applyFont="1" applyFill="1" applyAlignment="1">
      <alignment horizontal="right" vertical="center"/>
    </xf>
    <xf numFmtId="4" fontId="5" fillId="0" borderId="9" xfId="1" applyNumberFormat="1" applyFont="1" applyBorder="1" applyAlignment="1">
      <alignment horizontal="right" vertical="center"/>
    </xf>
    <xf numFmtId="10" fontId="5" fillId="0" borderId="9" xfId="1" applyNumberFormat="1" applyFont="1" applyBorder="1" applyAlignment="1">
      <alignment horizontal="right" vertical="center"/>
    </xf>
    <xf numFmtId="4" fontId="3" fillId="0" borderId="0" xfId="1" applyNumberFormat="1" applyAlignment="1">
      <alignment vertical="top"/>
    </xf>
    <xf numFmtId="0" fontId="4" fillId="4" borderId="22" xfId="1" applyFont="1" applyFill="1" applyBorder="1" applyAlignment="1">
      <alignment vertical="center"/>
    </xf>
    <xf numFmtId="0" fontId="4" fillId="4" borderId="23" xfId="1" applyFont="1" applyFill="1" applyBorder="1" applyAlignment="1">
      <alignment vertical="center"/>
    </xf>
    <xf numFmtId="4" fontId="5" fillId="6" borderId="0" xfId="1" applyNumberFormat="1" applyFont="1" applyFill="1" applyAlignment="1">
      <alignment horizontal="right" vertical="center"/>
    </xf>
    <xf numFmtId="10" fontId="5" fillId="6" borderId="0" xfId="1" applyNumberFormat="1" applyFont="1" applyFill="1" applyAlignment="1">
      <alignment horizontal="right" vertical="center"/>
    </xf>
    <xf numFmtId="4" fontId="6" fillId="0" borderId="0" xfId="1" applyNumberFormat="1" applyFont="1" applyAlignment="1">
      <alignment horizontal="right" vertical="center"/>
    </xf>
    <xf numFmtId="0" fontId="5" fillId="0" borderId="9" xfId="1" applyFont="1" applyBorder="1" applyAlignment="1">
      <alignment horizontal="right" vertical="center"/>
    </xf>
    <xf numFmtId="0" fontId="10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4" fontId="1" fillId="0" borderId="0" xfId="0" applyNumberFormat="1" applyFont="1" applyAlignment="1">
      <alignment vertical="top"/>
    </xf>
    <xf numFmtId="0" fontId="3" fillId="2" borderId="1" xfId="1" applyFill="1" applyBorder="1" applyAlignment="1">
      <alignment vertical="top"/>
    </xf>
    <xf numFmtId="2" fontId="3" fillId="0" borderId="0" xfId="1" applyNumberFormat="1" applyAlignment="1">
      <alignment horizontal="right" vertical="top"/>
    </xf>
    <xf numFmtId="0" fontId="1" fillId="3" borderId="3" xfId="0" applyFont="1" applyFill="1" applyBorder="1" applyAlignment="1">
      <alignment horizontal="left" vertical="top"/>
    </xf>
    <xf numFmtId="0" fontId="0" fillId="0" borderId="0" xfId="0" applyFill="1" applyAlignment="1">
      <alignment vertical="top"/>
    </xf>
    <xf numFmtId="2" fontId="0" fillId="0" borderId="0" xfId="0" applyNumberFormat="1" applyFill="1" applyAlignment="1">
      <alignment horizontal="right" vertical="top"/>
    </xf>
    <xf numFmtId="0" fontId="3" fillId="0" borderId="0" xfId="1" applyFill="1" applyAlignment="1">
      <alignment vertical="top"/>
    </xf>
    <xf numFmtId="2" fontId="3" fillId="0" borderId="0" xfId="1" applyNumberFormat="1" applyFill="1" applyAlignment="1">
      <alignment horizontal="right" vertical="top"/>
    </xf>
    <xf numFmtId="0" fontId="0" fillId="0" borderId="0" xfId="0" applyAlignment="1">
      <alignment horizontal="center" vertical="center" wrapText="1"/>
    </xf>
    <xf numFmtId="10" fontId="1" fillId="0" borderId="0" xfId="0" applyNumberFormat="1" applyFont="1" applyAlignment="1">
      <alignment vertical="top"/>
    </xf>
    <xf numFmtId="10" fontId="0" fillId="0" borderId="0" xfId="0" applyNumberFormat="1" applyAlignment="1">
      <alignment vertical="top"/>
    </xf>
    <xf numFmtId="0" fontId="9" fillId="0" borderId="20" xfId="1" applyFont="1" applyBorder="1" applyAlignment="1">
      <alignment vertical="center" wrapText="1"/>
    </xf>
    <xf numFmtId="0" fontId="9" fillId="0" borderId="0" xfId="1" applyFont="1" applyAlignment="1">
      <alignment vertical="center" wrapText="1"/>
    </xf>
    <xf numFmtId="0" fontId="4" fillId="5" borderId="0" xfId="1" applyFont="1" applyFill="1" applyBorder="1" applyAlignment="1">
      <alignment vertical="center"/>
    </xf>
    <xf numFmtId="0" fontId="5" fillId="6" borderId="0" xfId="1" applyFont="1" applyFill="1" applyAlignment="1">
      <alignment horizontal="left" vertical="center" indent="1"/>
    </xf>
    <xf numFmtId="0" fontId="6" fillId="0" borderId="8" xfId="1" applyFont="1" applyBorder="1" applyAlignment="1">
      <alignment horizontal="left" vertical="center" indent="2"/>
    </xf>
    <xf numFmtId="0" fontId="5" fillId="0" borderId="9" xfId="1" applyFont="1" applyBorder="1" applyAlignment="1">
      <alignment vertical="center"/>
    </xf>
    <xf numFmtId="0" fontId="9" fillId="0" borderId="24" xfId="1" applyFont="1" applyBorder="1" applyAlignment="1">
      <alignment vertical="top"/>
    </xf>
    <xf numFmtId="0" fontId="9" fillId="0" borderId="16" xfId="1" applyFont="1" applyBorder="1" applyAlignment="1">
      <alignment vertical="top"/>
    </xf>
    <xf numFmtId="0" fontId="7" fillId="0" borderId="10" xfId="1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7" fillId="0" borderId="13" xfId="1" applyFont="1" applyBorder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0" fontId="7" fillId="0" borderId="14" xfId="1" applyFont="1" applyBorder="1" applyAlignment="1">
      <alignment horizontal="center" vertical="center"/>
    </xf>
    <xf numFmtId="0" fontId="7" fillId="0" borderId="15" xfId="1" applyFont="1" applyBorder="1" applyAlignment="1">
      <alignment horizontal="center" vertical="center"/>
    </xf>
    <xf numFmtId="0" fontId="7" fillId="0" borderId="16" xfId="1" applyFont="1" applyBorder="1" applyAlignment="1">
      <alignment horizontal="center" vertical="center"/>
    </xf>
    <xf numFmtId="0" fontId="7" fillId="0" borderId="17" xfId="1" applyFont="1" applyBorder="1" applyAlignment="1">
      <alignment horizontal="center" vertical="center"/>
    </xf>
    <xf numFmtId="0" fontId="9" fillId="0" borderId="0" xfId="1" applyFont="1" applyBorder="1" applyAlignment="1">
      <alignment vertical="top"/>
    </xf>
    <xf numFmtId="0" fontId="4" fillId="4" borderId="21" xfId="1" applyFont="1" applyFill="1" applyBorder="1" applyAlignment="1">
      <alignment vertical="center"/>
    </xf>
    <xf numFmtId="0" fontId="4" fillId="4" borderId="22" xfId="1" applyFont="1" applyFill="1" applyBorder="1" applyAlignment="1">
      <alignment vertical="center"/>
    </xf>
    <xf numFmtId="0" fontId="6" fillId="0" borderId="7" xfId="1" applyFont="1" applyBorder="1" applyAlignment="1">
      <alignment horizontal="left" vertical="center" indent="2"/>
    </xf>
    <xf numFmtId="0" fontId="9" fillId="0" borderId="20" xfId="1" applyFont="1" applyBorder="1" applyAlignment="1">
      <alignment vertical="top"/>
    </xf>
    <xf numFmtId="0" fontId="5" fillId="6" borderId="2" xfId="1" applyFont="1" applyFill="1" applyBorder="1" applyAlignment="1">
      <alignment horizontal="left" vertical="center" indent="1"/>
    </xf>
    <xf numFmtId="0" fontId="5" fillId="6" borderId="7" xfId="1" applyFont="1" applyFill="1" applyBorder="1" applyAlignment="1">
      <alignment horizontal="left" vertical="center" indent="1"/>
    </xf>
    <xf numFmtId="0" fontId="4" fillId="5" borderId="0" xfId="1" applyFont="1" applyFill="1" applyAlignment="1">
      <alignment vertical="center"/>
    </xf>
    <xf numFmtId="0" fontId="5" fillId="6" borderId="19" xfId="1" applyFont="1" applyFill="1" applyBorder="1" applyAlignment="1">
      <alignment horizontal="left" vertical="center" indent="1"/>
    </xf>
    <xf numFmtId="0" fontId="4" fillId="5" borderId="7" xfId="1" applyFont="1" applyFill="1" applyBorder="1" applyAlignment="1">
      <alignment vertical="center"/>
    </xf>
    <xf numFmtId="0" fontId="6" fillId="0" borderId="0" xfId="1" applyFont="1" applyAlignment="1">
      <alignment horizontal="left" vertical="center" indent="2"/>
    </xf>
    <xf numFmtId="0" fontId="4" fillId="5" borderId="6" xfId="1" applyFont="1" applyFill="1" applyBorder="1" applyAlignment="1">
      <alignment vertical="center"/>
    </xf>
    <xf numFmtId="0" fontId="9" fillId="0" borderId="18" xfId="1" applyFont="1" applyBorder="1" applyAlignment="1">
      <alignment vertical="top"/>
    </xf>
    <xf numFmtId="0" fontId="4" fillId="4" borderId="4" xfId="1" applyFont="1" applyFill="1" applyBorder="1" applyAlignment="1">
      <alignment vertical="center"/>
    </xf>
    <xf numFmtId="0" fontId="4" fillId="4" borderId="5" xfId="1" applyFont="1" applyFill="1" applyBorder="1" applyAlignment="1">
      <alignment vertical="center"/>
    </xf>
    <xf numFmtId="0" fontId="11" fillId="0" borderId="0" xfId="0" applyFont="1" applyAlignment="1">
      <alignment horizontal="center" vertical="top"/>
    </xf>
    <xf numFmtId="4" fontId="14" fillId="0" borderId="25" xfId="0" applyNumberFormat="1" applyFont="1" applyBorder="1" applyAlignment="1">
      <alignment vertical="top"/>
    </xf>
    <xf numFmtId="4" fontId="14" fillId="3" borderId="26" xfId="0" applyNumberFormat="1" applyFont="1" applyFill="1" applyBorder="1" applyAlignment="1">
      <alignment vertical="top"/>
    </xf>
    <xf numFmtId="4" fontId="15" fillId="7" borderId="25" xfId="0" applyNumberFormat="1" applyFont="1" applyFill="1" applyBorder="1" applyAlignment="1">
      <alignment vertical="top"/>
    </xf>
    <xf numFmtId="4" fontId="13" fillId="0" borderId="27" xfId="0" applyNumberFormat="1" applyFont="1" applyBorder="1" applyAlignment="1">
      <alignment vertical="top"/>
    </xf>
    <xf numFmtId="4" fontId="15" fillId="8" borderId="29" xfId="0" applyNumberFormat="1" applyFont="1" applyFill="1" applyBorder="1" applyAlignment="1">
      <alignment horizontal="center" vertical="center" wrapText="1"/>
    </xf>
    <xf numFmtId="0" fontId="0" fillId="0" borderId="0" xfId="0" pivotButton="1" applyAlignment="1">
      <alignment horizontal="center" vertical="center"/>
    </xf>
    <xf numFmtId="43" fontId="15" fillId="7" borderId="25" xfId="2" applyFont="1" applyFill="1" applyBorder="1" applyAlignment="1">
      <alignment horizontal="left" vertical="top"/>
    </xf>
    <xf numFmtId="43" fontId="14" fillId="3" borderId="26" xfId="2" applyFont="1" applyFill="1" applyBorder="1" applyAlignment="1">
      <alignment horizontal="left" vertical="top" indent="1"/>
    </xf>
    <xf numFmtId="43" fontId="14" fillId="0" borderId="25" xfId="2" applyFont="1" applyBorder="1" applyAlignment="1">
      <alignment horizontal="left" vertical="top" indent="2"/>
    </xf>
    <xf numFmtId="43" fontId="13" fillId="0" borderId="27" xfId="2" applyFont="1" applyBorder="1" applyAlignment="1">
      <alignment horizontal="left" vertical="top"/>
    </xf>
    <xf numFmtId="10" fontId="15" fillId="7" borderId="25" xfId="3" applyNumberFormat="1" applyFont="1" applyFill="1" applyBorder="1" applyAlignment="1">
      <alignment vertical="top"/>
    </xf>
    <xf numFmtId="10" fontId="14" fillId="3" borderId="26" xfId="3" applyNumberFormat="1" applyFont="1" applyFill="1" applyBorder="1" applyAlignment="1">
      <alignment vertical="top"/>
    </xf>
    <xf numFmtId="10" fontId="14" fillId="0" borderId="25" xfId="3" applyNumberFormat="1" applyFont="1" applyBorder="1" applyAlignment="1">
      <alignment vertical="top"/>
    </xf>
    <xf numFmtId="10" fontId="13" fillId="0" borderId="27" xfId="3" applyNumberFormat="1" applyFont="1" applyBorder="1" applyAlignment="1">
      <alignment vertical="top"/>
    </xf>
    <xf numFmtId="0" fontId="11" fillId="9" borderId="0" xfId="1" applyFont="1" applyFill="1" applyAlignment="1">
      <alignment horizontal="center" vertical="top"/>
    </xf>
    <xf numFmtId="0" fontId="16" fillId="9" borderId="0" xfId="1" applyFont="1" applyFill="1" applyAlignment="1">
      <alignment vertical="top"/>
    </xf>
    <xf numFmtId="0" fontId="3" fillId="0" borderId="0" xfId="1" applyFont="1" applyAlignment="1">
      <alignment vertical="top"/>
    </xf>
    <xf numFmtId="0" fontId="0" fillId="0" borderId="0" xfId="0" applyAlignment="1">
      <alignment horizontal="center" vertical="center"/>
    </xf>
    <xf numFmtId="0" fontId="1" fillId="10" borderId="3" xfId="0" applyFont="1" applyFill="1" applyBorder="1" applyAlignment="1">
      <alignment horizontal="left" vertical="top"/>
    </xf>
    <xf numFmtId="4" fontId="1" fillId="10" borderId="3" xfId="0" applyNumberFormat="1" applyFont="1" applyFill="1" applyBorder="1" applyAlignment="1">
      <alignment vertical="top"/>
    </xf>
    <xf numFmtId="10" fontId="1" fillId="10" borderId="3" xfId="0" applyNumberFormat="1" applyFont="1" applyFill="1" applyBorder="1" applyAlignment="1">
      <alignment vertical="top"/>
    </xf>
    <xf numFmtId="0" fontId="11" fillId="10" borderId="3" xfId="1" applyFont="1" applyFill="1" applyBorder="1" applyAlignment="1">
      <alignment horizontal="left" vertical="top"/>
    </xf>
    <xf numFmtId="166" fontId="11" fillId="10" borderId="3" xfId="4" applyFont="1" applyFill="1" applyBorder="1" applyAlignment="1">
      <alignment vertical="top" wrapText="1"/>
    </xf>
    <xf numFmtId="166" fontId="11" fillId="10" borderId="3" xfId="4" applyFont="1" applyFill="1" applyBorder="1" applyAlignment="1">
      <alignment vertical="top"/>
    </xf>
    <xf numFmtId="10" fontId="11" fillId="10" borderId="3" xfId="5" applyNumberFormat="1" applyFont="1" applyFill="1" applyBorder="1" applyAlignment="1">
      <alignment vertical="top"/>
    </xf>
    <xf numFmtId="43" fontId="11" fillId="10" borderId="3" xfId="2" applyFont="1" applyFill="1" applyBorder="1" applyAlignment="1">
      <alignment vertical="top" wrapText="1"/>
    </xf>
    <xf numFmtId="43" fontId="11" fillId="10" borderId="3" xfId="2" applyFont="1" applyFill="1" applyBorder="1" applyAlignment="1">
      <alignment vertical="top"/>
    </xf>
    <xf numFmtId="0" fontId="3" fillId="7" borderId="25" xfId="0" applyFont="1" applyFill="1" applyBorder="1" applyAlignment="1">
      <alignment horizontal="left" vertical="top"/>
    </xf>
    <xf numFmtId="43" fontId="3" fillId="7" borderId="25" xfId="2" applyFont="1" applyFill="1" applyBorder="1" applyAlignment="1">
      <alignment horizontal="left" vertical="top"/>
    </xf>
    <xf numFmtId="4" fontId="3" fillId="7" borderId="25" xfId="0" applyNumberFormat="1" applyFont="1" applyFill="1" applyBorder="1" applyAlignment="1">
      <alignment vertical="top"/>
    </xf>
    <xf numFmtId="43" fontId="3" fillId="7" borderId="25" xfId="2" applyFont="1" applyFill="1" applyBorder="1" applyAlignment="1">
      <alignment vertical="top"/>
    </xf>
    <xf numFmtId="10" fontId="3" fillId="7" borderId="25" xfId="3" applyNumberFormat="1" applyFont="1" applyFill="1" applyBorder="1" applyAlignment="1">
      <alignment vertical="top"/>
    </xf>
    <xf numFmtId="0" fontId="3" fillId="3" borderId="26" xfId="0" applyFont="1" applyFill="1" applyBorder="1" applyAlignment="1">
      <alignment horizontal="left" vertical="top" indent="1"/>
    </xf>
    <xf numFmtId="43" fontId="3" fillId="3" borderId="26" xfId="2" applyFont="1" applyFill="1" applyBorder="1" applyAlignment="1">
      <alignment horizontal="left" vertical="top" indent="1"/>
    </xf>
    <xf numFmtId="4" fontId="3" fillId="3" borderId="26" xfId="0" applyNumberFormat="1" applyFont="1" applyFill="1" applyBorder="1" applyAlignment="1">
      <alignment vertical="top"/>
    </xf>
    <xf numFmtId="43" fontId="3" fillId="3" borderId="26" xfId="2" applyFont="1" applyFill="1" applyBorder="1" applyAlignment="1">
      <alignment vertical="top"/>
    </xf>
    <xf numFmtId="10" fontId="3" fillId="3" borderId="26" xfId="3" applyNumberFormat="1" applyFont="1" applyFill="1" applyBorder="1" applyAlignment="1">
      <alignment vertical="top"/>
    </xf>
    <xf numFmtId="0" fontId="3" fillId="0" borderId="25" xfId="0" applyFont="1" applyBorder="1" applyAlignment="1">
      <alignment horizontal="left" vertical="top" indent="2"/>
    </xf>
    <xf numFmtId="43" fontId="3" fillId="0" borderId="25" xfId="2" applyFont="1" applyBorder="1" applyAlignment="1">
      <alignment horizontal="left" vertical="top" indent="2"/>
    </xf>
    <xf numFmtId="4" fontId="3" fillId="0" borderId="25" xfId="0" applyNumberFormat="1" applyFont="1" applyBorder="1" applyAlignment="1">
      <alignment vertical="top"/>
    </xf>
    <xf numFmtId="43" fontId="3" fillId="0" borderId="25" xfId="2" applyFont="1" applyBorder="1" applyAlignment="1">
      <alignment vertical="top"/>
    </xf>
    <xf numFmtId="10" fontId="3" fillId="0" borderId="25" xfId="3" applyNumberFormat="1" applyFont="1" applyBorder="1" applyAlignment="1">
      <alignment vertical="top"/>
    </xf>
    <xf numFmtId="0" fontId="11" fillId="0" borderId="27" xfId="0" applyFont="1" applyBorder="1" applyAlignment="1">
      <alignment horizontal="left" vertical="top"/>
    </xf>
    <xf numFmtId="43" fontId="11" fillId="0" borderId="27" xfId="2" applyFont="1" applyBorder="1" applyAlignment="1">
      <alignment horizontal="left" vertical="top"/>
    </xf>
    <xf numFmtId="4" fontId="11" fillId="0" borderId="27" xfId="0" applyNumberFormat="1" applyFont="1" applyBorder="1" applyAlignment="1">
      <alignment vertical="top"/>
    </xf>
    <xf numFmtId="43" fontId="11" fillId="0" borderId="27" xfId="2" applyFont="1" applyBorder="1" applyAlignment="1">
      <alignment vertical="top"/>
    </xf>
    <xf numFmtId="10" fontId="11" fillId="0" borderId="27" xfId="3" applyNumberFormat="1" applyFont="1" applyBorder="1" applyAlignment="1">
      <alignment vertical="top"/>
    </xf>
    <xf numFmtId="0" fontId="3" fillId="9" borderId="0" xfId="1" applyFont="1" applyFill="1" applyAlignment="1">
      <alignment vertical="top"/>
    </xf>
    <xf numFmtId="166" fontId="3" fillId="9" borderId="0" xfId="4" applyFont="1" applyFill="1" applyAlignment="1">
      <alignment vertical="top" wrapText="1"/>
    </xf>
    <xf numFmtId="166" fontId="3" fillId="9" borderId="0" xfId="4" applyFont="1" applyFill="1" applyAlignment="1">
      <alignment vertical="top"/>
    </xf>
    <xf numFmtId="10" fontId="3" fillId="9" borderId="0" xfId="5" applyNumberFormat="1" applyFont="1" applyFill="1" applyAlignment="1">
      <alignment vertical="top"/>
    </xf>
    <xf numFmtId="0" fontId="3" fillId="0" borderId="0" xfId="1" applyFont="1" applyAlignment="1">
      <alignment horizontal="left" vertical="top"/>
    </xf>
    <xf numFmtId="166" fontId="3" fillId="0" borderId="0" xfId="4" applyFont="1" applyAlignment="1">
      <alignment vertical="top" wrapText="1"/>
    </xf>
    <xf numFmtId="166" fontId="3" fillId="0" borderId="0" xfId="4" applyFont="1" applyAlignment="1">
      <alignment vertical="top"/>
    </xf>
    <xf numFmtId="43" fontId="3" fillId="0" borderId="0" xfId="2" applyFont="1" applyAlignment="1">
      <alignment vertical="top"/>
    </xf>
    <xf numFmtId="10" fontId="3" fillId="0" borderId="0" xfId="5" applyNumberFormat="1" applyFont="1" applyAlignment="1">
      <alignment vertical="top"/>
    </xf>
    <xf numFmtId="0" fontId="11" fillId="8" borderId="28" xfId="0" applyFont="1" applyFill="1" applyBorder="1" applyAlignment="1">
      <alignment horizontal="center" vertical="center" wrapText="1"/>
    </xf>
    <xf numFmtId="0" fontId="11" fillId="0" borderId="0" xfId="1" applyFont="1" applyAlignment="1">
      <alignment vertical="top"/>
    </xf>
    <xf numFmtId="43" fontId="11" fillId="8" borderId="28" xfId="2" applyFont="1" applyFill="1" applyBorder="1" applyAlignment="1">
      <alignment horizontal="center" vertical="center" wrapText="1"/>
    </xf>
    <xf numFmtId="0" fontId="11" fillId="8" borderId="28" xfId="0" applyFont="1" applyFill="1" applyBorder="1" applyAlignment="1">
      <alignment horizontal="center" vertical="center"/>
    </xf>
    <xf numFmtId="4" fontId="11" fillId="8" borderId="29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applyNumberFormat="1" applyFont="1" applyAlignment="1">
      <alignment vertical="top"/>
    </xf>
    <xf numFmtId="0" fontId="11" fillId="10" borderId="3" xfId="0" applyFont="1" applyFill="1" applyBorder="1" applyAlignment="1">
      <alignment horizontal="left" vertical="top"/>
    </xf>
    <xf numFmtId="4" fontId="11" fillId="10" borderId="3" xfId="0" applyNumberFormat="1" applyFont="1" applyFill="1" applyBorder="1" applyAlignment="1">
      <alignment vertical="top"/>
    </xf>
    <xf numFmtId="10" fontId="11" fillId="10" borderId="3" xfId="0" applyNumberFormat="1" applyFont="1" applyFill="1" applyBorder="1" applyAlignment="1">
      <alignment vertical="top"/>
    </xf>
  </cellXfs>
  <cellStyles count="6">
    <cellStyle name="Millares" xfId="2" builtinId="3"/>
    <cellStyle name="Millares 2" xfId="4"/>
    <cellStyle name="Normal" xfId="0" builtinId="0"/>
    <cellStyle name="Normal 2" xfId="1"/>
    <cellStyle name="Porcentaje" xfId="3" builtinId="5"/>
    <cellStyle name="Porcentaje 2" xfId="5"/>
  </cellStyles>
  <dxfs count="42">
    <dxf>
      <alignment horizontal="center" vertical="center" readingOrder="0"/>
    </dxf>
    <dxf>
      <alignment horizontal="center"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numFmt numFmtId="4" formatCode="#,##0.00"/>
    </dxf>
    <dxf>
      <alignment horizontal="center" readingOrder="0"/>
    </dxf>
    <dxf>
      <alignment vertical="center" readingOrder="0"/>
    </dxf>
    <dxf>
      <alignment horizontal="general" readingOrder="0"/>
    </dxf>
    <dxf>
      <alignment vertical="bottom" readingOrder="0"/>
    </dxf>
    <dxf>
      <alignment vertical="center" readingOrder="0"/>
    </dxf>
    <dxf>
      <alignment wrapText="1" readingOrder="0"/>
    </dxf>
    <dxf>
      <alignment wrapText="0" readingOrder="0"/>
    </dxf>
    <dxf>
      <alignment horizontal="center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numFmt numFmtId="4" formatCode="#,##0.00"/>
    </dxf>
    <dxf>
      <alignment wrapText="1" readingOrder="0"/>
    </dxf>
    <dxf>
      <alignment wrapText="0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vertical="bottom" readingOrder="0"/>
    </dxf>
    <dxf>
      <alignment vertical="center" readingOrder="0"/>
    </dxf>
    <dxf>
      <alignment wrapText="1" readingOrder="0"/>
    </dxf>
    <dxf>
      <alignment wrapText="0" readingOrder="0"/>
    </dxf>
    <dxf>
      <alignment horizontal="center" readingOrder="0"/>
    </dxf>
    <dxf>
      <alignment wrapText="1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2" formatCode="0.0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ONIA%20LIZETH/PROFORMA/PROFORMA%2016-11-2020/CUADROS%20ANEXOS%2016-11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TIVO"/>
      <sheetName val="COMPARATIVO AL DETALLE"/>
      <sheetName val="GASTOS"/>
      <sheetName val="AREA"/>
      <sheetName val="SECTOR"/>
      <sheetName val="DEPENDENCIA"/>
      <sheetName val="PROFORMA 2021"/>
    </sheetNames>
    <sheetDataSet>
      <sheetData sheetId="0">
        <row r="9">
          <cell r="F9">
            <v>2700000</v>
          </cell>
        </row>
        <row r="10">
          <cell r="F10">
            <v>1785343.08</v>
          </cell>
        </row>
        <row r="12">
          <cell r="F12">
            <v>6235158.8300000001</v>
          </cell>
        </row>
        <row r="13">
          <cell r="F13">
            <v>6793542.9900000002</v>
          </cell>
        </row>
        <row r="14">
          <cell r="F14">
            <v>4585865.32</v>
          </cell>
        </row>
        <row r="15">
          <cell r="F15">
            <v>6126520.6600000001</v>
          </cell>
        </row>
        <row r="16">
          <cell r="F16">
            <v>5577270.04</v>
          </cell>
        </row>
        <row r="17">
          <cell r="F17">
            <v>5123838.04</v>
          </cell>
        </row>
        <row r="18">
          <cell r="F18">
            <v>4203137.45</v>
          </cell>
        </row>
        <row r="19">
          <cell r="F19">
            <v>4398709.24</v>
          </cell>
        </row>
        <row r="20">
          <cell r="F20">
            <v>2235872.58</v>
          </cell>
        </row>
        <row r="21">
          <cell r="F21">
            <v>1173868.82</v>
          </cell>
        </row>
        <row r="22">
          <cell r="F22">
            <v>898801.31</v>
          </cell>
        </row>
        <row r="24">
          <cell r="F24">
            <v>53669436.789999999</v>
          </cell>
        </row>
        <row r="25">
          <cell r="F25">
            <v>12000000</v>
          </cell>
        </row>
        <row r="26">
          <cell r="F26">
            <v>26475897.309999999</v>
          </cell>
        </row>
        <row r="27">
          <cell r="F27">
            <v>20000000</v>
          </cell>
        </row>
        <row r="28">
          <cell r="F28">
            <v>2126701.9299999997</v>
          </cell>
        </row>
        <row r="30">
          <cell r="F30">
            <v>23137551.670000002</v>
          </cell>
        </row>
        <row r="31">
          <cell r="F31">
            <v>5428956.1300000008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9560980.4100000001</v>
          </cell>
        </row>
        <row r="36">
          <cell r="F36">
            <v>2265673.0999999996</v>
          </cell>
        </row>
        <row r="39">
          <cell r="F39">
            <v>4851369.72</v>
          </cell>
        </row>
        <row r="40">
          <cell r="F40">
            <v>0</v>
          </cell>
        </row>
        <row r="42">
          <cell r="F42">
            <v>1500000</v>
          </cell>
        </row>
        <row r="43">
          <cell r="F43">
            <v>1000000</v>
          </cell>
        </row>
        <row r="44">
          <cell r="F44">
            <v>3500000</v>
          </cell>
        </row>
        <row r="45">
          <cell r="F45">
            <v>1249060.42</v>
          </cell>
        </row>
        <row r="48">
          <cell r="F48">
            <v>12652446.43</v>
          </cell>
        </row>
        <row r="49">
          <cell r="F49">
            <v>10011823.16</v>
          </cell>
        </row>
        <row r="50">
          <cell r="F50">
            <v>26000</v>
          </cell>
        </row>
        <row r="51">
          <cell r="F51">
            <v>1080000</v>
          </cell>
        </row>
        <row r="52">
          <cell r="F52">
            <v>10000</v>
          </cell>
        </row>
        <row r="53">
          <cell r="F53">
            <v>3777755.0900000003</v>
          </cell>
        </row>
        <row r="54">
          <cell r="F54">
            <v>9223000</v>
          </cell>
        </row>
        <row r="55">
          <cell r="F55">
            <v>94000</v>
          </cell>
        </row>
        <row r="56">
          <cell r="F56">
            <v>107908407.98999999</v>
          </cell>
        </row>
        <row r="57">
          <cell r="F57">
            <v>500</v>
          </cell>
        </row>
        <row r="58">
          <cell r="F58">
            <v>5336633.2799999993</v>
          </cell>
        </row>
        <row r="60">
          <cell r="F60">
            <v>8541821.4900000002</v>
          </cell>
        </row>
        <row r="62">
          <cell r="F62">
            <v>4226096.66</v>
          </cell>
        </row>
        <row r="64">
          <cell r="F64">
            <v>4046478.91</v>
          </cell>
        </row>
        <row r="65">
          <cell r="F65">
            <v>4624015.83</v>
          </cell>
        </row>
        <row r="66">
          <cell r="F66">
            <v>323667.14</v>
          </cell>
        </row>
        <row r="67">
          <cell r="F67">
            <v>366055.25</v>
          </cell>
        </row>
        <row r="68">
          <cell r="F68">
            <v>4000</v>
          </cell>
        </row>
        <row r="69">
          <cell r="F69">
            <v>800000</v>
          </cell>
        </row>
        <row r="71">
          <cell r="F71">
            <v>180000</v>
          </cell>
        </row>
        <row r="72">
          <cell r="F72">
            <v>0</v>
          </cell>
        </row>
        <row r="73">
          <cell r="F73">
            <v>1241304.1799999997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2600000</v>
          </cell>
        </row>
        <row r="79">
          <cell r="F79">
            <v>2400000</v>
          </cell>
        </row>
        <row r="80">
          <cell r="F80">
            <v>6624778.9900000002</v>
          </cell>
        </row>
        <row r="82">
          <cell r="F82">
            <v>1887367.0000000002</v>
          </cell>
        </row>
        <row r="83">
          <cell r="F83">
            <v>1960321.6199999999</v>
          </cell>
        </row>
        <row r="84">
          <cell r="F84">
            <v>17898253.030000001</v>
          </cell>
        </row>
        <row r="85">
          <cell r="F85">
            <v>2866425.6</v>
          </cell>
        </row>
        <row r="86">
          <cell r="F86">
            <v>1327639.22</v>
          </cell>
        </row>
        <row r="87">
          <cell r="F87">
            <v>1986722.4200000002</v>
          </cell>
        </row>
        <row r="88">
          <cell r="F88">
            <v>1302820.6299999999</v>
          </cell>
        </row>
        <row r="89">
          <cell r="F89">
            <v>1918523.1999999995</v>
          </cell>
        </row>
        <row r="90">
          <cell r="F90">
            <v>1486158.3499999999</v>
          </cell>
        </row>
        <row r="91">
          <cell r="F91">
            <v>3233025.75</v>
          </cell>
        </row>
        <row r="93">
          <cell r="F93">
            <v>750000</v>
          </cell>
        </row>
        <row r="94">
          <cell r="F94">
            <v>1842457.1400000001</v>
          </cell>
        </row>
        <row r="95">
          <cell r="F95">
            <v>11793189.08</v>
          </cell>
        </row>
        <row r="97">
          <cell r="F97">
            <v>7332347.4900000002</v>
          </cell>
        </row>
        <row r="98">
          <cell r="F98">
            <v>4241434.7799999993</v>
          </cell>
        </row>
        <row r="99">
          <cell r="F99">
            <v>6629692.7200000007</v>
          </cell>
        </row>
        <row r="100">
          <cell r="F100">
            <v>14444920.750000002</v>
          </cell>
        </row>
        <row r="111">
          <cell r="F111">
            <v>230775586.59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onia Lizeth Ortiz Zapata" refreshedDate="44166.738809027775" createdVersion="6" refreshedVersion="6" minRefreshableVersion="3" recordCount="8">
  <cacheSource type="worksheet">
    <worksheetSource ref="A1:W9" sheet="CEDULA 1-12-2020 metro"/>
  </cacheSource>
  <cacheFields count="23">
    <cacheField name="Grupo" numFmtId="0">
      <sharedItems/>
    </cacheField>
    <cacheField name="Area" numFmtId="0">
      <sharedItems count="1">
        <s v="COMUNALES"/>
      </sharedItems>
    </cacheField>
    <cacheField name="Sector Texto" numFmtId="0">
      <sharedItems count="1">
        <s v="MOVILIDAD"/>
      </sharedItems>
    </cacheField>
    <cacheField name="Centro gestor" numFmtId="0">
      <sharedItems/>
    </cacheField>
    <cacheField name="Des.Centro Gestor" numFmtId="0">
      <sharedItems count="1">
        <s v="Secretaría De Movilidad"/>
      </sharedItems>
    </cacheField>
    <cacheField name="Programa" numFmtId="0">
      <sharedItems/>
    </cacheField>
    <cacheField name="Programa Texto" numFmtId="0">
      <sharedItems/>
    </cacheField>
    <cacheField name="Proyecto" numFmtId="0">
      <sharedItems/>
    </cacheField>
    <cacheField name="Des.Proyecto" numFmtId="0">
      <sharedItems/>
    </cacheField>
    <cacheField name="Partida - Descripción" numFmtId="0">
      <sharedItems/>
    </cacheField>
    <cacheField name="Partida" numFmtId="0">
      <sharedItems/>
    </cacheField>
    <cacheField name="Posición Presupuestaria" numFmtId="0">
      <sharedItems/>
    </cacheField>
    <cacheField name="Fondo" numFmtId="0">
      <sharedItems/>
    </cacheField>
    <cacheField name="Asignación inicial" numFmtId="2">
      <sharedItems containsSemiMixedTypes="0" containsString="0" containsNumber="1" minValue="1101557.99" maxValue="203865868.09999999"/>
    </cacheField>
    <cacheField name="Traspasos" numFmtId="2">
      <sharedItems containsSemiMixedTypes="0" containsString="0" containsNumber="1" minValue="-2392301.5699999998" maxValue="2392301.5699999998"/>
    </cacheField>
    <cacheField name="Reformas" numFmtId="2">
      <sharedItems containsSemiMixedTypes="0" containsString="0" containsNumber="1" minValue="-86002929.489999995" maxValue="0"/>
    </cacheField>
    <cacheField name="Codificado" numFmtId="2">
      <sharedItems containsSemiMixedTypes="0" containsString="0" containsNumber="1" minValue="300000" maxValue="115470637.04000001"/>
    </cacheField>
    <cacheField name="Certificado" numFmtId="2">
      <sharedItems containsSemiMixedTypes="0" containsString="0" containsNumber="1" containsInteger="1" minValue="0" maxValue="3338000"/>
    </cacheField>
    <cacheField name="Comprometido" numFmtId="2">
      <sharedItems containsSemiMixedTypes="0" containsString="0" containsNumber="1" minValue="0" maxValue="115470637.04000001"/>
    </cacheField>
    <cacheField name="Devengado" numFmtId="2">
      <sharedItems containsSemiMixedTypes="0" containsString="0" containsNumber="1" minValue="0" maxValue="82982812.25"/>
    </cacheField>
    <cacheField name="Saldo por Comprometer" numFmtId="2">
      <sharedItems containsSemiMixedTypes="0" containsString="0" containsNumber="1" minValue="0" maxValue="34618258.969999999"/>
    </cacheField>
    <cacheField name="Saldo por Devengar" numFmtId="2">
      <sharedItems containsSemiMixedTypes="0" containsString="0" containsNumber="1" minValue="0.03" maxValue="34618258.969999999"/>
    </cacheField>
    <cacheField name="Disponible" numFmtId="2">
      <sharedItems containsSemiMixedTypes="0" containsString="0" containsNumber="1" minValue="0" maxValue="34618258.96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Sonia Lizeth Ortiz Zapata" refreshedDate="44166.745714351855" createdVersion="6" refreshedVersion="6" minRefreshableVersion="3" recordCount="3935">
  <cacheSource type="worksheet">
    <worksheetSource ref="A1:W3936" sheet="CEDULA 1-12-2020"/>
  </cacheSource>
  <cacheFields count="23">
    <cacheField name="Grupo" numFmtId="0">
      <sharedItems/>
    </cacheField>
    <cacheField name="Area" numFmtId="0">
      <sharedItems count="4">
        <s v="GENERALES"/>
        <s v="SOCIALES"/>
        <s v="COMUNALES"/>
        <s v="ECONÓMICOS"/>
      </sharedItems>
    </cacheField>
    <cacheField name="Sector Texto" numFmtId="0">
      <sharedItems count="16">
        <s v="ADMINISTRACION GENERAL"/>
        <s v="COORDINACION DE ALCALDIA Y SECRETARIA DEL CONCEJO"/>
        <s v="SALUD"/>
        <s v="MOVILIDAD"/>
        <s v="PLANIFICACION"/>
        <s v="INCLUSION SOCIAL"/>
        <s v="AGENCIA DE COORDINACIÓN DISTRITAL DE COMERCIO"/>
        <s v="COORDINACION TERRITORIAL Y PARTICIPACION CIUDADANA"/>
        <s v="TERRITORIO HABITAT Y VIVIENDA"/>
        <s v="SEGURIDAD Y GOBERNABILIDAD"/>
        <s v="EDUCACION, RECREACION Y DEPORTE"/>
        <s v="DESARROLLO PRODUCTIVO Y COMPETITIVIDAD"/>
        <s v="AGENCIA METROPOLITANA DE CONTROL"/>
        <s v="AMBIENTE"/>
        <s v="COMUNICACION"/>
        <s v="CULTURA"/>
      </sharedItems>
    </cacheField>
    <cacheField name="Centro gestor" numFmtId="0">
      <sharedItems/>
    </cacheField>
    <cacheField name="Des.Centro Gestor" numFmtId="0">
      <sharedItems count="74">
        <s v="Registro de la Propiedad"/>
        <s v="DM de Servicios Ciudadanos"/>
        <s v="Concejo Metropolitano"/>
        <s v="Administración General"/>
        <s v="DM de Recursos Humanos"/>
        <s v="Unidad de Salud Sur"/>
        <s v="Secretaría De Movilidad"/>
        <s v="Secretaría General de Planificación"/>
        <s v="Secretaría De Inclusión Social"/>
        <s v="Agencia de Coord. Distrital del Comercio"/>
        <s v="Administración Zonal Calderón"/>
        <s v="DM Relaciones Internacionales"/>
        <s v="IMPU"/>
        <s v="Instituto Metropolitano de Patrimonio"/>
        <s v="Secretaría General Seguridad Gobernabili"/>
        <s v="Unidad de Salud Norte"/>
        <s v="Agencia Metrop Control Transito Seg vial"/>
        <s v="COLEGIO BENALCAZAR"/>
        <s v="Secretaría Educación, Recreación Deporte"/>
        <s v="Secretaría Desarrollo Productivo Competi"/>
        <s v="Cuerpo de Agentes de Control"/>
        <s v="Agencia Metropolitana de Control"/>
        <s v="Secretaría De Ambiente"/>
        <s v="Secretaría De Comunicación"/>
        <s v="Alcaldía Metropolitana"/>
        <s v="Secretaría General Coordinac Territorial"/>
        <s v="Secretaría De Cultura"/>
        <s v="Unidad Educativa Julio E.Moreno"/>
        <s v="Unidad Educativa Milenio Bicentenario"/>
        <s v="Unidad Educativa Oswaldo Lombeyda"/>
        <s v="Unidad Educativa Sucre"/>
        <s v="Unidad Especial Regula Tu Barrio"/>
        <s v="Secretaría Territorio, Hábitat  Vivienda"/>
        <s v="Unidad de Salud Centro"/>
        <s v="Unidad Educativa San Francisco de Quito"/>
        <s v="Unidad Educativa Quitumbe"/>
        <s v="Unidad Especial Turística La Mariscal"/>
        <s v="Unidad Educativa Espejo"/>
        <s v="Colegio Fernández Madrid"/>
        <s v="Administración Zonal Valle los Chillos"/>
        <s v="Administración Zonal Valle de Tumbaco"/>
        <s v="Administración Zonal Manuela Sáenz"/>
        <s v="Secretaría De Salud"/>
        <s v="Adm Zonal Equinoccia - La Delicia"/>
        <s v="Administración Zonal Quitumbe"/>
        <s v="Administración Zonal Eloy Alfaro (Sur)"/>
        <s v="Administración Z Eugenio Espejo (Norte)"/>
        <s v="DM Administrativa"/>
        <s v="DM de Catastro"/>
        <s v="DM Financiera"/>
        <s v="DM de Gestión documental y Archivo"/>
        <s v="DM de Gestión de Bienes Inmuebles"/>
        <s v="DM Tributaria"/>
        <s v="Procuraduría Metropolitana"/>
        <s v="QUITO HONESTO"/>
        <s v="EPM HABITAT Y VIVENDA"/>
        <s v="EPM SERVICIOS AEROPORTUARIOS Y GESTION D"/>
        <s v="Centro Cultural Benjamín Carrión"/>
        <s v="Centro Cultural Metropolitano"/>
        <s v="Instituto Metropolitano de Capacitación"/>
        <s v="DM de Informática"/>
        <s v="EPM MERCADO MAYORISTA"/>
        <s v="EPM GESTION INTEGRAL DE RESIDUOS SOLIDOS"/>
        <s v="FUNDACION MUSEOS DE LA CIUDAD"/>
        <s v="FUNDACION TEATRO NACIONAL SUCRE"/>
        <s v="CONQUITO"/>
        <s v="EPM GESTION DE DESTINO TURISTICO"/>
        <s v="UNIDAD PATRONATO MUNICIPAL SAN JOSE"/>
        <s v="EPM MOVILIDAD Y OBRAS PUBLICAS"/>
        <s v="EPM TRANSPORTE DE PASAJEROS"/>
        <s v="EPM METRO QUITO"/>
        <s v="INSTITUTO DE LA CIUDAD"/>
        <s v="EPM AGUA POTABLE"/>
        <s v="COMPINA"/>
      </sharedItems>
    </cacheField>
    <cacheField name="Programa" numFmtId="0">
      <sharedItems/>
    </cacheField>
    <cacheField name="Programa Texto" numFmtId="0">
      <sharedItems/>
    </cacheField>
    <cacheField name="Proyecto" numFmtId="0">
      <sharedItems/>
    </cacheField>
    <cacheField name="Des.Proyecto" numFmtId="0">
      <sharedItems/>
    </cacheField>
    <cacheField name="Partida - Descripción" numFmtId="0">
      <sharedItems/>
    </cacheField>
    <cacheField name="Partida" numFmtId="0">
      <sharedItems/>
    </cacheField>
    <cacheField name="Posición Presupuestaria" numFmtId="0">
      <sharedItems/>
    </cacheField>
    <cacheField name="Fondo" numFmtId="0">
      <sharedItems/>
    </cacheField>
    <cacheField name="Asignación inicial" numFmtId="2">
      <sharedItems containsSemiMixedTypes="0" containsString="0" containsNumber="1" minValue="0" maxValue="56072118.43"/>
    </cacheField>
    <cacheField name="Traspasos" numFmtId="2">
      <sharedItems containsSemiMixedTypes="0" containsString="0" containsNumber="1" minValue="-30256906.059999999" maxValue="30256906.059999999"/>
    </cacheField>
    <cacheField name="Reformas" numFmtId="2">
      <sharedItems containsSemiMixedTypes="0" containsString="0" containsNumber="1" minValue="-21964616.350000001" maxValue="11349780.699999999"/>
    </cacheField>
    <cacheField name="Codificado" numFmtId="2">
      <sharedItems containsSemiMixedTypes="0" containsString="0" containsNumber="1" minValue="0" maxValue="54867349.020000003"/>
    </cacheField>
    <cacheField name="Certificado" numFmtId="2">
      <sharedItems containsSemiMixedTypes="0" containsString="0" containsNumber="1" minValue="0" maxValue="1892694.67"/>
    </cacheField>
    <cacheField name="Comprometido" numFmtId="2">
      <sharedItems containsSemiMixedTypes="0" containsString="0" containsNumber="1" minValue="0" maxValue="54867349.020000003"/>
    </cacheField>
    <cacheField name="Devengado" numFmtId="2">
      <sharedItems containsSemiMixedTypes="0" containsString="0" containsNumber="1" minValue="0" maxValue="28631084.219999999"/>
    </cacheField>
    <cacheField name="Saldo por Comprometer" numFmtId="2">
      <sharedItems containsSemiMixedTypes="0" containsString="0" containsNumber="1" minValue="0" maxValue="11349780.699999999"/>
    </cacheField>
    <cacheField name="Saldo por Devengar" numFmtId="2">
      <sharedItems containsSemiMixedTypes="0" containsString="0" containsNumber="1" minValue="0" maxValue="38432734.649999999"/>
    </cacheField>
    <cacheField name="Disponible" numFmtId="2">
      <sharedItems containsSemiMixedTypes="0" containsString="0" containsNumber="1" minValue="0" maxValue="11349780.6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Sonia Lizeth Ortiz Zapata" refreshedDate="44166.751843055557" createdVersion="6" refreshedVersion="6" minRefreshableVersion="3" recordCount="8">
  <cacheSource type="worksheet">
    <worksheetSource ref="A1:W9" sheet="CEDULA 30102020 metro"/>
  </cacheSource>
  <cacheFields count="23">
    <cacheField name="Grupo" numFmtId="0">
      <sharedItems/>
    </cacheField>
    <cacheField name="Area" numFmtId="0">
      <sharedItems count="1">
        <s v="COMUNALES"/>
      </sharedItems>
    </cacheField>
    <cacheField name="Sector Texto" numFmtId="0">
      <sharedItems count="1">
        <s v="MOVILIDAD"/>
      </sharedItems>
    </cacheField>
    <cacheField name="Centro gestor" numFmtId="0">
      <sharedItems/>
    </cacheField>
    <cacheField name="Des.Centro Gestor" numFmtId="0">
      <sharedItems count="1">
        <s v="Secretaría De Movilidad"/>
      </sharedItems>
    </cacheField>
    <cacheField name="Programa" numFmtId="0">
      <sharedItems/>
    </cacheField>
    <cacheField name="Programa Texto" numFmtId="0">
      <sharedItems/>
    </cacheField>
    <cacheField name="Proyecto" numFmtId="0">
      <sharedItems/>
    </cacheField>
    <cacheField name="Des.Proyecto" numFmtId="0">
      <sharedItems/>
    </cacheField>
    <cacheField name="Partida - Descripción" numFmtId="0">
      <sharedItems/>
    </cacheField>
    <cacheField name="Partida" numFmtId="0">
      <sharedItems/>
    </cacheField>
    <cacheField name="Posición Presupuestaria" numFmtId="0">
      <sharedItems/>
    </cacheField>
    <cacheField name="Fondo" numFmtId="0">
      <sharedItems/>
    </cacheField>
    <cacheField name="Asignación inicial" numFmtId="2">
      <sharedItems containsSemiMixedTypes="0" containsString="0" containsNumber="1" minValue="1101557.99" maxValue="203865868.09999999"/>
    </cacheField>
    <cacheField name="Traspasos" numFmtId="2">
      <sharedItems containsSemiMixedTypes="0" containsString="0" containsNumber="1" minValue="-2392301.5699999998" maxValue="2392301.5699999998"/>
    </cacheField>
    <cacheField name="Reformas" numFmtId="2">
      <sharedItems containsSemiMixedTypes="0" containsString="0" containsNumber="1" containsInteger="1" minValue="0" maxValue="0"/>
    </cacheField>
    <cacheField name="Codificado" numFmtId="2">
      <sharedItems containsSemiMixedTypes="0" containsString="0" containsNumber="1" minValue="1101557.99" maxValue="201473566.53"/>
    </cacheField>
    <cacheField name="Certificado" numFmtId="2">
      <sharedItems containsSemiMixedTypes="0" containsString="0" containsNumber="1" minValue="0" maxValue="5730301.5700000003"/>
    </cacheField>
    <cacheField name="Comprometido" numFmtId="2">
      <sharedItems containsSemiMixedTypes="0" containsString="0" containsNumber="1" minValue="0" maxValue="115470637.04000001"/>
    </cacheField>
    <cacheField name="Devengado" numFmtId="2">
      <sharedItems containsSemiMixedTypes="0" containsString="0" containsNumber="1" minValue="0" maxValue="74288050.5"/>
    </cacheField>
    <cacheField name="Saldo por Comprometer" numFmtId="2">
      <sharedItems containsSemiMixedTypes="0" containsString="0" containsNumber="1" minValue="0" maxValue="86002929.489999995"/>
    </cacheField>
    <cacheField name="Saldo por Devengar" numFmtId="2">
      <sharedItems containsSemiMixedTypes="0" containsString="0" containsNumber="1" minValue="0.03" maxValue="127185516.03"/>
    </cacheField>
    <cacheField name="Disponible" numFmtId="2">
      <sharedItems containsSemiMixedTypes="0" containsString="0" containsNumber="1" minValue="0" maxValue="86002929.4899999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Sonia Lizeth Ortiz Zapata" refreshedDate="44166.752865740738" createdVersion="6" refreshedVersion="6" minRefreshableVersion="3" recordCount="3097">
  <cacheSource type="worksheet">
    <worksheetSource ref="A1:W3098" sheet="CEDULA 30102020"/>
  </cacheSource>
  <cacheFields count="23">
    <cacheField name="Grupo" numFmtId="0">
      <sharedItems/>
    </cacheField>
    <cacheField name="Area" numFmtId="0">
      <sharedItems count="4">
        <s v="GENERALES"/>
        <s v="SOCIALES"/>
        <s v="COMUNALES"/>
        <s v="ECONÓMICOS"/>
      </sharedItems>
    </cacheField>
    <cacheField name="Sector Texto" numFmtId="0">
      <sharedItems count="16">
        <s v="ADMINISTRACION GENERAL"/>
        <s v="COORDINACION DE ALCALDIA Y SECRETARIA DEL CONCEJO"/>
        <s v="EDUCACION, RECREACION Y DEPORTE"/>
        <s v="SALUD"/>
        <s v="INCLUSION SOCIAL"/>
        <s v="SEGURIDAD Y GOBERNABILIDAD"/>
        <s v="MOVILIDAD"/>
        <s v="PLANIFICACION"/>
        <s v="TERRITORIO HABITAT Y VIVIENDA"/>
        <s v="COMUNICACION"/>
        <s v="AMBIENTE"/>
        <s v="COORDINACION TERRITORIAL Y PARTICIPACION CIUDADANA"/>
        <s v="AGENCIA METROPOLITANA DE CONTROL"/>
        <s v="CULTURA"/>
        <s v="DESARROLLO PRODUCTIVO Y COMPETITIVIDAD"/>
        <s v="AGENCIA DE COORDINACIÓN DISTRITAL DE COMERCIO"/>
      </sharedItems>
    </cacheField>
    <cacheField name="Centro gestor" numFmtId="0">
      <sharedItems/>
    </cacheField>
    <cacheField name="Des.Centro Gestor" numFmtId="0">
      <sharedItems count="74">
        <s v="DM de Servicios Ciudadanos"/>
        <s v="Administración General"/>
        <s v="Registro de la Propiedad"/>
        <s v="Concejo Metropolitano"/>
        <s v="DM de Recursos Humanos"/>
        <s v="Secretaría Educación, Recreación Deporte"/>
        <s v="Secretaría De Salud"/>
        <s v="Unidad de Salud Centro"/>
        <s v="Unidad de Salud Sur"/>
        <s v="Secretaría De Inclusión Social"/>
        <s v="Secretaría General Seguridad Gobernabili"/>
        <s v="Unidad de Salud Norte"/>
        <s v="Unidad Educativa Julio E.Moreno"/>
        <s v="Agencia Metrop Control Transito Seg vial"/>
        <s v="Secretaría General de Planificación"/>
        <s v="Secretaría Territorio, Hábitat  Vivienda"/>
        <s v="Unidad Educativa Sucre"/>
        <s v="Secretaría De Movilidad"/>
        <s v="Secretaría De Comunicación"/>
        <s v="Alcaldía Metropolitana"/>
        <s v="Unidad Educativa Quitumbe"/>
        <s v="Unidad Educativa Espejo"/>
        <s v="Colegio Fernández Madrid"/>
        <s v="COLEGIO BENALCAZAR"/>
        <s v="Secretaría De Ambiente"/>
        <s v="Administración Zonal Valle de Tumbaco"/>
        <s v="Unidad Educativa Milenio Bicentenario"/>
        <s v="Cuerpo de Agentes de Control"/>
        <s v="Agencia Metropolitana de Control"/>
        <s v="Secretaría De Cultura"/>
        <s v="Secretaría Desarrollo Productivo Competi"/>
        <s v="Secretaría General Coordinac Territorial"/>
        <s v="Agencia de Coord. Distrital del Comercio"/>
        <s v="Unidad Especial Regula Tu Barrio"/>
        <s v="Unidad Especial Turística La Mariscal"/>
        <s v="Unidad Educativa San Francisco de Quito"/>
        <s v="Instituto Metropolitano de Patrimonio"/>
        <s v="Administración Zonal Valle los Chillos"/>
        <s v="Administración Zonal Eloy Alfaro (Sur)"/>
        <s v="Administración Zonal Quitumbe"/>
        <s v="Administración Z Eugenio Espejo (Norte)"/>
        <s v="Administración Zonal Manuela Sáenz"/>
        <s v="Unidad Educativa Oswaldo Lombeyda"/>
        <s v="Adm Zonal Equinoccia - La Delicia"/>
        <s v="Administración Zonal Calderón"/>
        <s v="IMPU"/>
        <s v="DM Relaciones Internacionales"/>
        <s v="DM Administrativa"/>
        <s v="DM Financiera"/>
        <s v="DM de Catastro"/>
        <s v="DM de Gestión documental y Archivo"/>
        <s v="DM de Gestión de Bienes Inmuebles"/>
        <s v="DM Tributaria"/>
        <s v="Procuraduría Metropolitana"/>
        <s v="QUITO HONESTO"/>
        <s v="EPM SERVICIOS AEROPORTUARIOS Y GESTION D"/>
        <s v="Centro Cultural Benjamín Carrión"/>
        <s v="Centro Cultural Metropolitano"/>
        <s v="Instituto Metropolitano de Capacitación"/>
        <s v="DM de Informática"/>
        <s v="EPM MERCADO MAYORISTA"/>
        <s v="EPM GESTION INTEGRAL DE RESIDUOS SOLIDOS"/>
        <s v="FUNDACION MUSEOS DE LA CIUDAD"/>
        <s v="FUNDACION TEATRO NACIONAL SUCRE"/>
        <s v="CONQUITO"/>
        <s v="EPM GESTION DE DESTINO TURISTICO"/>
        <s v="UNIDAD PATRONATO MUNICIPAL SAN JOSE"/>
        <s v="EPM MOVILIDAD Y OBRAS PUBLICAS"/>
        <s v="EPM TRANSPORTE DE PASAJEROS"/>
        <s v="EPM METRO QUITO"/>
        <s v="INSTITUTO DE LA CIUDAD"/>
        <s v="EPM AGUA POTABLE"/>
        <s v="EPM HABITAT Y VIVENDA"/>
        <s v="COMPINA"/>
      </sharedItems>
    </cacheField>
    <cacheField name="Programa" numFmtId="0">
      <sharedItems/>
    </cacheField>
    <cacheField name="Programa Texto" numFmtId="0">
      <sharedItems/>
    </cacheField>
    <cacheField name="Proyecto" numFmtId="0">
      <sharedItems/>
    </cacheField>
    <cacheField name="Des.Proyecto" numFmtId="0">
      <sharedItems/>
    </cacheField>
    <cacheField name="Partida - Descripción" numFmtId="0">
      <sharedItems/>
    </cacheField>
    <cacheField name="Partida" numFmtId="0">
      <sharedItems/>
    </cacheField>
    <cacheField name="Posición Presupuestaria" numFmtId="0">
      <sharedItems/>
    </cacheField>
    <cacheField name="Fondo" numFmtId="0">
      <sharedItems/>
    </cacheField>
    <cacheField name="Asignación inicial" numFmtId="2">
      <sharedItems containsSemiMixedTypes="0" containsString="0" containsNumber="1" minValue="0" maxValue="56072118.43"/>
    </cacheField>
    <cacheField name="Traspasos" numFmtId="2">
      <sharedItems containsSemiMixedTypes="0" containsString="0" containsNumber="1" minValue="-30256906.059999999" maxValue="30256906.059999999"/>
    </cacheField>
    <cacheField name="Reformas" numFmtId="2">
      <sharedItems containsSemiMixedTypes="0" containsString="0" containsNumber="1" containsInteger="1" minValue="0" maxValue="0"/>
    </cacheField>
    <cacheField name="Codificado" numFmtId="2">
      <sharedItems containsSemiMixedTypes="0" containsString="0" containsNumber="1" minValue="0" maxValue="54867349.020000003"/>
    </cacheField>
    <cacheField name="Certificado" numFmtId="2">
      <sharedItems containsSemiMixedTypes="0" containsString="0" containsNumber="1" minValue="0" maxValue="3695081.03"/>
    </cacheField>
    <cacheField name="Comprometido" numFmtId="2">
      <sharedItems containsSemiMixedTypes="0" containsString="0" containsNumber="1" minValue="0" maxValue="54867349.020000003"/>
    </cacheField>
    <cacheField name="Devengado" numFmtId="2">
      <sharedItems containsSemiMixedTypes="0" containsString="0" containsNumber="1" minValue="0" maxValue="28631084.219999999"/>
    </cacheField>
    <cacheField name="Saldo por Comprometer" numFmtId="2">
      <sharedItems containsSemiMixedTypes="0" containsString="0" containsNumber="1" minValue="0" maxValue="25345441.420000002"/>
    </cacheField>
    <cacheField name="Saldo por Devengar" numFmtId="2">
      <sharedItems containsSemiMixedTypes="0" containsString="0" containsNumber="1" minValue="0" maxValue="38432734.649999999"/>
    </cacheField>
    <cacheField name="Disponible" numFmtId="2">
      <sharedItems containsSemiMixedTypes="0" containsString="0" containsNumber="1" minValue="0" maxValue="25345441.42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">
  <r>
    <s v="73"/>
    <x v="0"/>
    <x v="0"/>
    <s v="ZA01K000"/>
    <x v="0"/>
    <s v="K310"/>
    <s v="SISTEMA  DE TRANSPORTE PÚBLICO EFICIENTE"/>
    <s v="GI00K31000003D"/>
    <s v="GI00K31000003D PRIMERA LÍNEA DEL METRO DE QUITO"/>
    <s v="73 BIENES Y SERVICIOS PARA INVERSIÓN"/>
    <s v="730601 Consultoría, Asesoría e Investigación Es"/>
    <s v="G/730601/3KK310"/>
    <s v="001"/>
    <n v="3331491.39"/>
    <n v="287076.19"/>
    <n v="-481964.56"/>
    <n v="3136603.02"/>
    <n v="400560"/>
    <n v="2133851.9"/>
    <n v="1735053.74"/>
    <n v="1002751.12"/>
    <n v="1401549.28"/>
    <n v="602191.12"/>
  </r>
  <r>
    <s v="73"/>
    <x v="0"/>
    <x v="0"/>
    <s v="ZA01K000"/>
    <x v="0"/>
    <s v="K310"/>
    <s v="SISTEMA  DE TRANSPORTE PÚBLICO EFICIENTE"/>
    <s v="GI00K31000003D"/>
    <s v="GI00K31000003D PRIMERA LÍNEA DEL METRO DE QUITO"/>
    <s v="73 BIENES Y SERVICIOS PARA INVERSIÓN"/>
    <s v="730601 Consultoría, Asesoría e Investigación Es"/>
    <s v="G/730601/3KK310"/>
    <s v="202"/>
    <n v="22669197.949999999"/>
    <n v="2392301.5699999998"/>
    <n v="-4016371.31"/>
    <n v="21045128.210000001"/>
    <n v="3338000"/>
    <n v="12688868.84"/>
    <n v="9365550.9600000009"/>
    <n v="8356259.3700000001"/>
    <n v="11679577.25"/>
    <n v="5018259.37"/>
  </r>
  <r>
    <s v="73"/>
    <x v="0"/>
    <x v="0"/>
    <s v="ZA01K000"/>
    <x v="0"/>
    <s v="K310"/>
    <s v="SISTEMA  DE TRANSPORTE PÚBLICO EFICIENTE"/>
    <s v="GI00K31000003D"/>
    <s v="GI00K31000003D PRIMERA LÍNEA DEL METRO DE QUITO"/>
    <s v="73 BIENES Y SERVICIOS PARA INVERSIÓN"/>
    <s v="730601 Consultoría, Asesoría e Investigación Es"/>
    <s v="G/730601/3KK310"/>
    <s v="002"/>
    <n v="1593254.87"/>
    <n v="0"/>
    <n v="0"/>
    <n v="1593254.87"/>
    <n v="0"/>
    <n v="1593254.87"/>
    <n v="1593254.84"/>
    <n v="0"/>
    <n v="0.03"/>
    <n v="0"/>
  </r>
  <r>
    <s v="75"/>
    <x v="0"/>
    <x v="0"/>
    <s v="ZA01K000"/>
    <x v="0"/>
    <s v="K310"/>
    <s v="SISTEMA  DE TRANSPORTE PÚBLICO EFICIENTE"/>
    <s v="GI00K31000003D"/>
    <s v="GI00K31000003D PRIMERA LÍNEA DEL METRO DE QUITO"/>
    <s v="75 OBRAS PÚBLICAS"/>
    <s v="750105 Transporte y Vías"/>
    <s v="G/750105/3KK310"/>
    <s v="202"/>
    <n v="203865868.09999999"/>
    <n v="-2392301.5699999998"/>
    <n v="-86002929.489999995"/>
    <n v="115470637.04000001"/>
    <n v="0"/>
    <n v="115470637.04000001"/>
    <n v="82982812.25"/>
    <n v="0"/>
    <n v="32487824.789999999"/>
    <n v="0"/>
  </r>
  <r>
    <s v="75"/>
    <x v="0"/>
    <x v="0"/>
    <s v="ZA01K000"/>
    <x v="0"/>
    <s v="K310"/>
    <s v="SISTEMA  DE TRANSPORTE PÚBLICO EFICIENTE"/>
    <s v="GI00K31000003D"/>
    <s v="GI00K31000003D PRIMERA LÍNEA DEL METRO DE QUITO"/>
    <s v="75 OBRAS PÚBLICAS"/>
    <s v="750105 Transporte y Vías"/>
    <s v="G/750105/3KK310"/>
    <s v="001"/>
    <n v="52044283.729999997"/>
    <n v="-287076.19"/>
    <n v="-10565801.83"/>
    <n v="41191405.710000001"/>
    <n v="0"/>
    <n v="41191405.710000001"/>
    <n v="8925349.8699999992"/>
    <n v="0"/>
    <n v="32266055.84"/>
    <n v="0"/>
  </r>
  <r>
    <s v="84"/>
    <x v="0"/>
    <x v="0"/>
    <s v="ZA01K000"/>
    <x v="0"/>
    <s v="K310"/>
    <s v="SISTEMA  DE TRANSPORTE PÚBLICO EFICIENTE"/>
    <s v="GI00K31000003D"/>
    <s v="GI00K31000003D PRIMERA LÍNEA DEL METRO DE QUITO"/>
    <s v="84 BIENES DE LARGA DURACIÓN"/>
    <s v="840105 Vehículos"/>
    <s v="G/840105/3KK310"/>
    <s v="202"/>
    <n v="34618258.969999999"/>
    <n v="0"/>
    <n v="0"/>
    <n v="34618258.969999999"/>
    <n v="0"/>
    <n v="0"/>
    <n v="0"/>
    <n v="34618258.969999999"/>
    <n v="34618258.969999999"/>
    <n v="34618258.969999999"/>
  </r>
  <r>
    <s v="84"/>
    <x v="0"/>
    <x v="0"/>
    <s v="ZA01K000"/>
    <x v="0"/>
    <s v="K310"/>
    <s v="SISTEMA  DE TRANSPORTE PÚBLICO EFICIENTE"/>
    <s v="GI00K31000003D"/>
    <s v="GI00K31000003D PRIMERA LÍNEA DEL METRO DE QUITO"/>
    <s v="84 BIENES DE LARGA DURACIÓN"/>
    <s v="840105 Vehículos"/>
    <s v="G/840105/3KK310"/>
    <s v="001"/>
    <n v="1101557.99"/>
    <n v="0"/>
    <n v="0"/>
    <n v="1101557.99"/>
    <n v="0"/>
    <n v="0"/>
    <n v="0"/>
    <n v="1101557.99"/>
    <n v="1101557.99"/>
    <n v="1101557.99"/>
  </r>
  <r>
    <s v="84"/>
    <x v="0"/>
    <x v="0"/>
    <s v="ZA01K000"/>
    <x v="0"/>
    <s v="K310"/>
    <s v="SISTEMA  DE TRANSPORTE PÚBLICO EFICIENTE"/>
    <s v="GI00K31000003D"/>
    <s v="GI00K31000003D PRIMERA LÍNEA DEL METRO DE QUITO"/>
    <s v="84 BIENES DE LARGA DURACIÓN"/>
    <s v="840301 Terrenos (Expropiación)"/>
    <s v="G/840301/3KK310"/>
    <s v="202"/>
    <n v="1150000"/>
    <n v="0"/>
    <n v="-850000"/>
    <n v="300000"/>
    <n v="0"/>
    <n v="0"/>
    <n v="0"/>
    <n v="300000"/>
    <n v="300000"/>
    <n v="30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935">
  <r>
    <s v="51"/>
    <x v="0"/>
    <x v="0"/>
    <s v="RP36A010"/>
    <x v="0"/>
    <s v="A101"/>
    <s v="FORTALECIMIENTO INSTITUCIONAL"/>
    <s v="GC00A10100001D"/>
    <s v="GC00A10100001D GASTOS ADMINISTRATIVOS"/>
    <s v="51 GASTOS EN PERSONAL"/>
    <s v="510502 Remuneración Unificada para Pasantes e Inte"/>
    <s v="G/510502/1AA101"/>
    <s v="001"/>
    <n v="0"/>
    <n v="0"/>
    <n v="769.6"/>
    <n v="769.6"/>
    <n v="0"/>
    <n v="0"/>
    <n v="0"/>
    <n v="769.6"/>
    <n v="769.6"/>
    <n v="769.6"/>
  </r>
  <r>
    <s v="51"/>
    <x v="0"/>
    <x v="0"/>
    <s v="ZA01A009"/>
    <x v="1"/>
    <s v="A101"/>
    <s v="FORTALECIMIENTO INSTITUCIONAL"/>
    <s v="GC00A10100001D"/>
    <s v="GC00A10100001D GASTOS ADMINISTRATIVOS"/>
    <s v="51 GASTOS EN PERSONAL"/>
    <s v="510502 Remuneración Unificada para Pasantes e Inte"/>
    <s v="G/510502/1AA101"/>
    <s v="002"/>
    <n v="54670"/>
    <n v="0"/>
    <n v="-44219.42"/>
    <n v="10450.58"/>
    <n v="0.09"/>
    <n v="10450.49"/>
    <n v="3677.24"/>
    <n v="0.09"/>
    <n v="6773.34"/>
    <n v="0"/>
  </r>
  <r>
    <s v="51"/>
    <x v="0"/>
    <x v="1"/>
    <s v="ZA01C030"/>
    <x v="2"/>
    <s v="A101"/>
    <s v="FORTALECIMIENTO INSTITUCIONAL"/>
    <s v="GC00A10100001D"/>
    <s v="GC00A10100001D GASTOS ADMINISTRATIVOS"/>
    <s v="51 GASTOS EN PERSONAL"/>
    <s v="510502 Remuneración Unificada para Pasantes e Inte"/>
    <s v="G/510502/1CA101"/>
    <s v="002"/>
    <n v="8366.48"/>
    <n v="0"/>
    <n v="-7841.16"/>
    <n v="525.32000000000005"/>
    <n v="0"/>
    <n v="525.32000000000005"/>
    <n v="525.32000000000005"/>
    <n v="0"/>
    <n v="0"/>
    <n v="0"/>
  </r>
  <r>
    <s v="51"/>
    <x v="0"/>
    <x v="0"/>
    <s v="RP36A010"/>
    <x v="0"/>
    <s v="A101"/>
    <s v="FORTALECIMIENTO INSTITUCIONAL"/>
    <s v="GC00A10100001D"/>
    <s v="GC00A10100001D GASTOS ADMINISTRATIVOS"/>
    <s v="51 GASTOS EN PERSONAL"/>
    <s v="510502 Remuneración Unificada para Pasantes e Inte"/>
    <s v="G/510502/1AA101"/>
    <s v="002"/>
    <n v="142372.19"/>
    <n v="-138309.79"/>
    <n v="-769.6"/>
    <n v="3292.8"/>
    <n v="0"/>
    <n v="3292.8"/>
    <n v="3292.8"/>
    <n v="0"/>
    <n v="0"/>
    <n v="0"/>
  </r>
  <r>
    <s v="51"/>
    <x v="0"/>
    <x v="0"/>
    <s v="ZA01A000"/>
    <x v="3"/>
    <s v="A101"/>
    <s v="FORTALECIMIENTO INSTITUCIONAL"/>
    <s v="GC00A10100001D"/>
    <s v="GC00A10100001D GASTOS ADMINISTRATIVOS"/>
    <s v="51 GASTOS EN PERSONAL"/>
    <s v="510502 Remuneración Unificada para Pasantes e Inte"/>
    <s v="G/510502/1AA101"/>
    <s v="002"/>
    <n v="42500"/>
    <n v="32000"/>
    <n v="0"/>
    <n v="74500"/>
    <n v="55780.38"/>
    <n v="18719.62"/>
    <n v="5253.2"/>
    <n v="55780.38"/>
    <n v="69246.8"/>
    <n v="0"/>
  </r>
  <r>
    <s v="51"/>
    <x v="0"/>
    <x v="0"/>
    <s v="ZA01A009"/>
    <x v="1"/>
    <s v="A101"/>
    <s v="FORTALECIMIENTO INSTITUCIONAL"/>
    <s v="GC00A10100001D"/>
    <s v="GC00A10100001D GASTOS ADMINISTRATIVOS"/>
    <s v="51 GASTOS EN PERSONAL"/>
    <s v="510502 Remuneración Unificada para Pasantes e Inte"/>
    <s v="G/510502/1AA101"/>
    <s v="001"/>
    <n v="0"/>
    <n v="0"/>
    <n v="593.92999999999995"/>
    <n v="593.92999999999995"/>
    <n v="0"/>
    <n v="0"/>
    <n v="0"/>
    <n v="593.92999999999995"/>
    <n v="593.92999999999995"/>
    <n v="593.92999999999995"/>
  </r>
  <r>
    <s v="51"/>
    <x v="0"/>
    <x v="0"/>
    <s v="ZA01A000"/>
    <x v="3"/>
    <s v="A101"/>
    <s v="FORTALECIMIENTO INSTITUCIONAL"/>
    <s v="GC00A10100001D"/>
    <s v="GC00A10100001D GASTOS ADMINISTRATIVOS"/>
    <s v="51 GASTOS EN PERSONAL"/>
    <s v="510601 Aporte Patronal"/>
    <s v="G/510601/1AA101"/>
    <s v="002"/>
    <n v="22200"/>
    <n v="16896"/>
    <n v="0"/>
    <n v="39096"/>
    <n v="29212"/>
    <n v="9884"/>
    <n v="2773.6"/>
    <n v="29212"/>
    <n v="36322.400000000001"/>
    <n v="0"/>
  </r>
  <r>
    <s v="51"/>
    <x v="0"/>
    <x v="1"/>
    <s v="ZA01C030"/>
    <x v="2"/>
    <s v="A101"/>
    <s v="FORTALECIMIENTO INSTITUCIONAL"/>
    <s v="GC00A10100001D"/>
    <s v="GC00A10100001D GASTOS ADMINISTRATIVOS"/>
    <s v="51 GASTOS EN PERSONAL"/>
    <s v="510601 Aporte Patronal"/>
    <s v="G/510601/1CA101"/>
    <s v="002"/>
    <n v="4443.5200000000004"/>
    <n v="0"/>
    <n v="-4166.16"/>
    <n v="277.36"/>
    <n v="0"/>
    <n v="277.36"/>
    <n v="277.36"/>
    <n v="0"/>
    <n v="0"/>
    <n v="0"/>
  </r>
  <r>
    <s v="51"/>
    <x v="0"/>
    <x v="0"/>
    <s v="ZA01A009"/>
    <x v="1"/>
    <s v="A101"/>
    <s v="FORTALECIMIENTO INSTITUCIONAL"/>
    <s v="GC00A10100001D"/>
    <s v="GC00A10100001D GASTOS ADMINISTRATIVOS"/>
    <s v="51 GASTOS EN PERSONAL"/>
    <s v="510601 Aporte Patronal"/>
    <s v="G/510601/1AA101"/>
    <s v="002"/>
    <n v="28806.080000000002"/>
    <n v="0"/>
    <n v="-23288.25"/>
    <n v="5517.83"/>
    <n v="0.11"/>
    <n v="5517.72"/>
    <n v="1941.52"/>
    <n v="0.11"/>
    <n v="3576.31"/>
    <n v="0"/>
  </r>
  <r>
    <s v="51"/>
    <x v="0"/>
    <x v="0"/>
    <s v="ZA01A009"/>
    <x v="1"/>
    <s v="A101"/>
    <s v="FORTALECIMIENTO INSTITUCIONAL"/>
    <s v="GC00A10100001D"/>
    <s v="GC00A10100001D GASTOS ADMINISTRATIVOS"/>
    <s v="51 GASTOS EN PERSONAL"/>
    <s v="510601 Aporte Patronal"/>
    <s v="G/510601/1AA101"/>
    <s v="001"/>
    <n v="0"/>
    <n v="0"/>
    <n v="253.25"/>
    <n v="253.25"/>
    <n v="0"/>
    <n v="0"/>
    <n v="0"/>
    <n v="253.25"/>
    <n v="253.25"/>
    <n v="253.25"/>
  </r>
  <r>
    <s v="51"/>
    <x v="0"/>
    <x v="0"/>
    <s v="ZA01A002"/>
    <x v="4"/>
    <s v="A101"/>
    <s v="FORTALECIMIENTO INSTITUCIONAL"/>
    <s v="GC00A10100001D"/>
    <s v="GC00A10100001D GASTOS ADMINISTRATIVOS"/>
    <s v="51 GASTOS EN PERSONAL"/>
    <s v="510606 Asignación Global de Jubilación Patronal pa"/>
    <s v="G/510606/1AA101"/>
    <s v="001"/>
    <n v="0"/>
    <n v="602000"/>
    <n v="464.36"/>
    <n v="602464.36"/>
    <n v="0"/>
    <n v="0"/>
    <n v="0"/>
    <n v="602464.36"/>
    <n v="602464.36"/>
    <n v="602464.36"/>
  </r>
  <r>
    <s v="51"/>
    <x v="0"/>
    <x v="0"/>
    <s v="ZA01A002"/>
    <x v="4"/>
    <s v="A101"/>
    <s v="FORTALECIMIENTO INSTITUCIONAL"/>
    <s v="GC00A10100001D"/>
    <s v="GC00A10100001D GASTOS ADMINISTRATIVOS"/>
    <s v="51 GASTOS EN PERSONAL"/>
    <s v="510606 Asignación Global de Jubilación Patronal pa"/>
    <s v="G/510606/1AA101"/>
    <s v="002"/>
    <n v="3483000"/>
    <n v="247000"/>
    <n v="-464.36"/>
    <n v="3729535.64"/>
    <n v="0"/>
    <n v="3729535.64"/>
    <n v="2764353.97"/>
    <n v="0"/>
    <n v="965181.67"/>
    <n v="0"/>
  </r>
  <r>
    <s v="51"/>
    <x v="0"/>
    <x v="0"/>
    <s v="ZA01A002"/>
    <x v="4"/>
    <s v="A101"/>
    <s v="FORTALECIMIENTO INSTITUCIONAL"/>
    <s v="GC00A10100001D"/>
    <s v="GC00A10100001D GASTOS ADMINISTRATIVOS"/>
    <s v="51 GASTOS EN PERSONAL"/>
    <s v="510706 Beneficio por Jubilación"/>
    <s v="G/510706/1AA101"/>
    <s v="001"/>
    <n v="0"/>
    <n v="0"/>
    <n v="278230"/>
    <n v="278230"/>
    <n v="0"/>
    <n v="0"/>
    <n v="0"/>
    <n v="278230"/>
    <n v="278230"/>
    <n v="278230"/>
  </r>
  <r>
    <s v="51"/>
    <x v="0"/>
    <x v="0"/>
    <s v="ZA01A002"/>
    <x v="4"/>
    <s v="A101"/>
    <s v="FORTALECIMIENTO INSTITUCIONAL"/>
    <s v="GC00A10100001D"/>
    <s v="GC00A10100001D GASTOS ADMINISTRATIVOS"/>
    <s v="51 GASTOS EN PERSONAL"/>
    <s v="510706 Beneficio por Jubilación"/>
    <s v="G/510706/1AA101"/>
    <s v="002"/>
    <n v="5000000"/>
    <n v="0"/>
    <n v="-278230"/>
    <n v="4721770"/>
    <n v="0"/>
    <n v="4721770"/>
    <n v="4386591.17"/>
    <n v="0"/>
    <n v="335178.83"/>
    <n v="0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105 Remuneraciones Unificadas"/>
    <s v="G/510105/1MA101"/>
    <s v="001"/>
    <n v="0"/>
    <n v="0"/>
    <n v="842700.58"/>
    <n v="842700.58"/>
    <n v="0"/>
    <n v="213398"/>
    <n v="212259"/>
    <n v="629302.57999999996"/>
    <n v="630441.57999999996"/>
    <n v="629302.57999999996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105 Remuneraciones Unificadas"/>
    <s v="G/510105/1KA101"/>
    <s v="001"/>
    <n v="0"/>
    <n v="0"/>
    <n v="208137.52"/>
    <n v="208137.52"/>
    <n v="0"/>
    <n v="100275.12"/>
    <n v="100275.12"/>
    <n v="107862.39999999999"/>
    <n v="107862.39999999999"/>
    <n v="107862.39999999999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105 Remuneraciones Unificadas"/>
    <s v="G/510105/1LA101"/>
    <s v="002"/>
    <n v="590712"/>
    <n v="45782.09"/>
    <n v="-150232.09"/>
    <n v="486262"/>
    <n v="0"/>
    <n v="486262"/>
    <n v="486262"/>
    <n v="0"/>
    <n v="0"/>
    <n v="0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105 Remuneraciones Unificadas"/>
    <s v="G/510105/1CA101"/>
    <s v="001"/>
    <n v="0"/>
    <n v="700"/>
    <n v="446230.6"/>
    <n v="446930.6"/>
    <n v="0"/>
    <n v="223224.31"/>
    <n v="223224.31"/>
    <n v="223706.29"/>
    <n v="223706.29"/>
    <n v="223706.29"/>
  </r>
  <r>
    <s v="51"/>
    <x v="1"/>
    <x v="5"/>
    <s v="ZA01J000"/>
    <x v="8"/>
    <s v="A101"/>
    <s v="FORTALECIMIENTO INSTITUCIONAL"/>
    <s v="GC00A10100004D"/>
    <s v="GC00A10100004D REMUNERACION PERSONAL"/>
    <s v="51 GASTOS EN PERSONAL"/>
    <s v="510105 Remuneraciones Unificadas"/>
    <s v="G/510105/1JA101"/>
    <s v="001"/>
    <n v="0"/>
    <n v="0"/>
    <n v="336607.2"/>
    <n v="336607.2"/>
    <n v="0"/>
    <n v="128887"/>
    <n v="128887"/>
    <n v="207720.2"/>
    <n v="207720.2"/>
    <n v="207720.2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105 Remuneraciones Unificadas"/>
    <s v="G/510105/2QA101"/>
    <s v="001"/>
    <n v="0"/>
    <n v="0"/>
    <n v="200541.27"/>
    <n v="200541.27"/>
    <n v="0"/>
    <n v="97196"/>
    <n v="97196"/>
    <n v="103345.27"/>
    <n v="103345.27"/>
    <n v="103345.27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105 Remuneraciones Unificadas"/>
    <s v="G/510105/1FA101"/>
    <s v="001"/>
    <n v="0"/>
    <n v="12700"/>
    <n v="120587.69"/>
    <n v="133287.69"/>
    <n v="0"/>
    <n v="67947.11"/>
    <n v="67947.070000000007"/>
    <n v="65340.58"/>
    <n v="65340.62"/>
    <n v="65340.58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105 Remuneraciones Unificadas"/>
    <s v="G/510105/1LA101"/>
    <s v="001"/>
    <n v="0"/>
    <n v="10800"/>
    <n v="72627.87"/>
    <n v="83427.87"/>
    <n v="0"/>
    <n v="52526.83"/>
    <n v="52526.83"/>
    <n v="30901.040000000001"/>
    <n v="30901.040000000001"/>
    <n v="30901.040000000001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105 Remuneraciones Unificadas"/>
    <s v="G/510105/1CA101"/>
    <s v="002"/>
    <n v="90924"/>
    <n v="-428.8"/>
    <n v="-4665.2"/>
    <n v="85830"/>
    <n v="0"/>
    <n v="85830"/>
    <n v="85830"/>
    <n v="0"/>
    <n v="0"/>
    <n v="0"/>
  </r>
  <r>
    <s v="51"/>
    <x v="0"/>
    <x v="1"/>
    <s v="ZA01C060"/>
    <x v="12"/>
    <s v="A101"/>
    <s v="FORTALECIMIENTO INSTITUCIONAL"/>
    <s v="GC00A10100004D"/>
    <s v="GC00A10100004D REMUNERACION PERSONAL"/>
    <s v="51 GASTOS EN PERSONAL"/>
    <s v="510105 Remuneraciones Unificadas"/>
    <s v="G/510105/1CA101"/>
    <s v="002"/>
    <n v="381984"/>
    <n v="-4505"/>
    <n v="-202277"/>
    <n v="175202"/>
    <n v="0"/>
    <n v="175202"/>
    <n v="175202"/>
    <n v="0"/>
    <n v="0"/>
    <n v="0"/>
  </r>
  <r>
    <s v="51"/>
    <x v="2"/>
    <x v="8"/>
    <s v="FS66P020"/>
    <x v="13"/>
    <s v="A101"/>
    <s v="FORTALECIMIENTO INSTITUCIONAL"/>
    <s v="GC00A10100004D"/>
    <s v="GC00A10100004D REMUNERACION PERSONAL"/>
    <s v="51 GASTOS EN PERSONAL"/>
    <s v="510105 Remuneraciones Unificadas"/>
    <s v="G/510105/1PA101"/>
    <s v="001"/>
    <n v="0"/>
    <n v="0"/>
    <n v="332818.3"/>
    <n v="332818.3"/>
    <n v="0"/>
    <n v="165981"/>
    <n v="165981"/>
    <n v="166837.29999999999"/>
    <n v="166837.29999999999"/>
    <n v="166837.29999999999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105 Remuneraciones Unificadas"/>
    <s v="G/510105/1NA101"/>
    <s v="002"/>
    <n v="2870136"/>
    <n v="-265510"/>
    <n v="-517252.47"/>
    <n v="2087373.53"/>
    <n v="0"/>
    <n v="2087373.53"/>
    <n v="2087373.53"/>
    <n v="0"/>
    <n v="0"/>
    <n v="0"/>
  </r>
  <r>
    <s v="51"/>
    <x v="1"/>
    <x v="5"/>
    <s v="ZA01J000"/>
    <x v="8"/>
    <s v="A101"/>
    <s v="FORTALECIMIENTO INSTITUCIONAL"/>
    <s v="GC00A10100004D"/>
    <s v="GC00A10100004D REMUNERACION PERSONAL"/>
    <s v="51 GASTOS EN PERSONAL"/>
    <s v="510105 Remuneraciones Unificadas"/>
    <s v="G/510105/1JA101"/>
    <s v="002"/>
    <n v="656868"/>
    <n v="234186.67"/>
    <n v="-369498.94"/>
    <n v="521555.73"/>
    <n v="0"/>
    <n v="521555.73"/>
    <n v="521555.73"/>
    <n v="0"/>
    <n v="0"/>
    <n v="0"/>
  </r>
  <r>
    <s v="51"/>
    <x v="0"/>
    <x v="0"/>
    <s v="RP36A010"/>
    <x v="0"/>
    <s v="A101"/>
    <s v="FORTALECIMIENTO INSTITUCIONAL"/>
    <s v="GC00A10100004D"/>
    <s v="GC00A10100004D REMUNERACION PERSONAL"/>
    <s v="51 GASTOS EN PERSONAL"/>
    <s v="510105 Remuneraciones Unificadas"/>
    <s v="G/510105/1AA101"/>
    <s v="001"/>
    <n v="0"/>
    <n v="0"/>
    <n v="548197.01"/>
    <n v="548197.01"/>
    <n v="0"/>
    <n v="261772.93"/>
    <n v="261772.93"/>
    <n v="286424.08"/>
    <n v="286424.08"/>
    <n v="286424.08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105 Remuneraciones Unificadas"/>
    <s v="G/510105/1MA101"/>
    <s v="001"/>
    <n v="0"/>
    <n v="0"/>
    <n v="523688.01"/>
    <n v="523688.01"/>
    <n v="0"/>
    <n v="132462"/>
    <n v="132462"/>
    <n v="391226.01"/>
    <n v="391226.01"/>
    <n v="391226.01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105 Remuneraciones Unificadas"/>
    <s v="G/510105/1KA101"/>
    <s v="002"/>
    <n v="27593136"/>
    <n v="0"/>
    <n v="-5246377.8499999996"/>
    <n v="22346758.149999999"/>
    <n v="0"/>
    <n v="22346758.149999999"/>
    <n v="22346758.149999999"/>
    <n v="0"/>
    <n v="0"/>
    <n v="0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105 Remuneraciones Unificadas"/>
    <s v="G/510105/1IA101"/>
    <s v="001"/>
    <n v="0"/>
    <n v="0"/>
    <n v="31892.38"/>
    <n v="31892.38"/>
    <n v="0"/>
    <n v="15094"/>
    <n v="15094"/>
    <n v="16798.38"/>
    <n v="16798.38"/>
    <n v="16798.38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105 Remuneraciones Unificadas"/>
    <s v="G/510105/1CA101"/>
    <s v="001"/>
    <n v="0"/>
    <n v="0"/>
    <n v="17595.5"/>
    <n v="17595.5"/>
    <n v="0"/>
    <n v="8583"/>
    <n v="8583"/>
    <n v="9012.5"/>
    <n v="9012.5"/>
    <n v="9012.5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105 Remuneraciones Unificadas"/>
    <s v="G/510105/1IA101"/>
    <s v="002"/>
    <n v="1203444"/>
    <n v="-21399.33"/>
    <n v="-344087.55"/>
    <n v="837957.12"/>
    <n v="0"/>
    <n v="837957.12"/>
    <n v="837957.12"/>
    <n v="0"/>
    <n v="0"/>
    <n v="0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105 Remuneraciones Unificadas"/>
    <s v="G/510105/1MA101"/>
    <s v="002"/>
    <n v="3409428"/>
    <n v="-350944.39"/>
    <n v="-842700.58"/>
    <n v="2215783.0299999998"/>
    <n v="0"/>
    <n v="2215783.0299999998"/>
    <n v="2215783.0299999998"/>
    <n v="0"/>
    <n v="0"/>
    <n v="0"/>
  </r>
  <r>
    <s v="51"/>
    <x v="3"/>
    <x v="11"/>
    <s v="ZA01H000"/>
    <x v="19"/>
    <s v="A101"/>
    <s v="FORTALECIMIENTO INSTITUCIONAL"/>
    <s v="GC00A10100004D"/>
    <s v="GC00A10100004D REMUNERACION PERSONAL"/>
    <s v="51 GASTOS EN PERSONAL"/>
    <s v="510105 Remuneraciones Unificadas"/>
    <s v="G/510105/1HA101"/>
    <s v="002"/>
    <n v="413436"/>
    <n v="-30675"/>
    <n v="-85772.67"/>
    <n v="296988.33"/>
    <n v="0"/>
    <n v="296988.33"/>
    <n v="296988.33"/>
    <n v="0"/>
    <n v="0"/>
    <n v="0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105 Remuneraciones Unificadas"/>
    <s v="G/510105/1NA101"/>
    <s v="002"/>
    <n v="13706160"/>
    <n v="-375"/>
    <n v="-2782528.87"/>
    <n v="10923256.130000001"/>
    <n v="0"/>
    <n v="10923256.130000001"/>
    <n v="10923256.130000001"/>
    <n v="0"/>
    <n v="0"/>
    <n v="0"/>
  </r>
  <r>
    <s v="51"/>
    <x v="2"/>
    <x v="8"/>
    <s v="FS66P020"/>
    <x v="13"/>
    <s v="A101"/>
    <s v="FORTALECIMIENTO INSTITUCIONAL"/>
    <s v="GC00A10100004D"/>
    <s v="GC00A10100004D REMUNERACION PERSONAL"/>
    <s v="51 GASTOS EN PERSONAL"/>
    <s v="510105 Remuneraciones Unificadas"/>
    <s v="G/510105/1PA101"/>
    <s v="002"/>
    <n v="2051604"/>
    <n v="9500"/>
    <n v="-446450"/>
    <n v="1614654"/>
    <n v="0"/>
    <n v="1614654"/>
    <n v="1614654"/>
    <n v="0"/>
    <n v="0"/>
    <n v="0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105 Remuneraciones Unificadas"/>
    <s v="G/510105/1MA101"/>
    <s v="002"/>
    <n v="2298072"/>
    <n v="-419692.09"/>
    <n v="-523688.01"/>
    <n v="1354691.9"/>
    <n v="0"/>
    <n v="1354691.9"/>
    <n v="1354283.57"/>
    <n v="0"/>
    <n v="408.33"/>
    <n v="0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105 Remuneraciones Unificadas"/>
    <s v="G/510105/1BA101"/>
    <s v="001"/>
    <n v="0"/>
    <n v="0"/>
    <n v="449651.24"/>
    <n v="449651.24"/>
    <n v="0"/>
    <n v="181161"/>
    <n v="181161"/>
    <n v="268490.23999999999"/>
    <n v="268490.23999999999"/>
    <n v="268490.23999999999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105 Remuneraciones Unificadas"/>
    <s v="G/510105/1DA101"/>
    <s v="001"/>
    <n v="0"/>
    <n v="0"/>
    <n v="197048.39"/>
    <n v="197048.39"/>
    <n v="0"/>
    <n v="96012.13"/>
    <n v="96012.13"/>
    <n v="101036.26"/>
    <n v="101036.26"/>
    <n v="101036.26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105 Remuneraciones Unificadas"/>
    <s v="G/510105/1EA101"/>
    <s v="001"/>
    <n v="0"/>
    <n v="9300"/>
    <n v="109476.1"/>
    <n v="118776.1"/>
    <n v="0"/>
    <n v="59345"/>
    <n v="59345"/>
    <n v="59431.1"/>
    <n v="59431.1"/>
    <n v="59431.1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105 Remuneraciones Unificadas"/>
    <s v="G/510105/1CA101"/>
    <s v="002"/>
    <n v="2126172"/>
    <n v="42432"/>
    <n v="-535871.30000000005"/>
    <n v="1632732.7"/>
    <n v="0"/>
    <n v="1632732.7"/>
    <n v="1632732.7"/>
    <n v="0"/>
    <n v="0"/>
    <n v="0"/>
  </r>
  <r>
    <s v="51"/>
    <x v="2"/>
    <x v="7"/>
    <s v="ZA01F000"/>
    <x v="25"/>
    <s v="A101"/>
    <s v="FORTALECIMIENTO INSTITUCIONAL"/>
    <s v="GC00A10100004D"/>
    <s v="GC00A10100004D REMUNERACION PERSONAL"/>
    <s v="51 GASTOS EN PERSONAL"/>
    <s v="510105 Remuneraciones Unificadas"/>
    <s v="G/510105/1FA101"/>
    <s v="001"/>
    <n v="0"/>
    <n v="16000"/>
    <n v="58743.05"/>
    <n v="74743.05"/>
    <n v="0"/>
    <n v="37331.5"/>
    <n v="37331.5"/>
    <n v="37411.550000000003"/>
    <n v="37411.550000000003"/>
    <n v="37411.550000000003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105 Remuneraciones Unificadas"/>
    <s v="G/510105/1GA101"/>
    <s v="001"/>
    <n v="0"/>
    <n v="-7340.35"/>
    <n v="387553.97"/>
    <n v="380213.62"/>
    <n v="0"/>
    <n v="187216"/>
    <n v="187216"/>
    <n v="192997.62"/>
    <n v="192997.62"/>
    <n v="192997.62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105 Remuneraciones Unificadas"/>
    <s v="G/510105/1IA101"/>
    <s v="001"/>
    <n v="0"/>
    <n v="0"/>
    <n v="14004.52"/>
    <n v="14004.52"/>
    <n v="0"/>
    <n v="6959"/>
    <n v="6959"/>
    <n v="7045.52"/>
    <n v="7045.52"/>
    <n v="7045.52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105 Remuneraciones Unificadas"/>
    <s v="G/510105/1IA101"/>
    <s v="001"/>
    <n v="0"/>
    <n v="600"/>
    <n v="16967.8"/>
    <n v="17567.8"/>
    <n v="0"/>
    <n v="8768"/>
    <n v="8768"/>
    <n v="8799.7999999999993"/>
    <n v="8799.7999999999993"/>
    <n v="8799.7999999999993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105 Remuneraciones Unificadas"/>
    <s v="G/510105/1IA101"/>
    <s v="001"/>
    <n v="0"/>
    <n v="1630"/>
    <n v="16629.599999999999"/>
    <n v="18259.599999999999"/>
    <n v="0"/>
    <n v="9126"/>
    <n v="9126"/>
    <n v="9133.6"/>
    <n v="9133.6"/>
    <n v="9133.6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105 Remuneraciones Unificadas"/>
    <s v="G/510105/1CA101"/>
    <s v="002"/>
    <n v="2811067.68"/>
    <n v="-13702.76"/>
    <n v="-592268.35"/>
    <n v="2205096.5699999998"/>
    <n v="0"/>
    <n v="2205096.5699999998"/>
    <n v="2204396.5699999998"/>
    <n v="0"/>
    <n v="700"/>
    <n v="0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105 Remuneraciones Unificadas"/>
    <s v="G/510105/1EA101"/>
    <s v="002"/>
    <n v="777108"/>
    <n v="-35698.1"/>
    <n v="-139754.54999999999"/>
    <n v="601655.35"/>
    <n v="0"/>
    <n v="601655.35"/>
    <n v="601655.35"/>
    <n v="0"/>
    <n v="0"/>
    <n v="0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105 Remuneraciones Unificadas"/>
    <s v="G/510105/1NA101"/>
    <s v="001"/>
    <n v="0"/>
    <n v="0"/>
    <n v="2782528.87"/>
    <n v="2782528.87"/>
    <n v="0"/>
    <n v="1088539.5900000001"/>
    <n v="1088539.5900000001"/>
    <n v="1693989.28"/>
    <n v="1693989.28"/>
    <n v="1693989.28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105 Remuneraciones Unificadas"/>
    <s v="G/510105/1BA101"/>
    <s v="002"/>
    <n v="2368584"/>
    <n v="-140822.99"/>
    <n v="-449651.24"/>
    <n v="1778109.77"/>
    <n v="0"/>
    <n v="1778109.77"/>
    <n v="1777260.9"/>
    <n v="0"/>
    <n v="848.87"/>
    <n v="0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105 Remuneraciones Unificadas"/>
    <s v="G/510105/1IA101"/>
    <s v="001"/>
    <n v="0"/>
    <n v="0"/>
    <n v="31711.02"/>
    <n v="31711.02"/>
    <n v="0"/>
    <n v="10164"/>
    <n v="10164"/>
    <n v="21547.02"/>
    <n v="21547.02"/>
    <n v="21547.02"/>
  </r>
  <r>
    <s v="51"/>
    <x v="2"/>
    <x v="7"/>
    <s v="RB34F010"/>
    <x v="31"/>
    <s v="A101"/>
    <s v="FORTALECIMIENTO INSTITUCIONAL"/>
    <s v="GC00A10100004D"/>
    <s v="GC00A10100004D REMUNERACION PERSONAL"/>
    <s v="51 GASTOS EN PERSONAL"/>
    <s v="510105 Remuneraciones Unificadas"/>
    <s v="G/510105/1FA101"/>
    <s v="001"/>
    <n v="0"/>
    <n v="0"/>
    <n v="73192.429999999993"/>
    <n v="73192.429999999993"/>
    <n v="0"/>
    <n v="33845"/>
    <n v="33845"/>
    <n v="39347.43"/>
    <n v="39347.43"/>
    <n v="39347.43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105 Remuneraciones Unificadas"/>
    <s v="G/510105/1KA101"/>
    <s v="002"/>
    <n v="1279057.44"/>
    <n v="-1108.54"/>
    <n v="-291817.57"/>
    <n v="986131.33"/>
    <n v="0"/>
    <n v="986131.33"/>
    <n v="986131.33"/>
    <n v="0"/>
    <n v="0"/>
    <n v="0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105 Remuneraciones Unificadas"/>
    <s v="G/510105/1PA101"/>
    <s v="002"/>
    <n v="1226304"/>
    <n v="-1300.53"/>
    <n v="-261253.35"/>
    <n v="963750.12"/>
    <n v="0"/>
    <n v="963750.12"/>
    <n v="963750.12"/>
    <n v="0"/>
    <n v="0"/>
    <n v="0"/>
  </r>
  <r>
    <s v="51"/>
    <x v="0"/>
    <x v="1"/>
    <s v="ZA01C060"/>
    <x v="12"/>
    <s v="A101"/>
    <s v="FORTALECIMIENTO INSTITUCIONAL"/>
    <s v="GC00A10100004D"/>
    <s v="GC00A10100004D REMUNERACION PERSONAL"/>
    <s v="51 GASTOS EN PERSONAL"/>
    <s v="510105 Remuneraciones Unificadas"/>
    <s v="G/510105/1CA101"/>
    <s v="001"/>
    <n v="0"/>
    <n v="30000"/>
    <n v="20858.89"/>
    <n v="50858.89"/>
    <n v="0"/>
    <n v="24836"/>
    <n v="24836"/>
    <n v="26022.89"/>
    <n v="26022.89"/>
    <n v="26022.89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105 Remuneraciones Unificadas"/>
    <s v="G/510105/1MA101"/>
    <s v="002"/>
    <n v="1556724"/>
    <n v="-417563"/>
    <n v="-73013.33"/>
    <n v="1066147.67"/>
    <n v="0"/>
    <n v="1066147.67"/>
    <n v="1066147.67"/>
    <n v="0"/>
    <n v="0"/>
    <n v="0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105 Remuneraciones Unificadas"/>
    <s v="G/510105/1IA101"/>
    <s v="001"/>
    <n v="0"/>
    <n v="1300"/>
    <n v="11229.3"/>
    <n v="12529.3"/>
    <n v="0"/>
    <n v="6257"/>
    <n v="6257"/>
    <n v="6272.3"/>
    <n v="6272.3"/>
    <n v="6272.3"/>
  </r>
  <r>
    <s v="51"/>
    <x v="0"/>
    <x v="0"/>
    <s v="RP36A010"/>
    <x v="0"/>
    <s v="A101"/>
    <s v="FORTALECIMIENTO INSTITUCIONAL"/>
    <s v="GC00A10100004D"/>
    <s v="GC00A10100004D REMUNERACION PERSONAL"/>
    <s v="51 GASTOS EN PERSONAL"/>
    <s v="510105 Remuneraciones Unificadas"/>
    <s v="G/510105/1AA101"/>
    <s v="002"/>
    <n v="3287178.36"/>
    <n v="-40098"/>
    <n v="-646993.27"/>
    <n v="2600087.09"/>
    <n v="0"/>
    <n v="2600087.09"/>
    <n v="2600087.09"/>
    <n v="0"/>
    <n v="0"/>
    <n v="0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105 Remuneraciones Unificadas"/>
    <s v="G/510105/1IA101"/>
    <s v="001"/>
    <n v="0"/>
    <n v="0"/>
    <n v="30701.4"/>
    <n v="30701.4"/>
    <n v="0"/>
    <n v="14784"/>
    <n v="14784"/>
    <n v="15917.4"/>
    <n v="15917.4"/>
    <n v="15917.4"/>
  </r>
  <r>
    <s v="51"/>
    <x v="2"/>
    <x v="7"/>
    <s v="TM68F100"/>
    <x v="36"/>
    <s v="A101"/>
    <s v="FORTALECIMIENTO INSTITUCIONAL"/>
    <s v="GC00A10100004D"/>
    <s v="GC00A10100004D REMUNERACION PERSONAL"/>
    <s v="51 GASTOS EN PERSONAL"/>
    <s v="510105 Remuneraciones Unificadas"/>
    <s v="G/510105/1FA101"/>
    <s v="001"/>
    <n v="0"/>
    <n v="8270"/>
    <n v="67189.63"/>
    <n v="75459.63"/>
    <n v="0"/>
    <n v="37725.03"/>
    <n v="37725.03"/>
    <n v="37734.6"/>
    <n v="37734.6"/>
    <n v="37734.6"/>
  </r>
  <r>
    <s v="51"/>
    <x v="3"/>
    <x v="11"/>
    <s v="ZA01H000"/>
    <x v="19"/>
    <s v="A101"/>
    <s v="FORTALECIMIENTO INSTITUCIONAL"/>
    <s v="GC00A10100004D"/>
    <s v="GC00A10100004D REMUNERACION PERSONAL"/>
    <s v="51 GASTOS EN PERSONAL"/>
    <s v="510105 Remuneraciones Unificadas"/>
    <s v="G/510105/1HA101"/>
    <s v="001"/>
    <n v="0"/>
    <n v="0"/>
    <n v="85772.67"/>
    <n v="85772.67"/>
    <n v="0"/>
    <n v="28036.33"/>
    <n v="28036.33"/>
    <n v="57736.34"/>
    <n v="57736.34"/>
    <n v="57736.34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105 Remuneraciones Unificadas"/>
    <s v="G/510105/1IA101"/>
    <s v="001"/>
    <n v="0"/>
    <n v="0"/>
    <n v="174268.64"/>
    <n v="174268.64"/>
    <n v="0"/>
    <n v="80984.87"/>
    <n v="80984.87"/>
    <n v="93283.77"/>
    <n v="93283.77"/>
    <n v="93283.77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105 Remuneraciones Unificadas"/>
    <s v="G/510105/1MA101"/>
    <s v="001"/>
    <n v="0"/>
    <n v="0"/>
    <n v="215761.01"/>
    <n v="215761.01"/>
    <n v="0"/>
    <n v="97193"/>
    <n v="97193"/>
    <n v="118568.01"/>
    <n v="118568.01"/>
    <n v="118568.01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105 Remuneraciones Unificadas"/>
    <s v="G/510105/1IA101"/>
    <s v="001"/>
    <n v="0"/>
    <n v="560"/>
    <n v="25120.49"/>
    <n v="25680.49"/>
    <n v="0"/>
    <n v="12832"/>
    <n v="12832"/>
    <n v="12848.49"/>
    <n v="12848.49"/>
    <n v="12848.49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105 Remuneraciones Unificadas"/>
    <s v="G/510105/1IA101"/>
    <s v="001"/>
    <n v="0"/>
    <n v="0"/>
    <n v="42201.53"/>
    <n v="42201.53"/>
    <n v="0"/>
    <n v="20028"/>
    <n v="20028"/>
    <n v="22173.53"/>
    <n v="22173.53"/>
    <n v="22173.53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105 Remuneraciones Unificadas"/>
    <s v="G/510105/1AA101"/>
    <s v="001"/>
    <n v="0"/>
    <n v="-304630"/>
    <n v="1301894.83"/>
    <n v="997264.83"/>
    <n v="0"/>
    <n v="618028.56999999995"/>
    <n v="618028.56999999995"/>
    <n v="379236.26"/>
    <n v="379236.26"/>
    <n v="379236.26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105 Remuneraciones Unificadas"/>
    <s v="G/510105/1KA101"/>
    <s v="001"/>
    <n v="0"/>
    <n v="0"/>
    <n v="4659477.3600000003"/>
    <n v="4659477.3600000003"/>
    <n v="0"/>
    <n v="2254851.6800000002"/>
    <n v="2249963.35"/>
    <n v="2404625.6800000002"/>
    <n v="2409514.0099999998"/>
    <n v="2404625.6800000002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105 Remuneraciones Unificadas"/>
    <s v="G/510105/1CA101"/>
    <s v="001"/>
    <n v="0"/>
    <n v="0"/>
    <n v="329634.8"/>
    <n v="329634.8"/>
    <n v="0"/>
    <n v="167077.70000000001"/>
    <n v="167077.70000000001"/>
    <n v="162557.1"/>
    <n v="162557.1"/>
    <n v="162557.1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105 Remuneraciones Unificadas"/>
    <s v="G/510105/1FA101"/>
    <s v="001"/>
    <n v="0"/>
    <n v="-1650"/>
    <n v="207056.69"/>
    <n v="205406.69"/>
    <n v="0"/>
    <n v="88831.86"/>
    <n v="88831.86"/>
    <n v="116574.83"/>
    <n v="116574.83"/>
    <n v="116574.83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105 Remuneraciones Unificadas"/>
    <s v="G/510105/2QA101"/>
    <s v="002"/>
    <n v="1290288"/>
    <n v="-144291.54"/>
    <n v="-200541.27"/>
    <n v="945455.19"/>
    <n v="0"/>
    <n v="945455.19"/>
    <n v="945455.19"/>
    <n v="0"/>
    <n v="0"/>
    <n v="0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105 Remuneraciones Unificadas"/>
    <s v="G/510105/1FA101"/>
    <s v="002"/>
    <n v="1051848"/>
    <n v="-17587.82"/>
    <n v="-291863.11"/>
    <n v="742397.07"/>
    <n v="0"/>
    <n v="742397.07"/>
    <n v="742397.07"/>
    <n v="0"/>
    <n v="0"/>
    <n v="0"/>
  </r>
  <r>
    <s v="51"/>
    <x v="2"/>
    <x v="7"/>
    <s v="ZA01F000"/>
    <x v="25"/>
    <s v="A101"/>
    <s v="FORTALECIMIENTO INSTITUCIONAL"/>
    <s v="GC00A10100004D"/>
    <s v="GC00A10100004D REMUNERACION PERSONAL"/>
    <s v="51 GASTOS EN PERSONAL"/>
    <s v="510105 Remuneraciones Unificadas"/>
    <s v="G/510105/1FA101"/>
    <s v="002"/>
    <n v="485220"/>
    <n v="-14939.24"/>
    <n v="-143641.64000000001"/>
    <n v="326639.12"/>
    <n v="0"/>
    <n v="326639.12"/>
    <n v="326639.12"/>
    <n v="0"/>
    <n v="0"/>
    <n v="0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105 Remuneraciones Unificadas"/>
    <s v="G/510105/1FA101"/>
    <s v="002"/>
    <n v="1345260"/>
    <n v="-11505"/>
    <n v="-303864.18"/>
    <n v="1029890.82"/>
    <n v="0"/>
    <n v="1029890.82"/>
    <n v="1029890.82"/>
    <n v="0"/>
    <n v="0"/>
    <n v="0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105 Remuneraciones Unificadas"/>
    <s v="G/510105/1IA101"/>
    <s v="002"/>
    <n v="120984"/>
    <n v="-2451"/>
    <n v="-31859"/>
    <n v="86674"/>
    <n v="0"/>
    <n v="86674"/>
    <n v="86674"/>
    <n v="0"/>
    <n v="0"/>
    <n v="0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105 Remuneraciones Unificadas"/>
    <s v="G/510105/1IA101"/>
    <s v="002"/>
    <n v="70368"/>
    <n v="-609.38"/>
    <n v="-168.62"/>
    <n v="69590"/>
    <n v="0"/>
    <n v="69590"/>
    <n v="69590"/>
    <n v="0"/>
    <n v="0"/>
    <n v="0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105 Remuneraciones Unificadas"/>
    <s v="G/510105/1DA101"/>
    <s v="002"/>
    <n v="1238064"/>
    <n v="-8448"/>
    <n v="-279145.88"/>
    <n v="950470.12"/>
    <n v="0"/>
    <n v="950470.12"/>
    <n v="950470.12"/>
    <n v="0"/>
    <n v="0"/>
    <n v="0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105 Remuneraciones Unificadas"/>
    <s v="G/510105/1PA101"/>
    <s v="001"/>
    <n v="0"/>
    <n v="0"/>
    <n v="204739.63"/>
    <n v="204739.63"/>
    <n v="0"/>
    <n v="101886.87"/>
    <n v="101886.87"/>
    <n v="102852.76"/>
    <n v="102852.76"/>
    <n v="102852.76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105 Remuneraciones Unificadas"/>
    <s v="G/510105/1MA101"/>
    <s v="002"/>
    <n v="766215.36"/>
    <n v="-16987.54"/>
    <n v="-181202.64"/>
    <n v="568025.18000000005"/>
    <n v="0"/>
    <n v="568025.18000000005"/>
    <n v="568025.18000000005"/>
    <n v="0"/>
    <n v="0"/>
    <n v="0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105 Remuneraciones Unificadas"/>
    <s v="G/510105/1NA101"/>
    <s v="001"/>
    <n v="0"/>
    <n v="0"/>
    <n v="517252.47"/>
    <n v="517252.47"/>
    <n v="0"/>
    <n v="126935.9"/>
    <n v="126935.9"/>
    <n v="390316.57"/>
    <n v="390316.57"/>
    <n v="390316.57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105 Remuneraciones Unificadas"/>
    <s v="G/510105/1FA101"/>
    <s v="002"/>
    <n v="1394112"/>
    <n v="-19264.2"/>
    <n v="-313762.7"/>
    <n v="1061085.1000000001"/>
    <n v="0"/>
    <n v="1061085.1000000001"/>
    <n v="1061085.1000000001"/>
    <n v="0"/>
    <n v="0"/>
    <n v="0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105 Remuneraciones Unificadas"/>
    <s v="G/510105/1IA101"/>
    <s v="002"/>
    <n v="211656"/>
    <n v="-175"/>
    <n v="-60124.01"/>
    <n v="151356.99"/>
    <n v="0"/>
    <n v="151356.99"/>
    <n v="151356.99"/>
    <n v="0"/>
    <n v="0"/>
    <n v="0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105 Remuneraciones Unificadas"/>
    <s v="G/510105/1AA101"/>
    <s v="002"/>
    <n v="8669544"/>
    <n v="-62765.73"/>
    <n v="-2388011.85"/>
    <n v="6218766.4199999999"/>
    <n v="0"/>
    <n v="6218766.4199999999"/>
    <n v="6218766.4199999999"/>
    <n v="0"/>
    <n v="0"/>
    <n v="0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105 Remuneraciones Unificadas"/>
    <s v="G/510105/1FA101"/>
    <s v="002"/>
    <n v="838284"/>
    <n v="-13902.74"/>
    <n v="-205523.18"/>
    <n v="618858.07999999996"/>
    <n v="0"/>
    <n v="618858.07999999996"/>
    <n v="618858.07999999996"/>
    <n v="0"/>
    <n v="0"/>
    <n v="0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105 Remuneraciones Unificadas"/>
    <s v="G/510105/1MA101"/>
    <s v="001"/>
    <n v="0"/>
    <n v="0"/>
    <n v="181202.64"/>
    <n v="181202.64"/>
    <n v="0"/>
    <n v="63208.480000000003"/>
    <n v="63208.480000000003"/>
    <n v="117994.16"/>
    <n v="117994.16"/>
    <n v="117994.16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105 Remuneraciones Unificadas"/>
    <s v="G/510105/1IA101"/>
    <s v="002"/>
    <n v="168360"/>
    <n v="0"/>
    <n v="-52491.31"/>
    <n v="115868.69"/>
    <n v="0"/>
    <n v="115868.69"/>
    <n v="115868.69"/>
    <n v="0"/>
    <n v="0"/>
    <n v="0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105 Remuneraciones Unificadas"/>
    <s v="G/510105/1IA101"/>
    <s v="002"/>
    <n v="240336"/>
    <n v="-16"/>
    <n v="-39822.129999999997"/>
    <n v="200497.87"/>
    <n v="0"/>
    <n v="200497.87"/>
    <n v="200497.87"/>
    <n v="0"/>
    <n v="0"/>
    <n v="0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105 Remuneraciones Unificadas"/>
    <s v="G/510105/1FA101"/>
    <s v="001"/>
    <n v="0"/>
    <n v="23250"/>
    <n v="132584.45000000001"/>
    <n v="155834.45000000001"/>
    <n v="0"/>
    <n v="77906"/>
    <n v="77906"/>
    <n v="77928.45"/>
    <n v="77928.45"/>
    <n v="77928.45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105 Remuneraciones Unificadas"/>
    <s v="G/510105/1FA101"/>
    <s v="001"/>
    <n v="0"/>
    <n v="9370"/>
    <n v="151377.32"/>
    <n v="160747.32"/>
    <n v="0"/>
    <n v="80370.600000000006"/>
    <n v="80370.600000000006"/>
    <n v="80376.72"/>
    <n v="80376.72"/>
    <n v="80376.72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105 Remuneraciones Unificadas"/>
    <s v="G/510105/1IA101"/>
    <s v="002"/>
    <n v="174228"/>
    <n v="-4886"/>
    <n v="-36822.97"/>
    <n v="132519.03"/>
    <n v="0"/>
    <n v="132519.03"/>
    <n v="132519.03"/>
    <n v="0"/>
    <n v="0"/>
    <n v="0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105 Remuneraciones Unificadas"/>
    <s v="G/510105/1IA101"/>
    <s v="002"/>
    <n v="206208"/>
    <n v="-9836.7999999999993"/>
    <n v="-48531.199999999997"/>
    <n v="147840"/>
    <n v="0"/>
    <n v="147840"/>
    <n v="147840"/>
    <n v="0"/>
    <n v="0"/>
    <n v="0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105 Remuneraciones Unificadas"/>
    <s v="G/510105/1GA101"/>
    <s v="002"/>
    <n v="2492376"/>
    <n v="-13747.43"/>
    <n v="-601787.66"/>
    <n v="1876840.91"/>
    <n v="0"/>
    <n v="1876840.91"/>
    <n v="1876840.91"/>
    <n v="0"/>
    <n v="0"/>
    <n v="0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105 Remuneraciones Unificadas"/>
    <s v="G/510105/1FA101"/>
    <s v="001"/>
    <n v="0"/>
    <n v="0"/>
    <n v="194283.45"/>
    <n v="194283.45"/>
    <n v="0"/>
    <n v="92477.5"/>
    <n v="92477.5"/>
    <n v="101805.95"/>
    <n v="101805.95"/>
    <n v="101805.95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105 Remuneraciones Unificadas"/>
    <s v="G/510105/1FA101"/>
    <s v="001"/>
    <n v="0"/>
    <n v="0"/>
    <n v="214467.83"/>
    <n v="214467.83"/>
    <n v="0"/>
    <n v="107082"/>
    <n v="107082"/>
    <n v="107385.83"/>
    <n v="107385.83"/>
    <n v="107385.83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105 Remuneraciones Unificadas"/>
    <s v="G/510105/1IA101"/>
    <s v="002"/>
    <n v="118740"/>
    <n v="-8617.3799999999992"/>
    <n v="-18862.62"/>
    <n v="91260"/>
    <n v="0"/>
    <n v="91260"/>
    <n v="91260"/>
    <n v="0"/>
    <n v="0"/>
    <n v="0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105 Remuneraciones Unificadas"/>
    <s v="G/510105/1FA101"/>
    <s v="002"/>
    <n v="1253772"/>
    <n v="12305"/>
    <n v="-362543.5"/>
    <n v="903533.5"/>
    <n v="0"/>
    <n v="903533.5"/>
    <n v="903533.49"/>
    <n v="0"/>
    <n v="0.01"/>
    <n v="0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105 Remuneraciones Unificadas"/>
    <s v="G/510105/1FA101"/>
    <s v="001"/>
    <n v="0"/>
    <n v="0"/>
    <n v="209135.24"/>
    <n v="209135.24"/>
    <n v="0"/>
    <n v="103252"/>
    <n v="103252"/>
    <n v="105883.24"/>
    <n v="105883.24"/>
    <n v="105883.24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105 Remuneraciones Unificadas"/>
    <s v="G/510105/1FA101"/>
    <s v="002"/>
    <n v="1192392"/>
    <n v="-7203"/>
    <n v="-239141.22"/>
    <n v="946047.78"/>
    <n v="0"/>
    <n v="946047.78"/>
    <n v="946047.78"/>
    <n v="0"/>
    <n v="0"/>
    <n v="0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105 Remuneraciones Unificadas"/>
    <s v="G/510105/1FA101"/>
    <s v="001"/>
    <n v="0"/>
    <n v="22830"/>
    <n v="200511.18"/>
    <n v="223341.18"/>
    <n v="0"/>
    <n v="111667"/>
    <n v="111667"/>
    <n v="111674.18"/>
    <n v="111674.18"/>
    <n v="111674.18"/>
  </r>
  <r>
    <s v="51"/>
    <x v="2"/>
    <x v="7"/>
    <s v="TM68F100"/>
    <x v="36"/>
    <s v="A101"/>
    <s v="FORTALECIMIENTO INSTITUCIONAL"/>
    <s v="GC00A10100004D"/>
    <s v="GC00A10100004D REMUNERACION PERSONAL"/>
    <s v="51 GASTOS EN PERSONAL"/>
    <s v="510105 Remuneraciones Unificadas"/>
    <s v="G/510105/1FA101"/>
    <s v="002"/>
    <n v="487680"/>
    <n v="3879"/>
    <n v="-151822.67000000001"/>
    <n v="339736.33"/>
    <n v="0"/>
    <n v="339736.33"/>
    <n v="339736.33"/>
    <n v="0"/>
    <n v="0"/>
    <n v="0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105 Remuneraciones Unificadas"/>
    <s v="G/510105/1FA101"/>
    <s v="002"/>
    <n v="1014468"/>
    <n v="5074.67"/>
    <n v="-243544.31"/>
    <n v="775998.36"/>
    <n v="0"/>
    <n v="775998.36"/>
    <n v="775998.36"/>
    <n v="0"/>
    <n v="0"/>
    <n v="0"/>
  </r>
  <r>
    <s v="51"/>
    <x v="2"/>
    <x v="7"/>
    <s v="RB34F010"/>
    <x v="31"/>
    <s v="A101"/>
    <s v="FORTALECIMIENTO INSTITUCIONAL"/>
    <s v="GC00A10100004D"/>
    <s v="GC00A10100004D REMUNERACION PERSONAL"/>
    <s v="51 GASTOS EN PERSONAL"/>
    <s v="510105 Remuneraciones Unificadas"/>
    <s v="G/510105/1FA101"/>
    <s v="002"/>
    <n v="438156"/>
    <n v="-5716.13"/>
    <n v="-83095.67"/>
    <n v="349344.2"/>
    <n v="0"/>
    <n v="349344.2"/>
    <n v="349344.2"/>
    <n v="0"/>
    <n v="0"/>
    <n v="0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105 Remuneraciones Unificadas"/>
    <s v="G/510105/1IA101"/>
    <s v="002"/>
    <n v="75084"/>
    <n v="-2734.4"/>
    <n v="-9779.6"/>
    <n v="62570"/>
    <n v="0"/>
    <n v="62570"/>
    <n v="62570"/>
    <n v="0"/>
    <n v="0"/>
    <n v="0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105 Remuneraciones Unificadas"/>
    <s v="G/510105/1FA101"/>
    <s v="002"/>
    <n v="1537008"/>
    <n v="-32456.17"/>
    <n v="-423842.88"/>
    <n v="1080708.95"/>
    <n v="0"/>
    <n v="1080708.95"/>
    <n v="1080708.95"/>
    <n v="0"/>
    <n v="0"/>
    <n v="0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106 Salarios Unificados"/>
    <s v="G/510106/1KA101"/>
    <s v="001"/>
    <n v="0"/>
    <n v="0"/>
    <n v="10968.99"/>
    <n v="10968.99"/>
    <n v="0"/>
    <n v="3050.36"/>
    <n v="3050.36"/>
    <n v="7918.63"/>
    <n v="7918.63"/>
    <n v="7918.63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106 Salarios Unificados"/>
    <s v="G/510106/1CA101"/>
    <s v="001"/>
    <n v="0"/>
    <n v="0"/>
    <n v="1261.06"/>
    <n v="1261.06"/>
    <n v="0"/>
    <n v="630.53"/>
    <n v="630.53"/>
    <n v="630.53"/>
    <n v="630.53"/>
    <n v="630.53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106 Salarios Unificados"/>
    <s v="G/510106/1FA101"/>
    <s v="001"/>
    <n v="0"/>
    <n v="0"/>
    <n v="29895.67"/>
    <n v="29895.67"/>
    <n v="0"/>
    <n v="11670.97"/>
    <n v="11670.97"/>
    <n v="18224.7"/>
    <n v="18224.7"/>
    <n v="18224.7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106 Salarios Unificados"/>
    <s v="G/510106/1IA101"/>
    <s v="002"/>
    <n v="22239.599999999999"/>
    <n v="0"/>
    <n v="-3706.6"/>
    <n v="18533"/>
    <n v="0"/>
    <n v="18533"/>
    <n v="18533"/>
    <n v="0"/>
    <n v="0"/>
    <n v="0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106 Salarios Unificados"/>
    <s v="G/510106/1CA101"/>
    <s v="001"/>
    <n v="0"/>
    <n v="0"/>
    <n v="23175.83"/>
    <n v="23175.83"/>
    <n v="0"/>
    <n v="11141.23"/>
    <n v="11141.23"/>
    <n v="12034.6"/>
    <n v="12034.6"/>
    <n v="12034.6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106 Salarios Unificados"/>
    <s v="G/510106/1GA101"/>
    <s v="001"/>
    <n v="0"/>
    <n v="0"/>
    <n v="19717.93"/>
    <n v="19717.93"/>
    <n v="0"/>
    <n v="6764.55"/>
    <n v="6764.55"/>
    <n v="12953.38"/>
    <n v="12953.38"/>
    <n v="12953.38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106 Salarios Unificados"/>
    <s v="G/510106/1LA101"/>
    <s v="001"/>
    <n v="0"/>
    <n v="0"/>
    <n v="4638.26"/>
    <n v="4638.26"/>
    <n v="0"/>
    <n v="1222.08"/>
    <n v="1222.08"/>
    <n v="3416.18"/>
    <n v="3416.18"/>
    <n v="3416.18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106 Salarios Unificados"/>
    <s v="G/510106/1DA101"/>
    <s v="001"/>
    <n v="0"/>
    <n v="210"/>
    <n v="3317.43"/>
    <n v="3527.43"/>
    <n v="0"/>
    <n v="1759.43"/>
    <n v="1759.43"/>
    <n v="1768"/>
    <n v="1768"/>
    <n v="1768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106 Salarios Unificados"/>
    <s v="G/510106/1IA101"/>
    <s v="002"/>
    <n v="122313.36"/>
    <n v="0"/>
    <n v="-43304.51"/>
    <n v="79008.850000000006"/>
    <n v="0"/>
    <n v="79008.850000000006"/>
    <n v="79008.850000000006"/>
    <n v="0"/>
    <n v="0"/>
    <n v="0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106 Salarios Unificados"/>
    <s v="G/510106/1NA101"/>
    <s v="002"/>
    <n v="37255.919999999998"/>
    <n v="0"/>
    <n v="-6209.32"/>
    <n v="31046.6"/>
    <n v="0"/>
    <n v="31046.6"/>
    <n v="31046.6"/>
    <n v="0"/>
    <n v="0"/>
    <n v="0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106 Salarios Unificados"/>
    <s v="G/510106/1EA101"/>
    <s v="001"/>
    <n v="0"/>
    <n v="20"/>
    <n v="10026.16"/>
    <n v="10046.16"/>
    <n v="0"/>
    <n v="5013.08"/>
    <n v="5013.08"/>
    <n v="5033.08"/>
    <n v="5033.08"/>
    <n v="5033.08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106 Salarios Unificados"/>
    <s v="G/510106/1FA101"/>
    <s v="001"/>
    <n v="0"/>
    <n v="0"/>
    <n v="65441.1"/>
    <n v="65441.1"/>
    <n v="0"/>
    <n v="30714.99"/>
    <n v="30714.99"/>
    <n v="34726.11"/>
    <n v="34726.11"/>
    <n v="34726.11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106 Salarios Unificados"/>
    <s v="G/510106/1IA101"/>
    <s v="002"/>
    <n v="13618.32"/>
    <n v="0"/>
    <n v="-2269.7199999999998"/>
    <n v="11348.6"/>
    <n v="0"/>
    <n v="11348.6"/>
    <n v="11348.6"/>
    <n v="0"/>
    <n v="0"/>
    <n v="0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106 Salarios Unificados"/>
    <s v="G/510106/1CA101"/>
    <s v="001"/>
    <n v="0"/>
    <n v="0"/>
    <n v="10954.98"/>
    <n v="10954.98"/>
    <n v="0"/>
    <n v="5578.44"/>
    <n v="5578.44"/>
    <n v="5376.54"/>
    <n v="5376.54"/>
    <n v="5376.54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106 Salarios Unificados"/>
    <s v="G/510106/1AA101"/>
    <s v="001"/>
    <n v="0"/>
    <n v="0"/>
    <n v="146077.22"/>
    <n v="146077.22"/>
    <n v="0"/>
    <n v="62634.62"/>
    <n v="62634.62"/>
    <n v="83442.600000000006"/>
    <n v="83442.600000000006"/>
    <n v="83442.600000000006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106 Salarios Unificados"/>
    <s v="G/510106/1MA101"/>
    <s v="002"/>
    <n v="114411"/>
    <n v="4014.62"/>
    <n v="-24320.91"/>
    <n v="94104.71"/>
    <n v="0"/>
    <n v="94104.71"/>
    <n v="94104.71"/>
    <n v="0"/>
    <n v="0"/>
    <n v="0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106 Salarios Unificados"/>
    <s v="G/510106/1MA101"/>
    <s v="001"/>
    <n v="0"/>
    <n v="0"/>
    <n v="29085.24"/>
    <n v="29085.24"/>
    <n v="0"/>
    <n v="13339.43"/>
    <n v="13339.43"/>
    <n v="15745.81"/>
    <n v="15745.81"/>
    <n v="15745.81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106 Salarios Unificados"/>
    <s v="G/510106/1GA101"/>
    <s v="002"/>
    <n v="96068.160000000003"/>
    <n v="0"/>
    <n v="-19974.78"/>
    <n v="76093.38"/>
    <n v="0"/>
    <n v="76093.38"/>
    <n v="76093.38"/>
    <n v="0"/>
    <n v="0"/>
    <n v="0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106 Salarios Unificados"/>
    <s v="G/510106/1MA101"/>
    <s v="001"/>
    <n v="0"/>
    <n v="60"/>
    <n v="9089.6"/>
    <n v="9149.6"/>
    <n v="0"/>
    <n v="4569.0200000000004"/>
    <n v="4569.0200000000004"/>
    <n v="4580.58"/>
    <n v="4580.58"/>
    <n v="4580.58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106 Salarios Unificados"/>
    <s v="G/510106/1NA101"/>
    <s v="001"/>
    <n v="0"/>
    <n v="160"/>
    <n v="20100.77"/>
    <n v="20260.77"/>
    <n v="0"/>
    <n v="10089.540000000001"/>
    <n v="10089.540000000001"/>
    <n v="10171.23"/>
    <n v="10171.23"/>
    <n v="10171.23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106 Salarios Unificados"/>
    <s v="G/510106/1BA101"/>
    <s v="001"/>
    <n v="0"/>
    <n v="0"/>
    <n v="6157.72"/>
    <n v="6157.72"/>
    <n v="0"/>
    <n v="3078.86"/>
    <n v="3078.86"/>
    <n v="3078.86"/>
    <n v="3078.86"/>
    <n v="3078.86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106 Salarios Unificados"/>
    <s v="G/510106/1PA101"/>
    <s v="001"/>
    <n v="0"/>
    <n v="20"/>
    <n v="1205.42"/>
    <n v="1225.42"/>
    <n v="0"/>
    <n v="602.71"/>
    <n v="602.71"/>
    <n v="622.71"/>
    <n v="622.71"/>
    <n v="622.71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106 Salarios Unificados"/>
    <s v="G/510106/1IA101"/>
    <s v="002"/>
    <n v="6809.16"/>
    <n v="0"/>
    <n v="-1134.8599999999999"/>
    <n v="5674.3"/>
    <n v="0"/>
    <n v="5674.3"/>
    <n v="5674.3"/>
    <n v="0"/>
    <n v="0"/>
    <n v="0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106 Salarios Unificados"/>
    <s v="G/510106/1FA101"/>
    <s v="001"/>
    <n v="0"/>
    <n v="40"/>
    <n v="10167"/>
    <n v="10207"/>
    <n v="0"/>
    <n v="5083.5"/>
    <n v="5083.5"/>
    <n v="5123.5"/>
    <n v="5123.5"/>
    <n v="5123.5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106 Salarios Unificados"/>
    <s v="G/510106/1IA101"/>
    <s v="001"/>
    <n v="0"/>
    <n v="0"/>
    <n v="1134.8599999999999"/>
    <n v="1134.8599999999999"/>
    <n v="0"/>
    <n v="567.42999999999995"/>
    <n v="567.42999999999995"/>
    <n v="567.42999999999995"/>
    <n v="567.42999999999995"/>
    <n v="567.42999999999995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106 Salarios Unificados"/>
    <s v="G/510106/1IA101"/>
    <s v="001"/>
    <n v="0"/>
    <n v="0"/>
    <n v="5409.62"/>
    <n v="5409.62"/>
    <n v="0"/>
    <n v="2704.81"/>
    <n v="2704.81"/>
    <n v="2704.81"/>
    <n v="2704.81"/>
    <n v="2704.81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106 Salarios Unificados"/>
    <s v="G/510106/1FA101"/>
    <s v="001"/>
    <n v="0"/>
    <n v="150"/>
    <n v="27902.68"/>
    <n v="28052.68"/>
    <n v="0"/>
    <n v="13969.41"/>
    <n v="13969.41"/>
    <n v="14083.27"/>
    <n v="14083.27"/>
    <n v="14083.27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106 Salarios Unificados"/>
    <s v="G/510106/1FA101"/>
    <s v="001"/>
    <n v="0"/>
    <n v="183"/>
    <n v="12315.16"/>
    <n v="12498.16"/>
    <n v="0"/>
    <n v="6179.88"/>
    <n v="6179.88"/>
    <n v="6318.28"/>
    <n v="6318.28"/>
    <n v="6318.28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106 Salarios Unificados"/>
    <s v="G/510106/1IA101"/>
    <s v="001"/>
    <n v="0"/>
    <n v="0"/>
    <n v="2269.7199999999998"/>
    <n v="2269.7199999999998"/>
    <n v="0"/>
    <n v="1134.8599999999999"/>
    <n v="1134.8599999999999"/>
    <n v="1134.8599999999999"/>
    <n v="1134.8599999999999"/>
    <n v="1134.8599999999999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106 Salarios Unificados"/>
    <s v="G/510106/1MA101"/>
    <s v="001"/>
    <n v="0"/>
    <n v="0"/>
    <n v="29966.27"/>
    <n v="29966.27"/>
    <n v="0"/>
    <n v="13566.25"/>
    <n v="13566.25"/>
    <n v="16400.02"/>
    <n v="16400.02"/>
    <n v="16400.02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106 Salarios Unificados"/>
    <s v="G/510106/1MA101"/>
    <s v="002"/>
    <n v="158226.23999999999"/>
    <n v="10174.959999999999"/>
    <n v="-29085.24"/>
    <n v="139315.96"/>
    <n v="0"/>
    <n v="139315.96"/>
    <n v="139315.96"/>
    <n v="0"/>
    <n v="0"/>
    <n v="0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106 Salarios Unificados"/>
    <s v="G/510106/1NA101"/>
    <s v="001"/>
    <n v="0"/>
    <n v="50"/>
    <n v="6209.32"/>
    <n v="6259.32"/>
    <n v="0"/>
    <n v="3104.66"/>
    <n v="3104.66"/>
    <n v="3154.66"/>
    <n v="3154.66"/>
    <n v="3154.66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106 Salarios Unificados"/>
    <s v="G/510106/1FA101"/>
    <s v="001"/>
    <n v="0"/>
    <n v="0"/>
    <n v="20007.060000000001"/>
    <n v="20007.060000000001"/>
    <n v="0"/>
    <n v="9415.33"/>
    <n v="9415.33"/>
    <n v="10591.73"/>
    <n v="10591.73"/>
    <n v="10591.73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106 Salarios Unificados"/>
    <s v="G/510106/1IA101"/>
    <s v="002"/>
    <n v="32457.72"/>
    <n v="0"/>
    <n v="-5409.62"/>
    <n v="27048.1"/>
    <n v="0"/>
    <n v="27048.1"/>
    <n v="27048.1"/>
    <n v="0"/>
    <n v="0"/>
    <n v="0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106 Salarios Unificados"/>
    <s v="G/510106/1IA101"/>
    <s v="001"/>
    <n v="0"/>
    <n v="20"/>
    <n v="3706.6"/>
    <n v="3726.6"/>
    <n v="0"/>
    <n v="1853.3"/>
    <n v="1853.3"/>
    <n v="1873.3"/>
    <n v="1873.3"/>
    <n v="1873.3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106 Salarios Unificados"/>
    <s v="G/510106/1MA101"/>
    <s v="001"/>
    <n v="0"/>
    <n v="0"/>
    <n v="24320.91"/>
    <n v="24320.91"/>
    <n v="0"/>
    <n v="8678.39"/>
    <n v="8678.39"/>
    <n v="15642.52"/>
    <n v="15642.52"/>
    <n v="15642.52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106 Salarios Unificados"/>
    <s v="G/510106/1FA101"/>
    <s v="001"/>
    <n v="0"/>
    <n v="0"/>
    <n v="14147.81"/>
    <n v="14147.81"/>
    <n v="0"/>
    <n v="6384.27"/>
    <n v="6384.27"/>
    <n v="7763.54"/>
    <n v="7763.54"/>
    <n v="7763.54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106 Salarios Unificados"/>
    <s v="G/510106/1MA101"/>
    <s v="002"/>
    <n v="151835.4"/>
    <n v="15274.64"/>
    <n v="-29966.27"/>
    <n v="137143.76999999999"/>
    <n v="0"/>
    <n v="137143.76999999999"/>
    <n v="137143.76999999999"/>
    <n v="0"/>
    <n v="0"/>
    <n v="0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106 Salarios Unificados"/>
    <s v="G/510106/1IA101"/>
    <s v="002"/>
    <n v="34477.199999999997"/>
    <n v="0"/>
    <n v="-5746.2"/>
    <n v="28731"/>
    <n v="0"/>
    <n v="28731"/>
    <n v="28731"/>
    <n v="0"/>
    <n v="0"/>
    <n v="0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106 Salarios Unificados"/>
    <s v="G/510106/1IA101"/>
    <s v="001"/>
    <n v="0"/>
    <n v="20"/>
    <n v="9743.32"/>
    <n v="9763.32"/>
    <n v="0"/>
    <n v="4871.66"/>
    <n v="4871.66"/>
    <n v="4891.66"/>
    <n v="4891.66"/>
    <n v="4891.66"/>
  </r>
  <r>
    <s v="51"/>
    <x v="3"/>
    <x v="11"/>
    <s v="ZA01H000"/>
    <x v="19"/>
    <s v="A101"/>
    <s v="FORTALECIMIENTO INSTITUCIONAL"/>
    <s v="GC00A10100004D"/>
    <s v="GC00A10100004D REMUNERACION PERSONAL"/>
    <s v="51 GASTOS EN PERSONAL"/>
    <s v="510106 Salarios Unificados"/>
    <s v="G/510106/1HA101"/>
    <s v="002"/>
    <n v="15016.08"/>
    <n v="-15016.08"/>
    <n v="0"/>
    <n v="0"/>
    <n v="0"/>
    <n v="0"/>
    <n v="0"/>
    <n v="0"/>
    <n v="0"/>
    <n v="0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106 Salarios Unificados"/>
    <s v="G/510106/1KA101"/>
    <s v="001"/>
    <n v="0"/>
    <n v="0"/>
    <n v="2419.3200000000002"/>
    <n v="2419.3200000000002"/>
    <n v="0"/>
    <n v="1209.6600000000001"/>
    <n v="1209.6600000000001"/>
    <n v="1209.6600000000001"/>
    <n v="1209.6600000000001"/>
    <n v="1209.6600000000001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106 Salarios Unificados"/>
    <s v="G/510106/2QA101"/>
    <s v="001"/>
    <n v="0"/>
    <n v="0"/>
    <n v="34576.86"/>
    <n v="34576.86"/>
    <n v="0"/>
    <n v="16533.7"/>
    <n v="16533.7"/>
    <n v="18043.16"/>
    <n v="18043.16"/>
    <n v="18043.16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106 Salarios Unificados"/>
    <s v="G/510106/1DA101"/>
    <s v="002"/>
    <n v="28381.200000000001"/>
    <n v="0"/>
    <n v="-11068.9"/>
    <n v="17312.3"/>
    <n v="0"/>
    <n v="17312.3"/>
    <n v="17312.3"/>
    <n v="0"/>
    <n v="0"/>
    <n v="0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106 Salarios Unificados"/>
    <s v="G/510106/1CA101"/>
    <s v="002"/>
    <n v="102586.32"/>
    <n v="-2436.52"/>
    <n v="-40206.51"/>
    <n v="59943.29"/>
    <n v="0"/>
    <n v="59943.29"/>
    <n v="59943.29"/>
    <n v="0"/>
    <n v="0"/>
    <n v="0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106 Salarios Unificados"/>
    <s v="G/510106/1FA101"/>
    <s v="002"/>
    <n v="94303.2"/>
    <n v="0"/>
    <n v="-24989.03"/>
    <n v="69314.17"/>
    <n v="0"/>
    <n v="69314.17"/>
    <n v="69314.17"/>
    <n v="0"/>
    <n v="0"/>
    <n v="0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106 Salarios Unificados"/>
    <s v="G/510106/1CA101"/>
    <s v="002"/>
    <n v="7566.36"/>
    <n v="0"/>
    <n v="-1261.06"/>
    <n v="6305.3"/>
    <n v="0"/>
    <n v="6305.3"/>
    <n v="6305.3"/>
    <n v="0"/>
    <n v="0"/>
    <n v="0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106 Salarios Unificados"/>
    <s v="G/510106/1CA101"/>
    <s v="002"/>
    <n v="169828.8"/>
    <n v="0"/>
    <n v="-57194.3"/>
    <n v="112634.5"/>
    <n v="0"/>
    <n v="112634.5"/>
    <n v="112634.5"/>
    <n v="0"/>
    <n v="0"/>
    <n v="0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106 Salarios Unificados"/>
    <s v="G/510106/1EA101"/>
    <s v="002"/>
    <n v="67482.12"/>
    <n v="0"/>
    <n v="-17351.32"/>
    <n v="50130.8"/>
    <n v="0"/>
    <n v="50130.8"/>
    <n v="50130.8"/>
    <n v="0"/>
    <n v="0"/>
    <n v="0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106 Salarios Unificados"/>
    <s v="G/510106/1FA101"/>
    <s v="002"/>
    <n v="177309.12"/>
    <n v="0"/>
    <n v="-51347.01"/>
    <n v="125962.11"/>
    <n v="0"/>
    <n v="125962.11"/>
    <n v="125962.11"/>
    <n v="0"/>
    <n v="0"/>
    <n v="0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106 Salarios Unificados"/>
    <s v="G/510106/1FA101"/>
    <s v="002"/>
    <n v="174833.64"/>
    <n v="0"/>
    <n v="-35320.239999999998"/>
    <n v="139513.4"/>
    <n v="0"/>
    <n v="139513.4"/>
    <n v="139513.4"/>
    <n v="0"/>
    <n v="0"/>
    <n v="0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106 Salarios Unificados"/>
    <s v="G/510106/1BA101"/>
    <s v="002"/>
    <n v="36946.32"/>
    <n v="0"/>
    <n v="-6157.72"/>
    <n v="30788.6"/>
    <n v="0"/>
    <n v="30788.6"/>
    <n v="30788.6"/>
    <n v="0"/>
    <n v="0"/>
    <n v="0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106 Salarios Unificados"/>
    <s v="G/510106/1KA101"/>
    <s v="002"/>
    <n v="51510.12"/>
    <n v="0"/>
    <n v="-14190.94"/>
    <n v="37319.18"/>
    <n v="0"/>
    <n v="37319.18"/>
    <n v="37319.18"/>
    <n v="0"/>
    <n v="0"/>
    <n v="0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106 Salarios Unificados"/>
    <s v="G/510106/1FA101"/>
    <s v="002"/>
    <n v="84454.8"/>
    <n v="0"/>
    <n v="-18629.84"/>
    <n v="65824.960000000006"/>
    <n v="0"/>
    <n v="65824.960000000006"/>
    <n v="65824.960000000006"/>
    <n v="0"/>
    <n v="0"/>
    <n v="0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106 Salarios Unificados"/>
    <s v="G/510106/1PA101"/>
    <s v="002"/>
    <n v="7232.52"/>
    <n v="0"/>
    <n v="-1205.42"/>
    <n v="6027.1"/>
    <n v="0"/>
    <n v="6027.1"/>
    <n v="6027.1"/>
    <n v="0"/>
    <n v="0"/>
    <n v="0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106 Salarios Unificados"/>
    <s v="G/510106/1FA101"/>
    <s v="002"/>
    <n v="382757.04"/>
    <n v="0"/>
    <n v="-67185.8"/>
    <n v="315571.24"/>
    <n v="0"/>
    <n v="315571.24"/>
    <n v="315571.24"/>
    <n v="0"/>
    <n v="0"/>
    <n v="0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106 Salarios Unificados"/>
    <s v="G/510106/1LA101"/>
    <s v="002"/>
    <n v="22068.36"/>
    <n v="0"/>
    <n v="-6753.52"/>
    <n v="15314.84"/>
    <n v="0"/>
    <n v="15314.84"/>
    <n v="15314.84"/>
    <n v="0"/>
    <n v="0"/>
    <n v="0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106 Salarios Unificados"/>
    <s v="G/510106/1FA101"/>
    <s v="002"/>
    <n v="127767.24"/>
    <n v="0"/>
    <n v="-27731.94"/>
    <n v="100035.3"/>
    <n v="0"/>
    <n v="100035.3"/>
    <n v="100035.3"/>
    <n v="0"/>
    <n v="0"/>
    <n v="0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106 Salarios Unificados"/>
    <s v="G/510106/1KA101"/>
    <s v="002"/>
    <n v="14515.92"/>
    <n v="0"/>
    <n v="-2419.3200000000002"/>
    <n v="12096.6"/>
    <n v="0"/>
    <n v="12096.6"/>
    <n v="12096.6"/>
    <n v="0"/>
    <n v="0"/>
    <n v="0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106 Salarios Unificados"/>
    <s v="G/510106/1IA101"/>
    <s v="001"/>
    <n v="0"/>
    <n v="20"/>
    <n v="2791.2"/>
    <n v="2811.2"/>
    <n v="0"/>
    <n v="1395.6"/>
    <n v="1395.6"/>
    <n v="1415.6"/>
    <n v="1415.6"/>
    <n v="1415.6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106 Salarios Unificados"/>
    <s v="G/510106/1FA101"/>
    <s v="002"/>
    <n v="61002"/>
    <n v="0"/>
    <n v="-10167"/>
    <n v="50835"/>
    <n v="0"/>
    <n v="50835"/>
    <n v="50835"/>
    <n v="0"/>
    <n v="0"/>
    <n v="0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106 Salarios Unificados"/>
    <s v="G/510106/1FA101"/>
    <s v="002"/>
    <n v="81483.72"/>
    <n v="0"/>
    <n v="-19640.32"/>
    <n v="61843.4"/>
    <n v="0"/>
    <n v="61843.4"/>
    <n v="61843.4"/>
    <n v="0"/>
    <n v="0"/>
    <n v="0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106 Salarios Unificados"/>
    <s v="G/510106/1IA101"/>
    <s v="001"/>
    <n v="0"/>
    <n v="0"/>
    <n v="38241.64"/>
    <n v="38241.64"/>
    <n v="0"/>
    <n v="16180.51"/>
    <n v="16180.51"/>
    <n v="22061.13"/>
    <n v="22061.13"/>
    <n v="22061.13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106 Salarios Unificados"/>
    <s v="G/510106/1IA101"/>
    <s v="001"/>
    <n v="0"/>
    <n v="0"/>
    <n v="17931.349999999999"/>
    <n v="17931.349999999999"/>
    <n v="0"/>
    <n v="7486.8"/>
    <n v="7486.8"/>
    <n v="10444.549999999999"/>
    <n v="10444.549999999999"/>
    <n v="10444.549999999999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106 Salarios Unificados"/>
    <s v="G/510106/2QA101"/>
    <s v="002"/>
    <n v="254801.88"/>
    <n v="-43382.68"/>
    <n v="-34576.86"/>
    <n v="176842.34"/>
    <n v="0"/>
    <n v="176842.34"/>
    <n v="176842.34"/>
    <n v="0"/>
    <n v="0"/>
    <n v="0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106 Salarios Unificados"/>
    <s v="G/510106/1NA101"/>
    <s v="002"/>
    <n v="121074.48"/>
    <n v="0"/>
    <n v="-20100.77"/>
    <n v="100973.71"/>
    <n v="0"/>
    <n v="100973.71"/>
    <n v="100973.71"/>
    <n v="0"/>
    <n v="0"/>
    <n v="0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106 Salarios Unificados"/>
    <s v="G/510106/1IA101"/>
    <s v="001"/>
    <n v="0"/>
    <n v="30"/>
    <n v="4917.1000000000004"/>
    <n v="4947.1000000000004"/>
    <n v="0"/>
    <n v="2458.5500000000002"/>
    <n v="2458.5500000000002"/>
    <n v="2488.5500000000002"/>
    <n v="2488.5500000000002"/>
    <n v="2488.5500000000002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106 Salarios Unificados"/>
    <s v="G/510106/1IA101"/>
    <s v="002"/>
    <n v="29502.6"/>
    <n v="0"/>
    <n v="-4917.1000000000004"/>
    <n v="24585.5"/>
    <n v="0"/>
    <n v="24585.5"/>
    <n v="24585.5"/>
    <n v="0"/>
    <n v="0"/>
    <n v="0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106 Salarios Unificados"/>
    <s v="G/510106/1IA101"/>
    <s v="001"/>
    <n v="0"/>
    <n v="0"/>
    <n v="5746.2"/>
    <n v="5746.2"/>
    <n v="0"/>
    <n v="2044.93"/>
    <n v="2044.93"/>
    <n v="3701.27"/>
    <n v="3701.27"/>
    <n v="3701.27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106 Salarios Unificados"/>
    <s v="G/510106/1IA101"/>
    <s v="002"/>
    <n v="216840.24"/>
    <n v="0"/>
    <n v="-46802.27"/>
    <n v="170037.97"/>
    <n v="0"/>
    <n v="170037.97"/>
    <n v="170037.97"/>
    <n v="0"/>
    <n v="0"/>
    <n v="0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106 Salarios Unificados"/>
    <s v="G/510106/1IA101"/>
    <s v="002"/>
    <n v="58459.92"/>
    <n v="0"/>
    <n v="-9743.32"/>
    <n v="48716.6"/>
    <n v="0"/>
    <n v="48716.6"/>
    <n v="48716.6"/>
    <n v="0"/>
    <n v="0"/>
    <n v="0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106 Salarios Unificados"/>
    <s v="G/510106/1AA101"/>
    <s v="002"/>
    <n v="762350.88"/>
    <n v="2436.52"/>
    <n v="-111139.67"/>
    <n v="653647.73"/>
    <n v="0"/>
    <n v="653647.73"/>
    <n v="653647.73"/>
    <n v="0"/>
    <n v="0"/>
    <n v="0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106 Salarios Unificados"/>
    <s v="G/510106/1MA101"/>
    <s v="002"/>
    <n v="44890.2"/>
    <n v="1656.34"/>
    <n v="-9089.6"/>
    <n v="37456.94"/>
    <n v="0"/>
    <n v="37456.94"/>
    <n v="37456.94"/>
    <n v="0"/>
    <n v="0"/>
    <n v="0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106 Salarios Unificados"/>
    <s v="G/510106/1FA101"/>
    <s v="001"/>
    <n v="0"/>
    <n v="0"/>
    <n v="15520"/>
    <n v="15520"/>
    <n v="0"/>
    <n v="6603.89"/>
    <n v="6603.89"/>
    <n v="8916.11"/>
    <n v="8916.11"/>
    <n v="8916.11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106 Salarios Unificados"/>
    <s v="G/510106/1IA101"/>
    <s v="002"/>
    <n v="16747.2"/>
    <n v="0"/>
    <n v="-2791.2"/>
    <n v="13956"/>
    <n v="0"/>
    <n v="13956"/>
    <n v="13956"/>
    <n v="0"/>
    <n v="0"/>
    <n v="0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1"/>
    <n v="0"/>
    <n v="0"/>
    <n v="137978.29999999999"/>
    <n v="137978.29999999999"/>
    <n v="0"/>
    <n v="66715"/>
    <n v="66715"/>
    <n v="71263.3"/>
    <n v="71263.3"/>
    <n v="71263.3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2"/>
    <n v="957708.48"/>
    <n v="0"/>
    <n v="-187427.91"/>
    <n v="770280.57"/>
    <n v="0"/>
    <n v="770280.57"/>
    <n v="770280.57"/>
    <n v="0"/>
    <n v="0"/>
    <n v="0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1"/>
    <n v="0"/>
    <n v="0"/>
    <n v="306438.21999999997"/>
    <n v="306438.21999999997"/>
    <n v="0"/>
    <n v="147674"/>
    <n v="147674"/>
    <n v="158764.22"/>
    <n v="158764.22"/>
    <n v="158764.22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2"/>
    <n v="765312"/>
    <n v="-2100"/>
    <n v="-38300.43"/>
    <n v="724911.57"/>
    <n v="0"/>
    <n v="724911.57"/>
    <n v="724911.57"/>
    <n v="0"/>
    <n v="0"/>
    <n v="0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2"/>
    <n v="1646892"/>
    <n v="-9609.42"/>
    <n v="-336900.58"/>
    <n v="1300382"/>
    <n v="0"/>
    <n v="1300382"/>
    <n v="1300382"/>
    <n v="0"/>
    <n v="0"/>
    <n v="0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2"/>
    <n v="829608"/>
    <n v="0"/>
    <n v="-175000"/>
    <n v="654608"/>
    <n v="0"/>
    <n v="654608"/>
    <n v="654608"/>
    <n v="0"/>
    <n v="0"/>
    <n v="0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1"/>
    <n v="0"/>
    <n v="0"/>
    <n v="397350.28"/>
    <n v="397350.28"/>
    <n v="0"/>
    <n v="198127.5"/>
    <n v="198127.5"/>
    <n v="199222.78"/>
    <n v="199222.78"/>
    <n v="199222.78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1"/>
    <n v="0"/>
    <n v="0"/>
    <n v="118374.53"/>
    <n v="118374.53"/>
    <n v="0"/>
    <n v="54348"/>
    <n v="54348"/>
    <n v="64026.53"/>
    <n v="64026.53"/>
    <n v="64026.53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1"/>
    <n v="0"/>
    <n v="0"/>
    <n v="157532.26"/>
    <n v="157532.26"/>
    <n v="0"/>
    <n v="69523"/>
    <n v="69523"/>
    <n v="88009.26"/>
    <n v="88009.26"/>
    <n v="88009.26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1"/>
    <n v="0"/>
    <n v="0"/>
    <n v="176221.96"/>
    <n v="176221.96"/>
    <n v="0"/>
    <n v="84096"/>
    <n v="84096"/>
    <n v="92125.96"/>
    <n v="92125.96"/>
    <n v="92125.96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2"/>
    <n v="1847772"/>
    <n v="-454"/>
    <n v="-379874.86"/>
    <n v="1467443.14"/>
    <n v="0"/>
    <n v="1467443.14"/>
    <n v="1467443.14"/>
    <n v="0"/>
    <n v="0"/>
    <n v="0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2"/>
    <n v="4008084"/>
    <n v="-1352537.86"/>
    <n v="-699676.91"/>
    <n v="1955869.23"/>
    <n v="0"/>
    <n v="1955869.23"/>
    <n v="1955869.23"/>
    <n v="0"/>
    <n v="0"/>
    <n v="0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2"/>
    <n v="1008876"/>
    <n v="-14261.42"/>
    <n v="-208823.81"/>
    <n v="785790.77"/>
    <n v="0"/>
    <n v="785790.77"/>
    <n v="785790.77"/>
    <n v="0"/>
    <n v="0"/>
    <n v="0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2"/>
    <n v="943105.56"/>
    <n v="-9613.25"/>
    <n v="-187652.41"/>
    <n v="745839.9"/>
    <n v="0"/>
    <n v="745839.9"/>
    <n v="745839.9"/>
    <n v="0"/>
    <n v="0"/>
    <n v="0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1"/>
    <n v="0"/>
    <n v="0"/>
    <n v="277841.74"/>
    <n v="277841.74"/>
    <n v="0"/>
    <n v="130354"/>
    <n v="130354"/>
    <n v="147487.74"/>
    <n v="147487.74"/>
    <n v="147487.74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1"/>
    <n v="0"/>
    <n v="0"/>
    <n v="159385.68"/>
    <n v="159385.68"/>
    <n v="0"/>
    <n v="78482.039999999994"/>
    <n v="78482.039999999994"/>
    <n v="80903.64"/>
    <n v="80903.64"/>
    <n v="80903.64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2"/>
    <n v="662100"/>
    <n v="0"/>
    <n v="-122487.13"/>
    <n v="539612.87"/>
    <n v="0"/>
    <n v="539612.87"/>
    <n v="539612.87"/>
    <n v="0"/>
    <n v="0"/>
    <n v="0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2"/>
    <n v="1003428"/>
    <n v="-7503.97"/>
    <n v="-165055.97"/>
    <n v="830868.06"/>
    <n v="0"/>
    <n v="830868.06"/>
    <n v="830868.06"/>
    <n v="0"/>
    <n v="0"/>
    <n v="0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1"/>
    <n v="0"/>
    <n v="0"/>
    <n v="170722.06"/>
    <n v="170722.06"/>
    <n v="0"/>
    <n v="77379.710000000006"/>
    <n v="76700"/>
    <n v="93342.35"/>
    <n v="94022.06"/>
    <n v="93342.35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1"/>
    <n v="0"/>
    <n v="0"/>
    <n v="167910.46"/>
    <n v="167910.46"/>
    <n v="0"/>
    <n v="67537.13"/>
    <n v="67537.13"/>
    <n v="100373.33"/>
    <n v="100373.33"/>
    <n v="100373.33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203 Decimotercer Sueldo"/>
    <s v="G/510203/1FA101"/>
    <s v="002"/>
    <n v="159980.42000000001"/>
    <n v="375.17"/>
    <n v="-145522.76"/>
    <n v="14832.83"/>
    <n v="1874.5"/>
    <n v="12958.33"/>
    <n v="12958.33"/>
    <n v="1874.5"/>
    <n v="1874.5"/>
    <n v="0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203 Decimotercer Sueldo"/>
    <s v="G/510203/1CA101"/>
    <s v="002"/>
    <n v="11713.53"/>
    <n v="2500"/>
    <n v="-5707.53"/>
    <n v="8506"/>
    <n v="756.46"/>
    <n v="7749.54"/>
    <n v="7749.54"/>
    <n v="756.46"/>
    <n v="756.46"/>
    <n v="0"/>
  </r>
  <r>
    <s v="51"/>
    <x v="2"/>
    <x v="7"/>
    <s v="ZA01F000"/>
    <x v="25"/>
    <s v="A101"/>
    <s v="FORTALECIMIENTO INSTITUCIONAL"/>
    <s v="GC00A10100004D"/>
    <s v="GC00A10100004D REMUNERACION PERSONAL"/>
    <s v="51 GASTOS EN PERSONAL"/>
    <s v="510203 Decimotercer Sueldo"/>
    <s v="G/510203/1FA101"/>
    <s v="002"/>
    <n v="59379"/>
    <n v="306"/>
    <n v="-34519.33"/>
    <n v="25165.67"/>
    <n v="13446.45"/>
    <n v="11719.22"/>
    <n v="11719.22"/>
    <n v="13446.45"/>
    <n v="13446.45"/>
    <n v="0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203 Decimotercer Sueldo"/>
    <s v="G/510203/1IA101"/>
    <s v="002"/>
    <n v="96405.81"/>
    <n v="-625.33000000000004"/>
    <n v="-83864.52"/>
    <n v="11915.96"/>
    <n v="0"/>
    <n v="11915.96"/>
    <n v="11915.96"/>
    <n v="0"/>
    <n v="0"/>
    <n v="0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203 Decimotercer Sueldo"/>
    <s v="G/510203/1IA101"/>
    <s v="002"/>
    <n v="178203.78"/>
    <n v="0"/>
    <n v="-166495.67000000001"/>
    <n v="11708.11"/>
    <n v="0"/>
    <n v="11708.11"/>
    <n v="11708.11"/>
    <n v="0"/>
    <n v="0"/>
    <n v="0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203 Decimotercer Sueldo"/>
    <s v="G/510203/1DA101"/>
    <s v="002"/>
    <n v="105537.1"/>
    <n v="9"/>
    <n v="-81764.100000000006"/>
    <n v="23782"/>
    <n v="396.1"/>
    <n v="23385.9"/>
    <n v="23385.9"/>
    <n v="396.1"/>
    <n v="396.1"/>
    <n v="0"/>
  </r>
  <r>
    <s v="51"/>
    <x v="0"/>
    <x v="0"/>
    <s v="RP36A010"/>
    <x v="0"/>
    <s v="A101"/>
    <s v="FORTALECIMIENTO INSTITUCIONAL"/>
    <s v="GC00A10100004D"/>
    <s v="GC00A10100004D REMUNERACION PERSONAL"/>
    <s v="51 GASTOS EN PERSONAL"/>
    <s v="510203 Decimotercer Sueldo"/>
    <s v="G/510203/1AA101"/>
    <s v="002"/>
    <n v="293188.53000000003"/>
    <n v="-39525.660000000003"/>
    <n v="-206105.60000000001"/>
    <n v="47557.27"/>
    <n v="18011.37"/>
    <n v="29545.9"/>
    <n v="29545.9"/>
    <n v="18011.37"/>
    <n v="18011.37"/>
    <n v="0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203 Decimotercer Sueldo"/>
    <s v="G/510203/1LA101"/>
    <s v="002"/>
    <n v="72096.03"/>
    <n v="6708.5"/>
    <n v="-41097.19"/>
    <n v="37707.339999999997"/>
    <n v="10424.68"/>
    <n v="27282.66"/>
    <n v="27282.66"/>
    <n v="10424.68"/>
    <n v="10424.68"/>
    <n v="0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203 Decimotercer Sueldo"/>
    <s v="G/510203/1CA101"/>
    <s v="002"/>
    <n v="331608.03999999998"/>
    <n v="-112"/>
    <n v="-224350.32"/>
    <n v="107145.72"/>
    <n v="56262.92"/>
    <n v="50882.8"/>
    <n v="49953.63"/>
    <n v="56262.92"/>
    <n v="57192.09"/>
    <n v="0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203 Decimotercer Sueldo"/>
    <s v="G/510203/1FA101"/>
    <s v="002"/>
    <n v="113052.6"/>
    <n v="620"/>
    <n v="-96034.27"/>
    <n v="17638.330000000002"/>
    <n v="0"/>
    <n v="17638.330000000002"/>
    <n v="17638.330000000002"/>
    <n v="0"/>
    <n v="0"/>
    <n v="0"/>
  </r>
  <r>
    <s v="51"/>
    <x v="3"/>
    <x v="11"/>
    <s v="ZA01H000"/>
    <x v="19"/>
    <s v="A101"/>
    <s v="FORTALECIMIENTO INSTITUCIONAL"/>
    <s v="GC00A10100004D"/>
    <s v="GC00A10100004D REMUNERACION PERSONAL"/>
    <s v="51 GASTOS EN PERSONAL"/>
    <s v="510203 Decimotercer Sueldo"/>
    <s v="G/510203/1HA101"/>
    <s v="002"/>
    <n v="40754.339999999997"/>
    <n v="0"/>
    <n v="-23171.61"/>
    <n v="17582.73"/>
    <n v="3000"/>
    <n v="14582.73"/>
    <n v="14582.73"/>
    <n v="3000"/>
    <n v="3000"/>
    <n v="0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203 Decimotercer Sueldo"/>
    <s v="G/510203/1MA101"/>
    <s v="001"/>
    <n v="0"/>
    <n v="0"/>
    <n v="265590.2"/>
    <n v="265590.2"/>
    <n v="0"/>
    <n v="5825.08"/>
    <n v="1800.84"/>
    <n v="259765.12"/>
    <n v="263789.36"/>
    <n v="259765.12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203 Decimotercer Sueldo"/>
    <s v="G/510203/1CA101"/>
    <s v="002"/>
    <n v="251329.86"/>
    <n v="1134.96"/>
    <n v="-172763.31"/>
    <n v="79701.509999999995"/>
    <n v="37996.25"/>
    <n v="41705.26"/>
    <n v="41705.26"/>
    <n v="37996.25"/>
    <n v="37996.25"/>
    <n v="0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203 Decimotercer Sueldo"/>
    <s v="G/510203/1KA101"/>
    <s v="002"/>
    <n v="2342671.66"/>
    <n v="-44573.19"/>
    <n v="-2091170.57"/>
    <n v="206927.9"/>
    <n v="10093.31"/>
    <n v="196834.59"/>
    <n v="196834.59"/>
    <n v="10093.31"/>
    <n v="10093.31"/>
    <n v="0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203 Decimotercer Sueldo"/>
    <s v="G/510203/1FA101"/>
    <s v="002"/>
    <n v="102972.76"/>
    <n v="0"/>
    <n v="-95092.27"/>
    <n v="7880.49"/>
    <n v="790.33"/>
    <n v="7090.16"/>
    <n v="7090.16"/>
    <n v="790.33"/>
    <n v="790.33"/>
    <n v="0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203 Decimotercer Sueldo"/>
    <s v="G/510203/2QA101"/>
    <s v="002"/>
    <n v="132557.49"/>
    <n v="11531.53"/>
    <n v="-119310.62"/>
    <n v="24778.400000000001"/>
    <n v="3617.78"/>
    <n v="21160.62"/>
    <n v="21160.62"/>
    <n v="3617.78"/>
    <n v="3617.78"/>
    <n v="0"/>
  </r>
  <r>
    <s v="51"/>
    <x v="2"/>
    <x v="7"/>
    <s v="TM68F100"/>
    <x v="36"/>
    <s v="A101"/>
    <s v="FORTALECIMIENTO INSTITUCIONAL"/>
    <s v="GC00A10100004D"/>
    <s v="GC00A10100004D REMUNERACION PERSONAL"/>
    <s v="51 GASTOS EN PERSONAL"/>
    <s v="510203 Decimotercer Sueldo"/>
    <s v="G/510203/1FA101"/>
    <s v="002"/>
    <n v="40640"/>
    <n v="385.75"/>
    <n v="-36372.22"/>
    <n v="4653.53"/>
    <n v="0"/>
    <n v="4653.53"/>
    <n v="4653.53"/>
    <n v="0"/>
    <n v="0"/>
    <n v="0"/>
  </r>
  <r>
    <s v="51"/>
    <x v="0"/>
    <x v="1"/>
    <s v="ZA01C060"/>
    <x v="12"/>
    <s v="A101"/>
    <s v="FORTALECIMIENTO INSTITUCIONAL"/>
    <s v="GC00A10100004D"/>
    <s v="GC00A10100004D REMUNERACION PERSONAL"/>
    <s v="51 GASTOS EN PERSONAL"/>
    <s v="510203 Decimotercer Sueldo"/>
    <s v="G/510203/1CA101"/>
    <s v="002"/>
    <n v="32506"/>
    <n v="0"/>
    <n v="-27974.95"/>
    <n v="4531.05"/>
    <n v="674"/>
    <n v="3857.05"/>
    <n v="3857.05"/>
    <n v="674"/>
    <n v="674"/>
    <n v="0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203 Decimotercer Sueldo"/>
    <s v="G/510203/1FA101"/>
    <s v="001"/>
    <n v="0"/>
    <n v="0"/>
    <n v="61830.12"/>
    <n v="61830.12"/>
    <n v="0"/>
    <n v="1340.19"/>
    <n v="1340.19"/>
    <n v="60489.93"/>
    <n v="60489.93"/>
    <n v="60489.93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203 Decimotercer Sueldo"/>
    <s v="G/510203/1IA101"/>
    <s v="002"/>
    <n v="99866.14"/>
    <n v="-790.98"/>
    <n v="-91382.18"/>
    <n v="7692.98"/>
    <n v="0"/>
    <n v="7692.98"/>
    <n v="7692.98"/>
    <n v="0"/>
    <n v="0"/>
    <n v="0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203 Decimotercer Sueldo"/>
    <s v="G/510203/1FA101"/>
    <s v="002"/>
    <n v="124295.27"/>
    <n v="0"/>
    <n v="-108956.61"/>
    <n v="15338.66"/>
    <n v="678.73"/>
    <n v="14659.93"/>
    <n v="14659.93"/>
    <n v="678.73"/>
    <n v="678.73"/>
    <n v="0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203 Decimotercer Sueldo"/>
    <s v="G/510203/1FA101"/>
    <s v="002"/>
    <n v="122966.31"/>
    <n v="-246.17"/>
    <n v="-105702.04"/>
    <n v="17018.099999999999"/>
    <n v="1206.5"/>
    <n v="15811.6"/>
    <n v="15811.6"/>
    <n v="1206.5"/>
    <n v="1206.5"/>
    <n v="0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203 Decimotercer Sueldo"/>
    <s v="G/510203/1EA101"/>
    <s v="002"/>
    <n v="106712.51"/>
    <n v="-724.67"/>
    <n v="-66215.14"/>
    <n v="39772.699999999997"/>
    <n v="29640.35"/>
    <n v="10132.35"/>
    <n v="10132.35"/>
    <n v="29640.35"/>
    <n v="29640.35"/>
    <n v="0"/>
  </r>
  <r>
    <s v="51"/>
    <x v="2"/>
    <x v="7"/>
    <s v="RB34F010"/>
    <x v="31"/>
    <s v="A101"/>
    <s v="FORTALECIMIENTO INSTITUCIONAL"/>
    <s v="GC00A10100004D"/>
    <s v="GC00A10100004D REMUNERACION PERSONAL"/>
    <s v="51 GASTOS EN PERSONAL"/>
    <s v="510203 Decimotercer Sueldo"/>
    <s v="G/510203/1FA101"/>
    <s v="002"/>
    <n v="39013"/>
    <n v="-306"/>
    <n v="-27187.69"/>
    <n v="11519.31"/>
    <n v="2500"/>
    <n v="9019.31"/>
    <n v="9019.31"/>
    <n v="2500"/>
    <n v="2500"/>
    <n v="0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203 Decimotercer Sueldo"/>
    <s v="G/510203/1BA101"/>
    <s v="002"/>
    <n v="328121.86"/>
    <n v="-75278.3"/>
    <n v="-170033.97"/>
    <n v="82809.59"/>
    <n v="0"/>
    <n v="82809.59"/>
    <n v="76571.009999999995"/>
    <n v="0"/>
    <n v="6238.58"/>
    <n v="0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203 Decimotercer Sueldo"/>
    <s v="G/510203/1AA101"/>
    <s v="002"/>
    <n v="877696.24"/>
    <n v="6908.15"/>
    <n v="-690155.64"/>
    <n v="194448.75"/>
    <n v="63264.71"/>
    <n v="131184.04"/>
    <n v="130077.79"/>
    <n v="63264.71"/>
    <n v="64370.96"/>
    <n v="0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203 Decimotercer Sueldo"/>
    <s v="G/510203/1PA101"/>
    <s v="002"/>
    <n v="103889.71"/>
    <n v="257.17"/>
    <n v="-76518.2"/>
    <n v="27628.68"/>
    <n v="547.5"/>
    <n v="27081.18"/>
    <n v="27081.18"/>
    <n v="547.5"/>
    <n v="547.5"/>
    <n v="0"/>
  </r>
  <r>
    <s v="51"/>
    <x v="2"/>
    <x v="8"/>
    <s v="FS66P020"/>
    <x v="13"/>
    <s v="A101"/>
    <s v="FORTALECIMIENTO INSTITUCIONAL"/>
    <s v="GC00A10100004D"/>
    <s v="GC00A10100004D REMUNERACION PERSONAL"/>
    <s v="51 GASTOS EN PERSONAL"/>
    <s v="510203 Decimotercer Sueldo"/>
    <s v="G/510203/1PA101"/>
    <s v="002"/>
    <n v="182536"/>
    <n v="-5236"/>
    <n v="-127079.27"/>
    <n v="50220.73"/>
    <n v="3324.71"/>
    <n v="46896.02"/>
    <n v="46896.02"/>
    <n v="3324.71"/>
    <n v="3324.71"/>
    <n v="0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203 Decimotercer Sueldo"/>
    <s v="G/510203/1KA101"/>
    <s v="002"/>
    <n v="124580.63"/>
    <n v="0"/>
    <n v="-86172.34"/>
    <n v="38408.29"/>
    <n v="5973.41"/>
    <n v="32434.880000000001"/>
    <n v="32434.880000000001"/>
    <n v="5973.41"/>
    <n v="5973.41"/>
    <n v="0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203 Decimotercer Sueldo"/>
    <s v="G/510203/1FA101"/>
    <s v="002"/>
    <n v="75757.5"/>
    <n v="-153"/>
    <n v="-61830.12"/>
    <n v="13774.38"/>
    <n v="1091.25"/>
    <n v="12683.13"/>
    <n v="12683.13"/>
    <n v="1091.25"/>
    <n v="1091.25"/>
    <n v="0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203 Decimotercer Sueldo"/>
    <s v="G/510203/1FA101"/>
    <s v="002"/>
    <n v="91576.9"/>
    <n v="838.33"/>
    <n v="-80129.27"/>
    <n v="12285.96"/>
    <n v="0"/>
    <n v="12285.96"/>
    <n v="12285.96"/>
    <n v="0"/>
    <n v="0"/>
    <n v="0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203 Decimotercer Sueldo"/>
    <s v="G/510203/1FA101"/>
    <s v="002"/>
    <n v="113935.47"/>
    <n v="0"/>
    <n v="-103179.22"/>
    <n v="10756.25"/>
    <n v="435"/>
    <n v="10321.25"/>
    <n v="10321.25"/>
    <n v="435"/>
    <n v="435"/>
    <n v="0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203 Decimotercer Sueldo"/>
    <s v="G/510203/1IA101"/>
    <s v="002"/>
    <n v="154218.54999999999"/>
    <n v="-800.78"/>
    <n v="-138941.70000000001"/>
    <n v="14476.07"/>
    <n v="0"/>
    <n v="14476.07"/>
    <n v="14368.45"/>
    <n v="0"/>
    <n v="107.62"/>
    <n v="0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203 Decimotercer Sueldo"/>
    <s v="G/510203/1MA101"/>
    <s v="002"/>
    <n v="123336.13"/>
    <n v="-10207.790000000001"/>
    <n v="-59017.62"/>
    <n v="54110.720000000001"/>
    <n v="35292.300000000003"/>
    <n v="18818.419999999998"/>
    <n v="18818.419999999998"/>
    <n v="35292.300000000003"/>
    <n v="35292.300000000003"/>
    <n v="0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203 Decimotercer Sueldo"/>
    <s v="G/510203/1FA101"/>
    <s v="001"/>
    <n v="0"/>
    <n v="0"/>
    <n v="80129.27"/>
    <n v="80129.27"/>
    <n v="0"/>
    <n v="722.19"/>
    <n v="722.19"/>
    <n v="79407.08"/>
    <n v="79407.08"/>
    <n v="79407.08"/>
  </r>
  <r>
    <s v="51"/>
    <x v="0"/>
    <x v="1"/>
    <s v="ZA01C060"/>
    <x v="12"/>
    <s v="A101"/>
    <s v="FORTALECIMIENTO INSTITUCIONAL"/>
    <s v="GC00A10100004D"/>
    <s v="GC00A10100004D REMUNERACION PERSONAL"/>
    <s v="51 GASTOS EN PERSONAL"/>
    <s v="510203 Decimotercer Sueldo"/>
    <s v="G/510203/1CA101"/>
    <s v="001"/>
    <n v="0"/>
    <n v="0"/>
    <n v="27974.95"/>
    <n v="27974.95"/>
    <n v="0"/>
    <n v="808.33"/>
    <n v="808.33"/>
    <n v="27166.62"/>
    <n v="27166.62"/>
    <n v="27166.62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203 Decimotercer Sueldo"/>
    <s v="G/510203/1IA101"/>
    <s v="002"/>
    <n v="66204.86"/>
    <n v="-506.89"/>
    <n v="-62257.88"/>
    <n v="3440.09"/>
    <n v="0"/>
    <n v="3440.09"/>
    <n v="3440.09"/>
    <n v="0"/>
    <n v="0"/>
    <n v="0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203 Decimotercer Sueldo"/>
    <s v="G/510203/1KA101"/>
    <s v="001"/>
    <n v="0"/>
    <n v="0"/>
    <n v="86172.34"/>
    <n v="86172.34"/>
    <n v="0"/>
    <n v="2913.17"/>
    <n v="2913.17"/>
    <n v="83259.17"/>
    <n v="83259.17"/>
    <n v="83259.17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203 Decimotercer Sueldo"/>
    <s v="G/510203/1FA101"/>
    <s v="001"/>
    <n v="0"/>
    <n v="0"/>
    <n v="108956.61"/>
    <n v="108956.61"/>
    <n v="0"/>
    <n v="1382.62"/>
    <n v="1382.62"/>
    <n v="107573.99"/>
    <n v="107573.99"/>
    <n v="107573.99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203 Decimotercer Sueldo"/>
    <s v="G/510203/1NA101"/>
    <s v="001"/>
    <n v="0"/>
    <n v="0"/>
    <n v="1035297.97"/>
    <n v="1035297.97"/>
    <n v="0"/>
    <n v="10341.02"/>
    <n v="10341.02"/>
    <n v="1024956.95"/>
    <n v="1024956.95"/>
    <n v="1024956.95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203 Decimotercer Sueldo"/>
    <s v="G/510203/1CA101"/>
    <s v="001"/>
    <n v="0"/>
    <n v="0"/>
    <n v="224350.32"/>
    <n v="224350.32"/>
    <n v="0"/>
    <n v="2247.91"/>
    <n v="2247.91"/>
    <n v="222102.41"/>
    <n v="222102.41"/>
    <n v="222102.41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203 Decimotercer Sueldo"/>
    <s v="G/510203/1LA101"/>
    <s v="001"/>
    <n v="0"/>
    <n v="0"/>
    <n v="41097.19"/>
    <n v="41097.19"/>
    <n v="0"/>
    <n v="1627.32"/>
    <n v="1627.32"/>
    <n v="39469.870000000003"/>
    <n v="39469.870000000003"/>
    <n v="39469.870000000003"/>
  </r>
  <r>
    <s v="51"/>
    <x v="2"/>
    <x v="8"/>
    <s v="FS66P020"/>
    <x v="13"/>
    <s v="A101"/>
    <s v="FORTALECIMIENTO INSTITUCIONAL"/>
    <s v="GC00A10100004D"/>
    <s v="GC00A10100004D REMUNERACION PERSONAL"/>
    <s v="51 GASTOS EN PERSONAL"/>
    <s v="510203 Decimotercer Sueldo"/>
    <s v="G/510203/1PA101"/>
    <s v="001"/>
    <n v="0"/>
    <n v="0"/>
    <n v="127079.27"/>
    <n v="127079.27"/>
    <n v="0"/>
    <n v="4808.3900000000003"/>
    <n v="4808.3900000000003"/>
    <n v="122270.88"/>
    <n v="122270.88"/>
    <n v="122270.88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203 Decimotercer Sueldo"/>
    <s v="G/510203/1FA101"/>
    <s v="001"/>
    <n v="0"/>
    <n v="0"/>
    <n v="96034.27"/>
    <n v="96034.27"/>
    <n v="0"/>
    <n v="1599.91"/>
    <n v="1599.91"/>
    <n v="94434.36"/>
    <n v="94434.36"/>
    <n v="94434.36"/>
  </r>
  <r>
    <s v="51"/>
    <x v="1"/>
    <x v="5"/>
    <s v="ZA01J000"/>
    <x v="8"/>
    <s v="A101"/>
    <s v="FORTALECIMIENTO INSTITUCIONAL"/>
    <s v="GC00A10100004D"/>
    <s v="GC00A10100004D REMUNERACION PERSONAL"/>
    <s v="51 GASTOS EN PERSONAL"/>
    <s v="510203 Decimotercer Sueldo"/>
    <s v="G/510203/1JA101"/>
    <s v="002"/>
    <n v="59289"/>
    <n v="22913"/>
    <n v="-65388.71"/>
    <n v="16813.29"/>
    <n v="5862.5"/>
    <n v="10950.79"/>
    <n v="10950.79"/>
    <n v="5862.5"/>
    <n v="5862.5"/>
    <n v="0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203 Decimotercer Sueldo"/>
    <s v="G/510203/1MA101"/>
    <s v="001"/>
    <n v="0"/>
    <n v="0"/>
    <n v="92277.74"/>
    <n v="92277.74"/>
    <n v="0"/>
    <n v="880.25"/>
    <n v="880.25"/>
    <n v="91397.49"/>
    <n v="91397.49"/>
    <n v="91397.49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203 Decimotercer Sueldo"/>
    <s v="G/510203/1NA101"/>
    <s v="002"/>
    <n v="285517.53999999998"/>
    <n v="-23246.66"/>
    <n v="-196806.91"/>
    <n v="65463.97"/>
    <n v="23592.89"/>
    <n v="41871.08"/>
    <n v="41871.08"/>
    <n v="23592.89"/>
    <n v="23592.89"/>
    <n v="0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203 Decimotercer Sueldo"/>
    <s v="G/510203/1MA101"/>
    <s v="001"/>
    <n v="0"/>
    <n v="0"/>
    <n v="146051.69"/>
    <n v="146051.69"/>
    <n v="0"/>
    <n v="2646.82"/>
    <n v="2646.82"/>
    <n v="143404.87"/>
    <n v="143404.87"/>
    <n v="143404.87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203 Decimotercer Sueldo"/>
    <s v="G/510203/1CA101"/>
    <s v="001"/>
    <n v="0"/>
    <n v="0"/>
    <n v="5707.53"/>
    <n v="5707.53"/>
    <n v="0"/>
    <n v="250"/>
    <n v="250"/>
    <n v="5457.53"/>
    <n v="5457.53"/>
    <n v="5457.53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203 Decimotercer Sueldo"/>
    <s v="G/510203/1MA101"/>
    <s v="001"/>
    <n v="0"/>
    <n v="0"/>
    <n v="59017.62"/>
    <n v="59017.62"/>
    <n v="0"/>
    <n v="1091"/>
    <n v="1091"/>
    <n v="57926.62"/>
    <n v="57926.62"/>
    <n v="57926.62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203 Decimotercer Sueldo"/>
    <s v="G/510203/1IA101"/>
    <s v="002"/>
    <n v="70207.429999999993"/>
    <n v="0"/>
    <n v="-62323.61"/>
    <n v="7883.82"/>
    <n v="0"/>
    <n v="7883.82"/>
    <n v="7883.82"/>
    <n v="0"/>
    <n v="0"/>
    <n v="0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203 Decimotercer Sueldo"/>
    <s v="G/510203/1IA101"/>
    <s v="002"/>
    <n v="97625.73"/>
    <n v="-800.78"/>
    <n v="-92567.55"/>
    <n v="4257.3999999999996"/>
    <n v="0"/>
    <n v="4257.3999999999996"/>
    <n v="4257.3999999999996"/>
    <n v="0"/>
    <n v="0"/>
    <n v="0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203 Decimotercer Sueldo"/>
    <s v="G/510203/1IA101"/>
    <s v="001"/>
    <n v="0"/>
    <n v="0"/>
    <n v="70683.5"/>
    <n v="70683.5"/>
    <n v="0"/>
    <n v="656.08"/>
    <n v="656.08"/>
    <n v="70027.42"/>
    <n v="70027.42"/>
    <n v="70027.42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203 Decimotercer Sueldo"/>
    <s v="G/510203/1IA101"/>
    <s v="002"/>
    <n v="108972.66"/>
    <n v="-800.78"/>
    <n v="-91140.32"/>
    <n v="17031.560000000001"/>
    <n v="0"/>
    <n v="17031.560000000001"/>
    <n v="17031.560000000001"/>
    <n v="0"/>
    <n v="0"/>
    <n v="0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203 Decimotercer Sueldo"/>
    <s v="G/510203/1IA101"/>
    <s v="001"/>
    <n v="0"/>
    <n v="7761.5"/>
    <n v="315168.39"/>
    <n v="322929.89"/>
    <n v="7166.93"/>
    <n v="2749.68"/>
    <n v="2749.68"/>
    <n v="320180.21000000002"/>
    <n v="320180.21000000002"/>
    <n v="313013.28000000003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203 Decimotercer Sueldo"/>
    <s v="G/510203/1NA101"/>
    <s v="001"/>
    <n v="0"/>
    <n v="0"/>
    <n v="196806.91"/>
    <n v="196806.91"/>
    <n v="0"/>
    <n v="1639.06"/>
    <n v="1639.06"/>
    <n v="195167.85"/>
    <n v="195167.85"/>
    <n v="195167.85"/>
  </r>
  <r>
    <s v="51"/>
    <x v="2"/>
    <x v="7"/>
    <s v="TM68F100"/>
    <x v="36"/>
    <s v="A101"/>
    <s v="FORTALECIMIENTO INSTITUCIONAL"/>
    <s v="GC00A10100004D"/>
    <s v="GC00A10100004D REMUNERACION PERSONAL"/>
    <s v="51 GASTOS EN PERSONAL"/>
    <s v="510203 Decimotercer Sueldo"/>
    <s v="G/510203/1FA101"/>
    <s v="001"/>
    <n v="0"/>
    <n v="0"/>
    <n v="36372.22"/>
    <n v="36372.22"/>
    <n v="0"/>
    <n v="663.78"/>
    <n v="663.78"/>
    <n v="35708.44"/>
    <n v="35708.44"/>
    <n v="35708.44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203 Decimotercer Sueldo"/>
    <s v="G/510203/1PA101"/>
    <s v="001"/>
    <n v="0"/>
    <n v="0"/>
    <n v="76518.2"/>
    <n v="76518.2"/>
    <n v="0"/>
    <n v="2525.16"/>
    <n v="2525.16"/>
    <n v="73993.039999999994"/>
    <n v="73993.039999999994"/>
    <n v="73993.039999999994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203 Decimotercer Sueldo"/>
    <s v="G/510203/1FA101"/>
    <s v="001"/>
    <n v="0"/>
    <n v="0"/>
    <n v="95092.27"/>
    <n v="95092.27"/>
    <n v="0"/>
    <n v="641.91"/>
    <n v="641.91"/>
    <n v="94450.36"/>
    <n v="94450.36"/>
    <n v="94450.36"/>
  </r>
  <r>
    <s v="51"/>
    <x v="2"/>
    <x v="7"/>
    <s v="RB34F010"/>
    <x v="31"/>
    <s v="A101"/>
    <s v="FORTALECIMIENTO INSTITUCIONAL"/>
    <s v="GC00A10100004D"/>
    <s v="GC00A10100004D REMUNERACION PERSONAL"/>
    <s v="51 GASTOS EN PERSONAL"/>
    <s v="510203 Decimotercer Sueldo"/>
    <s v="G/510203/1FA101"/>
    <s v="001"/>
    <n v="0"/>
    <n v="0"/>
    <n v="27187.69"/>
    <n v="27187.69"/>
    <n v="0"/>
    <n v="833.32"/>
    <n v="833.32"/>
    <n v="26354.37"/>
    <n v="26354.37"/>
    <n v="26354.37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203 Decimotercer Sueldo"/>
    <s v="G/510203/1FA101"/>
    <s v="001"/>
    <n v="0"/>
    <n v="0"/>
    <n v="103179.22"/>
    <n v="103179.22"/>
    <n v="0"/>
    <n v="318.62"/>
    <n v="318.62"/>
    <n v="102860.6"/>
    <n v="102860.6"/>
    <n v="102860.6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203 Decimotercer Sueldo"/>
    <s v="G/510203/1IA101"/>
    <s v="001"/>
    <n v="0"/>
    <n v="1634"/>
    <n v="62257.88"/>
    <n v="63891.88"/>
    <n v="1634"/>
    <n v="454.07"/>
    <n v="454.07"/>
    <n v="63437.81"/>
    <n v="63437.81"/>
    <n v="61803.81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203 Decimotercer Sueldo"/>
    <s v="G/510203/1IA101"/>
    <s v="002"/>
    <n v="488627.02"/>
    <n v="-91036.52"/>
    <n v="-315168.39"/>
    <n v="82422.11"/>
    <n v="44329.72"/>
    <n v="38092.39"/>
    <n v="37029.019999999997"/>
    <n v="44329.72"/>
    <n v="45393.09"/>
    <n v="0"/>
  </r>
  <r>
    <s v="51"/>
    <x v="1"/>
    <x v="5"/>
    <s v="ZA01J000"/>
    <x v="8"/>
    <s v="A101"/>
    <s v="FORTALECIMIENTO INSTITUCIONAL"/>
    <s v="GC00A10100004D"/>
    <s v="GC00A10100004D REMUNERACION PERSONAL"/>
    <s v="51 GASTOS EN PERSONAL"/>
    <s v="510203 Decimotercer Sueldo"/>
    <s v="G/510203/1JA101"/>
    <s v="001"/>
    <n v="0"/>
    <n v="0"/>
    <n v="65388.71"/>
    <n v="65388.71"/>
    <n v="0"/>
    <n v="1974.72"/>
    <n v="1974.72"/>
    <n v="63413.99"/>
    <n v="63413.99"/>
    <n v="63413.99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203 Decimotercer Sueldo"/>
    <s v="G/510203/1IA101"/>
    <s v="001"/>
    <n v="0"/>
    <n v="817"/>
    <n v="62323.61"/>
    <n v="63140.61"/>
    <n v="817"/>
    <n v="624.99"/>
    <n v="624.99"/>
    <n v="62515.62"/>
    <n v="62515.62"/>
    <n v="61698.62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203 Decimotercer Sueldo"/>
    <s v="G/510203/1NA101"/>
    <s v="002"/>
    <n v="1300077.6599999999"/>
    <n v="0"/>
    <n v="-1035297.97"/>
    <n v="264779.69"/>
    <n v="154793"/>
    <n v="109986.69"/>
    <n v="109986.65"/>
    <n v="154793"/>
    <n v="154793.04"/>
    <n v="0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203 Decimotercer Sueldo"/>
    <s v="G/510203/1IA101"/>
    <s v="002"/>
    <n v="77244.3"/>
    <n v="0"/>
    <n v="-70683.5"/>
    <n v="6560.8"/>
    <n v="0"/>
    <n v="6560.8"/>
    <n v="6560.8"/>
    <n v="0"/>
    <n v="0"/>
    <n v="0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203 Decimotercer Sueldo"/>
    <s v="G/510203/1MA101"/>
    <s v="002"/>
    <n v="239114.25"/>
    <n v="-114117.29"/>
    <n v="-92277.74"/>
    <n v="32719.22"/>
    <n v="17702.78"/>
    <n v="15016.44"/>
    <n v="15016.44"/>
    <n v="17702.78"/>
    <n v="17702.78"/>
    <n v="0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203 Decimotercer Sueldo"/>
    <s v="G/510203/1BA101"/>
    <s v="001"/>
    <n v="0"/>
    <n v="0"/>
    <n v="170033.97"/>
    <n v="170033.97"/>
    <n v="0"/>
    <n v="3032.44"/>
    <n v="3032.44"/>
    <n v="167001.53"/>
    <n v="167001.53"/>
    <n v="167001.53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203 Decimotercer Sueldo"/>
    <s v="G/510203/1MA101"/>
    <s v="002"/>
    <n v="208670.95"/>
    <n v="-4490.1099999999997"/>
    <n v="-146051.69"/>
    <n v="58129.15"/>
    <n v="22839.03"/>
    <n v="35290.120000000003"/>
    <n v="34979.01"/>
    <n v="22839.03"/>
    <n v="23150.14"/>
    <n v="0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203 Decimotercer Sueldo"/>
    <s v="G/510203/1KA101"/>
    <s v="001"/>
    <n v="0"/>
    <n v="0"/>
    <n v="2091170.57"/>
    <n v="2091170.57"/>
    <n v="0"/>
    <n v="21873.67"/>
    <n v="16654.13"/>
    <n v="2069296.9"/>
    <n v="2074516.44"/>
    <n v="2069296.9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203 Decimotercer Sueldo"/>
    <s v="G/510203/1EA101"/>
    <s v="001"/>
    <n v="0"/>
    <n v="0"/>
    <n v="66215.14"/>
    <n v="66215.14"/>
    <n v="0"/>
    <n v="308.33"/>
    <n v="308.33"/>
    <n v="65906.81"/>
    <n v="65906.81"/>
    <n v="65906.81"/>
  </r>
  <r>
    <s v="51"/>
    <x v="2"/>
    <x v="7"/>
    <s v="ZA01F000"/>
    <x v="25"/>
    <s v="A101"/>
    <s v="FORTALECIMIENTO INSTITUCIONAL"/>
    <s v="GC00A10100004D"/>
    <s v="GC00A10100004D REMUNERACION PERSONAL"/>
    <s v="51 GASTOS EN PERSONAL"/>
    <s v="510203 Decimotercer Sueldo"/>
    <s v="G/510203/1FA101"/>
    <s v="001"/>
    <n v="0"/>
    <n v="0"/>
    <n v="34519.33"/>
    <n v="34519.33"/>
    <n v="0"/>
    <n v="446.5"/>
    <n v="446.5"/>
    <n v="34072.83"/>
    <n v="34072.83"/>
    <n v="34072.83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203 Decimotercer Sueldo"/>
    <s v="G/510203/1MA101"/>
    <s v="002"/>
    <n v="300907.52000000002"/>
    <n v="12070.08"/>
    <n v="-265590.2"/>
    <n v="47387.4"/>
    <n v="25618.560000000001"/>
    <n v="21768.84"/>
    <n v="21768.84"/>
    <n v="25618.560000000001"/>
    <n v="25618.560000000001"/>
    <n v="0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203 Decimotercer Sueldo"/>
    <s v="G/510203/1IA101"/>
    <s v="001"/>
    <n v="0"/>
    <n v="1634"/>
    <n v="83864.52"/>
    <n v="85498.52"/>
    <n v="1039.43"/>
    <n v="1693.56"/>
    <n v="1693.56"/>
    <n v="83804.960000000006"/>
    <n v="83804.960000000006"/>
    <n v="82765.53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203 Decimotercer Sueldo"/>
    <s v="G/510203/1GA101"/>
    <s v="001"/>
    <n v="0"/>
    <n v="0"/>
    <n v="193149.94"/>
    <n v="193149.94"/>
    <n v="0"/>
    <n v="2242.48"/>
    <n v="2242.48"/>
    <n v="190907.46"/>
    <n v="190907.46"/>
    <n v="190907.46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203 Decimotercer Sueldo"/>
    <s v="G/510203/1AA101"/>
    <s v="001"/>
    <n v="0"/>
    <n v="0"/>
    <n v="690155.64"/>
    <n v="690155.64"/>
    <n v="0"/>
    <n v="8671.9500000000007"/>
    <n v="8671.9500000000007"/>
    <n v="681483.69"/>
    <n v="681483.69"/>
    <n v="681483.69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203 Decimotercer Sueldo"/>
    <s v="G/510203/1IA101"/>
    <s v="001"/>
    <n v="0"/>
    <n v="817"/>
    <n v="91382.18"/>
    <n v="92199.18"/>
    <n v="817"/>
    <n v="700.08"/>
    <n v="700.08"/>
    <n v="91499.1"/>
    <n v="91499.1"/>
    <n v="90682.1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203 Decimotercer Sueldo"/>
    <s v="G/510203/1FA101"/>
    <s v="001"/>
    <n v="0"/>
    <n v="0"/>
    <n v="105702.04"/>
    <n v="105702.04"/>
    <n v="0"/>
    <n v="1270.9100000000001"/>
    <n v="1270.9100000000001"/>
    <n v="104431.13"/>
    <n v="104431.13"/>
    <n v="104431.13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203 Decimotercer Sueldo"/>
    <s v="G/510203/1IA101"/>
    <s v="001"/>
    <n v="0"/>
    <n v="1634"/>
    <n v="138941.70000000001"/>
    <n v="140575.70000000001"/>
    <n v="1634"/>
    <n v="1215.32"/>
    <n v="1215.32"/>
    <n v="139360.38"/>
    <n v="139360.38"/>
    <n v="137726.38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203 Decimotercer Sueldo"/>
    <s v="G/510203/1IA101"/>
    <s v="001"/>
    <n v="0"/>
    <n v="0"/>
    <n v="166495.67000000001"/>
    <n v="166495.67000000001"/>
    <n v="0"/>
    <n v="1083.22"/>
    <n v="1083.22"/>
    <n v="165412.45000000001"/>
    <n v="165412.45000000001"/>
    <n v="165412.45000000001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203 Decimotercer Sueldo"/>
    <s v="G/510203/2QA101"/>
    <s v="001"/>
    <n v="0"/>
    <n v="0"/>
    <n v="119310.62"/>
    <n v="119310.62"/>
    <n v="0"/>
    <n v="1855.32"/>
    <n v="1855.32"/>
    <n v="117455.3"/>
    <n v="117455.3"/>
    <n v="117455.3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203 Decimotercer Sueldo"/>
    <s v="G/510203/1FA101"/>
    <s v="001"/>
    <n v="0"/>
    <n v="0"/>
    <n v="145522.76"/>
    <n v="145522.76"/>
    <n v="0"/>
    <n v="1453.48"/>
    <n v="1453.48"/>
    <n v="144069.28"/>
    <n v="144069.28"/>
    <n v="144069.28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203 Decimotercer Sueldo"/>
    <s v="G/510203/1GA101"/>
    <s v="002"/>
    <n v="230143.68"/>
    <n v="899.83"/>
    <n v="-193149.94"/>
    <n v="37893.57"/>
    <n v="7898.33"/>
    <n v="29995.24"/>
    <n v="29995.24"/>
    <n v="7898.33"/>
    <n v="7898.33"/>
    <n v="0"/>
  </r>
  <r>
    <s v="51"/>
    <x v="3"/>
    <x v="11"/>
    <s v="ZA01H000"/>
    <x v="19"/>
    <s v="A101"/>
    <s v="FORTALECIMIENTO INSTITUCIONAL"/>
    <s v="GC00A10100004D"/>
    <s v="GC00A10100004D REMUNERACION PERSONAL"/>
    <s v="51 GASTOS EN PERSONAL"/>
    <s v="510203 Decimotercer Sueldo"/>
    <s v="G/510203/1HA101"/>
    <s v="001"/>
    <n v="0"/>
    <n v="0"/>
    <n v="23171.61"/>
    <n v="23171.61"/>
    <n v="0"/>
    <n v="1635.1"/>
    <n v="1635.1"/>
    <n v="21536.51"/>
    <n v="21536.51"/>
    <n v="21536.51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203 Decimotercer Sueldo"/>
    <s v="G/510203/1IA101"/>
    <s v="001"/>
    <n v="0"/>
    <n v="1634"/>
    <n v="92567.55"/>
    <n v="94201.55"/>
    <n v="1634"/>
    <n v="2711.93"/>
    <n v="425.74"/>
    <n v="91489.62"/>
    <n v="93775.81"/>
    <n v="89855.62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203 Decimotercer Sueldo"/>
    <s v="G/510203/1CA101"/>
    <s v="001"/>
    <n v="0"/>
    <n v="0"/>
    <n v="172763.31"/>
    <n v="172763.31"/>
    <n v="0"/>
    <n v="2481.59"/>
    <n v="2481.59"/>
    <n v="170281.72"/>
    <n v="170281.72"/>
    <n v="170281.72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203 Decimotercer Sueldo"/>
    <s v="G/510203/1DA101"/>
    <s v="001"/>
    <n v="0"/>
    <n v="0"/>
    <n v="81764.100000000006"/>
    <n v="81764.100000000006"/>
    <n v="0"/>
    <n v="2480.41"/>
    <n v="2480.41"/>
    <n v="79283.69"/>
    <n v="79283.69"/>
    <n v="79283.69"/>
  </r>
  <r>
    <s v="51"/>
    <x v="0"/>
    <x v="0"/>
    <s v="RP36A010"/>
    <x v="0"/>
    <s v="A101"/>
    <s v="FORTALECIMIENTO INSTITUCIONAL"/>
    <s v="GC00A10100004D"/>
    <s v="GC00A10100004D REMUNERACION PERSONAL"/>
    <s v="51 GASTOS EN PERSONAL"/>
    <s v="510203 Decimotercer Sueldo"/>
    <s v="G/510203/1AA101"/>
    <s v="001"/>
    <n v="0"/>
    <n v="0"/>
    <n v="206105.60000000001"/>
    <n v="206105.60000000001"/>
    <n v="0"/>
    <n v="1956.07"/>
    <n v="1956.07"/>
    <n v="204149.53"/>
    <n v="204149.53"/>
    <n v="204149.53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203 Decimotercer Sueldo"/>
    <s v="G/510203/1IA101"/>
    <s v="001"/>
    <n v="0"/>
    <n v="817"/>
    <n v="91140.32"/>
    <n v="91957.32"/>
    <n v="408.52"/>
    <n v="3394.67"/>
    <n v="2078.48"/>
    <n v="88562.65"/>
    <n v="89878.84"/>
    <n v="88154.13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204 Decimocuarto Sueldo"/>
    <s v="G/510204/1PA101"/>
    <s v="002"/>
    <n v="26784.12"/>
    <n v="66.67"/>
    <n v="-3201.64"/>
    <n v="23649.15"/>
    <n v="242.22"/>
    <n v="23406.93"/>
    <n v="23406.93"/>
    <n v="242.22"/>
    <n v="242.22"/>
    <n v="0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204 Decimocuarto Sueldo"/>
    <s v="G/510204/1FA101"/>
    <s v="001"/>
    <n v="0"/>
    <n v="0"/>
    <n v="4053.28"/>
    <n v="4053.28"/>
    <n v="0"/>
    <n v="333.3"/>
    <n v="333.3"/>
    <n v="3719.98"/>
    <n v="3719.98"/>
    <n v="3719.98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204 Decimocuarto Sueldo"/>
    <s v="G/510204/1BA101"/>
    <s v="002"/>
    <n v="103078.28"/>
    <n v="-30441.94"/>
    <n v="-8073.36"/>
    <n v="64562.98"/>
    <n v="0"/>
    <n v="64562.98"/>
    <n v="61771.88"/>
    <n v="0"/>
    <n v="2791.1"/>
    <n v="0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204 Decimocuarto Sueldo"/>
    <s v="G/510204/1NA101"/>
    <s v="002"/>
    <n v="92526.96"/>
    <n v="-7566.68"/>
    <n v="-6394.01"/>
    <n v="78566.27"/>
    <n v="1141.1099999999999"/>
    <n v="77425.16"/>
    <n v="77425.16"/>
    <n v="1141.1099999999999"/>
    <n v="1141.1099999999999"/>
    <n v="0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204 Decimocuarto Sueldo"/>
    <s v="G/510204/1FA101"/>
    <s v="002"/>
    <n v="46263.48"/>
    <n v="0"/>
    <n v="-4053.28"/>
    <n v="42210.2"/>
    <n v="245.56"/>
    <n v="41964.639999999999"/>
    <n v="41964.639999999999"/>
    <n v="245.56"/>
    <n v="245.56"/>
    <n v="0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204 Decimocuarto Sueldo"/>
    <s v="G/510204/1FA101"/>
    <s v="002"/>
    <n v="43422.74"/>
    <n v="-99.99"/>
    <n v="-4935.33"/>
    <n v="38387.42"/>
    <n v="300"/>
    <n v="38087.42"/>
    <n v="38087.42"/>
    <n v="300"/>
    <n v="300"/>
    <n v="0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204 Decimocuarto Sueldo"/>
    <s v="G/510204/1FA101"/>
    <s v="002"/>
    <n v="34494.699999999997"/>
    <n v="333.33"/>
    <n v="-5322.56"/>
    <n v="29505.47"/>
    <n v="0"/>
    <n v="29505.47"/>
    <n v="29505.47"/>
    <n v="0"/>
    <n v="0"/>
    <n v="0"/>
  </r>
  <r>
    <s v="51"/>
    <x v="2"/>
    <x v="7"/>
    <s v="RB34F010"/>
    <x v="31"/>
    <s v="A101"/>
    <s v="FORTALECIMIENTO INSTITUCIONAL"/>
    <s v="GC00A10100004D"/>
    <s v="GC00A10100004D REMUNERACION PERSONAL"/>
    <s v="51 GASTOS EN PERSONAL"/>
    <s v="510204 Decimocuarto Sueldo"/>
    <s v="G/510204/1FA101"/>
    <s v="002"/>
    <n v="8522.2199999999993"/>
    <n v="-133.33000000000001"/>
    <n v="-809.96"/>
    <n v="7578.93"/>
    <n v="0"/>
    <n v="7578.93"/>
    <n v="7578.93"/>
    <n v="0"/>
    <n v="0"/>
    <n v="0"/>
  </r>
  <r>
    <s v="51"/>
    <x v="2"/>
    <x v="7"/>
    <s v="TM68F100"/>
    <x v="36"/>
    <s v="A101"/>
    <s v="FORTALECIMIENTO INSTITUCIONAL"/>
    <s v="GC00A10100004D"/>
    <s v="GC00A10100004D REMUNERACION PERSONAL"/>
    <s v="51 GASTOS EN PERSONAL"/>
    <s v="510204 Decimocuarto Sueldo"/>
    <s v="G/510204/1FA101"/>
    <s v="001"/>
    <n v="0"/>
    <n v="0"/>
    <n v="4023.78"/>
    <n v="4023.78"/>
    <n v="0"/>
    <n v="228.87"/>
    <n v="228.87"/>
    <n v="3794.91"/>
    <n v="3794.91"/>
    <n v="3794.91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204 Decimocuarto Sueldo"/>
    <s v="G/510204/1MA101"/>
    <s v="002"/>
    <n v="29624.86"/>
    <n v="-3066.67"/>
    <n v="-1703.79"/>
    <n v="24854.400000000001"/>
    <n v="7634.12"/>
    <n v="17220.28"/>
    <n v="17220.28"/>
    <n v="7634.12"/>
    <n v="7634.12"/>
    <n v="0"/>
  </r>
  <r>
    <s v="51"/>
    <x v="2"/>
    <x v="7"/>
    <s v="ZA01F000"/>
    <x v="25"/>
    <s v="A101"/>
    <s v="FORTALECIMIENTO INSTITUCIONAL"/>
    <s v="GC00A10100004D"/>
    <s v="GC00A10100004D REMUNERACION PERSONAL"/>
    <s v="51 GASTOS EN PERSONAL"/>
    <s v="510204 Decimocuarto Sueldo"/>
    <s v="G/510204/1FA101"/>
    <s v="001"/>
    <n v="0"/>
    <n v="0"/>
    <n v="3099.21"/>
    <n v="3099.21"/>
    <n v="0"/>
    <n v="133.32"/>
    <n v="133.32"/>
    <n v="2965.89"/>
    <n v="2965.89"/>
    <n v="2965.89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204 Decimocuarto Sueldo"/>
    <s v="G/510204/1BA101"/>
    <s v="001"/>
    <n v="0"/>
    <n v="0"/>
    <n v="8073.36"/>
    <n v="8073.36"/>
    <n v="0"/>
    <n v="919.92"/>
    <n v="919.92"/>
    <n v="7153.44"/>
    <n v="7153.44"/>
    <n v="7153.44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204 Decimocuarto Sueldo"/>
    <s v="G/510204/1LA101"/>
    <s v="002"/>
    <n v="16638.62"/>
    <n v="2200"/>
    <n v="-2861.09"/>
    <n v="15977.53"/>
    <n v="383.43"/>
    <n v="15594.1"/>
    <n v="15594.1"/>
    <n v="383.43"/>
    <n v="383.43"/>
    <n v="0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204 Decimocuarto Sueldo"/>
    <s v="G/510204/1GA101"/>
    <s v="001"/>
    <n v="0"/>
    <n v="0"/>
    <n v="9788.48"/>
    <n v="9788.48"/>
    <n v="0"/>
    <n v="633.27"/>
    <n v="633.27"/>
    <n v="9155.2099999999991"/>
    <n v="9155.2099999999991"/>
    <n v="9155.2099999999991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204 Decimocuarto Sueldo"/>
    <s v="G/510204/1AA101"/>
    <s v="002"/>
    <n v="316133.78000000003"/>
    <n v="1661.97"/>
    <n v="-45885.5"/>
    <n v="271910.25"/>
    <n v="10179.030000000001"/>
    <n v="261731.22"/>
    <n v="261531.22"/>
    <n v="10179.030000000001"/>
    <n v="10379.030000000001"/>
    <n v="0"/>
  </r>
  <r>
    <s v="51"/>
    <x v="3"/>
    <x v="11"/>
    <s v="ZA01H000"/>
    <x v="19"/>
    <s v="A101"/>
    <s v="FORTALECIMIENTO INSTITUCIONAL"/>
    <s v="GC00A10100004D"/>
    <s v="GC00A10100004D REMUNERACION PERSONAL"/>
    <s v="51 GASTOS EN PERSONAL"/>
    <s v="510204 Decimocuarto Sueldo"/>
    <s v="G/510204/1HA101"/>
    <s v="002"/>
    <n v="7710.58"/>
    <n v="0"/>
    <n v="-2080.2199999999998"/>
    <n v="5630.36"/>
    <n v="0"/>
    <n v="5630.36"/>
    <n v="5630.36"/>
    <n v="0"/>
    <n v="0"/>
    <n v="0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204 Decimocuarto Sueldo"/>
    <s v="G/510204/1IA101"/>
    <s v="001"/>
    <n v="0"/>
    <n v="400"/>
    <n v="2129.83"/>
    <n v="2529.83"/>
    <n v="250"/>
    <n v="349.98"/>
    <n v="349.98"/>
    <n v="2179.85"/>
    <n v="2179.85"/>
    <n v="1929.85"/>
  </r>
  <r>
    <s v="51"/>
    <x v="3"/>
    <x v="11"/>
    <s v="ZA01H000"/>
    <x v="19"/>
    <s v="A101"/>
    <s v="FORTALECIMIENTO INSTITUCIONAL"/>
    <s v="GC00A10100004D"/>
    <s v="GC00A10100004D REMUNERACION PERSONAL"/>
    <s v="51 GASTOS EN PERSONAL"/>
    <s v="510204 Decimocuarto Sueldo"/>
    <s v="G/510204/1HA101"/>
    <s v="001"/>
    <n v="0"/>
    <n v="0"/>
    <n v="2080.2199999999998"/>
    <n v="2080.2199999999998"/>
    <n v="0"/>
    <n v="299.97000000000003"/>
    <n v="299.97000000000003"/>
    <n v="1780.25"/>
    <n v="1780.25"/>
    <n v="1780.25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204 Decimocuarto Sueldo"/>
    <s v="G/510204/1IA101"/>
    <s v="001"/>
    <n v="0"/>
    <n v="0"/>
    <n v="6201.94"/>
    <n v="6201.94"/>
    <n v="0"/>
    <n v="399.96"/>
    <n v="399.96"/>
    <n v="5801.98"/>
    <n v="5801.98"/>
    <n v="5801.98"/>
  </r>
  <r>
    <s v="51"/>
    <x v="1"/>
    <x v="5"/>
    <s v="ZA01J000"/>
    <x v="8"/>
    <s v="A101"/>
    <s v="FORTALECIMIENTO INSTITUCIONAL"/>
    <s v="GC00A10100004D"/>
    <s v="GC00A10100004D REMUNERACION PERSONAL"/>
    <s v="51 GASTOS EN PERSONAL"/>
    <s v="510204 Decimocuarto Sueldo"/>
    <s v="G/510204/1JA101"/>
    <s v="001"/>
    <n v="0"/>
    <n v="0"/>
    <n v="8743.6200000000008"/>
    <n v="8743.6200000000008"/>
    <n v="0"/>
    <n v="533.28"/>
    <n v="533.28"/>
    <n v="8210.34"/>
    <n v="8210.34"/>
    <n v="8210.34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204 Decimocuarto Sueldo"/>
    <s v="G/510204/1KA101"/>
    <s v="001"/>
    <n v="0"/>
    <n v="0"/>
    <n v="5406.29"/>
    <n v="5406.29"/>
    <n v="0"/>
    <n v="699.93"/>
    <n v="699.93"/>
    <n v="4706.3599999999997"/>
    <n v="4706.3599999999997"/>
    <n v="4706.3599999999997"/>
  </r>
  <r>
    <s v="51"/>
    <x v="2"/>
    <x v="8"/>
    <s v="FS66P020"/>
    <x v="13"/>
    <s v="A101"/>
    <s v="FORTALECIMIENTO INSTITUCIONAL"/>
    <s v="GC00A10100004D"/>
    <s v="GC00A10100004D REMUNERACION PERSONAL"/>
    <s v="51 GASTOS EN PERSONAL"/>
    <s v="510204 Decimocuarto Sueldo"/>
    <s v="G/510204/1PA101"/>
    <s v="002"/>
    <n v="50727.5"/>
    <n v="-1600"/>
    <n v="-6473.61"/>
    <n v="42653.89"/>
    <n v="764.17"/>
    <n v="41889.72"/>
    <n v="41889.72"/>
    <n v="764.17"/>
    <n v="764.17"/>
    <n v="0"/>
  </r>
  <r>
    <s v="51"/>
    <x v="0"/>
    <x v="0"/>
    <s v="RP36A010"/>
    <x v="0"/>
    <s v="A101"/>
    <s v="FORTALECIMIENTO INSTITUCIONAL"/>
    <s v="GC00A10100004D"/>
    <s v="GC00A10100004D REMUNERACION PERSONAL"/>
    <s v="51 GASTOS EN PERSONAL"/>
    <s v="510204 Decimocuarto Sueldo"/>
    <s v="G/510204/1AA101"/>
    <s v="002"/>
    <n v="109571.4"/>
    <n v="-400"/>
    <n v="-7777.36"/>
    <n v="101394.04"/>
    <n v="1991.45"/>
    <n v="99402.59"/>
    <n v="99402.59"/>
    <n v="1991.45"/>
    <n v="1991.45"/>
    <n v="0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204 Decimocuarto Sueldo"/>
    <s v="G/510204/1NA101"/>
    <s v="001"/>
    <n v="0"/>
    <n v="0"/>
    <n v="35575.440000000002"/>
    <n v="35575.440000000002"/>
    <n v="0"/>
    <n v="4132.92"/>
    <n v="4132.92"/>
    <n v="31442.52"/>
    <n v="31442.52"/>
    <n v="31442.52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204 Decimocuarto Sueldo"/>
    <s v="G/510204/1LA101"/>
    <s v="001"/>
    <n v="0"/>
    <n v="0"/>
    <n v="2861.09"/>
    <n v="2861.09"/>
    <n v="0"/>
    <n v="266.64"/>
    <n v="266.64"/>
    <n v="2594.4499999999998"/>
    <n v="2594.4499999999998"/>
    <n v="2594.4499999999998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204 Decimocuarto Sueldo"/>
    <s v="G/510204/1KA101"/>
    <s v="002"/>
    <n v="1021448.94"/>
    <n v="2163.9499999999998"/>
    <n v="-56153.09"/>
    <n v="967459.8"/>
    <n v="2447.83"/>
    <n v="965011.97"/>
    <n v="965011.97"/>
    <n v="2447.83"/>
    <n v="2447.83"/>
    <n v="0"/>
  </r>
  <r>
    <s v="51"/>
    <x v="2"/>
    <x v="8"/>
    <s v="FS66P020"/>
    <x v="13"/>
    <s v="A101"/>
    <s v="FORTALECIMIENTO INSTITUCIONAL"/>
    <s v="GC00A10100004D"/>
    <s v="GC00A10100004D REMUNERACION PERSONAL"/>
    <s v="51 GASTOS EN PERSONAL"/>
    <s v="510204 Decimocuarto Sueldo"/>
    <s v="G/510204/1PA101"/>
    <s v="001"/>
    <n v="0"/>
    <n v="0"/>
    <n v="6473.61"/>
    <n v="6473.61"/>
    <n v="0"/>
    <n v="1133.22"/>
    <n v="1133.22"/>
    <n v="5340.39"/>
    <n v="5340.39"/>
    <n v="5340.39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204 Decimocuarto Sueldo"/>
    <s v="G/510204/1EA101"/>
    <s v="001"/>
    <n v="0"/>
    <n v="0"/>
    <n v="2019.35"/>
    <n v="2019.35"/>
    <n v="0"/>
    <n v="66.66"/>
    <n v="66.66"/>
    <n v="1952.69"/>
    <n v="1952.69"/>
    <n v="1952.69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204 Decimocuarto Sueldo"/>
    <s v="G/510204/1MA101"/>
    <s v="001"/>
    <n v="0"/>
    <n v="0"/>
    <n v="569.77"/>
    <n v="569.77"/>
    <n v="0"/>
    <n v="266.64"/>
    <n v="266.64"/>
    <n v="303.13"/>
    <n v="303.13"/>
    <n v="303.13"/>
  </r>
  <r>
    <s v="51"/>
    <x v="2"/>
    <x v="7"/>
    <s v="RB34F010"/>
    <x v="31"/>
    <s v="A101"/>
    <s v="FORTALECIMIENTO INSTITUCIONAL"/>
    <s v="GC00A10100004D"/>
    <s v="GC00A10100004D REMUNERACION PERSONAL"/>
    <s v="51 GASTOS EN PERSONAL"/>
    <s v="510204 Decimocuarto Sueldo"/>
    <s v="G/510204/1FA101"/>
    <s v="001"/>
    <n v="0"/>
    <n v="0"/>
    <n v="809.96"/>
    <n v="809.96"/>
    <n v="0"/>
    <n v="199.98"/>
    <n v="199.98"/>
    <n v="609.98"/>
    <n v="609.98"/>
    <n v="609.98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204 Decimocuarto Sueldo"/>
    <s v="G/510204/1KA101"/>
    <s v="002"/>
    <n v="38552.9"/>
    <n v="0"/>
    <n v="-5406.29"/>
    <n v="33146.61"/>
    <n v="319.45999999999998"/>
    <n v="32827.15"/>
    <n v="32827.15"/>
    <n v="319.45999999999998"/>
    <n v="319.45999999999998"/>
    <n v="0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204 Decimocuarto Sueldo"/>
    <s v="G/510204/1MA101"/>
    <s v="001"/>
    <n v="0"/>
    <n v="0"/>
    <n v="1703.79"/>
    <n v="1703.79"/>
    <n v="0"/>
    <n v="266.64"/>
    <n v="266.64"/>
    <n v="1437.15"/>
    <n v="1437.15"/>
    <n v="1437.15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204 Decimocuarto Sueldo"/>
    <s v="G/510204/1FA101"/>
    <s v="002"/>
    <n v="27595.759999999998"/>
    <n v="-66.67"/>
    <n v="-4458.83"/>
    <n v="23070.26"/>
    <n v="115.55"/>
    <n v="22954.71"/>
    <n v="22954.71"/>
    <n v="115.55"/>
    <n v="115.55"/>
    <n v="0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204 Decimocuarto Sueldo"/>
    <s v="G/510204/1NA101"/>
    <s v="001"/>
    <n v="0"/>
    <n v="0"/>
    <n v="6394.01"/>
    <n v="6394.01"/>
    <n v="0"/>
    <n v="479.95"/>
    <n v="479.95"/>
    <n v="5914.06"/>
    <n v="5914.06"/>
    <n v="5914.06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204 Decimocuarto Sueldo"/>
    <s v="G/510204/1PA101"/>
    <s v="001"/>
    <n v="0"/>
    <n v="0"/>
    <n v="3201.64"/>
    <n v="3201.64"/>
    <n v="0"/>
    <n v="599.94000000000005"/>
    <n v="599.94000000000005"/>
    <n v="2601.6999999999998"/>
    <n v="2601.6999999999998"/>
    <n v="2601.6999999999998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204 Decimocuarto Sueldo"/>
    <s v="G/510204/1IA101"/>
    <s v="001"/>
    <n v="0"/>
    <n v="0"/>
    <n v="2297.84"/>
    <n v="2297.84"/>
    <n v="0"/>
    <n v="199.98"/>
    <n v="199.98"/>
    <n v="2097.86"/>
    <n v="2097.86"/>
    <n v="2097.86"/>
  </r>
  <r>
    <s v="51"/>
    <x v="2"/>
    <x v="7"/>
    <s v="ZA01F000"/>
    <x v="25"/>
    <s v="A101"/>
    <s v="FORTALECIMIENTO INSTITUCIONAL"/>
    <s v="GC00A10100004D"/>
    <s v="GC00A10100004D REMUNERACION PERSONAL"/>
    <s v="51 GASTOS EN PERSONAL"/>
    <s v="510204 Decimocuarto Sueldo"/>
    <s v="G/510204/1FA101"/>
    <s v="002"/>
    <n v="12986.24"/>
    <n v="133.33000000000001"/>
    <n v="-3099.21"/>
    <n v="10020.36"/>
    <n v="2290.06"/>
    <n v="7730.3"/>
    <n v="7730.3"/>
    <n v="2290.06"/>
    <n v="2290.06"/>
    <n v="0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204 Decimocuarto Sueldo"/>
    <s v="G/510204/1IA101"/>
    <s v="002"/>
    <n v="41393.64"/>
    <n v="15.76"/>
    <n v="-2319.91"/>
    <n v="39089.49"/>
    <n v="0"/>
    <n v="39089.49"/>
    <n v="39089.49"/>
    <n v="0"/>
    <n v="0"/>
    <n v="0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204 Decimocuarto Sueldo"/>
    <s v="G/510204/1CA101"/>
    <s v="001"/>
    <n v="0"/>
    <n v="0"/>
    <n v="8977.75"/>
    <n v="8977.75"/>
    <n v="0"/>
    <n v="557.73"/>
    <n v="557.73"/>
    <n v="8420.02"/>
    <n v="8420.02"/>
    <n v="8420.02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204 Decimocuarto Sueldo"/>
    <s v="G/510204/1FA101"/>
    <s v="001"/>
    <n v="0"/>
    <n v="0"/>
    <n v="4458.83"/>
    <n v="4458.83"/>
    <n v="0"/>
    <n v="379.76"/>
    <n v="379.76"/>
    <n v="4079.07"/>
    <n v="4079.07"/>
    <n v="4079.07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204 Decimocuarto Sueldo"/>
    <s v="G/510204/1KA101"/>
    <s v="001"/>
    <n v="0"/>
    <n v="0"/>
    <n v="56153.09"/>
    <n v="56153.09"/>
    <n v="0"/>
    <n v="6807.88"/>
    <n v="6141.63"/>
    <n v="49345.21"/>
    <n v="50011.46"/>
    <n v="49345.21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204 Decimocuarto Sueldo"/>
    <s v="G/510204/1FA101"/>
    <s v="001"/>
    <n v="0"/>
    <n v="0"/>
    <n v="9626.6299999999992"/>
    <n v="9626.6299999999992"/>
    <n v="0"/>
    <n v="466.62"/>
    <n v="466.62"/>
    <n v="9160.01"/>
    <n v="9160.01"/>
    <n v="9160.01"/>
  </r>
  <r>
    <s v="51"/>
    <x v="0"/>
    <x v="0"/>
    <s v="RP36A010"/>
    <x v="0"/>
    <s v="A101"/>
    <s v="FORTALECIMIENTO INSTITUCIONAL"/>
    <s v="GC00A10100004D"/>
    <s v="GC00A10100004D REMUNERACION PERSONAL"/>
    <s v="51 GASTOS EN PERSONAL"/>
    <s v="510204 Decimocuarto Sueldo"/>
    <s v="G/510204/1AA101"/>
    <s v="001"/>
    <n v="0"/>
    <n v="0"/>
    <n v="7777.36"/>
    <n v="7777.36"/>
    <n v="0"/>
    <n v="699.93"/>
    <n v="699.93"/>
    <n v="7077.43"/>
    <n v="7077.43"/>
    <n v="7077.43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204 Decimocuarto Sueldo"/>
    <s v="G/510204/1IA101"/>
    <s v="002"/>
    <n v="58032.26"/>
    <n v="15.76"/>
    <n v="-3996.29"/>
    <n v="54051.73"/>
    <n v="0"/>
    <n v="54051.73"/>
    <n v="53730.07"/>
    <n v="0"/>
    <n v="321.66000000000003"/>
    <n v="0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204 Decimocuarto Sueldo"/>
    <s v="G/510204/1CA101"/>
    <s v="002"/>
    <n v="3652.38"/>
    <n v="750.8"/>
    <n v="-67.34"/>
    <n v="4335.84"/>
    <n v="148.36000000000001"/>
    <n v="4187.4799999999996"/>
    <n v="4187.4799999999996"/>
    <n v="148.36000000000001"/>
    <n v="148.36000000000001"/>
    <n v="0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204 Decimocuarto Sueldo"/>
    <s v="G/510204/1IA101"/>
    <s v="001"/>
    <n v="0"/>
    <n v="800"/>
    <n v="867.38"/>
    <n v="1667.38"/>
    <n v="733.33"/>
    <n v="233.32"/>
    <n v="233.32"/>
    <n v="1434.06"/>
    <n v="1434.06"/>
    <n v="700.73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204 Decimocuarto Sueldo"/>
    <s v="G/510204/1IA101"/>
    <s v="002"/>
    <n v="35712.160000000003"/>
    <n v="-263.66000000000003"/>
    <n v="-2129.83"/>
    <n v="33318.67"/>
    <n v="0"/>
    <n v="33318.67"/>
    <n v="33318.67"/>
    <n v="0"/>
    <n v="0"/>
    <n v="0"/>
  </r>
  <r>
    <s v="51"/>
    <x v="0"/>
    <x v="1"/>
    <s v="ZA01C060"/>
    <x v="12"/>
    <s v="A101"/>
    <s v="FORTALECIMIENTO INSTITUCIONAL"/>
    <s v="GC00A10100004D"/>
    <s v="GC00A10100004D REMUNERACION PERSONAL"/>
    <s v="51 GASTOS EN PERSONAL"/>
    <s v="510204 Decimocuarto Sueldo"/>
    <s v="G/510204/1CA101"/>
    <s v="001"/>
    <n v="0"/>
    <n v="0"/>
    <n v="4033.43"/>
    <n v="4033.43"/>
    <n v="0"/>
    <n v="99.99"/>
    <n v="99.99"/>
    <n v="3933.44"/>
    <n v="3933.44"/>
    <n v="3933.44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204 Decimocuarto Sueldo"/>
    <s v="G/510204/1IA101"/>
    <s v="002"/>
    <n v="66960.3"/>
    <n v="0"/>
    <n v="-6201.94"/>
    <n v="60758.36"/>
    <n v="0"/>
    <n v="60758.36"/>
    <n v="60758.36"/>
    <n v="0"/>
    <n v="0"/>
    <n v="0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204 Decimocuarto Sueldo"/>
    <s v="G/510204/1CA101"/>
    <s v="002"/>
    <n v="77511.62"/>
    <n v="-99.99"/>
    <n v="-8977.75"/>
    <n v="68433.88"/>
    <n v="1893.38"/>
    <n v="66540.5"/>
    <n v="66524.94"/>
    <n v="1893.38"/>
    <n v="1908.94"/>
    <n v="0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204 Decimocuarto Sueldo"/>
    <s v="G/510204/1IA101"/>
    <s v="002"/>
    <n v="40582"/>
    <n v="15.76"/>
    <n v="-3345.93"/>
    <n v="37251.83"/>
    <n v="0"/>
    <n v="37251.83"/>
    <n v="37251.83"/>
    <n v="0"/>
    <n v="0"/>
    <n v="0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204 Decimocuarto Sueldo"/>
    <s v="G/510204/1IA101"/>
    <s v="002"/>
    <n v="26784.12"/>
    <n v="-263.66000000000003"/>
    <n v="-867.38"/>
    <n v="25653.08"/>
    <n v="0"/>
    <n v="25653.08"/>
    <n v="25653.08"/>
    <n v="0"/>
    <n v="0"/>
    <n v="0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204 Decimocuarto Sueldo"/>
    <s v="G/510204/1IA101"/>
    <s v="001"/>
    <n v="0"/>
    <n v="400"/>
    <n v="2319.91"/>
    <n v="2719.91"/>
    <n v="200.02"/>
    <n v="817.7"/>
    <n v="733.26"/>
    <n v="1902.21"/>
    <n v="1986.65"/>
    <n v="1702.19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204 Decimocuarto Sueldo"/>
    <s v="G/510204/1MA101"/>
    <s v="002"/>
    <n v="83193.100000000006"/>
    <n v="3733.33"/>
    <n v="-13794.57"/>
    <n v="73131.86"/>
    <n v="4611.92"/>
    <n v="68519.94"/>
    <n v="68519.94"/>
    <n v="4611.92"/>
    <n v="4611.92"/>
    <n v="0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204 Decimocuarto Sueldo"/>
    <s v="G/510204/2QA101"/>
    <s v="002"/>
    <n v="47886.76"/>
    <n v="5389.76"/>
    <n v="-14148.15"/>
    <n v="39128.370000000003"/>
    <n v="372.21"/>
    <n v="38756.160000000003"/>
    <n v="38756.160000000003"/>
    <n v="372.21"/>
    <n v="372.21"/>
    <n v="0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204 Decimocuarto Sueldo"/>
    <s v="G/510204/1IA101"/>
    <s v="001"/>
    <n v="0"/>
    <n v="800"/>
    <n v="2554.81"/>
    <n v="3354.81"/>
    <n v="642.22"/>
    <n v="496.65"/>
    <n v="357.76"/>
    <n v="2858.16"/>
    <n v="2997.05"/>
    <n v="2215.94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204 Decimocuarto Sueldo"/>
    <s v="G/510204/1GA101"/>
    <s v="002"/>
    <n v="88468.76"/>
    <n v="800"/>
    <n v="-9788.48"/>
    <n v="79480.28"/>
    <n v="192.71"/>
    <n v="79287.570000000007"/>
    <n v="79287.570000000007"/>
    <n v="192.71"/>
    <n v="192.71"/>
    <n v="0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204 Decimocuarto Sueldo"/>
    <s v="G/510204/2QA101"/>
    <s v="001"/>
    <n v="0"/>
    <n v="0"/>
    <n v="14148.15"/>
    <n v="14148.15"/>
    <n v="0"/>
    <n v="396.63"/>
    <n v="396.63"/>
    <n v="13751.52"/>
    <n v="13751.52"/>
    <n v="13751.52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204 Decimocuarto Sueldo"/>
    <s v="G/510204/1AA101"/>
    <s v="001"/>
    <n v="0"/>
    <n v="0"/>
    <n v="45885.5"/>
    <n v="45885.5"/>
    <n v="0"/>
    <n v="2314.2399999999998"/>
    <n v="2314.2399999999998"/>
    <n v="43571.26"/>
    <n v="43571.26"/>
    <n v="43571.26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204 Decimocuarto Sueldo"/>
    <s v="G/510204/1IA101"/>
    <s v="001"/>
    <n v="0"/>
    <n v="800"/>
    <n v="3996.29"/>
    <n v="4796.29"/>
    <n v="575.54999999999995"/>
    <n v="691.07"/>
    <n v="691.07"/>
    <n v="4105.22"/>
    <n v="4105.22"/>
    <n v="3529.67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204 Decimocuarto Sueldo"/>
    <s v="G/510204/1IA101"/>
    <s v="001"/>
    <n v="0"/>
    <n v="400"/>
    <n v="400.04"/>
    <n v="800.04"/>
    <n v="242.22"/>
    <n v="357.76"/>
    <n v="357.76"/>
    <n v="442.28"/>
    <n v="442.28"/>
    <n v="200.06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204 Decimocuarto Sueldo"/>
    <s v="G/510204/1CA101"/>
    <s v="002"/>
    <n v="58438.080000000002"/>
    <n v="600"/>
    <n v="-10627.2"/>
    <n v="48410.879999999997"/>
    <n v="3971.2"/>
    <n v="44439.68"/>
    <n v="44439.68"/>
    <n v="3971.2"/>
    <n v="3971.2"/>
    <n v="0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204 Decimocuarto Sueldo"/>
    <s v="G/510204/1MA101"/>
    <s v="001"/>
    <n v="0"/>
    <n v="0"/>
    <n v="13794.57"/>
    <n v="13794.57"/>
    <n v="0"/>
    <n v="985.37"/>
    <n v="399.96"/>
    <n v="12809.2"/>
    <n v="13394.61"/>
    <n v="12809.2"/>
  </r>
  <r>
    <s v="51"/>
    <x v="2"/>
    <x v="7"/>
    <s v="TM68F100"/>
    <x v="36"/>
    <s v="A101"/>
    <s v="FORTALECIMIENTO INSTITUCIONAL"/>
    <s v="GC00A10100004D"/>
    <s v="GC00A10100004D REMUNERACION PERSONAL"/>
    <s v="51 GASTOS EN PERSONAL"/>
    <s v="510204 Decimocuarto Sueldo"/>
    <s v="G/510204/1FA101"/>
    <s v="002"/>
    <n v="13797.88"/>
    <n v="100"/>
    <n v="-4023.78"/>
    <n v="9874.1"/>
    <n v="0"/>
    <n v="9874.1"/>
    <n v="9874.1"/>
    <n v="0"/>
    <n v="0"/>
    <n v="0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204 Decimocuarto Sueldo"/>
    <s v="G/510204/1FA101"/>
    <s v="002"/>
    <n v="40987.82"/>
    <n v="0"/>
    <n v="-9626.6299999999992"/>
    <n v="31361.19"/>
    <n v="0"/>
    <n v="31361.19"/>
    <n v="31361.19"/>
    <n v="0"/>
    <n v="0"/>
    <n v="0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204 Decimocuarto Sueldo"/>
    <s v="G/510204/1IA101"/>
    <s v="002"/>
    <n v="30436.5"/>
    <n v="0"/>
    <n v="-2297.84"/>
    <n v="28138.66"/>
    <n v="0"/>
    <n v="28138.66"/>
    <n v="28138.66"/>
    <n v="0"/>
    <n v="0"/>
    <n v="0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204 Decimocuarto Sueldo"/>
    <s v="G/510204/1CA101"/>
    <s v="001"/>
    <n v="0"/>
    <n v="0"/>
    <n v="10627.2"/>
    <n v="10627.2"/>
    <n v="0"/>
    <n v="499.95"/>
    <n v="499.95"/>
    <n v="10127.25"/>
    <n v="10127.25"/>
    <n v="10127.25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204 Decimocuarto Sueldo"/>
    <s v="G/510204/1EA101"/>
    <s v="002"/>
    <n v="32465.599999999999"/>
    <n v="-300"/>
    <n v="-2019.35"/>
    <n v="30146.25"/>
    <n v="2100.13"/>
    <n v="28046.12"/>
    <n v="28046.12"/>
    <n v="2100.13"/>
    <n v="2100.13"/>
    <n v="0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204 Decimocuarto Sueldo"/>
    <s v="G/510204/1FA101"/>
    <s v="001"/>
    <n v="0"/>
    <n v="0"/>
    <n v="4935.33"/>
    <n v="4935.33"/>
    <n v="0"/>
    <n v="299.97000000000003"/>
    <n v="299.97000000000003"/>
    <n v="4635.3599999999997"/>
    <n v="4635.3599999999997"/>
    <n v="4635.3599999999997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204 Decimocuarto Sueldo"/>
    <s v="G/510204/1FA101"/>
    <s v="001"/>
    <n v="0"/>
    <n v="0"/>
    <n v="9690.18"/>
    <n v="9690.18"/>
    <n v="0"/>
    <n v="466.62"/>
    <n v="466.62"/>
    <n v="9223.56"/>
    <n v="9223.56"/>
    <n v="9223.56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204 Decimocuarto Sueldo"/>
    <s v="G/510204/1FA101"/>
    <s v="001"/>
    <n v="0"/>
    <n v="0"/>
    <n v="5322.56"/>
    <n v="5322.56"/>
    <n v="0"/>
    <n v="233.31"/>
    <n v="233.31"/>
    <n v="5089.25"/>
    <n v="5089.25"/>
    <n v="5089.25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204 Decimocuarto Sueldo"/>
    <s v="G/510204/1FA101"/>
    <s v="002"/>
    <n v="66960.3"/>
    <n v="133.34"/>
    <n v="-9690.18"/>
    <n v="57403.46"/>
    <n v="572.22"/>
    <n v="56831.24"/>
    <n v="56831.24"/>
    <n v="572.22"/>
    <n v="572.22"/>
    <n v="0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204 Decimocuarto Sueldo"/>
    <s v="G/510204/1FA101"/>
    <s v="002"/>
    <n v="42205.279999999999"/>
    <n v="0"/>
    <n v="-4240.32"/>
    <n v="37964.959999999999"/>
    <n v="100"/>
    <n v="37864.959999999999"/>
    <n v="37864.959999999999"/>
    <n v="100"/>
    <n v="100"/>
    <n v="0"/>
  </r>
  <r>
    <s v="51"/>
    <x v="1"/>
    <x v="5"/>
    <s v="ZA01J000"/>
    <x v="8"/>
    <s v="A101"/>
    <s v="FORTALECIMIENTO INSTITUCIONAL"/>
    <s v="GC00A10100004D"/>
    <s v="GC00A10100004D REMUNERACION PERSONAL"/>
    <s v="51 GASTOS EN PERSONAL"/>
    <s v="510204 Decimocuarto Sueldo"/>
    <s v="G/510204/1JA101"/>
    <s v="002"/>
    <n v="15421.16"/>
    <n v="7300"/>
    <n v="-8743.6200000000008"/>
    <n v="13977.54"/>
    <n v="511.12"/>
    <n v="13466.42"/>
    <n v="13466.42"/>
    <n v="511.12"/>
    <n v="511.12"/>
    <n v="0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204 Decimocuarto Sueldo"/>
    <s v="G/510204/1NA101"/>
    <s v="002"/>
    <n v="589656.46"/>
    <n v="0"/>
    <n v="-35575.440000000002"/>
    <n v="554081.02"/>
    <n v="9600"/>
    <n v="544481.02"/>
    <n v="544481.02"/>
    <n v="9600"/>
    <n v="9600"/>
    <n v="0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204 Decimocuarto Sueldo"/>
    <s v="G/510204/1IA101"/>
    <s v="001"/>
    <n v="0"/>
    <n v="800"/>
    <n v="3345.93"/>
    <n v="4145.93"/>
    <n v="442.25"/>
    <n v="724.38"/>
    <n v="724.38"/>
    <n v="3421.55"/>
    <n v="3421.55"/>
    <n v="2979.3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204 Decimocuarto Sueldo"/>
    <s v="G/510204/1MA101"/>
    <s v="001"/>
    <n v="0"/>
    <n v="0"/>
    <n v="6670.14"/>
    <n v="6670.14"/>
    <n v="0"/>
    <n v="599.94000000000005"/>
    <n v="599.94000000000005"/>
    <n v="6070.2"/>
    <n v="6070.2"/>
    <n v="6070.2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204 Decimocuarto Sueldo"/>
    <s v="G/510204/1FA101"/>
    <s v="002"/>
    <n v="40582"/>
    <n v="0"/>
    <n v="-8606.8700000000008"/>
    <n v="31975.13"/>
    <n v="271.11"/>
    <n v="31704.02"/>
    <n v="31704.02"/>
    <n v="271.11"/>
    <n v="271.11"/>
    <n v="0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204 Decimocuarto Sueldo"/>
    <s v="G/510204/1IA101"/>
    <s v="002"/>
    <n v="196822.7"/>
    <n v="-42617.58"/>
    <n v="-17247.34"/>
    <n v="136957.78"/>
    <n v="8157.28"/>
    <n v="128800.5"/>
    <n v="128166.06"/>
    <n v="8157.28"/>
    <n v="8791.7199999999993"/>
    <n v="0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204 Decimocuarto Sueldo"/>
    <s v="G/510204/1IA101"/>
    <s v="002"/>
    <n v="27595.759999999998"/>
    <n v="2709.38"/>
    <n v="-400.04"/>
    <n v="29905.1"/>
    <n v="0"/>
    <n v="29905.1"/>
    <n v="29905.1"/>
    <n v="0"/>
    <n v="0"/>
    <n v="0"/>
  </r>
  <r>
    <s v="51"/>
    <x v="0"/>
    <x v="1"/>
    <s v="ZA01C060"/>
    <x v="12"/>
    <s v="A101"/>
    <s v="FORTALECIMIENTO INSTITUCIONAL"/>
    <s v="GC00A10100004D"/>
    <s v="GC00A10100004D REMUNERACION PERSONAL"/>
    <s v="51 GASTOS EN PERSONAL"/>
    <s v="510204 Decimocuarto Sueldo"/>
    <s v="G/510204/1CA101"/>
    <s v="002"/>
    <n v="6898.94"/>
    <n v="0"/>
    <n v="-4033.43"/>
    <n v="2865.51"/>
    <n v="66.349999999999994"/>
    <n v="2799.16"/>
    <n v="2799.16"/>
    <n v="66.349999999999994"/>
    <n v="66.349999999999994"/>
    <n v="0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204 Decimocuarto Sueldo"/>
    <s v="G/510204/1FA101"/>
    <s v="001"/>
    <n v="0"/>
    <n v="0"/>
    <n v="4240.32"/>
    <n v="4240.32"/>
    <n v="0"/>
    <n v="83.33"/>
    <n v="83.33"/>
    <n v="4156.99"/>
    <n v="4156.99"/>
    <n v="4156.99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204 Decimocuarto Sueldo"/>
    <s v="G/510204/1FA101"/>
    <s v="001"/>
    <n v="0"/>
    <n v="0"/>
    <n v="8606.8700000000008"/>
    <n v="8606.8700000000008"/>
    <n v="0"/>
    <n v="133.32"/>
    <n v="133.32"/>
    <n v="8473.5499999999993"/>
    <n v="8473.5499999999993"/>
    <n v="8473.5499999999993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204 Decimocuarto Sueldo"/>
    <s v="G/510204/1DA101"/>
    <s v="002"/>
    <n v="31248.14"/>
    <n v="133.34"/>
    <n v="-4880.9399999999996"/>
    <n v="26500.54"/>
    <n v="102.25"/>
    <n v="26398.29"/>
    <n v="26398.29"/>
    <n v="102.25"/>
    <n v="102.25"/>
    <n v="0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204 Decimocuarto Sueldo"/>
    <s v="G/510204/1MA101"/>
    <s v="002"/>
    <n v="71018.5"/>
    <n v="-31633.33"/>
    <n v="-569.77"/>
    <n v="38815.4"/>
    <n v="3179.73"/>
    <n v="35635.67"/>
    <n v="35635.67"/>
    <n v="3179.73"/>
    <n v="3179.73"/>
    <n v="0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204 Decimocuarto Sueldo"/>
    <s v="G/510204/1IA101"/>
    <s v="001"/>
    <n v="0"/>
    <n v="3800"/>
    <n v="17247.34"/>
    <n v="21047.34"/>
    <n v="3375.59"/>
    <n v="1041.01"/>
    <n v="1041.01"/>
    <n v="20006.330000000002"/>
    <n v="20006.330000000002"/>
    <n v="16630.740000000002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204 Decimocuarto Sueldo"/>
    <s v="G/510204/1DA101"/>
    <s v="001"/>
    <n v="0"/>
    <n v="0"/>
    <n v="4880.9399999999996"/>
    <n v="4880.9399999999996"/>
    <n v="0"/>
    <n v="617.72"/>
    <n v="617.72"/>
    <n v="4263.22"/>
    <n v="4263.22"/>
    <n v="4263.22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204 Decimocuarto Sueldo"/>
    <s v="G/510204/1IA101"/>
    <s v="002"/>
    <n v="37741.26"/>
    <n v="15.76"/>
    <n v="-2554.81"/>
    <n v="35202.21"/>
    <n v="0"/>
    <n v="35202.21"/>
    <n v="35202.21"/>
    <n v="0"/>
    <n v="0"/>
    <n v="0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204 Decimocuarto Sueldo"/>
    <s v="G/510204/1MA101"/>
    <s v="002"/>
    <n v="55597.34"/>
    <n v="800"/>
    <n v="-6670.14"/>
    <n v="49727.199999999997"/>
    <n v="2315.69"/>
    <n v="47411.51"/>
    <n v="47340.4"/>
    <n v="2315.69"/>
    <n v="2386.8000000000002"/>
    <n v="0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204 Decimocuarto Sueldo"/>
    <s v="G/510204/1CA101"/>
    <s v="001"/>
    <n v="0"/>
    <n v="0"/>
    <n v="67.34"/>
    <n v="67.34"/>
    <n v="0"/>
    <n v="33.33"/>
    <n v="33.33"/>
    <n v="34.01"/>
    <n v="34.01"/>
    <n v="34.01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304 Compensación por Transporte"/>
    <s v="G/510304/1IA101"/>
    <s v="001"/>
    <n v="0"/>
    <n v="0"/>
    <n v="39.47"/>
    <n v="39.47"/>
    <n v="0"/>
    <n v="19"/>
    <n v="19"/>
    <n v="20.47"/>
    <n v="20.47"/>
    <n v="20.47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304 Compensación por Transporte"/>
    <s v="G/510304/1CA101"/>
    <s v="001"/>
    <n v="0"/>
    <n v="50"/>
    <n v="161.35"/>
    <n v="211.35"/>
    <n v="0"/>
    <n v="95"/>
    <n v="95"/>
    <n v="116.35"/>
    <n v="116.35"/>
    <n v="116.35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304 Compensación por Transporte"/>
    <s v="G/510304/1KA101"/>
    <s v="001"/>
    <n v="0"/>
    <n v="0"/>
    <n v="76.63"/>
    <n v="76.63"/>
    <n v="0"/>
    <n v="0"/>
    <n v="0"/>
    <n v="76.63"/>
    <n v="76.63"/>
    <n v="76.63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304 Compensación por Transporte"/>
    <s v="G/510304/1CA101"/>
    <s v="001"/>
    <n v="0"/>
    <n v="0"/>
    <n v="19.739999999999998"/>
    <n v="19.739999999999998"/>
    <n v="0"/>
    <n v="9.5"/>
    <n v="9.5"/>
    <n v="10.24"/>
    <n v="10.24"/>
    <n v="10.24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304 Compensación por Transporte"/>
    <s v="G/510304/1NA101"/>
    <s v="001"/>
    <n v="0"/>
    <n v="0"/>
    <n v="152"/>
    <n v="152"/>
    <n v="0"/>
    <n v="47.5"/>
    <n v="47.5"/>
    <n v="104.5"/>
    <n v="104.5"/>
    <n v="104.5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304 Compensación por Transporte"/>
    <s v="G/510304/1IA101"/>
    <s v="001"/>
    <n v="0"/>
    <n v="0"/>
    <n v="42.47"/>
    <n v="42.47"/>
    <n v="0"/>
    <n v="19"/>
    <n v="19"/>
    <n v="23.47"/>
    <n v="23.47"/>
    <n v="23.47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304 Compensación por Transporte"/>
    <s v="G/510304/1MA101"/>
    <s v="001"/>
    <n v="0"/>
    <n v="0"/>
    <n v="1095.5"/>
    <n v="1095.5"/>
    <n v="0"/>
    <n v="76"/>
    <n v="76"/>
    <n v="1019.5"/>
    <n v="1019.5"/>
    <n v="1019.5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304 Compensación por Transporte"/>
    <s v="G/510304/1CA101"/>
    <s v="001"/>
    <n v="0"/>
    <n v="20"/>
    <n v="13.08"/>
    <n v="33.08"/>
    <n v="0"/>
    <n v="9.5"/>
    <n v="9.5"/>
    <n v="23.58"/>
    <n v="23.58"/>
    <n v="23.58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304 Compensación por Transporte"/>
    <s v="G/510304/1AA101"/>
    <s v="001"/>
    <n v="0"/>
    <n v="3500"/>
    <n v="308.58999999999997"/>
    <n v="3808.59"/>
    <n v="0"/>
    <n v="963.5"/>
    <n v="963.5"/>
    <n v="2845.09"/>
    <n v="2845.09"/>
    <n v="2845.09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304 Compensación por Transporte"/>
    <s v="G/510304/1MA101"/>
    <s v="001"/>
    <n v="0"/>
    <n v="0"/>
    <n v="1144"/>
    <n v="1144"/>
    <n v="0"/>
    <n v="171"/>
    <n v="171"/>
    <n v="973"/>
    <n v="973"/>
    <n v="973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304 Compensación por Transporte"/>
    <s v="G/510304/1MA101"/>
    <s v="001"/>
    <n v="0"/>
    <n v="0"/>
    <n v="1809.5"/>
    <n v="1809.5"/>
    <n v="0"/>
    <n v="244"/>
    <n v="244"/>
    <n v="1565.5"/>
    <n v="1565.5"/>
    <n v="1565.5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304 Compensación por Transporte"/>
    <s v="G/510304/1FA101"/>
    <s v="001"/>
    <n v="0"/>
    <n v="0"/>
    <n v="252.87"/>
    <n v="252.87"/>
    <n v="0"/>
    <n v="114"/>
    <n v="114"/>
    <n v="138.87"/>
    <n v="138.87"/>
    <n v="138.87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304 Compensación por Transporte"/>
    <s v="G/510304/1FA101"/>
    <s v="001"/>
    <n v="0"/>
    <n v="30"/>
    <n v="358.14"/>
    <n v="388.14"/>
    <n v="0"/>
    <n v="193"/>
    <n v="193"/>
    <n v="195.14"/>
    <n v="195.14"/>
    <n v="195.14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304 Compensación por Transporte"/>
    <s v="G/510304/1IA101"/>
    <s v="002"/>
    <n v="132"/>
    <n v="0"/>
    <n v="-80"/>
    <n v="52"/>
    <n v="0"/>
    <n v="52"/>
    <n v="52"/>
    <n v="0"/>
    <n v="0"/>
    <n v="0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304 Compensación por Transporte"/>
    <s v="G/510304/1IA101"/>
    <s v="002"/>
    <n v="1848"/>
    <n v="454"/>
    <n v="-1717"/>
    <n v="585"/>
    <n v="0"/>
    <n v="585"/>
    <n v="585"/>
    <n v="0"/>
    <n v="0"/>
    <n v="0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304 Compensación por Transporte"/>
    <s v="G/510304/1IA101"/>
    <s v="002"/>
    <n v="528"/>
    <n v="0"/>
    <n v="-320"/>
    <n v="208"/>
    <n v="0"/>
    <n v="208"/>
    <n v="208"/>
    <n v="0"/>
    <n v="0"/>
    <n v="0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304 Compensación por Transporte"/>
    <s v="G/510304/1IA101"/>
    <s v="002"/>
    <n v="528"/>
    <n v="265"/>
    <n v="-499.5"/>
    <n v="293.5"/>
    <n v="0"/>
    <n v="293.5"/>
    <n v="293.5"/>
    <n v="0"/>
    <n v="0"/>
    <n v="0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304 Compensación por Transporte"/>
    <s v="G/510304/1FA101"/>
    <s v="001"/>
    <n v="0"/>
    <n v="70"/>
    <n v="72.290000000000006"/>
    <n v="142.29"/>
    <n v="0"/>
    <n v="66.5"/>
    <n v="66.5"/>
    <n v="75.790000000000006"/>
    <n v="75.790000000000006"/>
    <n v="75.790000000000006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304 Compensación por Transporte"/>
    <s v="G/510304/1IA101"/>
    <s v="002"/>
    <n v="924"/>
    <n v="452"/>
    <n v="-864.5"/>
    <n v="511.5"/>
    <n v="0"/>
    <n v="511.5"/>
    <n v="511.5"/>
    <n v="0"/>
    <n v="0"/>
    <n v="0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304 Compensación por Transporte"/>
    <s v="G/510304/1IA101"/>
    <s v="002"/>
    <n v="264"/>
    <n v="0"/>
    <n v="-160"/>
    <n v="104"/>
    <n v="0"/>
    <n v="104"/>
    <n v="104"/>
    <n v="0"/>
    <n v="0"/>
    <n v="0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304 Compensación por Transporte"/>
    <s v="G/510304/2QA101"/>
    <s v="002"/>
    <n v="4224"/>
    <n v="-1100"/>
    <n v="-1032.5"/>
    <n v="2091.5"/>
    <n v="0"/>
    <n v="2091.5"/>
    <n v="2091.5"/>
    <n v="0"/>
    <n v="0"/>
    <n v="0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304 Compensación por Transporte"/>
    <s v="G/510304/1DA101"/>
    <s v="002"/>
    <n v="528"/>
    <n v="0"/>
    <n v="-425.5"/>
    <n v="102.5"/>
    <n v="0"/>
    <n v="102.5"/>
    <n v="102.5"/>
    <n v="0"/>
    <n v="0"/>
    <n v="0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304 Compensación por Transporte"/>
    <s v="G/510304/1FA101"/>
    <s v="002"/>
    <n v="1584"/>
    <n v="0"/>
    <n v="-1336.5"/>
    <n v="247.5"/>
    <n v="0"/>
    <n v="247.5"/>
    <n v="247.5"/>
    <n v="0"/>
    <n v="0"/>
    <n v="0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304 Compensación por Transporte"/>
    <s v="G/510304/1FA101"/>
    <s v="002"/>
    <n v="3036"/>
    <n v="0"/>
    <n v="-2115"/>
    <n v="921"/>
    <n v="0"/>
    <n v="921"/>
    <n v="921"/>
    <n v="0"/>
    <n v="0"/>
    <n v="0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304 Compensación por Transporte"/>
    <s v="G/510304/1FA101"/>
    <s v="002"/>
    <n v="2904"/>
    <n v="303"/>
    <n v="-2239"/>
    <n v="968"/>
    <n v="0"/>
    <n v="968"/>
    <n v="968"/>
    <n v="0"/>
    <n v="0"/>
    <n v="0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304 Compensación por Transporte"/>
    <s v="G/510304/1FA101"/>
    <s v="002"/>
    <n v="1452"/>
    <n v="0"/>
    <n v="-919"/>
    <n v="533"/>
    <n v="0"/>
    <n v="533"/>
    <n v="533"/>
    <n v="0"/>
    <n v="0"/>
    <n v="0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304 Compensación por Transporte"/>
    <s v="G/510304/1FA101"/>
    <s v="002"/>
    <n v="7260"/>
    <n v="2150"/>
    <n v="-5776"/>
    <n v="3634"/>
    <n v="0"/>
    <n v="3634"/>
    <n v="3634"/>
    <n v="0"/>
    <n v="0"/>
    <n v="0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304 Compensación por Transporte"/>
    <s v="G/510304/1FA101"/>
    <s v="002"/>
    <n v="2244"/>
    <n v="0"/>
    <n v="-1809"/>
    <n v="435"/>
    <n v="0"/>
    <n v="435"/>
    <n v="435"/>
    <n v="0"/>
    <n v="0"/>
    <n v="0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304 Compensación por Transporte"/>
    <s v="G/510304/1FA101"/>
    <s v="002"/>
    <n v="1452"/>
    <n v="0"/>
    <n v="-1045.5"/>
    <n v="406.5"/>
    <n v="0"/>
    <n v="406.5"/>
    <n v="406.5"/>
    <n v="0"/>
    <n v="0"/>
    <n v="0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304 Compensación por Transporte"/>
    <s v="G/510304/1FA101"/>
    <s v="002"/>
    <n v="1056"/>
    <n v="0"/>
    <n v="-673"/>
    <n v="383"/>
    <n v="0"/>
    <n v="383"/>
    <n v="383"/>
    <n v="0"/>
    <n v="0"/>
    <n v="0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304 Compensación por Transporte"/>
    <s v="G/510304/1KA101"/>
    <s v="002"/>
    <n v="264"/>
    <n v="50"/>
    <n v="-230"/>
    <n v="84"/>
    <n v="0"/>
    <n v="84"/>
    <n v="84"/>
    <n v="0"/>
    <n v="0"/>
    <n v="0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304 Compensación por Transporte"/>
    <s v="G/510304/1AA101"/>
    <s v="002"/>
    <n v="13464"/>
    <n v="0"/>
    <n v="-7669"/>
    <n v="5795"/>
    <n v="0"/>
    <n v="5795"/>
    <n v="5795"/>
    <n v="0"/>
    <n v="0"/>
    <n v="0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304 Compensación por Transporte"/>
    <s v="G/510304/1LA101"/>
    <s v="002"/>
    <n v="396"/>
    <n v="0"/>
    <n v="-333.5"/>
    <n v="62.5"/>
    <n v="0"/>
    <n v="62.5"/>
    <n v="62.5"/>
    <n v="0"/>
    <n v="0"/>
    <n v="0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304 Compensación por Transporte"/>
    <s v="G/510304/1PA101"/>
    <s v="002"/>
    <n v="132"/>
    <n v="0"/>
    <n v="-80"/>
    <n v="52"/>
    <n v="0"/>
    <n v="52"/>
    <n v="52"/>
    <n v="0"/>
    <n v="0"/>
    <n v="0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304 Compensación por Transporte"/>
    <s v="G/510304/1KA101"/>
    <s v="002"/>
    <n v="924"/>
    <n v="53"/>
    <n v="-804.5"/>
    <n v="172.5"/>
    <n v="0"/>
    <n v="172.5"/>
    <n v="172.5"/>
    <n v="0"/>
    <n v="0"/>
    <n v="0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304 Compensación por Transporte"/>
    <s v="G/510304/1BA101"/>
    <s v="002"/>
    <n v="660"/>
    <n v="0"/>
    <n v="-372"/>
    <n v="288"/>
    <n v="0"/>
    <n v="288"/>
    <n v="288"/>
    <n v="0"/>
    <n v="0"/>
    <n v="0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304 Compensación por Transporte"/>
    <s v="G/510304/1EA101"/>
    <s v="002"/>
    <n v="1188"/>
    <n v="0"/>
    <n v="-882.5"/>
    <n v="305.5"/>
    <n v="0"/>
    <n v="305.5"/>
    <n v="305.5"/>
    <n v="0"/>
    <n v="0"/>
    <n v="0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304 Compensación por Transporte"/>
    <s v="G/510304/1CA101"/>
    <s v="002"/>
    <n v="3036"/>
    <n v="0"/>
    <n v="-2368.5"/>
    <n v="667.5"/>
    <n v="0"/>
    <n v="667.5"/>
    <n v="667.5"/>
    <n v="0"/>
    <n v="0"/>
    <n v="0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304 Compensación por Transporte"/>
    <s v="G/510304/1CA101"/>
    <s v="002"/>
    <n v="132"/>
    <n v="0"/>
    <n v="-80"/>
    <n v="52"/>
    <n v="0"/>
    <n v="52"/>
    <n v="52"/>
    <n v="0"/>
    <n v="0"/>
    <n v="0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304 Compensación por Transporte"/>
    <s v="G/510304/2QA101"/>
    <s v="001"/>
    <n v="0"/>
    <n v="0"/>
    <n v="1032.5"/>
    <n v="1032.5"/>
    <n v="0"/>
    <n v="209"/>
    <n v="209"/>
    <n v="823.5"/>
    <n v="823.5"/>
    <n v="823.5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304 Compensación por Transporte"/>
    <s v="G/510304/1CA101"/>
    <s v="002"/>
    <n v="1848"/>
    <n v="0"/>
    <n v="-1696"/>
    <n v="152"/>
    <n v="0"/>
    <n v="152"/>
    <n v="152"/>
    <n v="0"/>
    <n v="0"/>
    <n v="0"/>
  </r>
  <r>
    <s v="51"/>
    <x v="3"/>
    <x v="11"/>
    <s v="ZA01H000"/>
    <x v="19"/>
    <s v="A101"/>
    <s v="FORTALECIMIENTO INSTITUCIONAL"/>
    <s v="GC00A10100004D"/>
    <s v="GC00A10100004D REMUNERACION PERSONAL"/>
    <s v="51 GASTOS EN PERSONAL"/>
    <s v="510304 Compensación por Transporte"/>
    <s v="G/510304/1HA101"/>
    <s v="002"/>
    <n v="264"/>
    <n v="-264"/>
    <n v="0"/>
    <n v="0"/>
    <n v="0"/>
    <n v="0"/>
    <n v="0"/>
    <n v="0"/>
    <n v="0"/>
    <n v="0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304 Compensación por Transporte"/>
    <s v="G/510304/1PA101"/>
    <s v="001"/>
    <n v="0"/>
    <n v="0"/>
    <n v="19.739999999999998"/>
    <n v="19.739999999999998"/>
    <n v="0"/>
    <n v="0"/>
    <n v="0"/>
    <n v="19.739999999999998"/>
    <n v="19.739999999999998"/>
    <n v="19.739999999999998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304 Compensación por Transporte"/>
    <s v="G/510304/1IA101"/>
    <s v="001"/>
    <n v="0"/>
    <n v="60"/>
    <n v="24.94"/>
    <n v="84.94"/>
    <n v="0"/>
    <n v="38"/>
    <n v="38"/>
    <n v="46.94"/>
    <n v="46.94"/>
    <n v="46.94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304 Compensación por Transporte"/>
    <s v="G/510304/1IA101"/>
    <s v="001"/>
    <n v="0"/>
    <n v="0"/>
    <n v="19.739999999999998"/>
    <n v="19.739999999999998"/>
    <n v="0"/>
    <n v="9.5"/>
    <n v="9.5"/>
    <n v="10.24"/>
    <n v="10.24"/>
    <n v="10.24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304 Compensación por Transporte"/>
    <s v="G/510304/1BA101"/>
    <s v="001"/>
    <n v="0"/>
    <n v="0"/>
    <n v="372"/>
    <n v="372"/>
    <n v="0"/>
    <n v="9.5"/>
    <n v="9.5"/>
    <n v="362.5"/>
    <n v="362.5"/>
    <n v="362.5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304 Compensación por Transporte"/>
    <s v="G/510304/1DA101"/>
    <s v="001"/>
    <n v="0"/>
    <n v="0"/>
    <n v="37.51"/>
    <n v="37.51"/>
    <n v="0"/>
    <n v="9.5"/>
    <n v="9.5"/>
    <n v="28.01"/>
    <n v="28.01"/>
    <n v="28.01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304 Compensación por Transporte"/>
    <s v="G/510304/1EA101"/>
    <s v="001"/>
    <n v="0"/>
    <n v="0"/>
    <n v="109.36"/>
    <n v="109.36"/>
    <n v="0"/>
    <n v="28.5"/>
    <n v="28.5"/>
    <n v="80.86"/>
    <n v="80.86"/>
    <n v="80.86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304 Compensación por Transporte"/>
    <s v="G/510304/1GA101"/>
    <s v="001"/>
    <n v="0"/>
    <n v="0"/>
    <n v="128.38999999999999"/>
    <n v="128.38999999999999"/>
    <n v="0"/>
    <n v="57"/>
    <n v="57"/>
    <n v="71.39"/>
    <n v="71.39"/>
    <n v="71.39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304 Compensación por Transporte"/>
    <s v="G/510304/1IA101"/>
    <s v="001"/>
    <n v="0"/>
    <n v="0"/>
    <n v="442.89"/>
    <n v="442.89"/>
    <n v="0"/>
    <n v="76"/>
    <n v="76"/>
    <n v="366.89"/>
    <n v="366.89"/>
    <n v="366.89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304 Compensación por Transporte"/>
    <s v="G/510304/1IA101"/>
    <s v="001"/>
    <n v="0"/>
    <n v="0"/>
    <n v="78.94"/>
    <n v="78.94"/>
    <n v="0"/>
    <n v="28.5"/>
    <n v="28.5"/>
    <n v="50.44"/>
    <n v="50.44"/>
    <n v="50.44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304 Compensación por Transporte"/>
    <s v="G/510304/1IA101"/>
    <s v="001"/>
    <n v="0"/>
    <n v="0"/>
    <n v="258.44"/>
    <n v="258.44"/>
    <n v="0"/>
    <n v="38"/>
    <n v="38"/>
    <n v="220.44"/>
    <n v="220.44"/>
    <n v="220.44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304 Compensación por Transporte"/>
    <s v="G/510304/1IA101"/>
    <s v="001"/>
    <n v="0"/>
    <n v="0"/>
    <n v="442.65"/>
    <n v="442.65"/>
    <n v="0"/>
    <n v="66.5"/>
    <n v="66.5"/>
    <n v="376.15"/>
    <n v="376.15"/>
    <n v="376.15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304 Compensación por Transporte"/>
    <s v="G/510304/1IA101"/>
    <s v="001"/>
    <n v="0"/>
    <n v="0"/>
    <n v="1130.56"/>
    <n v="1130.56"/>
    <n v="0"/>
    <n v="190"/>
    <n v="190"/>
    <n v="940.56"/>
    <n v="940.56"/>
    <n v="940.56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304 Compensación por Transporte"/>
    <s v="G/510304/1IA101"/>
    <s v="001"/>
    <n v="0"/>
    <n v="0"/>
    <n v="39.47"/>
    <n v="39.47"/>
    <n v="0"/>
    <n v="19"/>
    <n v="19"/>
    <n v="20.47"/>
    <n v="20.47"/>
    <n v="20.47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304 Compensación por Transporte"/>
    <s v="G/510304/1NA101"/>
    <s v="002"/>
    <n v="2244"/>
    <n v="0"/>
    <n v="-1419.5"/>
    <n v="824.5"/>
    <n v="0"/>
    <n v="824.5"/>
    <n v="824.5"/>
    <n v="0"/>
    <n v="0"/>
    <n v="0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304 Compensación por Transporte"/>
    <s v="G/510304/1MA101"/>
    <s v="002"/>
    <n v="792"/>
    <n v="20"/>
    <n v="-406"/>
    <n v="406"/>
    <n v="0"/>
    <n v="406"/>
    <n v="406"/>
    <n v="0"/>
    <n v="0"/>
    <n v="0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304 Compensación por Transporte"/>
    <s v="G/510304/1IA101"/>
    <s v="002"/>
    <n v="3696"/>
    <n v="1150"/>
    <n v="-3238"/>
    <n v="1608"/>
    <n v="0"/>
    <n v="1608"/>
    <n v="1608"/>
    <n v="0"/>
    <n v="0"/>
    <n v="0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304 Compensación por Transporte"/>
    <s v="G/510304/1KA101"/>
    <s v="001"/>
    <n v="0"/>
    <n v="0"/>
    <n v="42.99"/>
    <n v="42.99"/>
    <n v="0"/>
    <n v="19"/>
    <n v="19"/>
    <n v="23.99"/>
    <n v="23.99"/>
    <n v="23.99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304 Compensación por Transporte"/>
    <s v="G/510304/1LA101"/>
    <s v="001"/>
    <n v="0"/>
    <n v="50"/>
    <n v="9.24"/>
    <n v="59.24"/>
    <n v="0"/>
    <n v="19"/>
    <n v="19"/>
    <n v="40.24"/>
    <n v="40.24"/>
    <n v="40.24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304 Compensación por Transporte"/>
    <s v="G/510304/1MA101"/>
    <s v="001"/>
    <n v="0"/>
    <n v="0"/>
    <n v="406"/>
    <n v="406"/>
    <n v="0"/>
    <n v="78.5"/>
    <n v="78.5"/>
    <n v="327.5"/>
    <n v="327.5"/>
    <n v="327.5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304 Compensación por Transporte"/>
    <s v="G/510304/1NA101"/>
    <s v="001"/>
    <n v="0"/>
    <n v="0"/>
    <n v="1419.5"/>
    <n v="1419.5"/>
    <n v="0"/>
    <n v="152"/>
    <n v="152"/>
    <n v="1267.5"/>
    <n v="1267.5"/>
    <n v="1267.5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304 Compensación por Transporte"/>
    <s v="G/510304/1FA101"/>
    <s v="001"/>
    <n v="0"/>
    <n v="50"/>
    <n v="58.65"/>
    <n v="108.65"/>
    <n v="0"/>
    <n v="47.5"/>
    <n v="47.5"/>
    <n v="61.15"/>
    <n v="61.15"/>
    <n v="61.15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304 Compensación por Transporte"/>
    <s v="G/510304/1GA101"/>
    <s v="002"/>
    <n v="1584"/>
    <n v="0"/>
    <n v="-1138.5"/>
    <n v="445.5"/>
    <n v="0"/>
    <n v="445.5"/>
    <n v="445.5"/>
    <n v="0"/>
    <n v="0"/>
    <n v="0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304 Compensación por Transporte"/>
    <s v="G/510304/1MA101"/>
    <s v="002"/>
    <n v="2640"/>
    <n v="100"/>
    <n v="-1144"/>
    <n v="1596"/>
    <n v="0"/>
    <n v="1596"/>
    <n v="1596"/>
    <n v="0"/>
    <n v="0"/>
    <n v="0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304 Compensación por Transporte"/>
    <s v="G/510304/1FA101"/>
    <s v="001"/>
    <n v="0"/>
    <n v="120"/>
    <n v="118.12"/>
    <n v="238.12"/>
    <n v="0"/>
    <n v="115.5"/>
    <n v="115.5"/>
    <n v="122.62"/>
    <n v="122.62"/>
    <n v="122.62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304 Compensación por Transporte"/>
    <s v="G/510304/1FA101"/>
    <s v="001"/>
    <n v="0"/>
    <n v="100"/>
    <n v="74.06"/>
    <n v="174.06"/>
    <n v="0"/>
    <n v="76"/>
    <n v="76"/>
    <n v="98.06"/>
    <n v="98.06"/>
    <n v="98.06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304 Compensación por Transporte"/>
    <s v="G/510304/1FA101"/>
    <s v="001"/>
    <n v="0"/>
    <n v="0"/>
    <n v="2015.49"/>
    <n v="2015.49"/>
    <n v="0"/>
    <n v="352.5"/>
    <n v="352.5"/>
    <n v="1662.99"/>
    <n v="1662.99"/>
    <n v="1662.99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304 Compensación por Transporte"/>
    <s v="G/510304/1MA101"/>
    <s v="002"/>
    <n v="2376"/>
    <n v="320"/>
    <n v="-1809.5"/>
    <n v="886.5"/>
    <n v="0"/>
    <n v="886.5"/>
    <n v="886.5"/>
    <n v="0"/>
    <n v="0"/>
    <n v="0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304 Compensación por Transporte"/>
    <s v="G/510304/1MA101"/>
    <s v="002"/>
    <n v="1584"/>
    <n v="222"/>
    <n v="-1095.5"/>
    <n v="710.5"/>
    <n v="0"/>
    <n v="710.5"/>
    <n v="710.5"/>
    <n v="0"/>
    <n v="0"/>
    <n v="0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304 Compensación por Transporte"/>
    <s v="G/510304/1IA101"/>
    <s v="002"/>
    <n v="396"/>
    <n v="45"/>
    <n v="-295"/>
    <n v="146"/>
    <n v="0"/>
    <n v="146"/>
    <n v="146"/>
    <n v="0"/>
    <n v="0"/>
    <n v="0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304 Compensación por Transporte"/>
    <s v="G/510304/1NA101"/>
    <s v="002"/>
    <n v="660"/>
    <n v="0"/>
    <n v="-152"/>
    <n v="508"/>
    <n v="0"/>
    <n v="508"/>
    <n v="508"/>
    <n v="0"/>
    <n v="0"/>
    <n v="0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304 Compensación por Transporte"/>
    <s v="G/510304/1IA101"/>
    <s v="002"/>
    <n v="264"/>
    <n v="0"/>
    <n v="-160"/>
    <n v="104"/>
    <n v="0"/>
    <n v="104"/>
    <n v="104"/>
    <n v="0"/>
    <n v="0"/>
    <n v="0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304 Compensación por Transporte"/>
    <s v="G/510304/1FA101"/>
    <s v="001"/>
    <n v="0"/>
    <n v="60"/>
    <n v="82.37"/>
    <n v="142.37"/>
    <n v="0"/>
    <n v="66.5"/>
    <n v="66.5"/>
    <n v="75.87"/>
    <n v="75.87"/>
    <n v="75.87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304 Compensación por Transporte"/>
    <s v="G/510304/1IA101"/>
    <s v="002"/>
    <n v="528"/>
    <n v="0"/>
    <n v="-266"/>
    <n v="262"/>
    <n v="0"/>
    <n v="262"/>
    <n v="262"/>
    <n v="0"/>
    <n v="0"/>
    <n v="0"/>
  </r>
  <r>
    <s v="51"/>
    <x v="3"/>
    <x v="11"/>
    <s v="ZA01H000"/>
    <x v="19"/>
    <s v="A101"/>
    <s v="FORTALECIMIENTO INSTITUCIONAL"/>
    <s v="GC00A10100004D"/>
    <s v="GC00A10100004D REMUNERACION PERSONAL"/>
    <s v="51 GASTOS EN PERSONAL"/>
    <s v="510306 Alimentación"/>
    <s v="G/510306/1HA101"/>
    <s v="002"/>
    <n v="2112"/>
    <n v="-2112"/>
    <n v="0"/>
    <n v="0"/>
    <n v="0"/>
    <n v="0"/>
    <n v="0"/>
    <n v="0"/>
    <n v="0"/>
    <n v="0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306 Alimentación"/>
    <s v="G/510306/1IA101"/>
    <s v="002"/>
    <n v="14784"/>
    <n v="0"/>
    <n v="-8636"/>
    <n v="6148"/>
    <n v="0"/>
    <n v="6148"/>
    <n v="6148"/>
    <n v="0"/>
    <n v="0"/>
    <n v="0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306 Alimentación"/>
    <s v="G/510306/1NA101"/>
    <s v="001"/>
    <n v="0"/>
    <n v="0"/>
    <n v="6716"/>
    <n v="6716"/>
    <n v="0"/>
    <n v="1292"/>
    <n v="1292"/>
    <n v="5424"/>
    <n v="5424"/>
    <n v="5424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306 Alimentación"/>
    <s v="G/510306/1FA101"/>
    <s v="001"/>
    <n v="0"/>
    <n v="500"/>
    <n v="1048.6300000000001"/>
    <n v="1548.63"/>
    <n v="0"/>
    <n v="760"/>
    <n v="760"/>
    <n v="788.63"/>
    <n v="788.63"/>
    <n v="788.63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306 Alimentación"/>
    <s v="G/510306/1AA101"/>
    <s v="002"/>
    <n v="107712"/>
    <n v="352"/>
    <n v="-45196"/>
    <n v="62868"/>
    <n v="0"/>
    <n v="62868"/>
    <n v="62868"/>
    <n v="0"/>
    <n v="0"/>
    <n v="0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306 Alimentación"/>
    <s v="G/510306/1NA101"/>
    <s v="001"/>
    <n v="0"/>
    <n v="0"/>
    <n v="1216"/>
    <n v="1216"/>
    <n v="0"/>
    <n v="380"/>
    <n v="380"/>
    <n v="836"/>
    <n v="836"/>
    <n v="836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306 Alimentación"/>
    <s v="G/510306/1IA101"/>
    <s v="002"/>
    <n v="1056"/>
    <n v="0"/>
    <n v="-640"/>
    <n v="416"/>
    <n v="0"/>
    <n v="416"/>
    <n v="416"/>
    <n v="0"/>
    <n v="0"/>
    <n v="0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306 Alimentación"/>
    <s v="G/510306/1MA101"/>
    <s v="001"/>
    <n v="0"/>
    <n v="0"/>
    <n v="2328"/>
    <n v="2328"/>
    <n v="0"/>
    <n v="532"/>
    <n v="532"/>
    <n v="1796"/>
    <n v="1796"/>
    <n v="1796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306 Alimentación"/>
    <s v="G/510306/1IA101"/>
    <s v="001"/>
    <n v="0"/>
    <n v="0"/>
    <n v="315.77"/>
    <n v="315.77"/>
    <n v="0"/>
    <n v="152"/>
    <n v="152"/>
    <n v="163.77000000000001"/>
    <n v="163.77000000000001"/>
    <n v="163.77000000000001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306 Alimentación"/>
    <s v="G/510306/1CA101"/>
    <s v="002"/>
    <n v="14784"/>
    <n v="-352"/>
    <n v="-9800"/>
    <n v="4632"/>
    <n v="0"/>
    <n v="4632"/>
    <n v="4632"/>
    <n v="0"/>
    <n v="0"/>
    <n v="0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306 Alimentación"/>
    <s v="G/510306/1IA101"/>
    <s v="001"/>
    <n v="0"/>
    <n v="0"/>
    <n v="2060.54"/>
    <n v="2060.54"/>
    <n v="0"/>
    <n v="304"/>
    <n v="304"/>
    <n v="1756.54"/>
    <n v="1756.54"/>
    <n v="1756.54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306 Alimentación"/>
    <s v="G/510306/1IA101"/>
    <s v="001"/>
    <n v="0"/>
    <n v="0"/>
    <n v="157.88999999999999"/>
    <n v="157.88999999999999"/>
    <n v="0"/>
    <n v="76"/>
    <n v="76"/>
    <n v="81.89"/>
    <n v="81.89"/>
    <n v="81.89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306 Alimentación"/>
    <s v="G/510306/1KA101"/>
    <s v="001"/>
    <n v="0"/>
    <n v="0"/>
    <n v="372.8"/>
    <n v="372.8"/>
    <n v="0"/>
    <n v="152"/>
    <n v="152"/>
    <n v="220.8"/>
    <n v="220.8"/>
    <n v="220.8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306 Alimentación"/>
    <s v="G/510306/1CA101"/>
    <s v="001"/>
    <n v="0"/>
    <n v="0"/>
    <n v="157.88999999999999"/>
    <n v="157.88999999999999"/>
    <n v="0"/>
    <n v="76"/>
    <n v="76"/>
    <n v="81.89"/>
    <n v="81.89"/>
    <n v="81.89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306 Alimentación"/>
    <s v="G/510306/1IA101"/>
    <s v="002"/>
    <n v="4224"/>
    <n v="2121"/>
    <n v="-3989"/>
    <n v="2356"/>
    <n v="0"/>
    <n v="2356"/>
    <n v="2356"/>
    <n v="0"/>
    <n v="0"/>
    <n v="0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306 Alimentación"/>
    <s v="G/510306/2QA101"/>
    <s v="001"/>
    <n v="0"/>
    <n v="0"/>
    <n v="7224"/>
    <n v="7224"/>
    <n v="0"/>
    <n v="1824"/>
    <n v="1824"/>
    <n v="5400"/>
    <n v="5400"/>
    <n v="5400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306 Alimentación"/>
    <s v="G/510306/1IA101"/>
    <s v="002"/>
    <n v="2112"/>
    <n v="0"/>
    <n v="-1280"/>
    <n v="832"/>
    <n v="0"/>
    <n v="832"/>
    <n v="832"/>
    <n v="0"/>
    <n v="0"/>
    <n v="0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306 Alimentación"/>
    <s v="G/510306/1BA101"/>
    <s v="001"/>
    <n v="0"/>
    <n v="0"/>
    <n v="1312"/>
    <n v="1312"/>
    <n v="0"/>
    <n v="380"/>
    <n v="380"/>
    <n v="932"/>
    <n v="932"/>
    <n v="932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306 Alimentación"/>
    <s v="G/510306/1EA101"/>
    <s v="002"/>
    <n v="9504"/>
    <n v="0"/>
    <n v="-4668"/>
    <n v="4836"/>
    <n v="0"/>
    <n v="4836"/>
    <n v="4836"/>
    <n v="0"/>
    <n v="0"/>
    <n v="0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306 Alimentación"/>
    <s v="G/510306/1NA101"/>
    <s v="002"/>
    <n v="5280"/>
    <n v="0"/>
    <n v="-1216"/>
    <n v="4064"/>
    <n v="0"/>
    <n v="4064"/>
    <n v="4064"/>
    <n v="0"/>
    <n v="0"/>
    <n v="0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306 Alimentación"/>
    <s v="G/510306/1DA101"/>
    <s v="001"/>
    <n v="0"/>
    <n v="40"/>
    <n v="426.46"/>
    <n v="466.46"/>
    <n v="0"/>
    <n v="228"/>
    <n v="228"/>
    <n v="238.46"/>
    <n v="238.46"/>
    <n v="238.46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306 Alimentación"/>
    <s v="G/510306/1IA101"/>
    <s v="001"/>
    <n v="0"/>
    <n v="1370"/>
    <n v="164.74"/>
    <n v="1534.74"/>
    <n v="0"/>
    <n v="760"/>
    <n v="760"/>
    <n v="774.74"/>
    <n v="774.74"/>
    <n v="774.74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306 Alimentación"/>
    <s v="G/510306/1LA101"/>
    <s v="002"/>
    <n v="3168"/>
    <n v="0"/>
    <n v="-1972"/>
    <n v="1196"/>
    <n v="0"/>
    <n v="1196"/>
    <n v="1196"/>
    <n v="0"/>
    <n v="0"/>
    <n v="0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306 Alimentación"/>
    <s v="G/510306/1IA101"/>
    <s v="001"/>
    <n v="0"/>
    <n v="0"/>
    <n v="631.54"/>
    <n v="631.54"/>
    <n v="0"/>
    <n v="228"/>
    <n v="228"/>
    <n v="403.54"/>
    <n v="403.54"/>
    <n v="403.54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306 Alimentación"/>
    <s v="G/510306/1IA101"/>
    <s v="001"/>
    <n v="0"/>
    <n v="0"/>
    <n v="2042.54"/>
    <n v="2042.54"/>
    <n v="0"/>
    <n v="304"/>
    <n v="304"/>
    <n v="1738.54"/>
    <n v="1738.54"/>
    <n v="1738.54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306 Alimentación"/>
    <s v="G/510306/1EA101"/>
    <s v="001"/>
    <n v="0"/>
    <n v="0"/>
    <n v="1352.29"/>
    <n v="1352.29"/>
    <n v="0"/>
    <n v="608"/>
    <n v="608"/>
    <n v="744.29"/>
    <n v="744.29"/>
    <n v="744.29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306 Alimentación"/>
    <s v="G/510306/1IA101"/>
    <s v="002"/>
    <n v="3168"/>
    <n v="0"/>
    <n v="-1584"/>
    <n v="1584"/>
    <n v="0"/>
    <n v="1584"/>
    <n v="1584"/>
    <n v="0"/>
    <n v="0"/>
    <n v="0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306 Alimentación"/>
    <s v="G/510306/1IA101"/>
    <s v="001"/>
    <n v="0"/>
    <n v="0"/>
    <n v="3540.2"/>
    <n v="3540.2"/>
    <n v="0"/>
    <n v="532"/>
    <n v="532"/>
    <n v="3008.2"/>
    <n v="3008.2"/>
    <n v="3008.2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306 Alimentación"/>
    <s v="G/510306/1MA101"/>
    <s v="002"/>
    <n v="12672"/>
    <n v="640"/>
    <n v="-6184"/>
    <n v="7128"/>
    <n v="0"/>
    <n v="7128"/>
    <n v="7128"/>
    <n v="0"/>
    <n v="0"/>
    <n v="0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306 Alimentación"/>
    <s v="G/510306/1FA101"/>
    <s v="002"/>
    <n v="23232"/>
    <n v="0"/>
    <n v="-10944"/>
    <n v="12288"/>
    <n v="0"/>
    <n v="12288"/>
    <n v="12288"/>
    <n v="0"/>
    <n v="0"/>
    <n v="0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306 Alimentación"/>
    <s v="G/510306/1FA101"/>
    <s v="002"/>
    <n v="24288"/>
    <n v="0"/>
    <n v="-14820"/>
    <n v="9468"/>
    <n v="0"/>
    <n v="9468"/>
    <n v="9468"/>
    <n v="0"/>
    <n v="0"/>
    <n v="0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306 Alimentación"/>
    <s v="G/510306/1CA101"/>
    <s v="001"/>
    <n v="0"/>
    <n v="0"/>
    <n v="927.71"/>
    <n v="927.71"/>
    <n v="0"/>
    <n v="608"/>
    <n v="608"/>
    <n v="319.70999999999998"/>
    <n v="319.70999999999998"/>
    <n v="319.70999999999998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306 Alimentación"/>
    <s v="G/510306/1CA101"/>
    <s v="002"/>
    <n v="24288"/>
    <n v="0"/>
    <n v="-14500"/>
    <n v="9788"/>
    <n v="0"/>
    <n v="9788"/>
    <n v="9788"/>
    <n v="0"/>
    <n v="0"/>
    <n v="0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306 Alimentación"/>
    <s v="G/510306/1CA101"/>
    <s v="001"/>
    <n v="0"/>
    <n v="800"/>
    <n v="1987.03"/>
    <n v="2787.03"/>
    <n v="0"/>
    <n v="1368"/>
    <n v="1368"/>
    <n v="1419.03"/>
    <n v="1419.03"/>
    <n v="1419.03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306 Alimentación"/>
    <s v="G/510306/1FA101"/>
    <s v="002"/>
    <n v="11616"/>
    <n v="0"/>
    <n v="-6020"/>
    <n v="5596"/>
    <n v="0"/>
    <n v="5596"/>
    <n v="5596"/>
    <n v="0"/>
    <n v="0"/>
    <n v="0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306 Alimentación"/>
    <s v="G/510306/1AA101"/>
    <s v="001"/>
    <n v="0"/>
    <n v="21500"/>
    <n v="5866.29"/>
    <n v="27366.29"/>
    <n v="0"/>
    <n v="10308"/>
    <n v="10308"/>
    <n v="17058.29"/>
    <n v="17058.29"/>
    <n v="17058.29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306 Alimentación"/>
    <s v="G/510306/1FA101"/>
    <s v="001"/>
    <n v="0"/>
    <n v="900"/>
    <n v="1761.26"/>
    <n v="2661.26"/>
    <n v="0"/>
    <n v="1300"/>
    <n v="1300"/>
    <n v="1361.26"/>
    <n v="1361.26"/>
    <n v="1361.26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306 Alimentación"/>
    <s v="G/510306/1FA101"/>
    <s v="002"/>
    <n v="12672"/>
    <n v="0"/>
    <n v="-7160"/>
    <n v="5512"/>
    <n v="0"/>
    <n v="5512"/>
    <n v="5512"/>
    <n v="0"/>
    <n v="0"/>
    <n v="0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306 Alimentación"/>
    <s v="G/510306/1FA101"/>
    <s v="002"/>
    <n v="58080"/>
    <n v="500"/>
    <n v="-26556"/>
    <n v="32024"/>
    <n v="0"/>
    <n v="32024"/>
    <n v="32024"/>
    <n v="0"/>
    <n v="0"/>
    <n v="0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306 Alimentación"/>
    <s v="G/510306/1FA101"/>
    <s v="001"/>
    <n v="0"/>
    <n v="8400"/>
    <n v="39.71"/>
    <n v="8439.7099999999991"/>
    <n v="0"/>
    <n v="4200"/>
    <n v="4200"/>
    <n v="4239.71"/>
    <n v="4239.71"/>
    <n v="4239.71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306 Alimentación"/>
    <s v="G/510306/1DA101"/>
    <s v="002"/>
    <n v="4224"/>
    <n v="0"/>
    <n v="-2832"/>
    <n v="1392"/>
    <n v="0"/>
    <n v="1392"/>
    <n v="1392"/>
    <n v="0"/>
    <n v="0"/>
    <n v="0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306 Alimentación"/>
    <s v="G/510306/1CA101"/>
    <s v="002"/>
    <n v="1056"/>
    <n v="0"/>
    <n v="-640"/>
    <n v="416"/>
    <n v="0"/>
    <n v="416"/>
    <n v="416"/>
    <n v="0"/>
    <n v="0"/>
    <n v="0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306 Alimentación"/>
    <s v="G/510306/1MA101"/>
    <s v="001"/>
    <n v="0"/>
    <n v="0"/>
    <n v="8320"/>
    <n v="8320"/>
    <n v="0"/>
    <n v="1520"/>
    <n v="1520"/>
    <n v="6800"/>
    <n v="6800"/>
    <n v="6800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306 Alimentación"/>
    <s v="G/510306/1FA101"/>
    <s v="002"/>
    <n v="17952"/>
    <n v="0"/>
    <n v="-9328"/>
    <n v="8624"/>
    <n v="0"/>
    <n v="8624"/>
    <n v="8624"/>
    <n v="0"/>
    <n v="0"/>
    <n v="0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306 Alimentación"/>
    <s v="G/510306/1FA101"/>
    <s v="002"/>
    <n v="11616"/>
    <n v="0"/>
    <n v="-6700"/>
    <n v="4916"/>
    <n v="0"/>
    <n v="4916"/>
    <n v="4916"/>
    <n v="0"/>
    <n v="0"/>
    <n v="0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306 Alimentación"/>
    <s v="G/510306/2QA101"/>
    <s v="002"/>
    <n v="33792"/>
    <n v="-8564"/>
    <n v="-7224"/>
    <n v="18004"/>
    <n v="0"/>
    <n v="18004"/>
    <n v="18004"/>
    <n v="0"/>
    <n v="0"/>
    <n v="0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306 Alimentación"/>
    <s v="G/510306/1FA101"/>
    <s v="001"/>
    <n v="0"/>
    <n v="2735"/>
    <n v="1576.51"/>
    <n v="4311.51"/>
    <n v="0"/>
    <n v="2120"/>
    <n v="2120"/>
    <n v="2191.5100000000002"/>
    <n v="2191.5100000000002"/>
    <n v="2191.5100000000002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306 Alimentación"/>
    <s v="G/510306/1MA101"/>
    <s v="001"/>
    <n v="0"/>
    <n v="0"/>
    <n v="11436"/>
    <n v="11436"/>
    <n v="0"/>
    <n v="2536"/>
    <n v="2536"/>
    <n v="8900"/>
    <n v="8900"/>
    <n v="8900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306 Alimentación"/>
    <s v="G/510306/1IA101"/>
    <s v="002"/>
    <n v="2112"/>
    <n v="0"/>
    <n v="-1280"/>
    <n v="832"/>
    <n v="0"/>
    <n v="832"/>
    <n v="832"/>
    <n v="0"/>
    <n v="0"/>
    <n v="0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306 Alimentación"/>
    <s v="G/510306/1FA101"/>
    <s v="002"/>
    <n v="8448"/>
    <n v="0"/>
    <n v="-4116"/>
    <n v="4332"/>
    <n v="0"/>
    <n v="4332"/>
    <n v="4332"/>
    <n v="0"/>
    <n v="0"/>
    <n v="0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306 Alimentación"/>
    <s v="G/510306/1IA101"/>
    <s v="002"/>
    <n v="7392"/>
    <n v="3615"/>
    <n v="-6915"/>
    <n v="4092"/>
    <n v="0"/>
    <n v="4092"/>
    <n v="4092"/>
    <n v="0"/>
    <n v="0"/>
    <n v="0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306 Alimentación"/>
    <s v="G/510306/1MA101"/>
    <s v="001"/>
    <n v="0"/>
    <n v="0"/>
    <n v="6184"/>
    <n v="6184"/>
    <n v="0"/>
    <n v="836"/>
    <n v="836"/>
    <n v="5348"/>
    <n v="5348"/>
    <n v="5348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306 Alimentación"/>
    <s v="G/510306/1FA101"/>
    <s v="001"/>
    <n v="0"/>
    <n v="310"/>
    <n v="922.86"/>
    <n v="1232.8599999999999"/>
    <n v="0"/>
    <n v="608"/>
    <n v="608"/>
    <n v="624.86"/>
    <n v="624.86"/>
    <n v="624.86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306 Alimentación"/>
    <s v="G/510306/1KA101"/>
    <s v="002"/>
    <n v="2112"/>
    <n v="0"/>
    <n v="-452"/>
    <n v="1660"/>
    <n v="0"/>
    <n v="1660"/>
    <n v="1660"/>
    <n v="0"/>
    <n v="0"/>
    <n v="0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306 Alimentación"/>
    <s v="G/510306/1IA101"/>
    <s v="002"/>
    <n v="4224"/>
    <n v="2095"/>
    <n v="-3971"/>
    <n v="2348"/>
    <n v="0"/>
    <n v="2348"/>
    <n v="2348"/>
    <n v="0"/>
    <n v="0"/>
    <n v="0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306 Alimentación"/>
    <s v="G/510306/1IA101"/>
    <s v="001"/>
    <n v="0"/>
    <n v="320"/>
    <n v="137.66"/>
    <n v="457.66"/>
    <n v="0"/>
    <n v="228"/>
    <n v="228"/>
    <n v="229.66"/>
    <n v="229.66"/>
    <n v="229.66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306 Alimentación"/>
    <s v="G/510306/1PA101"/>
    <s v="001"/>
    <n v="0"/>
    <n v="0"/>
    <n v="1019.89"/>
    <n v="1019.89"/>
    <n v="0"/>
    <n v="76"/>
    <n v="76"/>
    <n v="943.89"/>
    <n v="943.89"/>
    <n v="943.89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306 Alimentación"/>
    <s v="G/510306/1IA101"/>
    <s v="002"/>
    <n v="4224"/>
    <n v="0"/>
    <n v="-2560"/>
    <n v="1664"/>
    <n v="0"/>
    <n v="1664"/>
    <n v="1664"/>
    <n v="0"/>
    <n v="0"/>
    <n v="0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306 Alimentación"/>
    <s v="G/510306/1MA101"/>
    <s v="002"/>
    <n v="19008"/>
    <n v="1600"/>
    <n v="-11436"/>
    <n v="9172"/>
    <n v="0"/>
    <n v="9172"/>
    <n v="9172"/>
    <n v="0"/>
    <n v="0"/>
    <n v="0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306 Alimentación"/>
    <s v="G/510306/1MA101"/>
    <s v="002"/>
    <n v="21120"/>
    <n v="800"/>
    <n v="-8320"/>
    <n v="13600"/>
    <n v="0"/>
    <n v="13600"/>
    <n v="13600"/>
    <n v="0"/>
    <n v="0"/>
    <n v="0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306 Alimentación"/>
    <s v="G/510306/1MA101"/>
    <s v="002"/>
    <n v="6336"/>
    <n v="160"/>
    <n v="-2328"/>
    <n v="4168"/>
    <n v="0"/>
    <n v="4168"/>
    <n v="4168"/>
    <n v="0"/>
    <n v="0"/>
    <n v="0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306 Alimentación"/>
    <s v="G/510306/1FA101"/>
    <s v="001"/>
    <n v="0"/>
    <n v="3000"/>
    <n v="219.94"/>
    <n v="3219.94"/>
    <n v="0"/>
    <n v="1596"/>
    <n v="1596"/>
    <n v="1623.94"/>
    <n v="1623.94"/>
    <n v="1623.94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306 Alimentación"/>
    <s v="G/510306/1NA101"/>
    <s v="002"/>
    <n v="17952"/>
    <n v="0"/>
    <n v="-6716"/>
    <n v="11236"/>
    <n v="0"/>
    <n v="11236"/>
    <n v="11236"/>
    <n v="0"/>
    <n v="0"/>
    <n v="0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306 Alimentación"/>
    <s v="G/510306/1FA101"/>
    <s v="001"/>
    <n v="0"/>
    <n v="0"/>
    <n v="1637.37"/>
    <n v="1637.37"/>
    <n v="0"/>
    <n v="784"/>
    <n v="784"/>
    <n v="853.37"/>
    <n v="853.37"/>
    <n v="853.37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306 Alimentación"/>
    <s v="G/510306/1LA101"/>
    <s v="001"/>
    <n v="0"/>
    <n v="0"/>
    <n v="525.66"/>
    <n v="525.66"/>
    <n v="0"/>
    <n v="152"/>
    <n v="152"/>
    <n v="373.66"/>
    <n v="373.66"/>
    <n v="373.66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306 Alimentación"/>
    <s v="G/510306/1IA101"/>
    <s v="002"/>
    <n v="29568"/>
    <n v="0"/>
    <n v="-13868"/>
    <n v="15700"/>
    <n v="0"/>
    <n v="15700"/>
    <n v="15700"/>
    <n v="0"/>
    <n v="0"/>
    <n v="0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306 Alimentación"/>
    <s v="G/510306/1IA101"/>
    <s v="001"/>
    <n v="0"/>
    <n v="2400"/>
    <n v="880.46"/>
    <n v="3280.46"/>
    <n v="0"/>
    <n v="1900"/>
    <n v="1900"/>
    <n v="1380.46"/>
    <n v="1380.46"/>
    <n v="1380.46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306 Alimentación"/>
    <s v="G/510306/1GA101"/>
    <s v="001"/>
    <n v="0"/>
    <n v="0"/>
    <n v="1839.31"/>
    <n v="1839.31"/>
    <n v="0"/>
    <n v="760"/>
    <n v="760"/>
    <n v="1079.31"/>
    <n v="1079.31"/>
    <n v="1079.31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306 Alimentación"/>
    <s v="G/510306/1BA101"/>
    <s v="002"/>
    <n v="5280"/>
    <n v="0"/>
    <n v="-1312"/>
    <n v="3968"/>
    <n v="0"/>
    <n v="3968"/>
    <n v="3968"/>
    <n v="0"/>
    <n v="0"/>
    <n v="0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306 Alimentación"/>
    <s v="G/510306/1GA101"/>
    <s v="002"/>
    <n v="12672"/>
    <n v="0"/>
    <n v="-7196"/>
    <n v="5476"/>
    <n v="0"/>
    <n v="5476"/>
    <n v="5476"/>
    <n v="0"/>
    <n v="0"/>
    <n v="0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306 Alimentación"/>
    <s v="G/510306/1FA101"/>
    <s v="001"/>
    <n v="0"/>
    <n v="300"/>
    <n v="3814.34"/>
    <n v="4114.34"/>
    <n v="0"/>
    <n v="2056"/>
    <n v="2056"/>
    <n v="2058.34"/>
    <n v="2058.34"/>
    <n v="2058.34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306 Alimentación"/>
    <s v="G/510306/1PA101"/>
    <s v="002"/>
    <n v="1056"/>
    <n v="1286"/>
    <n v="-1502"/>
    <n v="840"/>
    <n v="0"/>
    <n v="840"/>
    <n v="840"/>
    <n v="0"/>
    <n v="0"/>
    <n v="0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306 Alimentación"/>
    <s v="G/510306/1KA101"/>
    <s v="001"/>
    <n v="0"/>
    <n v="160"/>
    <n v="613.30999999999995"/>
    <n v="773.31"/>
    <n v="0"/>
    <n v="380"/>
    <n v="380"/>
    <n v="393.31"/>
    <n v="393.31"/>
    <n v="393.31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306 Alimentación"/>
    <s v="G/510306/1IA101"/>
    <s v="001"/>
    <n v="0"/>
    <n v="0"/>
    <n v="315.77"/>
    <n v="315.77"/>
    <n v="0"/>
    <n v="152"/>
    <n v="152"/>
    <n v="163.77000000000001"/>
    <n v="163.77000000000001"/>
    <n v="163.77000000000001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306 Alimentación"/>
    <s v="G/510306/1KA101"/>
    <s v="002"/>
    <n v="7392"/>
    <n v="0"/>
    <n v="-3836"/>
    <n v="3556"/>
    <n v="0"/>
    <n v="3556"/>
    <n v="3556"/>
    <n v="0"/>
    <n v="0"/>
    <n v="0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401 Por Cargas Familiares"/>
    <s v="G/510401/1NA101"/>
    <s v="001"/>
    <n v="0"/>
    <n v="0"/>
    <n v="245.37"/>
    <n v="245.37"/>
    <n v="0"/>
    <n v="36"/>
    <n v="36"/>
    <n v="209.37"/>
    <n v="209.37"/>
    <n v="209.37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401 Por Cargas Familiares"/>
    <s v="G/510401/1FA101"/>
    <s v="001"/>
    <n v="0"/>
    <n v="50"/>
    <n v="0"/>
    <n v="50"/>
    <n v="0"/>
    <n v="24"/>
    <n v="24"/>
    <n v="26"/>
    <n v="26"/>
    <n v="26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401 Por Cargas Familiares"/>
    <s v="G/510401/1LA101"/>
    <s v="002"/>
    <n v="110.34"/>
    <n v="0"/>
    <n v="-110.34"/>
    <n v="0"/>
    <n v="0"/>
    <n v="0"/>
    <n v="0"/>
    <n v="0"/>
    <n v="0"/>
    <n v="0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401 Por Cargas Familiares"/>
    <s v="G/510401/1EA101"/>
    <s v="001"/>
    <n v="0"/>
    <n v="0"/>
    <n v="16.8"/>
    <n v="16.8"/>
    <n v="0"/>
    <n v="8"/>
    <n v="8"/>
    <n v="8.8000000000000007"/>
    <n v="8.8000000000000007"/>
    <n v="8.8000000000000007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401 Por Cargas Familiares"/>
    <s v="G/510401/1AA101"/>
    <s v="002"/>
    <n v="3811.75"/>
    <n v="0"/>
    <n v="-2911.75"/>
    <n v="900"/>
    <n v="0"/>
    <n v="900"/>
    <n v="900"/>
    <n v="0"/>
    <n v="0"/>
    <n v="0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401 Por Cargas Familiares"/>
    <s v="G/510401/1CA101"/>
    <s v="002"/>
    <n v="37.83"/>
    <n v="0"/>
    <n v="-37.83"/>
    <n v="0"/>
    <n v="0"/>
    <n v="0"/>
    <n v="0"/>
    <n v="0"/>
    <n v="0"/>
    <n v="0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401 Por Cargas Familiares"/>
    <s v="G/510401/1CA101"/>
    <s v="002"/>
    <n v="512.92999999999995"/>
    <n v="0"/>
    <n v="-512.92999999999995"/>
    <n v="0"/>
    <n v="0"/>
    <n v="0"/>
    <n v="0"/>
    <n v="0"/>
    <n v="0"/>
    <n v="0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401 Por Cargas Familiares"/>
    <s v="G/510401/1FA101"/>
    <s v="002"/>
    <n v="638.84"/>
    <n v="0"/>
    <n v="-558.84"/>
    <n v="80"/>
    <n v="0"/>
    <n v="80"/>
    <n v="80"/>
    <n v="0"/>
    <n v="0"/>
    <n v="0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401 Por Cargas Familiares"/>
    <s v="G/510401/1NA101"/>
    <s v="001"/>
    <n v="0"/>
    <n v="0"/>
    <n v="18.28"/>
    <n v="18.28"/>
    <n v="0"/>
    <n v="16"/>
    <n v="16"/>
    <n v="2.2799999999999998"/>
    <n v="2.2799999999999998"/>
    <n v="2.2799999999999998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401 Por Cargas Familiares"/>
    <s v="G/510401/1NA101"/>
    <s v="002"/>
    <n v="605.37"/>
    <n v="0"/>
    <n v="-245.37"/>
    <n v="360"/>
    <n v="0"/>
    <n v="360"/>
    <n v="360"/>
    <n v="0"/>
    <n v="0"/>
    <n v="0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401 Por Cargas Familiares"/>
    <s v="G/510401/1PA101"/>
    <s v="002"/>
    <n v="36.159999999999997"/>
    <n v="62.84"/>
    <n v="-19"/>
    <n v="80"/>
    <n v="0"/>
    <n v="80"/>
    <n v="80"/>
    <n v="0"/>
    <n v="0"/>
    <n v="0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401 Por Cargas Familiares"/>
    <s v="G/510401/1KA101"/>
    <s v="001"/>
    <n v="0"/>
    <n v="0"/>
    <n v="16.8"/>
    <n v="16.8"/>
    <n v="0"/>
    <n v="8"/>
    <n v="8"/>
    <n v="8.8000000000000007"/>
    <n v="8.8000000000000007"/>
    <n v="8.8000000000000007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401 Por Cargas Familiares"/>
    <s v="G/510401/1FA101"/>
    <s v="001"/>
    <n v="0"/>
    <n v="0"/>
    <n v="299.83"/>
    <n v="299.83"/>
    <n v="0"/>
    <n v="161"/>
    <n v="161"/>
    <n v="138.83000000000001"/>
    <n v="138.83000000000001"/>
    <n v="138.83000000000001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401 Por Cargas Familiares"/>
    <s v="G/510401/1MA101"/>
    <s v="001"/>
    <n v="0"/>
    <n v="0"/>
    <n v="655.13"/>
    <n v="655.13"/>
    <n v="0"/>
    <n v="40"/>
    <n v="40"/>
    <n v="615.13"/>
    <n v="615.13"/>
    <n v="615.13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401 Por Cargas Familiares"/>
    <s v="G/510401/1IA101"/>
    <s v="002"/>
    <n v="611.57000000000005"/>
    <n v="0"/>
    <n v="-571.57000000000005"/>
    <n v="40"/>
    <n v="0"/>
    <n v="40"/>
    <n v="40"/>
    <n v="0"/>
    <n v="0"/>
    <n v="0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401 Por Cargas Familiares"/>
    <s v="G/510401/2QA101"/>
    <s v="002"/>
    <n v="1274.01"/>
    <n v="-514.01"/>
    <n v="-564"/>
    <n v="196"/>
    <n v="0"/>
    <n v="196"/>
    <n v="196"/>
    <n v="0"/>
    <n v="0"/>
    <n v="0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401 Por Cargas Familiares"/>
    <s v="G/510401/1MA101"/>
    <s v="001"/>
    <n v="0"/>
    <n v="0"/>
    <n v="1239.18"/>
    <n v="1239.18"/>
    <n v="0"/>
    <n v="4"/>
    <n v="4"/>
    <n v="1235.18"/>
    <n v="1235.18"/>
    <n v="1235.18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401 Por Cargas Familiares"/>
    <s v="G/510401/1IA101"/>
    <s v="001"/>
    <n v="0"/>
    <n v="0"/>
    <n v="25.2"/>
    <n v="25.2"/>
    <n v="0"/>
    <n v="12"/>
    <n v="12"/>
    <n v="13.2"/>
    <n v="13.2"/>
    <n v="13.2"/>
  </r>
  <r>
    <s v="51"/>
    <x v="3"/>
    <x v="11"/>
    <s v="ZA01H000"/>
    <x v="19"/>
    <s v="A101"/>
    <s v="FORTALECIMIENTO INSTITUCIONAL"/>
    <s v="GC00A10100004D"/>
    <s v="GC00A10100004D REMUNERACION PERSONAL"/>
    <s v="51 GASTOS EN PERSONAL"/>
    <s v="510401 Por Cargas Familiares"/>
    <s v="G/510401/1HA101"/>
    <s v="002"/>
    <n v="75.08"/>
    <n v="-75.08"/>
    <n v="0"/>
    <n v="0"/>
    <n v="0"/>
    <n v="0"/>
    <n v="0"/>
    <n v="0"/>
    <n v="0"/>
    <n v="0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401 Por Cargas Familiares"/>
    <s v="G/510401/1KA101"/>
    <s v="002"/>
    <n v="257.55"/>
    <n v="0"/>
    <n v="-177.55"/>
    <n v="80"/>
    <n v="0"/>
    <n v="80"/>
    <n v="80"/>
    <n v="0"/>
    <n v="0"/>
    <n v="0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401 Por Cargas Familiares"/>
    <s v="G/510401/1KA101"/>
    <s v="002"/>
    <n v="72.58"/>
    <n v="0"/>
    <n v="-72.58"/>
    <n v="0"/>
    <n v="0"/>
    <n v="0"/>
    <n v="0"/>
    <n v="0"/>
    <n v="0"/>
    <n v="0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401 Por Cargas Familiares"/>
    <s v="G/510401/1FA101"/>
    <s v="001"/>
    <n v="0"/>
    <n v="0"/>
    <n v="42"/>
    <n v="42"/>
    <n v="0"/>
    <n v="28"/>
    <n v="28"/>
    <n v="14"/>
    <n v="14"/>
    <n v="14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401 Por Cargas Familiares"/>
    <s v="G/510401/1PA101"/>
    <s v="001"/>
    <n v="0"/>
    <n v="0"/>
    <n v="19"/>
    <n v="19"/>
    <n v="0"/>
    <n v="8"/>
    <n v="8"/>
    <n v="11"/>
    <n v="11"/>
    <n v="11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401 Por Cargas Familiares"/>
    <s v="G/510401/1IA101"/>
    <s v="001"/>
    <n v="0"/>
    <n v="0"/>
    <n v="16.8"/>
    <n v="16.8"/>
    <n v="0"/>
    <n v="8"/>
    <n v="8"/>
    <n v="8.8000000000000007"/>
    <n v="8.8000000000000007"/>
    <n v="8.8000000000000007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401 Por Cargas Familiares"/>
    <s v="G/510401/1IA101"/>
    <s v="002"/>
    <n v="147.51"/>
    <n v="0"/>
    <n v="-27.51"/>
    <n v="120"/>
    <n v="0"/>
    <n v="120"/>
    <n v="120"/>
    <n v="0"/>
    <n v="0"/>
    <n v="0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401 Por Cargas Familiares"/>
    <s v="G/510401/1CA101"/>
    <s v="001"/>
    <n v="0"/>
    <n v="0"/>
    <n v="93.77"/>
    <n v="93.77"/>
    <n v="0"/>
    <n v="28"/>
    <n v="28"/>
    <n v="65.77"/>
    <n v="65.77"/>
    <n v="65.77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401 Por Cargas Familiares"/>
    <s v="G/510401/1FA101"/>
    <s v="002"/>
    <n v="305.01"/>
    <n v="0"/>
    <n v="-225.01"/>
    <n v="80"/>
    <n v="0"/>
    <n v="80"/>
    <n v="80"/>
    <n v="0"/>
    <n v="0"/>
    <n v="0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401 Por Cargas Familiares"/>
    <s v="G/510401/1GA101"/>
    <s v="002"/>
    <n v="480.34"/>
    <n v="0"/>
    <n v="-460.34"/>
    <n v="20"/>
    <n v="0"/>
    <n v="20"/>
    <n v="20"/>
    <n v="0"/>
    <n v="0"/>
    <n v="0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401 Por Cargas Familiares"/>
    <s v="G/510401/1FA101"/>
    <s v="001"/>
    <n v="0"/>
    <n v="0"/>
    <n v="16.8"/>
    <n v="16.8"/>
    <n v="0"/>
    <n v="16"/>
    <n v="16"/>
    <n v="0.8"/>
    <n v="0.8"/>
    <n v="0.8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401 Por Cargas Familiares"/>
    <s v="G/510401/1MA101"/>
    <s v="001"/>
    <n v="0"/>
    <n v="0"/>
    <n v="566.79999999999995"/>
    <n v="566.79999999999995"/>
    <n v="0"/>
    <n v="20"/>
    <n v="20"/>
    <n v="546.79999999999995"/>
    <n v="546.79999999999995"/>
    <n v="546.79999999999995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401 Por Cargas Familiares"/>
    <s v="G/510401/1IA101"/>
    <s v="002"/>
    <n v="292.3"/>
    <n v="0"/>
    <n v="-212.3"/>
    <n v="80"/>
    <n v="0"/>
    <n v="80"/>
    <n v="80"/>
    <n v="0"/>
    <n v="0"/>
    <n v="0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401 Por Cargas Familiares"/>
    <s v="G/510401/1FA101"/>
    <s v="002"/>
    <n v="407.42"/>
    <n v="0"/>
    <n v="-407.42"/>
    <n v="0"/>
    <n v="0"/>
    <n v="0"/>
    <n v="0"/>
    <n v="0"/>
    <n v="0"/>
    <n v="0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401 Por Cargas Familiares"/>
    <s v="G/510401/1DA101"/>
    <s v="002"/>
    <n v="141.91"/>
    <n v="0"/>
    <n v="-141.91"/>
    <n v="0"/>
    <n v="0"/>
    <n v="0"/>
    <n v="0"/>
    <n v="0"/>
    <n v="0"/>
    <n v="0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401 Por Cargas Familiares"/>
    <s v="G/510401/1FA101"/>
    <s v="002"/>
    <n v="886.55"/>
    <n v="0"/>
    <n v="-886.55"/>
    <n v="0"/>
    <n v="0"/>
    <n v="0"/>
    <n v="0"/>
    <n v="0"/>
    <n v="0"/>
    <n v="0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401 Por Cargas Familiares"/>
    <s v="G/510401/1IA101"/>
    <s v="002"/>
    <n v="83.74"/>
    <n v="0"/>
    <n v="-35.74"/>
    <n v="48"/>
    <n v="0"/>
    <n v="48"/>
    <n v="48"/>
    <n v="0"/>
    <n v="0"/>
    <n v="0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401 Por Cargas Familiares"/>
    <s v="G/510401/1BA101"/>
    <s v="002"/>
    <n v="184.73"/>
    <n v="0"/>
    <n v="-144.72999999999999"/>
    <n v="40"/>
    <n v="0"/>
    <n v="40"/>
    <n v="40"/>
    <n v="0"/>
    <n v="0"/>
    <n v="0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401 Por Cargas Familiares"/>
    <s v="G/510401/1GA101"/>
    <s v="001"/>
    <n v="0"/>
    <n v="0"/>
    <n v="14.57"/>
    <n v="14.57"/>
    <n v="0"/>
    <n v="0"/>
    <n v="0"/>
    <n v="14.57"/>
    <n v="14.57"/>
    <n v="14.57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401 Por Cargas Familiares"/>
    <s v="G/510401/1IA101"/>
    <s v="001"/>
    <n v="0"/>
    <n v="0"/>
    <n v="25.2"/>
    <n v="25.2"/>
    <n v="0"/>
    <n v="12"/>
    <n v="12"/>
    <n v="13.2"/>
    <n v="13.2"/>
    <n v="13.2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401 Por Cargas Familiares"/>
    <s v="G/510401/1IA101"/>
    <s v="002"/>
    <n v="162.29"/>
    <n v="0"/>
    <n v="-162.29"/>
    <n v="0"/>
    <n v="0"/>
    <n v="0"/>
    <n v="0"/>
    <n v="0"/>
    <n v="0"/>
    <n v="0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401 Por Cargas Familiares"/>
    <s v="G/510401/1FA101"/>
    <s v="001"/>
    <n v="0"/>
    <n v="0"/>
    <n v="16.8"/>
    <n v="16.8"/>
    <n v="0"/>
    <n v="8"/>
    <n v="8"/>
    <n v="8.8000000000000007"/>
    <n v="8.8000000000000007"/>
    <n v="8.8000000000000007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401 Por Cargas Familiares"/>
    <s v="G/510401/1FA101"/>
    <s v="002"/>
    <n v="422.27"/>
    <n v="0"/>
    <n v="-330.27"/>
    <n v="92"/>
    <n v="0"/>
    <n v="92"/>
    <n v="92"/>
    <n v="0"/>
    <n v="0"/>
    <n v="0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401 Por Cargas Familiares"/>
    <s v="G/510401/1AA101"/>
    <s v="001"/>
    <n v="0"/>
    <n v="0"/>
    <n v="199.37"/>
    <n v="199.37"/>
    <n v="0"/>
    <n v="84"/>
    <n v="84"/>
    <n v="115.37"/>
    <n v="115.37"/>
    <n v="115.37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401 Por Cargas Familiares"/>
    <s v="G/510401/1IA101"/>
    <s v="002"/>
    <n v="111.2"/>
    <n v="0"/>
    <n v="-31.2"/>
    <n v="80"/>
    <n v="0"/>
    <n v="80"/>
    <n v="80"/>
    <n v="0"/>
    <n v="0"/>
    <n v="0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401 Por Cargas Familiares"/>
    <s v="G/510401/1EA101"/>
    <s v="002"/>
    <n v="337.41"/>
    <n v="0"/>
    <n v="-257.41000000000003"/>
    <n v="80"/>
    <n v="0"/>
    <n v="80"/>
    <n v="80"/>
    <n v="0"/>
    <n v="0"/>
    <n v="0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401 Por Cargas Familiares"/>
    <s v="G/510401/1IA101"/>
    <s v="002"/>
    <n v="34.049999999999997"/>
    <n v="0"/>
    <n v="-34.049999999999997"/>
    <n v="0"/>
    <n v="0"/>
    <n v="0"/>
    <n v="0"/>
    <n v="0"/>
    <n v="0"/>
    <n v="0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401 Por Cargas Familiares"/>
    <s v="G/510401/1MA101"/>
    <s v="002"/>
    <n v="224.45"/>
    <n v="13.26"/>
    <n v="-237.71"/>
    <n v="0"/>
    <n v="0"/>
    <n v="0"/>
    <n v="0"/>
    <n v="0"/>
    <n v="0"/>
    <n v="0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401 Por Cargas Familiares"/>
    <s v="G/510401/1NA101"/>
    <s v="002"/>
    <n v="186.28"/>
    <n v="0"/>
    <n v="-18.28"/>
    <n v="168"/>
    <n v="0"/>
    <n v="168"/>
    <n v="168"/>
    <n v="0"/>
    <n v="0"/>
    <n v="0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401 Por Cargas Familiares"/>
    <s v="G/510401/1MA101"/>
    <s v="002"/>
    <n v="759.18"/>
    <n v="528"/>
    <n v="-1239.18"/>
    <n v="48"/>
    <n v="0"/>
    <n v="48"/>
    <n v="48"/>
    <n v="0"/>
    <n v="0"/>
    <n v="0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401 Por Cargas Familiares"/>
    <s v="G/510401/1IA101"/>
    <s v="001"/>
    <n v="0"/>
    <n v="0"/>
    <n v="16.8"/>
    <n v="16.8"/>
    <n v="0"/>
    <n v="8"/>
    <n v="8"/>
    <n v="8.8000000000000007"/>
    <n v="8.8000000000000007"/>
    <n v="8.8000000000000007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401 Por Cargas Familiares"/>
    <s v="G/510401/1IA101"/>
    <s v="001"/>
    <n v="0"/>
    <n v="0"/>
    <n v="8.4"/>
    <n v="8.4"/>
    <n v="0"/>
    <n v="4"/>
    <n v="4"/>
    <n v="4.4000000000000004"/>
    <n v="4.4000000000000004"/>
    <n v="4.4000000000000004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401 Por Cargas Familiares"/>
    <s v="G/510401/1IA101"/>
    <s v="002"/>
    <n v="172.39"/>
    <n v="0"/>
    <n v="-172.39"/>
    <n v="0"/>
    <n v="0"/>
    <n v="0"/>
    <n v="0"/>
    <n v="0"/>
    <n v="0"/>
    <n v="0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401 Por Cargas Familiares"/>
    <s v="G/510401/1CA101"/>
    <s v="002"/>
    <n v="849.14"/>
    <n v="0"/>
    <n v="-521.14"/>
    <n v="328"/>
    <n v="0"/>
    <n v="328"/>
    <n v="328"/>
    <n v="0"/>
    <n v="0"/>
    <n v="0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401 Por Cargas Familiares"/>
    <s v="G/510401/1MA101"/>
    <s v="002"/>
    <n v="572.05999999999995"/>
    <n v="250.74"/>
    <n v="-566.79999999999995"/>
    <n v="256"/>
    <n v="0"/>
    <n v="256"/>
    <n v="256"/>
    <n v="0"/>
    <n v="0"/>
    <n v="0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401 Por Cargas Familiares"/>
    <s v="G/510401/1MA101"/>
    <s v="002"/>
    <n v="791.13"/>
    <n v="264"/>
    <n v="-655.13"/>
    <n v="400"/>
    <n v="0"/>
    <n v="400"/>
    <n v="400"/>
    <n v="0"/>
    <n v="0"/>
    <n v="0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401 Por Cargas Familiares"/>
    <s v="G/510401/1FA101"/>
    <s v="001"/>
    <n v="0"/>
    <n v="0"/>
    <n v="73.03"/>
    <n v="73.03"/>
    <n v="0"/>
    <n v="32"/>
    <n v="32"/>
    <n v="41.03"/>
    <n v="41.03"/>
    <n v="41.03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401 Por Cargas Familiares"/>
    <s v="G/510401/1FA101"/>
    <s v="002"/>
    <n v="874.17"/>
    <n v="0"/>
    <n v="-546.16999999999996"/>
    <n v="328"/>
    <n v="0"/>
    <n v="328"/>
    <n v="328"/>
    <n v="0"/>
    <n v="0"/>
    <n v="0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401 Por Cargas Familiares"/>
    <s v="G/510401/1IA101"/>
    <s v="001"/>
    <n v="0"/>
    <n v="0"/>
    <n v="14.23"/>
    <n v="14.23"/>
    <n v="0"/>
    <n v="4"/>
    <n v="4"/>
    <n v="10.23"/>
    <n v="10.23"/>
    <n v="10.23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401 Por Cargas Familiares"/>
    <s v="G/510401/2QA101"/>
    <s v="001"/>
    <n v="0"/>
    <n v="0"/>
    <n v="564"/>
    <n v="564"/>
    <n v="0"/>
    <n v="16"/>
    <n v="16"/>
    <n v="548"/>
    <n v="548"/>
    <n v="548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401 Por Cargas Familiares"/>
    <s v="G/510401/1FA101"/>
    <s v="002"/>
    <n v="1913.79"/>
    <n v="0"/>
    <n v="-505.79"/>
    <n v="1408"/>
    <n v="0"/>
    <n v="1408"/>
    <n v="1408"/>
    <n v="0"/>
    <n v="0"/>
    <n v="0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401 Por Cargas Familiares"/>
    <s v="G/510401/1FA101"/>
    <s v="002"/>
    <n v="471.52"/>
    <n v="0"/>
    <n v="-271.52"/>
    <n v="200"/>
    <n v="0"/>
    <n v="200"/>
    <n v="200"/>
    <n v="0"/>
    <n v="0"/>
    <n v="0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401 Por Cargas Familiares"/>
    <s v="G/510401/1IA101"/>
    <s v="002"/>
    <n v="68.09"/>
    <n v="0"/>
    <n v="-68.09"/>
    <n v="0"/>
    <n v="0"/>
    <n v="0"/>
    <n v="0"/>
    <n v="0"/>
    <n v="0"/>
    <n v="0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401 Por Cargas Familiares"/>
    <s v="G/510401/1FA101"/>
    <s v="001"/>
    <n v="0"/>
    <n v="0"/>
    <n v="25.54"/>
    <n v="25.54"/>
    <n v="0"/>
    <n v="8"/>
    <n v="8"/>
    <n v="17.54"/>
    <n v="17.54"/>
    <n v="17.54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401 Por Cargas Familiares"/>
    <s v="G/510401/1MA101"/>
    <s v="001"/>
    <n v="0"/>
    <n v="0"/>
    <n v="237.71"/>
    <n v="237.71"/>
    <n v="0"/>
    <n v="0"/>
    <n v="0"/>
    <n v="237.71"/>
    <n v="237.71"/>
    <n v="237.71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401 Por Cargas Familiares"/>
    <s v="G/510401/1BA101"/>
    <s v="001"/>
    <n v="0"/>
    <n v="0"/>
    <n v="144.72999999999999"/>
    <n v="144.72999999999999"/>
    <n v="0"/>
    <n v="4"/>
    <n v="4"/>
    <n v="140.72999999999999"/>
    <n v="140.72999999999999"/>
    <n v="140.72999999999999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401 Por Cargas Familiares"/>
    <s v="G/510401/1IA101"/>
    <s v="002"/>
    <n v="1084.2"/>
    <n v="0"/>
    <n v="-964.2"/>
    <n v="120"/>
    <n v="0"/>
    <n v="120"/>
    <n v="120"/>
    <n v="0"/>
    <n v="0"/>
    <n v="0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408 Subsidio de Antigüedad"/>
    <s v="G/510408/1FA101"/>
    <s v="002"/>
    <n v="2533.64"/>
    <n v="0"/>
    <n v="-136.43"/>
    <n v="2397.21"/>
    <n v="0"/>
    <n v="2397.21"/>
    <n v="2397.21"/>
    <n v="0"/>
    <n v="0"/>
    <n v="0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408 Subsidio de Antigüedad"/>
    <s v="G/510408/1FA101"/>
    <s v="002"/>
    <n v="1830.06"/>
    <n v="220"/>
    <n v="-16.66"/>
    <n v="2033.4"/>
    <n v="0"/>
    <n v="2033.4"/>
    <n v="2033.4"/>
    <n v="0"/>
    <n v="0"/>
    <n v="0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408 Subsidio de Antigüedad"/>
    <s v="G/510408/1AA101"/>
    <s v="001"/>
    <n v="0"/>
    <n v="0"/>
    <n v="11156.21"/>
    <n v="11156.21"/>
    <n v="0"/>
    <n v="2298.33"/>
    <n v="2298.33"/>
    <n v="8857.8799999999992"/>
    <n v="8857.8799999999992"/>
    <n v="8857.8799999999992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408 Subsidio de Antigüedad"/>
    <s v="G/510408/1MA101"/>
    <s v="002"/>
    <n v="1346.71"/>
    <n v="82.82"/>
    <n v="-281.89"/>
    <n v="1147.6400000000001"/>
    <n v="0"/>
    <n v="1147.6400000000001"/>
    <n v="1147.6400000000001"/>
    <n v="0"/>
    <n v="0"/>
    <n v="0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408 Subsidio de Antigüedad"/>
    <s v="G/510408/1CA101"/>
    <s v="002"/>
    <n v="5094.8599999999997"/>
    <n v="0"/>
    <n v="-991.27"/>
    <n v="4103.59"/>
    <n v="0"/>
    <n v="4103.59"/>
    <n v="4103.59"/>
    <n v="0"/>
    <n v="0"/>
    <n v="0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408 Subsidio de Antigüedad"/>
    <s v="G/510408/1CA101"/>
    <s v="002"/>
    <n v="226.99"/>
    <n v="78"/>
    <n v="-52.79"/>
    <n v="252.2"/>
    <n v="0"/>
    <n v="252.2"/>
    <n v="252.2"/>
    <n v="0"/>
    <n v="0"/>
    <n v="0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408 Subsidio de Antigüedad"/>
    <s v="G/510408/1CA101"/>
    <s v="001"/>
    <n v="0"/>
    <n v="0"/>
    <n v="52.79"/>
    <n v="52.79"/>
    <n v="0"/>
    <n v="25.22"/>
    <n v="25.22"/>
    <n v="27.57"/>
    <n v="27.57"/>
    <n v="27.57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408 Subsidio de Antigüedad"/>
    <s v="G/510408/1FA101"/>
    <s v="002"/>
    <n v="5245.01"/>
    <n v="1680"/>
    <n v="-1344.31"/>
    <n v="5580.7"/>
    <n v="0"/>
    <n v="5580.7"/>
    <n v="5580.7"/>
    <n v="0"/>
    <n v="0"/>
    <n v="0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408 Subsidio de Antigüedad"/>
    <s v="G/510408/1FA101"/>
    <s v="001"/>
    <n v="0"/>
    <n v="0"/>
    <n v="647.01"/>
    <n v="647.01"/>
    <n v="0"/>
    <n v="203.34"/>
    <n v="203.34"/>
    <n v="443.67"/>
    <n v="443.67"/>
    <n v="443.67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408 Subsidio de Antigüedad"/>
    <s v="G/510408/1EA101"/>
    <s v="002"/>
    <n v="2024.46"/>
    <n v="0"/>
    <n v="-19.16"/>
    <n v="2005.3"/>
    <n v="0"/>
    <n v="2005.3"/>
    <n v="2005.3"/>
    <n v="0"/>
    <n v="0"/>
    <n v="0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408 Subsidio de Antigüedad"/>
    <s v="G/510408/1FA101"/>
    <s v="001"/>
    <n v="0"/>
    <n v="0"/>
    <n v="2851.95"/>
    <n v="2851.95"/>
    <n v="0"/>
    <n v="558.07000000000005"/>
    <n v="558.07000000000005"/>
    <n v="2293.88"/>
    <n v="2293.88"/>
    <n v="2293.88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408 Subsidio de Antigüedad"/>
    <s v="G/510408/2QA101"/>
    <s v="002"/>
    <n v="7644.06"/>
    <n v="909.32"/>
    <n v="-1513.76"/>
    <n v="7039.62"/>
    <n v="0"/>
    <n v="7039.62"/>
    <n v="7039.62"/>
    <n v="0"/>
    <n v="0"/>
    <n v="0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408 Subsidio de Antigüedad"/>
    <s v="G/510408/1FA101"/>
    <s v="002"/>
    <n v="5319.27"/>
    <n v="0"/>
    <n v="-286.44"/>
    <n v="5032.83"/>
    <n v="0"/>
    <n v="5032.83"/>
    <n v="5032.83"/>
    <n v="0"/>
    <n v="0"/>
    <n v="0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408 Subsidio de Antigüedad"/>
    <s v="G/510408/1IA101"/>
    <s v="002"/>
    <n v="6505.21"/>
    <n v="1336"/>
    <n v="-1258.44"/>
    <n v="6582.77"/>
    <n v="0"/>
    <n v="6582.77"/>
    <n v="6582.77"/>
    <n v="0"/>
    <n v="0"/>
    <n v="0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408 Subsidio de Antigüedad"/>
    <s v="G/510408/1CA101"/>
    <s v="002"/>
    <n v="3077.59"/>
    <n v="-97.48"/>
    <n v="-690.45"/>
    <n v="2289.66"/>
    <n v="0"/>
    <n v="2289.66"/>
    <n v="2289.66"/>
    <n v="0"/>
    <n v="0"/>
    <n v="0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408 Subsidio de Antigüedad"/>
    <s v="G/510408/1FA101"/>
    <s v="001"/>
    <n v="0"/>
    <n v="0"/>
    <n v="1245.77"/>
    <n v="1245.77"/>
    <n v="0"/>
    <n v="466.86"/>
    <n v="466.86"/>
    <n v="778.91"/>
    <n v="778.91"/>
    <n v="778.91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408 Subsidio de Antigüedad"/>
    <s v="G/510408/1FA101"/>
    <s v="002"/>
    <n v="2444.5100000000002"/>
    <n v="0"/>
    <n v="-327.11"/>
    <n v="2117.4"/>
    <n v="0"/>
    <n v="2117.4"/>
    <n v="2117.4"/>
    <n v="0"/>
    <n v="0"/>
    <n v="0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408 Subsidio de Antigüedad"/>
    <s v="G/510408/1FA101"/>
    <s v="002"/>
    <n v="11482.71"/>
    <n v="0"/>
    <n v="-3272.97"/>
    <n v="8209.74"/>
    <n v="0"/>
    <n v="8209.74"/>
    <n v="8209.74"/>
    <n v="0"/>
    <n v="0"/>
    <n v="0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408 Subsidio de Antigüedad"/>
    <s v="G/510408/1FA101"/>
    <s v="001"/>
    <n v="0"/>
    <n v="40"/>
    <n v="1674.77"/>
    <n v="1714.77"/>
    <n v="0"/>
    <n v="845.47"/>
    <n v="845.47"/>
    <n v="869.3"/>
    <n v="869.3"/>
    <n v="869.3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408 Subsidio de Antigüedad"/>
    <s v="G/510408/1FA101"/>
    <s v="001"/>
    <n v="0"/>
    <n v="0"/>
    <n v="1651.5"/>
    <n v="1651.5"/>
    <n v="0"/>
    <n v="364.13"/>
    <n v="364.13"/>
    <n v="1287.3699999999999"/>
    <n v="1287.3699999999999"/>
    <n v="1287.3699999999999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408 Subsidio de Antigüedad"/>
    <s v="G/510408/1CA101"/>
    <s v="001"/>
    <n v="0"/>
    <n v="0"/>
    <n v="442.32"/>
    <n v="442.32"/>
    <n v="0"/>
    <n v="209.47"/>
    <n v="209.47"/>
    <n v="232.85"/>
    <n v="232.85"/>
    <n v="232.85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408 Subsidio de Antigüedad"/>
    <s v="G/510408/1FA101"/>
    <s v="002"/>
    <n v="2829.1"/>
    <n v="0"/>
    <n v="-226.54"/>
    <n v="2602.56"/>
    <n v="0"/>
    <n v="2602.56"/>
    <n v="2602.56"/>
    <n v="0"/>
    <n v="0"/>
    <n v="0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408 Subsidio de Antigüedad"/>
    <s v="G/510408/1FA101"/>
    <s v="001"/>
    <n v="0"/>
    <n v="0"/>
    <n v="444.65"/>
    <n v="444.65"/>
    <n v="0"/>
    <n v="211.74"/>
    <n v="211.74"/>
    <n v="232.91"/>
    <n v="232.91"/>
    <n v="232.91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408 Subsidio de Antigüedad"/>
    <s v="G/510408/1DA101"/>
    <s v="002"/>
    <n v="851.44"/>
    <n v="0"/>
    <n v="-618.74"/>
    <n v="232.7"/>
    <n v="0"/>
    <n v="232.7"/>
    <n v="232.7"/>
    <n v="0"/>
    <n v="0"/>
    <n v="0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408 Subsidio de Antigüedad"/>
    <s v="G/510408/1EA101"/>
    <s v="001"/>
    <n v="0"/>
    <n v="0"/>
    <n v="421.11"/>
    <n v="421.11"/>
    <n v="0"/>
    <n v="200.53"/>
    <n v="200.53"/>
    <n v="220.58"/>
    <n v="220.58"/>
    <n v="220.58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408 Subsidio de Antigüedad"/>
    <s v="G/510408/1FA101"/>
    <s v="002"/>
    <n v="3833.02"/>
    <n v="840"/>
    <n v="-786.38"/>
    <n v="3886.64"/>
    <n v="0"/>
    <n v="3886.64"/>
    <n v="3886.64"/>
    <n v="0"/>
    <n v="0"/>
    <n v="0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408 Subsidio de Antigüedad"/>
    <s v="G/510408/1GA101"/>
    <s v="002"/>
    <n v="2882.04"/>
    <n v="650"/>
    <n v="-494.19"/>
    <n v="3037.85"/>
    <n v="0"/>
    <n v="3037.85"/>
    <n v="3037.85"/>
    <n v="0"/>
    <n v="0"/>
    <n v="0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408 Subsidio de Antigüedad"/>
    <s v="G/510408/1BA101"/>
    <s v="001"/>
    <n v="0"/>
    <n v="0"/>
    <n v="224.94"/>
    <n v="224.94"/>
    <n v="0"/>
    <n v="111.06"/>
    <n v="111.06"/>
    <n v="113.88"/>
    <n v="113.88"/>
    <n v="113.88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408 Subsidio de Antigüedad"/>
    <s v="G/510408/2QA101"/>
    <s v="001"/>
    <n v="0"/>
    <n v="0"/>
    <n v="1513.76"/>
    <n v="1513.76"/>
    <n v="0"/>
    <n v="661.36"/>
    <n v="661.36"/>
    <n v="852.4"/>
    <n v="852.4"/>
    <n v="852.4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408 Subsidio de Antigüedad"/>
    <s v="G/510408/1IA101"/>
    <s v="002"/>
    <n v="973.73"/>
    <n v="330"/>
    <n v="-221.83"/>
    <n v="1081.9000000000001"/>
    <n v="0"/>
    <n v="1081.9000000000001"/>
    <n v="1081.9000000000001"/>
    <n v="0"/>
    <n v="0"/>
    <n v="0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408 Subsidio de Antigüedad"/>
    <s v="G/510408/1FA101"/>
    <s v="001"/>
    <n v="0"/>
    <n v="0"/>
    <n v="574.27"/>
    <n v="574.27"/>
    <n v="0"/>
    <n v="234.37"/>
    <n v="234.37"/>
    <n v="339.9"/>
    <n v="339.9"/>
    <n v="339.9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408 Subsidio de Antigüedad"/>
    <s v="G/510408/1LA101"/>
    <s v="002"/>
    <n v="662.05"/>
    <n v="0"/>
    <n v="-49.85"/>
    <n v="612.20000000000005"/>
    <n v="0"/>
    <n v="612.20000000000005"/>
    <n v="612.20000000000005"/>
    <n v="0"/>
    <n v="0"/>
    <n v="0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408 Subsidio de Antigüedad"/>
    <s v="G/510408/1MA101"/>
    <s v="002"/>
    <n v="4555.0600000000004"/>
    <n v="-47.12"/>
    <n v="-214.4"/>
    <n v="4293.54"/>
    <n v="0"/>
    <n v="4293.54"/>
    <n v="4293.54"/>
    <n v="0"/>
    <n v="0"/>
    <n v="0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408 Subsidio de Antigüedad"/>
    <s v="G/510408/1IA101"/>
    <s v="002"/>
    <n v="408.55"/>
    <n v="0"/>
    <n v="-147.47"/>
    <n v="261.08"/>
    <n v="0"/>
    <n v="261.08"/>
    <n v="261.08"/>
    <n v="0"/>
    <n v="0"/>
    <n v="0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408 Subsidio de Antigüedad"/>
    <s v="G/510408/1IA101"/>
    <s v="001"/>
    <n v="0"/>
    <n v="110"/>
    <n v="25.09"/>
    <n v="135.09"/>
    <n v="0"/>
    <n v="64.209999999999994"/>
    <n v="64.209999999999994"/>
    <n v="70.88"/>
    <n v="70.88"/>
    <n v="70.88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408 Subsidio de Antigüedad"/>
    <s v="G/510408/1IA101"/>
    <s v="001"/>
    <n v="0"/>
    <n v="100"/>
    <n v="508.85"/>
    <n v="608.85"/>
    <n v="0"/>
    <n v="299.49"/>
    <n v="299.49"/>
    <n v="309.36"/>
    <n v="309.36"/>
    <n v="309.36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408 Subsidio de Antigüedad"/>
    <s v="G/510408/1DA101"/>
    <s v="001"/>
    <n v="0"/>
    <n v="30"/>
    <n v="38.56"/>
    <n v="68.56"/>
    <n v="0"/>
    <n v="26.25"/>
    <n v="26.25"/>
    <n v="42.31"/>
    <n v="42.31"/>
    <n v="42.31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408 Subsidio de Antigüedad"/>
    <s v="G/510408/1MA101"/>
    <s v="001"/>
    <n v="0"/>
    <n v="20"/>
    <n v="281.89"/>
    <n v="301.89"/>
    <n v="0"/>
    <n v="149.97999999999999"/>
    <n v="149.97999999999999"/>
    <n v="151.91"/>
    <n v="151.91"/>
    <n v="151.91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408 Subsidio de Antigüedad"/>
    <s v="G/510408/1KA101"/>
    <s v="001"/>
    <n v="0"/>
    <n v="0"/>
    <n v="237.8"/>
    <n v="237.8"/>
    <n v="0"/>
    <n v="93.37"/>
    <n v="93.37"/>
    <n v="144.43"/>
    <n v="144.43"/>
    <n v="144.43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408 Subsidio de Antigüedad"/>
    <s v="G/510408/1IA101"/>
    <s v="001"/>
    <n v="0"/>
    <n v="0"/>
    <n v="2882.72"/>
    <n v="2882.72"/>
    <n v="0"/>
    <n v="627.96"/>
    <n v="627.96"/>
    <n v="2254.7600000000002"/>
    <n v="2254.7600000000002"/>
    <n v="2254.7600000000002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408 Subsidio de Antigüedad"/>
    <s v="G/510408/1GA101"/>
    <s v="001"/>
    <n v="0"/>
    <n v="0"/>
    <n v="1512.14"/>
    <n v="1512.14"/>
    <n v="0"/>
    <n v="293.58"/>
    <n v="293.58"/>
    <n v="1218.56"/>
    <n v="1218.56"/>
    <n v="1218.56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408 Subsidio de Antigüedad"/>
    <s v="G/510408/1NA101"/>
    <s v="002"/>
    <n v="1117.68"/>
    <n v="375"/>
    <n v="-250.88"/>
    <n v="1241.8"/>
    <n v="0"/>
    <n v="1241.8"/>
    <n v="1241.8"/>
    <n v="0"/>
    <n v="0"/>
    <n v="0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408 Subsidio de Antigüedad"/>
    <s v="G/510408/1MA101"/>
    <s v="001"/>
    <n v="0"/>
    <n v="0"/>
    <n v="2238.23"/>
    <n v="2238.23"/>
    <n v="0"/>
    <n v="461.63"/>
    <n v="461.63"/>
    <n v="1776.6"/>
    <n v="1776.6"/>
    <n v="1776.6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408 Subsidio de Antigüedad"/>
    <s v="G/510408/1IA101"/>
    <s v="001"/>
    <n v="0"/>
    <n v="70"/>
    <n v="40.58"/>
    <n v="110.58"/>
    <n v="0"/>
    <n v="47.32"/>
    <n v="47.32"/>
    <n v="63.26"/>
    <n v="63.26"/>
    <n v="63.26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408 Subsidio de Antigüedad"/>
    <s v="G/510408/1IA101"/>
    <s v="001"/>
    <n v="0"/>
    <n v="0"/>
    <n v="406.1"/>
    <n v="406.1"/>
    <n v="0"/>
    <n v="194.87"/>
    <n v="194.87"/>
    <n v="211.23"/>
    <n v="211.23"/>
    <n v="211.23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408 Subsidio de Antigüedad"/>
    <s v="G/510408/1NA101"/>
    <s v="002"/>
    <n v="3632.23"/>
    <n v="0"/>
    <n v="-918.86"/>
    <n v="2713.37"/>
    <n v="0"/>
    <n v="2713.37"/>
    <n v="2713.37"/>
    <n v="0"/>
    <n v="0"/>
    <n v="0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408 Subsidio de Antigüedad"/>
    <s v="G/510408/1MA101"/>
    <s v="001"/>
    <n v="0"/>
    <n v="600"/>
    <n v="214.4"/>
    <n v="814.4"/>
    <n v="0"/>
    <n v="380.43"/>
    <n v="380.43"/>
    <n v="433.97"/>
    <n v="433.97"/>
    <n v="433.97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408 Subsidio de Antigüedad"/>
    <s v="G/510408/1MA101"/>
    <s v="001"/>
    <n v="0"/>
    <n v="150"/>
    <n v="413.37"/>
    <n v="563.37"/>
    <n v="0"/>
    <n v="277.02"/>
    <n v="277.02"/>
    <n v="286.35000000000002"/>
    <n v="286.35000000000002"/>
    <n v="286.35000000000002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408 Subsidio de Antigüedad"/>
    <s v="G/510408/1IA101"/>
    <s v="001"/>
    <n v="0"/>
    <n v="10"/>
    <n v="47.95"/>
    <n v="57.95"/>
    <n v="0"/>
    <n v="28.38"/>
    <n v="28.38"/>
    <n v="29.57"/>
    <n v="29.57"/>
    <n v="29.57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408 Subsidio de Antigüedad"/>
    <s v="G/510408/1IA101"/>
    <s v="001"/>
    <n v="0"/>
    <n v="0"/>
    <n v="221.83"/>
    <n v="221.83"/>
    <n v="0"/>
    <n v="108.19"/>
    <n v="108.19"/>
    <n v="113.64"/>
    <n v="113.64"/>
    <n v="113.64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408 Subsidio de Antigüedad"/>
    <s v="G/510408/1MA101"/>
    <s v="002"/>
    <n v="3432.33"/>
    <n v="-53.24"/>
    <n v="-413.37"/>
    <n v="2965.72"/>
    <n v="0"/>
    <n v="2965.72"/>
    <n v="2965.72"/>
    <n v="0"/>
    <n v="0"/>
    <n v="0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408 Subsidio de Antigüedad"/>
    <s v="G/510408/1IA101"/>
    <s v="001"/>
    <n v="0"/>
    <n v="10"/>
    <n v="23.98"/>
    <n v="33.979999999999997"/>
    <n v="0"/>
    <n v="14.19"/>
    <n v="14.19"/>
    <n v="19.79"/>
    <n v="19.79"/>
    <n v="19.79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408 Subsidio de Antigüedad"/>
    <s v="G/510408/1IA101"/>
    <s v="001"/>
    <n v="0"/>
    <n v="0"/>
    <n v="230.12"/>
    <n v="230.12"/>
    <n v="0"/>
    <n v="81.790000000000006"/>
    <n v="81.790000000000006"/>
    <n v="148.33000000000001"/>
    <n v="148.33000000000001"/>
    <n v="148.33000000000001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408 Subsidio de Antigüedad"/>
    <s v="G/510408/1IA101"/>
    <s v="002"/>
    <n v="667.19"/>
    <n v="0"/>
    <n v="-25.09"/>
    <n v="642.1"/>
    <n v="0"/>
    <n v="642.1"/>
    <n v="642.1"/>
    <n v="0"/>
    <n v="0"/>
    <n v="0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408 Subsidio de Antigüedad"/>
    <s v="G/510408/1IA101"/>
    <s v="001"/>
    <n v="0"/>
    <n v="0"/>
    <n v="217.58"/>
    <n v="217.58"/>
    <n v="0"/>
    <n v="98.35"/>
    <n v="98.35"/>
    <n v="119.23"/>
    <n v="119.23"/>
    <n v="119.23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408 Subsidio de Antigüedad"/>
    <s v="G/510408/1LA101"/>
    <s v="001"/>
    <n v="0"/>
    <n v="0"/>
    <n v="192.55"/>
    <n v="192.55"/>
    <n v="0"/>
    <n v="48.88"/>
    <n v="48.88"/>
    <n v="143.66999999999999"/>
    <n v="143.66999999999999"/>
    <n v="143.66999999999999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408 Subsidio de Antigüedad"/>
    <s v="G/510408/1CA101"/>
    <s v="001"/>
    <n v="0"/>
    <n v="0"/>
    <n v="885.65"/>
    <n v="885.65"/>
    <n v="0"/>
    <n v="405.75"/>
    <n v="405.75"/>
    <n v="479.9"/>
    <n v="479.9"/>
    <n v="479.9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408 Subsidio de Antigüedad"/>
    <s v="G/510408/1NA101"/>
    <s v="001"/>
    <n v="0"/>
    <n v="0"/>
    <n v="918.86"/>
    <n v="918.86"/>
    <n v="0"/>
    <n v="274.95999999999998"/>
    <n v="274.95999999999998"/>
    <n v="643.9"/>
    <n v="643.9"/>
    <n v="643.9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408 Subsidio de Antigüedad"/>
    <s v="G/510408/1IA101"/>
    <s v="002"/>
    <n v="1034.32"/>
    <n v="345"/>
    <n v="-230.12"/>
    <n v="1149.2"/>
    <n v="0"/>
    <n v="1149.2"/>
    <n v="1149.2"/>
    <n v="0"/>
    <n v="0"/>
    <n v="0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408 Subsidio de Antigüedad"/>
    <s v="G/510408/1KA101"/>
    <s v="002"/>
    <n v="1545.3"/>
    <n v="0"/>
    <n v="-466.93"/>
    <n v="1078.3699999999999"/>
    <n v="0"/>
    <n v="1078.3699999999999"/>
    <n v="1078.3699999999999"/>
    <n v="0"/>
    <n v="0"/>
    <n v="0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408 Subsidio de Antigüedad"/>
    <s v="G/510408/1IA101"/>
    <s v="002"/>
    <n v="3669.4"/>
    <n v="0"/>
    <n v="-508.85"/>
    <n v="3160.55"/>
    <n v="0"/>
    <n v="3160.55"/>
    <n v="3160.55"/>
    <n v="0"/>
    <n v="0"/>
    <n v="0"/>
  </r>
  <r>
    <s v="51"/>
    <x v="3"/>
    <x v="11"/>
    <s v="ZA01H000"/>
    <x v="19"/>
    <s v="A101"/>
    <s v="FORTALECIMIENTO INSTITUCIONAL"/>
    <s v="GC00A10100004D"/>
    <s v="GC00A10100004D REMUNERACION PERSONAL"/>
    <s v="51 GASTOS EN PERSONAL"/>
    <s v="510408 Subsidio de Antigüedad"/>
    <s v="G/510408/1HA101"/>
    <s v="002"/>
    <n v="450.48"/>
    <n v="-450.48"/>
    <n v="0"/>
    <n v="0"/>
    <n v="0"/>
    <n v="0"/>
    <n v="0"/>
    <n v="0"/>
    <n v="0"/>
    <n v="0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408 Subsidio de Antigüedad"/>
    <s v="G/510408/1FA101"/>
    <s v="001"/>
    <n v="0"/>
    <n v="0"/>
    <n v="607.97"/>
    <n v="607.97"/>
    <n v="0"/>
    <n v="249.98"/>
    <n v="249.98"/>
    <n v="357.99"/>
    <n v="357.99"/>
    <n v="357.99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408 Subsidio de Antigüedad"/>
    <s v="G/510408/1IA101"/>
    <s v="002"/>
    <n v="885.08"/>
    <n v="316"/>
    <n v="-217.58"/>
    <n v="983.5"/>
    <n v="0"/>
    <n v="983.5"/>
    <n v="983.5"/>
    <n v="0"/>
    <n v="0"/>
    <n v="0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408 Subsidio de Antigüedad"/>
    <s v="G/510408/1NA101"/>
    <s v="001"/>
    <n v="0"/>
    <n v="0"/>
    <n v="250.88"/>
    <n v="250.88"/>
    <n v="0"/>
    <n v="124.18"/>
    <n v="124.18"/>
    <n v="126.7"/>
    <n v="126.7"/>
    <n v="126.7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408 Subsidio de Antigüedad"/>
    <s v="G/510408/1PA101"/>
    <s v="001"/>
    <n v="0"/>
    <n v="0"/>
    <n v="51.88"/>
    <n v="51.88"/>
    <n v="0"/>
    <n v="24.11"/>
    <n v="24.11"/>
    <n v="27.77"/>
    <n v="27.77"/>
    <n v="27.77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408 Subsidio de Antigüedad"/>
    <s v="G/510408/1BA101"/>
    <s v="002"/>
    <n v="1108.3900000000001"/>
    <n v="227.15"/>
    <n v="-224.94"/>
    <n v="1110.5999999999999"/>
    <n v="0"/>
    <n v="1110.5999999999999"/>
    <n v="1110.5999999999999"/>
    <n v="0"/>
    <n v="0"/>
    <n v="0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408 Subsidio de Antigüedad"/>
    <s v="G/510408/1KA101"/>
    <s v="002"/>
    <n v="435.48"/>
    <n v="20"/>
    <n v="-262"/>
    <n v="193.48"/>
    <n v="0"/>
    <n v="193.48"/>
    <n v="193.48"/>
    <n v="0"/>
    <n v="0"/>
    <n v="0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408 Subsidio de Antigüedad"/>
    <s v="G/510408/1AA101"/>
    <s v="002"/>
    <n v="22870.53"/>
    <n v="5897.48"/>
    <n v="-4790.24"/>
    <n v="23977.77"/>
    <n v="0"/>
    <n v="23977.77"/>
    <n v="23977.77"/>
    <n v="0"/>
    <n v="0"/>
    <n v="0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408 Subsidio de Antigüedad"/>
    <s v="G/510408/1IA101"/>
    <s v="002"/>
    <n v="1753.8"/>
    <n v="601"/>
    <n v="-406.1"/>
    <n v="1948.7"/>
    <n v="0"/>
    <n v="1948.7"/>
    <n v="1948.7"/>
    <n v="0"/>
    <n v="0"/>
    <n v="0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408 Subsidio de Antigüedad"/>
    <s v="G/510408/1MA101"/>
    <s v="002"/>
    <n v="4746.79"/>
    <n v="1186.48"/>
    <n v="-1000.75"/>
    <n v="4932.5200000000004"/>
    <n v="0"/>
    <n v="4932.5200000000004"/>
    <n v="4932.5200000000004"/>
    <n v="0"/>
    <n v="0"/>
    <n v="0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408 Subsidio de Antigüedad"/>
    <s v="G/510408/1KA101"/>
    <s v="001"/>
    <n v="0"/>
    <n v="0"/>
    <n v="51.23"/>
    <n v="51.23"/>
    <n v="0"/>
    <n v="21.16"/>
    <n v="21.16"/>
    <n v="30.07"/>
    <n v="30.07"/>
    <n v="30.07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408 Subsidio de Antigüedad"/>
    <s v="G/510408/1PA101"/>
    <s v="002"/>
    <n v="216.98"/>
    <n v="76"/>
    <n v="-51.88"/>
    <n v="241.1"/>
    <n v="0"/>
    <n v="241.1"/>
    <n v="241.1"/>
    <n v="0"/>
    <n v="0"/>
    <n v="0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408 Subsidio de Antigüedad"/>
    <s v="G/510408/1IA101"/>
    <s v="002"/>
    <n v="502.42"/>
    <n v="0"/>
    <n v="-40.58"/>
    <n v="461.84"/>
    <n v="0"/>
    <n v="461.84"/>
    <n v="461.84"/>
    <n v="0"/>
    <n v="0"/>
    <n v="0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408 Subsidio de Antigüedad"/>
    <s v="G/510408/1IA101"/>
    <s v="002"/>
    <n v="204.27"/>
    <n v="0"/>
    <n v="-73.73"/>
    <n v="130.54"/>
    <n v="0"/>
    <n v="130.54"/>
    <n v="130.54"/>
    <n v="0"/>
    <n v="0"/>
    <n v="0"/>
  </r>
  <r>
    <s v="51"/>
    <x v="2"/>
    <x v="8"/>
    <s v="FS66P020"/>
    <x v="13"/>
    <s v="A101"/>
    <s v="FORTALECIMIENTO INSTITUCIONAL"/>
    <s v="GC00A10100004D"/>
    <s v="GC00A10100004D REMUNERACION PERSONAL"/>
    <s v="51 GASTOS EN PERSONAL"/>
    <s v="510507 Honorarios"/>
    <s v="G/510507/1PA101"/>
    <s v="002"/>
    <n v="3661.27"/>
    <n v="-1830.63"/>
    <n v="-1830.64"/>
    <n v="0"/>
    <n v="0"/>
    <n v="0"/>
    <n v="0"/>
    <n v="0"/>
    <n v="0"/>
    <n v="0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507 Honorarios"/>
    <s v="G/510507/1FA101"/>
    <s v="002"/>
    <n v="6160.25"/>
    <n v="4424.74"/>
    <n v="0"/>
    <n v="10584.99"/>
    <n v="0"/>
    <n v="10584.99"/>
    <n v="10584.99"/>
    <n v="0"/>
    <n v="0"/>
    <n v="0"/>
  </r>
  <r>
    <s v="51"/>
    <x v="2"/>
    <x v="7"/>
    <s v="RB34F010"/>
    <x v="31"/>
    <s v="A101"/>
    <s v="FORTALECIMIENTO INSTITUCIONAL"/>
    <s v="GC00A10100004D"/>
    <s v="GC00A10100004D REMUNERACION PERSONAL"/>
    <s v="51 GASTOS EN PERSONAL"/>
    <s v="510507 Honorarios"/>
    <s v="G/510507/1FA101"/>
    <s v="002"/>
    <n v="3782.44"/>
    <n v="1700"/>
    <n v="-15.78"/>
    <n v="5466.66"/>
    <n v="0"/>
    <n v="5466.66"/>
    <n v="5466.66"/>
    <n v="0"/>
    <n v="0"/>
    <n v="0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507 Honorarios"/>
    <s v="G/510507/1KA101"/>
    <s v="002"/>
    <n v="257002"/>
    <n v="0"/>
    <n v="-208543.44"/>
    <n v="48458.559999999998"/>
    <n v="0"/>
    <n v="48458.559999999998"/>
    <n v="48458.559999999998"/>
    <n v="0"/>
    <n v="0"/>
    <n v="0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507 Honorarios"/>
    <s v="G/510507/1CA101"/>
    <s v="002"/>
    <n v="1077.17"/>
    <n v="0"/>
    <n v="-674.77"/>
    <n v="402.4"/>
    <n v="0"/>
    <n v="402.4"/>
    <n v="402.4"/>
    <n v="0"/>
    <n v="0"/>
    <n v="0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507 Honorarios"/>
    <s v="G/510507/1FA101"/>
    <s v="002"/>
    <n v="3791.81"/>
    <n v="3510"/>
    <n v="-637.61"/>
    <n v="6664.2"/>
    <n v="0"/>
    <n v="6664.2"/>
    <n v="6664.2"/>
    <n v="0"/>
    <n v="0"/>
    <n v="0"/>
  </r>
  <r>
    <s v="51"/>
    <x v="0"/>
    <x v="0"/>
    <s v="RP36A010"/>
    <x v="0"/>
    <s v="A101"/>
    <s v="FORTALECIMIENTO INSTITUCIONAL"/>
    <s v="GC00A10100004D"/>
    <s v="GC00A10100004D REMUNERACION PERSONAL"/>
    <s v="51 GASTOS EN PERSONAL"/>
    <s v="510507 Honorarios"/>
    <s v="G/510507/1AA101"/>
    <s v="002"/>
    <n v="18457.03"/>
    <n v="0"/>
    <n v="-3714.44"/>
    <n v="14742.59"/>
    <n v="0"/>
    <n v="14742.59"/>
    <n v="14742.59"/>
    <n v="0"/>
    <n v="0"/>
    <n v="0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507 Honorarios"/>
    <s v="G/510507/1CA101"/>
    <s v="002"/>
    <n v="22033.47"/>
    <n v="5407.76"/>
    <n v="0"/>
    <n v="27441.23"/>
    <n v="0"/>
    <n v="27441.23"/>
    <n v="27441.23"/>
    <n v="0"/>
    <n v="0"/>
    <n v="0"/>
  </r>
  <r>
    <s v="51"/>
    <x v="0"/>
    <x v="1"/>
    <s v="ZA01C060"/>
    <x v="12"/>
    <s v="A101"/>
    <s v="FORTALECIMIENTO INSTITUCIONAL"/>
    <s v="GC00A10100004D"/>
    <s v="GC00A10100004D REMUNERACION PERSONAL"/>
    <s v="51 GASTOS EN PERSONAL"/>
    <s v="510507 Honorarios"/>
    <s v="G/510507/1CA101"/>
    <s v="002"/>
    <n v="1390.79"/>
    <n v="3125"/>
    <n v="-24.12"/>
    <n v="4491.67"/>
    <n v="0"/>
    <n v="4491.67"/>
    <n v="4491.67"/>
    <n v="0"/>
    <n v="0"/>
    <n v="0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507 Honorarios"/>
    <s v="G/510507/2QA101"/>
    <s v="001"/>
    <n v="0"/>
    <n v="0"/>
    <n v="5122.46"/>
    <n v="5122.46"/>
    <n v="0"/>
    <n v="0"/>
    <n v="0"/>
    <n v="5122.46"/>
    <n v="5122.46"/>
    <n v="5122.46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507 Honorarios"/>
    <s v="G/510507/1FA101"/>
    <s v="002"/>
    <n v="10035.540000000001"/>
    <n v="0"/>
    <n v="-4729.1000000000004"/>
    <n v="5306.44"/>
    <n v="0"/>
    <n v="5306.44"/>
    <n v="5306.44"/>
    <n v="0"/>
    <n v="0"/>
    <n v="0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507 Honorarios"/>
    <s v="G/510507/1IA101"/>
    <s v="002"/>
    <n v="3932.26"/>
    <n v="0"/>
    <n v="-3932.26"/>
    <n v="0"/>
    <n v="0"/>
    <n v="0"/>
    <n v="0"/>
    <n v="0"/>
    <n v="0"/>
    <n v="0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507 Honorarios"/>
    <s v="G/510507/1KA101"/>
    <s v="002"/>
    <n v="6094.01"/>
    <n v="0"/>
    <n v="-3737.21"/>
    <n v="2356.8000000000002"/>
    <n v="0"/>
    <n v="2356.8000000000002"/>
    <n v="2356.8000000000002"/>
    <n v="0"/>
    <n v="0"/>
    <n v="0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507 Honorarios"/>
    <s v="G/510507/1FA101"/>
    <s v="002"/>
    <n v="5618.63"/>
    <n v="9321.16"/>
    <n v="0"/>
    <n v="14939.79"/>
    <n v="0"/>
    <n v="14939.79"/>
    <n v="14939.79"/>
    <n v="0"/>
    <n v="0"/>
    <n v="0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507 Honorarios"/>
    <s v="G/510507/1AA101"/>
    <s v="002"/>
    <n v="44364.78"/>
    <n v="14872.37"/>
    <n v="-0.43"/>
    <n v="59236.72"/>
    <n v="0"/>
    <n v="59236.72"/>
    <n v="59236.72"/>
    <n v="0"/>
    <n v="0"/>
    <n v="0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507 Honorarios"/>
    <s v="G/510507/1EA101"/>
    <s v="002"/>
    <n v="5784.98"/>
    <n v="11044.95"/>
    <n v="-1.66"/>
    <n v="16828.27"/>
    <n v="0"/>
    <n v="16828.27"/>
    <n v="16828.27"/>
    <n v="0"/>
    <n v="0"/>
    <n v="0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507 Honorarios"/>
    <s v="G/510507/1IA101"/>
    <s v="002"/>
    <n v="2574.8200000000002"/>
    <n v="0"/>
    <n v="-2574.8200000000002"/>
    <n v="0"/>
    <n v="0"/>
    <n v="0"/>
    <n v="0"/>
    <n v="0"/>
    <n v="0"/>
    <n v="0"/>
  </r>
  <r>
    <s v="51"/>
    <x v="3"/>
    <x v="11"/>
    <s v="ZA01H000"/>
    <x v="19"/>
    <s v="A101"/>
    <s v="FORTALECIMIENTO INSTITUCIONAL"/>
    <s v="GC00A10100004D"/>
    <s v="GC00A10100004D REMUNERACION PERSONAL"/>
    <s v="51 GASTOS EN PERSONAL"/>
    <s v="510507 Honorarios"/>
    <s v="G/510507/1HA101"/>
    <s v="002"/>
    <n v="8804.9500000000007"/>
    <n v="-5204.95"/>
    <n v="0"/>
    <n v="3600"/>
    <n v="0"/>
    <n v="3600"/>
    <n v="3600"/>
    <n v="0"/>
    <n v="0"/>
    <n v="0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507 Honorarios"/>
    <s v="G/510507/1LA101"/>
    <s v="002"/>
    <n v="2154.48"/>
    <n v="11007.57"/>
    <n v="0"/>
    <n v="13162.05"/>
    <n v="0"/>
    <n v="13162.05"/>
    <n v="13162.05"/>
    <n v="0"/>
    <n v="0"/>
    <n v="0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507 Honorarios"/>
    <s v="G/510507/1PA101"/>
    <s v="002"/>
    <n v="8806.02"/>
    <n v="0"/>
    <n v="-1705.59"/>
    <n v="7100.43"/>
    <n v="0"/>
    <n v="7100.43"/>
    <n v="7100.43"/>
    <n v="0"/>
    <n v="0"/>
    <n v="0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507 Honorarios"/>
    <s v="G/510507/1MA101"/>
    <s v="001"/>
    <n v="0"/>
    <n v="0"/>
    <n v="3733.21"/>
    <n v="3733.21"/>
    <n v="0"/>
    <n v="0"/>
    <n v="0"/>
    <n v="3733.21"/>
    <n v="3733.21"/>
    <n v="3733.21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507 Honorarios"/>
    <s v="G/510507/1FA101"/>
    <s v="002"/>
    <n v="15161.78"/>
    <n v="0"/>
    <n v="-11811.78"/>
    <n v="3350"/>
    <n v="0"/>
    <n v="3350"/>
    <n v="3350"/>
    <n v="0"/>
    <n v="0"/>
    <n v="0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507 Honorarios"/>
    <s v="G/510507/1BA101"/>
    <s v="002"/>
    <n v="10426.629999999999"/>
    <n v="33627.35"/>
    <n v="-23220.92"/>
    <n v="20833.060000000001"/>
    <n v="0"/>
    <n v="20833.060000000001"/>
    <n v="20833.060000000001"/>
    <n v="0"/>
    <n v="0"/>
    <n v="0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507 Honorarios"/>
    <s v="G/510507/1KA101"/>
    <s v="001"/>
    <n v="0"/>
    <n v="0"/>
    <n v="1440.2"/>
    <n v="1440.2"/>
    <n v="0"/>
    <n v="0"/>
    <n v="0"/>
    <n v="1440.2"/>
    <n v="1440.2"/>
    <n v="1440.2"/>
  </r>
  <r>
    <s v="51"/>
    <x v="1"/>
    <x v="5"/>
    <s v="ZA01J000"/>
    <x v="8"/>
    <s v="A101"/>
    <s v="FORTALECIMIENTO INSTITUCIONAL"/>
    <s v="GC00A10100004D"/>
    <s v="GC00A10100004D REMUNERACION PERSONAL"/>
    <s v="51 GASTOS EN PERSONAL"/>
    <s v="510507 Honorarios"/>
    <s v="G/510507/1JA101"/>
    <s v="001"/>
    <n v="0"/>
    <n v="0"/>
    <n v="2808.93"/>
    <n v="2808.93"/>
    <n v="0"/>
    <n v="0"/>
    <n v="0"/>
    <n v="2808.93"/>
    <n v="2808.93"/>
    <n v="2808.93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507 Honorarios"/>
    <s v="G/510507/1IA101"/>
    <s v="001"/>
    <n v="0"/>
    <n v="0"/>
    <n v="28171.63"/>
    <n v="28171.63"/>
    <n v="0"/>
    <n v="0"/>
    <n v="0"/>
    <n v="28171.63"/>
    <n v="28171.63"/>
    <n v="28171.63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507 Honorarios"/>
    <s v="G/510507/1GA101"/>
    <s v="001"/>
    <n v="0"/>
    <n v="-5649.65"/>
    <n v="5649.65"/>
    <n v="0"/>
    <n v="0"/>
    <n v="0"/>
    <n v="0"/>
    <n v="0"/>
    <n v="0"/>
    <n v="0"/>
  </r>
  <r>
    <s v="51"/>
    <x v="2"/>
    <x v="7"/>
    <s v="ZA01F000"/>
    <x v="25"/>
    <s v="A101"/>
    <s v="FORTALECIMIENTO INSTITUCIONAL"/>
    <s v="GC00A10100004D"/>
    <s v="GC00A10100004D REMUNERACION PERSONAL"/>
    <s v="51 GASTOS EN PERSONAL"/>
    <s v="510507 Honorarios"/>
    <s v="G/510507/1FA101"/>
    <s v="001"/>
    <n v="0"/>
    <n v="0"/>
    <n v="13007.85"/>
    <n v="13007.85"/>
    <n v="0"/>
    <n v="0"/>
    <n v="0"/>
    <n v="13007.85"/>
    <n v="13007.85"/>
    <n v="13007.85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507 Honorarios"/>
    <s v="G/510507/1EA101"/>
    <s v="001"/>
    <n v="0"/>
    <n v="0"/>
    <n v="5279.63"/>
    <n v="5279.63"/>
    <n v="0"/>
    <n v="0"/>
    <n v="0"/>
    <n v="5279.63"/>
    <n v="5279.63"/>
    <n v="5279.63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507 Honorarios"/>
    <s v="G/510507/1DA101"/>
    <s v="001"/>
    <n v="0"/>
    <n v="0"/>
    <n v="4875.8900000000003"/>
    <n v="4875.8900000000003"/>
    <n v="0"/>
    <n v="0"/>
    <n v="0"/>
    <n v="4875.8900000000003"/>
    <n v="4875.8900000000003"/>
    <n v="4875.8900000000003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507 Honorarios"/>
    <s v="G/510507/1NA101"/>
    <s v="002"/>
    <n v="34227.129999999997"/>
    <n v="0"/>
    <n v="-27288.92"/>
    <n v="6938.21"/>
    <n v="0"/>
    <n v="6938.21"/>
    <n v="6938.21"/>
    <n v="0"/>
    <n v="0"/>
    <n v="0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507 Honorarios"/>
    <s v="G/510507/1IA101"/>
    <s v="002"/>
    <n v="1556.93"/>
    <n v="2535"/>
    <n v="-1559.23"/>
    <n v="2532.6999999999998"/>
    <n v="0"/>
    <n v="2532.6999999999998"/>
    <n v="2532.6999999999998"/>
    <n v="0"/>
    <n v="0"/>
    <n v="0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507 Honorarios"/>
    <s v="G/510507/1CA101"/>
    <s v="001"/>
    <n v="0"/>
    <n v="0"/>
    <n v="14224.69"/>
    <n v="14224.69"/>
    <n v="0"/>
    <n v="0"/>
    <n v="0"/>
    <n v="14224.69"/>
    <n v="14224.69"/>
    <n v="14224.69"/>
  </r>
  <r>
    <s v="51"/>
    <x v="0"/>
    <x v="1"/>
    <s v="ZA01C060"/>
    <x v="12"/>
    <s v="A101"/>
    <s v="FORTALECIMIENTO INSTITUCIONAL"/>
    <s v="GC00A10100004D"/>
    <s v="GC00A10100004D REMUNERACION PERSONAL"/>
    <s v="51 GASTOS EN PERSONAL"/>
    <s v="510507 Honorarios"/>
    <s v="G/510507/1CA101"/>
    <s v="001"/>
    <n v="0"/>
    <n v="0"/>
    <n v="1088.69"/>
    <n v="1088.69"/>
    <n v="0"/>
    <n v="0"/>
    <n v="0"/>
    <n v="1088.69"/>
    <n v="1088.69"/>
    <n v="1088.69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507 Honorarios"/>
    <s v="G/510507/1IA101"/>
    <s v="002"/>
    <n v="3824.9"/>
    <n v="0"/>
    <n v="-2136.4299999999998"/>
    <n v="1688.47"/>
    <n v="0"/>
    <n v="1688.47"/>
    <n v="1688.47"/>
    <n v="0"/>
    <n v="0"/>
    <n v="0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507 Honorarios"/>
    <s v="G/510507/1CA101"/>
    <s v="001"/>
    <n v="0"/>
    <n v="0"/>
    <n v="674.77"/>
    <n v="674.77"/>
    <n v="0"/>
    <n v="0"/>
    <n v="0"/>
    <n v="674.77"/>
    <n v="674.77"/>
    <n v="674.77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507 Honorarios"/>
    <s v="G/510507/1IA101"/>
    <s v="002"/>
    <n v="2796.77"/>
    <n v="0"/>
    <n v="-2197.64"/>
    <n v="599.13"/>
    <n v="0"/>
    <n v="599.13"/>
    <n v="599.13"/>
    <n v="0"/>
    <n v="0"/>
    <n v="0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507 Honorarios"/>
    <s v="G/510507/1CA101"/>
    <s v="001"/>
    <n v="0"/>
    <n v="0"/>
    <n v="8411.56"/>
    <n v="8411.56"/>
    <n v="0"/>
    <n v="0"/>
    <n v="0"/>
    <n v="8411.56"/>
    <n v="8411.56"/>
    <n v="8411.56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507 Honorarios"/>
    <s v="G/510507/1IA101"/>
    <s v="002"/>
    <n v="6639.29"/>
    <n v="0"/>
    <n v="-4896.3599999999997"/>
    <n v="1742.93"/>
    <n v="0"/>
    <n v="1742.93"/>
    <n v="1742.93"/>
    <n v="0"/>
    <n v="0"/>
    <n v="0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507 Honorarios"/>
    <s v="G/510507/1AA101"/>
    <s v="001"/>
    <n v="0"/>
    <n v="0"/>
    <n v="32921.040000000001"/>
    <n v="32921.040000000001"/>
    <n v="0"/>
    <n v="0"/>
    <n v="0"/>
    <n v="32921.040000000001"/>
    <n v="32921.040000000001"/>
    <n v="32921.040000000001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507 Honorarios"/>
    <s v="G/510507/1MA101"/>
    <s v="001"/>
    <n v="0"/>
    <n v="0"/>
    <n v="1470.67"/>
    <n v="1470.67"/>
    <n v="0"/>
    <n v="0"/>
    <n v="0"/>
    <n v="1470.67"/>
    <n v="1470.67"/>
    <n v="1470.67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507 Honorarios"/>
    <s v="G/510507/1IA101"/>
    <s v="002"/>
    <n v="2932.17"/>
    <n v="2210"/>
    <n v="-2936.27"/>
    <n v="2205.9"/>
    <n v="0"/>
    <n v="2205.9"/>
    <n v="2205.9"/>
    <n v="0"/>
    <n v="0"/>
    <n v="0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507 Honorarios"/>
    <s v="G/510507/1MA101"/>
    <s v="001"/>
    <n v="0"/>
    <n v="-2500"/>
    <n v="4125.07"/>
    <n v="1625.07"/>
    <n v="0"/>
    <n v="0"/>
    <n v="0"/>
    <n v="1625.07"/>
    <n v="1625.07"/>
    <n v="1625.07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507 Honorarios"/>
    <s v="G/510507/1IA101"/>
    <s v="002"/>
    <n v="5259.63"/>
    <n v="0"/>
    <n v="-2481.8200000000002"/>
    <n v="2777.81"/>
    <n v="0"/>
    <n v="2777.81"/>
    <n v="2777.81"/>
    <n v="0"/>
    <n v="0"/>
    <n v="0"/>
  </r>
  <r>
    <s v="51"/>
    <x v="2"/>
    <x v="7"/>
    <s v="TM68F100"/>
    <x v="36"/>
    <s v="A101"/>
    <s v="FORTALECIMIENTO INSTITUCIONAL"/>
    <s v="GC00A10100004D"/>
    <s v="GC00A10100004D REMUNERACION PERSONAL"/>
    <s v="51 GASTOS EN PERSONAL"/>
    <s v="510507 Honorarios"/>
    <s v="G/510507/1FA101"/>
    <s v="001"/>
    <n v="0"/>
    <n v="-20"/>
    <n v="1790.83"/>
    <n v="1770.83"/>
    <n v="0"/>
    <n v="0"/>
    <n v="0"/>
    <n v="1770.83"/>
    <n v="1770.83"/>
    <n v="1770.83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507 Honorarios"/>
    <s v="G/510507/1IA101"/>
    <s v="001"/>
    <n v="0"/>
    <n v="0"/>
    <n v="59.33"/>
    <n v="59.33"/>
    <n v="0"/>
    <n v="0"/>
    <n v="0"/>
    <n v="59.33"/>
    <n v="59.33"/>
    <n v="59.33"/>
  </r>
  <r>
    <s v="51"/>
    <x v="1"/>
    <x v="5"/>
    <s v="ZA01J000"/>
    <x v="8"/>
    <s v="A101"/>
    <s v="FORTALECIMIENTO INSTITUCIONAL"/>
    <s v="GC00A10100004D"/>
    <s v="GC00A10100004D REMUNERACION PERSONAL"/>
    <s v="51 GASTOS EN PERSONAL"/>
    <s v="510507 Honorarios"/>
    <s v="G/510507/1JA101"/>
    <s v="002"/>
    <n v="3825.77"/>
    <n v="0"/>
    <n v="-250.77"/>
    <n v="3575"/>
    <n v="0"/>
    <n v="3575"/>
    <n v="3575"/>
    <n v="0"/>
    <n v="0"/>
    <n v="0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507 Honorarios"/>
    <s v="G/510507/1IA101"/>
    <s v="002"/>
    <n v="17426.21"/>
    <n v="32667.33"/>
    <n v="-1.56"/>
    <n v="50091.98"/>
    <n v="0"/>
    <n v="50091.98"/>
    <n v="50091.98"/>
    <n v="0"/>
    <n v="0"/>
    <n v="0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507 Honorarios"/>
    <s v="G/510507/1MA101"/>
    <s v="002"/>
    <n v="4835.6899999999996"/>
    <n v="23764.14"/>
    <n v="-1.67"/>
    <n v="28598.16"/>
    <n v="0"/>
    <n v="28598.16"/>
    <n v="28598.16"/>
    <n v="0"/>
    <n v="0"/>
    <n v="0"/>
  </r>
  <r>
    <s v="51"/>
    <x v="0"/>
    <x v="0"/>
    <s v="RP36A010"/>
    <x v="0"/>
    <s v="A101"/>
    <s v="FORTALECIMIENTO INSTITUCIONAL"/>
    <s v="GC00A10100004D"/>
    <s v="GC00A10100004D REMUNERACION PERSONAL"/>
    <s v="51 GASTOS EN PERSONAL"/>
    <s v="510507 Honorarios"/>
    <s v="G/510507/1AA101"/>
    <s v="001"/>
    <n v="0"/>
    <n v="0"/>
    <n v="3714.44"/>
    <n v="3714.44"/>
    <n v="0"/>
    <n v="0"/>
    <n v="0"/>
    <n v="3714.44"/>
    <n v="3714.44"/>
    <n v="3714.44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507 Honorarios"/>
    <s v="G/510507/1GA101"/>
    <s v="002"/>
    <n v="17424.580000000002"/>
    <n v="0"/>
    <n v="-11299.31"/>
    <n v="6125.27"/>
    <n v="0"/>
    <n v="6125.27"/>
    <n v="6125.27"/>
    <n v="0"/>
    <n v="0"/>
    <n v="0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507 Honorarios"/>
    <s v="G/510507/1FA101"/>
    <s v="001"/>
    <n v="0"/>
    <n v="0"/>
    <n v="3162.94"/>
    <n v="3162.94"/>
    <n v="0"/>
    <n v="0"/>
    <n v="0"/>
    <n v="3162.94"/>
    <n v="3162.94"/>
    <n v="3162.94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507 Honorarios"/>
    <s v="G/510507/1NA101"/>
    <s v="002"/>
    <n v="37975.72"/>
    <n v="5130"/>
    <n v="-0.8"/>
    <n v="43104.92"/>
    <n v="0"/>
    <n v="43104.92"/>
    <n v="43104.92"/>
    <n v="0"/>
    <n v="0"/>
    <n v="0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507 Honorarios"/>
    <s v="G/510507/1MA101"/>
    <s v="002"/>
    <n v="12516.01"/>
    <n v="0"/>
    <n v="-3733.21"/>
    <n v="8782.7999999999993"/>
    <n v="0"/>
    <n v="8782.7999999999993"/>
    <n v="8782.7999999999993"/>
    <n v="0"/>
    <n v="0"/>
    <n v="0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507 Honorarios"/>
    <s v="G/510507/1FA101"/>
    <s v="001"/>
    <n v="0"/>
    <n v="0"/>
    <n v="3984.88"/>
    <n v="3984.88"/>
    <n v="0"/>
    <n v="0"/>
    <n v="0"/>
    <n v="3984.88"/>
    <n v="3984.88"/>
    <n v="3984.88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507 Honorarios"/>
    <s v="G/510507/1KA101"/>
    <s v="001"/>
    <n v="0"/>
    <n v="0"/>
    <n v="100285.08"/>
    <n v="100285.08"/>
    <n v="0"/>
    <n v="0"/>
    <n v="0"/>
    <n v="100285.08"/>
    <n v="100285.08"/>
    <n v="100285.08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507 Honorarios"/>
    <s v="G/510507/1FA101"/>
    <s v="001"/>
    <n v="0"/>
    <n v="0"/>
    <n v="2009.85"/>
    <n v="2009.85"/>
    <n v="0"/>
    <n v="0"/>
    <n v="0"/>
    <n v="2009.85"/>
    <n v="2009.85"/>
    <n v="2009.85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507 Honorarios"/>
    <s v="G/510507/1FA101"/>
    <s v="001"/>
    <n v="0"/>
    <n v="-5236.16"/>
    <n v="5236.16"/>
    <n v="0"/>
    <n v="0"/>
    <n v="0"/>
    <n v="0"/>
    <n v="0"/>
    <n v="0"/>
    <n v="0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507 Honorarios"/>
    <s v="G/510507/1FA101"/>
    <s v="001"/>
    <n v="0"/>
    <n v="0"/>
    <n v="4729.1000000000004"/>
    <n v="4729.1000000000004"/>
    <n v="0"/>
    <n v="0"/>
    <n v="0"/>
    <n v="4729.1000000000004"/>
    <n v="4729.1000000000004"/>
    <n v="4729.1000000000004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507 Honorarios"/>
    <s v="G/510507/1FA101"/>
    <s v="001"/>
    <n v="0"/>
    <n v="0"/>
    <n v="8945.99"/>
    <n v="8945.99"/>
    <n v="0"/>
    <n v="0"/>
    <n v="0"/>
    <n v="8945.99"/>
    <n v="8945.99"/>
    <n v="8945.99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507 Honorarios"/>
    <s v="G/510507/1FA101"/>
    <s v="001"/>
    <n v="0"/>
    <n v="-70"/>
    <n v="6306.07"/>
    <n v="6236.07"/>
    <n v="0"/>
    <n v="0"/>
    <n v="0"/>
    <n v="6236.07"/>
    <n v="6236.07"/>
    <n v="6236.07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507 Honorarios"/>
    <s v="G/510507/1FA101"/>
    <s v="001"/>
    <n v="0"/>
    <n v="0"/>
    <n v="5905.89"/>
    <n v="5905.89"/>
    <n v="0"/>
    <n v="0"/>
    <n v="0"/>
    <n v="5905.89"/>
    <n v="5905.89"/>
    <n v="5905.89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507 Honorarios"/>
    <s v="G/510507/1MA101"/>
    <s v="002"/>
    <n v="8977.4599999999991"/>
    <n v="2234.0700000000002"/>
    <n v="-0.4"/>
    <n v="11211.13"/>
    <n v="0"/>
    <n v="11211.13"/>
    <n v="11211.13"/>
    <n v="0"/>
    <n v="0"/>
    <n v="0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507 Honorarios"/>
    <s v="G/510507/1PA101"/>
    <s v="001"/>
    <n v="0"/>
    <n v="0"/>
    <n v="1705.59"/>
    <n v="1705.59"/>
    <n v="0"/>
    <n v="0"/>
    <n v="0"/>
    <n v="1705.59"/>
    <n v="1705.59"/>
    <n v="1705.59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507 Honorarios"/>
    <s v="G/510507/1NA101"/>
    <s v="001"/>
    <n v="0"/>
    <n v="0"/>
    <n v="33868.15"/>
    <n v="33868.15"/>
    <n v="0"/>
    <n v="0"/>
    <n v="0"/>
    <n v="33868.15"/>
    <n v="33868.15"/>
    <n v="33868.15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507 Honorarios"/>
    <s v="G/510507/1MA101"/>
    <s v="002"/>
    <n v="12543.73"/>
    <n v="0"/>
    <n v="-4125.07"/>
    <n v="8418.66"/>
    <n v="0"/>
    <n v="8418.66"/>
    <n v="8418.66"/>
    <n v="0"/>
    <n v="0"/>
    <n v="0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507 Honorarios"/>
    <s v="G/510507/1MA101"/>
    <s v="001"/>
    <n v="0"/>
    <n v="0"/>
    <n v="16953.3"/>
    <n v="16953.3"/>
    <n v="0"/>
    <n v="0"/>
    <n v="0"/>
    <n v="16953.3"/>
    <n v="16953.3"/>
    <n v="16953.3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507 Honorarios"/>
    <s v="G/510507/1IA101"/>
    <s v="002"/>
    <n v="2297.33"/>
    <n v="0"/>
    <n v="-1208"/>
    <n v="1089.33"/>
    <n v="0"/>
    <n v="1089.33"/>
    <n v="1089.33"/>
    <n v="0"/>
    <n v="0"/>
    <n v="0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507 Honorarios"/>
    <s v="G/510507/1LA101"/>
    <s v="001"/>
    <n v="0"/>
    <n v="0"/>
    <n v="8863.01"/>
    <n v="8863.01"/>
    <n v="0"/>
    <n v="0"/>
    <n v="0"/>
    <n v="8863.01"/>
    <n v="8863.01"/>
    <n v="8863.01"/>
  </r>
  <r>
    <s v="51"/>
    <x v="2"/>
    <x v="7"/>
    <s v="RB34F010"/>
    <x v="31"/>
    <s v="A101"/>
    <s v="FORTALECIMIENTO INSTITUCIONAL"/>
    <s v="GC00A10100004D"/>
    <s v="GC00A10100004D REMUNERACION PERSONAL"/>
    <s v="51 GASTOS EN PERSONAL"/>
    <s v="510507 Honorarios"/>
    <s v="G/510507/1FA101"/>
    <s v="001"/>
    <n v="0"/>
    <n v="0"/>
    <n v="3666.66"/>
    <n v="3666.66"/>
    <n v="0"/>
    <n v="0"/>
    <n v="0"/>
    <n v="3666.66"/>
    <n v="3666.66"/>
    <n v="3666.66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507 Honorarios"/>
    <s v="G/510507/1FA101"/>
    <s v="002"/>
    <n v="4000.9"/>
    <n v="0"/>
    <n v="-390.7"/>
    <n v="3610.2"/>
    <n v="0"/>
    <n v="3610.2"/>
    <n v="3610.2"/>
    <n v="0"/>
    <n v="0"/>
    <n v="0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507 Honorarios"/>
    <s v="G/510507/1IA101"/>
    <s v="001"/>
    <n v="0"/>
    <n v="0"/>
    <n v="1287.4100000000001"/>
    <n v="1287.4100000000001"/>
    <n v="0"/>
    <n v="0"/>
    <n v="0"/>
    <n v="1287.4100000000001"/>
    <n v="1287.4100000000001"/>
    <n v="1287.4100000000001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507 Honorarios"/>
    <s v="G/510507/1IA101"/>
    <s v="001"/>
    <n v="0"/>
    <n v="0"/>
    <n v="137.94999999999999"/>
    <n v="137.94999999999999"/>
    <n v="0"/>
    <n v="0"/>
    <n v="0"/>
    <n v="137.94999999999999"/>
    <n v="137.94999999999999"/>
    <n v="137.94999999999999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507 Honorarios"/>
    <s v="G/510507/1IA101"/>
    <s v="001"/>
    <n v="0"/>
    <n v="0"/>
    <n v="1470.18"/>
    <n v="1470.18"/>
    <n v="0"/>
    <n v="0"/>
    <n v="0"/>
    <n v="1470.18"/>
    <n v="1470.18"/>
    <n v="1470.18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507 Honorarios"/>
    <s v="G/510507/1FA101"/>
    <s v="002"/>
    <n v="5936.71"/>
    <n v="0"/>
    <n v="-865.04"/>
    <n v="5071.67"/>
    <n v="0"/>
    <n v="5071.67"/>
    <n v="5071.67"/>
    <n v="0"/>
    <n v="0"/>
    <n v="0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507 Honorarios"/>
    <s v="G/510507/1IA101"/>
    <s v="001"/>
    <n v="0"/>
    <n v="0"/>
    <n v="799.25"/>
    <n v="799.25"/>
    <n v="0"/>
    <n v="0"/>
    <n v="0"/>
    <n v="799.25"/>
    <n v="799.25"/>
    <n v="799.25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507 Honorarios"/>
    <s v="G/510507/1IA101"/>
    <s v="001"/>
    <n v="0"/>
    <n v="0"/>
    <n v="1876.28"/>
    <n v="1876.28"/>
    <n v="0"/>
    <n v="0"/>
    <n v="0"/>
    <n v="1876.28"/>
    <n v="1876.28"/>
    <n v="1876.28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507 Honorarios"/>
    <s v="G/510507/1FA101"/>
    <s v="002"/>
    <n v="4962.9399999999996"/>
    <n v="0"/>
    <n v="-3162.94"/>
    <n v="1800"/>
    <n v="0"/>
    <n v="1800"/>
    <n v="1800"/>
    <n v="0"/>
    <n v="0"/>
    <n v="0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507 Honorarios"/>
    <s v="G/510507/1BA101"/>
    <s v="001"/>
    <n v="0"/>
    <n v="0"/>
    <n v="23220.92"/>
    <n v="23220.92"/>
    <n v="0"/>
    <n v="0"/>
    <n v="0"/>
    <n v="23220.92"/>
    <n v="23220.92"/>
    <n v="23220.92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507 Honorarios"/>
    <s v="G/510507/1IA101"/>
    <s v="001"/>
    <n v="0"/>
    <n v="0"/>
    <n v="1966.13"/>
    <n v="1966.13"/>
    <n v="0"/>
    <n v="0"/>
    <n v="0"/>
    <n v="1966.13"/>
    <n v="1966.13"/>
    <n v="1966.13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507 Honorarios"/>
    <s v="G/510507/1CA101"/>
    <s v="002"/>
    <n v="15104.24"/>
    <n v="2706"/>
    <n v="-2224.37"/>
    <n v="15585.87"/>
    <n v="0"/>
    <n v="15585.87"/>
    <n v="15585.87"/>
    <n v="0"/>
    <n v="0"/>
    <n v="0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507 Honorarios"/>
    <s v="G/510507/1IA101"/>
    <s v="001"/>
    <n v="0"/>
    <n v="0"/>
    <n v="223.98"/>
    <n v="223.98"/>
    <n v="0"/>
    <n v="0"/>
    <n v="0"/>
    <n v="223.98"/>
    <n v="223.98"/>
    <n v="223.98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507 Honorarios"/>
    <s v="G/510507/1DA101"/>
    <s v="002"/>
    <n v="9832.32"/>
    <n v="0"/>
    <n v="-1552.78"/>
    <n v="8279.5400000000009"/>
    <n v="0"/>
    <n v="8279.5400000000009"/>
    <n v="8279.5400000000009"/>
    <n v="0"/>
    <n v="0"/>
    <n v="0"/>
  </r>
  <r>
    <s v="51"/>
    <x v="2"/>
    <x v="7"/>
    <s v="ZA01F000"/>
    <x v="25"/>
    <s v="A101"/>
    <s v="FORTALECIMIENTO INSTITUCIONAL"/>
    <s v="GC00A10100004D"/>
    <s v="GC00A10100004D REMUNERACION PERSONAL"/>
    <s v="51 GASTOS EN PERSONAL"/>
    <s v="510507 Honorarios"/>
    <s v="G/510507/1FA101"/>
    <s v="002"/>
    <n v="3057.43"/>
    <n v="16949.580000000002"/>
    <n v="-0.34"/>
    <n v="20006.669999999998"/>
    <n v="0"/>
    <n v="20006.669999999998"/>
    <n v="20006.669999999998"/>
    <n v="0"/>
    <n v="0"/>
    <n v="0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507 Honorarios"/>
    <s v="G/510507/1IA101"/>
    <s v="001"/>
    <n v="0"/>
    <n v="0"/>
    <n v="780.76"/>
    <n v="780.76"/>
    <n v="0"/>
    <n v="0"/>
    <n v="0"/>
    <n v="780.76"/>
    <n v="780.76"/>
    <n v="780.76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507 Honorarios"/>
    <s v="G/510507/2QA101"/>
    <s v="002"/>
    <n v="10426.629999999999"/>
    <n v="28600"/>
    <n v="-5122.46"/>
    <n v="33904.17"/>
    <n v="0"/>
    <n v="33904.17"/>
    <n v="33904.17"/>
    <n v="0"/>
    <n v="0"/>
    <n v="0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507 Honorarios"/>
    <s v="G/510507/1NA101"/>
    <s v="001"/>
    <n v="0"/>
    <n v="0"/>
    <n v="13644.46"/>
    <n v="13644.46"/>
    <n v="0"/>
    <n v="0"/>
    <n v="0"/>
    <n v="13644.46"/>
    <n v="13644.46"/>
    <n v="13644.46"/>
  </r>
  <r>
    <s v="51"/>
    <x v="2"/>
    <x v="7"/>
    <s v="TM68F100"/>
    <x v="36"/>
    <s v="A101"/>
    <s v="FORTALECIMIENTO INSTITUCIONAL"/>
    <s v="GC00A10100004D"/>
    <s v="GC00A10100004D REMUNERACION PERSONAL"/>
    <s v="51 GASTOS EN PERSONAL"/>
    <s v="510507 Honorarios"/>
    <s v="G/510507/1FA101"/>
    <s v="002"/>
    <n v="2843.71"/>
    <n v="750"/>
    <n v="-563.71"/>
    <n v="3030"/>
    <n v="0"/>
    <n v="3030"/>
    <n v="3030"/>
    <n v="0"/>
    <n v="0"/>
    <n v="0"/>
  </r>
  <r>
    <s v="51"/>
    <x v="0"/>
    <x v="0"/>
    <s v="RP36A010"/>
    <x v="0"/>
    <s v="A101"/>
    <s v="FORTALECIMIENTO INSTITUCIONAL"/>
    <s v="GC00A10100004D"/>
    <s v="GC00A10100004D REMUNERACION PERSONAL"/>
    <s v="51 GASTOS EN PERSONAL"/>
    <s v="510509 Horas Extraordinarias y Suplementarias"/>
    <s v="G/510509/1AA101"/>
    <s v="002"/>
    <n v="10243.32"/>
    <n v="24102.080000000002"/>
    <n v="-1003.18"/>
    <n v="33342.22"/>
    <n v="0"/>
    <n v="33342.22"/>
    <n v="33342.22"/>
    <n v="0"/>
    <n v="0"/>
    <n v="0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509 Horas Extraordinarias y Suplementarias"/>
    <s v="G/510509/1CA101"/>
    <s v="002"/>
    <n v="758.71"/>
    <n v="0"/>
    <n v="-389.84"/>
    <n v="368.87"/>
    <n v="0"/>
    <n v="368.87"/>
    <n v="368.87"/>
    <n v="0"/>
    <n v="0"/>
    <n v="0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509 Horas Extraordinarias y Suplementarias"/>
    <s v="G/510509/1LA101"/>
    <s v="001"/>
    <n v="0"/>
    <n v="0"/>
    <n v="773.01"/>
    <n v="773.01"/>
    <n v="0"/>
    <n v="0"/>
    <n v="0"/>
    <n v="773.01"/>
    <n v="773.01"/>
    <n v="773.01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509 Horas Extraordinarias y Suplementarias"/>
    <s v="G/510509/1EA101"/>
    <s v="002"/>
    <n v="88535.360000000001"/>
    <n v="0"/>
    <n v="-37826.81"/>
    <n v="50708.55"/>
    <n v="0"/>
    <n v="50708.55"/>
    <n v="50708.55"/>
    <n v="0"/>
    <n v="0"/>
    <n v="0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509 Horas Extraordinarias y Suplementarias"/>
    <s v="G/510509/1FA101"/>
    <s v="002"/>
    <n v="18437.34"/>
    <n v="0"/>
    <n v="-10051.1"/>
    <n v="8386.24"/>
    <n v="0"/>
    <n v="8386.24"/>
    <n v="8386.24"/>
    <n v="0"/>
    <n v="0"/>
    <n v="0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509 Horas Extraordinarias y Suplementarias"/>
    <s v="G/510509/1IA101"/>
    <s v="001"/>
    <n v="0"/>
    <n v="0"/>
    <n v="157.78"/>
    <n v="157.78"/>
    <n v="0"/>
    <n v="0"/>
    <n v="0"/>
    <n v="157.78"/>
    <n v="157.78"/>
    <n v="157.78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509 Horas Extraordinarias y Suplementarias"/>
    <s v="G/510509/1IA101"/>
    <s v="002"/>
    <n v="1105.57"/>
    <n v="0"/>
    <n v="-588.54"/>
    <n v="517.03"/>
    <n v="0"/>
    <n v="517.03"/>
    <n v="517.03"/>
    <n v="0"/>
    <n v="0"/>
    <n v="0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509 Horas Extraordinarias y Suplementarias"/>
    <s v="G/510509/1PA101"/>
    <s v="001"/>
    <n v="0"/>
    <n v="0"/>
    <n v="1416.5"/>
    <n v="1416.5"/>
    <n v="0"/>
    <n v="0"/>
    <n v="0"/>
    <n v="1416.5"/>
    <n v="1416.5"/>
    <n v="1416.5"/>
  </r>
  <r>
    <s v="51"/>
    <x v="0"/>
    <x v="0"/>
    <s v="RP36A010"/>
    <x v="0"/>
    <s v="A101"/>
    <s v="FORTALECIMIENTO INSTITUCIONAL"/>
    <s v="GC00A10100004D"/>
    <s v="GC00A10100004D REMUNERACION PERSONAL"/>
    <s v="51 GASTOS EN PERSONAL"/>
    <s v="510509 Horas Extraordinarias y Suplementarias"/>
    <s v="G/510509/1AA101"/>
    <s v="001"/>
    <n v="0"/>
    <n v="0"/>
    <n v="13600.32"/>
    <n v="13600.32"/>
    <n v="0"/>
    <n v="939.22"/>
    <n v="939.22"/>
    <n v="12661.1"/>
    <n v="12661.1"/>
    <n v="12661.1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509 Horas Extraordinarias y Suplementarias"/>
    <s v="G/510509/1FA101"/>
    <s v="001"/>
    <n v="0"/>
    <n v="-663.84"/>
    <n v="3249.68"/>
    <n v="2585.84"/>
    <n v="0"/>
    <n v="1112.8499999999999"/>
    <n v="1112.8499999999999"/>
    <n v="1472.99"/>
    <n v="1472.99"/>
    <n v="1472.99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509 Horas Extraordinarias y Suplementarias"/>
    <s v="G/510509/1MA101"/>
    <s v="002"/>
    <n v="1840.7"/>
    <n v="0"/>
    <n v="-219.72"/>
    <n v="1620.98"/>
    <n v="0"/>
    <n v="1620.98"/>
    <n v="1620.98"/>
    <n v="0"/>
    <n v="0"/>
    <n v="0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509 Horas Extraordinarias y Suplementarias"/>
    <s v="G/510509/1MA101"/>
    <s v="001"/>
    <n v="0"/>
    <n v="0"/>
    <n v="645.41999999999996"/>
    <n v="645.41999999999996"/>
    <n v="0"/>
    <n v="0"/>
    <n v="0"/>
    <n v="645.41999999999996"/>
    <n v="645.41999999999996"/>
    <n v="645.41999999999996"/>
  </r>
  <r>
    <s v="51"/>
    <x v="2"/>
    <x v="7"/>
    <s v="TM68F100"/>
    <x v="36"/>
    <s v="A101"/>
    <s v="FORTALECIMIENTO INSTITUCIONAL"/>
    <s v="GC00A10100004D"/>
    <s v="GC00A10100004D REMUNERACION PERSONAL"/>
    <s v="51 GASTOS EN PERSONAL"/>
    <s v="510509 Horas Extraordinarias y Suplementarias"/>
    <s v="G/510509/1FA101"/>
    <s v="002"/>
    <n v="6964.56"/>
    <n v="0"/>
    <n v="-1277.73"/>
    <n v="5686.83"/>
    <n v="0"/>
    <n v="5686.83"/>
    <n v="5686.83"/>
    <n v="0"/>
    <n v="0"/>
    <n v="0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509 Horas Extraordinarias y Suplementarias"/>
    <s v="G/510509/1KA101"/>
    <s v="002"/>
    <n v="86531.43"/>
    <n v="0"/>
    <n v="-82641.62"/>
    <n v="3889.81"/>
    <n v="0"/>
    <n v="3889.81"/>
    <n v="3889.81"/>
    <n v="0"/>
    <n v="0"/>
    <n v="0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509 Horas Extraordinarias y Suplementarias"/>
    <s v="G/510509/1IA101"/>
    <s v="001"/>
    <n v="0"/>
    <n v="0"/>
    <n v="136.75"/>
    <n v="136.75"/>
    <n v="0"/>
    <n v="0"/>
    <n v="0"/>
    <n v="136.75"/>
    <n v="136.75"/>
    <n v="136.75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509 Horas Extraordinarias y Suplementarias"/>
    <s v="G/510509/1CA101"/>
    <s v="001"/>
    <n v="0"/>
    <n v="0"/>
    <n v="47215.1"/>
    <n v="47215.1"/>
    <n v="0"/>
    <n v="517.52"/>
    <n v="517.52"/>
    <n v="46697.58"/>
    <n v="46697.58"/>
    <n v="46697.58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509 Horas Extraordinarias y Suplementarias"/>
    <s v="G/510509/1AA101"/>
    <s v="001"/>
    <n v="0"/>
    <n v="0"/>
    <n v="72992.23"/>
    <n v="72992.23"/>
    <n v="0"/>
    <n v="5156.25"/>
    <n v="5156.25"/>
    <n v="67835.98"/>
    <n v="67835.98"/>
    <n v="67835.98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509 Horas Extraordinarias y Suplementarias"/>
    <s v="G/510509/1MA101"/>
    <s v="002"/>
    <n v="14033.49"/>
    <n v="0"/>
    <n v="-2537.11"/>
    <n v="11496.38"/>
    <n v="0"/>
    <n v="11496.38"/>
    <n v="11496.38"/>
    <n v="0"/>
    <n v="0"/>
    <n v="0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509 Horas Extraordinarias y Suplementarias"/>
    <s v="G/510509/1FA101"/>
    <s v="002"/>
    <n v="27525.55"/>
    <n v="0"/>
    <n v="-15192.75"/>
    <n v="12332.8"/>
    <n v="0"/>
    <n v="12332.8"/>
    <n v="12332.8"/>
    <n v="0"/>
    <n v="0"/>
    <n v="0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509 Horas Extraordinarias y Suplementarias"/>
    <s v="G/510509/1FA101"/>
    <s v="002"/>
    <n v="17767.060000000001"/>
    <n v="0"/>
    <n v="-7352.99"/>
    <n v="10414.07"/>
    <n v="0"/>
    <n v="10414.07"/>
    <n v="10414.07"/>
    <n v="0"/>
    <n v="0"/>
    <n v="0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509 Horas Extraordinarias y Suplementarias"/>
    <s v="G/510509/1FA101"/>
    <s v="002"/>
    <n v="32163.01"/>
    <n v="0"/>
    <n v="-7400.71"/>
    <n v="24762.3"/>
    <n v="0"/>
    <n v="24762.3"/>
    <n v="24762.3"/>
    <n v="0"/>
    <n v="0"/>
    <n v="0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509 Horas Extraordinarias y Suplementarias"/>
    <s v="G/510509/1FA101"/>
    <s v="001"/>
    <n v="0"/>
    <n v="0"/>
    <n v="4719.8"/>
    <n v="4719.8"/>
    <n v="0"/>
    <n v="1077.57"/>
    <n v="1077.57"/>
    <n v="3642.23"/>
    <n v="3642.23"/>
    <n v="3642.23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509 Horas Extraordinarias y Suplementarias"/>
    <s v="G/510509/1CA101"/>
    <s v="002"/>
    <n v="130278.49"/>
    <n v="0"/>
    <n v="-95912.55"/>
    <n v="34365.94"/>
    <n v="0"/>
    <n v="34365.94"/>
    <n v="34365.94"/>
    <n v="0"/>
    <n v="0"/>
    <n v="0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509 Horas Extraordinarias y Suplementarias"/>
    <s v="G/510509/1FA101"/>
    <s v="001"/>
    <n v="0"/>
    <n v="0"/>
    <n v="8507.07"/>
    <n v="8507.07"/>
    <n v="0"/>
    <n v="0"/>
    <n v="0"/>
    <n v="8507.07"/>
    <n v="8507.07"/>
    <n v="8507.07"/>
  </r>
  <r>
    <s v="51"/>
    <x v="1"/>
    <x v="5"/>
    <s v="ZA01J000"/>
    <x v="8"/>
    <s v="A101"/>
    <s v="FORTALECIMIENTO INSTITUCIONAL"/>
    <s v="GC00A10100004D"/>
    <s v="GC00A10100004D REMUNERACION PERSONAL"/>
    <s v="51 GASTOS EN PERSONAL"/>
    <s v="510509 Horas Extraordinarias y Suplementarias"/>
    <s v="G/510509/1JA101"/>
    <s v="002"/>
    <n v="9165.7900000000009"/>
    <n v="0"/>
    <n v="-9165.7900000000009"/>
    <n v="0"/>
    <n v="0"/>
    <n v="0"/>
    <n v="0"/>
    <n v="0"/>
    <n v="0"/>
    <n v="0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509 Horas Extraordinarias y Suplementarias"/>
    <s v="G/510509/1GA101"/>
    <s v="002"/>
    <n v="73869.960000000006"/>
    <n v="0"/>
    <n v="-35227.120000000003"/>
    <n v="38642.839999999997"/>
    <n v="0"/>
    <n v="38642.839999999997"/>
    <n v="38642.839999999997"/>
    <n v="0"/>
    <n v="0"/>
    <n v="0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509 Horas Extraordinarias y Suplementarias"/>
    <s v="G/510509/1BA101"/>
    <s v="002"/>
    <n v="2895.84"/>
    <n v="44816.79"/>
    <n v="-7325.13"/>
    <n v="40387.5"/>
    <n v="0"/>
    <n v="40387.5"/>
    <n v="40387.5"/>
    <n v="0"/>
    <n v="0"/>
    <n v="0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509 Horas Extraordinarias y Suplementarias"/>
    <s v="G/510509/1FA101"/>
    <s v="001"/>
    <n v="0"/>
    <n v="0"/>
    <n v="2563.41"/>
    <n v="2563.41"/>
    <n v="0"/>
    <n v="769.07"/>
    <n v="769.07"/>
    <n v="1794.34"/>
    <n v="1794.34"/>
    <n v="1794.34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509 Horas Extraordinarias y Suplementarias"/>
    <s v="G/510509/1FA101"/>
    <s v="001"/>
    <n v="0"/>
    <n v="0"/>
    <n v="8240.65"/>
    <n v="8240.65"/>
    <n v="0"/>
    <n v="366.7"/>
    <n v="366.7"/>
    <n v="7873.95"/>
    <n v="7873.95"/>
    <n v="7873.95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509 Horas Extraordinarias y Suplementarias"/>
    <s v="G/510509/1NA101"/>
    <s v="002"/>
    <n v="70078.179999999993"/>
    <n v="0"/>
    <n v="-974.7"/>
    <n v="69103.48"/>
    <n v="0"/>
    <n v="69103.48"/>
    <n v="69103.48"/>
    <n v="0"/>
    <n v="0"/>
    <n v="0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509 Horas Extraordinarias y Suplementarias"/>
    <s v="G/510509/1FA101"/>
    <s v="001"/>
    <n v="0"/>
    <n v="0"/>
    <n v="3613.69"/>
    <n v="3613.69"/>
    <n v="0"/>
    <n v="654.47"/>
    <n v="654.47"/>
    <n v="2959.22"/>
    <n v="2959.22"/>
    <n v="2959.22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509 Horas Extraordinarias y Suplementarias"/>
    <s v="G/510509/1FA101"/>
    <s v="001"/>
    <n v="0"/>
    <n v="2600"/>
    <n v="3374.07"/>
    <n v="5974.07"/>
    <n v="0"/>
    <n v="2923.36"/>
    <n v="2923.36"/>
    <n v="3050.71"/>
    <n v="3050.71"/>
    <n v="3050.71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509 Horas Extraordinarias y Suplementarias"/>
    <s v="G/510509/1AA101"/>
    <s v="002"/>
    <n v="216182.93"/>
    <n v="0"/>
    <n v="-80921.5"/>
    <n v="135261.43"/>
    <n v="0"/>
    <n v="135261.43"/>
    <n v="135261.43"/>
    <n v="0"/>
    <n v="0"/>
    <n v="0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509 Horas Extraordinarias y Suplementarias"/>
    <s v="G/510509/1MA101"/>
    <s v="002"/>
    <n v="1997.44"/>
    <n v="1719.54"/>
    <n v="-5.3"/>
    <n v="3711.68"/>
    <n v="0"/>
    <n v="3711.68"/>
    <n v="3711.68"/>
    <n v="0"/>
    <n v="0"/>
    <n v="0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509 Horas Extraordinarias y Suplementarias"/>
    <s v="G/510509/1KA101"/>
    <s v="002"/>
    <n v="227902.93"/>
    <n v="-75070"/>
    <n v="-15837.59"/>
    <n v="136995.34"/>
    <n v="0"/>
    <n v="136995.34"/>
    <n v="136995.34"/>
    <n v="0"/>
    <n v="0"/>
    <n v="0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509 Horas Extraordinarias y Suplementarias"/>
    <s v="G/510509/1FA101"/>
    <s v="002"/>
    <n v="42312.45"/>
    <n v="0"/>
    <n v="-27403.51"/>
    <n v="14908.94"/>
    <n v="0"/>
    <n v="14908.94"/>
    <n v="14908.94"/>
    <n v="0"/>
    <n v="0"/>
    <n v="0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509 Horas Extraordinarias y Suplementarias"/>
    <s v="G/510509/1IA101"/>
    <s v="002"/>
    <n v="16304.03"/>
    <n v="0"/>
    <n v="-9897.9500000000007"/>
    <n v="6406.08"/>
    <n v="0"/>
    <n v="6406.08"/>
    <n v="6406.08"/>
    <n v="0"/>
    <n v="0"/>
    <n v="0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509 Horas Extraordinarias y Suplementarias"/>
    <s v="G/510509/1MA101"/>
    <s v="002"/>
    <n v="1290.8499999999999"/>
    <n v="0"/>
    <n v="-1290.8499999999999"/>
    <n v="0"/>
    <n v="0"/>
    <n v="0"/>
    <n v="0"/>
    <n v="0"/>
    <n v="0"/>
    <n v="0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509 Horas Extraordinarias y Suplementarias"/>
    <s v="G/510509/1IA101"/>
    <s v="001"/>
    <n v="0"/>
    <n v="0"/>
    <n v="734.62"/>
    <n v="734.62"/>
    <n v="0"/>
    <n v="0"/>
    <n v="0"/>
    <n v="734.62"/>
    <n v="734.62"/>
    <n v="734.62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509 Horas Extraordinarias y Suplementarias"/>
    <s v="G/510509/1PA101"/>
    <s v="002"/>
    <n v="2833"/>
    <n v="0"/>
    <n v="-2833"/>
    <n v="0"/>
    <n v="0"/>
    <n v="0"/>
    <n v="0"/>
    <n v="0"/>
    <n v="0"/>
    <n v="0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509 Horas Extraordinarias y Suplementarias"/>
    <s v="G/510509/1FA101"/>
    <s v="001"/>
    <n v="0"/>
    <n v="0"/>
    <n v="4542.82"/>
    <n v="4542.82"/>
    <n v="0"/>
    <n v="755"/>
    <n v="755"/>
    <n v="3787.82"/>
    <n v="3787.82"/>
    <n v="3787.82"/>
  </r>
  <r>
    <s v="51"/>
    <x v="0"/>
    <x v="1"/>
    <s v="ZA01C060"/>
    <x v="12"/>
    <s v="A101"/>
    <s v="FORTALECIMIENTO INSTITUCIONAL"/>
    <s v="GC00A10100004D"/>
    <s v="GC00A10100004D REMUNERACION PERSONAL"/>
    <s v="51 GASTOS EN PERSONAL"/>
    <s v="510509 Horas Extraordinarias y Suplementarias"/>
    <s v="G/510509/1CA101"/>
    <s v="002"/>
    <n v="3815.88"/>
    <n v="0"/>
    <n v="-3815.88"/>
    <n v="0"/>
    <n v="0"/>
    <n v="0"/>
    <n v="0"/>
    <n v="0"/>
    <n v="0"/>
    <n v="0"/>
  </r>
  <r>
    <s v="51"/>
    <x v="2"/>
    <x v="8"/>
    <s v="FS66P020"/>
    <x v="13"/>
    <s v="A101"/>
    <s v="FORTALECIMIENTO INSTITUCIONAL"/>
    <s v="GC00A10100004D"/>
    <s v="GC00A10100004D REMUNERACION PERSONAL"/>
    <s v="51 GASTOS EN PERSONAL"/>
    <s v="510509 Horas Extraordinarias y Suplementarias"/>
    <s v="G/510509/1PA101"/>
    <s v="002"/>
    <n v="13297.33"/>
    <n v="-5698.03"/>
    <n v="-5698.03"/>
    <n v="1901.27"/>
    <n v="0"/>
    <n v="1901.27"/>
    <n v="1901.27"/>
    <n v="0"/>
    <n v="0"/>
    <n v="0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509 Horas Extraordinarias y Suplementarias"/>
    <s v="G/510509/1CA101"/>
    <s v="001"/>
    <n v="0"/>
    <n v="0"/>
    <n v="11323.51"/>
    <n v="11323.51"/>
    <n v="0"/>
    <n v="0"/>
    <n v="0"/>
    <n v="11323.51"/>
    <n v="11323.51"/>
    <n v="11323.51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509 Horas Extraordinarias y Suplementarias"/>
    <s v="G/510509/1MA101"/>
    <s v="001"/>
    <n v="0"/>
    <n v="0"/>
    <n v="2072.96"/>
    <n v="2072.96"/>
    <n v="0"/>
    <n v="133.82"/>
    <n v="133.82"/>
    <n v="1939.14"/>
    <n v="1939.14"/>
    <n v="1939.14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509 Horas Extraordinarias y Suplementarias"/>
    <s v="G/510509/1IA101"/>
    <s v="002"/>
    <n v="1663.77"/>
    <n v="0"/>
    <n v="-1469.24"/>
    <n v="194.53"/>
    <n v="0"/>
    <n v="194.53"/>
    <n v="194.53"/>
    <n v="0"/>
    <n v="0"/>
    <n v="0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509 Horas Extraordinarias y Suplementarias"/>
    <s v="G/510509/1NA101"/>
    <s v="001"/>
    <n v="0"/>
    <n v="0"/>
    <n v="86003.05"/>
    <n v="86003.05"/>
    <n v="0"/>
    <n v="7642.84"/>
    <n v="7642.84"/>
    <n v="78360.210000000006"/>
    <n v="78360.210000000006"/>
    <n v="78360.210000000006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509 Horas Extraordinarias y Suplementarias"/>
    <s v="G/510509/1MA101"/>
    <s v="001"/>
    <n v="0"/>
    <n v="0"/>
    <n v="1006.79"/>
    <n v="1006.79"/>
    <n v="0"/>
    <n v="0"/>
    <n v="0"/>
    <n v="1006.79"/>
    <n v="1006.79"/>
    <n v="1006.79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509 Horas Extraordinarias y Suplementarias"/>
    <s v="G/510509/1CA101"/>
    <s v="001"/>
    <n v="0"/>
    <n v="0"/>
    <n v="389.84"/>
    <n v="389.84"/>
    <n v="0"/>
    <n v="0"/>
    <n v="0"/>
    <n v="389.84"/>
    <n v="389.84"/>
    <n v="389.84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509 Horas Extraordinarias y Suplementarias"/>
    <s v="G/510509/1CA101"/>
    <s v="002"/>
    <n v="28282.68"/>
    <n v="0"/>
    <n v="-22647.02"/>
    <n v="5635.66"/>
    <n v="0"/>
    <n v="5635.66"/>
    <n v="5635.66"/>
    <n v="0"/>
    <n v="0"/>
    <n v="0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509 Horas Extraordinarias y Suplementarias"/>
    <s v="G/510509/1NA101"/>
    <s v="001"/>
    <n v="0"/>
    <n v="0"/>
    <n v="18778.669999999998"/>
    <n v="18778.669999999998"/>
    <n v="0"/>
    <n v="4159.8100000000004"/>
    <n v="4159.8100000000004"/>
    <n v="14618.86"/>
    <n v="14618.86"/>
    <n v="14618.86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509 Horas Extraordinarias y Suplementarias"/>
    <s v="G/510509/1EA101"/>
    <s v="001"/>
    <n v="0"/>
    <n v="200"/>
    <n v="32150.93"/>
    <n v="32350.93"/>
    <n v="0"/>
    <n v="3519.43"/>
    <n v="3519.43"/>
    <n v="28831.5"/>
    <n v="28831.5"/>
    <n v="28831.5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509 Horas Extraordinarias y Suplementarias"/>
    <s v="G/510509/1KA101"/>
    <s v="001"/>
    <n v="0"/>
    <n v="0"/>
    <n v="22593.97"/>
    <n v="22593.97"/>
    <n v="0"/>
    <n v="675.21"/>
    <n v="675.21"/>
    <n v="21918.76"/>
    <n v="21918.76"/>
    <n v="21918.76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509 Horas Extraordinarias y Suplementarias"/>
    <s v="G/510509/1LA101"/>
    <s v="002"/>
    <n v="946.53"/>
    <n v="0"/>
    <n v="-773.01"/>
    <n v="173.52"/>
    <n v="0"/>
    <n v="173.52"/>
    <n v="173.52"/>
    <n v="0"/>
    <n v="0"/>
    <n v="0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509 Horas Extraordinarias y Suplementarias"/>
    <s v="G/510509/1BA101"/>
    <s v="001"/>
    <n v="0"/>
    <n v="0"/>
    <n v="7325.13"/>
    <n v="7325.13"/>
    <n v="0"/>
    <n v="1856.84"/>
    <n v="1856.84"/>
    <n v="5468.29"/>
    <n v="5468.29"/>
    <n v="5468.29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509 Horas Extraordinarias y Suplementarias"/>
    <s v="G/510509/1GA101"/>
    <s v="001"/>
    <n v="0"/>
    <n v="0"/>
    <n v="30362.23"/>
    <n v="30362.23"/>
    <n v="0"/>
    <n v="2341.2399999999998"/>
    <n v="2341.2399999999998"/>
    <n v="28020.99"/>
    <n v="28020.99"/>
    <n v="28020.99"/>
  </r>
  <r>
    <s v="51"/>
    <x v="0"/>
    <x v="1"/>
    <s v="ZA01C060"/>
    <x v="12"/>
    <s v="A101"/>
    <s v="FORTALECIMIENTO INSTITUCIONAL"/>
    <s v="GC00A10100004D"/>
    <s v="GC00A10100004D REMUNERACION PERSONAL"/>
    <s v="51 GASTOS EN PERSONAL"/>
    <s v="510509 Horas Extraordinarias y Suplementarias"/>
    <s v="G/510509/1CA101"/>
    <s v="001"/>
    <n v="0"/>
    <n v="0"/>
    <n v="1907.94"/>
    <n v="1907.94"/>
    <n v="0"/>
    <n v="0"/>
    <n v="0"/>
    <n v="1907.94"/>
    <n v="1907.94"/>
    <n v="1907.94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509 Horas Extraordinarias y Suplementarias"/>
    <s v="G/510509/1DA101"/>
    <s v="002"/>
    <n v="7213.01"/>
    <n v="0"/>
    <n v="-7026.76"/>
    <n v="186.25"/>
    <n v="0"/>
    <n v="186.25"/>
    <n v="186.25"/>
    <n v="0"/>
    <n v="0"/>
    <n v="0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509 Horas Extraordinarias y Suplementarias"/>
    <s v="G/510509/1IA101"/>
    <s v="002"/>
    <n v="0"/>
    <n v="201"/>
    <n v="-0.19"/>
    <n v="200.81"/>
    <n v="0"/>
    <n v="200.81"/>
    <n v="200.81"/>
    <n v="0"/>
    <n v="0"/>
    <n v="0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509 Horas Extraordinarias y Suplementarias"/>
    <s v="G/510509/1IA101"/>
    <s v="002"/>
    <n v="0"/>
    <n v="175"/>
    <n v="-0.96"/>
    <n v="174.04"/>
    <n v="0"/>
    <n v="174.04"/>
    <n v="174.04"/>
    <n v="0"/>
    <n v="0"/>
    <n v="0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509 Horas Extraordinarias y Suplementarias"/>
    <s v="G/510509/1FA101"/>
    <s v="002"/>
    <n v="8831"/>
    <n v="0"/>
    <n v="-204.07"/>
    <n v="8626.93"/>
    <n v="0"/>
    <n v="8626.93"/>
    <n v="8626.93"/>
    <n v="0"/>
    <n v="0"/>
    <n v="0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509 Horas Extraordinarias y Suplementarias"/>
    <s v="G/510509/2QA101"/>
    <s v="002"/>
    <n v="2895.84"/>
    <n v="-2895.84"/>
    <n v="0"/>
    <n v="0"/>
    <n v="0"/>
    <n v="0"/>
    <n v="0"/>
    <n v="0"/>
    <n v="0"/>
    <n v="0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509 Horas Extraordinarias y Suplementarias"/>
    <s v="G/510509/1DA101"/>
    <s v="001"/>
    <n v="0"/>
    <n v="0"/>
    <n v="3457.5"/>
    <n v="3457.5"/>
    <n v="0"/>
    <n v="0"/>
    <n v="0"/>
    <n v="3457.5"/>
    <n v="3457.5"/>
    <n v="3457.5"/>
  </r>
  <r>
    <s v="51"/>
    <x v="3"/>
    <x v="11"/>
    <s v="ZA01H000"/>
    <x v="19"/>
    <s v="A101"/>
    <s v="FORTALECIMIENTO INSTITUCIONAL"/>
    <s v="GC00A10100004D"/>
    <s v="GC00A10100004D REMUNERACION PERSONAL"/>
    <s v="51 GASTOS EN PERSONAL"/>
    <s v="510509 Horas Extraordinarias y Suplementarias"/>
    <s v="G/510509/1HA101"/>
    <s v="002"/>
    <n v="1369.54"/>
    <n v="-1369.54"/>
    <n v="0"/>
    <n v="0"/>
    <n v="0"/>
    <n v="0"/>
    <n v="0"/>
    <n v="0"/>
    <n v="0"/>
    <n v="0"/>
  </r>
  <r>
    <s v="51"/>
    <x v="2"/>
    <x v="7"/>
    <s v="ZA01F000"/>
    <x v="25"/>
    <s v="A101"/>
    <s v="FORTALECIMIENTO INSTITUCIONAL"/>
    <s v="GC00A10100004D"/>
    <s v="GC00A10100004D REMUNERACION PERSONAL"/>
    <s v="51 GASTOS EN PERSONAL"/>
    <s v="510509 Horas Extraordinarias y Suplementarias"/>
    <s v="G/510509/1FA101"/>
    <s v="002"/>
    <n v="4021.74"/>
    <n v="0"/>
    <n v="-4021.74"/>
    <n v="0"/>
    <n v="0"/>
    <n v="0"/>
    <n v="0"/>
    <n v="0"/>
    <n v="0"/>
    <n v="0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509 Horas Extraordinarias y Suplementarias"/>
    <s v="G/510509/1KA101"/>
    <s v="001"/>
    <n v="0"/>
    <n v="0"/>
    <n v="2480.2600000000002"/>
    <n v="2480.2600000000002"/>
    <n v="0"/>
    <n v="0"/>
    <n v="0"/>
    <n v="2480.2600000000002"/>
    <n v="2480.2600000000002"/>
    <n v="2480.2600000000002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509 Horas Extraordinarias y Suplementarias"/>
    <s v="G/510509/1NA101"/>
    <s v="002"/>
    <n v="245070.02"/>
    <n v="0"/>
    <n v="-25070.49"/>
    <n v="219999.53"/>
    <n v="0"/>
    <n v="219999.53"/>
    <n v="219999.53"/>
    <n v="0"/>
    <n v="0"/>
    <n v="0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509 Horas Extraordinarias y Suplementarias"/>
    <s v="G/510509/1IA101"/>
    <s v="001"/>
    <n v="0"/>
    <n v="0"/>
    <n v="588.54"/>
    <n v="588.54"/>
    <n v="0"/>
    <n v="0"/>
    <n v="0"/>
    <n v="588.54"/>
    <n v="588.54"/>
    <n v="588.54"/>
  </r>
  <r>
    <s v="51"/>
    <x v="1"/>
    <x v="5"/>
    <s v="ZA01J000"/>
    <x v="8"/>
    <s v="A101"/>
    <s v="FORTALECIMIENTO INSTITUCIONAL"/>
    <s v="GC00A10100004D"/>
    <s v="GC00A10100004D REMUNERACION PERSONAL"/>
    <s v="51 GASTOS EN PERSONAL"/>
    <s v="510509 Horas Extraordinarias y Suplementarias"/>
    <s v="G/510509/1JA101"/>
    <s v="001"/>
    <n v="0"/>
    <n v="0"/>
    <n v="4582.8900000000003"/>
    <n v="4582.8900000000003"/>
    <n v="0"/>
    <n v="0"/>
    <n v="0"/>
    <n v="4582.8900000000003"/>
    <n v="4582.8900000000003"/>
    <n v="4582.8900000000003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509 Horas Extraordinarias y Suplementarias"/>
    <s v="G/510509/1FA101"/>
    <s v="002"/>
    <n v="20856"/>
    <n v="0"/>
    <n v="-9275.34"/>
    <n v="11580.66"/>
    <n v="0"/>
    <n v="11580.66"/>
    <n v="11580.66"/>
    <n v="0"/>
    <n v="0"/>
    <n v="0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509 Horas Extraordinarias y Suplementarias"/>
    <s v="G/510509/1IA101"/>
    <s v="001"/>
    <n v="0"/>
    <n v="0"/>
    <n v="3803.76"/>
    <n v="3803.76"/>
    <n v="0"/>
    <n v="0"/>
    <n v="0"/>
    <n v="3803.76"/>
    <n v="3803.76"/>
    <n v="3803.76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509 Horas Extraordinarias y Suplementarias"/>
    <s v="G/510509/1FA101"/>
    <s v="002"/>
    <n v="10800.01"/>
    <n v="0"/>
    <n v="-4542.82"/>
    <n v="6257.19"/>
    <n v="0"/>
    <n v="6257.19"/>
    <n v="6257.19"/>
    <n v="0"/>
    <n v="0"/>
    <n v="0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509 Horas Extraordinarias y Suplementarias"/>
    <s v="G/510509/1MA101"/>
    <s v="001"/>
    <n v="0"/>
    <n v="2500"/>
    <n v="2537.11"/>
    <n v="5037.1099999999997"/>
    <n v="0"/>
    <n v="2484.77"/>
    <n v="2484.77"/>
    <n v="2552.34"/>
    <n v="2552.34"/>
    <n v="2552.34"/>
  </r>
  <r>
    <s v="51"/>
    <x v="2"/>
    <x v="7"/>
    <s v="ZA01F000"/>
    <x v="25"/>
    <s v="A101"/>
    <s v="FORTALECIMIENTO INSTITUCIONAL"/>
    <s v="GC00A10100004D"/>
    <s v="GC00A10100004D REMUNERACION PERSONAL"/>
    <s v="51 GASTOS EN PERSONAL"/>
    <s v="510509 Horas Extraordinarias y Suplementarias"/>
    <s v="G/510509/1FA101"/>
    <s v="001"/>
    <n v="0"/>
    <n v="0"/>
    <n v="2010.87"/>
    <n v="2010.87"/>
    <n v="0"/>
    <n v="0"/>
    <n v="0"/>
    <n v="2010.87"/>
    <n v="2010.87"/>
    <n v="2010.87"/>
  </r>
  <r>
    <s v="51"/>
    <x v="2"/>
    <x v="7"/>
    <s v="TM68F100"/>
    <x v="36"/>
    <s v="A101"/>
    <s v="FORTALECIMIENTO INSTITUCIONAL"/>
    <s v="GC00A10100004D"/>
    <s v="GC00A10100004D REMUNERACION PERSONAL"/>
    <s v="51 GASTOS EN PERSONAL"/>
    <s v="510509 Horas Extraordinarias y Suplementarias"/>
    <s v="G/510509/1FA101"/>
    <s v="001"/>
    <n v="0"/>
    <n v="0"/>
    <n v="1277.73"/>
    <n v="1277.73"/>
    <n v="0"/>
    <n v="0"/>
    <n v="0"/>
    <n v="1277.73"/>
    <n v="1277.73"/>
    <n v="1277.73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510 Servicios Personales por Contrato"/>
    <s v="G/510510/1DA101"/>
    <s v="002"/>
    <n v="0"/>
    <n v="8556"/>
    <n v="0"/>
    <n v="8556"/>
    <n v="1972.63"/>
    <n v="6583.37"/>
    <n v="6583.37"/>
    <n v="1972.63"/>
    <n v="1972.63"/>
    <n v="0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510 Servicios Personales por Contrato"/>
    <s v="G/510510/1NA101"/>
    <s v="002"/>
    <n v="435000"/>
    <n v="-18750"/>
    <n v="0"/>
    <n v="416250"/>
    <n v="50351.66"/>
    <n v="365898.34"/>
    <n v="365898.34"/>
    <n v="50351.66"/>
    <n v="50351.66"/>
    <n v="0"/>
  </r>
  <r>
    <s v="51"/>
    <x v="1"/>
    <x v="5"/>
    <s v="ZA01J000"/>
    <x v="8"/>
    <s v="A101"/>
    <s v="FORTALECIMIENTO INSTITUCIONAL"/>
    <s v="GC00A10100004D"/>
    <s v="GC00A10100004D REMUNERACION PERSONAL"/>
    <s v="51 GASTOS EN PERSONAL"/>
    <s v="510510 Servicios Personales por Contrato"/>
    <s v="G/510510/1JA101"/>
    <s v="002"/>
    <n v="54600"/>
    <n v="18750"/>
    <n v="0"/>
    <n v="73350"/>
    <n v="31875"/>
    <n v="41475"/>
    <n v="41475"/>
    <n v="31875"/>
    <n v="31875"/>
    <n v="0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510 Servicios Personales por Contrato"/>
    <s v="G/510510/1MA101"/>
    <s v="002"/>
    <n v="668928"/>
    <n v="-137760"/>
    <n v="0"/>
    <n v="531168"/>
    <n v="186143.5"/>
    <n v="345024.5"/>
    <n v="345024.5"/>
    <n v="186143.5"/>
    <n v="186143.5"/>
    <n v="0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510 Servicios Personales por Contrato"/>
    <s v="G/510510/1FA101"/>
    <s v="002"/>
    <n v="6516"/>
    <n v="10992"/>
    <n v="-6516"/>
    <n v="10992"/>
    <n v="6689.8"/>
    <n v="4302.2"/>
    <n v="4302.2"/>
    <n v="6689.8"/>
    <n v="6689.8"/>
    <n v="0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510 Servicios Personales por Contrato"/>
    <s v="G/510510/1KA101"/>
    <s v="001"/>
    <n v="0"/>
    <n v="0"/>
    <n v="127408.53"/>
    <n v="127408.53"/>
    <n v="0"/>
    <n v="142.6"/>
    <n v="0"/>
    <n v="127265.93"/>
    <n v="127408.53"/>
    <n v="127265.93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510 Servicios Personales por Contrato"/>
    <s v="G/510510/1IA101"/>
    <s v="001"/>
    <n v="0"/>
    <n v="19608"/>
    <n v="0"/>
    <n v="19608"/>
    <n v="11329.07"/>
    <n v="8278.93"/>
    <n v="8278.93"/>
    <n v="11329.07"/>
    <n v="11329.07"/>
    <n v="0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510 Servicios Personales por Contrato"/>
    <s v="G/510510/1FA101"/>
    <s v="002"/>
    <n v="0"/>
    <n v="23259"/>
    <n v="0"/>
    <n v="23259"/>
    <n v="13696.5"/>
    <n v="9562.5"/>
    <n v="9562.5"/>
    <n v="13696.5"/>
    <n v="13696.5"/>
    <n v="0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510 Servicios Personales por Contrato"/>
    <s v="G/510510/1IA101"/>
    <s v="001"/>
    <n v="0"/>
    <n v="9804"/>
    <n v="0"/>
    <n v="9804"/>
    <n v="4902"/>
    <n v="4902"/>
    <n v="4902"/>
    <n v="4902"/>
    <n v="4902"/>
    <n v="0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510 Servicios Personales por Contrato"/>
    <s v="G/510510/2QA101"/>
    <s v="002"/>
    <n v="45600"/>
    <n v="0"/>
    <n v="0"/>
    <n v="45600"/>
    <n v="15370"/>
    <n v="30230"/>
    <n v="30230"/>
    <n v="15370"/>
    <n v="15370"/>
    <n v="0"/>
  </r>
  <r>
    <s v="51"/>
    <x v="2"/>
    <x v="7"/>
    <s v="RB34F010"/>
    <x v="31"/>
    <s v="A101"/>
    <s v="FORTALECIMIENTO INSTITUCIONAL"/>
    <s v="GC00A10100004D"/>
    <s v="GC00A10100004D REMUNERACION PERSONAL"/>
    <s v="51 GASTOS EN PERSONAL"/>
    <s v="510510 Servicios Personales por Contrato"/>
    <s v="G/510510/1FA101"/>
    <s v="002"/>
    <n v="30000"/>
    <n v="0"/>
    <n v="0"/>
    <n v="30000"/>
    <n v="2500"/>
    <n v="27500"/>
    <n v="27500"/>
    <n v="2500"/>
    <n v="2500"/>
    <n v="0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510 Servicios Personales por Contrato"/>
    <s v="G/510510/1IA101"/>
    <s v="001"/>
    <n v="0"/>
    <n v="93138"/>
    <n v="150"/>
    <n v="93288"/>
    <n v="86002.87"/>
    <n v="7135.13"/>
    <n v="7135.13"/>
    <n v="86152.87"/>
    <n v="86152.87"/>
    <n v="150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510 Servicios Personales por Contrato"/>
    <s v="G/510510/1MA101"/>
    <s v="002"/>
    <n v="1198236"/>
    <n v="-955113"/>
    <n v="0"/>
    <n v="243123"/>
    <n v="74402.83"/>
    <n v="168720.17"/>
    <n v="168720.17"/>
    <n v="74402.83"/>
    <n v="74402.83"/>
    <n v="0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510 Servicios Personales por Contrato"/>
    <s v="G/510510/1NA101"/>
    <s v="002"/>
    <n v="1857516"/>
    <n v="0"/>
    <n v="0"/>
    <n v="1857516"/>
    <n v="323368"/>
    <n v="1534148"/>
    <n v="1534148"/>
    <n v="323368"/>
    <n v="323368"/>
    <n v="0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510 Servicios Personales por Contrato"/>
    <s v="G/510510/1FA101"/>
    <s v="002"/>
    <n v="18516"/>
    <n v="10665"/>
    <n v="-18516"/>
    <n v="10665"/>
    <n v="8144.77"/>
    <n v="2520.23"/>
    <n v="2520.23"/>
    <n v="8144.77"/>
    <n v="8144.77"/>
    <n v="0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510 Servicios Personales por Contrato"/>
    <s v="G/510510/1BA101"/>
    <s v="002"/>
    <n v="1531932"/>
    <n v="194181.65"/>
    <n v="-3958.16"/>
    <n v="1722155.49"/>
    <n v="0"/>
    <n v="1722155.49"/>
    <n v="1721980.49"/>
    <n v="0"/>
    <n v="175"/>
    <n v="0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510 Servicios Personales por Contrato"/>
    <s v="G/510510/1CA101"/>
    <s v="001"/>
    <n v="0"/>
    <n v="0"/>
    <n v="36000"/>
    <n v="36000"/>
    <n v="0"/>
    <n v="0"/>
    <n v="0"/>
    <n v="36000"/>
    <n v="36000"/>
    <n v="36000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510 Servicios Personales por Contrato"/>
    <s v="G/510510/1BA101"/>
    <s v="001"/>
    <n v="0"/>
    <n v="0"/>
    <n v="3958.16"/>
    <n v="3958.16"/>
    <n v="0"/>
    <n v="0"/>
    <n v="0"/>
    <n v="3958.16"/>
    <n v="3958.16"/>
    <n v="3958.16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510 Servicios Personales por Contrato"/>
    <s v="G/510510/1FA101"/>
    <s v="002"/>
    <n v="0"/>
    <n v="14478"/>
    <n v="0"/>
    <n v="14478"/>
    <n v="7001.54"/>
    <n v="7476.46"/>
    <n v="7476.46"/>
    <n v="7001.54"/>
    <n v="7001.54"/>
    <n v="0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510 Servicios Personales por Contrato"/>
    <s v="G/510510/1PA101"/>
    <s v="002"/>
    <n v="13140"/>
    <n v="0"/>
    <n v="0"/>
    <n v="13140"/>
    <n v="4380"/>
    <n v="8760"/>
    <n v="8760"/>
    <n v="4380"/>
    <n v="4380"/>
    <n v="0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510 Servicios Personales por Contrato"/>
    <s v="G/510510/1FA101"/>
    <s v="002"/>
    <n v="9804"/>
    <n v="5772"/>
    <n v="0"/>
    <n v="15576"/>
    <n v="3189.93"/>
    <n v="12386.07"/>
    <n v="12386.07"/>
    <n v="3189.93"/>
    <n v="3189.93"/>
    <n v="0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510 Servicios Personales por Contrato"/>
    <s v="G/510510/1KA101"/>
    <s v="002"/>
    <n v="504408"/>
    <n v="97670"/>
    <n v="-127408.53"/>
    <n v="474669.47"/>
    <n v="63450.1"/>
    <n v="411219.37"/>
    <n v="411219.37"/>
    <n v="63450.1"/>
    <n v="63450.1"/>
    <n v="0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510 Servicios Personales por Contrato"/>
    <s v="G/510510/1CA101"/>
    <s v="001"/>
    <n v="0"/>
    <n v="0"/>
    <n v="96000"/>
    <n v="96000"/>
    <n v="0"/>
    <n v="0"/>
    <n v="0"/>
    <n v="96000"/>
    <n v="96000"/>
    <n v="96000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510 Servicios Personales por Contrato"/>
    <s v="G/510510/1KA101"/>
    <s v="002"/>
    <n v="164400"/>
    <n v="0"/>
    <n v="-30000"/>
    <n v="134400"/>
    <n v="13250"/>
    <n v="121150"/>
    <n v="121150"/>
    <n v="13250"/>
    <n v="13250"/>
    <n v="0"/>
  </r>
  <r>
    <s v="51"/>
    <x v="2"/>
    <x v="8"/>
    <s v="FS66P020"/>
    <x v="13"/>
    <s v="A101"/>
    <s v="FORTALECIMIENTO INSTITUCIONAL"/>
    <s v="GC00A10100004D"/>
    <s v="GC00A10100004D REMUNERACION PERSONAL"/>
    <s v="51 GASTOS EN PERSONAL"/>
    <s v="510510 Servicios Personales por Contrato"/>
    <s v="G/510510/1PA101"/>
    <s v="002"/>
    <n v="138828"/>
    <n v="-88332"/>
    <n v="0"/>
    <n v="50496"/>
    <n v="9998"/>
    <n v="40498"/>
    <n v="40498"/>
    <n v="9998"/>
    <n v="9998"/>
    <n v="0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510 Servicios Personales por Contrato"/>
    <s v="G/510510/1LA101"/>
    <s v="001"/>
    <n v="0"/>
    <n v="43300"/>
    <n v="66752.789999999994"/>
    <n v="110052.79"/>
    <n v="21626.47"/>
    <n v="21673.53"/>
    <n v="21673.53"/>
    <n v="88379.26"/>
    <n v="88379.26"/>
    <n v="66752.789999999994"/>
  </r>
  <r>
    <s v="51"/>
    <x v="0"/>
    <x v="0"/>
    <s v="RP36A010"/>
    <x v="0"/>
    <s v="A101"/>
    <s v="FORTALECIMIENTO INSTITUCIONAL"/>
    <s v="GC00A10100004D"/>
    <s v="GC00A10100004D REMUNERACION PERSONAL"/>
    <s v="51 GASTOS EN PERSONAL"/>
    <s v="510510 Servicios Personales por Contrato"/>
    <s v="G/510510/1AA101"/>
    <s v="002"/>
    <n v="231084"/>
    <n v="0"/>
    <n v="0"/>
    <n v="231084"/>
    <n v="64321.17"/>
    <n v="166762.82999999999"/>
    <n v="166762.82999999999"/>
    <n v="64321.17"/>
    <n v="64321.17"/>
    <n v="0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510 Servicios Personales por Contrato"/>
    <s v="G/510510/1AA101"/>
    <s v="002"/>
    <n v="1100460"/>
    <n v="99110.399999999994"/>
    <n v="-122768.4"/>
    <n v="1076802"/>
    <n v="379503.83"/>
    <n v="697298.17"/>
    <n v="697298.17"/>
    <n v="379503.83"/>
    <n v="379503.83"/>
    <n v="0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510 Servicios Personales por Contrato"/>
    <s v="G/510510/1LA101"/>
    <s v="002"/>
    <n v="252372"/>
    <n v="27305"/>
    <n v="-43137"/>
    <n v="236540"/>
    <n v="57.63"/>
    <n v="236482.37"/>
    <n v="236482.37"/>
    <n v="57.63"/>
    <n v="57.63"/>
    <n v="0"/>
  </r>
  <r>
    <s v="51"/>
    <x v="3"/>
    <x v="11"/>
    <s v="ZA01H000"/>
    <x v="19"/>
    <s v="A101"/>
    <s v="FORTALECIMIENTO INSTITUCIONAL"/>
    <s v="GC00A10100004D"/>
    <s v="GC00A10100004D REMUNERACION PERSONAL"/>
    <s v="51 GASTOS EN PERSONAL"/>
    <s v="510510 Servicios Personales por Contrato"/>
    <s v="G/510510/1HA101"/>
    <s v="002"/>
    <n v="60600"/>
    <n v="-24600"/>
    <n v="0"/>
    <n v="36000"/>
    <n v="3000"/>
    <n v="33000"/>
    <n v="33000"/>
    <n v="3000"/>
    <n v="3000"/>
    <n v="0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510 Servicios Personales por Contrato"/>
    <s v="G/510510/1AA101"/>
    <s v="001"/>
    <n v="0"/>
    <n v="0"/>
    <n v="122768.4"/>
    <n v="122768.4"/>
    <n v="0"/>
    <n v="0"/>
    <n v="0"/>
    <n v="122768.4"/>
    <n v="122768.4"/>
    <n v="122768.4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510 Servicios Personales por Contrato"/>
    <s v="G/510510/1EA101"/>
    <s v="002"/>
    <n v="435960"/>
    <n v="0"/>
    <n v="0"/>
    <n v="435960"/>
    <n v="88575.96"/>
    <n v="347384.04"/>
    <n v="347384.04"/>
    <n v="88575.96"/>
    <n v="88575.96"/>
    <n v="0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510 Servicios Personales por Contrato"/>
    <s v="G/510510/1IA101"/>
    <s v="002"/>
    <n v="435156"/>
    <n v="234326"/>
    <n v="-150"/>
    <n v="669332"/>
    <n v="198676.63"/>
    <n v="470655.37"/>
    <n v="470628.14"/>
    <n v="198676.63"/>
    <n v="198703.86"/>
    <n v="0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510 Servicios Personales por Contrato"/>
    <s v="G/510510/1GA101"/>
    <s v="002"/>
    <n v="173280"/>
    <n v="7692"/>
    <n v="0"/>
    <n v="180972"/>
    <n v="21235.57"/>
    <n v="159736.43"/>
    <n v="159736.43"/>
    <n v="21235.57"/>
    <n v="21235.57"/>
    <n v="0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510 Servicios Personales por Contrato"/>
    <s v="G/510510/1CA101"/>
    <s v="002"/>
    <n v="787200"/>
    <n v="-30000"/>
    <n v="-96000"/>
    <n v="661200"/>
    <n v="276490"/>
    <n v="384710"/>
    <n v="384710"/>
    <n v="276490"/>
    <n v="276490"/>
    <n v="0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510 Servicios Personales por Contrato"/>
    <s v="G/510510/1FA101"/>
    <s v="002"/>
    <n v="0"/>
    <n v="5220"/>
    <n v="0"/>
    <n v="5220"/>
    <n v="3582.7"/>
    <n v="1637.3"/>
    <n v="1637.3"/>
    <n v="3582.7"/>
    <n v="3582.7"/>
    <n v="0"/>
  </r>
  <r>
    <s v="51"/>
    <x v="2"/>
    <x v="7"/>
    <s v="ZA01F000"/>
    <x v="25"/>
    <s v="A101"/>
    <s v="FORTALECIMIENTO INSTITUCIONAL"/>
    <s v="GC00A10100004D"/>
    <s v="GC00A10100004D REMUNERACION PERSONAL"/>
    <s v="51 GASTOS EN PERSONAL"/>
    <s v="510510 Servicios Personales por Contrato"/>
    <s v="G/510510/1FA101"/>
    <s v="002"/>
    <n v="227328"/>
    <n v="2961.66"/>
    <n v="-50"/>
    <n v="230239.66"/>
    <n v="104483"/>
    <n v="125756.66"/>
    <n v="125756.66"/>
    <n v="104483"/>
    <n v="104483"/>
    <n v="0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510 Servicios Personales por Contrato"/>
    <s v="G/510510/1IA101"/>
    <s v="001"/>
    <n v="0"/>
    <n v="9804"/>
    <n v="0"/>
    <n v="9804"/>
    <n v="2859.5"/>
    <n v="6944.5"/>
    <n v="6944.5"/>
    <n v="2859.5"/>
    <n v="2859.5"/>
    <n v="0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510 Servicios Personales por Contrato"/>
    <s v="G/510510/1IA101"/>
    <s v="001"/>
    <n v="0"/>
    <n v="19608"/>
    <n v="0"/>
    <n v="19608"/>
    <n v="14706"/>
    <n v="4902"/>
    <n v="4902"/>
    <n v="14706"/>
    <n v="14706"/>
    <n v="0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510 Servicios Personales por Contrato"/>
    <s v="G/510510/1KA101"/>
    <s v="001"/>
    <n v="0"/>
    <n v="0"/>
    <n v="30000"/>
    <n v="30000"/>
    <n v="0"/>
    <n v="0"/>
    <n v="0"/>
    <n v="30000"/>
    <n v="30000"/>
    <n v="30000"/>
  </r>
  <r>
    <s v="51"/>
    <x v="2"/>
    <x v="7"/>
    <s v="ZA01F000"/>
    <x v="25"/>
    <s v="A101"/>
    <s v="FORTALECIMIENTO INSTITUCIONAL"/>
    <s v="GC00A10100004D"/>
    <s v="GC00A10100004D REMUNERACION PERSONAL"/>
    <s v="51 GASTOS EN PERSONAL"/>
    <s v="510510 Servicios Personales por Contrato"/>
    <s v="G/510510/1FA101"/>
    <s v="001"/>
    <n v="0"/>
    <n v="0"/>
    <n v="50"/>
    <n v="50"/>
    <n v="0"/>
    <n v="0"/>
    <n v="0"/>
    <n v="50"/>
    <n v="50"/>
    <n v="50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510 Servicios Personales por Contrato"/>
    <s v="G/510510/1CA101"/>
    <s v="002"/>
    <n v="998400"/>
    <n v="0"/>
    <n v="-36000"/>
    <n v="962400"/>
    <n v="105660.93"/>
    <n v="856739.07"/>
    <n v="856739.07"/>
    <n v="105660.93"/>
    <n v="105660.93"/>
    <n v="0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510 Servicios Personales por Contrato"/>
    <s v="G/510510/1CA101"/>
    <s v="002"/>
    <n v="42072"/>
    <n v="30000"/>
    <n v="0"/>
    <n v="72072"/>
    <n v="9512"/>
    <n v="62560"/>
    <n v="62560"/>
    <n v="9512"/>
    <n v="9512"/>
    <n v="0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510 Servicios Personales por Contrato"/>
    <s v="G/510510/1IA101"/>
    <s v="001"/>
    <n v="0"/>
    <n v="19608"/>
    <n v="0"/>
    <n v="19608"/>
    <n v="7570.87"/>
    <n v="12037.13"/>
    <n v="12037.13"/>
    <n v="7570.87"/>
    <n v="7570.87"/>
    <n v="0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510 Servicios Personales por Contrato"/>
    <s v="G/510510/1FA101"/>
    <s v="002"/>
    <n v="8556"/>
    <n v="-8556"/>
    <n v="0"/>
    <n v="0"/>
    <n v="0"/>
    <n v="0"/>
    <n v="0"/>
    <n v="0"/>
    <n v="0"/>
    <n v="0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510 Servicios Personales por Contrato"/>
    <s v="G/510510/1MA101"/>
    <s v="002"/>
    <n v="43236"/>
    <n v="297326"/>
    <n v="0"/>
    <n v="340562"/>
    <n v="105403.39"/>
    <n v="235158.61"/>
    <n v="235158.61"/>
    <n v="105403.39"/>
    <n v="105403.39"/>
    <n v="0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510 Servicios Personales por Contrato"/>
    <s v="G/510510/1MA101"/>
    <s v="002"/>
    <n v="54144"/>
    <n v="333288"/>
    <n v="0"/>
    <n v="387432"/>
    <n v="70154.41"/>
    <n v="317277.59000000003"/>
    <n v="317277.59000000003"/>
    <n v="70154.41"/>
    <n v="70154.41"/>
    <n v="0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510 Servicios Personales por Contrato"/>
    <s v="G/510510/1IA101"/>
    <s v="001"/>
    <n v="0"/>
    <n v="9804"/>
    <n v="0"/>
    <n v="9804"/>
    <n v="2668.87"/>
    <n v="7135.13"/>
    <n v="7135.13"/>
    <n v="2668.87"/>
    <n v="2668.87"/>
    <n v="0"/>
  </r>
  <r>
    <s v="51"/>
    <x v="0"/>
    <x v="1"/>
    <s v="ZA01C060"/>
    <x v="12"/>
    <s v="A101"/>
    <s v="FORTALECIMIENTO INSTITUCIONAL"/>
    <s v="GC00A10100004D"/>
    <s v="GC00A10100004D REMUNERACION PERSONAL"/>
    <s v="51 GASTOS EN PERSONAL"/>
    <s v="510510 Servicios Personales por Contrato"/>
    <s v="G/510510/1CA101"/>
    <s v="002"/>
    <n v="8088"/>
    <n v="0"/>
    <n v="0"/>
    <n v="8088"/>
    <n v="2696"/>
    <n v="5392"/>
    <n v="5392"/>
    <n v="2696"/>
    <n v="2696"/>
    <n v="0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510 Servicios Personales por Contrato"/>
    <s v="G/510510/1IA101"/>
    <s v="001"/>
    <n v="0"/>
    <n v="19608"/>
    <n v="0"/>
    <n v="19608"/>
    <n v="7570.87"/>
    <n v="12037.13"/>
    <n v="12037.13"/>
    <n v="7570.87"/>
    <n v="7570.87"/>
    <n v="0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512 Subrogación"/>
    <s v="G/510512/1NA101"/>
    <s v="002"/>
    <n v="19015.07"/>
    <n v="0"/>
    <n v="-17621.73"/>
    <n v="1393.34"/>
    <n v="0"/>
    <n v="1393.34"/>
    <n v="1393.34"/>
    <n v="0"/>
    <n v="0"/>
    <n v="0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512 Subrogación"/>
    <s v="G/510512/1MA101"/>
    <s v="002"/>
    <n v="3635.4"/>
    <n v="0"/>
    <n v="-3420.9"/>
    <n v="214.5"/>
    <n v="0"/>
    <n v="214.5"/>
    <n v="214.5"/>
    <n v="0"/>
    <n v="0"/>
    <n v="0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512 Subrogación"/>
    <s v="G/510512/1MA101"/>
    <s v="002"/>
    <n v="5286.67"/>
    <n v="0"/>
    <n v="-5063.47"/>
    <n v="223.2"/>
    <n v="0"/>
    <n v="223.2"/>
    <n v="223.2"/>
    <n v="0"/>
    <n v="0"/>
    <n v="0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512 Subrogación"/>
    <s v="G/510512/1BA101"/>
    <s v="001"/>
    <n v="0"/>
    <n v="0"/>
    <n v="7978.59"/>
    <n v="7978.59"/>
    <n v="0"/>
    <n v="190"/>
    <n v="190"/>
    <n v="7788.59"/>
    <n v="7788.59"/>
    <n v="7788.59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512 Subrogación"/>
    <s v="G/510512/1NA101"/>
    <s v="002"/>
    <n v="6990.7"/>
    <n v="0"/>
    <n v="-6671.03"/>
    <n v="319.67"/>
    <n v="0"/>
    <n v="319.67"/>
    <n v="319.67"/>
    <n v="0"/>
    <n v="0"/>
    <n v="0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512 Subrogación"/>
    <s v="G/510512/1GA101"/>
    <s v="002"/>
    <n v="4680.32"/>
    <n v="0"/>
    <n v="-4026.32"/>
    <n v="654"/>
    <n v="0"/>
    <n v="654"/>
    <n v="654"/>
    <n v="0"/>
    <n v="0"/>
    <n v="0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512 Subrogación"/>
    <s v="G/510512/1MA101"/>
    <s v="002"/>
    <n v="9353.16"/>
    <n v="0"/>
    <n v="-8033.16"/>
    <n v="1320"/>
    <n v="0"/>
    <n v="1320"/>
    <n v="1320"/>
    <n v="0"/>
    <n v="0"/>
    <n v="0"/>
  </r>
  <r>
    <s v="51"/>
    <x v="1"/>
    <x v="5"/>
    <s v="ZA01J000"/>
    <x v="8"/>
    <s v="A101"/>
    <s v="FORTALECIMIENTO INSTITUCIONAL"/>
    <s v="GC00A10100004D"/>
    <s v="GC00A10100004D REMUNERACION PERSONAL"/>
    <s v="51 GASTOS EN PERSONAL"/>
    <s v="510512 Subrogación"/>
    <s v="G/510512/1JA101"/>
    <s v="002"/>
    <n v="5025.43"/>
    <n v="0"/>
    <n v="-4700.43"/>
    <n v="325"/>
    <n v="0"/>
    <n v="325"/>
    <n v="325"/>
    <n v="0"/>
    <n v="0"/>
    <n v="0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512 Subrogación"/>
    <s v="G/510512/1EA101"/>
    <s v="002"/>
    <n v="1678.99"/>
    <n v="0"/>
    <n v="-949.92"/>
    <n v="729.07"/>
    <n v="0"/>
    <n v="729.07"/>
    <n v="729.07"/>
    <n v="0"/>
    <n v="0"/>
    <n v="0"/>
  </r>
  <r>
    <s v="51"/>
    <x v="2"/>
    <x v="7"/>
    <s v="RB34F010"/>
    <x v="31"/>
    <s v="A101"/>
    <s v="FORTALECIMIENTO INSTITUCIONAL"/>
    <s v="GC00A10100004D"/>
    <s v="GC00A10100004D REMUNERACION PERSONAL"/>
    <s v="51 GASTOS EN PERSONAL"/>
    <s v="510512 Subrogación"/>
    <s v="G/510512/1FA101"/>
    <s v="002"/>
    <n v="3556.91"/>
    <n v="0"/>
    <n v="-3356.91"/>
    <n v="200"/>
    <n v="0"/>
    <n v="200"/>
    <n v="200"/>
    <n v="0"/>
    <n v="0"/>
    <n v="0"/>
  </r>
  <r>
    <s v="51"/>
    <x v="0"/>
    <x v="1"/>
    <s v="ZA01C060"/>
    <x v="12"/>
    <s v="A101"/>
    <s v="FORTALECIMIENTO INSTITUCIONAL"/>
    <s v="GC00A10100004D"/>
    <s v="GC00A10100004D REMUNERACION PERSONAL"/>
    <s v="51 GASTOS EN PERSONAL"/>
    <s v="510512 Subrogación"/>
    <s v="G/510512/1CA101"/>
    <s v="002"/>
    <n v="439.33"/>
    <n v="1000"/>
    <n v="-239.33"/>
    <n v="1200"/>
    <n v="0"/>
    <n v="1200"/>
    <n v="1200"/>
    <n v="0"/>
    <n v="0"/>
    <n v="0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512 Subrogación"/>
    <s v="G/510512/1PA101"/>
    <s v="002"/>
    <n v="3542.65"/>
    <n v="1430"/>
    <n v="-0.4"/>
    <n v="4972.25"/>
    <n v="0"/>
    <n v="4972.25"/>
    <n v="4972.25"/>
    <n v="0"/>
    <n v="0"/>
    <n v="0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512 Subrogación"/>
    <s v="G/510512/1BA101"/>
    <s v="002"/>
    <n v="2459.2399999999998"/>
    <n v="11601.24"/>
    <n v="-7978.59"/>
    <n v="6081.89"/>
    <n v="0"/>
    <n v="6081.89"/>
    <n v="6081.89"/>
    <n v="0"/>
    <n v="0"/>
    <n v="0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512 Subrogación"/>
    <s v="G/510512/1KA101"/>
    <s v="002"/>
    <n v="4385.5600000000004"/>
    <n v="0"/>
    <n v="-3910.56"/>
    <n v="475"/>
    <n v="0"/>
    <n v="475"/>
    <n v="475"/>
    <n v="0"/>
    <n v="0"/>
    <n v="0"/>
  </r>
  <r>
    <s v="51"/>
    <x v="0"/>
    <x v="0"/>
    <s v="RP36A010"/>
    <x v="0"/>
    <s v="A101"/>
    <s v="FORTALECIMIENTO INSTITUCIONAL"/>
    <s v="GC00A10100004D"/>
    <s v="GC00A10100004D REMUNERACION PERSONAL"/>
    <s v="51 GASTOS EN PERSONAL"/>
    <s v="510512 Subrogación"/>
    <s v="G/510512/1AA101"/>
    <s v="002"/>
    <n v="16920.57"/>
    <n v="-1500"/>
    <n v="-12994.6"/>
    <n v="2425.9699999999998"/>
    <n v="0"/>
    <n v="2425.9699999999998"/>
    <n v="2425.9699999999998"/>
    <n v="0"/>
    <n v="0"/>
    <n v="0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512 Subrogación"/>
    <s v="G/510512/1LA101"/>
    <s v="002"/>
    <n v="7048.22"/>
    <n v="0"/>
    <n v="-6754.22"/>
    <n v="294"/>
    <n v="0"/>
    <n v="294"/>
    <n v="294"/>
    <n v="0"/>
    <n v="0"/>
    <n v="0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512 Subrogación"/>
    <s v="G/510512/1AA101"/>
    <s v="002"/>
    <n v="22647.1"/>
    <n v="12595"/>
    <n v="-10866.66"/>
    <n v="24375.439999999999"/>
    <n v="0"/>
    <n v="24375.439999999999"/>
    <n v="24375.439999999999"/>
    <n v="0"/>
    <n v="0"/>
    <n v="0"/>
  </r>
  <r>
    <s v="51"/>
    <x v="2"/>
    <x v="8"/>
    <s v="FS66P020"/>
    <x v="13"/>
    <s v="A101"/>
    <s v="FORTALECIMIENTO INSTITUCIONAL"/>
    <s v="GC00A10100004D"/>
    <s v="GC00A10100004D REMUNERACION PERSONAL"/>
    <s v="51 GASTOS EN PERSONAL"/>
    <s v="510512 Subrogación"/>
    <s v="G/510512/1PA101"/>
    <s v="002"/>
    <n v="6034.04"/>
    <n v="-2758.93"/>
    <n v="-2758.94"/>
    <n v="516.16999999999996"/>
    <n v="0"/>
    <n v="516.16999999999996"/>
    <n v="516.16999999999996"/>
    <n v="0"/>
    <n v="0"/>
    <n v="0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512 Subrogación"/>
    <s v="G/510512/1KA101"/>
    <s v="002"/>
    <n v="36799.160000000003"/>
    <n v="0"/>
    <n v="-32136.560000000001"/>
    <n v="4662.6000000000004"/>
    <n v="0"/>
    <n v="4662.6000000000004"/>
    <n v="4662.6000000000004"/>
    <n v="0"/>
    <n v="0"/>
    <n v="0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512 Subrogación"/>
    <s v="G/510512/1CA101"/>
    <s v="002"/>
    <n v="1765.1"/>
    <n v="0"/>
    <n v="-1731.77"/>
    <n v="33.33"/>
    <n v="0"/>
    <n v="33.33"/>
    <n v="33.33"/>
    <n v="0"/>
    <n v="0"/>
    <n v="0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512 Subrogación"/>
    <s v="G/510512/1CA101"/>
    <s v="002"/>
    <n v="5240.82"/>
    <n v="4431"/>
    <n v="-0.82"/>
    <n v="9671"/>
    <n v="0"/>
    <n v="9671"/>
    <n v="9671"/>
    <n v="0"/>
    <n v="0"/>
    <n v="0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512 Subrogación"/>
    <s v="G/510512/1FA101"/>
    <s v="002"/>
    <n v="8830.42"/>
    <n v="0"/>
    <n v="-8073.55"/>
    <n v="756.87"/>
    <n v="0"/>
    <n v="756.87"/>
    <n v="756.87"/>
    <n v="0"/>
    <n v="0"/>
    <n v="0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512 Subrogación"/>
    <s v="G/510512/1FA101"/>
    <s v="002"/>
    <n v="4121.46"/>
    <n v="848.01"/>
    <n v="0"/>
    <n v="4969.47"/>
    <n v="0"/>
    <n v="4969.47"/>
    <n v="4969.47"/>
    <n v="0"/>
    <n v="0"/>
    <n v="0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512 Subrogación"/>
    <s v="G/510512/1FA101"/>
    <s v="002"/>
    <n v="3779.56"/>
    <n v="0"/>
    <n v="-3016.86"/>
    <n v="762.7"/>
    <n v="0"/>
    <n v="762.7"/>
    <n v="762.7"/>
    <n v="0"/>
    <n v="0"/>
    <n v="0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512 Subrogación"/>
    <s v="G/510512/1FA101"/>
    <s v="002"/>
    <n v="6222.72"/>
    <n v="0"/>
    <n v="-1100.42"/>
    <n v="5122.3"/>
    <n v="0"/>
    <n v="5122.3"/>
    <n v="5122.3"/>
    <n v="0"/>
    <n v="0"/>
    <n v="0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512 Subrogación"/>
    <s v="G/510512/1FA101"/>
    <s v="002"/>
    <n v="3027.59"/>
    <n v="1056"/>
    <n v="-1150.72"/>
    <n v="2932.87"/>
    <n v="0"/>
    <n v="2932.87"/>
    <n v="2932.87"/>
    <n v="0"/>
    <n v="0"/>
    <n v="0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512 Subrogación"/>
    <s v="G/510512/1FA101"/>
    <s v="002"/>
    <n v="6150.4"/>
    <n v="0"/>
    <n v="-4535.07"/>
    <n v="1615.33"/>
    <n v="0"/>
    <n v="1615.33"/>
    <n v="1615.33"/>
    <n v="0"/>
    <n v="0"/>
    <n v="0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512 Subrogación"/>
    <s v="G/510512/1DA101"/>
    <s v="002"/>
    <n v="3663.04"/>
    <n v="0"/>
    <n v="-3253.04"/>
    <n v="410"/>
    <n v="0"/>
    <n v="410"/>
    <n v="410"/>
    <n v="0"/>
    <n v="0"/>
    <n v="0"/>
  </r>
  <r>
    <s v="51"/>
    <x v="2"/>
    <x v="7"/>
    <s v="ZA01F000"/>
    <x v="25"/>
    <s v="A101"/>
    <s v="FORTALECIMIENTO INSTITUCIONAL"/>
    <s v="GC00A10100004D"/>
    <s v="GC00A10100004D REMUNERACION PERSONAL"/>
    <s v="51 GASTOS EN PERSONAL"/>
    <s v="510512 Subrogación"/>
    <s v="G/510512/1FA101"/>
    <s v="002"/>
    <n v="12953.1"/>
    <n v="0"/>
    <n v="-12713.1"/>
    <n v="240"/>
    <n v="0"/>
    <n v="240"/>
    <n v="240"/>
    <n v="0"/>
    <n v="0"/>
    <n v="0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512 Subrogación"/>
    <s v="G/510512/2QA101"/>
    <s v="002"/>
    <n v="2459.2399999999998"/>
    <n v="0"/>
    <n v="-2090.91"/>
    <n v="368.33"/>
    <n v="0"/>
    <n v="368.33"/>
    <n v="368.33"/>
    <n v="0"/>
    <n v="0"/>
    <n v="0"/>
  </r>
  <r>
    <s v="51"/>
    <x v="2"/>
    <x v="7"/>
    <s v="TM68F100"/>
    <x v="36"/>
    <s v="A101"/>
    <s v="FORTALECIMIENTO INSTITUCIONAL"/>
    <s v="GC00A10100004D"/>
    <s v="GC00A10100004D REMUNERACION PERSONAL"/>
    <s v="51 GASTOS EN PERSONAL"/>
    <s v="510512 Subrogación"/>
    <s v="G/510512/1FA101"/>
    <s v="002"/>
    <n v="6704.68"/>
    <n v="0"/>
    <n v="-5973.68"/>
    <n v="731"/>
    <n v="0"/>
    <n v="731"/>
    <n v="731"/>
    <n v="0"/>
    <n v="0"/>
    <n v="0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512 Subrogación"/>
    <s v="G/510512/1AA101"/>
    <s v="001"/>
    <n v="0"/>
    <n v="0"/>
    <n v="5780.29"/>
    <n v="5780.29"/>
    <n v="0"/>
    <n v="2443.5"/>
    <n v="2443.5"/>
    <n v="3336.79"/>
    <n v="3336.79"/>
    <n v="3336.79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512 Subrogación"/>
    <s v="G/510512/1FA101"/>
    <s v="002"/>
    <n v="3422.36"/>
    <n v="0"/>
    <n v="-3422.36"/>
    <n v="0"/>
    <n v="0"/>
    <n v="0"/>
    <n v="0"/>
    <n v="0"/>
    <n v="0"/>
    <n v="0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512 Subrogación"/>
    <s v="G/510512/1IA101"/>
    <s v="001"/>
    <n v="0"/>
    <n v="0"/>
    <n v="687.4"/>
    <n v="687.4"/>
    <n v="0"/>
    <n v="0"/>
    <n v="0"/>
    <n v="687.4"/>
    <n v="687.4"/>
    <n v="687.4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512 Subrogación"/>
    <s v="G/510512/1IA101"/>
    <s v="001"/>
    <n v="0"/>
    <n v="0"/>
    <n v="952.65"/>
    <n v="952.65"/>
    <n v="0"/>
    <n v="0"/>
    <n v="0"/>
    <n v="952.65"/>
    <n v="952.65"/>
    <n v="952.65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512 Subrogación"/>
    <s v="G/510512/1KA101"/>
    <s v="001"/>
    <n v="0"/>
    <n v="0"/>
    <n v="1876.11"/>
    <n v="1876.11"/>
    <n v="0"/>
    <n v="0"/>
    <n v="0"/>
    <n v="1876.11"/>
    <n v="1876.11"/>
    <n v="1876.11"/>
  </r>
  <r>
    <s v="51"/>
    <x v="1"/>
    <x v="5"/>
    <s v="ZA01J000"/>
    <x v="8"/>
    <s v="A101"/>
    <s v="FORTALECIMIENTO INSTITUCIONAL"/>
    <s v="GC00A10100004D"/>
    <s v="GC00A10100004D REMUNERACION PERSONAL"/>
    <s v="51 GASTOS EN PERSONAL"/>
    <s v="510512 Subrogación"/>
    <s v="G/510512/1JA101"/>
    <s v="001"/>
    <n v="0"/>
    <n v="0"/>
    <n v="2350.21"/>
    <n v="2350.21"/>
    <n v="0"/>
    <n v="0"/>
    <n v="0"/>
    <n v="2350.21"/>
    <n v="2350.21"/>
    <n v="2350.21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512 Subrogación"/>
    <s v="G/510512/1IA101"/>
    <s v="001"/>
    <n v="0"/>
    <n v="0"/>
    <n v="3601.08"/>
    <n v="3601.08"/>
    <n v="0"/>
    <n v="0"/>
    <n v="0"/>
    <n v="3601.08"/>
    <n v="3601.08"/>
    <n v="3601.08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512 Subrogación"/>
    <s v="G/510512/1GA101"/>
    <s v="001"/>
    <n v="0"/>
    <n v="0"/>
    <n v="2013.16"/>
    <n v="2013.16"/>
    <n v="0"/>
    <n v="0"/>
    <n v="0"/>
    <n v="2013.16"/>
    <n v="2013.16"/>
    <n v="2013.16"/>
  </r>
  <r>
    <s v="51"/>
    <x v="3"/>
    <x v="11"/>
    <s v="ZA01H000"/>
    <x v="19"/>
    <s v="A101"/>
    <s v="FORTALECIMIENTO INSTITUCIONAL"/>
    <s v="GC00A10100004D"/>
    <s v="GC00A10100004D REMUNERACION PERSONAL"/>
    <s v="51 GASTOS EN PERSONAL"/>
    <s v="510512 Subrogación"/>
    <s v="G/510512/1HA101"/>
    <s v="002"/>
    <n v="2076.64"/>
    <n v="-2076.64"/>
    <n v="0"/>
    <n v="0"/>
    <n v="0"/>
    <n v="0"/>
    <n v="0"/>
    <n v="0"/>
    <n v="0"/>
    <n v="0"/>
  </r>
  <r>
    <s v="51"/>
    <x v="2"/>
    <x v="7"/>
    <s v="ZA01F000"/>
    <x v="25"/>
    <s v="A101"/>
    <s v="FORTALECIMIENTO INSTITUCIONAL"/>
    <s v="GC00A10100004D"/>
    <s v="GC00A10100004D REMUNERACION PERSONAL"/>
    <s v="51 GASTOS EN PERSONAL"/>
    <s v="510512 Subrogación"/>
    <s v="G/510512/1FA101"/>
    <s v="001"/>
    <n v="0"/>
    <n v="0"/>
    <n v="6356.55"/>
    <n v="6356.55"/>
    <n v="0"/>
    <n v="0"/>
    <n v="0"/>
    <n v="6356.55"/>
    <n v="6356.55"/>
    <n v="6356.55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512 Subrogación"/>
    <s v="G/510512/1EA101"/>
    <s v="001"/>
    <n v="0"/>
    <n v="0"/>
    <n v="474.96"/>
    <n v="474.96"/>
    <n v="0"/>
    <n v="0"/>
    <n v="0"/>
    <n v="474.96"/>
    <n v="474.96"/>
    <n v="474.96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512 Subrogación"/>
    <s v="G/510512/1NA101"/>
    <s v="001"/>
    <n v="0"/>
    <n v="0"/>
    <n v="8735.86"/>
    <n v="8735.86"/>
    <n v="0"/>
    <n v="0"/>
    <n v="0"/>
    <n v="8735.86"/>
    <n v="8735.86"/>
    <n v="8735.86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512 Subrogación"/>
    <s v="G/510512/1FA101"/>
    <s v="001"/>
    <n v="0"/>
    <n v="0"/>
    <n v="3937.97"/>
    <n v="3937.97"/>
    <n v="0"/>
    <n v="279.93"/>
    <n v="279.93"/>
    <n v="3658.04"/>
    <n v="3658.04"/>
    <n v="3658.04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512 Subrogación"/>
    <s v="G/510512/1IA101"/>
    <s v="001"/>
    <n v="0"/>
    <n v="0"/>
    <n v="588.14"/>
    <n v="588.14"/>
    <n v="0"/>
    <n v="0"/>
    <n v="0"/>
    <n v="588.14"/>
    <n v="588.14"/>
    <n v="588.14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512 Subrogación"/>
    <s v="G/510512/1IA101"/>
    <s v="001"/>
    <n v="0"/>
    <n v="0"/>
    <n v="1462.98"/>
    <n v="1462.98"/>
    <n v="0"/>
    <n v="0"/>
    <n v="0"/>
    <n v="1462.98"/>
    <n v="1462.98"/>
    <n v="1462.98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512 Subrogación"/>
    <s v="G/510512/1DA101"/>
    <s v="001"/>
    <n v="0"/>
    <n v="0"/>
    <n v="1626.52"/>
    <n v="1626.52"/>
    <n v="0"/>
    <n v="0"/>
    <n v="0"/>
    <n v="1626.52"/>
    <n v="1626.52"/>
    <n v="1626.52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512 Subrogación"/>
    <s v="G/510512/1CA101"/>
    <s v="001"/>
    <n v="0"/>
    <n v="0"/>
    <n v="7598.64"/>
    <n v="7598.64"/>
    <n v="0"/>
    <n v="0"/>
    <n v="0"/>
    <n v="7598.64"/>
    <n v="7598.64"/>
    <n v="7598.64"/>
  </r>
  <r>
    <s v="51"/>
    <x v="0"/>
    <x v="1"/>
    <s v="ZA01C060"/>
    <x v="12"/>
    <s v="A101"/>
    <s v="FORTALECIMIENTO INSTITUCIONAL"/>
    <s v="GC00A10100004D"/>
    <s v="GC00A10100004D REMUNERACION PERSONAL"/>
    <s v="51 GASTOS EN PERSONAL"/>
    <s v="510512 Subrogación"/>
    <s v="G/510512/1CA101"/>
    <s v="001"/>
    <n v="0"/>
    <n v="0"/>
    <n v="19.66"/>
    <n v="19.66"/>
    <n v="0"/>
    <n v="0"/>
    <n v="0"/>
    <n v="19.66"/>
    <n v="19.66"/>
    <n v="19.66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512 Subrogación"/>
    <s v="G/510512/1IA101"/>
    <s v="002"/>
    <n v="7202.16"/>
    <n v="0"/>
    <n v="-7202.16"/>
    <n v="0"/>
    <n v="0"/>
    <n v="0"/>
    <n v="0"/>
    <n v="0"/>
    <n v="0"/>
    <n v="0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512 Subrogación"/>
    <s v="G/510512/1CA101"/>
    <s v="002"/>
    <n v="8299.35"/>
    <n v="0"/>
    <n v="-8299.35"/>
    <n v="0"/>
    <n v="0"/>
    <n v="0"/>
    <n v="0"/>
    <n v="0"/>
    <n v="0"/>
    <n v="0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512 Subrogación"/>
    <s v="G/510512/1MA101"/>
    <s v="001"/>
    <n v="0"/>
    <n v="0"/>
    <n v="1710.45"/>
    <n v="1710.45"/>
    <n v="0"/>
    <n v="0"/>
    <n v="0"/>
    <n v="1710.45"/>
    <n v="1710.45"/>
    <n v="1710.45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512 Subrogación"/>
    <s v="G/510512/1KA101"/>
    <s v="001"/>
    <n v="0"/>
    <n v="0"/>
    <n v="13976.48"/>
    <n v="13976.48"/>
    <n v="0"/>
    <n v="697"/>
    <n v="697"/>
    <n v="13279.48"/>
    <n v="13279.48"/>
    <n v="13279.48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512 Subrogación"/>
    <s v="G/510512/1IA101"/>
    <s v="002"/>
    <n v="2580.37"/>
    <n v="0"/>
    <n v="-2580.37"/>
    <n v="0"/>
    <n v="0"/>
    <n v="0"/>
    <n v="0"/>
    <n v="0"/>
    <n v="0"/>
    <n v="0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512 Subrogación"/>
    <s v="G/510512/1IA101"/>
    <s v="002"/>
    <n v="1616.59"/>
    <n v="0"/>
    <n v="-1616.59"/>
    <n v="0"/>
    <n v="0"/>
    <n v="0"/>
    <n v="0"/>
    <n v="0"/>
    <n v="0"/>
    <n v="0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512 Subrogación"/>
    <s v="G/510512/1FA101"/>
    <s v="001"/>
    <n v="0"/>
    <n v="0"/>
    <n v="1263.1600000000001"/>
    <n v="1263.1600000000001"/>
    <n v="0"/>
    <n v="470"/>
    <n v="470"/>
    <n v="793.16"/>
    <n v="793.16"/>
    <n v="793.16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512 Subrogación"/>
    <s v="G/510512/1FA101"/>
    <s v="001"/>
    <n v="0"/>
    <n v="0"/>
    <n v="2534.13"/>
    <n v="2534.13"/>
    <n v="0"/>
    <n v="208.33"/>
    <n v="208.33"/>
    <n v="2325.8000000000002"/>
    <n v="2325.8000000000002"/>
    <n v="2325.8000000000002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512 Subrogación"/>
    <s v="G/510512/1IA101"/>
    <s v="001"/>
    <n v="0"/>
    <n v="0"/>
    <n v="1290.18"/>
    <n v="1290.18"/>
    <n v="0"/>
    <n v="0"/>
    <n v="0"/>
    <n v="1290.18"/>
    <n v="1290.18"/>
    <n v="1290.18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512 Subrogación"/>
    <s v="G/510512/1CA101"/>
    <s v="001"/>
    <n v="0"/>
    <n v="0"/>
    <n v="865.88"/>
    <n v="865.88"/>
    <n v="0"/>
    <n v="0"/>
    <n v="0"/>
    <n v="865.88"/>
    <n v="865.88"/>
    <n v="865.88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512 Subrogación"/>
    <s v="G/510512/1MA101"/>
    <s v="002"/>
    <n v="3760.77"/>
    <n v="0"/>
    <n v="-3760.77"/>
    <n v="0"/>
    <n v="0"/>
    <n v="0"/>
    <n v="0"/>
    <n v="0"/>
    <n v="0"/>
    <n v="0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512 Subrogación"/>
    <s v="G/510512/1IA101"/>
    <s v="001"/>
    <n v="0"/>
    <n v="0"/>
    <n v="808.29"/>
    <n v="808.29"/>
    <n v="0"/>
    <n v="0"/>
    <n v="0"/>
    <n v="808.29"/>
    <n v="808.29"/>
    <n v="808.29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512 Subrogación"/>
    <s v="G/510512/1CA101"/>
    <s v="001"/>
    <n v="0"/>
    <n v="0"/>
    <n v="4149.67"/>
    <n v="4149.67"/>
    <n v="0"/>
    <n v="0"/>
    <n v="0"/>
    <n v="4149.67"/>
    <n v="4149.67"/>
    <n v="4149.67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512 Subrogación"/>
    <s v="G/510512/1MA101"/>
    <s v="001"/>
    <n v="0"/>
    <n v="0"/>
    <n v="2531.73"/>
    <n v="2531.73"/>
    <n v="0"/>
    <n v="0"/>
    <n v="0"/>
    <n v="2531.73"/>
    <n v="2531.73"/>
    <n v="2531.73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512 Subrogación"/>
    <s v="G/510512/1IA101"/>
    <s v="002"/>
    <n v="1276.3"/>
    <n v="0"/>
    <n v="-1276.3"/>
    <n v="0"/>
    <n v="0"/>
    <n v="0"/>
    <n v="0"/>
    <n v="0"/>
    <n v="0"/>
    <n v="0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512 Subrogación"/>
    <s v="G/510512/1IA101"/>
    <s v="002"/>
    <n v="973.94"/>
    <n v="0"/>
    <n v="-973.94"/>
    <n v="0"/>
    <n v="0"/>
    <n v="0"/>
    <n v="0"/>
    <n v="0"/>
    <n v="0"/>
    <n v="0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512 Subrogación"/>
    <s v="G/510512/1MA101"/>
    <s v="001"/>
    <n v="0"/>
    <n v="0"/>
    <n v="1880.38"/>
    <n v="1880.38"/>
    <n v="0"/>
    <n v="0"/>
    <n v="0"/>
    <n v="1880.38"/>
    <n v="1880.38"/>
    <n v="1880.38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512 Subrogación"/>
    <s v="G/510512/1FA101"/>
    <s v="001"/>
    <n v="0"/>
    <n v="240"/>
    <n v="1735.87"/>
    <n v="1975.87"/>
    <n v="0"/>
    <n v="985.2"/>
    <n v="985.2"/>
    <n v="990.67"/>
    <n v="990.67"/>
    <n v="990.67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512 Subrogación"/>
    <s v="G/510512/2QA101"/>
    <s v="001"/>
    <n v="0"/>
    <n v="0"/>
    <n v="2090.91"/>
    <n v="2090.91"/>
    <n v="0"/>
    <n v="0"/>
    <n v="0"/>
    <n v="2090.91"/>
    <n v="2090.91"/>
    <n v="2090.91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512 Subrogación"/>
    <s v="G/510512/1IA101"/>
    <s v="002"/>
    <n v="1176.28"/>
    <n v="0"/>
    <n v="-1176.28"/>
    <n v="0"/>
    <n v="0"/>
    <n v="0"/>
    <n v="0"/>
    <n v="0"/>
    <n v="0"/>
    <n v="0"/>
  </r>
  <r>
    <s v="51"/>
    <x v="2"/>
    <x v="7"/>
    <s v="RB34F010"/>
    <x v="31"/>
    <s v="A101"/>
    <s v="FORTALECIMIENTO INSTITUCIONAL"/>
    <s v="GC00A10100004D"/>
    <s v="GC00A10100004D REMUNERACION PERSONAL"/>
    <s v="51 GASTOS EN PERSONAL"/>
    <s v="510512 Subrogación"/>
    <s v="G/510512/1FA101"/>
    <s v="001"/>
    <n v="0"/>
    <n v="0"/>
    <n v="1678.45"/>
    <n v="1678.45"/>
    <n v="0"/>
    <n v="0"/>
    <n v="0"/>
    <n v="1678.45"/>
    <n v="1678.45"/>
    <n v="1678.45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512 Subrogación"/>
    <s v="G/510512/1IA101"/>
    <s v="002"/>
    <n v="1645.41"/>
    <n v="0"/>
    <n v="-1645.41"/>
    <n v="0"/>
    <n v="0"/>
    <n v="0"/>
    <n v="0"/>
    <n v="0"/>
    <n v="0"/>
    <n v="0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512 Subrogación"/>
    <s v="G/510512/1IA101"/>
    <s v="001"/>
    <n v="0"/>
    <n v="0"/>
    <n v="973.94"/>
    <n v="973.94"/>
    <n v="0"/>
    <n v="0"/>
    <n v="0"/>
    <n v="973.94"/>
    <n v="973.94"/>
    <n v="973.94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512 Subrogación"/>
    <s v="G/510512/1LA101"/>
    <s v="001"/>
    <n v="0"/>
    <n v="0"/>
    <n v="3377.11"/>
    <n v="3377.11"/>
    <n v="0"/>
    <n v="420"/>
    <n v="420"/>
    <n v="2957.11"/>
    <n v="2957.11"/>
    <n v="2957.11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512 Subrogación"/>
    <s v="G/510512/1IA101"/>
    <s v="002"/>
    <n v="1905.31"/>
    <n v="0"/>
    <n v="-1905.31"/>
    <n v="0"/>
    <n v="0"/>
    <n v="0"/>
    <n v="0"/>
    <n v="0"/>
    <n v="0"/>
    <n v="0"/>
  </r>
  <r>
    <s v="51"/>
    <x v="0"/>
    <x v="0"/>
    <s v="RP36A010"/>
    <x v="0"/>
    <s v="A101"/>
    <s v="FORTALECIMIENTO INSTITUCIONAL"/>
    <s v="GC00A10100004D"/>
    <s v="GC00A10100004D REMUNERACION PERSONAL"/>
    <s v="51 GASTOS EN PERSONAL"/>
    <s v="510512 Subrogación"/>
    <s v="G/510512/1AA101"/>
    <s v="001"/>
    <n v="0"/>
    <n v="0"/>
    <n v="5504.46"/>
    <n v="5504.46"/>
    <n v="0"/>
    <n v="0"/>
    <n v="0"/>
    <n v="5504.46"/>
    <n v="5504.46"/>
    <n v="5504.46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512 Subrogación"/>
    <s v="G/510512/1IA101"/>
    <s v="002"/>
    <n v="2925.97"/>
    <n v="0"/>
    <n v="-2925.97"/>
    <n v="0"/>
    <n v="0"/>
    <n v="0"/>
    <n v="0"/>
    <n v="0"/>
    <n v="0"/>
    <n v="0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512 Subrogación"/>
    <s v="G/510512/1IA101"/>
    <s v="002"/>
    <n v="1374.81"/>
    <n v="0"/>
    <n v="-1374.81"/>
    <n v="0"/>
    <n v="0"/>
    <n v="0"/>
    <n v="0"/>
    <n v="0"/>
    <n v="0"/>
    <n v="0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512 Subrogación"/>
    <s v="G/510512/1FA101"/>
    <s v="001"/>
    <n v="0"/>
    <n v="0"/>
    <n v="3643.9"/>
    <n v="3643.9"/>
    <n v="0"/>
    <n v="0"/>
    <n v="0"/>
    <n v="3643.9"/>
    <n v="3643.9"/>
    <n v="3643.9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512 Subrogación"/>
    <s v="G/510512/1IA101"/>
    <s v="001"/>
    <n v="0"/>
    <n v="0"/>
    <n v="638.15"/>
    <n v="638.15"/>
    <n v="0"/>
    <n v="0"/>
    <n v="0"/>
    <n v="638.15"/>
    <n v="638.15"/>
    <n v="638.15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512 Subrogación"/>
    <s v="G/510512/1FA101"/>
    <s v="001"/>
    <n v="0"/>
    <n v="0"/>
    <n v="240.4"/>
    <n v="240.4"/>
    <n v="0"/>
    <n v="0"/>
    <n v="0"/>
    <n v="240.4"/>
    <n v="240.4"/>
    <n v="240.4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512 Subrogación"/>
    <s v="G/510512/1MA101"/>
    <s v="001"/>
    <n v="0"/>
    <n v="0"/>
    <n v="4016.58"/>
    <n v="4016.58"/>
    <n v="0"/>
    <n v="0"/>
    <n v="0"/>
    <n v="4016.58"/>
    <n v="4016.58"/>
    <n v="4016.58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512 Subrogación"/>
    <s v="G/510512/1NA101"/>
    <s v="001"/>
    <n v="0"/>
    <n v="0"/>
    <n v="3259.01"/>
    <n v="3259.01"/>
    <n v="0"/>
    <n v="0"/>
    <n v="0"/>
    <n v="3259.01"/>
    <n v="3259.01"/>
    <n v="3259.01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512 Subrogación"/>
    <s v="G/510512/1PA101"/>
    <s v="001"/>
    <n v="0"/>
    <n v="0"/>
    <n v="1264.27"/>
    <n v="1264.27"/>
    <n v="0"/>
    <n v="334.6"/>
    <n v="334.6"/>
    <n v="929.67"/>
    <n v="929.67"/>
    <n v="929.67"/>
  </r>
  <r>
    <s v="51"/>
    <x v="2"/>
    <x v="7"/>
    <s v="TM68F100"/>
    <x v="36"/>
    <s v="A101"/>
    <s v="FORTALECIMIENTO INSTITUCIONAL"/>
    <s v="GC00A10100004D"/>
    <s v="GC00A10100004D REMUNERACION PERSONAL"/>
    <s v="51 GASTOS EN PERSONAL"/>
    <s v="510512 Subrogación"/>
    <s v="G/510512/1FA101"/>
    <s v="001"/>
    <n v="0"/>
    <n v="0"/>
    <n v="2986.84"/>
    <n v="2986.84"/>
    <n v="0"/>
    <n v="0"/>
    <n v="0"/>
    <n v="2986.84"/>
    <n v="2986.84"/>
    <n v="2986.84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512 Subrogación"/>
    <s v="G/510512/1FA101"/>
    <s v="001"/>
    <n v="0"/>
    <n v="0"/>
    <n v="1711.18"/>
    <n v="1711.18"/>
    <n v="0"/>
    <n v="0"/>
    <n v="0"/>
    <n v="1711.18"/>
    <n v="1711.18"/>
    <n v="1711.18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512 Subrogación"/>
    <s v="G/510512/1FA101"/>
    <s v="002"/>
    <n v="6108.14"/>
    <n v="0"/>
    <n v="-6108.14"/>
    <n v="0"/>
    <n v="0"/>
    <n v="0"/>
    <n v="0"/>
    <n v="0"/>
    <n v="0"/>
    <n v="0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512 Subrogación"/>
    <s v="G/510512/1IA101"/>
    <s v="001"/>
    <n v="0"/>
    <n v="0"/>
    <n v="822.7"/>
    <n v="822.7"/>
    <n v="0"/>
    <n v="0"/>
    <n v="0"/>
    <n v="822.7"/>
    <n v="822.7"/>
    <n v="822.7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512 Subrogación"/>
    <s v="G/510512/1FA101"/>
    <s v="001"/>
    <n v="0"/>
    <n v="0"/>
    <n v="3054.07"/>
    <n v="3054.07"/>
    <n v="0"/>
    <n v="0"/>
    <n v="0"/>
    <n v="3054.07"/>
    <n v="3054.07"/>
    <n v="3054.07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513 Encargos"/>
    <s v="G/510513/1MA101"/>
    <s v="001"/>
    <n v="0"/>
    <n v="1120"/>
    <n v="531.66"/>
    <n v="1651.66"/>
    <n v="0"/>
    <n v="824"/>
    <n v="824"/>
    <n v="827.66"/>
    <n v="827.66"/>
    <n v="827.66"/>
  </r>
  <r>
    <s v="51"/>
    <x v="0"/>
    <x v="0"/>
    <s v="RP36A010"/>
    <x v="0"/>
    <s v="A101"/>
    <s v="FORTALECIMIENTO INSTITUCIONAL"/>
    <s v="GC00A10100004D"/>
    <s v="GC00A10100004D REMUNERACION PERSONAL"/>
    <s v="51 GASTOS EN PERSONAL"/>
    <s v="510513 Encargos"/>
    <s v="G/510513/1AA101"/>
    <s v="002"/>
    <n v="11841.14"/>
    <n v="1500"/>
    <n v="-2374.4699999999998"/>
    <n v="10966.67"/>
    <n v="0"/>
    <n v="10966.67"/>
    <n v="10966.67"/>
    <n v="0"/>
    <n v="0"/>
    <n v="0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513 Encargos"/>
    <s v="G/510513/1IA101"/>
    <s v="001"/>
    <n v="0"/>
    <n v="0"/>
    <n v="13355.37"/>
    <n v="13355.37"/>
    <n v="0"/>
    <n v="650"/>
    <n v="650"/>
    <n v="12705.37"/>
    <n v="12705.37"/>
    <n v="12705.37"/>
  </r>
  <r>
    <s v="51"/>
    <x v="2"/>
    <x v="7"/>
    <s v="TM68F100"/>
    <x v="36"/>
    <s v="A101"/>
    <s v="FORTALECIMIENTO INSTITUCIONAL"/>
    <s v="GC00A10100004D"/>
    <s v="GC00A10100004D REMUNERACION PERSONAL"/>
    <s v="51 GASTOS EN PERSONAL"/>
    <s v="510513 Encargos"/>
    <s v="G/510513/1FA101"/>
    <s v="002"/>
    <n v="7409.36"/>
    <n v="0"/>
    <n v="-6629.36"/>
    <n v="780"/>
    <n v="0"/>
    <n v="780"/>
    <n v="780"/>
    <n v="0"/>
    <n v="0"/>
    <n v="0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513 Encargos"/>
    <s v="G/510513/1PA101"/>
    <s v="002"/>
    <n v="3085.3"/>
    <n v="1221.3599999999999"/>
    <n v="0"/>
    <n v="4306.66"/>
    <n v="0"/>
    <n v="4306.66"/>
    <n v="4306.66"/>
    <n v="0"/>
    <n v="0"/>
    <n v="0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513 Encargos"/>
    <s v="G/510513/1NA101"/>
    <s v="001"/>
    <n v="0"/>
    <n v="0"/>
    <n v="19015.07"/>
    <n v="19015.07"/>
    <n v="0"/>
    <n v="0"/>
    <n v="0"/>
    <n v="19015.07"/>
    <n v="19015.07"/>
    <n v="19015.07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513 Encargos"/>
    <s v="G/510513/1IA101"/>
    <s v="002"/>
    <n v="6233.19"/>
    <n v="0"/>
    <n v="-6233.19"/>
    <n v="0"/>
    <n v="0"/>
    <n v="0"/>
    <n v="0"/>
    <n v="0"/>
    <n v="0"/>
    <n v="0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513 Encargos"/>
    <s v="G/510513/1GA101"/>
    <s v="001"/>
    <n v="0"/>
    <n v="0"/>
    <n v="5291.15"/>
    <n v="5291.15"/>
    <n v="0"/>
    <n v="1160"/>
    <n v="1160"/>
    <n v="4131.1499999999996"/>
    <n v="4131.1499999999996"/>
    <n v="4131.1499999999996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513 Encargos"/>
    <s v="G/510513/1KA101"/>
    <s v="002"/>
    <n v="4771.13"/>
    <n v="1055.54"/>
    <n v="0"/>
    <n v="5826.67"/>
    <n v="0"/>
    <n v="5826.67"/>
    <n v="5826.67"/>
    <n v="0"/>
    <n v="0"/>
    <n v="0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513 Encargos"/>
    <s v="G/510513/1IA101"/>
    <s v="002"/>
    <n v="2352.56"/>
    <n v="0"/>
    <n v="-2352.56"/>
    <n v="0"/>
    <n v="0"/>
    <n v="0"/>
    <n v="0"/>
    <n v="0"/>
    <n v="0"/>
    <n v="0"/>
  </r>
  <r>
    <s v="51"/>
    <x v="2"/>
    <x v="7"/>
    <s v="ZA01F000"/>
    <x v="25"/>
    <s v="A101"/>
    <s v="FORTALECIMIENTO INSTITUCIONAL"/>
    <s v="GC00A10100004D"/>
    <s v="GC00A10100004D REMUNERACION PERSONAL"/>
    <s v="51 GASTOS EN PERSONAL"/>
    <s v="510513 Encargos"/>
    <s v="G/510513/1FA101"/>
    <s v="002"/>
    <n v="11936.24"/>
    <n v="0"/>
    <n v="-11386.24"/>
    <n v="550"/>
    <n v="0"/>
    <n v="550"/>
    <n v="550"/>
    <n v="0"/>
    <n v="0"/>
    <n v="0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513 Encargos"/>
    <s v="G/510513/1NA101"/>
    <s v="002"/>
    <n v="5981.41"/>
    <n v="170"/>
    <n v="-3.58"/>
    <n v="6147.83"/>
    <n v="0"/>
    <n v="6147.83"/>
    <n v="6147.83"/>
    <n v="0"/>
    <n v="0"/>
    <n v="0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513 Encargos"/>
    <s v="G/510513/1IA101"/>
    <s v="001"/>
    <n v="0"/>
    <n v="0"/>
    <n v="1095"/>
    <n v="1095"/>
    <n v="0"/>
    <n v="438"/>
    <n v="438"/>
    <n v="657"/>
    <n v="657"/>
    <n v="657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513 Encargos"/>
    <s v="G/510513/1IA101"/>
    <s v="001"/>
    <n v="0"/>
    <n v="0"/>
    <n v="3925.4"/>
    <n v="3925.4"/>
    <n v="0"/>
    <n v="824"/>
    <n v="824"/>
    <n v="3101.4"/>
    <n v="3101.4"/>
    <n v="3101.4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513 Encargos"/>
    <s v="G/510513/1FA101"/>
    <s v="002"/>
    <n v="5216.28"/>
    <n v="0"/>
    <n v="-1967.45"/>
    <n v="3248.83"/>
    <n v="0"/>
    <n v="3248.83"/>
    <n v="3248.83"/>
    <n v="0"/>
    <n v="0"/>
    <n v="0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513 Encargos"/>
    <s v="G/510513/1IA101"/>
    <s v="002"/>
    <n v="2749.61"/>
    <n v="0"/>
    <n v="-2749.61"/>
    <n v="0"/>
    <n v="0"/>
    <n v="0"/>
    <n v="0"/>
    <n v="0"/>
    <n v="0"/>
    <n v="0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513 Encargos"/>
    <s v="G/510513/2QA101"/>
    <s v="002"/>
    <n v="4918.47"/>
    <n v="0"/>
    <n v="-3211.74"/>
    <n v="1706.73"/>
    <n v="0"/>
    <n v="1706.73"/>
    <n v="1706.73"/>
    <n v="0"/>
    <n v="0"/>
    <n v="0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513 Encargos"/>
    <s v="G/510513/2QA101"/>
    <s v="001"/>
    <n v="0"/>
    <n v="0"/>
    <n v="3211.74"/>
    <n v="3211.74"/>
    <n v="0"/>
    <n v="0"/>
    <n v="0"/>
    <n v="3211.74"/>
    <n v="3211.74"/>
    <n v="3211.74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513 Encargos"/>
    <s v="G/510513/1FA101"/>
    <s v="002"/>
    <n v="5507.83"/>
    <n v="0"/>
    <n v="-4246.83"/>
    <n v="1261"/>
    <n v="0"/>
    <n v="1261"/>
    <n v="1261"/>
    <n v="0"/>
    <n v="0"/>
    <n v="0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513 Encargos"/>
    <s v="G/510513/1CA101"/>
    <s v="001"/>
    <n v="0"/>
    <n v="0"/>
    <n v="21281.26"/>
    <n v="21281.26"/>
    <n v="0"/>
    <n v="2849"/>
    <n v="2849"/>
    <n v="18432.259999999998"/>
    <n v="18432.259999999998"/>
    <n v="18432.259999999998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513 Encargos"/>
    <s v="G/510513/1CA101"/>
    <s v="002"/>
    <n v="530.20000000000005"/>
    <n v="0"/>
    <n v="-530.20000000000005"/>
    <n v="0"/>
    <n v="0"/>
    <n v="0"/>
    <n v="0"/>
    <n v="0"/>
    <n v="0"/>
    <n v="0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513 Encargos"/>
    <s v="G/510513/1AA101"/>
    <s v="001"/>
    <n v="0"/>
    <n v="0"/>
    <n v="15624.46"/>
    <n v="15624.46"/>
    <n v="0"/>
    <n v="5608.4"/>
    <n v="5608.4"/>
    <n v="10016.06"/>
    <n v="10016.06"/>
    <n v="10016.06"/>
  </r>
  <r>
    <s v="51"/>
    <x v="2"/>
    <x v="7"/>
    <s v="TM68F100"/>
    <x v="36"/>
    <s v="A101"/>
    <s v="FORTALECIMIENTO INSTITUCIONAL"/>
    <s v="GC00A10100004D"/>
    <s v="GC00A10100004D REMUNERACION PERSONAL"/>
    <s v="51 GASTOS EN PERSONAL"/>
    <s v="510513 Encargos"/>
    <s v="G/510513/1FA101"/>
    <s v="001"/>
    <n v="0"/>
    <n v="0"/>
    <n v="3314.68"/>
    <n v="3314.68"/>
    <n v="0"/>
    <n v="0"/>
    <n v="0"/>
    <n v="3314.68"/>
    <n v="3314.68"/>
    <n v="3314.68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513 Encargos"/>
    <s v="G/510513/1IA101"/>
    <s v="002"/>
    <n v="7810.62"/>
    <n v="0"/>
    <n v="-2640.62"/>
    <n v="5170"/>
    <n v="0"/>
    <n v="5170"/>
    <n v="5170"/>
    <n v="0"/>
    <n v="0"/>
    <n v="0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513 Encargos"/>
    <s v="G/510513/1AA101"/>
    <s v="002"/>
    <n v="21294.2"/>
    <n v="21626.65"/>
    <n v="-22.5"/>
    <n v="42898.35"/>
    <n v="0"/>
    <n v="42898.35"/>
    <n v="42898.35"/>
    <n v="0"/>
    <n v="0"/>
    <n v="0"/>
  </r>
  <r>
    <s v="51"/>
    <x v="2"/>
    <x v="7"/>
    <s v="RB34F010"/>
    <x v="31"/>
    <s v="A101"/>
    <s v="FORTALECIMIENTO INSTITUCIONAL"/>
    <s v="GC00A10100004D"/>
    <s v="GC00A10100004D REMUNERACION PERSONAL"/>
    <s v="51 GASTOS EN PERSONAL"/>
    <s v="510513 Encargos"/>
    <s v="G/510513/1FA101"/>
    <s v="001"/>
    <n v="0"/>
    <n v="0"/>
    <n v="9626.2099999999991"/>
    <n v="9626.2099999999991"/>
    <n v="0"/>
    <n v="0"/>
    <n v="0"/>
    <n v="9626.2099999999991"/>
    <n v="9626.2099999999991"/>
    <n v="9626.2099999999991"/>
  </r>
  <r>
    <s v="51"/>
    <x v="2"/>
    <x v="7"/>
    <s v="RB34F010"/>
    <x v="31"/>
    <s v="A101"/>
    <s v="FORTALECIMIENTO INSTITUCIONAL"/>
    <s v="GC00A10100004D"/>
    <s v="GC00A10100004D REMUNERACION PERSONAL"/>
    <s v="51 GASTOS EN PERSONAL"/>
    <s v="510513 Encargos"/>
    <s v="G/510513/1FA101"/>
    <s v="002"/>
    <n v="19252.419999999998"/>
    <n v="0"/>
    <n v="-19252.419999999998"/>
    <n v="0"/>
    <n v="0"/>
    <n v="0"/>
    <n v="0"/>
    <n v="0"/>
    <n v="0"/>
    <n v="0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513 Encargos"/>
    <s v="G/510513/1FA101"/>
    <s v="002"/>
    <n v="9242.93"/>
    <n v="0"/>
    <n v="-4322.26"/>
    <n v="4920.67"/>
    <n v="0"/>
    <n v="4920.67"/>
    <n v="4920.67"/>
    <n v="0"/>
    <n v="0"/>
    <n v="0"/>
  </r>
  <r>
    <s v="51"/>
    <x v="2"/>
    <x v="8"/>
    <s v="FS66P020"/>
    <x v="13"/>
    <s v="A101"/>
    <s v="FORTALECIMIENTO INSTITUCIONAL"/>
    <s v="GC00A10100004D"/>
    <s v="GC00A10100004D REMUNERACION PERSONAL"/>
    <s v="51 GASTOS EN PERSONAL"/>
    <s v="510513 Encargos"/>
    <s v="G/510513/1PA101"/>
    <s v="002"/>
    <n v="6068.08"/>
    <n v="-2468.08"/>
    <n v="0"/>
    <n v="3600"/>
    <n v="0"/>
    <n v="3600"/>
    <n v="3600"/>
    <n v="0"/>
    <n v="0"/>
    <n v="0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513 Encargos"/>
    <s v="G/510513/1LA101"/>
    <s v="002"/>
    <n v="1696.45"/>
    <n v="0"/>
    <n v="-1696.45"/>
    <n v="0"/>
    <n v="0"/>
    <n v="0"/>
    <n v="0"/>
    <n v="0"/>
    <n v="0"/>
    <n v="0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513 Encargos"/>
    <s v="G/510513/1IA101"/>
    <s v="002"/>
    <n v="12851.93"/>
    <n v="0"/>
    <n v="-12851.93"/>
    <n v="0"/>
    <n v="0"/>
    <n v="0"/>
    <n v="0"/>
    <n v="0"/>
    <n v="0"/>
    <n v="0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513 Encargos"/>
    <s v="G/510513/1FA101"/>
    <s v="002"/>
    <n v="4445.4399999999996"/>
    <n v="0"/>
    <n v="-4445.4399999999996"/>
    <n v="0"/>
    <n v="0"/>
    <n v="0"/>
    <n v="0"/>
    <n v="0"/>
    <n v="0"/>
    <n v="0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513 Encargos"/>
    <s v="G/510513/1FA101"/>
    <s v="002"/>
    <n v="27767.72"/>
    <n v="0"/>
    <n v="-27767.72"/>
    <n v="0"/>
    <n v="0"/>
    <n v="0"/>
    <n v="0"/>
    <n v="0"/>
    <n v="0"/>
    <n v="0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513 Encargos"/>
    <s v="G/510513/1KA101"/>
    <s v="002"/>
    <n v="70517.399999999994"/>
    <n v="0"/>
    <n v="-22753.26"/>
    <n v="47764.14"/>
    <n v="0"/>
    <n v="47764.14"/>
    <n v="47764.14"/>
    <n v="0"/>
    <n v="0"/>
    <n v="0"/>
  </r>
  <r>
    <s v="51"/>
    <x v="3"/>
    <x v="11"/>
    <s v="ZA01H000"/>
    <x v="19"/>
    <s v="A101"/>
    <s v="FORTALECIMIENTO INSTITUCIONAL"/>
    <s v="GC00A10100004D"/>
    <s v="GC00A10100004D REMUNERACION PERSONAL"/>
    <s v="51 GASTOS EN PERSONAL"/>
    <s v="510513 Encargos"/>
    <s v="G/510513/1HA101"/>
    <s v="002"/>
    <n v="1653.28"/>
    <n v="-1653.28"/>
    <n v="0"/>
    <n v="0"/>
    <n v="0"/>
    <n v="0"/>
    <n v="0"/>
    <n v="0"/>
    <n v="0"/>
    <n v="0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513 Encargos"/>
    <s v="G/510513/1LA101"/>
    <s v="001"/>
    <n v="0"/>
    <n v="0"/>
    <n v="848.22"/>
    <n v="848.22"/>
    <n v="0"/>
    <n v="0"/>
    <n v="0"/>
    <n v="848.22"/>
    <n v="848.22"/>
    <n v="848.22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513 Encargos"/>
    <s v="G/510513/1IA101"/>
    <s v="002"/>
    <n v="5552.6"/>
    <n v="2689.4"/>
    <n v="-2"/>
    <n v="8240"/>
    <n v="0"/>
    <n v="8240"/>
    <n v="8240"/>
    <n v="0"/>
    <n v="0"/>
    <n v="0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513 Encargos"/>
    <s v="G/510513/1CA101"/>
    <s v="002"/>
    <n v="83700.19"/>
    <n v="0"/>
    <n v="-52369.52"/>
    <n v="31330.67"/>
    <n v="0"/>
    <n v="31330.67"/>
    <n v="31330.67"/>
    <n v="0"/>
    <n v="0"/>
    <n v="0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513 Encargos"/>
    <s v="G/510513/1MA101"/>
    <s v="002"/>
    <n v="7270.8"/>
    <n v="0"/>
    <n v="-3535.33"/>
    <n v="3735.47"/>
    <n v="0"/>
    <n v="3735.47"/>
    <n v="3735.47"/>
    <n v="0"/>
    <n v="0"/>
    <n v="0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513 Encargos"/>
    <s v="G/510513/1PA101"/>
    <s v="001"/>
    <n v="0"/>
    <n v="0"/>
    <n v="1992.08"/>
    <n v="1992.08"/>
    <n v="0"/>
    <n v="0"/>
    <n v="0"/>
    <n v="1992.08"/>
    <n v="1992.08"/>
    <n v="1992.08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513 Encargos"/>
    <s v="G/510513/1MA101"/>
    <s v="002"/>
    <n v="7521.53"/>
    <n v="0"/>
    <n v="-7338.23"/>
    <n v="183.3"/>
    <n v="0"/>
    <n v="183.3"/>
    <n v="183.3"/>
    <n v="0"/>
    <n v="0"/>
    <n v="0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513 Encargos"/>
    <s v="G/510513/1FA101"/>
    <s v="001"/>
    <n v="0"/>
    <n v="0"/>
    <n v="13883.86"/>
    <n v="13883.86"/>
    <n v="0"/>
    <n v="0"/>
    <n v="0"/>
    <n v="13883.86"/>
    <n v="13883.86"/>
    <n v="13883.86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513 Encargos"/>
    <s v="G/510513/1FA101"/>
    <s v="001"/>
    <n v="0"/>
    <n v="0"/>
    <n v="2381.12"/>
    <n v="2381.12"/>
    <n v="0"/>
    <n v="0"/>
    <n v="0"/>
    <n v="2381.12"/>
    <n v="2381.12"/>
    <n v="2381.12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513 Encargos"/>
    <s v="G/510513/1KA101"/>
    <s v="001"/>
    <n v="0"/>
    <n v="0"/>
    <n v="23810.27"/>
    <n v="23810.27"/>
    <n v="0"/>
    <n v="0"/>
    <n v="0"/>
    <n v="23810.27"/>
    <n v="23810.27"/>
    <n v="23810.27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513 Encargos"/>
    <s v="G/510513/1FA101"/>
    <s v="001"/>
    <n v="0"/>
    <n v="-1000"/>
    <n v="3478.15"/>
    <n v="2478.15"/>
    <n v="0"/>
    <n v="0"/>
    <n v="0"/>
    <n v="2478.15"/>
    <n v="2478.15"/>
    <n v="2478.15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513 Encargos"/>
    <s v="G/510513/1NA101"/>
    <s v="001"/>
    <n v="0"/>
    <n v="910"/>
    <n v="3902.22"/>
    <n v="4812.22"/>
    <n v="0"/>
    <n v="450"/>
    <n v="450"/>
    <n v="4362.22"/>
    <n v="4362.22"/>
    <n v="4362.22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513 Encargos"/>
    <s v="G/510513/1EA101"/>
    <s v="001"/>
    <n v="0"/>
    <n v="2700"/>
    <n v="2946.97"/>
    <n v="5646.97"/>
    <n v="0"/>
    <n v="2782"/>
    <n v="2782"/>
    <n v="2864.97"/>
    <n v="2864.97"/>
    <n v="2864.97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513 Encargos"/>
    <s v="G/510513/1GA101"/>
    <s v="002"/>
    <n v="9360.64"/>
    <n v="2324.36"/>
    <n v="0"/>
    <n v="11685"/>
    <n v="0"/>
    <n v="11685"/>
    <n v="11685"/>
    <n v="0"/>
    <n v="0"/>
    <n v="0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513 Encargos"/>
    <s v="G/510513/1IA101"/>
    <s v="001"/>
    <n v="0"/>
    <n v="0"/>
    <n v="1176.28"/>
    <n v="1176.28"/>
    <n v="0"/>
    <n v="0"/>
    <n v="0"/>
    <n v="1176.28"/>
    <n v="1176.28"/>
    <n v="1176.28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513 Encargos"/>
    <s v="G/510513/1IA101"/>
    <s v="001"/>
    <n v="0"/>
    <n v="0"/>
    <n v="1292.5"/>
    <n v="1292.5"/>
    <n v="0"/>
    <n v="0"/>
    <n v="0"/>
    <n v="1292.5"/>
    <n v="1292.5"/>
    <n v="1292.5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513 Encargos"/>
    <s v="G/510513/1NA101"/>
    <s v="002"/>
    <n v="38030.15"/>
    <n v="0"/>
    <n v="-38030.15"/>
    <n v="0"/>
    <n v="0"/>
    <n v="0"/>
    <n v="0"/>
    <n v="0"/>
    <n v="0"/>
    <n v="0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513 Encargos"/>
    <s v="G/510513/1IA101"/>
    <s v="001"/>
    <n v="0"/>
    <n v="0"/>
    <n v="1374.8"/>
    <n v="1374.8"/>
    <n v="0"/>
    <n v="0"/>
    <n v="0"/>
    <n v="1374.8"/>
    <n v="1374.8"/>
    <n v="1374.8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513 Encargos"/>
    <s v="G/510513/1IA101"/>
    <s v="001"/>
    <n v="0"/>
    <n v="0"/>
    <n v="3116.59"/>
    <n v="3116.59"/>
    <n v="0"/>
    <n v="0"/>
    <n v="0"/>
    <n v="3116.59"/>
    <n v="3116.59"/>
    <n v="3116.59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513 Encargos"/>
    <s v="G/510513/1MA101"/>
    <s v="002"/>
    <n v="2706.32"/>
    <n v="2477"/>
    <n v="-0.1"/>
    <n v="5183.22"/>
    <n v="0"/>
    <n v="5183.22"/>
    <n v="5183.22"/>
    <n v="0"/>
    <n v="0"/>
    <n v="0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513 Encargos"/>
    <s v="G/510513/1IA101"/>
    <s v="001"/>
    <n v="0"/>
    <n v="0"/>
    <n v="1973.93"/>
    <n v="1973.93"/>
    <n v="0"/>
    <n v="0"/>
    <n v="0"/>
    <n v="1973.93"/>
    <n v="1973.93"/>
    <n v="1973.93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513 Encargos"/>
    <s v="G/510513/1MA101"/>
    <s v="001"/>
    <n v="0"/>
    <n v="0"/>
    <n v="3669.11"/>
    <n v="3669.11"/>
    <n v="0"/>
    <n v="0"/>
    <n v="0"/>
    <n v="3669.11"/>
    <n v="3669.11"/>
    <n v="3669.11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513 Encargos"/>
    <s v="G/510513/1MA101"/>
    <s v="001"/>
    <n v="0"/>
    <n v="0"/>
    <n v="5286.67"/>
    <n v="5286.67"/>
    <n v="0"/>
    <n v="0"/>
    <n v="0"/>
    <n v="5286.67"/>
    <n v="5286.67"/>
    <n v="5286.67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513 Encargos"/>
    <s v="G/510513/1IA101"/>
    <s v="001"/>
    <n v="0"/>
    <n v="0"/>
    <n v="14959.33"/>
    <n v="14959.33"/>
    <n v="0"/>
    <n v="0"/>
    <n v="0"/>
    <n v="14959.33"/>
    <n v="14959.33"/>
    <n v="14959.33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513 Encargos"/>
    <s v="G/510513/1IA101"/>
    <s v="002"/>
    <n v="30404.33"/>
    <n v="0"/>
    <n v="-29918.66"/>
    <n v="485.67"/>
    <n v="0"/>
    <n v="485.67"/>
    <n v="485.67"/>
    <n v="0"/>
    <n v="0"/>
    <n v="0"/>
  </r>
  <r>
    <s v="51"/>
    <x v="1"/>
    <x v="5"/>
    <s v="ZA01J000"/>
    <x v="8"/>
    <s v="A101"/>
    <s v="FORTALECIMIENTO INSTITUCIONAL"/>
    <s v="GC00A10100004D"/>
    <s v="GC00A10100004D REMUNERACION PERSONAL"/>
    <s v="51 GASTOS EN PERSONAL"/>
    <s v="510513 Encargos"/>
    <s v="G/510513/1JA101"/>
    <s v="001"/>
    <n v="0"/>
    <n v="0"/>
    <n v="864.87"/>
    <n v="864.87"/>
    <n v="0"/>
    <n v="0"/>
    <n v="0"/>
    <n v="864.87"/>
    <n v="864.87"/>
    <n v="864.87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513 Encargos"/>
    <s v="G/510513/1KA101"/>
    <s v="001"/>
    <n v="0"/>
    <n v="0"/>
    <n v="2240.7800000000002"/>
    <n v="2240.7800000000002"/>
    <n v="0"/>
    <n v="0"/>
    <n v="0"/>
    <n v="2240.7800000000002"/>
    <n v="2240.7800000000002"/>
    <n v="2240.7800000000002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513 Encargos"/>
    <s v="G/510513/1MA101"/>
    <s v="001"/>
    <n v="0"/>
    <n v="0"/>
    <n v="4072.53"/>
    <n v="4072.53"/>
    <n v="0"/>
    <n v="0"/>
    <n v="0"/>
    <n v="4072.53"/>
    <n v="4072.53"/>
    <n v="4072.53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513 Encargos"/>
    <s v="G/510513/1IA101"/>
    <s v="001"/>
    <n v="0"/>
    <n v="0"/>
    <n v="6425.96"/>
    <n v="6425.96"/>
    <n v="0"/>
    <n v="0"/>
    <n v="0"/>
    <n v="6425.96"/>
    <n v="6425.96"/>
    <n v="6425.96"/>
  </r>
  <r>
    <s v="51"/>
    <x v="0"/>
    <x v="0"/>
    <s v="RP36A010"/>
    <x v="0"/>
    <s v="A101"/>
    <s v="FORTALECIMIENTO INSTITUCIONAL"/>
    <s v="GC00A10100004D"/>
    <s v="GC00A10100004D REMUNERACION PERSONAL"/>
    <s v="51 GASTOS EN PERSONAL"/>
    <s v="510513 Encargos"/>
    <s v="G/510513/1AA101"/>
    <s v="001"/>
    <n v="0"/>
    <n v="0"/>
    <n v="4223.8100000000004"/>
    <n v="4223.8100000000004"/>
    <n v="0"/>
    <n v="1100"/>
    <n v="1100"/>
    <n v="3123.81"/>
    <n v="3123.81"/>
    <n v="3123.81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513 Encargos"/>
    <s v="G/510513/1BA101"/>
    <s v="002"/>
    <n v="4918.47"/>
    <n v="6264"/>
    <n v="-6616.17"/>
    <n v="4566.3"/>
    <n v="0"/>
    <n v="4566.3"/>
    <n v="4566.3"/>
    <n v="0"/>
    <n v="0"/>
    <n v="0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513 Encargos"/>
    <s v="G/510513/1DA101"/>
    <s v="002"/>
    <n v="3326.09"/>
    <n v="0"/>
    <n v="-519.29"/>
    <n v="2806.8"/>
    <n v="0"/>
    <n v="2806.8"/>
    <n v="2806.8"/>
    <n v="0"/>
    <n v="0"/>
    <n v="0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513 Encargos"/>
    <s v="G/510513/1IA101"/>
    <s v="002"/>
    <n v="14090.81"/>
    <n v="0"/>
    <n v="-9710.81"/>
    <n v="4380"/>
    <n v="0"/>
    <n v="4380"/>
    <n v="4380"/>
    <n v="0"/>
    <n v="0"/>
    <n v="0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513 Encargos"/>
    <s v="G/510513/1FA101"/>
    <s v="002"/>
    <n v="9413.1200000000008"/>
    <n v="0"/>
    <n v="-3478.15"/>
    <n v="5934.97"/>
    <n v="0"/>
    <n v="5934.97"/>
    <n v="5934.97"/>
    <n v="0"/>
    <n v="0"/>
    <n v="0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513 Encargos"/>
    <s v="G/510513/1CA101"/>
    <s v="001"/>
    <n v="0"/>
    <n v="0"/>
    <n v="5770"/>
    <n v="5770"/>
    <n v="0"/>
    <n v="1300"/>
    <n v="1300"/>
    <n v="4470"/>
    <n v="4470"/>
    <n v="4470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513 Encargos"/>
    <s v="G/510513/1FA101"/>
    <s v="001"/>
    <n v="0"/>
    <n v="2602"/>
    <n v="0.98"/>
    <n v="2602.98"/>
    <n v="0"/>
    <n v="1250"/>
    <n v="1250"/>
    <n v="1352.98"/>
    <n v="1352.98"/>
    <n v="1352.98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513 Encargos"/>
    <s v="G/510513/1IA101"/>
    <s v="002"/>
    <n v="3947.87"/>
    <n v="0"/>
    <n v="-3947.87"/>
    <n v="0"/>
    <n v="0"/>
    <n v="0"/>
    <n v="0"/>
    <n v="0"/>
    <n v="0"/>
    <n v="0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513 Encargos"/>
    <s v="G/510513/1IA101"/>
    <s v="002"/>
    <n v="35160.74"/>
    <n v="0"/>
    <n v="-28660.74"/>
    <n v="6500"/>
    <n v="0"/>
    <n v="6500"/>
    <n v="6500"/>
    <n v="0"/>
    <n v="0"/>
    <n v="0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513 Encargos"/>
    <s v="G/510513/1FA101"/>
    <s v="001"/>
    <n v="0"/>
    <n v="0"/>
    <n v="9467.48"/>
    <n v="9467.48"/>
    <n v="0"/>
    <n v="317.47000000000003"/>
    <n v="317.47000000000003"/>
    <n v="9150.01"/>
    <n v="9150.01"/>
    <n v="9150.01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513 Encargos"/>
    <s v="G/510513/1FA101"/>
    <s v="001"/>
    <n v="0"/>
    <n v="0"/>
    <n v="2222.7199999999998"/>
    <n v="2222.7199999999998"/>
    <n v="0"/>
    <n v="270"/>
    <n v="270"/>
    <n v="1952.72"/>
    <n v="1952.72"/>
    <n v="1952.72"/>
  </r>
  <r>
    <s v="51"/>
    <x v="0"/>
    <x v="1"/>
    <s v="ZA01C060"/>
    <x v="12"/>
    <s v="A101"/>
    <s v="FORTALECIMIENTO INSTITUCIONAL"/>
    <s v="GC00A10100004D"/>
    <s v="GC00A10100004D REMUNERACION PERSONAL"/>
    <s v="51 GASTOS EN PERSONAL"/>
    <s v="510513 Encargos"/>
    <s v="G/510513/1CA101"/>
    <s v="002"/>
    <n v="878.65"/>
    <n v="380"/>
    <n v="-880.65"/>
    <n v="378"/>
    <n v="0"/>
    <n v="378"/>
    <n v="378"/>
    <n v="0"/>
    <n v="0"/>
    <n v="0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513 Encargos"/>
    <s v="G/510513/1MA101"/>
    <s v="002"/>
    <n v="10573.35"/>
    <n v="0"/>
    <n v="-10573.35"/>
    <n v="0"/>
    <n v="0"/>
    <n v="0"/>
    <n v="0"/>
    <n v="0"/>
    <n v="0"/>
    <n v="0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513 Encargos"/>
    <s v="G/510513/1EA101"/>
    <s v="002"/>
    <n v="3357.98"/>
    <n v="10857.15"/>
    <n v="-1"/>
    <n v="14214.13"/>
    <n v="0"/>
    <n v="14214.13"/>
    <n v="14214.13"/>
    <n v="0"/>
    <n v="0"/>
    <n v="0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513 Encargos"/>
    <s v="G/510513/1BA101"/>
    <s v="001"/>
    <n v="0"/>
    <n v="0"/>
    <n v="6616.17"/>
    <n v="6616.17"/>
    <n v="0"/>
    <n v="0"/>
    <n v="0"/>
    <n v="6616.17"/>
    <n v="6616.17"/>
    <n v="6616.17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513 Encargos"/>
    <s v="G/510513/1FA101"/>
    <s v="002"/>
    <n v="12479.8"/>
    <n v="1025"/>
    <n v="-9315.66"/>
    <n v="4189.1400000000003"/>
    <n v="0"/>
    <n v="4189.1400000000003"/>
    <n v="4189.1400000000003"/>
    <n v="0"/>
    <n v="0"/>
    <n v="0"/>
  </r>
  <r>
    <s v="51"/>
    <x v="1"/>
    <x v="5"/>
    <s v="ZA01J000"/>
    <x v="8"/>
    <s v="A101"/>
    <s v="FORTALECIMIENTO INSTITUCIONAL"/>
    <s v="GC00A10100004D"/>
    <s v="GC00A10100004D REMUNERACION PERSONAL"/>
    <s v="51 GASTOS EN PERSONAL"/>
    <s v="510513 Encargos"/>
    <s v="G/510513/1JA101"/>
    <s v="002"/>
    <n v="1729.74"/>
    <n v="0"/>
    <n v="-1729.74"/>
    <n v="0"/>
    <n v="0"/>
    <n v="0"/>
    <n v="0"/>
    <n v="0"/>
    <n v="0"/>
    <n v="0"/>
  </r>
  <r>
    <s v="51"/>
    <x v="0"/>
    <x v="1"/>
    <s v="ZA01C060"/>
    <x v="12"/>
    <s v="A101"/>
    <s v="FORTALECIMIENTO INSTITUCIONAL"/>
    <s v="GC00A10100004D"/>
    <s v="GC00A10100004D REMUNERACION PERSONAL"/>
    <s v="51 GASTOS EN PERSONAL"/>
    <s v="510513 Encargos"/>
    <s v="G/510513/1CA101"/>
    <s v="001"/>
    <n v="0"/>
    <n v="0"/>
    <n v="2"/>
    <n v="2"/>
    <n v="0"/>
    <n v="0"/>
    <n v="0"/>
    <n v="2"/>
    <n v="2"/>
    <n v="2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513 Encargos"/>
    <s v="G/510513/1DA101"/>
    <s v="001"/>
    <n v="0"/>
    <n v="0"/>
    <n v="1133.9100000000001"/>
    <n v="1133.9100000000001"/>
    <n v="0"/>
    <n v="0"/>
    <n v="0"/>
    <n v="1133.9100000000001"/>
    <n v="1133.9100000000001"/>
    <n v="1133.9100000000001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513 Encargos"/>
    <s v="G/510513/1FA101"/>
    <s v="001"/>
    <n v="0"/>
    <n v="0"/>
    <n v="2123.41"/>
    <n v="2123.41"/>
    <n v="0"/>
    <n v="10"/>
    <n v="10"/>
    <n v="2113.41"/>
    <n v="2113.41"/>
    <n v="2113.41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513 Encargos"/>
    <s v="G/510513/1CA101"/>
    <s v="002"/>
    <n v="10481.629999999999"/>
    <n v="2520"/>
    <n v="-1.63"/>
    <n v="13000"/>
    <n v="0"/>
    <n v="13000"/>
    <n v="13000"/>
    <n v="0"/>
    <n v="0"/>
    <n v="0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513 Encargos"/>
    <s v="G/510513/1FA101"/>
    <s v="001"/>
    <n v="0"/>
    <n v="435"/>
    <n v="383.01"/>
    <n v="818.01"/>
    <n v="0"/>
    <n v="405"/>
    <n v="405"/>
    <n v="413.01"/>
    <n v="413.01"/>
    <n v="413.01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513 Encargos"/>
    <s v="G/510513/1FA101"/>
    <s v="002"/>
    <n v="16555.189999999999"/>
    <n v="3559.3"/>
    <n v="-2.74"/>
    <n v="20111.75"/>
    <n v="0"/>
    <n v="20111.75"/>
    <n v="20111.75"/>
    <n v="0"/>
    <n v="0"/>
    <n v="0"/>
  </r>
  <r>
    <s v="51"/>
    <x v="2"/>
    <x v="7"/>
    <s v="ZA01F000"/>
    <x v="25"/>
    <s v="A101"/>
    <s v="FORTALECIMIENTO INSTITUCIONAL"/>
    <s v="GC00A10100004D"/>
    <s v="GC00A10100004D REMUNERACION PERSONAL"/>
    <s v="51 GASTOS EN PERSONAL"/>
    <s v="510513 Encargos"/>
    <s v="G/510513/1FA101"/>
    <s v="001"/>
    <n v="0"/>
    <n v="0"/>
    <n v="5418.12"/>
    <n v="5418.12"/>
    <n v="0"/>
    <n v="0"/>
    <n v="0"/>
    <n v="5418.12"/>
    <n v="5418.12"/>
    <n v="5418.12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601 Aporte Patronal"/>
    <s v="G/510601/1KA101"/>
    <s v="002"/>
    <n v="3556103"/>
    <n v="19090.11"/>
    <n v="-675526.02"/>
    <n v="2899667.09"/>
    <n v="8001.19"/>
    <n v="2891665.9"/>
    <n v="2891665.9"/>
    <n v="8001.19"/>
    <n v="8001.19"/>
    <n v="0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601 Aporte Patronal"/>
    <s v="G/510601/1FA101"/>
    <s v="002"/>
    <n v="186255.44"/>
    <n v="-373.68"/>
    <n v="-41770.980000000003"/>
    <n v="144110.78"/>
    <n v="885.7"/>
    <n v="143225.07999999999"/>
    <n v="143225.07999999999"/>
    <n v="885.7"/>
    <n v="885.7"/>
    <n v="0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601 Aporte Patronal"/>
    <s v="G/510601/1IA101"/>
    <s v="001"/>
    <n v="0"/>
    <n v="11781.91"/>
    <n v="97939.5"/>
    <n v="109721.41"/>
    <n v="9589.4"/>
    <n v="34901.06"/>
    <n v="34901.06"/>
    <n v="74820.350000000006"/>
    <n v="74820.350000000006"/>
    <n v="65230.95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601 Aporte Patronal"/>
    <s v="G/510601/1FA101"/>
    <s v="002"/>
    <n v="114694.88"/>
    <n v="-232.25"/>
    <n v="-26447.279999999999"/>
    <n v="88015.35"/>
    <n v="403.53"/>
    <n v="87611.82"/>
    <n v="87611.82"/>
    <n v="403.53"/>
    <n v="403.53"/>
    <n v="0"/>
  </r>
  <r>
    <s v="51"/>
    <x v="2"/>
    <x v="7"/>
    <s v="ZA01F000"/>
    <x v="25"/>
    <s v="A101"/>
    <s v="FORTALECIMIENTO INSTITUCIONAL"/>
    <s v="GC00A10100004D"/>
    <s v="GC00A10100004D REMUNERACION PERSONAL"/>
    <s v="51 GASTOS EN PERSONAL"/>
    <s v="510601 Aporte Patronal"/>
    <s v="G/510601/1FA101"/>
    <s v="002"/>
    <n v="90137.32"/>
    <n v="464.51"/>
    <n v="-18943.349999999999"/>
    <n v="71658.48"/>
    <n v="12240.55"/>
    <n v="59417.93"/>
    <n v="59417.93"/>
    <n v="12240.55"/>
    <n v="12240.55"/>
    <n v="0"/>
  </r>
  <r>
    <s v="51"/>
    <x v="2"/>
    <x v="8"/>
    <s v="FS66P020"/>
    <x v="13"/>
    <s v="A101"/>
    <s v="FORTALECIMIENTO INSTITUCIONAL"/>
    <s v="GC00A10100004D"/>
    <s v="GC00A10100004D REMUNERACION PERSONAL"/>
    <s v="51 GASTOS EN PERSONAL"/>
    <s v="510601 Aporte Patronal"/>
    <s v="G/510601/1PA101"/>
    <s v="001"/>
    <n v="0"/>
    <n v="0"/>
    <n v="44089.84"/>
    <n v="44089.84"/>
    <n v="0"/>
    <n v="20996.54"/>
    <n v="20996.54"/>
    <n v="23093.3"/>
    <n v="23093.3"/>
    <n v="23093.3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601 Aporte Patronal"/>
    <s v="G/510601/1IA101"/>
    <s v="002"/>
    <n v="104701.53"/>
    <n v="0"/>
    <n v="-20504.63"/>
    <n v="84196.9"/>
    <n v="0"/>
    <n v="84196.9"/>
    <n v="84196.9"/>
    <n v="0"/>
    <n v="0"/>
    <n v="0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601 Aporte Patronal"/>
    <s v="G/510601/1CA101"/>
    <s v="002"/>
    <n v="381005.8"/>
    <n v="1618.95"/>
    <n v="-80671.19"/>
    <n v="301953.56"/>
    <n v="33418.6"/>
    <n v="268534.96000000002"/>
    <n v="268534.96000000002"/>
    <n v="33418.6"/>
    <n v="33418.6"/>
    <n v="0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601 Aporte Patronal"/>
    <s v="G/510601/1IA101"/>
    <s v="001"/>
    <n v="0"/>
    <n v="0"/>
    <n v="40418.5"/>
    <n v="40418.5"/>
    <n v="0"/>
    <n v="18661.28"/>
    <n v="18661.28"/>
    <n v="21757.22"/>
    <n v="21757.22"/>
    <n v="21757.22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601 Aporte Patronal"/>
    <s v="G/510601/1CA101"/>
    <s v="002"/>
    <n v="502531.86"/>
    <n v="-170.05"/>
    <n v="-83470.58"/>
    <n v="418891.23"/>
    <n v="11956.58"/>
    <n v="406934.65"/>
    <n v="406860.1"/>
    <n v="11956.58"/>
    <n v="12031.13"/>
    <n v="0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601 Aporte Patronal"/>
    <s v="G/510601/1BA101"/>
    <s v="001"/>
    <n v="0"/>
    <n v="0"/>
    <n v="72678.81"/>
    <n v="72678.81"/>
    <n v="0"/>
    <n v="23334.19"/>
    <n v="23334.19"/>
    <n v="49344.62"/>
    <n v="49344.62"/>
    <n v="49344.62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601 Aporte Patronal"/>
    <s v="G/510601/1IA101"/>
    <s v="002"/>
    <n v="90499.39"/>
    <n v="-769.47"/>
    <n v="-16356.23"/>
    <n v="73373.69"/>
    <n v="0"/>
    <n v="73373.69"/>
    <n v="73373.69"/>
    <n v="0"/>
    <n v="0"/>
    <n v="0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601 Aporte Patronal"/>
    <s v="G/510601/1CA101"/>
    <s v="002"/>
    <n v="17743.310000000001"/>
    <n v="3795"/>
    <n v="-797.5"/>
    <n v="20740.810000000001"/>
    <n v="1148.1400000000001"/>
    <n v="19592.669999999998"/>
    <n v="19592.669999999998"/>
    <n v="1148.1400000000001"/>
    <n v="1148.1400000000001"/>
    <n v="0"/>
  </r>
  <r>
    <s v="51"/>
    <x v="0"/>
    <x v="1"/>
    <s v="ZA01C060"/>
    <x v="12"/>
    <s v="A101"/>
    <s v="FORTALECIMIENTO INSTITUCIONAL"/>
    <s v="GC00A10100004D"/>
    <s v="GC00A10100004D REMUNERACION PERSONAL"/>
    <s v="51 GASTOS EN PERSONAL"/>
    <s v="510601 Aporte Patronal"/>
    <s v="G/510601/1CA101"/>
    <s v="002"/>
    <n v="49344.11"/>
    <n v="0"/>
    <n v="-25390.07"/>
    <n v="23954.04"/>
    <n v="341.05"/>
    <n v="23612.99"/>
    <n v="23612.99"/>
    <n v="341.05"/>
    <n v="341.05"/>
    <n v="0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601 Aporte Patronal"/>
    <s v="G/510601/1IA101"/>
    <s v="002"/>
    <n v="131130.31"/>
    <n v="-836.59"/>
    <n v="-23211.08"/>
    <n v="107082.64"/>
    <n v="0"/>
    <n v="107082.64"/>
    <n v="107082.64"/>
    <n v="0"/>
    <n v="0"/>
    <n v="0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601 Aporte Patronal"/>
    <s v="G/510601/1EA101"/>
    <s v="002"/>
    <n v="161652.18"/>
    <n v="-1100.04"/>
    <n v="-19893.53"/>
    <n v="140658.60999999999"/>
    <n v="9668.25"/>
    <n v="130990.36"/>
    <n v="130990.36"/>
    <n v="9668.25"/>
    <n v="9668.25"/>
    <n v="0"/>
  </r>
  <r>
    <s v="51"/>
    <x v="2"/>
    <x v="7"/>
    <s v="RB34F010"/>
    <x v="31"/>
    <s v="A101"/>
    <s v="FORTALECIMIENTO INSTITUCIONAL"/>
    <s v="GC00A10100004D"/>
    <s v="GC00A10100004D REMUNERACION PERSONAL"/>
    <s v="51 GASTOS EN PERSONAL"/>
    <s v="510601 Aporte Patronal"/>
    <s v="G/510601/1FA101"/>
    <s v="002"/>
    <n v="59221.73"/>
    <n v="-464.51"/>
    <n v="-10052.709999999999"/>
    <n v="48704.51"/>
    <n v="316.25"/>
    <n v="48388.26"/>
    <n v="48388.26"/>
    <n v="316.25"/>
    <n v="316.25"/>
    <n v="0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601 Aporte Patronal"/>
    <s v="G/510601/1PA101"/>
    <s v="002"/>
    <n v="157668.42000000001"/>
    <n v="390.38"/>
    <n v="-31674.81"/>
    <n v="126383.99"/>
    <n v="831.09"/>
    <n v="125552.9"/>
    <n v="125552.9"/>
    <n v="831.09"/>
    <n v="831.09"/>
    <n v="0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601 Aporte Patronal"/>
    <s v="G/510601/1LA101"/>
    <s v="001"/>
    <n v="0"/>
    <n v="5500"/>
    <n v="27367.85"/>
    <n v="32867.85"/>
    <n v="2758.29"/>
    <n v="9559.15"/>
    <n v="9559.15"/>
    <n v="23308.7"/>
    <n v="23308.7"/>
    <n v="20550.41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601 Aporte Patronal"/>
    <s v="G/510601/1IA101"/>
    <s v="002"/>
    <n v="95061.15"/>
    <n v="0"/>
    <n v="-4015.14"/>
    <n v="91046.01"/>
    <n v="0"/>
    <n v="91046.01"/>
    <n v="91046.01"/>
    <n v="0"/>
    <n v="0"/>
    <n v="0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601 Aporte Patronal"/>
    <s v="G/510601/1KA101"/>
    <s v="001"/>
    <n v="0"/>
    <n v="500"/>
    <n v="35530.75"/>
    <n v="36030.75"/>
    <n v="500"/>
    <n v="13055.38"/>
    <n v="13055.38"/>
    <n v="22975.37"/>
    <n v="22975.37"/>
    <n v="22475.37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601 Aporte Patronal"/>
    <s v="G/510601/1KA101"/>
    <s v="002"/>
    <n v="188855.85"/>
    <n v="0"/>
    <n v="-42050.97"/>
    <n v="146804.88"/>
    <n v="938.87"/>
    <n v="145866.01"/>
    <n v="145866.01"/>
    <n v="938.87"/>
    <n v="938.87"/>
    <n v="0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601 Aporte Patronal"/>
    <s v="G/510601/1BA101"/>
    <s v="002"/>
    <n v="497904.25"/>
    <n v="25449"/>
    <n v="-72678.81"/>
    <n v="450674.44"/>
    <n v="0"/>
    <n v="450674.44"/>
    <n v="450572.01"/>
    <n v="0"/>
    <n v="102.43"/>
    <n v="0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601 Aporte Patronal"/>
    <s v="G/510601/1NA101"/>
    <s v="001"/>
    <n v="0"/>
    <n v="0"/>
    <n v="351821.81"/>
    <n v="351821.81"/>
    <n v="0"/>
    <n v="138064.51999999999"/>
    <n v="138064.51999999999"/>
    <n v="213757.29"/>
    <n v="213757.29"/>
    <n v="213757.29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601 Aporte Patronal"/>
    <s v="G/510601/1IA101"/>
    <s v="002"/>
    <n v="137058.79"/>
    <n v="-1200.71"/>
    <n v="-27238.29"/>
    <n v="108619.79"/>
    <n v="0"/>
    <n v="108619.79"/>
    <n v="108619.79"/>
    <n v="0"/>
    <n v="0"/>
    <n v="0"/>
  </r>
  <r>
    <s v="51"/>
    <x v="3"/>
    <x v="11"/>
    <s v="ZA01H000"/>
    <x v="19"/>
    <s v="A101"/>
    <s v="FORTALECIMIENTO INSTITUCIONAL"/>
    <s v="GC00A10100004D"/>
    <s v="GC00A10100004D REMUNERACION PERSONAL"/>
    <s v="51 GASTOS EN PERSONAL"/>
    <s v="510601 Aporte Patronal"/>
    <s v="G/510601/1HA101"/>
    <s v="002"/>
    <n v="61790.01"/>
    <n v="0"/>
    <n v="-19211.16"/>
    <n v="42578.85"/>
    <n v="379.5"/>
    <n v="42199.35"/>
    <n v="42199.35"/>
    <n v="379.5"/>
    <n v="379.5"/>
    <n v="0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601 Aporte Patronal"/>
    <s v="G/510601/1IA101"/>
    <s v="001"/>
    <n v="0"/>
    <n v="0"/>
    <n v="17591.32"/>
    <n v="17591.32"/>
    <n v="0"/>
    <n v="8547.39"/>
    <n v="8547.39"/>
    <n v="9043.93"/>
    <n v="9043.93"/>
    <n v="9043.93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601 Aporte Patronal"/>
    <s v="G/510601/1LA101"/>
    <s v="002"/>
    <n v="109331.43"/>
    <n v="13050.5"/>
    <n v="-27367.85"/>
    <n v="95014.080000000002"/>
    <n v="3.9"/>
    <n v="95010.18"/>
    <n v="95010.18"/>
    <n v="3.9"/>
    <n v="3.9"/>
    <n v="0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601 Aporte Patronal"/>
    <s v="G/510601/1IA101"/>
    <s v="002"/>
    <n v="209252.87"/>
    <n v="-1071.4000000000001"/>
    <n v="-43195.23"/>
    <n v="164986.23999999999"/>
    <n v="0"/>
    <n v="164986.23999999999"/>
    <n v="164986.23999999999"/>
    <n v="0"/>
    <n v="0"/>
    <n v="0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601 Aporte Patronal"/>
    <s v="G/510601/1AA101"/>
    <s v="002"/>
    <n v="1328531.1399999999"/>
    <n v="10474.530000000001"/>
    <n v="-318787.53999999998"/>
    <n v="1020218.13"/>
    <n v="44135.53"/>
    <n v="976082.6"/>
    <n v="976082.6"/>
    <n v="44135.53"/>
    <n v="44135.53"/>
    <n v="0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601 Aporte Patronal"/>
    <s v="G/510601/1MA101"/>
    <s v="001"/>
    <n v="0"/>
    <n v="7200"/>
    <n v="19745.560000000001"/>
    <n v="26945.56"/>
    <n v="0"/>
    <n v="13453.56"/>
    <n v="13453.56"/>
    <n v="13492"/>
    <n v="13492"/>
    <n v="13492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601 Aporte Patronal"/>
    <s v="G/510601/1IA101"/>
    <s v="002"/>
    <n v="149995.06"/>
    <n v="-1071.4000000000001"/>
    <n v="-29243.45"/>
    <n v="119680.21"/>
    <n v="0"/>
    <n v="119680.21"/>
    <n v="119680.21"/>
    <n v="0"/>
    <n v="0"/>
    <n v="0"/>
  </r>
  <r>
    <s v="51"/>
    <x v="2"/>
    <x v="7"/>
    <s v="RB34F010"/>
    <x v="31"/>
    <s v="A101"/>
    <s v="FORTALECIMIENTO INSTITUCIONAL"/>
    <s v="GC00A10100004D"/>
    <s v="GC00A10100004D REMUNERACION PERSONAL"/>
    <s v="51 GASTOS EN PERSONAL"/>
    <s v="510601 Aporte Patronal"/>
    <s v="G/510601/1FA101"/>
    <s v="001"/>
    <n v="0"/>
    <n v="0"/>
    <n v="10052.709999999999"/>
    <n v="10052.709999999999"/>
    <n v="0"/>
    <n v="4281.45"/>
    <n v="4281.45"/>
    <n v="5771.26"/>
    <n v="5771.26"/>
    <n v="5771.26"/>
  </r>
  <r>
    <s v="51"/>
    <x v="2"/>
    <x v="7"/>
    <s v="TM68F100"/>
    <x v="36"/>
    <s v="A101"/>
    <s v="FORTALECIMIENTO INSTITUCIONAL"/>
    <s v="GC00A10100004D"/>
    <s v="GC00A10100004D REMUNERACION PERSONAL"/>
    <s v="51 GASTOS EN PERSONAL"/>
    <s v="510601 Aporte Patronal"/>
    <s v="G/510601/1FA101"/>
    <s v="001"/>
    <n v="0"/>
    <n v="700"/>
    <n v="8848.39"/>
    <n v="9548.39"/>
    <n v="0"/>
    <n v="4772.2299999999996"/>
    <n v="4772.2299999999996"/>
    <n v="4776.16"/>
    <n v="4776.16"/>
    <n v="4776.16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601 Aporte Patronal"/>
    <s v="G/510601/1AA101"/>
    <s v="001"/>
    <n v="0"/>
    <n v="0"/>
    <n v="230925.63"/>
    <n v="230925.63"/>
    <n v="0"/>
    <n v="87237.06"/>
    <n v="87237.06"/>
    <n v="143688.57"/>
    <n v="143688.57"/>
    <n v="143688.57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601 Aporte Patronal"/>
    <s v="G/510601/1IA101"/>
    <s v="002"/>
    <n v="133965.54"/>
    <n v="-1071.4000000000001"/>
    <n v="-28901.919999999998"/>
    <n v="103992.22"/>
    <n v="0"/>
    <n v="103992.22"/>
    <n v="103992.22"/>
    <n v="0"/>
    <n v="0"/>
    <n v="0"/>
  </r>
  <r>
    <s v="51"/>
    <x v="0"/>
    <x v="0"/>
    <s v="RP36A010"/>
    <x v="0"/>
    <s v="A101"/>
    <s v="FORTALECIMIENTO INSTITUCIONAL"/>
    <s v="GC00A10100004D"/>
    <s v="GC00A10100004D REMUNERACION PERSONAL"/>
    <s v="51 GASTOS EN PERSONAL"/>
    <s v="510601 Aporte Patronal"/>
    <s v="G/510601/1AA101"/>
    <s v="002"/>
    <n v="445060.19"/>
    <n v="-1277.43"/>
    <n v="-78567.240000000005"/>
    <n v="365215.52"/>
    <n v="5688.61"/>
    <n v="359526.91"/>
    <n v="359526.91"/>
    <n v="5688.61"/>
    <n v="5688.61"/>
    <n v="0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601 Aporte Patronal"/>
    <s v="G/510601/1MA101"/>
    <s v="001"/>
    <n v="0"/>
    <n v="0"/>
    <n v="57096.11"/>
    <n v="57096.11"/>
    <n v="0"/>
    <n v="18355.259999999998"/>
    <n v="18355.259999999998"/>
    <n v="38740.85"/>
    <n v="38740.85"/>
    <n v="38740.85"/>
  </r>
  <r>
    <s v="51"/>
    <x v="2"/>
    <x v="7"/>
    <s v="TM68F100"/>
    <x v="36"/>
    <s v="A101"/>
    <s v="FORTALECIMIENTO INSTITUCIONAL"/>
    <s v="GC00A10100004D"/>
    <s v="GC00A10100004D REMUNERACION PERSONAL"/>
    <s v="51 GASTOS EN PERSONAL"/>
    <s v="510601 Aporte Patronal"/>
    <s v="G/510601/1FA101"/>
    <s v="002"/>
    <n v="61691.519999999997"/>
    <n v="585.57000000000005"/>
    <n v="-18726.5"/>
    <n v="43550.59"/>
    <n v="0"/>
    <n v="43550.59"/>
    <n v="43550.59"/>
    <n v="0"/>
    <n v="0"/>
    <n v="0"/>
  </r>
  <r>
    <s v="51"/>
    <x v="2"/>
    <x v="8"/>
    <s v="FS66P020"/>
    <x v="13"/>
    <s v="A101"/>
    <s v="FORTALECIMIENTO INSTITUCIONAL"/>
    <s v="GC00A10100004D"/>
    <s v="GC00A10100004D REMUNERACION PERSONAL"/>
    <s v="51 GASTOS EN PERSONAL"/>
    <s v="510601 Aporte Patronal"/>
    <s v="G/510601/1PA101"/>
    <s v="002"/>
    <n v="277089.65000000002"/>
    <n v="-7948.25"/>
    <n v="-55209.43"/>
    <n v="213931.97"/>
    <n v="4035.12"/>
    <n v="209896.85"/>
    <n v="209896.85"/>
    <n v="4035.12"/>
    <n v="4035.12"/>
    <n v="0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601 Aporte Patronal"/>
    <s v="G/510601/1DA101"/>
    <s v="001"/>
    <n v="0"/>
    <n v="0"/>
    <n v="26416.12"/>
    <n v="26416.12"/>
    <n v="0"/>
    <n v="12359.26"/>
    <n v="12359.26"/>
    <n v="14056.86"/>
    <n v="14056.86"/>
    <n v="14056.86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601 Aporte Patronal"/>
    <s v="G/510601/1FA101"/>
    <s v="002"/>
    <n v="240936.49"/>
    <n v="569.5"/>
    <n v="-60209.42"/>
    <n v="181296.57"/>
    <n v="1732.6"/>
    <n v="179563.97"/>
    <n v="179563.97"/>
    <n v="1732.6"/>
    <n v="1732.6"/>
    <n v="0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601 Aporte Patronal"/>
    <s v="G/510601/1GA101"/>
    <s v="002"/>
    <n v="348877.76"/>
    <n v="1365.95"/>
    <n v="-78617"/>
    <n v="271626.71000000002"/>
    <n v="2378.15"/>
    <n v="269248.56"/>
    <n v="269248.56"/>
    <n v="2378.15"/>
    <n v="2378.15"/>
    <n v="0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601 Aporte Patronal"/>
    <s v="G/510601/1PA101"/>
    <s v="001"/>
    <n v="0"/>
    <n v="0"/>
    <n v="27003.19"/>
    <n v="27003.19"/>
    <n v="0"/>
    <n v="13004.27"/>
    <n v="13004.27"/>
    <n v="13998.92"/>
    <n v="13998.92"/>
    <n v="13998.92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601 Aporte Patronal"/>
    <s v="G/510601/1CA101"/>
    <s v="001"/>
    <n v="0"/>
    <n v="0"/>
    <n v="66231.429999999993"/>
    <n v="66231.429999999993"/>
    <n v="0"/>
    <n v="22164.13"/>
    <n v="22164.13"/>
    <n v="44067.3"/>
    <n v="44067.3"/>
    <n v="44067.3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601 Aporte Patronal"/>
    <s v="G/510601/1IA101"/>
    <s v="001"/>
    <n v="0"/>
    <n v="1240.21"/>
    <n v="19944.89"/>
    <n v="21185.1"/>
    <n v="444.61"/>
    <n v="9569.24"/>
    <n v="9569.24"/>
    <n v="11615.86"/>
    <n v="11615.86"/>
    <n v="11171.25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601 Aporte Patronal"/>
    <s v="G/510601/1MA101"/>
    <s v="001"/>
    <n v="0"/>
    <n v="0"/>
    <n v="132572.62"/>
    <n v="132572.62"/>
    <n v="0"/>
    <n v="29050.98"/>
    <n v="28760.97"/>
    <n v="103521.64"/>
    <n v="103811.65"/>
    <n v="103521.64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601 Aporte Patronal"/>
    <s v="G/510601/1MA101"/>
    <s v="002"/>
    <n v="316003.33"/>
    <n v="-5989.35"/>
    <n v="-57096.11"/>
    <n v="252917.87"/>
    <n v="23559.21"/>
    <n v="229358.66"/>
    <n v="229307.01"/>
    <n v="23559.21"/>
    <n v="23610.86"/>
    <n v="0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601 Aporte Patronal"/>
    <s v="G/510601/1FA101"/>
    <s v="001"/>
    <n v="0"/>
    <n v="0"/>
    <n v="29045.75"/>
    <n v="29045.75"/>
    <n v="0"/>
    <n v="14318.03"/>
    <n v="14318.03"/>
    <n v="14727.72"/>
    <n v="14727.72"/>
    <n v="14727.72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601 Aporte Patronal"/>
    <s v="G/510601/1NA101"/>
    <s v="002"/>
    <n v="432810.25"/>
    <n v="-35288.39"/>
    <n v="-62650.400000000001"/>
    <n v="334871.46000000002"/>
    <n v="4797.42"/>
    <n v="330074.03999999998"/>
    <n v="330074.03999999998"/>
    <n v="4797.42"/>
    <n v="4797.42"/>
    <n v="0"/>
  </r>
  <r>
    <s v="51"/>
    <x v="0"/>
    <x v="0"/>
    <s v="RP36A010"/>
    <x v="0"/>
    <s v="A101"/>
    <s v="FORTALECIMIENTO INSTITUCIONAL"/>
    <s v="GC00A10100004D"/>
    <s v="GC00A10100004D REMUNERACION PERSONAL"/>
    <s v="51 GASTOS EN PERSONAL"/>
    <s v="510601 Aporte Patronal"/>
    <s v="G/510601/1AA101"/>
    <s v="001"/>
    <n v="0"/>
    <n v="0"/>
    <n v="78567.240000000005"/>
    <n v="78567.240000000005"/>
    <n v="0"/>
    <n v="33114.379999999997"/>
    <n v="33114.379999999997"/>
    <n v="45452.86"/>
    <n v="45452.86"/>
    <n v="45452.86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601 Aporte Patronal"/>
    <s v="G/510601/1MA101"/>
    <s v="002"/>
    <n v="455986.48"/>
    <n v="18372.07"/>
    <n v="-132572.62"/>
    <n v="341785.93"/>
    <n v="12421.59"/>
    <n v="329364.34000000003"/>
    <n v="329364.34000000003"/>
    <n v="12421.59"/>
    <n v="12421.59"/>
    <n v="0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601 Aporte Patronal"/>
    <s v="G/510601/1CA101"/>
    <s v="001"/>
    <n v="0"/>
    <n v="0"/>
    <n v="2524.2600000000002"/>
    <n v="2524.2600000000002"/>
    <n v="0"/>
    <n v="1162.3699999999999"/>
    <n v="1162.3699999999999"/>
    <n v="1361.89"/>
    <n v="1361.89"/>
    <n v="1361.89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601 Aporte Patronal"/>
    <s v="G/510601/1FA101"/>
    <s v="001"/>
    <n v="0"/>
    <n v="0"/>
    <n v="29606.17"/>
    <n v="29606.17"/>
    <n v="0"/>
    <n v="14250.96"/>
    <n v="14250.96"/>
    <n v="15355.21"/>
    <n v="15355.21"/>
    <n v="15355.21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601 Aporte Patronal"/>
    <s v="G/510601/1FA101"/>
    <s v="001"/>
    <n v="0"/>
    <n v="0"/>
    <n v="29062.99"/>
    <n v="29062.99"/>
    <n v="0"/>
    <n v="13454.1"/>
    <n v="13454.1"/>
    <n v="15608.89"/>
    <n v="15608.89"/>
    <n v="15608.89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601 Aporte Patronal"/>
    <s v="G/510601/1MA101"/>
    <s v="002"/>
    <n v="186999.8"/>
    <n v="-15503.84"/>
    <n v="-25511.4"/>
    <n v="145984.56"/>
    <n v="21188.09"/>
    <n v="124796.47"/>
    <n v="124796.47"/>
    <n v="21188.09"/>
    <n v="21188.09"/>
    <n v="0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601 Aporte Patronal"/>
    <s v="G/510601/1IA101"/>
    <s v="001"/>
    <n v="0"/>
    <n v="2480.41"/>
    <n v="15630.52"/>
    <n v="18110.93"/>
    <n v="1933.81"/>
    <n v="7898.85"/>
    <n v="7898.85"/>
    <n v="10212.08"/>
    <n v="10212.08"/>
    <n v="8278.27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601 Aporte Patronal"/>
    <s v="G/510601/1DA101"/>
    <s v="002"/>
    <n v="160063.41"/>
    <n v="13.65"/>
    <n v="-35273.629999999997"/>
    <n v="124803.43"/>
    <n v="165.38"/>
    <n v="124638.05"/>
    <n v="124638.05"/>
    <n v="165.38"/>
    <n v="165.38"/>
    <n v="0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601 Aporte Patronal"/>
    <s v="G/510601/1IA101"/>
    <s v="001"/>
    <n v="0"/>
    <n v="2480.41"/>
    <n v="35153.14"/>
    <n v="37633.550000000003"/>
    <n v="1138.21"/>
    <n v="17798.86"/>
    <n v="17798.86"/>
    <n v="19834.689999999999"/>
    <n v="19834.689999999999"/>
    <n v="18696.48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601 Aporte Patronal"/>
    <s v="G/510601/1CA101"/>
    <s v="001"/>
    <n v="0"/>
    <n v="0"/>
    <n v="83470.58"/>
    <n v="83470.58"/>
    <n v="0"/>
    <n v="29724.54"/>
    <n v="29724.54"/>
    <n v="53746.04"/>
    <n v="53746.04"/>
    <n v="53746.04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601 Aporte Patronal"/>
    <s v="G/510601/1FA101"/>
    <s v="002"/>
    <n v="155426.1"/>
    <n v="0"/>
    <n v="-41121.949999999997"/>
    <n v="114304.15"/>
    <n v="846.26"/>
    <n v="113457.89"/>
    <n v="113457.89"/>
    <n v="846.26"/>
    <n v="846.26"/>
    <n v="0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601 Aporte Patronal"/>
    <s v="G/510601/1FA101"/>
    <s v="002"/>
    <n v="172079.88"/>
    <n v="0"/>
    <n v="-33573.5"/>
    <n v="138506.38"/>
    <n v="453.21"/>
    <n v="138053.17000000001"/>
    <n v="138053.17000000001"/>
    <n v="453.21"/>
    <n v="453.21"/>
    <n v="0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601 Aporte Patronal"/>
    <s v="G/510601/1IA101"/>
    <s v="002"/>
    <n v="242185.19"/>
    <n v="0"/>
    <n v="-54125.22"/>
    <n v="188059.97"/>
    <n v="0"/>
    <n v="188059.97"/>
    <n v="188059.97"/>
    <n v="0"/>
    <n v="0"/>
    <n v="0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601 Aporte Patronal"/>
    <s v="G/510601/1FA101"/>
    <s v="001"/>
    <n v="0"/>
    <n v="0"/>
    <n v="35994.410000000003"/>
    <n v="35994.410000000003"/>
    <n v="0"/>
    <n v="17857.740000000002"/>
    <n v="17857.740000000002"/>
    <n v="18136.669999999998"/>
    <n v="18136.669999999998"/>
    <n v="18136.669999999998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601 Aporte Patronal"/>
    <s v="G/510601/1IA101"/>
    <s v="001"/>
    <n v="0"/>
    <n v="2480.41"/>
    <n v="23117.040000000001"/>
    <n v="25597.45"/>
    <n v="1557.27"/>
    <n v="10532.68"/>
    <n v="10532.68"/>
    <n v="15064.77"/>
    <n v="15064.77"/>
    <n v="13507.5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601 Aporte Patronal"/>
    <s v="G/510601/1FA101"/>
    <s v="001"/>
    <n v="0"/>
    <n v="200"/>
    <n v="22018.71"/>
    <n v="22218.71"/>
    <n v="0"/>
    <n v="11086.13"/>
    <n v="11086.13"/>
    <n v="11132.58"/>
    <n v="11132.58"/>
    <n v="11132.58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601 Aporte Patronal"/>
    <s v="G/510601/2QA101"/>
    <s v="001"/>
    <n v="0"/>
    <n v="0"/>
    <n v="38228.53"/>
    <n v="38228.53"/>
    <n v="0"/>
    <n v="14304.16"/>
    <n v="14304.16"/>
    <n v="23924.37"/>
    <n v="23924.37"/>
    <n v="23924.37"/>
  </r>
  <r>
    <s v="51"/>
    <x v="1"/>
    <x v="5"/>
    <s v="ZA01J000"/>
    <x v="8"/>
    <s v="A101"/>
    <s v="FORTALECIMIENTO INSTITUCIONAL"/>
    <s v="GC00A10100004D"/>
    <s v="GC00A10100004D REMUNERACION PERSONAL"/>
    <s v="51 GASTOS EN PERSONAL"/>
    <s v="510601 Aporte Patronal"/>
    <s v="G/510601/1JA101"/>
    <s v="002"/>
    <n v="90000.7"/>
    <n v="34781.93"/>
    <n v="-49033.27"/>
    <n v="75749.36"/>
    <n v="4032.17"/>
    <n v="71717.19"/>
    <n v="71717.19"/>
    <n v="4032.17"/>
    <n v="4032.17"/>
    <n v="0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601 Aporte Patronal"/>
    <s v="G/510601/2QA101"/>
    <s v="002"/>
    <n v="199948.26"/>
    <n v="-11412.58"/>
    <n v="-38228.53"/>
    <n v="150307.15"/>
    <n v="1102.1600000000001"/>
    <n v="149204.99"/>
    <n v="149204.99"/>
    <n v="1102.1600000000001"/>
    <n v="1102.1600000000001"/>
    <n v="0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601 Aporte Patronal"/>
    <s v="G/510601/1NA101"/>
    <s v="001"/>
    <n v="0"/>
    <n v="0"/>
    <n v="62650.400000000001"/>
    <n v="62650.400000000001"/>
    <n v="0"/>
    <n v="17438.52"/>
    <n v="17438.52"/>
    <n v="45211.88"/>
    <n v="45211.88"/>
    <n v="45211.88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601 Aporte Patronal"/>
    <s v="G/510601/1FA101"/>
    <s v="002"/>
    <n v="188041.38"/>
    <n v="0"/>
    <n v="-43521.46"/>
    <n v="144519.92000000001"/>
    <n v="1030.31"/>
    <n v="143489.60999999999"/>
    <n v="143489.60999999999"/>
    <n v="1030.31"/>
    <n v="1030.31"/>
    <n v="0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601 Aporte Patronal"/>
    <s v="G/510601/1MA101"/>
    <s v="001"/>
    <n v="0"/>
    <n v="0"/>
    <n v="25511.4"/>
    <n v="25511.4"/>
    <n v="0"/>
    <n v="8567.27"/>
    <n v="8567.27"/>
    <n v="16944.13"/>
    <n v="16944.13"/>
    <n v="16944.13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601 Aporte Patronal"/>
    <s v="G/510601/1KA101"/>
    <s v="001"/>
    <n v="0"/>
    <n v="0"/>
    <n v="624122.65"/>
    <n v="624122.65"/>
    <n v="0"/>
    <n v="285502.15000000002"/>
    <n v="284859.74"/>
    <n v="338620.5"/>
    <n v="339262.91"/>
    <n v="338620.5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601 Aporte Patronal"/>
    <s v="G/510601/1GA101"/>
    <s v="001"/>
    <n v="0"/>
    <n v="0"/>
    <n v="62374.52"/>
    <n v="62374.52"/>
    <n v="0"/>
    <n v="24646.35"/>
    <n v="24646.35"/>
    <n v="37728.17"/>
    <n v="37728.17"/>
    <n v="37728.17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601 Aporte Patronal"/>
    <s v="G/510601/1IA101"/>
    <s v="001"/>
    <n v="0"/>
    <n v="1240.21"/>
    <n v="25983.03"/>
    <n v="27223.24"/>
    <n v="693.61"/>
    <n v="12224.24"/>
    <n v="12224.24"/>
    <n v="14999"/>
    <n v="14999"/>
    <n v="14305.39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601 Aporte Patronal"/>
    <s v="G/510601/1MA101"/>
    <s v="002"/>
    <n v="362403.38"/>
    <n v="-172924.83"/>
    <n v="-11493.24"/>
    <n v="177985.31"/>
    <n v="8860.18"/>
    <n v="169125.13"/>
    <n v="169125.13"/>
    <n v="8860.18"/>
    <n v="8860.18"/>
    <n v="0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601 Aporte Patronal"/>
    <s v="G/510601/1FA101"/>
    <s v="001"/>
    <n v="0"/>
    <n v="20"/>
    <n v="22618.6"/>
    <n v="22638.6"/>
    <n v="0"/>
    <n v="11313.33"/>
    <n v="11313.33"/>
    <n v="11325.27"/>
    <n v="11325.27"/>
    <n v="11325.27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601 Aporte Patronal"/>
    <s v="G/510601/1FA101"/>
    <s v="001"/>
    <n v="0"/>
    <n v="0"/>
    <n v="28295.56"/>
    <n v="28295.56"/>
    <n v="0"/>
    <n v="12357.12"/>
    <n v="12357.12"/>
    <n v="15938.44"/>
    <n v="15938.44"/>
    <n v="15938.44"/>
  </r>
  <r>
    <s v="51"/>
    <x v="0"/>
    <x v="1"/>
    <s v="ZA01C060"/>
    <x v="12"/>
    <s v="A101"/>
    <s v="FORTALECIMIENTO INSTITUCIONAL"/>
    <s v="GC00A10100004D"/>
    <s v="GC00A10100004D REMUNERACION PERSONAL"/>
    <s v="51 GASTOS EN PERSONAL"/>
    <s v="510601 Aporte Patronal"/>
    <s v="G/510601/1CA101"/>
    <s v="001"/>
    <n v="0"/>
    <n v="3200"/>
    <n v="3163.57"/>
    <n v="6363.57"/>
    <n v="0"/>
    <n v="3141.76"/>
    <n v="3141.76"/>
    <n v="3221.81"/>
    <n v="3221.81"/>
    <n v="3221.81"/>
  </r>
  <r>
    <s v="51"/>
    <x v="2"/>
    <x v="7"/>
    <s v="ZA01F000"/>
    <x v="25"/>
    <s v="A101"/>
    <s v="FORTALECIMIENTO INSTITUCIONAL"/>
    <s v="GC00A10100004D"/>
    <s v="GC00A10100004D REMUNERACION PERSONAL"/>
    <s v="51 GASTOS EN PERSONAL"/>
    <s v="510601 Aporte Patronal"/>
    <s v="G/510601/1FA101"/>
    <s v="001"/>
    <n v="0"/>
    <n v="0"/>
    <n v="16523.46"/>
    <n v="16523.46"/>
    <n v="0"/>
    <n v="4722.45"/>
    <n v="4722.45"/>
    <n v="11801.01"/>
    <n v="11801.01"/>
    <n v="11801.01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601 Aporte Patronal"/>
    <s v="G/510601/1IA101"/>
    <s v="001"/>
    <n v="0"/>
    <n v="1240.21"/>
    <n v="22456.83"/>
    <n v="23697.040000000001"/>
    <n v="465.86"/>
    <n v="11692.67"/>
    <n v="11692.67"/>
    <n v="12004.37"/>
    <n v="12004.37"/>
    <n v="11538.51"/>
  </r>
  <r>
    <s v="51"/>
    <x v="3"/>
    <x v="11"/>
    <s v="ZA01H000"/>
    <x v="19"/>
    <s v="A101"/>
    <s v="FORTALECIMIENTO INSTITUCIONAL"/>
    <s v="GC00A10100004D"/>
    <s v="GC00A10100004D REMUNERACION PERSONAL"/>
    <s v="51 GASTOS EN PERSONAL"/>
    <s v="510601 Aporte Patronal"/>
    <s v="G/510601/1HA101"/>
    <s v="001"/>
    <n v="0"/>
    <n v="0"/>
    <n v="19211.16"/>
    <n v="19211.16"/>
    <n v="0"/>
    <n v="3546.62"/>
    <n v="3546.62"/>
    <n v="15664.54"/>
    <n v="15664.54"/>
    <n v="15664.54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601 Aporte Patronal"/>
    <s v="G/510601/1FA101"/>
    <s v="002"/>
    <n v="138591.46"/>
    <n v="1272.5999999999999"/>
    <n v="-31552.74"/>
    <n v="108311.32"/>
    <n v="0"/>
    <n v="108311.32"/>
    <n v="108311.32"/>
    <n v="0"/>
    <n v="0"/>
    <n v="0"/>
  </r>
  <r>
    <s v="51"/>
    <x v="1"/>
    <x v="5"/>
    <s v="ZA01J000"/>
    <x v="8"/>
    <s v="A101"/>
    <s v="FORTALECIMIENTO INSTITUCIONAL"/>
    <s v="GC00A10100004D"/>
    <s v="GC00A10100004D REMUNERACION PERSONAL"/>
    <s v="51 GASTOS EN PERSONAL"/>
    <s v="510601 Aporte Patronal"/>
    <s v="G/510601/1JA101"/>
    <s v="001"/>
    <n v="0"/>
    <n v="0"/>
    <n v="47513.77"/>
    <n v="47513.77"/>
    <n v="0"/>
    <n v="16304.3"/>
    <n v="16304.3"/>
    <n v="31209.47"/>
    <n v="31209.47"/>
    <n v="31209.47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601 Aporte Patronal"/>
    <s v="G/510601/1FA101"/>
    <s v="001"/>
    <n v="0"/>
    <n v="0"/>
    <n v="18001.64"/>
    <n v="18001.64"/>
    <n v="0"/>
    <n v="8939.5300000000007"/>
    <n v="8939.5300000000007"/>
    <n v="9062.11"/>
    <n v="9062.11"/>
    <n v="9062.11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601 Aporte Patronal"/>
    <s v="G/510601/1IA101"/>
    <s v="002"/>
    <n v="680530.36"/>
    <n v="-128086.92"/>
    <n v="-120425.29"/>
    <n v="432018.15"/>
    <n v="27038.97"/>
    <n v="404979.18"/>
    <n v="404976.14"/>
    <n v="27038.97"/>
    <n v="27042.01"/>
    <n v="0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601 Aporte Patronal"/>
    <s v="G/510601/1EA101"/>
    <s v="001"/>
    <n v="0"/>
    <n v="0"/>
    <n v="19893.53"/>
    <n v="19893.53"/>
    <n v="0"/>
    <n v="8672.31"/>
    <n v="8672.31"/>
    <n v="11221.22"/>
    <n v="11221.22"/>
    <n v="11221.22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601 Aporte Patronal"/>
    <s v="G/510601/1NA101"/>
    <s v="002"/>
    <n v="1973331.61"/>
    <n v="0"/>
    <n v="-351821.81"/>
    <n v="1621509.8"/>
    <n v="40917.18"/>
    <n v="1580592.62"/>
    <n v="1580592.62"/>
    <n v="40917.18"/>
    <n v="40917.18"/>
    <n v="0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601 Aporte Patronal"/>
    <s v="G/510601/1IA101"/>
    <s v="001"/>
    <n v="0"/>
    <n v="2480.41"/>
    <n v="22607.53"/>
    <n v="25087.94"/>
    <n v="1138.21"/>
    <n v="12156.89"/>
    <n v="12156.89"/>
    <n v="12931.05"/>
    <n v="12931.05"/>
    <n v="11792.84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601 Aporte Patronal"/>
    <s v="G/510601/1FA101"/>
    <s v="002"/>
    <n v="171142.33"/>
    <n v="603.87"/>
    <n v="-47704.97"/>
    <n v="124041.23"/>
    <n v="0"/>
    <n v="124041.23"/>
    <n v="124041.23"/>
    <n v="0"/>
    <n v="0"/>
    <n v="0"/>
  </r>
  <r>
    <s v="51"/>
    <x v="0"/>
    <x v="1"/>
    <s v="ZA01C060"/>
    <x v="12"/>
    <s v="A101"/>
    <s v="FORTALECIMIENTO INSTITUCIONAL"/>
    <s v="GC00A10100004D"/>
    <s v="GC00A10100004D REMUNERACION PERSONAL"/>
    <s v="51 GASTOS EN PERSONAL"/>
    <s v="510602 Fondo de Reserva"/>
    <s v="G/510602/1CA101"/>
    <s v="001"/>
    <n v="0"/>
    <n v="700"/>
    <n v="1142.79"/>
    <n v="1842.79"/>
    <n v="0"/>
    <n v="919.29"/>
    <n v="919.29"/>
    <n v="923.5"/>
    <n v="923.5"/>
    <n v="923.5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602 Fondo de Reserva"/>
    <s v="G/510602/1FA101"/>
    <s v="001"/>
    <n v="0"/>
    <n v="4700"/>
    <n v="9610.51"/>
    <n v="14310.51"/>
    <n v="0"/>
    <n v="7136.34"/>
    <n v="7136.34"/>
    <n v="7174.17"/>
    <n v="7174.17"/>
    <n v="7174.17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602 Fondo de Reserva"/>
    <s v="G/510602/1IA101"/>
    <s v="002"/>
    <n v="70207.429999999993"/>
    <n v="0"/>
    <n v="-5703.4"/>
    <n v="64504.03"/>
    <n v="0"/>
    <n v="64504.03"/>
    <n v="64504.03"/>
    <n v="0"/>
    <n v="0"/>
    <n v="0"/>
  </r>
  <r>
    <s v="51"/>
    <x v="2"/>
    <x v="7"/>
    <s v="RB34F010"/>
    <x v="31"/>
    <s v="A101"/>
    <s v="FORTALECIMIENTO INSTITUCIONAL"/>
    <s v="GC00A10100004D"/>
    <s v="GC00A10100004D REMUNERACION PERSONAL"/>
    <s v="51 GASTOS EN PERSONAL"/>
    <s v="510602 Fondo de Reserva"/>
    <s v="G/510602/1FA101"/>
    <s v="002"/>
    <n v="39013"/>
    <n v="-306"/>
    <n v="-15268.99"/>
    <n v="23438.01"/>
    <n v="209.25"/>
    <n v="23228.76"/>
    <n v="23228.76"/>
    <n v="209.25"/>
    <n v="209.25"/>
    <n v="0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602 Fondo de Reserva"/>
    <s v="G/510602/1IA101"/>
    <s v="002"/>
    <n v="66204.86"/>
    <n v="-506.89"/>
    <n v="-13266.6"/>
    <n v="52431.37"/>
    <n v="0"/>
    <n v="52431.37"/>
    <n v="52431.37"/>
    <n v="0"/>
    <n v="0"/>
    <n v="0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602 Fondo de Reserva"/>
    <s v="G/510602/1IA101"/>
    <s v="001"/>
    <n v="0"/>
    <n v="1634"/>
    <n v="15847.64"/>
    <n v="17481.64"/>
    <n v="1634"/>
    <n v="6931.48"/>
    <n v="6931.48"/>
    <n v="10550.16"/>
    <n v="10550.16"/>
    <n v="8916.16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602 Fondo de Reserva"/>
    <s v="G/510602/1FA101"/>
    <s v="001"/>
    <n v="0"/>
    <n v="0"/>
    <n v="12875.66"/>
    <n v="12875.66"/>
    <n v="0"/>
    <n v="6267.32"/>
    <n v="6267.32"/>
    <n v="6608.34"/>
    <n v="6608.34"/>
    <n v="6608.34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602 Fondo de Reserva"/>
    <s v="G/510602/1CA101"/>
    <s v="002"/>
    <n v="331608.03999999998"/>
    <n v="-112"/>
    <n v="-98306.37"/>
    <n v="233189.67"/>
    <n v="33019.379999999997"/>
    <n v="200170.29"/>
    <n v="200111.98"/>
    <n v="33019.379999999997"/>
    <n v="33077.69"/>
    <n v="0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602 Fondo de Reserva"/>
    <s v="G/510602/1EA101"/>
    <s v="002"/>
    <n v="106712.51"/>
    <n v="-724.67"/>
    <n v="-20610.080000000002"/>
    <n v="85377.76"/>
    <n v="22606.2"/>
    <n v="62771.56"/>
    <n v="62771.56"/>
    <n v="22606.2"/>
    <n v="22606.2"/>
    <n v="0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602 Fondo de Reserva"/>
    <s v="G/510602/1IA101"/>
    <s v="002"/>
    <n v="488627.02"/>
    <n v="-91036.52"/>
    <n v="-110009.74"/>
    <n v="287580.76"/>
    <n v="46075.87"/>
    <n v="241504.89"/>
    <n v="241502.62"/>
    <n v="46075.87"/>
    <n v="46078.14"/>
    <n v="0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602 Fondo de Reserva"/>
    <s v="G/510602/1BA101"/>
    <s v="001"/>
    <n v="0"/>
    <n v="0"/>
    <n v="31567.47"/>
    <n v="31567.47"/>
    <n v="0"/>
    <n v="14207.86"/>
    <n v="14207.86"/>
    <n v="17359.61"/>
    <n v="17359.61"/>
    <n v="17359.61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602 Fondo de Reserva"/>
    <s v="G/510602/1CA101"/>
    <s v="002"/>
    <n v="11713.53"/>
    <n v="2500"/>
    <n v="-2081.42"/>
    <n v="12132.11"/>
    <n v="3402.06"/>
    <n v="8730.0499999999993"/>
    <n v="8730.0499999999993"/>
    <n v="3402.06"/>
    <n v="3402.06"/>
    <n v="0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602 Fondo de Reserva"/>
    <s v="G/510602/1FA101"/>
    <s v="001"/>
    <n v="0"/>
    <n v="1900"/>
    <n v="14795.75"/>
    <n v="16695.75"/>
    <n v="0"/>
    <n v="8332.85"/>
    <n v="8332.85"/>
    <n v="8362.9"/>
    <n v="8362.9"/>
    <n v="8362.9"/>
  </r>
  <r>
    <s v="51"/>
    <x v="0"/>
    <x v="1"/>
    <s v="ZA01C060"/>
    <x v="12"/>
    <s v="A101"/>
    <s v="FORTALECIMIENTO INSTITUCIONAL"/>
    <s v="GC00A10100004D"/>
    <s v="GC00A10100004D REMUNERACION PERSONAL"/>
    <s v="51 GASTOS EN PERSONAL"/>
    <s v="510602 Fondo de Reserva"/>
    <s v="G/510602/1CA101"/>
    <s v="002"/>
    <n v="32506"/>
    <n v="0"/>
    <n v="-25024.66"/>
    <n v="7481.34"/>
    <n v="674"/>
    <n v="6807.34"/>
    <n v="6807.34"/>
    <n v="674"/>
    <n v="674"/>
    <n v="0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602 Fondo de Reserva"/>
    <s v="G/510602/1IA101"/>
    <s v="002"/>
    <n v="96405.81"/>
    <n v="-625.33000000000004"/>
    <n v="-19640.64"/>
    <n v="76139.839999999997"/>
    <n v="0"/>
    <n v="76139.839999999997"/>
    <n v="76139.839999999997"/>
    <n v="0"/>
    <n v="0"/>
    <n v="0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602 Fondo de Reserva"/>
    <s v="G/510602/1IA101"/>
    <s v="001"/>
    <n v="0"/>
    <n v="0"/>
    <n v="27787.97"/>
    <n v="27787.97"/>
    <n v="0"/>
    <n v="13431.41"/>
    <n v="13431.41"/>
    <n v="14356.56"/>
    <n v="14356.56"/>
    <n v="14356.56"/>
  </r>
  <r>
    <s v="51"/>
    <x v="3"/>
    <x v="11"/>
    <s v="ZA01H000"/>
    <x v="19"/>
    <s v="A101"/>
    <s v="FORTALECIMIENTO INSTITUCIONAL"/>
    <s v="GC00A10100004D"/>
    <s v="GC00A10100004D REMUNERACION PERSONAL"/>
    <s v="51 GASTOS EN PERSONAL"/>
    <s v="510602 Fondo de Reserva"/>
    <s v="G/510602/1HA101"/>
    <s v="001"/>
    <n v="0"/>
    <n v="0"/>
    <n v="18906.41"/>
    <n v="18906.41"/>
    <n v="0"/>
    <n v="963.91"/>
    <n v="963.91"/>
    <n v="17942.5"/>
    <n v="17942.5"/>
    <n v="17942.5"/>
  </r>
  <r>
    <s v="51"/>
    <x v="1"/>
    <x v="5"/>
    <s v="ZA01J000"/>
    <x v="8"/>
    <s v="A101"/>
    <s v="FORTALECIMIENTO INSTITUCIONAL"/>
    <s v="GC00A10100004D"/>
    <s v="GC00A10100004D REMUNERACION PERSONAL"/>
    <s v="51 GASTOS EN PERSONAL"/>
    <s v="510602 Fondo de Reserva"/>
    <s v="G/510602/1JA101"/>
    <s v="001"/>
    <n v="0"/>
    <n v="0"/>
    <n v="26791.91"/>
    <n v="26791.91"/>
    <n v="0"/>
    <n v="10631.12"/>
    <n v="10631.12"/>
    <n v="16160.79"/>
    <n v="16160.79"/>
    <n v="16160.79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602 Fondo de Reserva"/>
    <s v="G/510602/1KA101"/>
    <s v="001"/>
    <n v="0"/>
    <n v="520"/>
    <n v="15438.17"/>
    <n v="15958.17"/>
    <n v="0"/>
    <n v="7978.69"/>
    <n v="7978.69"/>
    <n v="7979.48"/>
    <n v="7979.48"/>
    <n v="7979.48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602 Fondo de Reserva"/>
    <s v="G/510602/1LA101"/>
    <s v="001"/>
    <n v="0"/>
    <n v="0"/>
    <n v="8085.77"/>
    <n v="8085.77"/>
    <n v="0"/>
    <n v="4493.3"/>
    <n v="4493.3"/>
    <n v="3592.47"/>
    <n v="3592.47"/>
    <n v="3592.47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602 Fondo de Reserva"/>
    <s v="G/510602/1MA101"/>
    <s v="001"/>
    <n v="0"/>
    <n v="0"/>
    <n v="34342.07"/>
    <n v="34342.07"/>
    <n v="0"/>
    <n v="4204.03"/>
    <n v="4204.03"/>
    <n v="30138.04"/>
    <n v="30138.04"/>
    <n v="30138.04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602 Fondo de Reserva"/>
    <s v="G/510602/1GA101"/>
    <s v="001"/>
    <n v="0"/>
    <n v="0"/>
    <n v="34603.449999999997"/>
    <n v="34603.449999999997"/>
    <n v="0"/>
    <n v="15664.14"/>
    <n v="15664.14"/>
    <n v="18939.310000000001"/>
    <n v="18939.310000000001"/>
    <n v="18939.310000000001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602 Fondo de Reserva"/>
    <s v="G/510602/1KA101"/>
    <s v="001"/>
    <n v="0"/>
    <n v="0"/>
    <n v="375542.73"/>
    <n v="375542.73"/>
    <n v="0"/>
    <n v="181188.43"/>
    <n v="181132.68"/>
    <n v="194354.3"/>
    <n v="194410.05"/>
    <n v="194354.3"/>
  </r>
  <r>
    <s v="51"/>
    <x v="2"/>
    <x v="7"/>
    <s v="ZA01F000"/>
    <x v="25"/>
    <s v="A101"/>
    <s v="FORTALECIMIENTO INSTITUCIONAL"/>
    <s v="GC00A10100004D"/>
    <s v="GC00A10100004D REMUNERACION PERSONAL"/>
    <s v="51 GASTOS EN PERSONAL"/>
    <s v="510602 Fondo de Reserva"/>
    <s v="G/510602/1FA101"/>
    <s v="001"/>
    <n v="0"/>
    <n v="0"/>
    <n v="6430.21"/>
    <n v="6430.21"/>
    <n v="0"/>
    <n v="2549.7399999999998"/>
    <n v="2549.7399999999998"/>
    <n v="3880.47"/>
    <n v="3880.47"/>
    <n v="3880.47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602 Fondo de Reserva"/>
    <s v="G/510602/1NA101"/>
    <s v="001"/>
    <n v="0"/>
    <n v="0"/>
    <n v="66826.399999999994"/>
    <n v="66826.399999999994"/>
    <n v="0"/>
    <n v="10365.379999999999"/>
    <n v="10365.379999999999"/>
    <n v="56461.02"/>
    <n v="56461.02"/>
    <n v="56461.02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602 Fondo de Reserva"/>
    <s v="G/510602/1EA101"/>
    <s v="001"/>
    <n v="0"/>
    <n v="220"/>
    <n v="10116.219999999999"/>
    <n v="10336.219999999999"/>
    <n v="0"/>
    <n v="5164.4399999999996"/>
    <n v="5164.4399999999996"/>
    <n v="5171.78"/>
    <n v="5171.78"/>
    <n v="5171.78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602 Fondo de Reserva"/>
    <s v="G/510602/1IA101"/>
    <s v="001"/>
    <n v="0"/>
    <n v="817"/>
    <n v="15690.42"/>
    <n v="16507.419999999998"/>
    <n v="817"/>
    <n v="7785.35"/>
    <n v="7785.35"/>
    <n v="8722.07"/>
    <n v="8722.07"/>
    <n v="7905.07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602 Fondo de Reserva"/>
    <s v="G/510602/1DA101"/>
    <s v="001"/>
    <n v="0"/>
    <n v="0"/>
    <n v="13128.71"/>
    <n v="13128.71"/>
    <n v="0"/>
    <n v="6503.55"/>
    <n v="6503.55"/>
    <n v="6625.16"/>
    <n v="6625.16"/>
    <n v="6625.16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602 Fondo de Reserva"/>
    <s v="G/510602/1IA101"/>
    <s v="001"/>
    <n v="0"/>
    <n v="1634"/>
    <n v="15913.87"/>
    <n v="17547.87"/>
    <n v="1634"/>
    <n v="7484.44"/>
    <n v="7484.44"/>
    <n v="10063.43"/>
    <n v="10063.43"/>
    <n v="8429.43"/>
  </r>
  <r>
    <s v="51"/>
    <x v="2"/>
    <x v="7"/>
    <s v="ZA01F000"/>
    <x v="25"/>
    <s v="A101"/>
    <s v="FORTALECIMIENTO INSTITUCIONAL"/>
    <s v="GC00A10100004D"/>
    <s v="GC00A10100004D REMUNERACION PERSONAL"/>
    <s v="51 GASTOS EN PERSONAL"/>
    <s v="510602 Fondo de Reserva"/>
    <s v="G/510602/1FA101"/>
    <s v="002"/>
    <n v="59379"/>
    <n v="306"/>
    <n v="-20478.169999999998"/>
    <n v="39206.83"/>
    <n v="12594.98"/>
    <n v="26611.85"/>
    <n v="26611.85"/>
    <n v="12594.98"/>
    <n v="12594.98"/>
    <n v="0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602 Fondo de Reserva"/>
    <s v="G/510602/1PA101"/>
    <s v="001"/>
    <n v="0"/>
    <n v="0"/>
    <n v="14233.06"/>
    <n v="14233.06"/>
    <n v="0"/>
    <n v="6971.84"/>
    <n v="6971.84"/>
    <n v="7261.22"/>
    <n v="7261.22"/>
    <n v="7261.22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602 Fondo de Reserva"/>
    <s v="G/510602/1IA101"/>
    <s v="001"/>
    <n v="0"/>
    <n v="817"/>
    <n v="13067.45"/>
    <n v="13884.45"/>
    <n v="817"/>
    <n v="6404.31"/>
    <n v="6404.31"/>
    <n v="7480.14"/>
    <n v="7480.14"/>
    <n v="6663.14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602 Fondo de Reserva"/>
    <s v="G/510602/1NA101"/>
    <s v="002"/>
    <n v="285517.53999999998"/>
    <n v="-23246.66"/>
    <n v="-66826.399999999994"/>
    <n v="195444.48000000001"/>
    <n v="18755.5"/>
    <n v="176688.98"/>
    <n v="176688.98"/>
    <n v="18755.5"/>
    <n v="18755.5"/>
    <n v="0"/>
  </r>
  <r>
    <s v="51"/>
    <x v="2"/>
    <x v="8"/>
    <s v="FS66P020"/>
    <x v="13"/>
    <s v="A101"/>
    <s v="FORTALECIMIENTO INSTITUCIONAL"/>
    <s v="GC00A10100004D"/>
    <s v="GC00A10100004D REMUNERACION PERSONAL"/>
    <s v="51 GASTOS EN PERSONAL"/>
    <s v="510602 Fondo de Reserva"/>
    <s v="G/510602/1PA101"/>
    <s v="001"/>
    <n v="0"/>
    <n v="0"/>
    <n v="27588.77"/>
    <n v="27588.77"/>
    <n v="0"/>
    <n v="12704.05"/>
    <n v="12704.05"/>
    <n v="14884.72"/>
    <n v="14884.72"/>
    <n v="14884.72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602 Fondo de Reserva"/>
    <s v="G/510602/1FA101"/>
    <s v="001"/>
    <n v="0"/>
    <n v="2600"/>
    <n v="16081.18"/>
    <n v="18681.18"/>
    <n v="0"/>
    <n v="9279.6"/>
    <n v="9279.6"/>
    <n v="9401.58"/>
    <n v="9401.58"/>
    <n v="9401.58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602 Fondo de Reserva"/>
    <s v="G/510602/1IA101"/>
    <s v="002"/>
    <n v="77244.3"/>
    <n v="0"/>
    <n v="-17284.259999999998"/>
    <n v="59960.04"/>
    <n v="0"/>
    <n v="59960.04"/>
    <n v="59960.04"/>
    <n v="0"/>
    <n v="0"/>
    <n v="0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602 Fondo de Reserva"/>
    <s v="G/510602/1DA101"/>
    <s v="002"/>
    <n v="105537.1"/>
    <n v="9"/>
    <n v="-41619.17"/>
    <n v="63926.93"/>
    <n v="713"/>
    <n v="63213.93"/>
    <n v="63213.93"/>
    <n v="713"/>
    <n v="713"/>
    <n v="0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602 Fondo de Reserva"/>
    <s v="G/510602/1MA101"/>
    <s v="002"/>
    <n v="123336.13"/>
    <n v="-10207.799999999999"/>
    <n v="-34342.07"/>
    <n v="78786.259999999995"/>
    <n v="33535.480000000003"/>
    <n v="45250.78"/>
    <n v="45250.78"/>
    <n v="33535.480000000003"/>
    <n v="33535.480000000003"/>
    <n v="0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602 Fondo de Reserva"/>
    <s v="G/510602/1FA101"/>
    <s v="001"/>
    <n v="0"/>
    <n v="1000"/>
    <n v="17112.939999999999"/>
    <n v="18112.939999999999"/>
    <n v="0"/>
    <n v="9040.52"/>
    <n v="9040.52"/>
    <n v="9072.42"/>
    <n v="9072.42"/>
    <n v="9072.42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602 Fondo de Reserva"/>
    <s v="G/510602/1FA101"/>
    <s v="002"/>
    <n v="102972.76"/>
    <n v="0"/>
    <n v="-36365.17"/>
    <n v="66607.59"/>
    <n v="916"/>
    <n v="65691.59"/>
    <n v="65691.59"/>
    <n v="916"/>
    <n v="916"/>
    <n v="0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602 Fondo de Reserva"/>
    <s v="G/510602/1IA101"/>
    <s v="001"/>
    <n v="0"/>
    <n v="1634"/>
    <n v="24322.75"/>
    <n v="25956.75"/>
    <n v="1634"/>
    <n v="11667.19"/>
    <n v="11667.19"/>
    <n v="14289.56"/>
    <n v="14289.56"/>
    <n v="12655.56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602 Fondo de Reserva"/>
    <s v="G/510602/1CA101"/>
    <s v="002"/>
    <n v="251329.86"/>
    <n v="1058.2"/>
    <n v="-75106.89"/>
    <n v="177281.17"/>
    <n v="39328.660000000003"/>
    <n v="137952.51"/>
    <n v="137952.51"/>
    <n v="39328.660000000003"/>
    <n v="39328.660000000003"/>
    <n v="0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602 Fondo de Reserva"/>
    <s v="G/510602/1FA101"/>
    <s v="001"/>
    <n v="0"/>
    <n v="980"/>
    <n v="21031.27"/>
    <n v="22011.27"/>
    <n v="0"/>
    <n v="11000.72"/>
    <n v="11000.72"/>
    <n v="11010.55"/>
    <n v="11010.55"/>
    <n v="11010.55"/>
  </r>
  <r>
    <s v="51"/>
    <x v="1"/>
    <x v="5"/>
    <s v="ZA01J000"/>
    <x v="8"/>
    <s v="A101"/>
    <s v="FORTALECIMIENTO INSTITUCIONAL"/>
    <s v="GC00A10100004D"/>
    <s v="GC00A10100004D REMUNERACION PERSONAL"/>
    <s v="51 GASTOS EN PERSONAL"/>
    <s v="510602 Fondo de Reserva"/>
    <s v="G/510602/1JA101"/>
    <s v="002"/>
    <n v="59289"/>
    <n v="22913"/>
    <n v="-39153.120000000003"/>
    <n v="43048.88"/>
    <n v="4457.24"/>
    <n v="38591.64"/>
    <n v="38591.64"/>
    <n v="4457.24"/>
    <n v="4457.24"/>
    <n v="0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602 Fondo de Reserva"/>
    <s v="G/510602/1LA101"/>
    <s v="002"/>
    <n v="72096.03"/>
    <n v="6707.27"/>
    <n v="-23597.64"/>
    <n v="55205.66"/>
    <n v="9366.93"/>
    <n v="45838.73"/>
    <n v="45838.73"/>
    <n v="9366.93"/>
    <n v="9366.93"/>
    <n v="0"/>
  </r>
  <r>
    <s v="51"/>
    <x v="2"/>
    <x v="8"/>
    <s v="FS66P020"/>
    <x v="13"/>
    <s v="A101"/>
    <s v="FORTALECIMIENTO INSTITUCIONAL"/>
    <s v="GC00A10100004D"/>
    <s v="GC00A10100004D REMUNERACION PERSONAL"/>
    <s v="51 GASTOS EN PERSONAL"/>
    <s v="510602 Fondo de Reserva"/>
    <s v="G/510602/1PA101"/>
    <s v="002"/>
    <n v="182536"/>
    <n v="-5236"/>
    <n v="-53973.75"/>
    <n v="123326.25"/>
    <n v="979.37"/>
    <n v="122346.88"/>
    <n v="122346.88"/>
    <n v="979.37"/>
    <n v="979.37"/>
    <n v="0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602 Fondo de Reserva"/>
    <s v="G/510602/1FA101"/>
    <s v="002"/>
    <n v="124295.27"/>
    <n v="0"/>
    <n v="-34240.410000000003"/>
    <n v="90054.86"/>
    <n v="888.75"/>
    <n v="89166.11"/>
    <n v="89166.11"/>
    <n v="888.75"/>
    <n v="888.75"/>
    <n v="0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602 Fondo de Reserva"/>
    <s v="G/510602/2QA101"/>
    <s v="001"/>
    <n v="0"/>
    <n v="0"/>
    <n v="25851.21"/>
    <n v="25851.21"/>
    <n v="0"/>
    <n v="7199.88"/>
    <n v="7199.88"/>
    <n v="18651.330000000002"/>
    <n v="18651.330000000002"/>
    <n v="18651.330000000002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602 Fondo de Reserva"/>
    <s v="G/510602/1FA101"/>
    <s v="002"/>
    <n v="75757.5"/>
    <n v="-153"/>
    <n v="-29115.01"/>
    <n v="46489.49"/>
    <n v="549.34"/>
    <n v="45940.15"/>
    <n v="45940.15"/>
    <n v="549.34"/>
    <n v="549.34"/>
    <n v="0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602 Fondo de Reserva"/>
    <s v="G/510602/1AA101"/>
    <s v="002"/>
    <n v="877696.24"/>
    <n v="6908.08"/>
    <n v="-253134.41"/>
    <n v="631469.91"/>
    <n v="67902.27"/>
    <n v="563567.64"/>
    <n v="563567.64"/>
    <n v="67902.27"/>
    <n v="67902.27"/>
    <n v="0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602 Fondo de Reserva"/>
    <s v="G/510602/1IA101"/>
    <s v="002"/>
    <n v="99866.14"/>
    <n v="-790.98"/>
    <n v="-20926.18"/>
    <n v="78148.98"/>
    <n v="0"/>
    <n v="78148.98"/>
    <n v="78148.98"/>
    <n v="0"/>
    <n v="0"/>
    <n v="0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602 Fondo de Reserva"/>
    <s v="G/510602/1MA101"/>
    <s v="001"/>
    <n v="0"/>
    <n v="0"/>
    <n v="41867.64"/>
    <n v="41867.64"/>
    <n v="0"/>
    <n v="11475.89"/>
    <n v="11475.89"/>
    <n v="30391.75"/>
    <n v="30391.75"/>
    <n v="30391.75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602 Fondo de Reserva"/>
    <s v="G/510602/1IA101"/>
    <s v="002"/>
    <n v="108972.66"/>
    <n v="-800.78"/>
    <n v="-23076.15"/>
    <n v="85095.73"/>
    <n v="0"/>
    <n v="85095.73"/>
    <n v="85095.73"/>
    <n v="0"/>
    <n v="0"/>
    <n v="0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602 Fondo de Reserva"/>
    <s v="G/510602/1MA101"/>
    <s v="002"/>
    <n v="239114.25"/>
    <n v="-114117.29"/>
    <n v="-1135.79"/>
    <n v="123861.17"/>
    <n v="17001.7"/>
    <n v="106859.47"/>
    <n v="106859.47"/>
    <n v="17001.7"/>
    <n v="17001.7"/>
    <n v="0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602 Fondo de Reserva"/>
    <s v="G/510602/1MA101"/>
    <s v="001"/>
    <n v="0"/>
    <n v="16400"/>
    <n v="1135.79"/>
    <n v="17535.79"/>
    <n v="0"/>
    <n v="8750.94"/>
    <n v="8750.94"/>
    <n v="8784.85"/>
    <n v="8784.85"/>
    <n v="8784.85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602 Fondo de Reserva"/>
    <s v="G/510602/1KA101"/>
    <s v="002"/>
    <n v="2342671.66"/>
    <n v="649.13"/>
    <n v="-533088.28"/>
    <n v="1810232.51"/>
    <n v="13316.38"/>
    <n v="1796916.13"/>
    <n v="1796916.13"/>
    <n v="13316.38"/>
    <n v="13316.38"/>
    <n v="0"/>
  </r>
  <r>
    <s v="51"/>
    <x v="0"/>
    <x v="0"/>
    <s v="RP36A010"/>
    <x v="0"/>
    <s v="A101"/>
    <s v="FORTALECIMIENTO INSTITUCIONAL"/>
    <s v="GC00A10100004D"/>
    <s v="GC00A10100004D REMUNERACION PERSONAL"/>
    <s v="51 GASTOS EN PERSONAL"/>
    <s v="510602 Fondo de Reserva"/>
    <s v="G/510602/1AA101"/>
    <s v="002"/>
    <n v="293188.53000000003"/>
    <n v="-841.16"/>
    <n v="-70790.399999999994"/>
    <n v="221556.97"/>
    <n v="11862.12"/>
    <n v="209694.85"/>
    <n v="209694.85"/>
    <n v="11862.12"/>
    <n v="11862.12"/>
    <n v="0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602 Fondo de Reserva"/>
    <s v="G/510602/1FA101"/>
    <s v="002"/>
    <n v="91576.9"/>
    <n v="838.33"/>
    <n v="-32141.61"/>
    <n v="60273.62"/>
    <n v="0"/>
    <n v="60273.62"/>
    <n v="60273.62"/>
    <n v="0"/>
    <n v="0"/>
    <n v="0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602 Fondo de Reserva"/>
    <s v="G/510602/1IA101"/>
    <s v="001"/>
    <n v="0"/>
    <n v="1634"/>
    <n v="11288.99"/>
    <n v="12922.99"/>
    <n v="1634"/>
    <n v="5034.87"/>
    <n v="5034.87"/>
    <n v="7888.12"/>
    <n v="7888.12"/>
    <n v="6254.12"/>
  </r>
  <r>
    <s v="51"/>
    <x v="2"/>
    <x v="7"/>
    <s v="RB34F010"/>
    <x v="31"/>
    <s v="A101"/>
    <s v="FORTALECIMIENTO INSTITUCIONAL"/>
    <s v="GC00A10100004D"/>
    <s v="GC00A10100004D REMUNERACION PERSONAL"/>
    <s v="51 GASTOS EN PERSONAL"/>
    <s v="510602 Fondo de Reserva"/>
    <s v="G/510602/1FA101"/>
    <s v="001"/>
    <n v="0"/>
    <n v="1600"/>
    <n v="3497.54"/>
    <n v="5097.54"/>
    <n v="0"/>
    <n v="2547.92"/>
    <n v="2547.92"/>
    <n v="2549.62"/>
    <n v="2549.62"/>
    <n v="2549.62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602 Fondo de Reserva"/>
    <s v="G/510602/1MA101"/>
    <s v="002"/>
    <n v="300907.52000000002"/>
    <n v="12070.08"/>
    <n v="-78141.05"/>
    <n v="234836.55"/>
    <n v="26230.97"/>
    <n v="208605.58"/>
    <n v="208605.58"/>
    <n v="26230.97"/>
    <n v="26230.97"/>
    <n v="0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602 Fondo de Reserva"/>
    <s v="G/510602/1FA101"/>
    <s v="002"/>
    <n v="113052.6"/>
    <n v="620"/>
    <n v="-42982.34"/>
    <n v="70690.259999999995"/>
    <n v="0"/>
    <n v="70690.259999999995"/>
    <n v="70690.259999999995"/>
    <n v="0"/>
    <n v="0"/>
    <n v="0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602 Fondo de Reserva"/>
    <s v="G/510602/1CA101"/>
    <s v="001"/>
    <n v="0"/>
    <n v="450"/>
    <n v="1110.82"/>
    <n v="1560.82"/>
    <n v="0"/>
    <n v="767.49"/>
    <n v="767.49"/>
    <n v="793.33"/>
    <n v="793.33"/>
    <n v="793.33"/>
  </r>
  <r>
    <s v="51"/>
    <x v="2"/>
    <x v="7"/>
    <s v="TM68F100"/>
    <x v="36"/>
    <s v="A101"/>
    <s v="FORTALECIMIENTO INSTITUCIONAL"/>
    <s v="GC00A10100004D"/>
    <s v="GC00A10100004D REMUNERACION PERSONAL"/>
    <s v="51 GASTOS EN PERSONAL"/>
    <s v="510602 Fondo de Reserva"/>
    <s v="G/510602/1FA101"/>
    <s v="001"/>
    <n v="0"/>
    <n v="0"/>
    <n v="5842.32"/>
    <n v="5842.32"/>
    <n v="0"/>
    <n v="2397.62"/>
    <n v="2397.62"/>
    <n v="3444.7"/>
    <n v="3444.7"/>
    <n v="3444.7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602 Fondo de Reserva"/>
    <s v="G/510602/1CA101"/>
    <s v="001"/>
    <n v="0"/>
    <n v="0"/>
    <n v="22681.93"/>
    <n v="22681.93"/>
    <n v="0"/>
    <n v="13860.07"/>
    <n v="13860.07"/>
    <n v="8821.86"/>
    <n v="8821.86"/>
    <n v="8821.86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602 Fondo de Reserva"/>
    <s v="G/510602/1IA101"/>
    <s v="002"/>
    <n v="97625.73"/>
    <n v="-800.78"/>
    <n v="-22572.560000000001"/>
    <n v="74252.39"/>
    <n v="0"/>
    <n v="74252.39"/>
    <n v="74252.39"/>
    <n v="0"/>
    <n v="0"/>
    <n v="0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602 Fondo de Reserva"/>
    <s v="G/510602/1MA101"/>
    <s v="002"/>
    <n v="208670.95"/>
    <n v="-5368.11"/>
    <n v="-41867.64"/>
    <n v="161435.20000000001"/>
    <n v="27138.2"/>
    <n v="134297"/>
    <n v="134297"/>
    <n v="27138.2"/>
    <n v="27138.2"/>
    <n v="0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602 Fondo de Reserva"/>
    <s v="G/510602/1AA101"/>
    <s v="001"/>
    <n v="0"/>
    <n v="0"/>
    <n v="116436.81"/>
    <n v="116436.81"/>
    <n v="0"/>
    <n v="55240.68"/>
    <n v="55240.68"/>
    <n v="61196.13"/>
    <n v="61196.13"/>
    <n v="61196.13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602 Fondo de Reserva"/>
    <s v="G/510602/1CA101"/>
    <s v="001"/>
    <n v="0"/>
    <n v="1300"/>
    <n v="37745.24"/>
    <n v="39045.24"/>
    <n v="0"/>
    <n v="19513.62"/>
    <n v="19513.62"/>
    <n v="19531.62"/>
    <n v="19531.62"/>
    <n v="19531.62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602 Fondo de Reserva"/>
    <s v="G/510602/1FA101"/>
    <s v="001"/>
    <n v="0"/>
    <n v="1155"/>
    <n v="13428.81"/>
    <n v="14583.81"/>
    <n v="0"/>
    <n v="7290.14"/>
    <n v="7290.14"/>
    <n v="7293.67"/>
    <n v="7293.67"/>
    <n v="7293.67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602 Fondo de Reserva"/>
    <s v="G/510602/1FA101"/>
    <s v="001"/>
    <n v="0"/>
    <n v="0"/>
    <n v="9704.9500000000007"/>
    <n v="9704.9500000000007"/>
    <n v="0"/>
    <n v="4699.13"/>
    <n v="4699.13"/>
    <n v="5005.82"/>
    <n v="5005.82"/>
    <n v="5005.82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602 Fondo de Reserva"/>
    <s v="G/510602/1NA101"/>
    <s v="002"/>
    <n v="1300077.6599999999"/>
    <n v="0"/>
    <n v="-239389.35"/>
    <n v="1060688.31"/>
    <n v="26903.55"/>
    <n v="1033784.76"/>
    <n v="1033784.76"/>
    <n v="26903.55"/>
    <n v="26903.55"/>
    <n v="0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602 Fondo de Reserva"/>
    <s v="G/510602/1FA101"/>
    <s v="002"/>
    <n v="122966.31"/>
    <n v="-246.17"/>
    <n v="-33863.86"/>
    <n v="88856.28"/>
    <n v="1206.5"/>
    <n v="87649.78"/>
    <n v="87649.78"/>
    <n v="1206.5"/>
    <n v="1206.5"/>
    <n v="0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602 Fondo de Reserva"/>
    <s v="G/510602/1IA101"/>
    <s v="001"/>
    <n v="0"/>
    <n v="817"/>
    <n v="18136.29"/>
    <n v="18953.29"/>
    <n v="817"/>
    <n v="8123.02"/>
    <n v="8123.02"/>
    <n v="10830.27"/>
    <n v="10830.27"/>
    <n v="10013.27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602 Fondo de Reserva"/>
    <s v="G/510602/1PA101"/>
    <s v="002"/>
    <n v="103889.71"/>
    <n v="257.17"/>
    <n v="-36129.33"/>
    <n v="68017.55"/>
    <n v="480.85"/>
    <n v="67536.7"/>
    <n v="67536.7"/>
    <n v="480.85"/>
    <n v="480.85"/>
    <n v="0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602 Fondo de Reserva"/>
    <s v="G/510602/1GA101"/>
    <s v="002"/>
    <n v="230143.68"/>
    <n v="899.83"/>
    <n v="-61585.37"/>
    <n v="169458.14"/>
    <n v="5814.54"/>
    <n v="163643.6"/>
    <n v="163643.6"/>
    <n v="5814.54"/>
    <n v="5814.54"/>
    <n v="0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602 Fondo de Reserva"/>
    <s v="G/510602/1KA101"/>
    <s v="002"/>
    <n v="124580.63"/>
    <n v="0"/>
    <n v="-36918.080000000002"/>
    <n v="87662.55"/>
    <n v="6751.01"/>
    <n v="80911.539999999994"/>
    <n v="80911.539999999994"/>
    <n v="6751.01"/>
    <n v="6751.01"/>
    <n v="0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602 Fondo de Reserva"/>
    <s v="G/510602/1BA101"/>
    <s v="002"/>
    <n v="328121.86"/>
    <n v="-120764.91"/>
    <n v="-31567.47"/>
    <n v="175789.48"/>
    <n v="0"/>
    <n v="175789.48"/>
    <n v="175704.2"/>
    <n v="0"/>
    <n v="85.28"/>
    <n v="0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602 Fondo de Reserva"/>
    <s v="G/510602/1FA101"/>
    <s v="002"/>
    <n v="113935.47"/>
    <n v="0"/>
    <n v="-35484.67"/>
    <n v="78450.8"/>
    <n v="435"/>
    <n v="78015.8"/>
    <n v="78015.8"/>
    <n v="435"/>
    <n v="435"/>
    <n v="0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602 Fondo de Reserva"/>
    <s v="G/510602/1FA101"/>
    <s v="002"/>
    <n v="159980.42000000001"/>
    <n v="375.17"/>
    <n v="-52344.93"/>
    <n v="108010.66"/>
    <n v="1938.25"/>
    <n v="106072.41"/>
    <n v="106072.41"/>
    <n v="1938.25"/>
    <n v="1938.25"/>
    <n v="0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602 Fondo de Reserva"/>
    <s v="G/510602/1IA101"/>
    <s v="001"/>
    <n v="0"/>
    <n v="800"/>
    <n v="11536.34"/>
    <n v="12336.34"/>
    <n v="0"/>
    <n v="6165.48"/>
    <n v="6165.48"/>
    <n v="6170.86"/>
    <n v="6170.86"/>
    <n v="6170.86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602 Fondo de Reserva"/>
    <s v="G/510602/1IA101"/>
    <s v="002"/>
    <n v="154218.54999999999"/>
    <n v="-800.78"/>
    <n v="-35026.78"/>
    <n v="118390.99"/>
    <n v="0"/>
    <n v="118390.99"/>
    <n v="118390.99"/>
    <n v="0"/>
    <n v="0"/>
    <n v="0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602 Fondo de Reserva"/>
    <s v="G/510602/1IA101"/>
    <s v="001"/>
    <n v="0"/>
    <n v="7761.5"/>
    <n v="52710.68"/>
    <n v="60472.18"/>
    <n v="7761.5"/>
    <n v="23204.97"/>
    <n v="23204.97"/>
    <n v="37267.21"/>
    <n v="37267.21"/>
    <n v="29505.71"/>
  </r>
  <r>
    <s v="51"/>
    <x v="3"/>
    <x v="11"/>
    <s v="ZA01H000"/>
    <x v="19"/>
    <s v="A101"/>
    <s v="FORTALECIMIENTO INSTITUCIONAL"/>
    <s v="GC00A10100004D"/>
    <s v="GC00A10100004D REMUNERACION PERSONAL"/>
    <s v="51 GASTOS EN PERSONAL"/>
    <s v="510602 Fondo de Reserva"/>
    <s v="G/510602/1HA101"/>
    <s v="002"/>
    <n v="40754.339999999997"/>
    <n v="0"/>
    <n v="-18906.41"/>
    <n v="21847.93"/>
    <n v="251.1"/>
    <n v="21596.83"/>
    <n v="21596.83"/>
    <n v="251.1"/>
    <n v="251.1"/>
    <n v="0"/>
  </r>
  <r>
    <s v="51"/>
    <x v="0"/>
    <x v="0"/>
    <s v="RP36A010"/>
    <x v="0"/>
    <s v="A101"/>
    <s v="FORTALECIMIENTO INSTITUCIONAL"/>
    <s v="GC00A10100004D"/>
    <s v="GC00A10100004D REMUNERACION PERSONAL"/>
    <s v="51 GASTOS EN PERSONAL"/>
    <s v="510602 Fondo de Reserva"/>
    <s v="G/510602/1AA101"/>
    <s v="001"/>
    <n v="0"/>
    <n v="0"/>
    <n v="42733.74"/>
    <n v="42733.74"/>
    <n v="0"/>
    <n v="21036.1"/>
    <n v="21036.1"/>
    <n v="21697.64"/>
    <n v="21697.64"/>
    <n v="21697.64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602 Fondo de Reserva"/>
    <s v="G/510602/1IA101"/>
    <s v="002"/>
    <n v="178203.78"/>
    <n v="0"/>
    <n v="-43019.8"/>
    <n v="135183.98000000001"/>
    <n v="0"/>
    <n v="135183.98000000001"/>
    <n v="135183.98000000001"/>
    <n v="0"/>
    <n v="0"/>
    <n v="0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602 Fondo de Reserva"/>
    <s v="G/510602/1MA101"/>
    <s v="001"/>
    <n v="0"/>
    <n v="0"/>
    <n v="78141.05"/>
    <n v="78141.05"/>
    <n v="0"/>
    <n v="18404.45"/>
    <n v="18246.849999999999"/>
    <n v="59736.6"/>
    <n v="59894.2"/>
    <n v="59736.6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602 Fondo de Reserva"/>
    <s v="G/510602/2QA101"/>
    <s v="002"/>
    <n v="132557.49"/>
    <n v="-34973.65"/>
    <n v="-25851.21"/>
    <n v="71732.63"/>
    <n v="2475.91"/>
    <n v="69256.72"/>
    <n v="69256.72"/>
    <n v="2475.91"/>
    <n v="2475.91"/>
    <n v="0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602 Fondo de Reserva"/>
    <s v="G/510602/1NA101"/>
    <s v="001"/>
    <n v="0"/>
    <n v="0"/>
    <n v="239389.35"/>
    <n v="239389.35"/>
    <n v="0"/>
    <n v="91482.12"/>
    <n v="91482.12"/>
    <n v="147907.23000000001"/>
    <n v="147907.23000000001"/>
    <n v="147907.23000000001"/>
  </r>
  <r>
    <s v="51"/>
    <x v="2"/>
    <x v="7"/>
    <s v="TM68F100"/>
    <x v="36"/>
    <s v="A101"/>
    <s v="FORTALECIMIENTO INSTITUCIONAL"/>
    <s v="GC00A10100004D"/>
    <s v="GC00A10100004D REMUNERACION PERSONAL"/>
    <s v="51 GASTOS EN PERSONAL"/>
    <s v="510602 Fondo de Reserva"/>
    <s v="G/510602/1FA101"/>
    <s v="002"/>
    <n v="40640"/>
    <n v="385.75"/>
    <n v="-16853.39"/>
    <n v="24172.36"/>
    <n v="0"/>
    <n v="24172.36"/>
    <n v="24172.36"/>
    <n v="0"/>
    <n v="0"/>
    <n v="0"/>
  </r>
  <r>
    <s v="51"/>
    <x v="0"/>
    <x v="0"/>
    <s v="RP36A010"/>
    <x v="0"/>
    <s v="A101"/>
    <s v="FORTALECIMIENTO INSTITUCIONAL"/>
    <s v="GC00A10100004D"/>
    <s v="GC00A10100004D REMUNERACION PERSONAL"/>
    <s v="51 GASTOS EN PERSONAL"/>
    <s v="510705 Restitución de Puesto"/>
    <s v="G/510705/1AA101"/>
    <s v="002"/>
    <n v="0"/>
    <n v="68607.66"/>
    <n v="-6133.73"/>
    <n v="62473.93"/>
    <n v="0"/>
    <n v="62473.93"/>
    <n v="62473.93"/>
    <n v="0"/>
    <n v="0"/>
    <n v="0"/>
  </r>
  <r>
    <s v="51"/>
    <x v="0"/>
    <x v="0"/>
    <s v="RP36A010"/>
    <x v="0"/>
    <s v="A101"/>
    <s v="FORTALECIMIENTO INSTITUCIONAL"/>
    <s v="GC00A10100004D"/>
    <s v="GC00A10100004D REMUNERACION PERSONAL"/>
    <s v="51 GASTOS EN PERSONAL"/>
    <s v="510705 Restitución de Puesto"/>
    <s v="G/510705/1AA101"/>
    <s v="001"/>
    <n v="0"/>
    <n v="0"/>
    <n v="6133.73"/>
    <n v="6133.73"/>
    <n v="0"/>
    <n v="0"/>
    <n v="0"/>
    <n v="6133.73"/>
    <n v="6133.73"/>
    <n v="6133.73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1"/>
    <n v="0"/>
    <n v="0"/>
    <n v="1485.09"/>
    <n v="1485.09"/>
    <n v="0"/>
    <n v="0"/>
    <n v="0"/>
    <n v="1485.09"/>
    <n v="1485.09"/>
    <n v="1485.09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1"/>
    <n v="0"/>
    <n v="0"/>
    <n v="7336.3"/>
    <n v="7336.3"/>
    <n v="0"/>
    <n v="0"/>
    <n v="0"/>
    <n v="7336.3"/>
    <n v="7336.3"/>
    <n v="7336.3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1"/>
    <n v="0"/>
    <n v="0"/>
    <n v="9584.7099999999991"/>
    <n v="9584.7099999999991"/>
    <n v="0"/>
    <n v="0"/>
    <n v="0"/>
    <n v="9584.7099999999991"/>
    <n v="9584.7099999999991"/>
    <n v="9584.7099999999991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1"/>
    <n v="0"/>
    <n v="0"/>
    <n v="13772.4"/>
    <n v="13772.4"/>
    <n v="0"/>
    <n v="0"/>
    <n v="0"/>
    <n v="13772.4"/>
    <n v="13772.4"/>
    <n v="13772.4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1"/>
    <n v="0"/>
    <n v="0"/>
    <n v="465.28"/>
    <n v="465.28"/>
    <n v="0"/>
    <n v="0"/>
    <n v="0"/>
    <n v="465.28"/>
    <n v="465.28"/>
    <n v="465.28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1"/>
    <n v="0"/>
    <n v="0"/>
    <n v="728.26"/>
    <n v="728.26"/>
    <n v="0"/>
    <n v="0"/>
    <n v="0"/>
    <n v="728.26"/>
    <n v="728.26"/>
    <n v="728.26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1"/>
    <n v="0"/>
    <n v="0"/>
    <n v="11498.65"/>
    <n v="11498.65"/>
    <n v="0"/>
    <n v="0"/>
    <n v="0"/>
    <n v="11498.65"/>
    <n v="11498.65"/>
    <n v="11498.65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1"/>
    <n v="0"/>
    <n v="0"/>
    <n v="8566.9500000000007"/>
    <n v="8566.9500000000007"/>
    <n v="0"/>
    <n v="0"/>
    <n v="0"/>
    <n v="8566.9500000000007"/>
    <n v="8566.9500000000007"/>
    <n v="8566.9500000000007"/>
  </r>
  <r>
    <s v="51"/>
    <x v="1"/>
    <x v="10"/>
    <s v="JM40I070"/>
    <x v="27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2"/>
    <n v="13772.4"/>
    <n v="0"/>
    <n v="-13772.4"/>
    <n v="0"/>
    <n v="0"/>
    <n v="0"/>
    <n v="0"/>
    <n v="0"/>
    <n v="0"/>
    <n v="0"/>
  </r>
  <r>
    <s v="51"/>
    <x v="0"/>
    <x v="0"/>
    <s v="RP36A010"/>
    <x v="0"/>
    <s v="A101"/>
    <s v="FORTALECIMIENTO INSTITUCIONAL"/>
    <s v="GC00A10100004D"/>
    <s v="GC00A10100004D REMUNERACION PERSONAL"/>
    <s v="51 GASTOS EN PERSONAL"/>
    <s v="510707 Compensación por Vacaciones no Gozadas por"/>
    <s v="G/510707/1AA101"/>
    <s v="001"/>
    <n v="0"/>
    <n v="0"/>
    <n v="17289.72"/>
    <n v="17289.72"/>
    <n v="0"/>
    <n v="0"/>
    <n v="0"/>
    <n v="17289.72"/>
    <n v="17289.72"/>
    <n v="17289.72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2"/>
    <n v="8295.93"/>
    <n v="0"/>
    <n v="-8295.93"/>
    <n v="0"/>
    <n v="0"/>
    <n v="0"/>
    <n v="0"/>
    <n v="0"/>
    <n v="0"/>
    <n v="0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707 Compensación por Vacaciones no Gozadas por"/>
    <s v="G/510707/1BA101"/>
    <s v="001"/>
    <n v="0"/>
    <n v="0"/>
    <n v="21307.24"/>
    <n v="21307.24"/>
    <n v="0"/>
    <n v="0"/>
    <n v="0"/>
    <n v="21307.24"/>
    <n v="21307.24"/>
    <n v="21307.24"/>
  </r>
  <r>
    <s v="51"/>
    <x v="2"/>
    <x v="8"/>
    <s v="FS66P020"/>
    <x v="13"/>
    <s v="A101"/>
    <s v="FORTALECIMIENTO INSTITUCIONAL"/>
    <s v="GC00A10100004D"/>
    <s v="GC00A10100004D REMUNERACION PERSONAL"/>
    <s v="51 GASTOS EN PERSONAL"/>
    <s v="510707 Compensación por Vacaciones no Gozadas por"/>
    <s v="G/510707/1PA101"/>
    <s v="001"/>
    <n v="0"/>
    <n v="0"/>
    <n v="20657.419999999998"/>
    <n v="20657.419999999998"/>
    <n v="0"/>
    <n v="0"/>
    <n v="0"/>
    <n v="20657.419999999998"/>
    <n v="20657.419999999998"/>
    <n v="20657.419999999998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1"/>
    <n v="0"/>
    <n v="0"/>
    <n v="10857.24"/>
    <n v="10857.24"/>
    <n v="0"/>
    <n v="0"/>
    <n v="0"/>
    <n v="10857.24"/>
    <n v="10857.24"/>
    <n v="10857.24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1"/>
    <n v="0"/>
    <n v="0"/>
    <n v="9613.76"/>
    <n v="9613.76"/>
    <n v="0"/>
    <n v="0"/>
    <n v="0"/>
    <n v="9613.76"/>
    <n v="9613.76"/>
    <n v="9613.76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1"/>
    <n v="0"/>
    <n v="0"/>
    <n v="6346.97"/>
    <n v="6346.97"/>
    <n v="0"/>
    <n v="0"/>
    <n v="0"/>
    <n v="6346.97"/>
    <n v="6346.97"/>
    <n v="6346.97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1"/>
    <n v="0"/>
    <n v="0"/>
    <n v="12384.5"/>
    <n v="12384.5"/>
    <n v="0"/>
    <n v="0"/>
    <n v="0"/>
    <n v="12384.5"/>
    <n v="12384.5"/>
    <n v="12384.5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1"/>
    <n v="0"/>
    <n v="0"/>
    <n v="907.32"/>
    <n v="907.32"/>
    <n v="0"/>
    <n v="0"/>
    <n v="0"/>
    <n v="907.32"/>
    <n v="907.32"/>
    <n v="907.32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707 Compensación por Vacaciones no Gozadas por"/>
    <s v="G/510707/1CA101"/>
    <s v="001"/>
    <n v="0"/>
    <n v="0"/>
    <n v="1723.14"/>
    <n v="1723.14"/>
    <n v="0"/>
    <n v="0"/>
    <n v="0"/>
    <n v="1723.14"/>
    <n v="1723.14"/>
    <n v="1723.14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707 Compensación por Vacaciones no Gozadas por"/>
    <s v="G/510707/1CA101"/>
    <s v="001"/>
    <n v="0"/>
    <n v="0"/>
    <n v="51851.23"/>
    <n v="51851.23"/>
    <n v="0"/>
    <n v="0"/>
    <n v="0"/>
    <n v="51851.23"/>
    <n v="51851.23"/>
    <n v="51851.23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707 Compensación por Vacaciones no Gozadas por"/>
    <s v="G/510707/1CA101"/>
    <s v="001"/>
    <n v="0"/>
    <n v="0"/>
    <n v="30329.54"/>
    <n v="30329.54"/>
    <n v="0"/>
    <n v="0"/>
    <n v="0"/>
    <n v="30329.54"/>
    <n v="30329.54"/>
    <n v="30329.54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707 Compensación por Vacaciones no Gozadas por"/>
    <s v="G/510707/1MA101"/>
    <s v="001"/>
    <n v="0"/>
    <n v="0"/>
    <n v="12055.65"/>
    <n v="12055.65"/>
    <n v="0"/>
    <n v="0"/>
    <n v="0"/>
    <n v="12055.65"/>
    <n v="12055.65"/>
    <n v="12055.65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707 Compensación por Vacaciones no Gozadas por"/>
    <s v="G/510707/1AA101"/>
    <s v="001"/>
    <n v="0"/>
    <n v="0"/>
    <n v="48225.91"/>
    <n v="48225.91"/>
    <n v="0"/>
    <n v="0"/>
    <n v="0"/>
    <n v="48225.91"/>
    <n v="48225.91"/>
    <n v="48225.91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707 Compensación por Vacaciones no Gozadas por"/>
    <s v="G/510707/1MA101"/>
    <s v="001"/>
    <n v="0"/>
    <n v="0"/>
    <n v="15166.97"/>
    <n v="15166.97"/>
    <n v="0"/>
    <n v="0"/>
    <n v="0"/>
    <n v="15166.97"/>
    <n v="15166.97"/>
    <n v="15166.97"/>
  </r>
  <r>
    <s v="51"/>
    <x v="2"/>
    <x v="7"/>
    <s v="TM68F100"/>
    <x v="36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1"/>
    <n v="0"/>
    <n v="0"/>
    <n v="3074.16"/>
    <n v="3074.16"/>
    <n v="0"/>
    <n v="0"/>
    <n v="0"/>
    <n v="3074.16"/>
    <n v="3074.16"/>
    <n v="3074.16"/>
  </r>
  <r>
    <s v="51"/>
    <x v="1"/>
    <x v="10"/>
    <s v="SF43I080"/>
    <x v="34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1"/>
    <n v="0"/>
    <n v="0"/>
    <n v="8295.93"/>
    <n v="8295.93"/>
    <n v="0"/>
    <n v="0"/>
    <n v="0"/>
    <n v="8295.93"/>
    <n v="8295.93"/>
    <n v="8295.93"/>
  </r>
  <r>
    <s v="51"/>
    <x v="0"/>
    <x v="1"/>
    <s v="ZA01C060"/>
    <x v="12"/>
    <s v="A101"/>
    <s v="FORTALECIMIENTO INSTITUCIONAL"/>
    <s v="GC00A10100004D"/>
    <s v="GC00A10100004D REMUNERACION PERSONAL"/>
    <s v="51 GASTOS EN PERSONAL"/>
    <s v="510707 Compensación por Vacaciones no Gozadas por"/>
    <s v="G/510707/1CA101"/>
    <s v="001"/>
    <n v="0"/>
    <n v="0"/>
    <n v="2855.6"/>
    <n v="2855.6"/>
    <n v="0"/>
    <n v="0"/>
    <n v="0"/>
    <n v="2855.6"/>
    <n v="2855.6"/>
    <n v="2855.6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707 Compensación por Vacaciones no Gozadas por"/>
    <s v="G/510707/1DA101"/>
    <s v="001"/>
    <n v="0"/>
    <n v="0"/>
    <n v="25219.79"/>
    <n v="25219.79"/>
    <n v="0"/>
    <n v="0"/>
    <n v="0"/>
    <n v="25219.79"/>
    <n v="25219.79"/>
    <n v="25219.79"/>
  </r>
  <r>
    <s v="51"/>
    <x v="2"/>
    <x v="7"/>
    <s v="RB34F010"/>
    <x v="31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1"/>
    <n v="0"/>
    <n v="0"/>
    <n v="3494.64"/>
    <n v="3494.64"/>
    <n v="0"/>
    <n v="0"/>
    <n v="0"/>
    <n v="3494.64"/>
    <n v="3494.64"/>
    <n v="3494.64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707 Compensación por Vacaciones no Gozadas por"/>
    <s v="G/510707/1NA101"/>
    <s v="001"/>
    <n v="0"/>
    <n v="0"/>
    <n v="69821.47"/>
    <n v="69821.47"/>
    <n v="0"/>
    <n v="0"/>
    <n v="0"/>
    <n v="69821.47"/>
    <n v="69821.47"/>
    <n v="69821.47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707 Compensación por Vacaciones no Gozadas por"/>
    <s v="G/510707/1EA101"/>
    <s v="001"/>
    <n v="0"/>
    <n v="0"/>
    <n v="471.36"/>
    <n v="471.36"/>
    <n v="0"/>
    <n v="0"/>
    <n v="0"/>
    <n v="471.36"/>
    <n v="471.36"/>
    <n v="471.36"/>
  </r>
  <r>
    <s v="51"/>
    <x v="0"/>
    <x v="1"/>
    <s v="ZA01C002"/>
    <x v="11"/>
    <s v="A101"/>
    <s v="FORTALECIMIENTO INSTITUCIONAL"/>
    <s v="GC00A10100004D"/>
    <s v="GC00A10100004D REMUNERACION PERSONAL"/>
    <s v="51 GASTOS EN PERSONAL"/>
    <s v="510707 Compensación por Vacaciones no Gozadas por"/>
    <s v="G/510707/1CA101"/>
    <s v="002"/>
    <n v="1723.14"/>
    <n v="0"/>
    <n v="-1723.14"/>
    <n v="0"/>
    <n v="0"/>
    <n v="0"/>
    <n v="0"/>
    <n v="0"/>
    <n v="0"/>
    <n v="0"/>
  </r>
  <r>
    <s v="51"/>
    <x v="2"/>
    <x v="7"/>
    <s v="ZA01F000"/>
    <x v="25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1"/>
    <n v="0"/>
    <n v="0"/>
    <n v="7951.91"/>
    <n v="7951.91"/>
    <n v="0"/>
    <n v="0"/>
    <n v="0"/>
    <n v="7951.91"/>
    <n v="7951.91"/>
    <n v="7951.91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707 Compensación por Vacaciones no Gozadas por"/>
    <s v="G/510707/1GA101"/>
    <s v="001"/>
    <n v="0"/>
    <n v="0"/>
    <n v="13429.54"/>
    <n v="13429.54"/>
    <n v="0"/>
    <n v="0"/>
    <n v="0"/>
    <n v="13429.54"/>
    <n v="13429.54"/>
    <n v="13429.54"/>
  </r>
  <r>
    <s v="51"/>
    <x v="0"/>
    <x v="1"/>
    <s v="ZA01C060"/>
    <x v="12"/>
    <s v="A101"/>
    <s v="FORTALECIMIENTO INSTITUCIONAL"/>
    <s v="GC00A10100004D"/>
    <s v="GC00A10100004D REMUNERACION PERSONAL"/>
    <s v="51 GASTOS EN PERSONAL"/>
    <s v="510707 Compensación por Vacaciones no Gozadas por"/>
    <s v="G/510707/1CA101"/>
    <s v="002"/>
    <n v="2855.6"/>
    <n v="0"/>
    <n v="-2855.6"/>
    <n v="0"/>
    <n v="0"/>
    <n v="0"/>
    <n v="0"/>
    <n v="0"/>
    <n v="0"/>
    <n v="0"/>
  </r>
  <r>
    <s v="51"/>
    <x v="3"/>
    <x v="11"/>
    <s v="ZA01H000"/>
    <x v="19"/>
    <s v="A101"/>
    <s v="FORTALECIMIENTO INSTITUCIONAL"/>
    <s v="GC00A10100004D"/>
    <s v="GC00A10100004D REMUNERACION PERSONAL"/>
    <s v="51 GASTOS EN PERSONAL"/>
    <s v="510707 Compensación por Vacaciones no Gozadas por"/>
    <s v="G/510707/1HA101"/>
    <s v="001"/>
    <n v="0"/>
    <n v="0"/>
    <n v="2257.69"/>
    <n v="2257.69"/>
    <n v="0"/>
    <n v="0"/>
    <n v="0"/>
    <n v="2257.69"/>
    <n v="2257.69"/>
    <n v="2257.69"/>
  </r>
  <r>
    <s v="51"/>
    <x v="1"/>
    <x v="2"/>
    <s v="UN31M010"/>
    <x v="15"/>
    <s v="A101"/>
    <s v="FORTALECIMIENTO INSTITUCIONAL"/>
    <s v="GC00A10100004D"/>
    <s v="GC00A10100004D REMUNERACION PERSONAL"/>
    <s v="51 GASTOS EN PERSONAL"/>
    <s v="510707 Compensación por Vacaciones no Gozadas por"/>
    <s v="G/510707/1MA101"/>
    <s v="002"/>
    <n v="24444.99"/>
    <n v="0"/>
    <n v="-12055.65"/>
    <n v="12389.34"/>
    <n v="0"/>
    <n v="12389.34"/>
    <n v="12097.67"/>
    <n v="0"/>
    <n v="291.67"/>
    <n v="0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1"/>
    <n v="0"/>
    <n v="0"/>
    <n v="38003.9"/>
    <n v="38003.9"/>
    <n v="0"/>
    <n v="0"/>
    <n v="0"/>
    <n v="38003.9"/>
    <n v="38003.9"/>
    <n v="38003.9"/>
  </r>
  <r>
    <s v="51"/>
    <x v="1"/>
    <x v="5"/>
    <s v="ZA01J000"/>
    <x v="8"/>
    <s v="A101"/>
    <s v="FORTALECIMIENTO INSTITUCIONAL"/>
    <s v="GC00A10100004D"/>
    <s v="GC00A10100004D REMUNERACION PERSONAL"/>
    <s v="51 GASTOS EN PERSONAL"/>
    <s v="510707 Compensación por Vacaciones no Gozadas por"/>
    <s v="G/510707/1JA101"/>
    <s v="001"/>
    <n v="0"/>
    <n v="0"/>
    <n v="6634.7"/>
    <n v="6634.7"/>
    <n v="0"/>
    <n v="0"/>
    <n v="0"/>
    <n v="6634.7"/>
    <n v="6634.7"/>
    <n v="6634.7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707 Compensación por Vacaciones no Gozadas por"/>
    <s v="G/510707/1KA101"/>
    <s v="001"/>
    <n v="0"/>
    <n v="0"/>
    <n v="12455.28"/>
    <n v="12455.28"/>
    <n v="0"/>
    <n v="0"/>
    <n v="0"/>
    <n v="12455.28"/>
    <n v="12455.28"/>
    <n v="12455.28"/>
  </r>
  <r>
    <s v="51"/>
    <x v="1"/>
    <x v="2"/>
    <s v="UC32M020"/>
    <x v="33"/>
    <s v="A101"/>
    <s v="FORTALECIMIENTO INSTITUCIONAL"/>
    <s v="GC00A10100004D"/>
    <s v="GC00A10100004D REMUNERACION PERSONAL"/>
    <s v="51 GASTOS EN PERSONAL"/>
    <s v="510707 Compensación por Vacaciones no Gozadas por"/>
    <s v="G/510707/1MA101"/>
    <s v="002"/>
    <n v="23630.06"/>
    <n v="0"/>
    <n v="-15166.97"/>
    <n v="8463.09"/>
    <n v="0"/>
    <n v="8463.09"/>
    <n v="8463.09"/>
    <n v="0"/>
    <n v="0"/>
    <n v="0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707 Compensación por Vacaciones no Gozadas por"/>
    <s v="G/510707/1LA101"/>
    <s v="001"/>
    <n v="0"/>
    <n v="0"/>
    <n v="8939.14"/>
    <n v="8939.14"/>
    <n v="0"/>
    <n v="0"/>
    <n v="0"/>
    <n v="8939.14"/>
    <n v="8939.14"/>
    <n v="8939.14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707 Compensación por Vacaciones no Gozadas por"/>
    <s v="G/510707/1MA101"/>
    <s v="001"/>
    <n v="0"/>
    <n v="0"/>
    <n v="1354.91"/>
    <n v="1354.91"/>
    <n v="0"/>
    <n v="0"/>
    <n v="0"/>
    <n v="1354.91"/>
    <n v="1354.91"/>
    <n v="1354.91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707 Compensación por Vacaciones no Gozadas por"/>
    <s v="G/510707/1NA101"/>
    <s v="001"/>
    <n v="0"/>
    <n v="0"/>
    <n v="27606.23"/>
    <n v="27606.23"/>
    <n v="0"/>
    <n v="0"/>
    <n v="0"/>
    <n v="27606.23"/>
    <n v="27606.23"/>
    <n v="27606.23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707 Compensación por Vacaciones no Gozadas por"/>
    <s v="G/510707/1PA101"/>
    <s v="001"/>
    <n v="0"/>
    <n v="0"/>
    <n v="6711.3"/>
    <n v="6711.3"/>
    <n v="0"/>
    <n v="0"/>
    <n v="0"/>
    <n v="6711.3"/>
    <n v="6711.3"/>
    <n v="6711.3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1"/>
    <n v="0"/>
    <n v="0"/>
    <n v="6220.62"/>
    <n v="6220.62"/>
    <n v="0"/>
    <n v="0"/>
    <n v="0"/>
    <n v="6220.62"/>
    <n v="6220.62"/>
    <n v="6220.62"/>
  </r>
  <r>
    <s v="51"/>
    <x v="1"/>
    <x v="10"/>
    <s v="CF22I050"/>
    <x v="38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2"/>
    <n v="12384.5"/>
    <n v="0"/>
    <n v="-12384.5"/>
    <n v="0"/>
    <n v="0"/>
    <n v="0"/>
    <n v="0"/>
    <n v="0"/>
    <n v="0"/>
    <n v="0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1"/>
    <n v="0"/>
    <n v="0"/>
    <n v="10219.14"/>
    <n v="10219.14"/>
    <n v="0"/>
    <n v="0"/>
    <n v="0"/>
    <n v="10219.14"/>
    <n v="10219.14"/>
    <n v="10219.14"/>
  </r>
  <r>
    <s v="51"/>
    <x v="2"/>
    <x v="7"/>
    <s v="ZS03F030"/>
    <x v="45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2"/>
    <n v="14447.68"/>
    <n v="-850"/>
    <n v="-728.26"/>
    <n v="12869.42"/>
    <n v="0"/>
    <n v="12869.42"/>
    <n v="12869.42"/>
    <n v="0"/>
    <n v="0"/>
    <n v="0"/>
  </r>
  <r>
    <s v="51"/>
    <x v="1"/>
    <x v="5"/>
    <s v="ZA01J000"/>
    <x v="8"/>
    <s v="A101"/>
    <s v="FORTALECIMIENTO INSTITUCIONAL"/>
    <s v="GC00A10100004D"/>
    <s v="GC00A10100004D REMUNERACION PERSONAL"/>
    <s v="51 GASTOS EN PERSONAL"/>
    <s v="510707 Compensación por Vacaciones no Gozadas por"/>
    <s v="G/510707/1JA101"/>
    <s v="002"/>
    <n v="6665.3"/>
    <n v="0"/>
    <n v="-6634.7"/>
    <n v="30.6"/>
    <n v="0"/>
    <n v="30.6"/>
    <n v="30.6"/>
    <n v="0"/>
    <n v="0"/>
    <n v="0"/>
  </r>
  <r>
    <s v="51"/>
    <x v="2"/>
    <x v="7"/>
    <s v="ZQ08F080"/>
    <x v="44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2"/>
    <n v="6467.65"/>
    <n v="-550"/>
    <n v="-465.28"/>
    <n v="5452.37"/>
    <n v="0"/>
    <n v="5452.37"/>
    <n v="5452.37"/>
    <n v="0"/>
    <n v="0"/>
    <n v="0"/>
  </r>
  <r>
    <s v="51"/>
    <x v="0"/>
    <x v="1"/>
    <s v="ZA01C030"/>
    <x v="2"/>
    <s v="A101"/>
    <s v="FORTALECIMIENTO INSTITUCIONAL"/>
    <s v="GC00A10100004D"/>
    <s v="GC00A10100004D REMUNERACION PERSONAL"/>
    <s v="51 GASTOS EN PERSONAL"/>
    <s v="510707 Compensación por Vacaciones no Gozadas por"/>
    <s v="G/510707/1CA101"/>
    <s v="002"/>
    <n v="54598.63"/>
    <n v="0"/>
    <n v="-51851.23"/>
    <n v="2747.4"/>
    <n v="0"/>
    <n v="2747.4"/>
    <n v="1834.9"/>
    <n v="0"/>
    <n v="912.5"/>
    <n v="0"/>
  </r>
  <r>
    <s v="51"/>
    <x v="2"/>
    <x v="7"/>
    <s v="ZN02F020"/>
    <x v="46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2"/>
    <n v="20289.509999999998"/>
    <n v="0"/>
    <n v="-9584.7099999999991"/>
    <n v="10704.8"/>
    <n v="0"/>
    <n v="10704.8"/>
    <n v="10704.8"/>
    <n v="0"/>
    <n v="0"/>
    <n v="0"/>
  </r>
  <r>
    <s v="51"/>
    <x v="0"/>
    <x v="0"/>
    <s v="ZA01A000"/>
    <x v="3"/>
    <s v="A101"/>
    <s v="FORTALECIMIENTO INSTITUCIONAL"/>
    <s v="GC00A10100004D"/>
    <s v="GC00A10100004D REMUNERACION PERSONAL"/>
    <s v="51 GASTOS EN PERSONAL"/>
    <s v="510707 Compensación por Vacaciones no Gozadas por"/>
    <s v="G/510707/1AA101"/>
    <s v="002"/>
    <n v="115206.15"/>
    <n v="0"/>
    <n v="-48225.91"/>
    <n v="66980.240000000005"/>
    <n v="0"/>
    <n v="66980.240000000005"/>
    <n v="61310.239999999998"/>
    <n v="0"/>
    <n v="5670"/>
    <n v="0"/>
  </r>
  <r>
    <s v="51"/>
    <x v="1"/>
    <x v="10"/>
    <s v="OL41I060"/>
    <x v="29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2"/>
    <n v="6330.59"/>
    <n v="0"/>
    <n v="-6220.62"/>
    <n v="109.97"/>
    <n v="0"/>
    <n v="109.97"/>
    <n v="109.97"/>
    <n v="0"/>
    <n v="0"/>
    <n v="0"/>
  </r>
  <r>
    <s v="51"/>
    <x v="2"/>
    <x v="7"/>
    <s v="ZM04F040"/>
    <x v="41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2"/>
    <n v="19156.16"/>
    <n v="-1500"/>
    <n v="-7336.3"/>
    <n v="10319.86"/>
    <n v="0"/>
    <n v="10319.86"/>
    <n v="10319.86"/>
    <n v="0"/>
    <n v="0"/>
    <n v="0"/>
  </r>
  <r>
    <s v="51"/>
    <x v="0"/>
    <x v="4"/>
    <s v="ZA01L000"/>
    <x v="7"/>
    <s v="A101"/>
    <s v="FORTALECIMIENTO INSTITUCIONAL"/>
    <s v="GC00A10100004D"/>
    <s v="GC00A10100004D REMUNERACION PERSONAL"/>
    <s v="51 GASTOS EN PERSONAL"/>
    <s v="510707 Compensación por Vacaciones no Gozadas por"/>
    <s v="G/510707/1LA101"/>
    <s v="002"/>
    <n v="30020.13"/>
    <n v="-6459.66"/>
    <n v="-8939.14"/>
    <n v="14621.33"/>
    <n v="0"/>
    <n v="14621.33"/>
    <n v="14621.33"/>
    <n v="0"/>
    <n v="0"/>
    <n v="0"/>
  </r>
  <r>
    <s v="51"/>
    <x v="2"/>
    <x v="7"/>
    <s v="ZD07F070"/>
    <x v="43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2"/>
    <n v="16952.91"/>
    <n v="0"/>
    <n v="-1485.09"/>
    <n v="15467.82"/>
    <n v="0"/>
    <n v="15467.82"/>
    <n v="15467.82"/>
    <n v="0"/>
    <n v="0"/>
    <n v="0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707 Compensación por Vacaciones no Gozadas por"/>
    <s v="G/510707/1KA101"/>
    <s v="002"/>
    <n v="189194.33"/>
    <n v="0"/>
    <n v="-137333.79"/>
    <n v="51860.54"/>
    <n v="0"/>
    <n v="51860.54"/>
    <n v="51860.39"/>
    <n v="0"/>
    <n v="0.15"/>
    <n v="0"/>
  </r>
  <r>
    <s v="51"/>
    <x v="0"/>
    <x v="12"/>
    <s v="MC37B000"/>
    <x v="21"/>
    <s v="A101"/>
    <s v="FORTALECIMIENTO INSTITUCIONAL"/>
    <s v="GC00A10100004D"/>
    <s v="GC00A10100004D REMUNERACION PERSONAL"/>
    <s v="51 GASTOS EN PERSONAL"/>
    <s v="510707 Compensación por Vacaciones no Gozadas por"/>
    <s v="G/510707/1BA101"/>
    <s v="002"/>
    <n v="29650"/>
    <n v="1140.96"/>
    <n v="-21307.24"/>
    <n v="9483.7199999999993"/>
    <n v="0"/>
    <n v="9483.7199999999993"/>
    <n v="0"/>
    <n v="0"/>
    <n v="9483.7199999999993"/>
    <n v="0"/>
  </r>
  <r>
    <s v="51"/>
    <x v="1"/>
    <x v="10"/>
    <s v="ZA01I000"/>
    <x v="18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2"/>
    <n v="46814.06"/>
    <n v="0"/>
    <n v="-38003.9"/>
    <n v="8810.16"/>
    <n v="0"/>
    <n v="8810.16"/>
    <n v="8342.52"/>
    <n v="0"/>
    <n v="467.64"/>
    <n v="0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707 Compensación por Vacaciones no Gozadas por"/>
    <s v="G/510707/1MA101"/>
    <s v="001"/>
    <n v="0"/>
    <n v="0"/>
    <n v="26999.67"/>
    <n v="26999.67"/>
    <n v="0"/>
    <n v="4976"/>
    <n v="0"/>
    <n v="22023.67"/>
    <n v="26999.67"/>
    <n v="22023.67"/>
  </r>
  <r>
    <s v="51"/>
    <x v="0"/>
    <x v="1"/>
    <s v="ZA01C000"/>
    <x v="24"/>
    <s v="A101"/>
    <s v="FORTALECIMIENTO INSTITUCIONAL"/>
    <s v="GC00A10100004D"/>
    <s v="GC00A10100004D REMUNERACION PERSONAL"/>
    <s v="51 GASTOS EN PERSONAL"/>
    <s v="510707 Compensación por Vacaciones no Gozadas por"/>
    <s v="G/510707/1CA101"/>
    <s v="002"/>
    <n v="32479.54"/>
    <n v="0"/>
    <n v="-30329.54"/>
    <n v="2150"/>
    <n v="0"/>
    <n v="2150"/>
    <n v="2150"/>
    <n v="0"/>
    <n v="0"/>
    <n v="0"/>
  </r>
  <r>
    <s v="51"/>
    <x v="0"/>
    <x v="0"/>
    <s v="RP36A010"/>
    <x v="0"/>
    <s v="A101"/>
    <s v="FORTALECIMIENTO INSTITUCIONAL"/>
    <s v="GC00A10100004D"/>
    <s v="GC00A10100004D REMUNERACION PERSONAL"/>
    <s v="51 GASTOS EN PERSONAL"/>
    <s v="510707 Compensación por Vacaciones no Gozadas por"/>
    <s v="G/510707/1AA101"/>
    <s v="002"/>
    <n v="61573.46"/>
    <n v="-39102.080000000002"/>
    <n v="-17289.72"/>
    <n v="5181.66"/>
    <n v="0"/>
    <n v="5181.66"/>
    <n v="5181.66"/>
    <n v="0"/>
    <n v="0"/>
    <n v="0"/>
  </r>
  <r>
    <s v="51"/>
    <x v="2"/>
    <x v="7"/>
    <s v="ZC09F090"/>
    <x v="10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2"/>
    <n v="6245.34"/>
    <n v="0"/>
    <n v="-907.32"/>
    <n v="5338.02"/>
    <n v="0"/>
    <n v="5338.02"/>
    <n v="5338.02"/>
    <n v="0"/>
    <n v="0"/>
    <n v="0"/>
  </r>
  <r>
    <s v="51"/>
    <x v="2"/>
    <x v="8"/>
    <s v="FS66P020"/>
    <x v="13"/>
    <s v="A101"/>
    <s v="FORTALECIMIENTO INSTITUCIONAL"/>
    <s v="GC00A10100004D"/>
    <s v="GC00A10100004D REMUNERACION PERSONAL"/>
    <s v="51 GASTOS EN PERSONAL"/>
    <s v="510707 Compensación por Vacaciones no Gozadas por"/>
    <s v="G/510707/1PA101"/>
    <s v="002"/>
    <n v="19721.25"/>
    <n v="5192.5200000000004"/>
    <n v="-20657.419999999998"/>
    <n v="4256.3500000000004"/>
    <n v="0"/>
    <n v="4256.3500000000004"/>
    <n v="4256.34"/>
    <n v="0"/>
    <n v="0.01"/>
    <n v="0"/>
  </r>
  <r>
    <s v="51"/>
    <x v="1"/>
    <x v="15"/>
    <s v="ZA01G000"/>
    <x v="26"/>
    <s v="A101"/>
    <s v="FORTALECIMIENTO INSTITUCIONAL"/>
    <s v="GC00A10100004D"/>
    <s v="GC00A10100004D REMUNERACION PERSONAL"/>
    <s v="51 GASTOS EN PERSONAL"/>
    <s v="510707 Compensación por Vacaciones no Gozadas por"/>
    <s v="G/510707/1GA101"/>
    <s v="002"/>
    <n v="30422.080000000002"/>
    <n v="-9989.77"/>
    <n v="-13429.54"/>
    <n v="7002.77"/>
    <n v="0"/>
    <n v="7002.77"/>
    <n v="7002.77"/>
    <n v="0"/>
    <n v="0"/>
    <n v="0"/>
  </r>
  <r>
    <s v="51"/>
    <x v="2"/>
    <x v="7"/>
    <s v="ZT06F060"/>
    <x v="40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2"/>
    <n v="13179.35"/>
    <n v="-550"/>
    <n v="-11498.65"/>
    <n v="1130.7"/>
    <n v="0"/>
    <n v="1130.7"/>
    <n v="1130.7"/>
    <n v="0"/>
    <n v="0"/>
    <n v="0"/>
  </r>
  <r>
    <s v="51"/>
    <x v="2"/>
    <x v="9"/>
    <s v="PM71N010"/>
    <x v="20"/>
    <s v="A101"/>
    <s v="FORTALECIMIENTO INSTITUCIONAL"/>
    <s v="GC00A10100004D"/>
    <s v="GC00A10100004D REMUNERACION PERSONAL"/>
    <s v="51 GASTOS EN PERSONAL"/>
    <s v="510707 Compensación por Vacaciones no Gozadas por"/>
    <s v="G/510707/1NA101"/>
    <s v="002"/>
    <n v="76607.67"/>
    <n v="0"/>
    <n v="-69821.47"/>
    <n v="6786.2"/>
    <n v="0"/>
    <n v="6786.2"/>
    <n v="6786.2"/>
    <n v="0"/>
    <n v="0"/>
    <n v="0"/>
  </r>
  <r>
    <s v="51"/>
    <x v="1"/>
    <x v="2"/>
    <s v="US33M030"/>
    <x v="5"/>
    <s v="A101"/>
    <s v="FORTALECIMIENTO INSTITUCIONAL"/>
    <s v="GC00A10100004D"/>
    <s v="GC00A10100004D REMUNERACION PERSONAL"/>
    <s v="51 GASTOS EN PERSONAL"/>
    <s v="510707 Compensación por Vacaciones no Gozadas por"/>
    <s v="G/510707/1MA101"/>
    <s v="002"/>
    <n v="34363.379999999997"/>
    <n v="0"/>
    <n v="-26999.67"/>
    <n v="7363.71"/>
    <n v="0"/>
    <n v="7363.71"/>
    <n v="7363.71"/>
    <n v="0"/>
    <n v="0"/>
    <n v="0"/>
  </r>
  <r>
    <s v="51"/>
    <x v="2"/>
    <x v="3"/>
    <s v="AT69K040"/>
    <x v="16"/>
    <s v="A101"/>
    <s v="FORTALECIMIENTO INSTITUCIONAL"/>
    <s v="GC00A10100004D"/>
    <s v="GC00A10100004D REMUNERACION PERSONAL"/>
    <s v="51 GASTOS EN PERSONAL"/>
    <s v="510707 Compensación por Vacaciones no Gozadas por"/>
    <s v="G/510707/1KA101"/>
    <s v="001"/>
    <n v="0"/>
    <n v="0"/>
    <n v="137333.79"/>
    <n v="137333.79"/>
    <n v="0"/>
    <n v="18753.46"/>
    <n v="0"/>
    <n v="118580.33"/>
    <n v="137333.79"/>
    <n v="118580.33"/>
  </r>
  <r>
    <s v="51"/>
    <x v="2"/>
    <x v="7"/>
    <s v="ZA01F000"/>
    <x v="25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2"/>
    <n v="10260.27"/>
    <n v="-1300"/>
    <n v="-7951.91"/>
    <n v="1008.36"/>
    <n v="0"/>
    <n v="1008.36"/>
    <n v="1008.36"/>
    <n v="0"/>
    <n v="0"/>
    <n v="0"/>
  </r>
  <r>
    <s v="51"/>
    <x v="2"/>
    <x v="7"/>
    <s v="TM68F100"/>
    <x v="36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2"/>
    <n v="4580.43"/>
    <n v="0"/>
    <n v="-3074.16"/>
    <n v="1506.27"/>
    <n v="0"/>
    <n v="1506.27"/>
    <n v="1506.26"/>
    <n v="0"/>
    <n v="0.01"/>
    <n v="0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2"/>
    <n v="7649.22"/>
    <n v="0"/>
    <n v="-6529.95"/>
    <n v="1119.27"/>
    <n v="0"/>
    <n v="1119.27"/>
    <n v="1119.27"/>
    <n v="0"/>
    <n v="0"/>
    <n v="0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707 Compensación por Vacaciones no Gozadas por"/>
    <s v="G/510707/2QA101"/>
    <s v="002"/>
    <n v="29650"/>
    <n v="-4022.2"/>
    <n v="-8909.7000000000007"/>
    <n v="16718.099999999999"/>
    <n v="0"/>
    <n v="16718.099999999999"/>
    <n v="16718.099999999999"/>
    <n v="0"/>
    <n v="0"/>
    <n v="0"/>
  </r>
  <r>
    <s v="51"/>
    <x v="2"/>
    <x v="9"/>
    <s v="ZA01N000"/>
    <x v="14"/>
    <s v="A101"/>
    <s v="FORTALECIMIENTO INSTITUCIONAL"/>
    <s v="GC00A10100004D"/>
    <s v="GC00A10100004D REMUNERACION PERSONAL"/>
    <s v="51 GASTOS EN PERSONAL"/>
    <s v="510707 Compensación por Vacaciones no Gozadas por"/>
    <s v="G/510707/1NA101"/>
    <s v="002"/>
    <n v="38261.24"/>
    <n v="0"/>
    <n v="-27606.23"/>
    <n v="10655.01"/>
    <n v="0"/>
    <n v="10655.01"/>
    <n v="10655.01"/>
    <n v="0"/>
    <n v="0"/>
    <n v="0"/>
  </r>
  <r>
    <s v="51"/>
    <x v="2"/>
    <x v="13"/>
    <s v="ZA01D000"/>
    <x v="22"/>
    <s v="A101"/>
    <s v="FORTALECIMIENTO INSTITUCIONAL"/>
    <s v="GC00A10100004D"/>
    <s v="GC00A10100004D REMUNERACION PERSONAL"/>
    <s v="51 GASTOS EN PERSONAL"/>
    <s v="510707 Compensación por Vacaciones no Gozadas por"/>
    <s v="G/510707/1DA101"/>
    <s v="002"/>
    <n v="25809.79"/>
    <n v="0"/>
    <n v="-25219.79"/>
    <n v="590"/>
    <n v="0"/>
    <n v="590"/>
    <n v="590"/>
    <n v="0"/>
    <n v="0"/>
    <n v="0"/>
  </r>
  <r>
    <s v="51"/>
    <x v="1"/>
    <x v="2"/>
    <s v="ZA01M000"/>
    <x v="42"/>
    <s v="A101"/>
    <s v="FORTALECIMIENTO INSTITUCIONAL"/>
    <s v="GC00A10100004D"/>
    <s v="GC00A10100004D REMUNERACION PERSONAL"/>
    <s v="51 GASTOS EN PERSONAL"/>
    <s v="510707 Compensación por Vacaciones no Gozadas por"/>
    <s v="G/510707/1MA101"/>
    <s v="002"/>
    <n v="8795.5400000000009"/>
    <n v="0"/>
    <n v="-1354.91"/>
    <n v="7440.63"/>
    <n v="0"/>
    <n v="7440.63"/>
    <n v="7440.63"/>
    <n v="0"/>
    <n v="0"/>
    <n v="0"/>
  </r>
  <r>
    <s v="51"/>
    <x v="1"/>
    <x v="10"/>
    <s v="EE11I010"/>
    <x v="37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2"/>
    <n v="8936.24"/>
    <n v="0"/>
    <n v="-6346.97"/>
    <n v="2589.27"/>
    <n v="0"/>
    <n v="2589.27"/>
    <n v="1444.33"/>
    <n v="0"/>
    <n v="1144.94"/>
    <n v="0"/>
  </r>
  <r>
    <s v="51"/>
    <x v="2"/>
    <x v="8"/>
    <s v="ZA01P000"/>
    <x v="32"/>
    <s v="A101"/>
    <s v="FORTALECIMIENTO INSTITUCIONAL"/>
    <s v="GC00A10100004D"/>
    <s v="GC00A10100004D REMUNERACION PERSONAL"/>
    <s v="51 GASTOS EN PERSONAL"/>
    <s v="510707 Compensación por Vacaciones no Gozadas por"/>
    <s v="G/510707/1PA101"/>
    <s v="002"/>
    <n v="10027.09"/>
    <n v="0"/>
    <n v="-6711.3"/>
    <n v="3315.79"/>
    <n v="0"/>
    <n v="3315.79"/>
    <n v="3315.79"/>
    <n v="0"/>
    <n v="0"/>
    <n v="0"/>
  </r>
  <r>
    <s v="51"/>
    <x v="1"/>
    <x v="10"/>
    <s v="EQ13I030"/>
    <x v="35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2"/>
    <n v="10695.13"/>
    <n v="-201"/>
    <n v="-9613.76"/>
    <n v="880.37"/>
    <n v="0"/>
    <n v="880.37"/>
    <n v="880.37"/>
    <n v="0"/>
    <n v="0"/>
    <n v="0"/>
  </r>
  <r>
    <s v="51"/>
    <x v="1"/>
    <x v="10"/>
    <s v="ES12I020"/>
    <x v="30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2"/>
    <n v="12018.78"/>
    <n v="0"/>
    <n v="-10857.24"/>
    <n v="1161.54"/>
    <n v="0"/>
    <n v="1161.54"/>
    <n v="1161.54"/>
    <n v="0"/>
    <n v="0"/>
    <n v="0"/>
  </r>
  <r>
    <s v="51"/>
    <x v="2"/>
    <x v="3"/>
    <s v="ZA01K000"/>
    <x v="6"/>
    <s v="A101"/>
    <s v="FORTALECIMIENTO INSTITUCIONAL"/>
    <s v="GC00A10100004D"/>
    <s v="GC00A10100004D REMUNERACION PERSONAL"/>
    <s v="51 GASTOS EN PERSONAL"/>
    <s v="510707 Compensación por Vacaciones no Gozadas por"/>
    <s v="G/510707/1KA101"/>
    <s v="002"/>
    <n v="15506.16"/>
    <n v="0"/>
    <n v="-12455.28"/>
    <n v="3050.88"/>
    <n v="0"/>
    <n v="3050.88"/>
    <n v="3050.88"/>
    <n v="0"/>
    <n v="0"/>
    <n v="0"/>
  </r>
  <r>
    <s v="51"/>
    <x v="3"/>
    <x v="11"/>
    <s v="ZA01H000"/>
    <x v="19"/>
    <s v="A101"/>
    <s v="FORTALECIMIENTO INSTITUCIONAL"/>
    <s v="GC00A10100004D"/>
    <s v="GC00A10100004D REMUNERACION PERSONAL"/>
    <s v="51 GASTOS EN PERSONAL"/>
    <s v="510707 Compensación por Vacaciones no Gozadas por"/>
    <s v="G/510707/1HA101"/>
    <s v="002"/>
    <n v="5748.16"/>
    <n v="0"/>
    <n v="-2257.69"/>
    <n v="3490.47"/>
    <n v="0"/>
    <n v="3490.47"/>
    <n v="3490.47"/>
    <n v="0"/>
    <n v="0"/>
    <n v="0"/>
  </r>
  <r>
    <s v="51"/>
    <x v="0"/>
    <x v="14"/>
    <s v="ZA01E000"/>
    <x v="23"/>
    <s v="A101"/>
    <s v="FORTALECIMIENTO INSTITUCIONAL"/>
    <s v="GC00A10100004D"/>
    <s v="GC00A10100004D REMUNERACION PERSONAL"/>
    <s v="51 GASTOS EN PERSONAL"/>
    <s v="510707 Compensación por Vacaciones no Gozadas por"/>
    <s v="G/510707/1EA101"/>
    <s v="002"/>
    <n v="10913.5"/>
    <n v="5100"/>
    <n v="-471.36"/>
    <n v="15542.14"/>
    <n v="0"/>
    <n v="15542.14"/>
    <n v="15542.14"/>
    <n v="0"/>
    <n v="0"/>
    <n v="0"/>
  </r>
  <r>
    <s v="51"/>
    <x v="2"/>
    <x v="7"/>
    <s v="RB34F010"/>
    <x v="31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2"/>
    <n v="7619.89"/>
    <n v="-900"/>
    <n v="-3494.64"/>
    <n v="3225.25"/>
    <n v="0"/>
    <n v="3225.25"/>
    <n v="3225.25"/>
    <n v="0"/>
    <n v="0"/>
    <n v="0"/>
  </r>
  <r>
    <s v="51"/>
    <x v="1"/>
    <x v="10"/>
    <s v="MB42I090"/>
    <x v="28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2"/>
    <n v="10507.86"/>
    <n v="0"/>
    <n v="-10219.14"/>
    <n v="288.72000000000003"/>
    <n v="0"/>
    <n v="288.72000000000003"/>
    <n v="288.72000000000003"/>
    <n v="0"/>
    <n v="0"/>
    <n v="0"/>
  </r>
  <r>
    <s v="51"/>
    <x v="3"/>
    <x v="6"/>
    <s v="AC67Q000"/>
    <x v="9"/>
    <s v="A101"/>
    <s v="FORTALECIMIENTO INSTITUCIONAL"/>
    <s v="GC00A10100004D"/>
    <s v="GC00A10100004D REMUNERACION PERSONAL"/>
    <s v="51 GASTOS EN PERSONAL"/>
    <s v="510707 Compensación por Vacaciones no Gozadas por"/>
    <s v="G/510707/2QA101"/>
    <s v="001"/>
    <n v="0"/>
    <n v="0"/>
    <n v="8909.7000000000007"/>
    <n v="8909.7000000000007"/>
    <n v="0"/>
    <n v="0"/>
    <n v="0"/>
    <n v="8909.7000000000007"/>
    <n v="8909.7000000000007"/>
    <n v="8909.7000000000007"/>
  </r>
  <r>
    <s v="51"/>
    <x v="2"/>
    <x v="7"/>
    <s v="ZV05F050"/>
    <x v="39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2"/>
    <n v="13977.57"/>
    <n v="0"/>
    <n v="-8566.9500000000007"/>
    <n v="5410.62"/>
    <n v="0"/>
    <n v="5410.62"/>
    <n v="5410.62"/>
    <n v="0"/>
    <n v="0"/>
    <n v="0"/>
  </r>
  <r>
    <s v="51"/>
    <x v="1"/>
    <x v="10"/>
    <s v="CB21I040"/>
    <x v="17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1"/>
    <n v="0"/>
    <n v="0"/>
    <n v="6529.95"/>
    <n v="6529.95"/>
    <n v="0"/>
    <n v="539.21"/>
    <n v="0"/>
    <n v="5990.74"/>
    <n v="6529.95"/>
    <n v="5990.74"/>
  </r>
  <r>
    <s v="53"/>
    <x v="1"/>
    <x v="10"/>
    <s v="SF43I080"/>
    <x v="34"/>
    <s v="A101"/>
    <s v="FORTALECIMIENTO INSTITUCIONAL"/>
    <s v="GC00A10100001D"/>
    <s v="GC00A10100001D GASTOS ADMINISTRATIVOS"/>
    <s v="53 BIENES Y SERVICIOS DE CONSUMO"/>
    <s v="530101  Agua Potable"/>
    <s v="G/530101/1IA101"/>
    <s v="001"/>
    <n v="6000"/>
    <n v="0"/>
    <n v="-789.88"/>
    <n v="5210.12"/>
    <n v="0"/>
    <n v="5210.12"/>
    <n v="1713.62"/>
    <n v="0"/>
    <n v="3496.5"/>
    <n v="0"/>
  </r>
  <r>
    <s v="53"/>
    <x v="2"/>
    <x v="7"/>
    <s v="ZM04F040"/>
    <x v="41"/>
    <s v="A101"/>
    <s v="FORTALECIMIENTO INSTITUCIONAL"/>
    <s v="GC00A10100001D"/>
    <s v="GC00A10100001D GASTOS ADMINISTRATIVOS"/>
    <s v="53 BIENES Y SERVICIOS DE CONSUMO"/>
    <s v="530101  Agua Potable"/>
    <s v="G/530101/1FA101"/>
    <s v="001"/>
    <n v="22220"/>
    <n v="0"/>
    <n v="0"/>
    <n v="22220"/>
    <n v="0"/>
    <n v="22220"/>
    <n v="14320.88"/>
    <n v="0"/>
    <n v="7899.12"/>
    <n v="0"/>
  </r>
  <r>
    <s v="53"/>
    <x v="1"/>
    <x v="2"/>
    <s v="UC32M020"/>
    <x v="33"/>
    <s v="A101"/>
    <s v="FORTALECIMIENTO INSTITUCIONAL"/>
    <s v="GC00A10100001D"/>
    <s v="GC00A10100001D GASTOS ADMINISTRATIVOS"/>
    <s v="53 BIENES Y SERVICIOS DE CONSUMO"/>
    <s v="530101  Agua Potable"/>
    <s v="G/530101/1MA101"/>
    <s v="001"/>
    <n v="7016"/>
    <n v="0"/>
    <n v="0"/>
    <n v="7016"/>
    <n v="0"/>
    <n v="7016"/>
    <n v="5799.24"/>
    <n v="0"/>
    <n v="1216.76"/>
    <n v="0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0101  Agua Potable"/>
    <s v="G/530101/1IA101"/>
    <s v="001"/>
    <n v="24300"/>
    <n v="0"/>
    <n v="0"/>
    <n v="24300"/>
    <n v="0"/>
    <n v="24300"/>
    <n v="9627.9500000000007"/>
    <n v="0"/>
    <n v="14672.05"/>
    <n v="0"/>
  </r>
  <r>
    <s v="53"/>
    <x v="1"/>
    <x v="2"/>
    <s v="UN31M010"/>
    <x v="15"/>
    <s v="A101"/>
    <s v="FORTALECIMIENTO INSTITUCIONAL"/>
    <s v="GC00A10100001D"/>
    <s v="GC00A10100001D GASTOS ADMINISTRATIVOS"/>
    <s v="53 BIENES Y SERVICIOS DE CONSUMO"/>
    <s v="530101  Agua Potable"/>
    <s v="G/530101/1MA101"/>
    <s v="001"/>
    <n v="9000"/>
    <n v="0"/>
    <n v="0"/>
    <n v="9000"/>
    <n v="0"/>
    <n v="9000"/>
    <n v="4043.61"/>
    <n v="0"/>
    <n v="4956.3900000000003"/>
    <n v="0"/>
  </r>
  <r>
    <s v="53"/>
    <x v="1"/>
    <x v="10"/>
    <s v="CF22I050"/>
    <x v="38"/>
    <s v="A101"/>
    <s v="FORTALECIMIENTO INSTITUCIONAL"/>
    <s v="GC00A10100001D"/>
    <s v="GC00A10100001D GASTOS ADMINISTRATIVOS"/>
    <s v="53 BIENES Y SERVICIOS DE CONSUMO"/>
    <s v="530101  Agua Potable"/>
    <s v="G/530101/1IA101"/>
    <s v="001"/>
    <n v="2700"/>
    <n v="0"/>
    <n v="0"/>
    <n v="2700"/>
    <n v="0"/>
    <n v="2700"/>
    <n v="918.89"/>
    <n v="0"/>
    <n v="1781.11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101  Agua Potable"/>
    <s v="G/530101/1AA101"/>
    <s v="001"/>
    <n v="0"/>
    <n v="0"/>
    <n v="503.26"/>
    <n v="503.26"/>
    <n v="0"/>
    <n v="0"/>
    <n v="0"/>
    <n v="503.26"/>
    <n v="503.26"/>
    <n v="503.26"/>
  </r>
  <r>
    <s v="53"/>
    <x v="2"/>
    <x v="3"/>
    <s v="AT69K040"/>
    <x v="16"/>
    <s v="A101"/>
    <s v="FORTALECIMIENTO INSTITUCIONAL"/>
    <s v="GC00A10100001D"/>
    <s v="GC00A10100001D GASTOS ADMINISTRATIVOS"/>
    <s v="53 BIENES Y SERVICIOS DE CONSUMO"/>
    <s v="530101  Agua Potable"/>
    <s v="G/530101/1KA101"/>
    <s v="001"/>
    <n v="0"/>
    <n v="28000"/>
    <n v="0"/>
    <n v="28000"/>
    <n v="0"/>
    <n v="28000"/>
    <n v="9796.17"/>
    <n v="0"/>
    <n v="18203.830000000002"/>
    <n v="0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0101  Agua Potable"/>
    <s v="G/530101/1MA101"/>
    <s v="001"/>
    <n v="12200"/>
    <n v="0"/>
    <n v="0"/>
    <n v="12200"/>
    <n v="0"/>
    <n v="6725.93"/>
    <n v="6725.93"/>
    <n v="5474.07"/>
    <n v="5474.07"/>
    <n v="5474.07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101  Agua Potable"/>
    <s v="G/530101/1AA101"/>
    <s v="002"/>
    <n v="200000"/>
    <n v="0"/>
    <n v="-87172.6"/>
    <n v="112827.4"/>
    <n v="0"/>
    <n v="112827.4"/>
    <n v="69288"/>
    <n v="0"/>
    <n v="43539.4"/>
    <n v="0"/>
  </r>
  <r>
    <s v="53"/>
    <x v="2"/>
    <x v="7"/>
    <s v="ZT06F060"/>
    <x v="40"/>
    <s v="A101"/>
    <s v="FORTALECIMIENTO INSTITUCIONAL"/>
    <s v="GC00A10100001D"/>
    <s v="GC00A10100001D GASTOS ADMINISTRATIVOS"/>
    <s v="53 BIENES Y SERVICIOS DE CONSUMO"/>
    <s v="530101  Agua Potable"/>
    <s v="G/530101/1FA101"/>
    <s v="001"/>
    <n v="12000"/>
    <n v="0"/>
    <n v="0"/>
    <n v="12000"/>
    <n v="0"/>
    <n v="12000"/>
    <n v="8256.5400000000009"/>
    <n v="0"/>
    <n v="3743.46"/>
    <n v="0"/>
  </r>
  <r>
    <s v="53"/>
    <x v="2"/>
    <x v="7"/>
    <s v="ZC09F090"/>
    <x v="10"/>
    <s v="A101"/>
    <s v="FORTALECIMIENTO INSTITUCIONAL"/>
    <s v="GC00A10100001D"/>
    <s v="GC00A10100001D GASTOS ADMINISTRATIVOS"/>
    <s v="53 BIENES Y SERVICIOS DE CONSUMO"/>
    <s v="530101  Agua Potable"/>
    <s v="G/530101/1FA101"/>
    <s v="001"/>
    <n v="10000"/>
    <n v="0"/>
    <n v="-4000"/>
    <n v="6000"/>
    <n v="0"/>
    <n v="6000"/>
    <n v="3001.25"/>
    <n v="0"/>
    <n v="2998.75"/>
    <n v="0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0101  Agua Potable"/>
    <s v="G/530101/1IA101"/>
    <s v="001"/>
    <n v="15000"/>
    <n v="0"/>
    <n v="0"/>
    <n v="15000"/>
    <n v="0"/>
    <n v="15000"/>
    <n v="5724.4"/>
    <n v="0"/>
    <n v="9275.6"/>
    <n v="0"/>
  </r>
  <r>
    <s v="53"/>
    <x v="1"/>
    <x v="10"/>
    <s v="OL41I060"/>
    <x v="29"/>
    <s v="A101"/>
    <s v="FORTALECIMIENTO INSTITUCIONAL"/>
    <s v="GC00A10100001D"/>
    <s v="GC00A10100001D GASTOS ADMINISTRATIVOS"/>
    <s v="53 BIENES Y SERVICIOS DE CONSUMO"/>
    <s v="530101  Agua Potable"/>
    <s v="G/530101/1IA101"/>
    <s v="001"/>
    <n v="5600"/>
    <n v="0"/>
    <n v="0"/>
    <n v="5600"/>
    <n v="0"/>
    <n v="5600"/>
    <n v="1054.26"/>
    <n v="0"/>
    <n v="4545.74"/>
    <n v="0"/>
  </r>
  <r>
    <s v="53"/>
    <x v="1"/>
    <x v="10"/>
    <s v="EE11I010"/>
    <x v="37"/>
    <s v="A101"/>
    <s v="FORTALECIMIENTO INSTITUCIONAL"/>
    <s v="GC00A10100001D"/>
    <s v="GC00A10100001D GASTOS ADMINISTRATIVOS"/>
    <s v="53 BIENES Y SERVICIOS DE CONSUMO"/>
    <s v="530101  Agua Potable"/>
    <s v="G/530101/1IA101"/>
    <s v="001"/>
    <n v="14000"/>
    <n v="0"/>
    <n v="0"/>
    <n v="14000"/>
    <n v="0"/>
    <n v="14000"/>
    <n v="8640.66"/>
    <n v="0"/>
    <n v="5359.34"/>
    <n v="0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101  Agua Potable"/>
    <s v="G/530101/1PA101"/>
    <s v="001"/>
    <n v="3600"/>
    <n v="0"/>
    <n v="0"/>
    <n v="3600"/>
    <n v="0"/>
    <n v="3600"/>
    <n v="1886.51"/>
    <n v="0"/>
    <n v="1713.49"/>
    <n v="0"/>
  </r>
  <r>
    <s v="53"/>
    <x v="2"/>
    <x v="7"/>
    <s v="ZD07F070"/>
    <x v="43"/>
    <s v="A101"/>
    <s v="FORTALECIMIENTO INSTITUCIONAL"/>
    <s v="GC00A10100001D"/>
    <s v="GC00A10100001D GASTOS ADMINISTRATIVOS"/>
    <s v="53 BIENES Y SERVICIOS DE CONSUMO"/>
    <s v="530101  Agua Potable"/>
    <s v="G/530101/1FA101"/>
    <s v="001"/>
    <n v="8500"/>
    <n v="3500"/>
    <n v="0"/>
    <n v="12000"/>
    <n v="0"/>
    <n v="9092.34"/>
    <n v="8422.34"/>
    <n v="2907.66"/>
    <n v="3577.66"/>
    <n v="2907.66"/>
  </r>
  <r>
    <s v="53"/>
    <x v="1"/>
    <x v="10"/>
    <s v="EQ13I030"/>
    <x v="35"/>
    <s v="A101"/>
    <s v="FORTALECIMIENTO INSTITUCIONAL"/>
    <s v="GC00A10100001D"/>
    <s v="GC00A10100001D GASTOS ADMINISTRATIVOS"/>
    <s v="53 BIENES Y SERVICIOS DE CONSUMO"/>
    <s v="530101  Agua Potable"/>
    <s v="G/530101/1IA101"/>
    <s v="001"/>
    <n v="16000"/>
    <n v="0"/>
    <n v="0"/>
    <n v="16000"/>
    <n v="0"/>
    <n v="16000"/>
    <n v="9028.49"/>
    <n v="0"/>
    <n v="6971.51"/>
    <n v="0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101  Agua Potable"/>
    <s v="G/530101/1FA101"/>
    <s v="001"/>
    <n v="16800"/>
    <n v="-7800"/>
    <n v="0"/>
    <n v="9000"/>
    <n v="0"/>
    <n v="9000"/>
    <n v="7409.08"/>
    <n v="0"/>
    <n v="1590.92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101  Agua Potable"/>
    <s v="G/530101/1BA101"/>
    <s v="002"/>
    <n v="4150.6899999999996"/>
    <n v="4000"/>
    <n v="0"/>
    <n v="8150.69"/>
    <n v="0"/>
    <n v="8150.69"/>
    <n v="4077.16"/>
    <n v="0"/>
    <n v="4073.53"/>
    <n v="0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0101  Agua Potable"/>
    <s v="G/530101/1IA101"/>
    <s v="001"/>
    <n v="10000"/>
    <n v="0"/>
    <n v="0"/>
    <n v="10000"/>
    <n v="0"/>
    <n v="0"/>
    <n v="0"/>
    <n v="10000"/>
    <n v="10000"/>
    <n v="1000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101  Agua Potable"/>
    <s v="G/530101/1AA101"/>
    <s v="002"/>
    <n v="6000"/>
    <n v="-3360"/>
    <n v="-503.26"/>
    <n v="2136.7399999999998"/>
    <n v="0"/>
    <n v="2136.7399999999998"/>
    <n v="1477.08"/>
    <n v="0"/>
    <n v="659.66"/>
    <n v="0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101  Agua Potable"/>
    <s v="G/530101/1FA101"/>
    <s v="001"/>
    <n v="33000"/>
    <n v="-7950.88"/>
    <n v="0"/>
    <n v="25049.119999999999"/>
    <n v="0"/>
    <n v="25049.119999999999"/>
    <n v="22101.65"/>
    <n v="0"/>
    <n v="2947.47"/>
    <n v="0"/>
  </r>
  <r>
    <s v="53"/>
    <x v="2"/>
    <x v="9"/>
    <s v="PM71N010"/>
    <x v="20"/>
    <s v="A101"/>
    <s v="FORTALECIMIENTO INSTITUCIONAL"/>
    <s v="GC00A10100001D"/>
    <s v="GC00A10100001D GASTOS ADMINISTRATIVOS"/>
    <s v="53 BIENES Y SERVICIOS DE CONSUMO"/>
    <s v="530101  Agua Potable"/>
    <s v="G/530101/1NA101"/>
    <s v="001"/>
    <n v="50000"/>
    <n v="0"/>
    <n v="0"/>
    <n v="50000"/>
    <n v="0"/>
    <n v="50000"/>
    <n v="41677.29"/>
    <n v="0"/>
    <n v="8322.7099999999991"/>
    <n v="0"/>
  </r>
  <r>
    <s v="53"/>
    <x v="2"/>
    <x v="7"/>
    <s v="ZS03F030"/>
    <x v="45"/>
    <s v="A101"/>
    <s v="FORTALECIMIENTO INSTITUCIONAL"/>
    <s v="GC00A10100001D"/>
    <s v="GC00A10100001D GASTOS ADMINISTRATIVOS"/>
    <s v="53 BIENES Y SERVICIOS DE CONSUMO"/>
    <s v="530101  Agua Potable"/>
    <s v="G/530101/1FA101"/>
    <s v="001"/>
    <n v="10000"/>
    <n v="14259"/>
    <n v="0"/>
    <n v="24259"/>
    <n v="0"/>
    <n v="24259"/>
    <n v="15055.35"/>
    <n v="0"/>
    <n v="9203.65"/>
    <n v="0"/>
  </r>
  <r>
    <s v="53"/>
    <x v="2"/>
    <x v="7"/>
    <s v="ZQ08F080"/>
    <x v="44"/>
    <s v="A101"/>
    <s v="FORTALECIMIENTO INSTITUCIONAL"/>
    <s v="GC00A10100001D"/>
    <s v="GC00A10100001D GASTOS ADMINISTRATIVOS"/>
    <s v="53 BIENES Y SERVICIOS DE CONSUMO"/>
    <s v="530101  Agua Potable"/>
    <s v="G/530101/1FA101"/>
    <s v="001"/>
    <n v="7000"/>
    <n v="2000"/>
    <n v="0"/>
    <n v="9000"/>
    <n v="0"/>
    <n v="9000"/>
    <n v="3876.48"/>
    <n v="0"/>
    <n v="5123.5200000000004"/>
    <n v="0"/>
  </r>
  <r>
    <s v="53"/>
    <x v="1"/>
    <x v="10"/>
    <s v="JM40I070"/>
    <x v="27"/>
    <s v="A101"/>
    <s v="FORTALECIMIENTO INSTITUCIONAL"/>
    <s v="GC00A10100001D"/>
    <s v="GC00A10100001D GASTOS ADMINISTRATIVOS"/>
    <s v="53 BIENES Y SERVICIOS DE CONSUMO"/>
    <s v="530101  Agua Potable"/>
    <s v="G/530101/1IA101"/>
    <s v="001"/>
    <n v="8000"/>
    <n v="0"/>
    <n v="0"/>
    <n v="8000"/>
    <n v="0"/>
    <n v="8000"/>
    <n v="2265.8200000000002"/>
    <n v="0"/>
    <n v="5734.18"/>
    <n v="0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0104 Energía Eléctrica"/>
    <s v="G/530104/1IA101"/>
    <s v="001"/>
    <n v="9000"/>
    <n v="0"/>
    <n v="0"/>
    <n v="9000"/>
    <n v="0"/>
    <n v="0"/>
    <n v="0"/>
    <n v="9000"/>
    <n v="9000"/>
    <n v="9000"/>
  </r>
  <r>
    <s v="53"/>
    <x v="1"/>
    <x v="10"/>
    <s v="SF43I080"/>
    <x v="34"/>
    <s v="A101"/>
    <s v="FORTALECIMIENTO INSTITUCIONAL"/>
    <s v="GC00A10100001D"/>
    <s v="GC00A10100001D GASTOS ADMINISTRATIVOS"/>
    <s v="53 BIENES Y SERVICIOS DE CONSUMO"/>
    <s v="530104 Energía Eléctrica"/>
    <s v="G/530104/1IA101"/>
    <s v="001"/>
    <n v="5811.51"/>
    <n v="0"/>
    <n v="0"/>
    <n v="5811.51"/>
    <n v="0"/>
    <n v="4307.6000000000004"/>
    <n v="2382.3200000000002"/>
    <n v="1503.91"/>
    <n v="3429.19"/>
    <n v="1503.91"/>
  </r>
  <r>
    <s v="53"/>
    <x v="2"/>
    <x v="3"/>
    <s v="AT69K040"/>
    <x v="16"/>
    <s v="A101"/>
    <s v="FORTALECIMIENTO INSTITUCIONAL"/>
    <s v="GC00A10100001D"/>
    <s v="GC00A10100001D GASTOS ADMINISTRATIVOS"/>
    <s v="53 BIENES Y SERVICIOS DE CONSUMO"/>
    <s v="530104 Energía Eléctrica"/>
    <s v="G/530104/1KA101"/>
    <s v="001"/>
    <n v="0"/>
    <n v="55000"/>
    <n v="0"/>
    <n v="55000"/>
    <n v="0"/>
    <n v="55000"/>
    <n v="38443.15"/>
    <n v="0"/>
    <n v="16556.849999999999"/>
    <n v="0"/>
  </r>
  <r>
    <s v="53"/>
    <x v="1"/>
    <x v="10"/>
    <s v="EE11I010"/>
    <x v="37"/>
    <s v="A101"/>
    <s v="FORTALECIMIENTO INSTITUCIONAL"/>
    <s v="GC00A10100001D"/>
    <s v="GC00A10100001D GASTOS ADMINISTRATIVOS"/>
    <s v="53 BIENES Y SERVICIOS DE CONSUMO"/>
    <s v="530104 Energía Eléctrica"/>
    <s v="G/530104/1IA101"/>
    <s v="001"/>
    <n v="18000"/>
    <n v="0"/>
    <n v="0"/>
    <n v="18000"/>
    <n v="0"/>
    <n v="18000"/>
    <n v="11053.93"/>
    <n v="0"/>
    <n v="6946.07"/>
    <n v="0"/>
  </r>
  <r>
    <s v="53"/>
    <x v="1"/>
    <x v="10"/>
    <s v="JM40I070"/>
    <x v="27"/>
    <s v="A101"/>
    <s v="FORTALECIMIENTO INSTITUCIONAL"/>
    <s v="GC00A10100001D"/>
    <s v="GC00A10100001D GASTOS ADMINISTRATIVOS"/>
    <s v="53 BIENES Y SERVICIOS DE CONSUMO"/>
    <s v="530104 Energía Eléctrica"/>
    <s v="G/530104/1IA101"/>
    <s v="001"/>
    <n v="9000"/>
    <n v="0"/>
    <n v="0"/>
    <n v="9000"/>
    <n v="0"/>
    <n v="9000"/>
    <n v="2963.85"/>
    <n v="0"/>
    <n v="6036.15"/>
    <n v="0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0104 Energía Eléctrica"/>
    <s v="G/530104/1IA101"/>
    <s v="001"/>
    <n v="24700"/>
    <n v="0"/>
    <n v="0"/>
    <n v="24700"/>
    <n v="0"/>
    <n v="24700"/>
    <n v="9549.0499999999993"/>
    <n v="0"/>
    <n v="15150.95"/>
    <n v="0"/>
  </r>
  <r>
    <s v="53"/>
    <x v="1"/>
    <x v="10"/>
    <s v="EQ13I030"/>
    <x v="35"/>
    <s v="A101"/>
    <s v="FORTALECIMIENTO INSTITUCIONAL"/>
    <s v="GC00A10100001D"/>
    <s v="GC00A10100001D GASTOS ADMINISTRATIVOS"/>
    <s v="53 BIENES Y SERVICIOS DE CONSUMO"/>
    <s v="530104 Energía Eléctrica"/>
    <s v="G/530104/1IA101"/>
    <s v="001"/>
    <n v="9000"/>
    <n v="0"/>
    <n v="0"/>
    <n v="9000"/>
    <n v="0"/>
    <n v="9000"/>
    <n v="3368.66"/>
    <n v="0"/>
    <n v="5631.34"/>
    <n v="0"/>
  </r>
  <r>
    <s v="53"/>
    <x v="2"/>
    <x v="9"/>
    <s v="PM71N010"/>
    <x v="20"/>
    <s v="A101"/>
    <s v="FORTALECIMIENTO INSTITUCIONAL"/>
    <s v="GC00A10100001D"/>
    <s v="GC00A10100001D GASTOS ADMINISTRATIVOS"/>
    <s v="53 BIENES Y SERVICIOS DE CONSUMO"/>
    <s v="530104 Energía Eléctrica"/>
    <s v="G/530104/1NA101"/>
    <s v="001"/>
    <n v="50000"/>
    <n v="0"/>
    <n v="0"/>
    <n v="50000"/>
    <n v="0"/>
    <n v="50000"/>
    <n v="43671.89"/>
    <n v="0"/>
    <n v="6328.11"/>
    <n v="0"/>
  </r>
  <r>
    <s v="53"/>
    <x v="2"/>
    <x v="7"/>
    <s v="ZT06F060"/>
    <x v="40"/>
    <s v="A101"/>
    <s v="FORTALECIMIENTO INSTITUCIONAL"/>
    <s v="GC00A10100001D"/>
    <s v="GC00A10100001D GASTOS ADMINISTRATIVOS"/>
    <s v="53 BIENES Y SERVICIOS DE CONSUMO"/>
    <s v="530104 Energía Eléctrica"/>
    <s v="G/530104/1FA101"/>
    <s v="001"/>
    <n v="17000"/>
    <n v="0"/>
    <n v="0"/>
    <n v="17000"/>
    <n v="0"/>
    <n v="17000"/>
    <n v="11551.04"/>
    <n v="0"/>
    <n v="5448.96"/>
    <n v="0"/>
  </r>
  <r>
    <s v="53"/>
    <x v="1"/>
    <x v="10"/>
    <s v="OL41I060"/>
    <x v="29"/>
    <s v="A101"/>
    <s v="FORTALECIMIENTO INSTITUCIONAL"/>
    <s v="GC00A10100001D"/>
    <s v="GC00A10100001D GASTOS ADMINISTRATIVOS"/>
    <s v="53 BIENES Y SERVICIOS DE CONSUMO"/>
    <s v="530104 Energía Eléctrica"/>
    <s v="G/530104/1IA101"/>
    <s v="001"/>
    <n v="6600"/>
    <n v="0"/>
    <n v="0"/>
    <n v="6600"/>
    <n v="0"/>
    <n v="6600"/>
    <n v="2685.53"/>
    <n v="0"/>
    <n v="3914.47"/>
    <n v="0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104 Energía Eléctrica"/>
    <s v="G/530104/1PA101"/>
    <s v="001"/>
    <n v="16000"/>
    <n v="-2500"/>
    <n v="0"/>
    <n v="13500"/>
    <n v="0"/>
    <n v="13500"/>
    <n v="11800.7"/>
    <n v="0"/>
    <n v="1699.3"/>
    <n v="0"/>
  </r>
  <r>
    <s v="53"/>
    <x v="2"/>
    <x v="7"/>
    <s v="ZM04F040"/>
    <x v="41"/>
    <s v="A101"/>
    <s v="FORTALECIMIENTO INSTITUCIONAL"/>
    <s v="GC00A10100001D"/>
    <s v="GC00A10100001D GASTOS ADMINISTRATIVOS"/>
    <s v="53 BIENES Y SERVICIOS DE CONSUMO"/>
    <s v="530104 Energía Eléctrica"/>
    <s v="G/530104/1FA101"/>
    <s v="001"/>
    <n v="41900"/>
    <n v="-20000"/>
    <n v="0"/>
    <n v="21900"/>
    <n v="0"/>
    <n v="21900"/>
    <n v="16316.07"/>
    <n v="0"/>
    <n v="5583.93"/>
    <n v="0"/>
  </r>
  <r>
    <s v="53"/>
    <x v="2"/>
    <x v="7"/>
    <s v="ZS03F030"/>
    <x v="45"/>
    <s v="A101"/>
    <s v="FORTALECIMIENTO INSTITUCIONAL"/>
    <s v="GC00A10100001D"/>
    <s v="GC00A10100001D GASTOS ADMINISTRATIVOS"/>
    <s v="53 BIENES Y SERVICIOS DE CONSUMO"/>
    <s v="530104 Energía Eléctrica"/>
    <s v="G/530104/1FA101"/>
    <s v="001"/>
    <n v="24000"/>
    <n v="-7259"/>
    <n v="0"/>
    <n v="16741"/>
    <n v="0"/>
    <n v="16741"/>
    <n v="15830.55"/>
    <n v="0"/>
    <n v="910.45"/>
    <n v="0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104 Energía Eléctrica"/>
    <s v="G/530104/1FA101"/>
    <s v="001"/>
    <n v="37200"/>
    <n v="-15000"/>
    <n v="0"/>
    <n v="22200"/>
    <n v="0"/>
    <n v="22200"/>
    <n v="19955.75"/>
    <n v="0"/>
    <n v="2244.25"/>
    <n v="0"/>
  </r>
  <r>
    <s v="53"/>
    <x v="2"/>
    <x v="7"/>
    <s v="ZQ08F080"/>
    <x v="44"/>
    <s v="A101"/>
    <s v="FORTALECIMIENTO INSTITUCIONAL"/>
    <s v="GC00A10100001D"/>
    <s v="GC00A10100001D GASTOS ADMINISTRATIVOS"/>
    <s v="53 BIENES Y SERVICIOS DE CONSUMO"/>
    <s v="530104 Energía Eléctrica"/>
    <s v="G/530104/1FA101"/>
    <s v="001"/>
    <n v="13050"/>
    <n v="0"/>
    <n v="0"/>
    <n v="13050"/>
    <n v="0"/>
    <n v="13050"/>
    <n v="3674.7"/>
    <n v="0"/>
    <n v="9375.2999999999993"/>
    <n v="0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104 Energía Eléctrica"/>
    <s v="G/530104/1FA101"/>
    <s v="001"/>
    <n v="30000"/>
    <n v="0"/>
    <n v="-4375.2700000000004"/>
    <n v="25624.73"/>
    <n v="0"/>
    <n v="25624.73"/>
    <n v="21395.54"/>
    <n v="0"/>
    <n v="4229.1899999999996"/>
    <n v="0"/>
  </r>
  <r>
    <s v="53"/>
    <x v="3"/>
    <x v="6"/>
    <s v="AC67Q000"/>
    <x v="9"/>
    <s v="A101"/>
    <s v="FORTALECIMIENTO INSTITUCIONAL"/>
    <s v="GC00A10100001D"/>
    <s v="GC00A10100001D GASTOS ADMINISTRATIVOS"/>
    <s v="53 BIENES Y SERVICIOS DE CONSUMO"/>
    <s v="530104 Energía Eléctrica"/>
    <s v="G/530104/1QA101"/>
    <s v="001"/>
    <n v="1000"/>
    <n v="1659.14"/>
    <n v="0"/>
    <n v="2659.14"/>
    <n v="0"/>
    <n v="2659.14"/>
    <n v="1977.21"/>
    <n v="0"/>
    <n v="681.93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104 Energía Eléctrica"/>
    <s v="G/530104/1AA101"/>
    <s v="002"/>
    <n v="600000"/>
    <n v="-14924.19"/>
    <n v="-113404.41"/>
    <n v="471671.4"/>
    <n v="0"/>
    <n v="471671.4"/>
    <n v="376698.16"/>
    <n v="0"/>
    <n v="94973.24"/>
    <n v="0"/>
  </r>
  <r>
    <s v="53"/>
    <x v="2"/>
    <x v="7"/>
    <s v="ZD07F070"/>
    <x v="43"/>
    <s v="A101"/>
    <s v="FORTALECIMIENTO INSTITUCIONAL"/>
    <s v="GC00A10100001D"/>
    <s v="GC00A10100001D GASTOS ADMINISTRATIVOS"/>
    <s v="53 BIENES Y SERVICIOS DE CONSUMO"/>
    <s v="530104 Energía Eléctrica"/>
    <s v="G/530104/1FA101"/>
    <s v="001"/>
    <n v="17000"/>
    <n v="0"/>
    <n v="0"/>
    <n v="17000"/>
    <n v="0"/>
    <n v="14622.78"/>
    <n v="13002.06"/>
    <n v="2377.2199999999998"/>
    <n v="3997.94"/>
    <n v="2377.2199999999998"/>
  </r>
  <r>
    <s v="53"/>
    <x v="2"/>
    <x v="7"/>
    <s v="ZC09F090"/>
    <x v="10"/>
    <s v="A101"/>
    <s v="FORTALECIMIENTO INSTITUCIONAL"/>
    <s v="GC00A10100001D"/>
    <s v="GC00A10100001D GASTOS ADMINISTRATIVOS"/>
    <s v="53 BIENES Y SERVICIOS DE CONSUMO"/>
    <s v="530104 Energía Eléctrica"/>
    <s v="G/530104/1FA101"/>
    <s v="001"/>
    <n v="10000"/>
    <n v="0"/>
    <n v="0"/>
    <n v="10000"/>
    <n v="0"/>
    <n v="10000"/>
    <n v="9641.8700000000008"/>
    <n v="0"/>
    <n v="358.13"/>
    <n v="0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0104 Energía Eléctrica"/>
    <s v="G/530104/1MA101"/>
    <s v="001"/>
    <n v="15000"/>
    <n v="-3000"/>
    <n v="0"/>
    <n v="12000"/>
    <n v="0"/>
    <n v="8061.53"/>
    <n v="8061.53"/>
    <n v="3938.47"/>
    <n v="3938.47"/>
    <n v="3938.47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104 Energía Eléctrica"/>
    <s v="G/530104/1BA101"/>
    <s v="002"/>
    <n v="11716.85"/>
    <n v="9000"/>
    <n v="0"/>
    <n v="20716.849999999999"/>
    <n v="0"/>
    <n v="20716.849999999999"/>
    <n v="14617.22"/>
    <n v="0"/>
    <n v="6099.63"/>
    <n v="0"/>
  </r>
  <r>
    <s v="53"/>
    <x v="1"/>
    <x v="10"/>
    <s v="CF22I050"/>
    <x v="38"/>
    <s v="A101"/>
    <s v="FORTALECIMIENTO INSTITUCIONAL"/>
    <s v="GC00A10100001D"/>
    <s v="GC00A10100001D GASTOS ADMINISTRATIVOS"/>
    <s v="53 BIENES Y SERVICIOS DE CONSUMO"/>
    <s v="530104 Energía Eléctrica"/>
    <s v="G/530104/1IA101"/>
    <s v="001"/>
    <n v="15000"/>
    <n v="0"/>
    <n v="0"/>
    <n v="15000"/>
    <n v="0"/>
    <n v="15000"/>
    <n v="8887.39"/>
    <n v="0"/>
    <n v="6112.61"/>
    <n v="0"/>
  </r>
  <r>
    <s v="53"/>
    <x v="1"/>
    <x v="2"/>
    <s v="UN31M010"/>
    <x v="15"/>
    <s v="A101"/>
    <s v="FORTALECIMIENTO INSTITUCIONAL"/>
    <s v="GC00A10100001D"/>
    <s v="GC00A10100001D GASTOS ADMINISTRATIVOS"/>
    <s v="53 BIENES Y SERVICIOS DE CONSUMO"/>
    <s v="530104 Energía Eléctrica"/>
    <s v="G/530104/1MA101"/>
    <s v="001"/>
    <n v="18000"/>
    <n v="0"/>
    <n v="0"/>
    <n v="18000"/>
    <n v="0"/>
    <n v="18000"/>
    <n v="13710.07"/>
    <n v="0"/>
    <n v="4289.93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104 Energía Eléctrica"/>
    <s v="G/530104/1AA101"/>
    <s v="001"/>
    <n v="0"/>
    <n v="0"/>
    <n v="10950.89"/>
    <n v="10950.89"/>
    <n v="0"/>
    <n v="0"/>
    <n v="0"/>
    <n v="10950.89"/>
    <n v="10950.89"/>
    <n v="10950.89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104 Energía Eléctrica"/>
    <s v="G/530104/1AA101"/>
    <s v="001"/>
    <n v="0"/>
    <n v="0"/>
    <n v="73404.41"/>
    <n v="73404.41"/>
    <n v="0"/>
    <n v="20000"/>
    <n v="0"/>
    <n v="53404.41"/>
    <n v="73404.41"/>
    <n v="53404.41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0104 Energía Eléctrica"/>
    <s v="G/530104/1IA101"/>
    <s v="001"/>
    <n v="28000"/>
    <n v="0"/>
    <n v="0"/>
    <n v="28000"/>
    <n v="0"/>
    <n v="28000"/>
    <n v="13373.48"/>
    <n v="0"/>
    <n v="14626.52"/>
    <n v="0"/>
  </r>
  <r>
    <s v="53"/>
    <x v="1"/>
    <x v="2"/>
    <s v="UC32M020"/>
    <x v="33"/>
    <s v="A101"/>
    <s v="FORTALECIMIENTO INSTITUCIONAL"/>
    <s v="GC00A10100001D"/>
    <s v="GC00A10100001D GASTOS ADMINISTRATIVOS"/>
    <s v="53 BIENES Y SERVICIOS DE CONSUMO"/>
    <s v="530104 Energía Eléctrica"/>
    <s v="G/530104/1MA101"/>
    <s v="001"/>
    <n v="11000"/>
    <n v="0"/>
    <n v="0"/>
    <n v="11000"/>
    <n v="0"/>
    <n v="11000"/>
    <n v="9721.08"/>
    <n v="0"/>
    <n v="1278.92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104 Energía Eléctrica"/>
    <s v="G/530104/1AA101"/>
    <s v="002"/>
    <n v="37500"/>
    <n v="1000"/>
    <n v="-10950.89"/>
    <n v="27549.11"/>
    <n v="0"/>
    <n v="27549.11"/>
    <n v="27491.47"/>
    <n v="0"/>
    <n v="57.64"/>
    <n v="0"/>
  </r>
  <r>
    <s v="53"/>
    <x v="2"/>
    <x v="7"/>
    <s v="TM68F100"/>
    <x v="36"/>
    <s v="A101"/>
    <s v="FORTALECIMIENTO INSTITUCIONAL"/>
    <s v="GC00A10100001D"/>
    <s v="GC00A10100001D GASTOS ADMINISTRATIVOS"/>
    <s v="53 BIENES Y SERVICIOS DE CONSUMO"/>
    <s v="530104 Energía Eléctrica"/>
    <s v="G/530104/1FA101"/>
    <s v="001"/>
    <n v="4200"/>
    <n v="-1543.9"/>
    <n v="0"/>
    <n v="2656.1"/>
    <n v="0"/>
    <n v="2656.1"/>
    <n v="2238.04"/>
    <n v="0"/>
    <n v="418.06"/>
    <n v="0"/>
  </r>
  <r>
    <s v="53"/>
    <x v="3"/>
    <x v="6"/>
    <s v="AC67Q000"/>
    <x v="9"/>
    <s v="A101"/>
    <s v="FORTALECIMIENTO INSTITUCIONAL"/>
    <s v="GC00A10100001D"/>
    <s v="GC00A10100001D GASTOS ADMINISTRATIVOS"/>
    <s v="53 BIENES Y SERVICIOS DE CONSUMO"/>
    <s v="530105 Telecomunicaciones"/>
    <s v="G/530105/1QA101"/>
    <s v="001"/>
    <n v="1500"/>
    <n v="4206.6000000000004"/>
    <n v="0"/>
    <n v="5706.6"/>
    <n v="0"/>
    <n v="5706.41"/>
    <n v="2295.02"/>
    <n v="0.19"/>
    <n v="3411.58"/>
    <n v="0.19"/>
  </r>
  <r>
    <s v="53"/>
    <x v="2"/>
    <x v="3"/>
    <s v="AT69K040"/>
    <x v="16"/>
    <s v="A101"/>
    <s v="FORTALECIMIENTO INSTITUCIONAL"/>
    <s v="GC00A10100001D"/>
    <s v="GC00A10100001D GASTOS ADMINISTRATIVOS"/>
    <s v="53 BIENES Y SERVICIOS DE CONSUMO"/>
    <s v="530105 Telecomunicaciones"/>
    <s v="G/530105/1KA101"/>
    <s v="001"/>
    <n v="273995.59000000003"/>
    <n v="-71152.69"/>
    <n v="-30609.59"/>
    <n v="172233.31"/>
    <n v="19233.310000000001"/>
    <n v="153000"/>
    <n v="107801.37"/>
    <n v="19233.310000000001"/>
    <n v="64431.94"/>
    <n v="0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105 Telecomunicaciones"/>
    <s v="G/530105/1FA101"/>
    <s v="001"/>
    <n v="12000"/>
    <n v="0"/>
    <n v="-6352.87"/>
    <n v="5647.13"/>
    <n v="0"/>
    <n v="5647.13"/>
    <n v="5314.92"/>
    <n v="0"/>
    <n v="332.21"/>
    <n v="0"/>
  </r>
  <r>
    <s v="53"/>
    <x v="1"/>
    <x v="10"/>
    <s v="EQ13I030"/>
    <x v="35"/>
    <s v="A101"/>
    <s v="FORTALECIMIENTO INSTITUCIONAL"/>
    <s v="GC00A10100001D"/>
    <s v="GC00A10100001D GASTOS ADMINISTRATIVOS"/>
    <s v="53 BIENES Y SERVICIOS DE CONSUMO"/>
    <s v="530105 Telecomunicaciones"/>
    <s v="G/530105/1IA101"/>
    <s v="001"/>
    <n v="4100"/>
    <n v="0"/>
    <n v="0"/>
    <n v="4100"/>
    <n v="0"/>
    <n v="4100"/>
    <n v="880.71"/>
    <n v="0"/>
    <n v="3219.29"/>
    <n v="0"/>
  </r>
  <r>
    <s v="53"/>
    <x v="2"/>
    <x v="7"/>
    <s v="ZM04F040"/>
    <x v="41"/>
    <s v="A101"/>
    <s v="FORTALECIMIENTO INSTITUCIONAL"/>
    <s v="GC00A10100001D"/>
    <s v="GC00A10100001D GASTOS ADMINISTRATIVOS"/>
    <s v="53 BIENES Y SERVICIOS DE CONSUMO"/>
    <s v="530105 Telecomunicaciones"/>
    <s v="G/530105/1FA101"/>
    <s v="001"/>
    <n v="5000"/>
    <n v="0"/>
    <n v="0"/>
    <n v="5000"/>
    <n v="0"/>
    <n v="3177.28"/>
    <n v="2569.14"/>
    <n v="1822.72"/>
    <n v="2430.86"/>
    <n v="1822.72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105 Telecomunicaciones"/>
    <s v="G/530105/1AA101"/>
    <s v="002"/>
    <n v="150000"/>
    <n v="0"/>
    <n v="-37619.71"/>
    <n v="112380.29"/>
    <n v="0"/>
    <n v="112380.29"/>
    <n v="106790.07"/>
    <n v="0"/>
    <n v="5590.22"/>
    <n v="0"/>
  </r>
  <r>
    <s v="53"/>
    <x v="2"/>
    <x v="7"/>
    <s v="ZQ08F080"/>
    <x v="44"/>
    <s v="A101"/>
    <s v="FORTALECIMIENTO INSTITUCIONAL"/>
    <s v="GC00A10100001D"/>
    <s v="GC00A10100001D GASTOS ADMINISTRATIVOS"/>
    <s v="53 BIENES Y SERVICIOS DE CONSUMO"/>
    <s v="530105 Telecomunicaciones"/>
    <s v="G/530105/1FA101"/>
    <s v="001"/>
    <n v="9210.66"/>
    <n v="-921.06"/>
    <n v="0"/>
    <n v="8289.6"/>
    <n v="74.64"/>
    <n v="8214.9599999999991"/>
    <n v="2237.08"/>
    <n v="74.64"/>
    <n v="6052.52"/>
    <n v="0"/>
  </r>
  <r>
    <s v="53"/>
    <x v="1"/>
    <x v="10"/>
    <s v="CF22I050"/>
    <x v="38"/>
    <s v="A101"/>
    <s v="FORTALECIMIENTO INSTITUCIONAL"/>
    <s v="GC00A10100001D"/>
    <s v="GC00A10100001D GASTOS ADMINISTRATIVOS"/>
    <s v="53 BIENES Y SERVICIOS DE CONSUMO"/>
    <s v="530105 Telecomunicaciones"/>
    <s v="G/530105/1IA101"/>
    <s v="001"/>
    <n v="2000"/>
    <n v="0"/>
    <n v="0"/>
    <n v="2000"/>
    <n v="0"/>
    <n v="2000"/>
    <n v="437.59"/>
    <n v="0"/>
    <n v="1562.41"/>
    <n v="0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0105 Telecomunicaciones"/>
    <s v="G/530105/1IA101"/>
    <s v="001"/>
    <n v="20000"/>
    <n v="0"/>
    <n v="0"/>
    <n v="20000"/>
    <n v="0"/>
    <n v="20000"/>
    <n v="10847.05"/>
    <n v="0"/>
    <n v="9152.9500000000007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105 Telecomunicaciones"/>
    <s v="G/530105/1BA101"/>
    <s v="001"/>
    <n v="0"/>
    <n v="0"/>
    <n v="10.130000000000001"/>
    <n v="10.130000000000001"/>
    <n v="0"/>
    <n v="0"/>
    <n v="0"/>
    <n v="10.130000000000001"/>
    <n v="10.130000000000001"/>
    <n v="10.130000000000001"/>
  </r>
  <r>
    <s v="53"/>
    <x v="0"/>
    <x v="0"/>
    <s v="ZA01A000"/>
    <x v="3"/>
    <s v="A101"/>
    <s v="FORTALECIMIENTO INSTITUCIONAL"/>
    <s v="GC00A10100001D"/>
    <s v="GC00A10100001D GASTOS ADMINISTRATIVOS"/>
    <s v="53 BIENES Y SERVICIOS DE CONSUMO"/>
    <s v="530105 Telecomunicaciones"/>
    <s v="G/530105/1AA101"/>
    <s v="002"/>
    <n v="1700"/>
    <n v="0"/>
    <n v="-1700"/>
    <n v="0"/>
    <n v="0"/>
    <n v="0"/>
    <n v="0"/>
    <n v="0"/>
    <n v="0"/>
    <n v="0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105 Telecomunicaciones"/>
    <s v="G/530105/1FA101"/>
    <s v="001"/>
    <n v="10000"/>
    <n v="-5500"/>
    <n v="0"/>
    <n v="4500"/>
    <n v="0"/>
    <n v="4500"/>
    <n v="4064.79"/>
    <n v="0"/>
    <n v="435.21"/>
    <n v="0"/>
  </r>
  <r>
    <s v="53"/>
    <x v="2"/>
    <x v="7"/>
    <s v="ZS03F030"/>
    <x v="45"/>
    <s v="A101"/>
    <s v="FORTALECIMIENTO INSTITUCIONAL"/>
    <s v="GC00A10100001D"/>
    <s v="GC00A10100001D GASTOS ADMINISTRATIVOS"/>
    <s v="53 BIENES Y SERVICIOS DE CONSUMO"/>
    <s v="530105 Telecomunicaciones"/>
    <s v="G/530105/1FA101"/>
    <s v="001"/>
    <n v="3700"/>
    <n v="0"/>
    <n v="0"/>
    <n v="3700"/>
    <n v="0"/>
    <n v="3700"/>
    <n v="1924.46"/>
    <n v="0"/>
    <n v="1775.54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105 Telecomunicaciones"/>
    <s v="G/530105/1AA101"/>
    <s v="001"/>
    <n v="0"/>
    <n v="45000"/>
    <n v="2058.15"/>
    <n v="47058.15"/>
    <n v="0"/>
    <n v="45000"/>
    <n v="15067.64"/>
    <n v="2058.15"/>
    <n v="31990.51"/>
    <n v="2058.15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0105 Telecomunicaciones"/>
    <s v="G/530105/1IA101"/>
    <s v="001"/>
    <n v="5000"/>
    <n v="1000"/>
    <n v="0"/>
    <n v="6000"/>
    <n v="108"/>
    <n v="5892"/>
    <n v="4654.37"/>
    <n v="108"/>
    <n v="1345.63"/>
    <n v="0"/>
  </r>
  <r>
    <s v="53"/>
    <x v="2"/>
    <x v="7"/>
    <s v="ZD07F070"/>
    <x v="43"/>
    <s v="A101"/>
    <s v="FORTALECIMIENTO INSTITUCIONAL"/>
    <s v="GC00A10100001D"/>
    <s v="GC00A10100001D GASTOS ADMINISTRATIVOS"/>
    <s v="53 BIENES Y SERVICIOS DE CONSUMO"/>
    <s v="530105 Telecomunicaciones"/>
    <s v="G/530105/1FA101"/>
    <s v="001"/>
    <n v="8500"/>
    <n v="-300"/>
    <n v="-5000"/>
    <n v="3200"/>
    <n v="0"/>
    <n v="2434.09"/>
    <n v="2184.09"/>
    <n v="765.91"/>
    <n v="1015.91"/>
    <n v="765.91"/>
  </r>
  <r>
    <s v="53"/>
    <x v="2"/>
    <x v="7"/>
    <s v="ZC09F090"/>
    <x v="10"/>
    <s v="A101"/>
    <s v="FORTALECIMIENTO INSTITUCIONAL"/>
    <s v="GC00A10100001D"/>
    <s v="GC00A10100001D GASTOS ADMINISTRATIVOS"/>
    <s v="53 BIENES Y SERVICIOS DE CONSUMO"/>
    <s v="530105 Telecomunicaciones"/>
    <s v="G/530105/1FA101"/>
    <s v="001"/>
    <n v="4000"/>
    <n v="0"/>
    <n v="-1500"/>
    <n v="2500"/>
    <n v="0"/>
    <n v="2500"/>
    <n v="1032.42"/>
    <n v="0"/>
    <n v="1467.58"/>
    <n v="0"/>
  </r>
  <r>
    <s v="53"/>
    <x v="0"/>
    <x v="0"/>
    <s v="ZA01A009"/>
    <x v="1"/>
    <s v="A101"/>
    <s v="FORTALECIMIENTO INSTITUCIONAL"/>
    <s v="GC00A10100001D"/>
    <s v="GC00A10100001D GASTOS ADMINISTRATIVOS"/>
    <s v="53 BIENES Y SERVICIOS DE CONSUMO"/>
    <s v="530105 Telecomunicaciones"/>
    <s v="G/530105/1AA101"/>
    <s v="002"/>
    <n v="12285.16"/>
    <n v="0"/>
    <n v="-12285.16"/>
    <n v="0"/>
    <n v="0"/>
    <n v="0"/>
    <n v="0"/>
    <n v="0"/>
    <n v="0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105 Telecomunicaciones"/>
    <s v="G/530105/1BA101"/>
    <s v="002"/>
    <n v="5000"/>
    <n v="658.56"/>
    <n v="-10.130000000000001"/>
    <n v="5648.43"/>
    <n v="778.72"/>
    <n v="4869.71"/>
    <n v="3586.16"/>
    <n v="778.72"/>
    <n v="2062.27"/>
    <n v="0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105 Telecomunicaciones"/>
    <s v="G/530105/1PA101"/>
    <s v="001"/>
    <n v="10600"/>
    <n v="-1688"/>
    <n v="0"/>
    <n v="8912"/>
    <n v="0"/>
    <n v="8912"/>
    <n v="6520.04"/>
    <n v="0"/>
    <n v="2391.96"/>
    <n v="0"/>
  </r>
  <r>
    <s v="53"/>
    <x v="1"/>
    <x v="2"/>
    <s v="UN31M010"/>
    <x v="15"/>
    <s v="A101"/>
    <s v="FORTALECIMIENTO INSTITUCIONAL"/>
    <s v="GC00A10100001D"/>
    <s v="GC00A10100001D GASTOS ADMINISTRATIVOS"/>
    <s v="53 BIENES Y SERVICIOS DE CONSUMO"/>
    <s v="530105 Telecomunicaciones"/>
    <s v="G/530105/1MA101"/>
    <s v="001"/>
    <n v="6000"/>
    <n v="0"/>
    <n v="0"/>
    <n v="6000"/>
    <n v="0"/>
    <n v="6000"/>
    <n v="4485.03"/>
    <n v="0"/>
    <n v="1514.97"/>
    <n v="0"/>
  </r>
  <r>
    <s v="53"/>
    <x v="1"/>
    <x v="2"/>
    <s v="UC32M020"/>
    <x v="33"/>
    <s v="A101"/>
    <s v="FORTALECIMIENTO INSTITUCIONAL"/>
    <s v="GC00A10100001D"/>
    <s v="GC00A10100001D GASTOS ADMINISTRATIVOS"/>
    <s v="53 BIENES Y SERVICIOS DE CONSUMO"/>
    <s v="530105 Telecomunicaciones"/>
    <s v="G/530105/1MA101"/>
    <s v="001"/>
    <n v="4000"/>
    <n v="0"/>
    <n v="0"/>
    <n v="4000"/>
    <n v="0"/>
    <n v="4000"/>
    <n v="3374.82"/>
    <n v="0"/>
    <n v="625.17999999999995"/>
    <n v="0"/>
  </r>
  <r>
    <s v="53"/>
    <x v="2"/>
    <x v="7"/>
    <s v="TM68F100"/>
    <x v="36"/>
    <s v="A101"/>
    <s v="FORTALECIMIENTO INSTITUCIONAL"/>
    <s v="GC00A10100001D"/>
    <s v="GC00A10100001D GASTOS ADMINISTRATIVOS"/>
    <s v="53 BIENES Y SERVICIOS DE CONSUMO"/>
    <s v="530105 Telecomunicaciones"/>
    <s v="G/530105/1FA101"/>
    <s v="001"/>
    <n v="250"/>
    <n v="-152.91"/>
    <n v="0"/>
    <n v="97.09"/>
    <n v="0"/>
    <n v="97.09"/>
    <n v="88.11"/>
    <n v="0"/>
    <n v="8.98"/>
    <n v="0"/>
  </r>
  <r>
    <s v="53"/>
    <x v="1"/>
    <x v="10"/>
    <s v="SF43I080"/>
    <x v="34"/>
    <s v="A101"/>
    <s v="FORTALECIMIENTO INSTITUCIONAL"/>
    <s v="GC00A10100001D"/>
    <s v="GC00A10100001D GASTOS ADMINISTRATIVOS"/>
    <s v="53 BIENES Y SERVICIOS DE CONSUMO"/>
    <s v="530105 Telecomunicaciones"/>
    <s v="G/530105/1IA101"/>
    <s v="001"/>
    <n v="700"/>
    <n v="0"/>
    <n v="-159.9"/>
    <n v="540.1"/>
    <n v="0"/>
    <n v="540.1"/>
    <n v="441.82"/>
    <n v="0"/>
    <n v="98.28"/>
    <n v="0"/>
  </r>
  <r>
    <s v="53"/>
    <x v="2"/>
    <x v="7"/>
    <s v="ZT06F060"/>
    <x v="40"/>
    <s v="A101"/>
    <s v="FORTALECIMIENTO INSTITUCIONAL"/>
    <s v="GC00A10100001D"/>
    <s v="GC00A10100001D GASTOS ADMINISTRATIVOS"/>
    <s v="53 BIENES Y SERVICIOS DE CONSUMO"/>
    <s v="530105 Telecomunicaciones"/>
    <s v="G/530105/1FA101"/>
    <s v="001"/>
    <n v="6000"/>
    <n v="0"/>
    <n v="0"/>
    <n v="6000"/>
    <n v="0"/>
    <n v="6000"/>
    <n v="3082.79"/>
    <n v="0"/>
    <n v="2917.21"/>
    <n v="0"/>
  </r>
  <r>
    <s v="53"/>
    <x v="1"/>
    <x v="10"/>
    <s v="OL41I060"/>
    <x v="29"/>
    <s v="A101"/>
    <s v="FORTALECIMIENTO INSTITUCIONAL"/>
    <s v="GC00A10100001D"/>
    <s v="GC00A10100001D GASTOS ADMINISTRATIVOS"/>
    <s v="53 BIENES Y SERVICIOS DE CONSUMO"/>
    <s v="530105 Telecomunicaciones"/>
    <s v="G/530105/1IA101"/>
    <s v="001"/>
    <n v="500"/>
    <n v="0"/>
    <n v="0"/>
    <n v="500"/>
    <n v="0"/>
    <n v="500"/>
    <n v="355.16"/>
    <n v="0"/>
    <n v="144.84"/>
    <n v="0"/>
  </r>
  <r>
    <s v="53"/>
    <x v="0"/>
    <x v="0"/>
    <s v="ZA01A000"/>
    <x v="3"/>
    <s v="A101"/>
    <s v="FORTALECIMIENTO INSTITUCIONAL"/>
    <s v="GC00A10100001D"/>
    <s v="GC00A10100001D GASTOS ADMINISTRATIVOS"/>
    <s v="53 BIENES Y SERVICIOS DE CONSUMO"/>
    <s v="530105 Telecomunicaciones"/>
    <s v="G/530105/1AA101"/>
    <s v="001"/>
    <n v="0"/>
    <n v="0"/>
    <n v="1700"/>
    <n v="1700"/>
    <n v="0"/>
    <n v="0"/>
    <n v="0"/>
    <n v="1700"/>
    <n v="1700"/>
    <n v="1700"/>
  </r>
  <r>
    <s v="53"/>
    <x v="2"/>
    <x v="9"/>
    <s v="PM71N010"/>
    <x v="20"/>
    <s v="A101"/>
    <s v="FORTALECIMIENTO INSTITUCIONAL"/>
    <s v="GC00A10100001D"/>
    <s v="GC00A10100001D GASTOS ADMINISTRATIVOS"/>
    <s v="53 BIENES Y SERVICIOS DE CONSUMO"/>
    <s v="530105 Telecomunicaciones"/>
    <s v="G/530105/1NA101"/>
    <s v="001"/>
    <n v="20000"/>
    <n v="0"/>
    <n v="0"/>
    <n v="20000"/>
    <n v="0"/>
    <n v="20000"/>
    <n v="17083.3"/>
    <n v="0"/>
    <n v="2916.7"/>
    <n v="0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0105 Telecomunicaciones"/>
    <s v="G/530105/1IA101"/>
    <s v="001"/>
    <n v="500"/>
    <n v="0"/>
    <n v="0"/>
    <n v="500"/>
    <n v="0"/>
    <n v="500"/>
    <n v="457.2"/>
    <n v="0"/>
    <n v="42.8"/>
    <n v="0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0105 Telecomunicaciones"/>
    <s v="G/530105/1MA101"/>
    <s v="001"/>
    <n v="18000"/>
    <n v="-9000"/>
    <n v="0"/>
    <n v="9000"/>
    <n v="0"/>
    <n v="6273.79"/>
    <n v="5761.76"/>
    <n v="2726.21"/>
    <n v="3238.24"/>
    <n v="2726.21"/>
  </r>
  <r>
    <s v="53"/>
    <x v="1"/>
    <x v="10"/>
    <s v="EE11I010"/>
    <x v="37"/>
    <s v="A101"/>
    <s v="FORTALECIMIENTO INSTITUCIONAL"/>
    <s v="GC00A10100001D"/>
    <s v="GC00A10100001D GASTOS ADMINISTRATIVOS"/>
    <s v="53 BIENES Y SERVICIOS DE CONSUMO"/>
    <s v="530105 Telecomunicaciones"/>
    <s v="G/530105/1IA101"/>
    <s v="001"/>
    <n v="1400"/>
    <n v="0"/>
    <n v="0"/>
    <n v="1400"/>
    <n v="0"/>
    <n v="1400"/>
    <n v="945.39"/>
    <n v="0"/>
    <n v="454.61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106  Servicio de Correo"/>
    <s v="G/530106/1BA101"/>
    <s v="001"/>
    <n v="0"/>
    <n v="0"/>
    <n v="302.08"/>
    <n v="302.08"/>
    <n v="0"/>
    <n v="0"/>
    <n v="0"/>
    <n v="302.08"/>
    <n v="302.08"/>
    <n v="302.08"/>
  </r>
  <r>
    <s v="53"/>
    <x v="2"/>
    <x v="13"/>
    <s v="ZA01D000"/>
    <x v="22"/>
    <s v="A101"/>
    <s v="FORTALECIMIENTO INSTITUCIONAL"/>
    <s v="GC00A10100001D"/>
    <s v="GC00A10100001D GASTOS ADMINISTRATIVOS"/>
    <s v="53 BIENES Y SERVICIOS DE CONSUMO"/>
    <s v="530106  Servicio de Correo"/>
    <s v="G/530106/1DA101"/>
    <s v="001"/>
    <n v="46000"/>
    <n v="0"/>
    <n v="0"/>
    <n v="46000"/>
    <n v="0"/>
    <n v="11584"/>
    <n v="3920"/>
    <n v="34416"/>
    <n v="42080"/>
    <n v="34416"/>
  </r>
  <r>
    <s v="53"/>
    <x v="0"/>
    <x v="1"/>
    <s v="ZA01C002"/>
    <x v="11"/>
    <s v="A101"/>
    <s v="FORTALECIMIENTO INSTITUCIONAL"/>
    <s v="GC00A10100001D"/>
    <s v="GC00A10100001D GASTOS ADMINISTRATIVOS"/>
    <s v="53 BIENES Y SERVICIOS DE CONSUMO"/>
    <s v="530106  Servicio de Correo"/>
    <s v="G/530106/1CA101"/>
    <s v="002"/>
    <n v="100"/>
    <n v="0"/>
    <n v="-100"/>
    <n v="0"/>
    <n v="0"/>
    <n v="0"/>
    <n v="0"/>
    <n v="0"/>
    <n v="0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106  Servicio de Correo"/>
    <s v="G/530106/1AA101"/>
    <s v="002"/>
    <n v="100000"/>
    <n v="-28930.55"/>
    <n v="0"/>
    <n v="71069.45"/>
    <n v="35192.68"/>
    <n v="35876.769999999997"/>
    <n v="6377.46"/>
    <n v="35192.68"/>
    <n v="64691.99"/>
    <n v="0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106  Servicio de Correo"/>
    <s v="G/530106/1FA101"/>
    <s v="001"/>
    <n v="25"/>
    <n v="0"/>
    <n v="-25"/>
    <n v="0"/>
    <n v="0"/>
    <n v="0"/>
    <n v="0"/>
    <n v="0"/>
    <n v="0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106  Servicio de Correo"/>
    <s v="G/530106/1BA101"/>
    <s v="002"/>
    <n v="273000"/>
    <n v="-45441.24"/>
    <n v="-302.08"/>
    <n v="227256.68"/>
    <n v="30000"/>
    <n v="197256.68"/>
    <n v="171966.69"/>
    <n v="30000"/>
    <n v="55289.99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106  Servicio de Correo"/>
    <s v="G/530106/1AA101"/>
    <s v="001"/>
    <n v="0"/>
    <n v="0"/>
    <n v="73.38"/>
    <n v="73.38"/>
    <n v="0"/>
    <n v="0"/>
    <n v="0"/>
    <n v="73.38"/>
    <n v="73.38"/>
    <n v="73.38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0106  Servicio de Correo"/>
    <s v="G/530106/1IA101"/>
    <s v="001"/>
    <n v="1000"/>
    <n v="0"/>
    <n v="0"/>
    <n v="1000"/>
    <n v="0"/>
    <n v="0"/>
    <n v="0"/>
    <n v="1000"/>
    <n v="1000"/>
    <n v="1000"/>
  </r>
  <r>
    <s v="53"/>
    <x v="2"/>
    <x v="7"/>
    <s v="ZQ08F080"/>
    <x v="44"/>
    <s v="A101"/>
    <s v="FORTALECIMIENTO INSTITUCIONAL"/>
    <s v="GC00A10100001D"/>
    <s v="GC00A10100001D GASTOS ADMINISTRATIVOS"/>
    <s v="53 BIENES Y SERVICIOS DE CONSUMO"/>
    <s v="530106  Servicio de Correo"/>
    <s v="G/530106/1FA101"/>
    <s v="001"/>
    <n v="5800"/>
    <n v="-594.24"/>
    <n v="0"/>
    <n v="5205.76"/>
    <n v="151.69"/>
    <n v="3232.07"/>
    <n v="2407.67"/>
    <n v="1973.69"/>
    <n v="2798.09"/>
    <n v="1822"/>
  </r>
  <r>
    <s v="53"/>
    <x v="2"/>
    <x v="3"/>
    <s v="AT69K040"/>
    <x v="16"/>
    <s v="A101"/>
    <s v="FORTALECIMIENTO INSTITUCIONAL"/>
    <s v="GC00A10100001D"/>
    <s v="GC00A10100001D GASTOS ADMINISTRATIVOS"/>
    <s v="53 BIENES Y SERVICIOS DE CONSUMO"/>
    <s v="530106  Servicio de Correo"/>
    <s v="G/530106/1KA101"/>
    <s v="001"/>
    <n v="0"/>
    <n v="516550.44"/>
    <n v="-164332.39000000001"/>
    <n v="352218.05"/>
    <n v="82279.58"/>
    <n v="146589.17000000001"/>
    <n v="146489.17000000001"/>
    <n v="205628.88"/>
    <n v="205728.88"/>
    <n v="123349.3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106  Servicio de Correo"/>
    <s v="G/530106/1AA101"/>
    <s v="002"/>
    <n v="500"/>
    <n v="-320"/>
    <n v="-73.38"/>
    <n v="106.62"/>
    <n v="0"/>
    <n v="106.62"/>
    <n v="106.61"/>
    <n v="0"/>
    <n v="0.01"/>
    <n v="0"/>
  </r>
  <r>
    <s v="53"/>
    <x v="0"/>
    <x v="1"/>
    <s v="ZA01C002"/>
    <x v="11"/>
    <s v="A101"/>
    <s v="FORTALECIMIENTO INSTITUCIONAL"/>
    <s v="GC00A10100001D"/>
    <s v="GC00A10100001D GASTOS ADMINISTRATIVOS"/>
    <s v="53 BIENES Y SERVICIOS DE CONSUMO"/>
    <s v="530106  Servicio de Correo"/>
    <s v="G/530106/1CA101"/>
    <s v="001"/>
    <n v="0"/>
    <n v="0"/>
    <n v="100"/>
    <n v="100"/>
    <n v="0"/>
    <n v="0"/>
    <n v="0"/>
    <n v="100"/>
    <n v="100"/>
    <n v="100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106  Servicio de Correo"/>
    <s v="G/530106/1FA101"/>
    <s v="001"/>
    <n v="0"/>
    <n v="1260"/>
    <n v="0"/>
    <n v="1260"/>
    <n v="168"/>
    <n v="1092"/>
    <n v="0"/>
    <n v="168"/>
    <n v="1260"/>
    <n v="0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201 Transporte de Personal"/>
    <s v="G/530201/1FA101"/>
    <s v="001"/>
    <n v="95000"/>
    <n v="-8500"/>
    <n v="-3363.37"/>
    <n v="83136.63"/>
    <n v="0"/>
    <n v="83136.63"/>
    <n v="37878.639999999999"/>
    <n v="0"/>
    <n v="45257.99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201 Transporte de Personal"/>
    <s v="G/530201/1AA101"/>
    <s v="001"/>
    <n v="0"/>
    <n v="0"/>
    <n v="11253.15"/>
    <n v="11253.15"/>
    <n v="0"/>
    <n v="0"/>
    <n v="0"/>
    <n v="11253.15"/>
    <n v="11253.15"/>
    <n v="11253.15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201 Transporte de Personal"/>
    <s v="G/530201/1AA101"/>
    <s v="001"/>
    <n v="0"/>
    <n v="0"/>
    <n v="504.43"/>
    <n v="504.43"/>
    <n v="0"/>
    <n v="21.25"/>
    <n v="0"/>
    <n v="483.18"/>
    <n v="504.43"/>
    <n v="483.18"/>
  </r>
  <r>
    <s v="53"/>
    <x v="2"/>
    <x v="7"/>
    <s v="ZC09F090"/>
    <x v="10"/>
    <s v="A101"/>
    <s v="FORTALECIMIENTO INSTITUCIONAL"/>
    <s v="GC00A10100001D"/>
    <s v="GC00A10100001D GASTOS ADMINISTRATIVOS"/>
    <s v="53 BIENES Y SERVICIOS DE CONSUMO"/>
    <s v="530201 Transporte de Personal"/>
    <s v="G/530201/1FA101"/>
    <s v="001"/>
    <n v="39000"/>
    <n v="-8257.2000000000007"/>
    <n v="-10000"/>
    <n v="20742.8"/>
    <n v="0"/>
    <n v="18990"/>
    <n v="4897.82"/>
    <n v="1752.8"/>
    <n v="15844.98"/>
    <n v="1752.8"/>
  </r>
  <r>
    <s v="53"/>
    <x v="2"/>
    <x v="7"/>
    <s v="TM68F100"/>
    <x v="36"/>
    <s v="A101"/>
    <s v="FORTALECIMIENTO INSTITUCIONAL"/>
    <s v="GC00A10100001D"/>
    <s v="GC00A10100001D GASTOS ADMINISTRATIVOS"/>
    <s v="53 BIENES Y SERVICIOS DE CONSUMO"/>
    <s v="530201 Transporte de Personal"/>
    <s v="G/530201/1FA101"/>
    <s v="001"/>
    <n v="24200"/>
    <n v="-15128.75"/>
    <n v="0"/>
    <n v="9071.25"/>
    <n v="0"/>
    <n v="9071.25"/>
    <n v="6879.58"/>
    <n v="0"/>
    <n v="2191.67"/>
    <n v="0"/>
  </r>
  <r>
    <s v="53"/>
    <x v="2"/>
    <x v="7"/>
    <s v="ZT06F060"/>
    <x v="40"/>
    <s v="A101"/>
    <s v="FORTALECIMIENTO INSTITUCIONAL"/>
    <s v="GC00A10100001D"/>
    <s v="GC00A10100001D GASTOS ADMINISTRATIVOS"/>
    <s v="53 BIENES Y SERVICIOS DE CONSUMO"/>
    <s v="530201 Transporte de Personal"/>
    <s v="G/530201/1FA101"/>
    <s v="001"/>
    <n v="60000"/>
    <n v="-23000"/>
    <n v="0"/>
    <n v="37000"/>
    <n v="0"/>
    <n v="37000"/>
    <n v="7099.68"/>
    <n v="0"/>
    <n v="29900.32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201 Transporte de Personal"/>
    <s v="G/530201/1AA101"/>
    <s v="002"/>
    <n v="81500"/>
    <n v="-2950.45"/>
    <n v="-504.43"/>
    <n v="78045.119999999995"/>
    <n v="2250"/>
    <n v="75795.12"/>
    <n v="46113.51"/>
    <n v="2250"/>
    <n v="31931.61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201 Transporte de Personal"/>
    <s v="G/530201/1BA101"/>
    <s v="002"/>
    <n v="59900"/>
    <n v="-11747.09"/>
    <n v="0"/>
    <n v="48152.91"/>
    <n v="0"/>
    <n v="48152.91"/>
    <n v="34588.71"/>
    <n v="0"/>
    <n v="13564.2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201 Transporte de Personal"/>
    <s v="G/530201/1AA101"/>
    <s v="002"/>
    <n v="400000"/>
    <n v="0"/>
    <n v="-156457.65"/>
    <n v="243542.35"/>
    <n v="4030"/>
    <n v="239512.35"/>
    <n v="126517.84"/>
    <n v="4030"/>
    <n v="117024.51"/>
    <n v="0"/>
  </r>
  <r>
    <s v="53"/>
    <x v="1"/>
    <x v="2"/>
    <s v="UN31M010"/>
    <x v="15"/>
    <s v="A101"/>
    <s v="FORTALECIMIENTO INSTITUCIONAL"/>
    <s v="GC00A10100001D"/>
    <s v="GC00A10100001D GASTOS ADMINISTRATIVOS"/>
    <s v="53 BIENES Y SERVICIOS DE CONSUMO"/>
    <s v="530201 Transporte de Personal"/>
    <s v="G/530201/1MA101"/>
    <s v="001"/>
    <n v="30000"/>
    <n v="0"/>
    <n v="-727.68"/>
    <n v="29272.32"/>
    <n v="0"/>
    <n v="20648.72"/>
    <n v="17316.060000000001"/>
    <n v="8623.6"/>
    <n v="11956.26"/>
    <n v="8623.6"/>
  </r>
  <r>
    <s v="53"/>
    <x v="2"/>
    <x v="7"/>
    <s v="ZS03F030"/>
    <x v="45"/>
    <s v="A101"/>
    <s v="FORTALECIMIENTO INSTITUCIONAL"/>
    <s v="GC00A10100001D"/>
    <s v="GC00A10100001D GASTOS ADMINISTRATIVOS"/>
    <s v="53 BIENES Y SERVICIOS DE CONSUMO"/>
    <s v="530201 Transporte de Personal"/>
    <s v="G/530201/1FA101"/>
    <s v="001"/>
    <n v="33000"/>
    <n v="0"/>
    <n v="0"/>
    <n v="33000"/>
    <n v="404.62"/>
    <n v="28490"/>
    <n v="5753.85"/>
    <n v="4510"/>
    <n v="27246.15"/>
    <n v="4105.38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0201 Transporte de Personal"/>
    <s v="G/530201/1MA101"/>
    <s v="001"/>
    <n v="70000"/>
    <n v="-40980"/>
    <n v="0"/>
    <n v="29020"/>
    <n v="0"/>
    <n v="11220"/>
    <n v="10336.81"/>
    <n v="17800"/>
    <n v="18683.189999999999"/>
    <n v="17800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201 Transporte de Personal"/>
    <s v="G/530201/1FA101"/>
    <s v="001"/>
    <n v="65000"/>
    <n v="-15504"/>
    <n v="-22943.47"/>
    <n v="26552.53"/>
    <n v="0"/>
    <n v="26552.53"/>
    <n v="18209.43"/>
    <n v="0"/>
    <n v="8343.1"/>
    <n v="0"/>
  </r>
  <r>
    <s v="53"/>
    <x v="2"/>
    <x v="7"/>
    <s v="ZQ08F080"/>
    <x v="44"/>
    <s v="A101"/>
    <s v="FORTALECIMIENTO INSTITUCIONAL"/>
    <s v="GC00A10100001D"/>
    <s v="GC00A10100001D GASTOS ADMINISTRATIVOS"/>
    <s v="53 BIENES Y SERVICIOS DE CONSUMO"/>
    <s v="530201 Transporte de Personal"/>
    <s v="G/530201/1FA101"/>
    <s v="001"/>
    <n v="53170"/>
    <n v="-11312.08"/>
    <n v="0"/>
    <n v="41857.919999999998"/>
    <n v="0"/>
    <n v="21583.94"/>
    <n v="13375.38"/>
    <n v="20273.98"/>
    <n v="28482.54"/>
    <n v="20273.98"/>
  </r>
  <r>
    <s v="53"/>
    <x v="2"/>
    <x v="7"/>
    <s v="ZD07F070"/>
    <x v="43"/>
    <s v="A101"/>
    <s v="FORTALECIMIENTO INSTITUCIONAL"/>
    <s v="GC00A10100001D"/>
    <s v="GC00A10100001D GASTOS ADMINISTRATIVOS"/>
    <s v="53 BIENES Y SERVICIOS DE CONSUMO"/>
    <s v="530201 Transporte de Personal"/>
    <s v="G/530201/1FA101"/>
    <s v="001"/>
    <n v="31800"/>
    <n v="-4300"/>
    <n v="0"/>
    <n v="27500"/>
    <n v="0"/>
    <n v="27500"/>
    <n v="20000"/>
    <n v="0"/>
    <n v="7500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202 Fletes y Maniobras"/>
    <s v="G/530202/1BA101"/>
    <s v="002"/>
    <n v="4370"/>
    <n v="3568"/>
    <n v="0"/>
    <n v="7938"/>
    <n v="0"/>
    <n v="7938"/>
    <n v="4670.3999999999996"/>
    <n v="0"/>
    <n v="3267.6"/>
    <n v="0"/>
  </r>
  <r>
    <s v="53"/>
    <x v="2"/>
    <x v="9"/>
    <s v="PM71N010"/>
    <x v="20"/>
    <s v="A101"/>
    <s v="FORTALECIMIENTO INSTITUCIONAL"/>
    <s v="GC00A10100001D"/>
    <s v="GC00A10100001D GASTOS ADMINISTRATIVOS"/>
    <s v="53 BIENES Y SERVICIOS DE CONSUMO"/>
    <s v="530202 Fletes y Maniobras"/>
    <s v="G/530202/1NA101"/>
    <s v="001"/>
    <n v="500"/>
    <n v="678"/>
    <n v="0"/>
    <n v="1178"/>
    <n v="0"/>
    <n v="111.38"/>
    <n v="111.38"/>
    <n v="1066.6199999999999"/>
    <n v="1066.6199999999999"/>
    <n v="1066.6199999999999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202 Fletes y Maniobras"/>
    <s v="G/530202/1AA101"/>
    <s v="002"/>
    <n v="1000"/>
    <n v="0"/>
    <n v="0"/>
    <n v="1000"/>
    <n v="0"/>
    <n v="1000"/>
    <n v="0"/>
    <n v="0"/>
    <n v="1000"/>
    <n v="0"/>
  </r>
  <r>
    <s v="53"/>
    <x v="1"/>
    <x v="10"/>
    <s v="CF22I050"/>
    <x v="38"/>
    <s v="A101"/>
    <s v="FORTALECIMIENTO INSTITUCIONAL"/>
    <s v="GC00A10100001D"/>
    <s v="GC00A10100001D GASTOS ADMINISTRATIVOS"/>
    <s v="53 BIENES Y SERVICIOS DE CONSUMO"/>
    <s v="530202 Fletes y Maniobras"/>
    <s v="G/530202/1IA101"/>
    <s v="001"/>
    <n v="180"/>
    <n v="0"/>
    <n v="-120"/>
    <n v="60"/>
    <n v="0"/>
    <n v="60"/>
    <n v="60"/>
    <n v="0"/>
    <n v="0"/>
    <n v="0"/>
  </r>
  <r>
    <s v="53"/>
    <x v="1"/>
    <x v="10"/>
    <s v="JM40I070"/>
    <x v="27"/>
    <s v="A101"/>
    <s v="FORTALECIMIENTO INSTITUCIONAL"/>
    <s v="GC00A10100001D"/>
    <s v="GC00A10100001D GASTOS ADMINISTRATIVOS"/>
    <s v="53 BIENES Y SERVICIOS DE CONSUMO"/>
    <s v="530203 Almacenamiento, Embalaje, Desembalaje, Enva"/>
    <s v="G/530203/1IA101"/>
    <s v="001"/>
    <n v="1120"/>
    <n v="0"/>
    <n v="0"/>
    <n v="1120"/>
    <n v="0"/>
    <n v="492.8"/>
    <n v="0"/>
    <n v="627.20000000000005"/>
    <n v="1120"/>
    <n v="627.20000000000005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203 Almacenamiento, Embalaje, Desembalaje, Enva"/>
    <s v="G/530203/1FA101"/>
    <s v="001"/>
    <n v="0"/>
    <n v="1344"/>
    <n v="0"/>
    <n v="1344"/>
    <n v="168"/>
    <n v="1052.8"/>
    <n v="0"/>
    <n v="291.2"/>
    <n v="1344"/>
    <n v="123.2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203 Almacenamiento, Embalaje, Desembalaje, Enva"/>
    <s v="G/530203/1AA101"/>
    <s v="002"/>
    <n v="8000"/>
    <n v="0"/>
    <n v="0"/>
    <n v="8000"/>
    <n v="2510.48"/>
    <n v="5489.52"/>
    <n v="4489.5200000000004"/>
    <n v="2510.48"/>
    <n v="3510.48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203 Almacenamiento, Embalaje, Desembalaje, Enva"/>
    <s v="G/530203/1AA101"/>
    <s v="001"/>
    <n v="0"/>
    <n v="0"/>
    <n v="600"/>
    <n v="600"/>
    <n v="0"/>
    <n v="0"/>
    <n v="0"/>
    <n v="600"/>
    <n v="600"/>
    <n v="600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0203 Almacenamiento, Embalaje, Desembalaje, Enva"/>
    <s v="G/530203/1MA101"/>
    <s v="001"/>
    <n v="3000"/>
    <n v="-1400"/>
    <n v="0"/>
    <n v="1600"/>
    <n v="0"/>
    <n v="972.16"/>
    <n v="0"/>
    <n v="627.84"/>
    <n v="1600"/>
    <n v="627.84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0203 Almacenamiento, Embalaje, Desembalaje, Enva"/>
    <s v="G/530203/1IA101"/>
    <s v="001"/>
    <n v="800"/>
    <n v="0"/>
    <n v="0"/>
    <n v="800"/>
    <n v="1.8"/>
    <n v="543.20000000000005"/>
    <n v="0"/>
    <n v="256.8"/>
    <n v="800"/>
    <n v="255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203 Almacenamiento, Embalaje, Desembalaje, Enva"/>
    <s v="G/530203/1AA101"/>
    <s v="002"/>
    <n v="0"/>
    <n v="600"/>
    <n v="-600"/>
    <n v="0"/>
    <n v="0"/>
    <n v="0"/>
    <n v="0"/>
    <n v="0"/>
    <n v="0"/>
    <n v="0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0203 Almacenamiento, Embalaje, Desembalaje, Enva"/>
    <s v="G/530203/1IA101"/>
    <s v="001"/>
    <n v="2000"/>
    <n v="0"/>
    <n v="0"/>
    <n v="2000"/>
    <n v="0"/>
    <n v="1973.44"/>
    <n v="0"/>
    <n v="26.56"/>
    <n v="2000"/>
    <n v="26.56"/>
  </r>
  <r>
    <s v="53"/>
    <x v="2"/>
    <x v="7"/>
    <s v="ZM04F040"/>
    <x v="41"/>
    <s v="A101"/>
    <s v="FORTALECIMIENTO INSTITUCIONAL"/>
    <s v="GC00A10100001D"/>
    <s v="GC00A10100001D GASTOS ADMINISTRATIVOS"/>
    <s v="53 BIENES Y SERVICIOS DE CONSUMO"/>
    <s v="530203 Almacenamiento, Embalaje, Desembalaje, Enva"/>
    <s v="G/530203/1FA101"/>
    <s v="001"/>
    <n v="0"/>
    <n v="2000"/>
    <n v="0"/>
    <n v="2000"/>
    <n v="358.96"/>
    <n v="725.2"/>
    <n v="0"/>
    <n v="1274.8"/>
    <n v="2000"/>
    <n v="915.84"/>
  </r>
  <r>
    <s v="53"/>
    <x v="2"/>
    <x v="7"/>
    <s v="ZD07F070"/>
    <x v="43"/>
    <s v="A101"/>
    <s v="FORTALECIMIENTO INSTITUCIONAL"/>
    <s v="GC00A10100001D"/>
    <s v="GC00A10100001D GASTOS ADMINISTRATIVOS"/>
    <s v="53 BIENES Y SERVICIOS DE CONSUMO"/>
    <s v="530203 Almacenamiento, Embalaje, Desembalaje, Enva"/>
    <s v="G/530203/1FA101"/>
    <s v="001"/>
    <n v="0"/>
    <n v="500"/>
    <n v="0"/>
    <n v="500"/>
    <n v="0"/>
    <n v="0"/>
    <n v="0"/>
    <n v="500"/>
    <n v="500"/>
    <n v="500"/>
  </r>
  <r>
    <s v="53"/>
    <x v="2"/>
    <x v="13"/>
    <s v="ZA01D000"/>
    <x v="22"/>
    <s v="A101"/>
    <s v="FORTALECIMIENTO INSTITUCIONAL"/>
    <s v="GC00A10100001D"/>
    <s v="GC00A10100001D GASTOS ADMINISTRATIVOS"/>
    <s v="53 BIENES Y SERVICIOS DE CONSUMO"/>
    <s v="530203 Almacenamiento, Embalaje, Desembalaje, Enva"/>
    <s v="G/530203/1DA101"/>
    <s v="001"/>
    <n v="19000"/>
    <n v="-10000"/>
    <n v="0"/>
    <n v="9000"/>
    <n v="9000"/>
    <n v="0"/>
    <n v="0"/>
    <n v="9000"/>
    <n v="9000"/>
    <n v="0"/>
  </r>
  <r>
    <s v="53"/>
    <x v="1"/>
    <x v="2"/>
    <s v="UN31M010"/>
    <x v="15"/>
    <s v="A101"/>
    <s v="FORTALECIMIENTO INSTITUCIONAL"/>
    <s v="GC00A10100001D"/>
    <s v="GC00A10100001D GASTOS ADMINISTRATIVOS"/>
    <s v="53 BIENES Y SERVICIOS DE CONSUMO"/>
    <s v="530203 Almacenamiento, Embalaje, Desembalaje, Enva"/>
    <s v="G/530203/1MA101"/>
    <s v="001"/>
    <n v="600"/>
    <n v="2100"/>
    <n v="0"/>
    <n v="2700"/>
    <n v="0"/>
    <n v="1848.56"/>
    <n v="1848.56"/>
    <n v="851.44"/>
    <n v="851.44"/>
    <n v="851.44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203 Almacenamiento, Embalaje, Desembalaje, Enva"/>
    <s v="G/530203/1FA101"/>
    <s v="001"/>
    <n v="2000"/>
    <n v="0"/>
    <n v="0"/>
    <n v="2000"/>
    <n v="0"/>
    <n v="1919.12"/>
    <n v="0"/>
    <n v="80.88"/>
    <n v="2000"/>
    <n v="80.88"/>
  </r>
  <r>
    <s v="53"/>
    <x v="1"/>
    <x v="10"/>
    <s v="OL41I060"/>
    <x v="29"/>
    <s v="A101"/>
    <s v="FORTALECIMIENTO INSTITUCIONAL"/>
    <s v="GC00A10100001D"/>
    <s v="GC00A10100001D GASTOS ADMINISTRATIVOS"/>
    <s v="53 BIENES Y SERVICIOS DE CONSUMO"/>
    <s v="530204 Edición, Impresión, Reproducción, Public"/>
    <s v="G/530204/1IA101"/>
    <s v="001"/>
    <n v="1500"/>
    <n v="0"/>
    <n v="-1500"/>
    <n v="0"/>
    <n v="0"/>
    <n v="0"/>
    <n v="0"/>
    <n v="0"/>
    <n v="0"/>
    <n v="0"/>
  </r>
  <r>
    <s v="53"/>
    <x v="2"/>
    <x v="9"/>
    <s v="PM71N010"/>
    <x v="20"/>
    <s v="A101"/>
    <s v="FORTALECIMIENTO INSTITUCIONAL"/>
    <s v="GC00A10100001D"/>
    <s v="GC00A10100001D GASTOS ADMINISTRATIVOS"/>
    <s v="53 BIENES Y SERVICIOS DE CONSUMO"/>
    <s v="530204 Edición, Impresión, Reproducción, Public"/>
    <s v="G/530204/1NA101"/>
    <s v="001"/>
    <n v="200"/>
    <n v="0"/>
    <n v="0"/>
    <n v="200"/>
    <n v="0"/>
    <n v="200"/>
    <n v="31.19"/>
    <n v="0"/>
    <n v="168.81"/>
    <n v="0"/>
  </r>
  <r>
    <s v="53"/>
    <x v="1"/>
    <x v="10"/>
    <s v="EQ13I030"/>
    <x v="35"/>
    <s v="A101"/>
    <s v="FORTALECIMIENTO INSTITUCIONAL"/>
    <s v="GC00A10100001D"/>
    <s v="GC00A10100001D GASTOS ADMINISTRATIVOS"/>
    <s v="53 BIENES Y SERVICIOS DE CONSUMO"/>
    <s v="530204 Edición, Impresión, Reproducción, Public"/>
    <s v="G/530204/1IA101"/>
    <s v="001"/>
    <n v="2000"/>
    <n v="-2000"/>
    <n v="0"/>
    <n v="0"/>
    <n v="0"/>
    <n v="0"/>
    <n v="0"/>
    <n v="0"/>
    <n v="0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204 Edición, Impresión, Reproducción, Public"/>
    <s v="G/530204/1AA101"/>
    <s v="002"/>
    <n v="1000"/>
    <n v="5264"/>
    <n v="0"/>
    <n v="6264"/>
    <n v="964"/>
    <n v="5300"/>
    <n v="344.12"/>
    <n v="964"/>
    <n v="5919.88"/>
    <n v="0"/>
  </r>
  <r>
    <s v="53"/>
    <x v="0"/>
    <x v="0"/>
    <s v="ZA01A005"/>
    <x v="48"/>
    <s v="A101"/>
    <s v="FORTALECIMIENTO INSTITUCIONAL"/>
    <s v="GC00A10100001D"/>
    <s v="GC00A10100001D GASTOS ADMINISTRATIVOS"/>
    <s v="53 BIENES Y SERVICIOS DE CONSUMO"/>
    <s v="530204 Edición, Impresión, Reproducción, Public"/>
    <s v="G/530204/1AA101"/>
    <s v="002"/>
    <n v="12000"/>
    <n v="0"/>
    <n v="-12000"/>
    <n v="0"/>
    <n v="0"/>
    <n v="0"/>
    <n v="0"/>
    <n v="0"/>
    <n v="0"/>
    <n v="0"/>
  </r>
  <r>
    <s v="53"/>
    <x v="2"/>
    <x v="7"/>
    <s v="ZC09F090"/>
    <x v="10"/>
    <s v="A101"/>
    <s v="FORTALECIMIENTO INSTITUCIONAL"/>
    <s v="GC00A10100001D"/>
    <s v="GC00A10100001D GASTOS ADMINISTRATIVOS"/>
    <s v="53 BIENES Y SERVICIOS DE CONSUMO"/>
    <s v="530204 Edición, Impresión, Reproducción, Public"/>
    <s v="G/530204/1FA101"/>
    <s v="001"/>
    <n v="5700"/>
    <n v="0"/>
    <n v="-2000"/>
    <n v="3700"/>
    <n v="3432.93"/>
    <n v="0"/>
    <n v="0"/>
    <n v="3700"/>
    <n v="3700"/>
    <n v="267.07"/>
  </r>
  <r>
    <s v="53"/>
    <x v="2"/>
    <x v="7"/>
    <s v="ZD07F070"/>
    <x v="43"/>
    <s v="A101"/>
    <s v="FORTALECIMIENTO INSTITUCIONAL"/>
    <s v="GC00A10100001D"/>
    <s v="GC00A10100001D GASTOS ADMINISTRATIVOS"/>
    <s v="53 BIENES Y SERVICIOS DE CONSUMO"/>
    <s v="530204 Edición, Impresión, Reproducción, Public"/>
    <s v="G/530204/1FA101"/>
    <s v="001"/>
    <n v="2000"/>
    <n v="0"/>
    <n v="0"/>
    <n v="2000"/>
    <n v="0"/>
    <n v="2000"/>
    <n v="1296.99"/>
    <n v="0"/>
    <n v="703.01"/>
    <n v="0"/>
  </r>
  <r>
    <s v="53"/>
    <x v="3"/>
    <x v="6"/>
    <s v="AC67Q000"/>
    <x v="9"/>
    <s v="A101"/>
    <s v="FORTALECIMIENTO INSTITUCIONAL"/>
    <s v="GC00A10100001D"/>
    <s v="GC00A10100001D GASTOS ADMINISTRATIVOS"/>
    <s v="53 BIENES Y SERVICIOS DE CONSUMO"/>
    <s v="530204 Edición, Impresión, Reproducción, Public"/>
    <s v="G/530204/1QA101"/>
    <s v="001"/>
    <n v="1000"/>
    <n v="-817.5"/>
    <n v="0"/>
    <n v="182.5"/>
    <n v="0"/>
    <n v="182.5"/>
    <n v="0"/>
    <n v="0"/>
    <n v="182.5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204 Edición, Impresión, Reproducción, Public"/>
    <s v="G/530204/1AA101"/>
    <s v="002"/>
    <n v="0"/>
    <n v="768.73"/>
    <n v="0"/>
    <n v="768.73"/>
    <n v="718.73"/>
    <n v="50"/>
    <n v="50"/>
    <n v="718.73"/>
    <n v="718.73"/>
    <n v="0"/>
  </r>
  <r>
    <s v="53"/>
    <x v="0"/>
    <x v="0"/>
    <s v="ZA01A009"/>
    <x v="1"/>
    <s v="A101"/>
    <s v="FORTALECIMIENTO INSTITUCIONAL"/>
    <s v="GC00A10100001D"/>
    <s v="GC00A10100001D GASTOS ADMINISTRATIVOS"/>
    <s v="53 BIENES Y SERVICIOS DE CONSUMO"/>
    <s v="530204 Edición, Impresión, Reproducción, Public"/>
    <s v="G/530204/1AA101"/>
    <s v="001"/>
    <n v="0"/>
    <n v="0"/>
    <n v="5000"/>
    <n v="5000"/>
    <n v="0"/>
    <n v="0"/>
    <n v="0"/>
    <n v="5000"/>
    <n v="5000"/>
    <n v="5000"/>
  </r>
  <r>
    <s v="53"/>
    <x v="2"/>
    <x v="13"/>
    <s v="ZA01D000"/>
    <x v="22"/>
    <s v="A101"/>
    <s v="FORTALECIMIENTO INSTITUCIONAL"/>
    <s v="GC00A10100001D"/>
    <s v="GC00A10100001D GASTOS ADMINISTRATIVOS"/>
    <s v="53 BIENES Y SERVICIOS DE CONSUMO"/>
    <s v="530204 Edición, Impresión, Reproducción, Public"/>
    <s v="G/530204/1DA101"/>
    <s v="001"/>
    <n v="18000"/>
    <n v="-18000"/>
    <n v="0"/>
    <n v="0"/>
    <n v="0"/>
    <n v="0"/>
    <n v="0"/>
    <n v="0"/>
    <n v="0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204 Edición, Impresión, Reproducción, Public"/>
    <s v="G/530204/1BA101"/>
    <s v="001"/>
    <n v="0"/>
    <n v="0"/>
    <n v="11081.14"/>
    <n v="11081.14"/>
    <n v="0"/>
    <n v="0"/>
    <n v="0"/>
    <n v="11081.14"/>
    <n v="11081.14"/>
    <n v="11081.14"/>
  </r>
  <r>
    <s v="53"/>
    <x v="0"/>
    <x v="0"/>
    <s v="ZA01A009"/>
    <x v="1"/>
    <s v="A101"/>
    <s v="FORTALECIMIENTO INSTITUCIONAL"/>
    <s v="GC00A10100001D"/>
    <s v="GC00A10100001D GASTOS ADMINISTRATIVOS"/>
    <s v="53 BIENES Y SERVICIOS DE CONSUMO"/>
    <s v="530204 Edición, Impresión, Reproducción, Public"/>
    <s v="G/530204/1AA101"/>
    <s v="002"/>
    <n v="4900"/>
    <n v="11666.83"/>
    <n v="-9900.7999999999993"/>
    <n v="6666.03"/>
    <n v="0"/>
    <n v="6666.03"/>
    <n v="6666.03"/>
    <n v="0"/>
    <n v="0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204 Edición, Impresión, Reproducción, Public"/>
    <s v="G/530204/1BA101"/>
    <s v="002"/>
    <n v="10000"/>
    <n v="12610.54"/>
    <n v="-11081.14"/>
    <n v="11529.4"/>
    <n v="3506.2"/>
    <n v="8023.2"/>
    <n v="7986.5"/>
    <n v="3506.2"/>
    <n v="3542.9"/>
    <n v="0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204 Edición, Impresión, Reproducción, Public"/>
    <s v="G/530204/1FA101"/>
    <s v="001"/>
    <n v="0"/>
    <n v="2531.0500000000002"/>
    <n v="-2531.0500000000002"/>
    <n v="0"/>
    <n v="0"/>
    <n v="0"/>
    <n v="0"/>
    <n v="0"/>
    <n v="0"/>
    <n v="0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204 Edición, Impresión, Reproducción, Public"/>
    <s v="G/530204/1PA101"/>
    <s v="001"/>
    <n v="7000"/>
    <n v="2031.25"/>
    <n v="0"/>
    <n v="9031.25"/>
    <n v="0"/>
    <n v="9031.23"/>
    <n v="5095.37"/>
    <n v="0.02"/>
    <n v="3935.88"/>
    <n v="0.02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0204 Edición, Impresión, Reproducción, Public"/>
    <s v="G/530204/1IA101"/>
    <s v="001"/>
    <n v="3000"/>
    <n v="4000"/>
    <n v="0"/>
    <n v="7000"/>
    <n v="0.01"/>
    <n v="6999.99"/>
    <n v="3136"/>
    <n v="0.01"/>
    <n v="3864"/>
    <n v="0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0204 Edición, Impresión, Reproducción, Public"/>
    <s v="G/530204/1MA101"/>
    <s v="001"/>
    <n v="35000"/>
    <n v="0"/>
    <n v="0"/>
    <n v="35000"/>
    <n v="0"/>
    <n v="11926.96"/>
    <n v="6804"/>
    <n v="23073.040000000001"/>
    <n v="28196"/>
    <n v="23073.040000000001"/>
  </r>
  <r>
    <s v="53"/>
    <x v="1"/>
    <x v="15"/>
    <s v="ZA01G000"/>
    <x v="26"/>
    <s v="A101"/>
    <s v="FORTALECIMIENTO INSTITUCIONAL"/>
    <s v="GC00A10100001D"/>
    <s v="GC00A10100001D GASTOS ADMINISTRATIVOS"/>
    <s v="53 BIENES Y SERVICIOS DE CONSUMO"/>
    <s v="530204 Edición, Impresión, Reproducción, Public"/>
    <s v="G/530204/1GA101"/>
    <s v="001"/>
    <n v="8000"/>
    <n v="0"/>
    <n v="-8000"/>
    <n v="0"/>
    <n v="0"/>
    <n v="0"/>
    <n v="0"/>
    <n v="0"/>
    <n v="0"/>
    <n v="0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0204 Edición, Impresión, Reproducción, Public"/>
    <s v="G/530204/1IA101"/>
    <s v="001"/>
    <n v="10000"/>
    <n v="2700"/>
    <n v="0"/>
    <n v="12700"/>
    <n v="0"/>
    <n v="12575.6"/>
    <n v="12573.55"/>
    <n v="124.4"/>
    <n v="126.45"/>
    <n v="124.4"/>
  </r>
  <r>
    <s v="53"/>
    <x v="2"/>
    <x v="3"/>
    <s v="ZA01K000"/>
    <x v="6"/>
    <s v="A101"/>
    <s v="FORTALECIMIENTO INSTITUCIONAL"/>
    <s v="GC00A10100001D"/>
    <s v="GC00A10100001D GASTOS ADMINISTRATIVOS"/>
    <s v="53 BIENES Y SERVICIOS DE CONSUMO"/>
    <s v="530204 Edición, Impresión, Reproducción, Public"/>
    <s v="G/530204/1KA101"/>
    <s v="001"/>
    <n v="1750"/>
    <n v="0"/>
    <n v="-1750"/>
    <n v="0"/>
    <n v="0"/>
    <n v="0"/>
    <n v="0"/>
    <n v="0"/>
    <n v="0"/>
    <n v="0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0204 Edición, Impresión, Reproducción, Public"/>
    <s v="G/530204/1IA101"/>
    <s v="001"/>
    <n v="7000"/>
    <n v="0"/>
    <n v="-2800"/>
    <n v="4200"/>
    <n v="0"/>
    <n v="2958.14"/>
    <n v="0"/>
    <n v="1241.8599999999999"/>
    <n v="4200"/>
    <n v="1241.8599999999999"/>
  </r>
  <r>
    <s v="53"/>
    <x v="2"/>
    <x v="3"/>
    <s v="AT69K040"/>
    <x v="16"/>
    <s v="A101"/>
    <s v="FORTALECIMIENTO INSTITUCIONAL"/>
    <s v="GC00A10100001D"/>
    <s v="GC00A10100001D GASTOS ADMINISTRATIVOS"/>
    <s v="53 BIENES Y SERVICIOS DE CONSUMO"/>
    <s v="530204 Edición, Impresión, Reproducción, Public"/>
    <s v="G/530204/1KA101"/>
    <s v="001"/>
    <n v="161055.12"/>
    <n v="7056"/>
    <n v="-495.97"/>
    <n v="167615.15"/>
    <n v="7449.98"/>
    <n v="15950.29"/>
    <n v="15578.55"/>
    <n v="151664.85999999999"/>
    <n v="152036.6"/>
    <n v="144214.88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204 Edición, Impresión, Reproducción, Public"/>
    <s v="G/530204/1FA101"/>
    <s v="001"/>
    <n v="55000"/>
    <n v="-18743.46"/>
    <n v="-29294.93"/>
    <n v="6961.61"/>
    <n v="0"/>
    <n v="6825.61"/>
    <n v="6460.6"/>
    <n v="136"/>
    <n v="501.01"/>
    <n v="136"/>
  </r>
  <r>
    <s v="53"/>
    <x v="2"/>
    <x v="7"/>
    <s v="ZS03F030"/>
    <x v="45"/>
    <s v="A101"/>
    <s v="FORTALECIMIENTO INSTITUCIONAL"/>
    <s v="GC00A10100001D"/>
    <s v="GC00A10100001D GASTOS ADMINISTRATIVOS"/>
    <s v="53 BIENES Y SERVICIOS DE CONSUMO"/>
    <s v="530204 Edición, Impresión, Reproducción, Public"/>
    <s v="G/530204/1FA101"/>
    <s v="001"/>
    <n v="15000"/>
    <n v="-3000"/>
    <n v="-4160"/>
    <n v="7840"/>
    <n v="11.88"/>
    <n v="7828.12"/>
    <n v="3553.36"/>
    <n v="11.88"/>
    <n v="4286.6400000000003"/>
    <n v="0"/>
  </r>
  <r>
    <s v="53"/>
    <x v="0"/>
    <x v="1"/>
    <s v="ZA01C002"/>
    <x v="11"/>
    <s v="A101"/>
    <s v="FORTALECIMIENTO INSTITUCIONAL"/>
    <s v="GC00A10100001D"/>
    <s v="GC00A10100001D GASTOS ADMINISTRATIVOS"/>
    <s v="53 BIENES Y SERVICIOS DE CONSUMO"/>
    <s v="530204 Edición, Impresión, Reproducción, Public"/>
    <s v="G/530204/1CA101"/>
    <s v="002"/>
    <n v="300"/>
    <n v="0"/>
    <n v="-300"/>
    <n v="0"/>
    <n v="0"/>
    <n v="0"/>
    <n v="0"/>
    <n v="0"/>
    <n v="0"/>
    <n v="0"/>
  </r>
  <r>
    <s v="53"/>
    <x v="0"/>
    <x v="0"/>
    <s v="ZA01A003"/>
    <x v="49"/>
    <s v="A101"/>
    <s v="FORTALECIMIENTO INSTITUCIONAL"/>
    <s v="GC00A10100001D"/>
    <s v="GC00A10100001D GASTOS ADMINISTRATIVOS"/>
    <s v="53 BIENES Y SERVICIOS DE CONSUMO"/>
    <s v="530204 Edición, Impresión, Reproducción, Public"/>
    <s v="G/530204/1AA101"/>
    <s v="002"/>
    <n v="2100"/>
    <n v="0"/>
    <n v="-2100"/>
    <n v="0"/>
    <n v="0"/>
    <n v="0"/>
    <n v="0"/>
    <n v="0"/>
    <n v="0"/>
    <n v="0"/>
  </r>
  <r>
    <s v="53"/>
    <x v="1"/>
    <x v="10"/>
    <s v="CF22I050"/>
    <x v="38"/>
    <s v="A101"/>
    <s v="FORTALECIMIENTO INSTITUCIONAL"/>
    <s v="GC00A10100001D"/>
    <s v="GC00A10100001D GASTOS ADMINISTRATIVOS"/>
    <s v="53 BIENES Y SERVICIOS DE CONSUMO"/>
    <s v="530204 Edición, Impresión, Reproducción, Public"/>
    <s v="G/530204/1IA101"/>
    <s v="001"/>
    <n v="130"/>
    <n v="0"/>
    <n v="-130"/>
    <n v="0"/>
    <n v="0"/>
    <n v="0"/>
    <n v="0"/>
    <n v="0"/>
    <n v="0"/>
    <n v="0"/>
  </r>
  <r>
    <s v="53"/>
    <x v="1"/>
    <x v="15"/>
    <s v="ZA01G000"/>
    <x v="26"/>
    <s v="A101"/>
    <s v="FORTALECIMIENTO INSTITUCIONAL"/>
    <s v="GC00A10100001D"/>
    <s v="GC00A10100001D GASTOS ADMINISTRATIVOS"/>
    <s v="53 BIENES Y SERVICIOS DE CONSUMO"/>
    <s v="530205 Espectáculos Culturales y Sociales"/>
    <s v="G/530205/1GA101"/>
    <s v="001"/>
    <n v="9200"/>
    <n v="0"/>
    <n v="-9200"/>
    <n v="0"/>
    <n v="0"/>
    <n v="0"/>
    <n v="0"/>
    <n v="0"/>
    <n v="0"/>
    <n v="0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0205 Espectáculos Culturales y Sociales"/>
    <s v="G/530205/1IA101"/>
    <s v="001"/>
    <n v="41000"/>
    <n v="-15237"/>
    <n v="0"/>
    <n v="25763"/>
    <n v="617.4"/>
    <n v="23144.799999999999"/>
    <n v="11761.12"/>
    <n v="2618.1999999999998"/>
    <n v="14001.88"/>
    <n v="2000.8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0205 Espectáculos Culturales y Sociales"/>
    <s v="G/530205/1IA101"/>
    <s v="001"/>
    <n v="3000"/>
    <n v="0"/>
    <n v="-2000"/>
    <n v="1000"/>
    <n v="0"/>
    <n v="1000"/>
    <n v="0"/>
    <n v="0"/>
    <n v="1000"/>
    <n v="0"/>
  </r>
  <r>
    <s v="53"/>
    <x v="1"/>
    <x v="10"/>
    <s v="CF22I050"/>
    <x v="38"/>
    <s v="A101"/>
    <s v="FORTALECIMIENTO INSTITUCIONAL"/>
    <s v="GC00A10100001D"/>
    <s v="GC00A10100001D GASTOS ADMINISTRATIVOS"/>
    <s v="53 BIENES Y SERVICIOS DE CONSUMO"/>
    <s v="530205 Espectáculos Culturales y Sociales"/>
    <s v="G/530205/1IA101"/>
    <s v="001"/>
    <n v="7000"/>
    <n v="0"/>
    <n v="-7000"/>
    <n v="0"/>
    <n v="0"/>
    <n v="0"/>
    <n v="0"/>
    <n v="0"/>
    <n v="0"/>
    <n v="0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0205 Espectáculos Culturales y Sociales"/>
    <s v="G/530205/1IA101"/>
    <s v="001"/>
    <n v="8000"/>
    <n v="-4800"/>
    <n v="-3200"/>
    <n v="0"/>
    <n v="0"/>
    <n v="0"/>
    <n v="0"/>
    <n v="0"/>
    <n v="0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205 Espectáculos Culturales y Sociales"/>
    <s v="G/530205/1BA101"/>
    <s v="002"/>
    <n v="10000"/>
    <n v="-10000"/>
    <n v="0"/>
    <n v="0"/>
    <n v="0"/>
    <n v="0"/>
    <n v="0"/>
    <n v="0"/>
    <n v="0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207 Difusión, Información y Publicidad"/>
    <s v="G/530207/1BA101"/>
    <s v="001"/>
    <n v="0"/>
    <n v="0"/>
    <n v="2800"/>
    <n v="2800"/>
    <n v="0"/>
    <n v="0"/>
    <n v="0"/>
    <n v="2800"/>
    <n v="2800"/>
    <n v="2800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0207 Difusión, Información y Publicidad"/>
    <s v="G/530207/1MA101"/>
    <s v="001"/>
    <n v="5000"/>
    <n v="-5000"/>
    <n v="0"/>
    <n v="0"/>
    <n v="0"/>
    <n v="0"/>
    <n v="0"/>
    <n v="0"/>
    <n v="0"/>
    <n v="0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207 Difusión, Información y Publicidad"/>
    <s v="G/530207/1FA101"/>
    <s v="001"/>
    <n v="0"/>
    <n v="1500"/>
    <n v="0"/>
    <n v="1500"/>
    <n v="0"/>
    <n v="1021.44"/>
    <n v="0"/>
    <n v="478.56"/>
    <n v="1500"/>
    <n v="478.56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207 Difusión, Información y Publicidad"/>
    <s v="G/530207/1BA101"/>
    <s v="002"/>
    <n v="0"/>
    <n v="2800"/>
    <n v="-2800"/>
    <n v="0"/>
    <n v="0"/>
    <n v="0"/>
    <n v="0"/>
    <n v="0"/>
    <n v="0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207 Difusión, Información y Publicidad"/>
    <s v="G/530207/1AA101"/>
    <s v="002"/>
    <n v="7500"/>
    <n v="0"/>
    <n v="-7500"/>
    <n v="0"/>
    <n v="0"/>
    <n v="0"/>
    <n v="0"/>
    <n v="0"/>
    <n v="0"/>
    <n v="0"/>
  </r>
  <r>
    <s v="53"/>
    <x v="1"/>
    <x v="10"/>
    <s v="ZA01I000"/>
    <x v="18"/>
    <s v="A101"/>
    <s v="FORTALECIMIENTO INSTITUCIONAL"/>
    <s v="GC00A10100001D"/>
    <s v="GC00A10100001D GASTOS ADMINISTRATIVOS"/>
    <s v="53 BIENES Y SERVICIOS DE CONSUMO"/>
    <s v="530207 Difusión, Información y Publicidad"/>
    <s v="G/530207/1IA101"/>
    <s v="001"/>
    <n v="2000"/>
    <n v="-36.85"/>
    <n v="0"/>
    <n v="1963.15"/>
    <n v="0"/>
    <n v="0"/>
    <n v="0"/>
    <n v="1963.15"/>
    <n v="1963.15"/>
    <n v="1963.15"/>
  </r>
  <r>
    <s v="53"/>
    <x v="1"/>
    <x v="2"/>
    <s v="UN31M010"/>
    <x v="15"/>
    <s v="A101"/>
    <s v="FORTALECIMIENTO INSTITUCIONAL"/>
    <s v="GC00A10100001D"/>
    <s v="GC00A10100001D GASTOS ADMINISTRATIVOS"/>
    <s v="53 BIENES Y SERVICIOS DE CONSUMO"/>
    <s v="530207 Difusión, Información y Publicidad"/>
    <s v="G/530207/1MA101"/>
    <s v="001"/>
    <n v="500"/>
    <n v="0"/>
    <n v="-500"/>
    <n v="0"/>
    <n v="0"/>
    <n v="0"/>
    <n v="0"/>
    <n v="0"/>
    <n v="0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207 Difusión, Información y Publicidad"/>
    <s v="G/530207/1AA101"/>
    <s v="002"/>
    <n v="1200"/>
    <n v="-1200"/>
    <n v="0"/>
    <n v="0"/>
    <n v="0"/>
    <n v="0"/>
    <n v="0"/>
    <n v="0"/>
    <n v="0"/>
    <n v="0"/>
  </r>
  <r>
    <s v="53"/>
    <x v="2"/>
    <x v="7"/>
    <s v="ZM04F040"/>
    <x v="41"/>
    <s v="A101"/>
    <s v="FORTALECIMIENTO INSTITUCIONAL"/>
    <s v="GC00A10100001D"/>
    <s v="GC00A10100001D GASTOS ADMINISTRATIVOS"/>
    <s v="53 BIENES Y SERVICIOS DE CONSUMO"/>
    <s v="530207 Difusión, Información y Publicidad"/>
    <s v="G/530207/1FA101"/>
    <s v="001"/>
    <n v="1000"/>
    <n v="-1000"/>
    <n v="0"/>
    <n v="0"/>
    <n v="0"/>
    <n v="0"/>
    <n v="0"/>
    <n v="0"/>
    <n v="0"/>
    <n v="0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207 Difusión, Información y Publicidad"/>
    <s v="G/530207/1FA101"/>
    <s v="001"/>
    <n v="3000"/>
    <n v="0"/>
    <n v="0"/>
    <n v="3000"/>
    <n v="0"/>
    <n v="0"/>
    <n v="0"/>
    <n v="3000"/>
    <n v="3000"/>
    <n v="3000"/>
  </r>
  <r>
    <s v="53"/>
    <x v="2"/>
    <x v="3"/>
    <s v="AT69K040"/>
    <x v="16"/>
    <s v="A101"/>
    <s v="FORTALECIMIENTO INSTITUCIONAL"/>
    <s v="GC00A10100001D"/>
    <s v="GC00A10100001D GASTOS ADMINISTRATIVOS"/>
    <s v="53 BIENES Y SERVICIOS DE CONSUMO"/>
    <s v="530208 Servicio de Seguridad y Vigilancia"/>
    <s v="G/530208/1KA101"/>
    <s v="001"/>
    <n v="1576573.21"/>
    <n v="-1273276.07"/>
    <n v="-303297.14"/>
    <n v="0"/>
    <n v="0"/>
    <n v="0"/>
    <n v="0"/>
    <n v="0"/>
    <n v="0"/>
    <n v="0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208 Servicio de Seguridad y Vigilancia"/>
    <s v="G/530208/1PA101"/>
    <s v="001"/>
    <n v="570990.34"/>
    <n v="34525.620000000003"/>
    <n v="0"/>
    <n v="605515.96"/>
    <n v="21385.040000000001"/>
    <n v="584130.92000000004"/>
    <n v="543881.23"/>
    <n v="21385.040000000001"/>
    <n v="61634.73"/>
    <n v="0"/>
  </r>
  <r>
    <s v="53"/>
    <x v="2"/>
    <x v="7"/>
    <s v="ZT06F060"/>
    <x v="40"/>
    <s v="A101"/>
    <s v="FORTALECIMIENTO INSTITUCIONAL"/>
    <s v="GC00A10100001D"/>
    <s v="GC00A10100001D GASTOS ADMINISTRATIVOS"/>
    <s v="53 BIENES Y SERVICIOS DE CONSUMO"/>
    <s v="530208 Servicio de Seguridad y Vigilancia"/>
    <s v="G/530208/1FA101"/>
    <s v="001"/>
    <n v="211000"/>
    <n v="-13881.12"/>
    <n v="0"/>
    <n v="197118.88"/>
    <n v="0"/>
    <n v="197118.88"/>
    <n v="82132.850000000006"/>
    <n v="0"/>
    <n v="114986.03"/>
    <n v="0"/>
  </r>
  <r>
    <s v="53"/>
    <x v="1"/>
    <x v="10"/>
    <s v="CF22I050"/>
    <x v="38"/>
    <s v="A101"/>
    <s v="FORTALECIMIENTO INSTITUCIONAL"/>
    <s v="GC00A10100001D"/>
    <s v="GC00A10100001D GASTOS ADMINISTRATIVOS"/>
    <s v="53 BIENES Y SERVICIOS DE CONSUMO"/>
    <s v="530208 Servicio de Seguridad y Vigilancia"/>
    <s v="G/530208/1IA101"/>
    <s v="001"/>
    <n v="98560"/>
    <n v="0"/>
    <n v="0"/>
    <n v="98560"/>
    <n v="0"/>
    <n v="70240"/>
    <n v="58664.38"/>
    <n v="28320"/>
    <n v="39895.620000000003"/>
    <n v="28320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0208 Servicio de Seguridad y Vigilancia"/>
    <s v="G/530208/1IA101"/>
    <s v="001"/>
    <n v="105000"/>
    <n v="-25000"/>
    <n v="-7104.9"/>
    <n v="72895.100000000006"/>
    <n v="0"/>
    <n v="69437.759999999995"/>
    <n v="57864.800000000003"/>
    <n v="3457.34"/>
    <n v="15030.3"/>
    <n v="3457.34"/>
  </r>
  <r>
    <s v="53"/>
    <x v="2"/>
    <x v="7"/>
    <s v="ZC09F090"/>
    <x v="10"/>
    <s v="A101"/>
    <s v="FORTALECIMIENTO INSTITUCIONAL"/>
    <s v="GC00A10100001D"/>
    <s v="GC00A10100001D GASTOS ADMINISTRATIVOS"/>
    <s v="53 BIENES Y SERVICIOS DE CONSUMO"/>
    <s v="530208 Servicio de Seguridad y Vigilancia"/>
    <s v="G/530208/1FA101"/>
    <s v="001"/>
    <n v="171000"/>
    <n v="-1642.8"/>
    <n v="-7623.38"/>
    <n v="161733.82"/>
    <n v="0"/>
    <n v="161733.82"/>
    <n v="122151.36"/>
    <n v="0"/>
    <n v="39582.46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208 Servicio de Seguridad y Vigilancia"/>
    <s v="G/530208/1AA101"/>
    <s v="002"/>
    <n v="134000"/>
    <n v="17128.36"/>
    <n v="-7945.12"/>
    <n v="143183.24"/>
    <n v="0.01"/>
    <n v="143183.23000000001"/>
    <n v="97778.59"/>
    <n v="0.01"/>
    <n v="45404.65"/>
    <n v="0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208 Servicio de Seguridad y Vigilancia"/>
    <s v="G/530208/1FA101"/>
    <s v="001"/>
    <n v="380000"/>
    <n v="-66741.23"/>
    <n v="-31171.94"/>
    <n v="282086.83"/>
    <n v="0"/>
    <n v="282086.82"/>
    <n v="225957.48"/>
    <n v="0.01"/>
    <n v="56129.35"/>
    <n v="0.01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208 Servicio de Seguridad y Vigilancia"/>
    <s v="G/530208/1BA101"/>
    <s v="002"/>
    <n v="180000"/>
    <n v="44412.83"/>
    <n v="0"/>
    <n v="224412.83"/>
    <n v="9941.65"/>
    <n v="214471.18"/>
    <n v="176428.49"/>
    <n v="9941.65"/>
    <n v="47984.34"/>
    <n v="0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0208 Servicio de Seguridad y Vigilancia"/>
    <s v="G/530208/1IA101"/>
    <s v="001"/>
    <n v="184800"/>
    <n v="-60346.720000000001"/>
    <n v="0"/>
    <n v="124453.28"/>
    <n v="0"/>
    <n v="124453.28"/>
    <n v="103711"/>
    <n v="0"/>
    <n v="20742.28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208 Servicio de Seguridad y Vigilancia"/>
    <s v="G/530208/1AA101"/>
    <s v="001"/>
    <n v="0"/>
    <n v="0"/>
    <n v="7945.12"/>
    <n v="7945.12"/>
    <n v="0"/>
    <n v="7140"/>
    <n v="0"/>
    <n v="805.12"/>
    <n v="7945.12"/>
    <n v="805.12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208 Servicio de Seguridad y Vigilancia"/>
    <s v="G/530208/1AA101"/>
    <s v="002"/>
    <n v="5000000"/>
    <n v="-1314.29"/>
    <n v="-1536765.71"/>
    <n v="3461920"/>
    <n v="0"/>
    <n v="3461920"/>
    <n v="2884933.3"/>
    <n v="0"/>
    <n v="576986.69999999995"/>
    <n v="0"/>
  </r>
  <r>
    <s v="53"/>
    <x v="1"/>
    <x v="10"/>
    <s v="SF43I080"/>
    <x v="34"/>
    <s v="A101"/>
    <s v="FORTALECIMIENTO INSTITUCIONAL"/>
    <s v="GC00A10100001D"/>
    <s v="GC00A10100001D GASTOS ADMINISTRATIVOS"/>
    <s v="53 BIENES Y SERVICIOS DE CONSUMO"/>
    <s v="530208 Servicio de Seguridad y Vigilancia"/>
    <s v="G/530208/1IA101"/>
    <s v="001"/>
    <n v="122000"/>
    <n v="-188.78"/>
    <n v="-27000"/>
    <n v="94811.22"/>
    <n v="0"/>
    <n v="94254.79"/>
    <n v="77479.960000000006"/>
    <n v="556.42999999999995"/>
    <n v="17331.259999999998"/>
    <n v="556.42999999999995"/>
  </r>
  <r>
    <s v="53"/>
    <x v="2"/>
    <x v="7"/>
    <s v="ZM04F040"/>
    <x v="41"/>
    <s v="A101"/>
    <s v="FORTALECIMIENTO INSTITUCIONAL"/>
    <s v="GC00A10100001D"/>
    <s v="GC00A10100001D GASTOS ADMINISTRATIVOS"/>
    <s v="53 BIENES Y SERVICIOS DE CONSUMO"/>
    <s v="530208 Servicio de Seguridad y Vigilancia"/>
    <s v="G/530208/1FA101"/>
    <s v="001"/>
    <n v="528000"/>
    <n v="-58700"/>
    <n v="0"/>
    <n v="469300"/>
    <n v="40098.589999999997"/>
    <n v="428000"/>
    <n v="360419.37"/>
    <n v="41300"/>
    <n v="108880.63"/>
    <n v="1201.4100000000001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0208 Servicio de Seguridad y Vigilancia"/>
    <s v="G/530208/1IA101"/>
    <s v="001"/>
    <n v="150000"/>
    <n v="-29000"/>
    <n v="0"/>
    <n v="121000"/>
    <n v="9000"/>
    <n v="112000"/>
    <n v="93333.3"/>
    <n v="9000"/>
    <n v="27666.7"/>
    <n v="0"/>
  </r>
  <r>
    <s v="53"/>
    <x v="2"/>
    <x v="7"/>
    <s v="ZQ08F080"/>
    <x v="44"/>
    <s v="A101"/>
    <s v="FORTALECIMIENTO INSTITUCIONAL"/>
    <s v="GC00A10100001D"/>
    <s v="GC00A10100001D GASTOS ADMINISTRATIVOS"/>
    <s v="53 BIENES Y SERVICIOS DE CONSUMO"/>
    <s v="530208 Servicio de Seguridad y Vigilancia"/>
    <s v="G/530208/1FA101"/>
    <s v="001"/>
    <n v="330000"/>
    <n v="31145.83"/>
    <n v="0"/>
    <n v="361145.83"/>
    <n v="0"/>
    <n v="260910.05"/>
    <n v="195558.03"/>
    <n v="100235.78"/>
    <n v="165587.79999999999"/>
    <n v="100235.78"/>
  </r>
  <r>
    <s v="53"/>
    <x v="2"/>
    <x v="7"/>
    <s v="TM68F100"/>
    <x v="36"/>
    <s v="A101"/>
    <s v="FORTALECIMIENTO INSTITUCIONAL"/>
    <s v="GC00A10100001D"/>
    <s v="GC00A10100001D GASTOS ADMINISTRATIVOS"/>
    <s v="53 BIENES Y SERVICIOS DE CONSUMO"/>
    <s v="530208 Servicio de Seguridad y Vigilancia"/>
    <s v="G/530208/1FA101"/>
    <s v="001"/>
    <n v="33000"/>
    <n v="0"/>
    <n v="-5840.76"/>
    <n v="27159.24"/>
    <n v="196.16"/>
    <n v="25749.14"/>
    <n v="20382.04"/>
    <n v="1410.1"/>
    <n v="6777.2"/>
    <n v="1213.94"/>
  </r>
  <r>
    <s v="53"/>
    <x v="1"/>
    <x v="10"/>
    <s v="OL41I060"/>
    <x v="29"/>
    <s v="A101"/>
    <s v="FORTALECIMIENTO INSTITUCIONAL"/>
    <s v="GC00A10100001D"/>
    <s v="GC00A10100001D GASTOS ADMINISTRATIVOS"/>
    <s v="53 BIENES Y SERVICIOS DE CONSUMO"/>
    <s v="530208 Servicio de Seguridad y Vigilancia"/>
    <s v="G/530208/1IA101"/>
    <s v="001"/>
    <n v="108305"/>
    <n v="-19713"/>
    <n v="0"/>
    <n v="88592"/>
    <n v="39326.129999999997"/>
    <n v="49265.87"/>
    <n v="39349.230000000003"/>
    <n v="39326.129999999997"/>
    <n v="49242.77"/>
    <n v="0"/>
  </r>
  <r>
    <s v="53"/>
    <x v="1"/>
    <x v="2"/>
    <s v="UC32M020"/>
    <x v="33"/>
    <s v="A101"/>
    <s v="FORTALECIMIENTO INSTITUCIONAL"/>
    <s v="GC00A10100001D"/>
    <s v="GC00A10100001D GASTOS ADMINISTRATIVOS"/>
    <s v="53 BIENES Y SERVICIOS DE CONSUMO"/>
    <s v="530208 Servicio de Seguridad y Vigilancia"/>
    <s v="G/530208/1MA101"/>
    <s v="001"/>
    <n v="97000"/>
    <n v="-32708.39"/>
    <n v="0"/>
    <n v="64291.61"/>
    <n v="0"/>
    <n v="64291.61"/>
    <n v="52839.44"/>
    <n v="0"/>
    <n v="11452.17"/>
    <n v="0"/>
  </r>
  <r>
    <s v="53"/>
    <x v="1"/>
    <x v="10"/>
    <s v="EQ13I030"/>
    <x v="35"/>
    <s v="A101"/>
    <s v="FORTALECIMIENTO INSTITUCIONAL"/>
    <s v="GC00A10100001D"/>
    <s v="GC00A10100001D GASTOS ADMINISTRATIVOS"/>
    <s v="53 BIENES Y SERVICIOS DE CONSUMO"/>
    <s v="530208 Servicio de Seguridad y Vigilancia"/>
    <s v="G/530208/1IA101"/>
    <s v="001"/>
    <n v="167000"/>
    <n v="-47272"/>
    <n v="0"/>
    <n v="119728"/>
    <n v="0"/>
    <n v="119728"/>
    <n v="95201.29"/>
    <n v="0"/>
    <n v="24526.71"/>
    <n v="0"/>
  </r>
  <r>
    <s v="53"/>
    <x v="1"/>
    <x v="2"/>
    <s v="UN31M010"/>
    <x v="15"/>
    <s v="A101"/>
    <s v="FORTALECIMIENTO INSTITUCIONAL"/>
    <s v="GC00A10100001D"/>
    <s v="GC00A10100001D GASTOS ADMINISTRATIVOS"/>
    <s v="53 BIENES Y SERVICIOS DE CONSUMO"/>
    <s v="530208 Servicio de Seguridad y Vigilancia"/>
    <s v="G/530208/1MA101"/>
    <s v="001"/>
    <n v="92000"/>
    <n v="41100"/>
    <n v="-25000"/>
    <n v="108100"/>
    <n v="6533.35"/>
    <n v="77412.13"/>
    <n v="64011.89"/>
    <n v="30687.87"/>
    <n v="44088.11"/>
    <n v="24154.52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208 Servicio de Seguridad y Vigilancia"/>
    <s v="G/530208/1FA101"/>
    <s v="001"/>
    <n v="525000"/>
    <n v="-15655.55"/>
    <n v="-85239.33"/>
    <n v="424105.12"/>
    <n v="0"/>
    <n v="416605.12"/>
    <n v="350323.55"/>
    <n v="7500"/>
    <n v="73781.570000000007"/>
    <n v="7500"/>
  </r>
  <r>
    <s v="53"/>
    <x v="2"/>
    <x v="7"/>
    <s v="ZD07F070"/>
    <x v="43"/>
    <s v="A101"/>
    <s v="FORTALECIMIENTO INSTITUCIONAL"/>
    <s v="GC00A10100001D"/>
    <s v="GC00A10100001D GASTOS ADMINISTRATIVOS"/>
    <s v="53 BIENES Y SERVICIOS DE CONSUMO"/>
    <s v="530208 Servicio de Seguridad y Vigilancia"/>
    <s v="G/530208/1FA101"/>
    <s v="001"/>
    <n v="400000"/>
    <n v="21831.66"/>
    <n v="-10000"/>
    <n v="411831.66"/>
    <n v="0"/>
    <n v="403110.40000000002"/>
    <n v="403110.40000000002"/>
    <n v="8721.26"/>
    <n v="8721.26"/>
    <n v="8721.26"/>
  </r>
  <r>
    <s v="53"/>
    <x v="1"/>
    <x v="10"/>
    <s v="JM40I070"/>
    <x v="27"/>
    <s v="A101"/>
    <s v="FORTALECIMIENTO INSTITUCIONAL"/>
    <s v="GC00A10100001D"/>
    <s v="GC00A10100001D GASTOS ADMINISTRATIVOS"/>
    <s v="53 BIENES Y SERVICIOS DE CONSUMO"/>
    <s v="530208 Servicio de Seguridad y Vigilancia"/>
    <s v="G/530208/1IA101"/>
    <s v="001"/>
    <n v="60000"/>
    <n v="0"/>
    <n v="-24526.240000000002"/>
    <n v="35473.760000000002"/>
    <n v="0"/>
    <n v="35473.760000000002"/>
    <n v="14804.64"/>
    <n v="0"/>
    <n v="20669.12"/>
    <n v="0"/>
  </r>
  <r>
    <s v="53"/>
    <x v="2"/>
    <x v="7"/>
    <s v="ZS03F030"/>
    <x v="45"/>
    <s v="A101"/>
    <s v="FORTALECIMIENTO INSTITUCIONAL"/>
    <s v="GC00A10100001D"/>
    <s v="GC00A10100001D GASTOS ADMINISTRATIVOS"/>
    <s v="53 BIENES Y SERVICIOS DE CONSUMO"/>
    <s v="530208 Servicio de Seguridad y Vigilancia"/>
    <s v="G/530208/1FA101"/>
    <s v="001"/>
    <n v="312000"/>
    <n v="0"/>
    <n v="-721.76"/>
    <n v="311278.24"/>
    <n v="0"/>
    <n v="311278.24"/>
    <n v="254539.76"/>
    <n v="0"/>
    <n v="56738.48"/>
    <n v="0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208 Servicio de Seguridad y Vigilancia"/>
    <s v="G/530208/1PA101"/>
    <s v="002"/>
    <n v="0"/>
    <n v="12405.04"/>
    <n v="0"/>
    <n v="12405.04"/>
    <n v="12405.04"/>
    <n v="0"/>
    <n v="0"/>
    <n v="12405.04"/>
    <n v="12405.04"/>
    <n v="0"/>
  </r>
  <r>
    <s v="53"/>
    <x v="1"/>
    <x v="10"/>
    <s v="EE11I010"/>
    <x v="37"/>
    <s v="A101"/>
    <s v="FORTALECIMIENTO INSTITUCIONAL"/>
    <s v="GC00A10100001D"/>
    <s v="GC00A10100001D GASTOS ADMINISTRATIVOS"/>
    <s v="53 BIENES Y SERVICIOS DE CONSUMO"/>
    <s v="530208 Servicio de Seguridad y Vigilancia"/>
    <s v="G/530208/1IA101"/>
    <s v="001"/>
    <n v="200000"/>
    <n v="0"/>
    <n v="0"/>
    <n v="200000"/>
    <n v="0"/>
    <n v="198844.79999999999"/>
    <n v="165704"/>
    <n v="1155.2"/>
    <n v="34296"/>
    <n v="1155.2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0208 Servicio de Seguridad y Vigilancia"/>
    <s v="G/530208/1MA101"/>
    <s v="001"/>
    <n v="150000"/>
    <n v="-25154.560000000001"/>
    <n v="0"/>
    <n v="124845.44"/>
    <n v="10956.96"/>
    <n v="98840"/>
    <n v="98840"/>
    <n v="26005.439999999999"/>
    <n v="26005.439999999999"/>
    <n v="15048.48"/>
  </r>
  <r>
    <s v="53"/>
    <x v="2"/>
    <x v="7"/>
    <s v="ZC09F090"/>
    <x v="10"/>
    <s v="A101"/>
    <s v="FORTALECIMIENTO INSTITUCIONAL"/>
    <s v="GC00A10100001D"/>
    <s v="GC00A10100001D GASTOS ADMINISTRATIVOS"/>
    <s v="53 BIENES Y SERVICIOS DE CONSUMO"/>
    <s v="530209 Servicios de Aseo, Lavado de Vestimenta"/>
    <s v="G/530209/1FA101"/>
    <s v="001"/>
    <n v="90000"/>
    <n v="0"/>
    <n v="0"/>
    <n v="90000"/>
    <n v="0"/>
    <n v="89989.54"/>
    <n v="30526.11"/>
    <n v="10.46"/>
    <n v="59473.89"/>
    <n v="10.46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209 Servicios de Aseo, Lavado de Vestimenta"/>
    <s v="G/530209/1AA101"/>
    <s v="002"/>
    <n v="3200000"/>
    <n v="0"/>
    <n v="-404054.51"/>
    <n v="2795945.49"/>
    <n v="0.01"/>
    <n v="2795945.48"/>
    <n v="2145607.48"/>
    <n v="0.01"/>
    <n v="650338.01"/>
    <n v="0"/>
  </r>
  <r>
    <s v="53"/>
    <x v="2"/>
    <x v="7"/>
    <s v="ZQ08F080"/>
    <x v="44"/>
    <s v="A101"/>
    <s v="FORTALECIMIENTO INSTITUCIONAL"/>
    <s v="GC00A10100001D"/>
    <s v="GC00A10100001D GASTOS ADMINISTRATIVOS"/>
    <s v="53 BIENES Y SERVICIOS DE CONSUMO"/>
    <s v="530209 Servicios de Aseo, Lavado de Vestimenta"/>
    <s v="G/530209/1FA101"/>
    <s v="001"/>
    <n v="147000"/>
    <n v="4873.8599999999997"/>
    <n v="0"/>
    <n v="151873.85999999999"/>
    <n v="7.4"/>
    <n v="151866.46"/>
    <n v="98403.96"/>
    <n v="7.4"/>
    <n v="53469.9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209 Servicios de Aseo, Lavado de Vestimenta"/>
    <s v="G/530209/1BA101"/>
    <s v="001"/>
    <n v="0"/>
    <n v="0"/>
    <n v="1483.5"/>
    <n v="1483.5"/>
    <n v="0"/>
    <n v="0"/>
    <n v="0"/>
    <n v="1483.5"/>
    <n v="1483.5"/>
    <n v="1483.5"/>
  </r>
  <r>
    <s v="53"/>
    <x v="2"/>
    <x v="7"/>
    <s v="TM68F100"/>
    <x v="36"/>
    <s v="A101"/>
    <s v="FORTALECIMIENTO INSTITUCIONAL"/>
    <s v="GC00A10100001D"/>
    <s v="GC00A10100001D GASTOS ADMINISTRATIVOS"/>
    <s v="53 BIENES Y SERVICIOS DE CONSUMO"/>
    <s v="530209 Servicios de Aseo, Lavado de Vestimenta"/>
    <s v="G/530209/1FA101"/>
    <s v="001"/>
    <n v="11000"/>
    <n v="-3586.73"/>
    <n v="0"/>
    <n v="7413.27"/>
    <n v="0"/>
    <n v="7413.27"/>
    <n v="6382.42"/>
    <n v="0"/>
    <n v="1030.8499999999999"/>
    <n v="0"/>
  </r>
  <r>
    <s v="53"/>
    <x v="1"/>
    <x v="10"/>
    <s v="SF43I080"/>
    <x v="34"/>
    <s v="A101"/>
    <s v="FORTALECIMIENTO INSTITUCIONAL"/>
    <s v="GC00A10100001D"/>
    <s v="GC00A10100001D GASTOS ADMINISTRATIVOS"/>
    <s v="53 BIENES Y SERVICIOS DE CONSUMO"/>
    <s v="530209 Servicios de Aseo, Lavado de Vestimenta"/>
    <s v="G/530209/1IA101"/>
    <s v="001"/>
    <n v="63000"/>
    <n v="0"/>
    <n v="-805.19"/>
    <n v="62194.81"/>
    <n v="0"/>
    <n v="62194.81"/>
    <n v="30406.37"/>
    <n v="0"/>
    <n v="31788.44"/>
    <n v="0"/>
  </r>
  <r>
    <s v="53"/>
    <x v="2"/>
    <x v="3"/>
    <s v="AT69K040"/>
    <x v="16"/>
    <s v="A101"/>
    <s v="FORTALECIMIENTO INSTITUCIONAL"/>
    <s v="GC00A10100001D"/>
    <s v="GC00A10100001D GASTOS ADMINISTRATIVOS"/>
    <s v="53 BIENES Y SERVICIOS DE CONSUMO"/>
    <s v="530209 Servicios de Aseo, Lavado de Vestimenta"/>
    <s v="G/530209/1KA101"/>
    <s v="001"/>
    <n v="413177.28"/>
    <n v="149305.28"/>
    <n v="0"/>
    <n v="562482.56000000006"/>
    <n v="58077.62"/>
    <n v="503763.05"/>
    <n v="316560.8"/>
    <n v="58719.51"/>
    <n v="245921.76"/>
    <n v="641.89"/>
  </r>
  <r>
    <s v="53"/>
    <x v="1"/>
    <x v="10"/>
    <s v="JM40I070"/>
    <x v="27"/>
    <s v="A101"/>
    <s v="FORTALECIMIENTO INSTITUCIONAL"/>
    <s v="GC00A10100001D"/>
    <s v="GC00A10100001D GASTOS ADMINISTRATIVOS"/>
    <s v="53 BIENES Y SERVICIOS DE CONSUMO"/>
    <s v="530209 Servicios de Aseo, Lavado de Vestimenta"/>
    <s v="G/530209/1IA101"/>
    <s v="001"/>
    <n v="41000"/>
    <n v="0"/>
    <n v="-12300"/>
    <n v="28700"/>
    <n v="0"/>
    <n v="28700"/>
    <n v="0"/>
    <n v="0"/>
    <n v="28700"/>
    <n v="0"/>
  </r>
  <r>
    <s v="53"/>
    <x v="2"/>
    <x v="7"/>
    <s v="ZM04F040"/>
    <x v="41"/>
    <s v="A101"/>
    <s v="FORTALECIMIENTO INSTITUCIONAL"/>
    <s v="GC00A10100001D"/>
    <s v="GC00A10100001D GASTOS ADMINISTRATIVOS"/>
    <s v="53 BIENES Y SERVICIOS DE CONSUMO"/>
    <s v="530209 Servicios de Aseo, Lavado de Vestimenta"/>
    <s v="G/530209/1FA101"/>
    <s v="001"/>
    <n v="196000"/>
    <n v="0"/>
    <n v="-102.46"/>
    <n v="195897.54"/>
    <n v="0"/>
    <n v="195897.54"/>
    <n v="116724.65"/>
    <n v="0"/>
    <n v="79172.89"/>
    <n v="0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209 Servicios de Aseo, Lavado de Vestimenta"/>
    <s v="G/530209/1FA101"/>
    <s v="001"/>
    <n v="125000"/>
    <n v="-576.36"/>
    <n v="-38709.56"/>
    <n v="85714.08"/>
    <n v="0"/>
    <n v="85714.06"/>
    <n v="64976.800000000003"/>
    <n v="0.02"/>
    <n v="20737.28"/>
    <n v="0.02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0209 Servicios de Aseo, Lavado de Vestimenta"/>
    <s v="G/530209/1IA101"/>
    <s v="001"/>
    <n v="120000"/>
    <n v="-8000"/>
    <n v="0"/>
    <n v="112000"/>
    <n v="112"/>
    <n v="111888"/>
    <n v="59673.599999999999"/>
    <n v="112"/>
    <n v="52326.400000000001"/>
    <n v="0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0209 Servicios de Aseo, Lavado de Vestimenta"/>
    <s v="G/530209/1IA101"/>
    <s v="001"/>
    <n v="121000"/>
    <n v="-600"/>
    <n v="-1825.44"/>
    <n v="118574.56"/>
    <n v="0"/>
    <n v="117957.1"/>
    <n v="60569.13"/>
    <n v="617.46"/>
    <n v="58005.43"/>
    <n v="617.46"/>
  </r>
  <r>
    <s v="53"/>
    <x v="1"/>
    <x v="2"/>
    <s v="UC32M020"/>
    <x v="33"/>
    <s v="A101"/>
    <s v="FORTALECIMIENTO INSTITUCIONAL"/>
    <s v="GC00A10100001D"/>
    <s v="GC00A10100001D GASTOS ADMINISTRATIVOS"/>
    <s v="53 BIENES Y SERVICIOS DE CONSUMO"/>
    <s v="530209 Servicios de Aseo, Lavado de Vestimenta"/>
    <s v="G/530209/1MA101"/>
    <s v="001"/>
    <n v="78000"/>
    <n v="32708.39"/>
    <n v="0"/>
    <n v="110708.39"/>
    <n v="3800.01"/>
    <n v="68879.839999999997"/>
    <n v="50505.61"/>
    <n v="41828.550000000003"/>
    <n v="60202.78"/>
    <n v="38028.54"/>
  </r>
  <r>
    <s v="53"/>
    <x v="2"/>
    <x v="7"/>
    <s v="ZS03F030"/>
    <x v="45"/>
    <s v="A101"/>
    <s v="FORTALECIMIENTO INSTITUCIONAL"/>
    <s v="GC00A10100001D"/>
    <s v="GC00A10100001D GASTOS ADMINISTRATIVOS"/>
    <s v="53 BIENES Y SERVICIOS DE CONSUMO"/>
    <s v="530209 Servicios de Aseo, Lavado de Vestimenta"/>
    <s v="G/530209/1FA101"/>
    <s v="001"/>
    <n v="186000"/>
    <n v="-7095.2"/>
    <n v="0"/>
    <n v="178904.8"/>
    <n v="0"/>
    <n v="172396.47"/>
    <n v="89304.37"/>
    <n v="6508.33"/>
    <n v="89600.43"/>
    <n v="6508.33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209 Servicios de Aseo, Lavado de Vestimenta"/>
    <s v="G/530209/1FA101"/>
    <s v="001"/>
    <n v="157000"/>
    <n v="0"/>
    <n v="-909.59"/>
    <n v="156090.41"/>
    <n v="0"/>
    <n v="156090.41"/>
    <n v="91052.71"/>
    <n v="0"/>
    <n v="65037.7"/>
    <n v="0"/>
  </r>
  <r>
    <s v="53"/>
    <x v="1"/>
    <x v="10"/>
    <s v="OL41I060"/>
    <x v="29"/>
    <s v="A101"/>
    <s v="FORTALECIMIENTO INSTITUCIONAL"/>
    <s v="GC00A10100001D"/>
    <s v="GC00A10100001D GASTOS ADMINISTRATIVOS"/>
    <s v="53 BIENES Y SERVICIOS DE CONSUMO"/>
    <s v="530209 Servicios de Aseo, Lavado de Vestimenta"/>
    <s v="G/530209/1IA101"/>
    <s v="001"/>
    <n v="69000"/>
    <n v="0"/>
    <n v="-1898.45"/>
    <n v="67101.55"/>
    <n v="0"/>
    <n v="67101.55"/>
    <n v="27008.35"/>
    <n v="0"/>
    <n v="40093.199999999997"/>
    <n v="0"/>
  </r>
  <r>
    <s v="53"/>
    <x v="1"/>
    <x v="10"/>
    <s v="EE11I010"/>
    <x v="37"/>
    <s v="A101"/>
    <s v="FORTALECIMIENTO INSTITUCIONAL"/>
    <s v="GC00A10100001D"/>
    <s v="GC00A10100001D GASTOS ADMINISTRATIVOS"/>
    <s v="53 BIENES Y SERVICIOS DE CONSUMO"/>
    <s v="530209 Servicios de Aseo, Lavado de Vestimenta"/>
    <s v="G/530209/1IA101"/>
    <s v="001"/>
    <n v="180000"/>
    <n v="0"/>
    <n v="0"/>
    <n v="180000"/>
    <n v="0"/>
    <n v="173722.75"/>
    <n v="73083.77"/>
    <n v="6277.25"/>
    <n v="106916.23"/>
    <n v="6277.25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0209 Servicios de Aseo, Lavado de Vestimenta"/>
    <s v="G/530209/1IA101"/>
    <s v="001"/>
    <n v="179021"/>
    <n v="-29000"/>
    <n v="0"/>
    <n v="150021"/>
    <n v="0"/>
    <n v="123076.8"/>
    <n v="104428.8"/>
    <n v="26944.2"/>
    <n v="45592.2"/>
    <n v="26944.2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209 Servicios de Aseo, Lavado de Vestimenta"/>
    <s v="G/530209/1BA101"/>
    <s v="002"/>
    <n v="68000"/>
    <n v="-4083.35"/>
    <n v="-1483.5"/>
    <n v="62433.15"/>
    <n v="302.39999999999998"/>
    <n v="62130.75"/>
    <n v="48989.07"/>
    <n v="302.39999999999998"/>
    <n v="13444.08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209 Servicios de Aseo, Lavado de Vestimenta"/>
    <s v="G/530209/1AA101"/>
    <s v="001"/>
    <n v="0"/>
    <n v="0"/>
    <n v="0.01"/>
    <n v="0.01"/>
    <n v="0"/>
    <n v="0"/>
    <n v="0"/>
    <n v="0.01"/>
    <n v="0.01"/>
    <n v="0.01"/>
  </r>
  <r>
    <s v="53"/>
    <x v="2"/>
    <x v="7"/>
    <s v="ZD07F070"/>
    <x v="43"/>
    <s v="A101"/>
    <s v="FORTALECIMIENTO INSTITUCIONAL"/>
    <s v="GC00A10100001D"/>
    <s v="GC00A10100001D GASTOS ADMINISTRATIVOS"/>
    <s v="53 BIENES Y SERVICIOS DE CONSUMO"/>
    <s v="530209 Servicios de Aseo, Lavado de Vestimenta"/>
    <s v="G/530209/1FA101"/>
    <s v="001"/>
    <n v="94000"/>
    <n v="-300"/>
    <n v="0"/>
    <n v="93700"/>
    <n v="0"/>
    <n v="93687.679999999993"/>
    <n v="58554.82"/>
    <n v="12.32"/>
    <n v="35145.18"/>
    <n v="12.32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209 Servicios de Aseo, Lavado de Vestimenta"/>
    <s v="G/530209/1AA101"/>
    <s v="002"/>
    <n v="93000"/>
    <n v="-8178.01"/>
    <n v="-3494.44"/>
    <n v="81327.55"/>
    <n v="22831.41"/>
    <n v="58496.14"/>
    <n v="58496.14"/>
    <n v="22831.41"/>
    <n v="22831.41"/>
    <n v="0"/>
  </r>
  <r>
    <s v="53"/>
    <x v="2"/>
    <x v="9"/>
    <s v="PM71N010"/>
    <x v="20"/>
    <s v="A101"/>
    <s v="FORTALECIMIENTO INSTITUCIONAL"/>
    <s v="GC00A10100001D"/>
    <s v="GC00A10100001D GASTOS ADMINISTRATIVOS"/>
    <s v="53 BIENES Y SERVICIOS DE CONSUMO"/>
    <s v="530209 Servicios de Aseo, Lavado de Vestimenta"/>
    <s v="G/530209/1NA101"/>
    <s v="001"/>
    <n v="234000"/>
    <n v="18753"/>
    <n v="0"/>
    <n v="252753"/>
    <n v="0"/>
    <n v="252498.5"/>
    <n v="212631.39"/>
    <n v="254.5"/>
    <n v="40121.61"/>
    <n v="254.5"/>
  </r>
  <r>
    <s v="53"/>
    <x v="1"/>
    <x v="10"/>
    <s v="CF22I050"/>
    <x v="38"/>
    <s v="A101"/>
    <s v="FORTALECIMIENTO INSTITUCIONAL"/>
    <s v="GC00A10100001D"/>
    <s v="GC00A10100001D GASTOS ADMINISTRATIVOS"/>
    <s v="53 BIENES Y SERVICIOS DE CONSUMO"/>
    <s v="530209 Servicios de Aseo, Lavado de Vestimenta"/>
    <s v="G/530209/1IA101"/>
    <s v="001"/>
    <n v="113000"/>
    <n v="0"/>
    <n v="0"/>
    <n v="113000"/>
    <n v="0"/>
    <n v="89510.399999999994"/>
    <n v="19207.439999999999"/>
    <n v="23489.599999999999"/>
    <n v="93792.56"/>
    <n v="23489.599999999999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209 Servicios de Aseo, Lavado de Vestimenta"/>
    <s v="G/530209/1PA101"/>
    <s v="001"/>
    <n v="168000"/>
    <n v="-11672.15"/>
    <n v="0"/>
    <n v="156327.85"/>
    <n v="0"/>
    <n v="156327.85"/>
    <n v="124657.3"/>
    <n v="0"/>
    <n v="31670.55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209 Servicios de Aseo, Lavado de Vestimenta"/>
    <s v="G/530209/1AA101"/>
    <s v="001"/>
    <n v="0"/>
    <n v="0"/>
    <n v="3494.44"/>
    <n v="3494.44"/>
    <n v="0"/>
    <n v="0"/>
    <n v="0"/>
    <n v="3494.44"/>
    <n v="3494.44"/>
    <n v="3494.44"/>
  </r>
  <r>
    <s v="53"/>
    <x v="2"/>
    <x v="7"/>
    <s v="ZT06F060"/>
    <x v="40"/>
    <s v="A101"/>
    <s v="FORTALECIMIENTO INSTITUCIONAL"/>
    <s v="GC00A10100001D"/>
    <s v="GC00A10100001D GASTOS ADMINISTRATIVOS"/>
    <s v="53 BIENES Y SERVICIOS DE CONSUMO"/>
    <s v="530209 Servicios de Aseo, Lavado de Vestimenta"/>
    <s v="G/530209/1FA101"/>
    <s v="001"/>
    <n v="82000"/>
    <n v="-10.49"/>
    <n v="0"/>
    <n v="81989.509999999995"/>
    <n v="0"/>
    <n v="81989.509999999995"/>
    <n v="44695.839999999997"/>
    <n v="0"/>
    <n v="37293.67"/>
    <n v="0"/>
  </r>
  <r>
    <s v="53"/>
    <x v="1"/>
    <x v="2"/>
    <s v="UN31M010"/>
    <x v="15"/>
    <s v="A101"/>
    <s v="FORTALECIMIENTO INSTITUCIONAL"/>
    <s v="GC00A10100001D"/>
    <s v="GC00A10100001D GASTOS ADMINISTRATIVOS"/>
    <s v="53 BIENES Y SERVICIOS DE CONSUMO"/>
    <s v="530209 Servicios de Aseo, Lavado de Vestimenta"/>
    <s v="G/530209/1MA101"/>
    <s v="001"/>
    <n v="133380"/>
    <n v="-67700"/>
    <n v="0"/>
    <n v="65680"/>
    <n v="283.88"/>
    <n v="61201.53"/>
    <n v="44128.01"/>
    <n v="4478.47"/>
    <n v="21551.99"/>
    <n v="4194.59"/>
  </r>
  <r>
    <s v="53"/>
    <x v="1"/>
    <x v="10"/>
    <s v="EQ13I030"/>
    <x v="35"/>
    <s v="A101"/>
    <s v="FORTALECIMIENTO INSTITUCIONAL"/>
    <s v="GC00A10100001D"/>
    <s v="GC00A10100001D GASTOS ADMINISTRATIVOS"/>
    <s v="53 BIENES Y SERVICIOS DE CONSUMO"/>
    <s v="530209 Servicios de Aseo, Lavado de Vestimenta"/>
    <s v="G/530209/1IA101"/>
    <s v="001"/>
    <n v="110000"/>
    <n v="-44643.33"/>
    <n v="0"/>
    <n v="65356.67"/>
    <n v="14195.9"/>
    <n v="51160.77"/>
    <n v="36242.370000000003"/>
    <n v="14195.9"/>
    <n v="29114.3"/>
    <n v="0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0225 Servicio de Incineración de Documentos Públ"/>
    <s v="G/530225/1MA101"/>
    <s v="001"/>
    <n v="1500"/>
    <n v="0"/>
    <n v="0"/>
    <n v="1500"/>
    <n v="0"/>
    <n v="0"/>
    <n v="0"/>
    <n v="1500"/>
    <n v="1500"/>
    <n v="1500"/>
  </r>
  <r>
    <s v="53"/>
    <x v="0"/>
    <x v="0"/>
    <s v="ZA01A006"/>
    <x v="50"/>
    <s v="A101"/>
    <s v="FORTALECIMIENTO INSTITUCIONAL"/>
    <s v="GC00A10100001D"/>
    <s v="GC00A10100001D GASTOS ADMINISTRATIVOS"/>
    <s v="53 BIENES Y SERVICIOS DE CONSUMO"/>
    <s v="530230 Digitalización de Información y Datos Pú"/>
    <s v="G/530230/1AA101"/>
    <s v="002"/>
    <n v="16000"/>
    <n v="0"/>
    <n v="-16000"/>
    <n v="0"/>
    <n v="0"/>
    <n v="0"/>
    <n v="0"/>
    <n v="0"/>
    <n v="0"/>
    <n v="0"/>
  </r>
  <r>
    <s v="53"/>
    <x v="0"/>
    <x v="1"/>
    <s v="ZA01C030"/>
    <x v="2"/>
    <s v="A101"/>
    <s v="FORTALECIMIENTO INSTITUCIONAL"/>
    <s v="GC00A10100001D"/>
    <s v="GC00A10100001D GASTOS ADMINISTRATIVOS"/>
    <s v="53 BIENES Y SERVICIOS DE CONSUMO"/>
    <s v="530230 Digitalización de Información y Datos Pú"/>
    <s v="G/530230/1CA101"/>
    <s v="002"/>
    <n v="24700"/>
    <n v="0"/>
    <n v="-24700"/>
    <n v="0"/>
    <n v="0"/>
    <n v="0"/>
    <n v="0"/>
    <n v="0"/>
    <n v="0"/>
    <n v="0"/>
  </r>
  <r>
    <s v="53"/>
    <x v="0"/>
    <x v="0"/>
    <s v="ZA01A005"/>
    <x v="48"/>
    <s v="A101"/>
    <s v="FORTALECIMIENTO INSTITUCIONAL"/>
    <s v="GC00A10100001D"/>
    <s v="GC00A10100001D GASTOS ADMINISTRATIVOS"/>
    <s v="53 BIENES Y SERVICIOS DE CONSUMO"/>
    <s v="530230 Digitalización de Información y Datos Pú"/>
    <s v="G/530230/1AA101"/>
    <s v="002"/>
    <n v="28000"/>
    <n v="0"/>
    <n v="-28000"/>
    <n v="0"/>
    <n v="0"/>
    <n v="0"/>
    <n v="0"/>
    <n v="0"/>
    <n v="0"/>
    <n v="0"/>
  </r>
  <r>
    <s v="53"/>
    <x v="3"/>
    <x v="6"/>
    <s v="AC67Q000"/>
    <x v="9"/>
    <s v="A101"/>
    <s v="FORTALECIMIENTO INSTITUCIONAL"/>
    <s v="GC00A10100001D"/>
    <s v="GC00A10100001D GASTOS ADMINISTRATIVOS"/>
    <s v="53 BIENES Y SERVICIOS DE CONSUMO"/>
    <s v="530230 Digitalización de Información y Datos Pú"/>
    <s v="G/530230/1QA101"/>
    <s v="001"/>
    <n v="5400"/>
    <n v="-5400"/>
    <n v="0"/>
    <n v="0"/>
    <n v="0"/>
    <n v="0"/>
    <n v="0"/>
    <n v="0"/>
    <n v="0"/>
    <n v="0"/>
  </r>
  <r>
    <s v="53"/>
    <x v="2"/>
    <x v="13"/>
    <s v="ZA01D000"/>
    <x v="22"/>
    <s v="A101"/>
    <s v="FORTALECIMIENTO INSTITUCIONAL"/>
    <s v="GC00A10100001D"/>
    <s v="GC00A10100001D GASTOS ADMINISTRATIVOS"/>
    <s v="53 BIENES Y SERVICIOS DE CONSUMO"/>
    <s v="530230 Digitalización de Información y Datos Pú"/>
    <s v="G/530230/1DA101"/>
    <s v="001"/>
    <n v="14000"/>
    <n v="-14000"/>
    <n v="0"/>
    <n v="0"/>
    <n v="0"/>
    <n v="0"/>
    <n v="0"/>
    <n v="0"/>
    <n v="0"/>
    <n v="0"/>
  </r>
  <r>
    <s v="53"/>
    <x v="0"/>
    <x v="1"/>
    <s v="ZA01C000"/>
    <x v="24"/>
    <s v="A101"/>
    <s v="FORTALECIMIENTO INSTITUCIONAL"/>
    <s v="GC00A10100001D"/>
    <s v="GC00A10100001D GASTOS ADMINISTRATIVOS"/>
    <s v="53 BIENES Y SERVICIOS DE CONSUMO"/>
    <s v="530235 Servicio de Alimentación"/>
    <s v="G/530235/1CA101"/>
    <s v="001"/>
    <n v="0"/>
    <n v="0"/>
    <n v="42272.73"/>
    <n v="42272.73"/>
    <n v="0"/>
    <n v="0"/>
    <n v="0"/>
    <n v="42272.73"/>
    <n v="42272.73"/>
    <n v="42272.73"/>
  </r>
  <r>
    <s v="53"/>
    <x v="0"/>
    <x v="0"/>
    <s v="ZA01A000"/>
    <x v="3"/>
    <s v="A101"/>
    <s v="FORTALECIMIENTO INSTITUCIONAL"/>
    <s v="GC00A10100001D"/>
    <s v="GC00A10100001D GASTOS ADMINISTRATIVOS"/>
    <s v="53 BIENES Y SERVICIOS DE CONSUMO"/>
    <s v="530235 Servicio de Alimentación"/>
    <s v="G/530235/1AA101"/>
    <s v="002"/>
    <n v="1000"/>
    <n v="-313.22000000000003"/>
    <n v="-686.78"/>
    <n v="0"/>
    <n v="0"/>
    <n v="0"/>
    <n v="0"/>
    <n v="0"/>
    <n v="0"/>
    <n v="0"/>
  </r>
  <r>
    <s v="53"/>
    <x v="0"/>
    <x v="1"/>
    <s v="ZA01C000"/>
    <x v="24"/>
    <s v="A101"/>
    <s v="FORTALECIMIENTO INSTITUCIONAL"/>
    <s v="GC00A10100001D"/>
    <s v="GC00A10100001D GASTOS ADMINISTRATIVOS"/>
    <s v="53 BIENES Y SERVICIOS DE CONSUMO"/>
    <s v="530235 Servicio de Alimentación"/>
    <s v="G/530235/1CA101"/>
    <s v="002"/>
    <n v="42272.73"/>
    <n v="0"/>
    <n v="-42272.73"/>
    <n v="0"/>
    <n v="0"/>
    <n v="0"/>
    <n v="0"/>
    <n v="0"/>
    <n v="0"/>
    <n v="0"/>
  </r>
  <r>
    <s v="53"/>
    <x v="2"/>
    <x v="3"/>
    <s v="AT69K040"/>
    <x v="16"/>
    <s v="A101"/>
    <s v="FORTALECIMIENTO INSTITUCIONAL"/>
    <s v="GC00A10100001D"/>
    <s v="GC00A10100001D GASTOS ADMINISTRATIVOS"/>
    <s v="53 BIENES Y SERVICIOS DE CONSUMO"/>
    <s v="530235 Servicio de Alimentación"/>
    <s v="G/530235/1KA101"/>
    <s v="001"/>
    <n v="282141.90000000002"/>
    <n v="-19233.310000000001"/>
    <n v="0"/>
    <n v="262908.59000000003"/>
    <n v="10049.69"/>
    <n v="221193.96"/>
    <n v="175020.36"/>
    <n v="41714.629999999997"/>
    <n v="87888.23"/>
    <n v="31664.94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0235 Servicio de Alimentación"/>
    <s v="G/530235/1IA101"/>
    <s v="001"/>
    <n v="800"/>
    <n v="0"/>
    <n v="0"/>
    <n v="800"/>
    <n v="0"/>
    <n v="0"/>
    <n v="0"/>
    <n v="800"/>
    <n v="800"/>
    <n v="800"/>
  </r>
  <r>
    <s v="53"/>
    <x v="0"/>
    <x v="0"/>
    <s v="ZA01A000"/>
    <x v="3"/>
    <s v="A101"/>
    <s v="FORTALECIMIENTO INSTITUCIONAL"/>
    <s v="GC00A10100001D"/>
    <s v="GC00A10100001D GASTOS ADMINISTRATIVOS"/>
    <s v="53 BIENES Y SERVICIOS DE CONSUMO"/>
    <s v="530235 Servicio de Alimentación"/>
    <s v="G/530235/1AA101"/>
    <s v="001"/>
    <n v="0"/>
    <n v="0"/>
    <n v="686.78"/>
    <n v="686.78"/>
    <n v="0"/>
    <n v="0"/>
    <n v="0"/>
    <n v="686.78"/>
    <n v="686.78"/>
    <n v="686.78"/>
  </r>
  <r>
    <s v="53"/>
    <x v="2"/>
    <x v="13"/>
    <s v="ZA01D000"/>
    <x v="22"/>
    <s v="A101"/>
    <s v="FORTALECIMIENTO INSTITUCIONAL"/>
    <s v="GC00A10100001D"/>
    <s v="GC00A10100001D GASTOS ADMINISTRATIVOS"/>
    <s v="53 BIENES Y SERVICIOS DE CONSUMO"/>
    <s v="530241 Servicio de Monitoreo de la Información en"/>
    <s v="G/530241/1DA101"/>
    <s v="001"/>
    <n v="5824"/>
    <n v="-5824"/>
    <n v="0"/>
    <n v="0"/>
    <n v="0"/>
    <n v="0"/>
    <n v="0"/>
    <n v="0"/>
    <n v="0"/>
    <n v="0"/>
  </r>
  <r>
    <s v="53"/>
    <x v="2"/>
    <x v="7"/>
    <s v="ZM04F040"/>
    <x v="41"/>
    <s v="A101"/>
    <s v="FORTALECIMIENTO INSTITUCIONAL"/>
    <s v="GC00A10100001D"/>
    <s v="GC00A10100001D GASTOS ADMINISTRATIVOS"/>
    <s v="53 BIENES Y SERVICIOS DE CONSUMO"/>
    <s v="530243 Garantía extendida de bienes"/>
    <s v="G/530243/1FA101"/>
    <s v="001"/>
    <n v="0"/>
    <n v="2050"/>
    <n v="-1250"/>
    <n v="800"/>
    <n v="0"/>
    <n v="445.98"/>
    <n v="0"/>
    <n v="354.02"/>
    <n v="800"/>
    <n v="354.02"/>
  </r>
  <r>
    <s v="53"/>
    <x v="2"/>
    <x v="7"/>
    <s v="ZD07F070"/>
    <x v="43"/>
    <s v="A101"/>
    <s v="FORTALECIMIENTO INSTITUCIONAL"/>
    <s v="GC00A10100001D"/>
    <s v="GC00A10100001D GASTOS ADMINISTRATIVOS"/>
    <s v="53 BIENES Y SERVICIOS DE CONSUMO"/>
    <s v="530246 Servicios de Identificación, Marcación, Aut"/>
    <s v="G/530246/1FA101"/>
    <s v="001"/>
    <n v="0"/>
    <n v="7840"/>
    <n v="0"/>
    <n v="7840"/>
    <n v="0"/>
    <n v="7840"/>
    <n v="3920"/>
    <n v="0"/>
    <n v="3920"/>
    <n v="0"/>
  </r>
  <r>
    <s v="53"/>
    <x v="2"/>
    <x v="7"/>
    <s v="ZT06F060"/>
    <x v="40"/>
    <s v="A101"/>
    <s v="FORTALECIMIENTO INSTITUCIONAL"/>
    <s v="GC00A10100001D"/>
    <s v="GC00A10100001D GASTOS ADMINISTRATIVOS"/>
    <s v="53 BIENES Y SERVICIOS DE CONSUMO"/>
    <s v="530246 Servicios de Identificación, Marcación, Aut"/>
    <s v="G/530246/1FA101"/>
    <s v="001"/>
    <n v="2000"/>
    <n v="0"/>
    <n v="0"/>
    <n v="2000"/>
    <n v="212.48"/>
    <n v="1787.52"/>
    <n v="1787.52"/>
    <n v="212.48"/>
    <n v="212.48"/>
    <n v="0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246 Servicios de Identificación, Marcación, Aut"/>
    <s v="G/530246/1FA101"/>
    <s v="001"/>
    <n v="2000"/>
    <n v="-500"/>
    <n v="-44"/>
    <n v="1456"/>
    <n v="0"/>
    <n v="1456"/>
    <n v="1456"/>
    <n v="0"/>
    <n v="0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249 Eventos Públicos Promocionales"/>
    <s v="G/530249/1AA101"/>
    <s v="002"/>
    <n v="60000"/>
    <n v="0"/>
    <n v="-60000"/>
    <n v="0"/>
    <n v="0"/>
    <n v="0"/>
    <n v="0"/>
    <n v="0"/>
    <n v="0"/>
    <n v="0"/>
  </r>
  <r>
    <s v="53"/>
    <x v="2"/>
    <x v="3"/>
    <s v="ZA01K000"/>
    <x v="6"/>
    <s v="A101"/>
    <s v="FORTALECIMIENTO INSTITUCIONAL"/>
    <s v="GC00A10100001D"/>
    <s v="GC00A10100001D GASTOS ADMINISTRATIVOS"/>
    <s v="53 BIENES Y SERVICIOS DE CONSUMO"/>
    <s v="530249 Eventos Públicos Promocionales"/>
    <s v="G/530249/1KA101"/>
    <s v="001"/>
    <n v="5500"/>
    <n v="0"/>
    <n v="0"/>
    <n v="5500"/>
    <n v="0"/>
    <n v="5500"/>
    <n v="5500"/>
    <n v="0"/>
    <n v="0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301 Pasajes al Interior"/>
    <s v="G/530301/1AA101"/>
    <s v="002"/>
    <n v="2000"/>
    <n v="0"/>
    <n v="0"/>
    <n v="2000"/>
    <n v="0"/>
    <n v="2000"/>
    <n v="762.42"/>
    <n v="0"/>
    <n v="1237.58"/>
    <n v="0"/>
  </r>
  <r>
    <s v="53"/>
    <x v="1"/>
    <x v="2"/>
    <s v="ZA01M000"/>
    <x v="42"/>
    <s v="A101"/>
    <s v="FORTALECIMIENTO INSTITUCIONAL"/>
    <s v="GC00A10100001D"/>
    <s v="GC00A10100001D GASTOS ADMINISTRATIVOS"/>
    <s v="53 BIENES Y SERVICIOS DE CONSUMO"/>
    <s v="530301 Pasajes al Interior"/>
    <s v="G/530301/1MA101"/>
    <s v="001"/>
    <n v="0"/>
    <n v="700"/>
    <n v="0"/>
    <n v="700"/>
    <n v="700"/>
    <n v="0"/>
    <n v="0"/>
    <n v="700"/>
    <n v="700"/>
    <n v="0"/>
  </r>
  <r>
    <s v="53"/>
    <x v="0"/>
    <x v="0"/>
    <s v="ZA01A000"/>
    <x v="3"/>
    <s v="A101"/>
    <s v="FORTALECIMIENTO INSTITUCIONAL"/>
    <s v="GC00A10100001D"/>
    <s v="GC00A10100001D GASTOS ADMINISTRATIVOS"/>
    <s v="53 BIENES Y SERVICIOS DE CONSUMO"/>
    <s v="530301 Pasajes al Interior"/>
    <s v="G/530301/1AA101"/>
    <s v="002"/>
    <n v="4000"/>
    <n v="313.22000000000003"/>
    <n v="-3008"/>
    <n v="1305.22"/>
    <n v="74.39"/>
    <n v="1230.83"/>
    <n v="1230.83"/>
    <n v="74.39"/>
    <n v="74.39"/>
    <n v="0"/>
  </r>
  <r>
    <s v="53"/>
    <x v="0"/>
    <x v="0"/>
    <s v="ZA01A000"/>
    <x v="3"/>
    <s v="A101"/>
    <s v="FORTALECIMIENTO INSTITUCIONAL"/>
    <s v="GC00A10100001D"/>
    <s v="GC00A10100001D GASTOS ADMINISTRATIVOS"/>
    <s v="53 BIENES Y SERVICIOS DE CONSUMO"/>
    <s v="530301 Pasajes al Interior"/>
    <s v="G/530301/1AA101"/>
    <s v="001"/>
    <n v="0"/>
    <n v="0"/>
    <n v="3008"/>
    <n v="3008"/>
    <n v="0"/>
    <n v="0"/>
    <n v="0"/>
    <n v="3008"/>
    <n v="3008"/>
    <n v="3008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301 Pasajes al Interior"/>
    <s v="G/530301/1PA101"/>
    <s v="001"/>
    <n v="1000"/>
    <n v="-792.5"/>
    <n v="0"/>
    <n v="207.5"/>
    <n v="0"/>
    <n v="9.5500000000000007"/>
    <n v="9.5500000000000007"/>
    <n v="197.95"/>
    <n v="197.95"/>
    <n v="197.95"/>
  </r>
  <r>
    <s v="53"/>
    <x v="0"/>
    <x v="1"/>
    <s v="ZA01C002"/>
    <x v="11"/>
    <s v="A101"/>
    <s v="FORTALECIMIENTO INSTITUCIONAL"/>
    <s v="GC00A10100001D"/>
    <s v="GC00A10100001D GASTOS ADMINISTRATIVOS"/>
    <s v="53 BIENES Y SERVICIOS DE CONSUMO"/>
    <s v="530302 Pasajes al Exterior"/>
    <s v="G/530302/1CA101"/>
    <s v="001"/>
    <n v="0"/>
    <n v="0"/>
    <n v="21713.22"/>
    <n v="21713.22"/>
    <n v="0"/>
    <n v="0"/>
    <n v="0"/>
    <n v="21713.22"/>
    <n v="21713.22"/>
    <n v="21713.22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302 Pasajes al Exterior"/>
    <s v="G/530302/1PA101"/>
    <s v="001"/>
    <n v="5000"/>
    <n v="-5000"/>
    <n v="0"/>
    <n v="0"/>
    <n v="0"/>
    <n v="0"/>
    <n v="0"/>
    <n v="0"/>
    <n v="0"/>
    <n v="0"/>
  </r>
  <r>
    <s v="53"/>
    <x v="0"/>
    <x v="1"/>
    <s v="ZA01C002"/>
    <x v="11"/>
    <s v="A101"/>
    <s v="FORTALECIMIENTO INSTITUCIONAL"/>
    <s v="GC00A10100001D"/>
    <s v="GC00A10100001D GASTOS ADMINISTRATIVOS"/>
    <s v="53 BIENES Y SERVICIOS DE CONSUMO"/>
    <s v="530302 Pasajes al Exterior"/>
    <s v="G/530302/1CA101"/>
    <s v="002"/>
    <n v="30000"/>
    <n v="0"/>
    <n v="-25482.82"/>
    <n v="4517.18"/>
    <n v="0"/>
    <n v="4517.18"/>
    <n v="4517.18"/>
    <n v="0"/>
    <n v="0"/>
    <n v="0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303 Viáticos y Subsistencias en el Interior"/>
    <s v="G/530303/1PA101"/>
    <s v="001"/>
    <n v="500"/>
    <n v="-200"/>
    <n v="0"/>
    <n v="300"/>
    <n v="0"/>
    <n v="0"/>
    <n v="0"/>
    <n v="300"/>
    <n v="300"/>
    <n v="300"/>
  </r>
  <r>
    <s v="53"/>
    <x v="0"/>
    <x v="0"/>
    <s v="ZA01A000"/>
    <x v="3"/>
    <s v="A101"/>
    <s v="FORTALECIMIENTO INSTITUCIONAL"/>
    <s v="GC00A10100001D"/>
    <s v="GC00A10100001D GASTOS ADMINISTRATIVOS"/>
    <s v="53 BIENES Y SERVICIOS DE CONSUMO"/>
    <s v="530303 Viáticos y Subsistencias en el Interior"/>
    <s v="G/530303/1AA101"/>
    <s v="002"/>
    <n v="6200"/>
    <n v="0"/>
    <n v="0"/>
    <n v="6200"/>
    <n v="0"/>
    <n v="160"/>
    <n v="160"/>
    <n v="6040"/>
    <n v="6040"/>
    <n v="6040"/>
  </r>
  <r>
    <s v="53"/>
    <x v="0"/>
    <x v="0"/>
    <s v="ZA01A000"/>
    <x v="3"/>
    <s v="A101"/>
    <s v="FORTALECIMIENTO INSTITUCIONAL"/>
    <s v="GC00A10100001D"/>
    <s v="GC00A10100001D GASTOS ADMINISTRATIVOS"/>
    <s v="53 BIENES Y SERVICIOS DE CONSUMO"/>
    <s v="530304 Viáticos y Subsistencias en el Exterior"/>
    <s v="G/530304/1AA101"/>
    <s v="002"/>
    <n v="5100"/>
    <n v="0"/>
    <n v="0"/>
    <n v="5100"/>
    <n v="0"/>
    <n v="2107.15"/>
    <n v="2107.15"/>
    <n v="2992.85"/>
    <n v="2992.85"/>
    <n v="2992.85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304 Viáticos y Subsistencias en el Exterior"/>
    <s v="G/530304/1PA101"/>
    <s v="001"/>
    <n v="1500"/>
    <n v="-1500"/>
    <n v="0"/>
    <n v="0"/>
    <n v="0"/>
    <n v="0"/>
    <n v="0"/>
    <n v="0"/>
    <n v="0"/>
    <n v="0"/>
  </r>
  <r>
    <s v="53"/>
    <x v="0"/>
    <x v="0"/>
    <s v="ZA01A002"/>
    <x v="4"/>
    <s v="A101"/>
    <s v="FORTALECIMIENTO INSTITUCIONAL"/>
    <s v="GC00A10100001D"/>
    <s v="GC00A10100001D GASTOS ADMINISTRATIVOS"/>
    <s v="53 BIENES Y SERVICIOS DE CONSUMO"/>
    <s v="530402 Edificios, Locales, Residencias y Cablea"/>
    <s v="G/530402/1AA101"/>
    <s v="002"/>
    <n v="25000"/>
    <n v="0"/>
    <n v="-25000"/>
    <n v="0"/>
    <n v="0"/>
    <n v="0"/>
    <n v="0"/>
    <n v="0"/>
    <n v="0"/>
    <n v="0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0402 Edificios, Locales, Residencias y Cablea"/>
    <s v="G/530402/1MA101"/>
    <s v="001"/>
    <n v="15000"/>
    <n v="32040.959999999999"/>
    <n v="0"/>
    <n v="47040.959999999999"/>
    <n v="0"/>
    <n v="43070.04"/>
    <n v="42903.16"/>
    <n v="3970.92"/>
    <n v="4137.8"/>
    <n v="3970.92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402 Edificios, Locales, Residencias y Cablea"/>
    <s v="G/530402/1FA101"/>
    <s v="001"/>
    <n v="53000"/>
    <n v="-47861.06"/>
    <n v="-200"/>
    <n v="4938.9399999999996"/>
    <n v="0"/>
    <n v="4938.9399999999996"/>
    <n v="3949.12"/>
    <n v="0"/>
    <n v="989.82"/>
    <n v="0"/>
  </r>
  <r>
    <s v="53"/>
    <x v="2"/>
    <x v="13"/>
    <s v="ZA01D000"/>
    <x v="22"/>
    <s v="A101"/>
    <s v="FORTALECIMIENTO INSTITUCIONAL"/>
    <s v="GC00A10100001D"/>
    <s v="GC00A10100001D GASTOS ADMINISTRATIVOS"/>
    <s v="53 BIENES Y SERVICIOS DE CONSUMO"/>
    <s v="530402 Edificios, Locales, Residencias y Cablea"/>
    <s v="G/530402/1DA101"/>
    <s v="001"/>
    <n v="60000"/>
    <n v="-1687.05"/>
    <n v="-49908"/>
    <n v="8404.9500000000007"/>
    <n v="0"/>
    <n v="0"/>
    <n v="0"/>
    <n v="8404.9500000000007"/>
    <n v="8404.9500000000007"/>
    <n v="8404.9500000000007"/>
  </r>
  <r>
    <s v="53"/>
    <x v="1"/>
    <x v="10"/>
    <s v="JM40I070"/>
    <x v="27"/>
    <s v="A101"/>
    <s v="FORTALECIMIENTO INSTITUCIONAL"/>
    <s v="GC00A10100001D"/>
    <s v="GC00A10100001D GASTOS ADMINISTRATIVOS"/>
    <s v="53 BIENES Y SERVICIOS DE CONSUMO"/>
    <s v="530402 Edificios, Locales, Residencias y Cablea"/>
    <s v="G/530402/1IA101"/>
    <s v="001"/>
    <n v="10000"/>
    <n v="0"/>
    <n v="0"/>
    <n v="10000"/>
    <n v="0"/>
    <n v="10000"/>
    <n v="0"/>
    <n v="0"/>
    <n v="10000"/>
    <n v="0"/>
  </r>
  <r>
    <s v="53"/>
    <x v="2"/>
    <x v="7"/>
    <s v="ZT06F060"/>
    <x v="40"/>
    <s v="A101"/>
    <s v="FORTALECIMIENTO INSTITUCIONAL"/>
    <s v="GC00A10100001D"/>
    <s v="GC00A10100001D GASTOS ADMINISTRATIVOS"/>
    <s v="53 BIENES Y SERVICIOS DE CONSUMO"/>
    <s v="530402 Edificios, Locales, Residencias y Cablea"/>
    <s v="G/530402/1FA101"/>
    <s v="001"/>
    <n v="100000"/>
    <n v="-28501.26"/>
    <n v="0"/>
    <n v="71498.740000000005"/>
    <n v="4270.22"/>
    <n v="6515.38"/>
    <n v="0"/>
    <n v="64983.360000000001"/>
    <n v="71498.740000000005"/>
    <n v="60713.14"/>
  </r>
  <r>
    <s v="53"/>
    <x v="1"/>
    <x v="15"/>
    <s v="ZA01G000"/>
    <x v="26"/>
    <s v="A101"/>
    <s v="FORTALECIMIENTO INSTITUCIONAL"/>
    <s v="GC00A10100001D"/>
    <s v="GC00A10100001D GASTOS ADMINISTRATIVOS"/>
    <s v="53 BIENES Y SERVICIOS DE CONSUMO"/>
    <s v="530402 Edificios, Locales, Residencias y Cablea"/>
    <s v="G/530402/1GA101"/>
    <s v="001"/>
    <n v="15000"/>
    <n v="0"/>
    <n v="-15000"/>
    <n v="0"/>
    <n v="0"/>
    <n v="0"/>
    <n v="0"/>
    <n v="0"/>
    <n v="0"/>
    <n v="0"/>
  </r>
  <r>
    <s v="53"/>
    <x v="1"/>
    <x v="10"/>
    <s v="ZA01I000"/>
    <x v="18"/>
    <s v="A101"/>
    <s v="FORTALECIMIENTO INSTITUCIONAL"/>
    <s v="GC00A10100001D"/>
    <s v="GC00A10100001D GASTOS ADMINISTRATIVOS"/>
    <s v="53 BIENES Y SERVICIOS DE CONSUMO"/>
    <s v="530402 Edificios, Locales, Residencias y Cablea"/>
    <s v="G/530402/1IA101"/>
    <s v="001"/>
    <n v="445300"/>
    <n v="-268103.18"/>
    <n v="-65000"/>
    <n v="112196.82"/>
    <n v="0"/>
    <n v="0"/>
    <n v="0"/>
    <n v="112196.82"/>
    <n v="112196.82"/>
    <n v="112196.82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402 Edificios, Locales, Residencias y Cablea"/>
    <s v="G/530402/1BA101"/>
    <s v="002"/>
    <n v="6000"/>
    <n v="5802.78"/>
    <n v="-3252.86"/>
    <n v="8549.92"/>
    <n v="0"/>
    <n v="8549.92"/>
    <n v="8221.3700000000008"/>
    <n v="0"/>
    <n v="328.55"/>
    <n v="0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0402 Edificios, Locales, Residencias y Cablea"/>
    <s v="G/530402/1IA101"/>
    <s v="001"/>
    <n v="33700"/>
    <n v="12500"/>
    <n v="0"/>
    <n v="46200"/>
    <n v="121.29"/>
    <n v="16587.11"/>
    <n v="8092"/>
    <n v="29612.89"/>
    <n v="38108"/>
    <n v="29491.599999999999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402 Edificios, Locales, Residencias y Cablea"/>
    <s v="G/530402/1BA101"/>
    <s v="001"/>
    <n v="0"/>
    <n v="0"/>
    <n v="3252.86"/>
    <n v="3252.86"/>
    <n v="0"/>
    <n v="0"/>
    <n v="0"/>
    <n v="3252.86"/>
    <n v="3252.86"/>
    <n v="3252.86"/>
  </r>
  <r>
    <s v="53"/>
    <x v="1"/>
    <x v="2"/>
    <s v="ZA01M000"/>
    <x v="42"/>
    <s v="A101"/>
    <s v="FORTALECIMIENTO INSTITUCIONAL"/>
    <s v="GC00A10100001D"/>
    <s v="GC00A10100001D GASTOS ADMINISTRATIVOS"/>
    <s v="53 BIENES Y SERVICIOS DE CONSUMO"/>
    <s v="530402 Edificios, Locales, Residencias y Cablea"/>
    <s v="G/530402/1MA101"/>
    <s v="001"/>
    <n v="100000"/>
    <n v="-8810"/>
    <n v="0"/>
    <n v="91190"/>
    <n v="0"/>
    <n v="0"/>
    <n v="0"/>
    <n v="91190"/>
    <n v="91190"/>
    <n v="91190"/>
  </r>
  <r>
    <s v="53"/>
    <x v="2"/>
    <x v="8"/>
    <s v="ZA01P000"/>
    <x v="32"/>
    <s v="A101"/>
    <s v="FORTALECIMIENTO INSTITUCIONAL"/>
    <s v="GC00A10100001D"/>
    <s v="GC00A10100001D GASTOS ADMINISTRATIVOS"/>
    <s v="53 BIENES Y SERVICIOS DE CONSUMO"/>
    <s v="530402 Edificios, Locales, Residencias y Cablea"/>
    <s v="G/530402/1PA101"/>
    <s v="001"/>
    <n v="5000"/>
    <n v="0"/>
    <n v="-2500"/>
    <n v="2500"/>
    <n v="0"/>
    <n v="0"/>
    <n v="0"/>
    <n v="2500"/>
    <n v="2500"/>
    <n v="2500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402 Edificios, Locales, Residencias y Cablea"/>
    <s v="G/530402/1FA101"/>
    <s v="001"/>
    <n v="24000"/>
    <n v="0"/>
    <n v="-24000"/>
    <n v="0"/>
    <n v="0"/>
    <n v="0"/>
    <n v="0"/>
    <n v="0"/>
    <n v="0"/>
    <n v="0"/>
  </r>
  <r>
    <s v="53"/>
    <x v="2"/>
    <x v="9"/>
    <s v="PM71N010"/>
    <x v="20"/>
    <s v="A101"/>
    <s v="FORTALECIMIENTO INSTITUCIONAL"/>
    <s v="GC00A10100001D"/>
    <s v="GC00A10100001D GASTOS ADMINISTRATIVOS"/>
    <s v="53 BIENES Y SERVICIOS DE CONSUMO"/>
    <s v="530402 Edificios, Locales, Residencias y Cablea"/>
    <s v="G/530402/1NA101"/>
    <s v="001"/>
    <n v="100000"/>
    <n v="-99800"/>
    <n v="0"/>
    <n v="200"/>
    <n v="0"/>
    <n v="200"/>
    <n v="0"/>
    <n v="0"/>
    <n v="200"/>
    <n v="0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0402 Edificios, Locales, Residencias y Cablea"/>
    <s v="G/530402/1IA101"/>
    <s v="001"/>
    <n v="30936"/>
    <n v="106583.72"/>
    <n v="0"/>
    <n v="137519.72"/>
    <n v="6.27"/>
    <n v="62714.53"/>
    <n v="43504.33"/>
    <n v="74805.19"/>
    <n v="94015.39"/>
    <n v="74798.92"/>
  </r>
  <r>
    <s v="53"/>
    <x v="2"/>
    <x v="7"/>
    <s v="ZC09F090"/>
    <x v="10"/>
    <s v="A101"/>
    <s v="FORTALECIMIENTO INSTITUCIONAL"/>
    <s v="GC00A10100001D"/>
    <s v="GC00A10100001D GASTOS ADMINISTRATIVOS"/>
    <s v="53 BIENES Y SERVICIOS DE CONSUMO"/>
    <s v="530402 Edificios, Locales, Residencias y Cablea"/>
    <s v="G/530402/1FA101"/>
    <s v="001"/>
    <n v="24000"/>
    <n v="0"/>
    <n v="-16000"/>
    <n v="8000"/>
    <n v="356"/>
    <n v="7644"/>
    <n v="0"/>
    <n v="356"/>
    <n v="8000"/>
    <n v="0"/>
  </r>
  <r>
    <s v="53"/>
    <x v="1"/>
    <x v="10"/>
    <s v="EE11I010"/>
    <x v="37"/>
    <s v="A101"/>
    <s v="FORTALECIMIENTO INSTITUCIONAL"/>
    <s v="GC00A10100001D"/>
    <s v="GC00A10100001D GASTOS ADMINISTRATIVOS"/>
    <s v="53 BIENES Y SERVICIOS DE CONSUMO"/>
    <s v="530402 Edificios, Locales, Residencias y Cablea"/>
    <s v="G/530402/1IA101"/>
    <s v="001"/>
    <n v="42180"/>
    <n v="-5824"/>
    <n v="0"/>
    <n v="36356"/>
    <n v="0"/>
    <n v="0"/>
    <n v="0"/>
    <n v="36356"/>
    <n v="36356"/>
    <n v="36356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402 Edificios, Locales, Residencias y Cablea"/>
    <s v="G/530402/1AA101"/>
    <s v="002"/>
    <n v="325000"/>
    <n v="7840"/>
    <n v="-181237.37"/>
    <n v="151602.63"/>
    <n v="593.4"/>
    <n v="151009.23000000001"/>
    <n v="74588.3"/>
    <n v="593.4"/>
    <n v="77014.33"/>
    <n v="0"/>
  </r>
  <r>
    <s v="53"/>
    <x v="1"/>
    <x v="10"/>
    <s v="EQ13I030"/>
    <x v="35"/>
    <s v="A101"/>
    <s v="FORTALECIMIENTO INSTITUCIONAL"/>
    <s v="GC00A10100001D"/>
    <s v="GC00A10100001D GASTOS ADMINISTRATIVOS"/>
    <s v="53 BIENES Y SERVICIOS DE CONSUMO"/>
    <s v="530402 Edificios, Locales, Residencias y Cablea"/>
    <s v="G/530402/1IA101"/>
    <s v="001"/>
    <n v="4000"/>
    <n v="96915.33"/>
    <n v="0"/>
    <n v="100915.33"/>
    <n v="0"/>
    <n v="7000"/>
    <n v="0"/>
    <n v="93915.33"/>
    <n v="100915.33"/>
    <n v="93915.33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402 Edificios, Locales, Residencias y Cablea"/>
    <s v="G/530402/1AA101"/>
    <s v="002"/>
    <n v="0"/>
    <n v="24548.18"/>
    <n v="-37.14"/>
    <n v="24511.040000000001"/>
    <n v="12542.81"/>
    <n v="11968.23"/>
    <n v="5742.91"/>
    <n v="12542.81"/>
    <n v="18768.13"/>
    <n v="0"/>
  </r>
  <r>
    <s v="53"/>
    <x v="2"/>
    <x v="7"/>
    <s v="ZD07F070"/>
    <x v="43"/>
    <s v="A101"/>
    <s v="FORTALECIMIENTO INSTITUCIONAL"/>
    <s v="GC00A10100001D"/>
    <s v="GC00A10100001D GASTOS ADMINISTRATIVOS"/>
    <s v="53 BIENES Y SERVICIOS DE CONSUMO"/>
    <s v="530402 Edificios, Locales, Residencias y Cablea"/>
    <s v="G/530402/1FA101"/>
    <s v="001"/>
    <n v="100000"/>
    <n v="-49271.66"/>
    <n v="-10000"/>
    <n v="40728.339999999997"/>
    <n v="7110.89"/>
    <n v="31070.35"/>
    <n v="18372.330000000002"/>
    <n v="9657.99"/>
    <n v="22356.01"/>
    <n v="2547.1"/>
  </r>
  <r>
    <s v="53"/>
    <x v="2"/>
    <x v="7"/>
    <s v="ZQ08F080"/>
    <x v="44"/>
    <s v="A101"/>
    <s v="FORTALECIMIENTO INSTITUCIONAL"/>
    <s v="GC00A10100001D"/>
    <s v="GC00A10100001D GASTOS ADMINISTRATIVOS"/>
    <s v="53 BIENES Y SERVICIOS DE CONSUMO"/>
    <s v="530402 Edificios, Locales, Residencias y Cablea"/>
    <s v="G/530402/1FA101"/>
    <s v="001"/>
    <n v="44500"/>
    <n v="0"/>
    <n v="-36660"/>
    <n v="7840"/>
    <n v="0"/>
    <n v="6923.3"/>
    <n v="0"/>
    <n v="916.7"/>
    <n v="7840"/>
    <n v="916.7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402 Edificios, Locales, Residencias y Cablea"/>
    <s v="G/530402/1PA101"/>
    <s v="001"/>
    <n v="50"/>
    <n v="-50"/>
    <n v="0"/>
    <n v="0"/>
    <n v="0"/>
    <n v="0"/>
    <n v="0"/>
    <n v="0"/>
    <n v="0"/>
    <n v="0"/>
  </r>
  <r>
    <s v="53"/>
    <x v="1"/>
    <x v="10"/>
    <s v="OL41I060"/>
    <x v="29"/>
    <s v="A101"/>
    <s v="FORTALECIMIENTO INSTITUCIONAL"/>
    <s v="GC00A10100001D"/>
    <s v="GC00A10100001D GASTOS ADMINISTRATIVOS"/>
    <s v="53 BIENES Y SERVICIOS DE CONSUMO"/>
    <s v="530402 Edificios, Locales, Residencias y Cablea"/>
    <s v="G/530402/1IA101"/>
    <s v="001"/>
    <n v="13345"/>
    <n v="19713"/>
    <n v="0"/>
    <n v="33058"/>
    <n v="0"/>
    <n v="32995.68"/>
    <n v="0"/>
    <n v="62.32"/>
    <n v="33058"/>
    <n v="62.32"/>
  </r>
  <r>
    <s v="53"/>
    <x v="2"/>
    <x v="7"/>
    <s v="TM68F100"/>
    <x v="36"/>
    <s v="A101"/>
    <s v="FORTALECIMIENTO INSTITUCIONAL"/>
    <s v="GC00A10100001D"/>
    <s v="GC00A10100001D GASTOS ADMINISTRATIVOS"/>
    <s v="53 BIENES Y SERVICIOS DE CONSUMO"/>
    <s v="530402 Edificios, Locales, Residencias y Cablea"/>
    <s v="G/530402/1FA101"/>
    <s v="001"/>
    <n v="50000"/>
    <n v="-14000"/>
    <n v="-30000"/>
    <n v="6000"/>
    <n v="0"/>
    <n v="6000"/>
    <n v="5999.84"/>
    <n v="0"/>
    <n v="0.16"/>
    <n v="0"/>
  </r>
  <r>
    <s v="53"/>
    <x v="2"/>
    <x v="3"/>
    <s v="ZA01K000"/>
    <x v="6"/>
    <s v="A101"/>
    <s v="FORTALECIMIENTO INSTITUCIONAL"/>
    <s v="GC00A10100001D"/>
    <s v="GC00A10100001D GASTOS ADMINISTRATIVOS"/>
    <s v="53 BIENES Y SERVICIOS DE CONSUMO"/>
    <s v="530402 Edificios, Locales, Residencias y Cablea"/>
    <s v="G/530402/1KA101"/>
    <s v="001"/>
    <n v="50000"/>
    <n v="0"/>
    <n v="-40000"/>
    <n v="10000"/>
    <n v="0"/>
    <n v="0"/>
    <n v="0"/>
    <n v="10000"/>
    <n v="10000"/>
    <n v="1000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402 Edificios, Locales, Residencias y Cablea"/>
    <s v="G/530402/1AA101"/>
    <s v="001"/>
    <n v="0"/>
    <n v="0"/>
    <n v="37.14"/>
    <n v="37.14"/>
    <n v="0"/>
    <n v="0"/>
    <n v="0"/>
    <n v="37.14"/>
    <n v="37.14"/>
    <n v="37.14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0402 Edificios, Locales, Residencias y Cablea"/>
    <s v="G/530402/1IA101"/>
    <s v="001"/>
    <n v="30000"/>
    <n v="14800"/>
    <n v="0"/>
    <n v="44800"/>
    <n v="933.6"/>
    <n v="25866.39"/>
    <n v="4406.6400000000003"/>
    <n v="18933.61"/>
    <n v="40393.360000000001"/>
    <n v="18000.009999999998"/>
  </r>
  <r>
    <s v="53"/>
    <x v="2"/>
    <x v="3"/>
    <s v="AT69K040"/>
    <x v="16"/>
    <s v="A101"/>
    <s v="FORTALECIMIENTO INSTITUCIONAL"/>
    <s v="GC00A10100001D"/>
    <s v="GC00A10100001D GASTOS ADMINISTRATIVOS"/>
    <s v="53 BIENES Y SERVICIOS DE CONSUMO"/>
    <s v="530402 Edificios, Locales, Residencias y Cablea"/>
    <s v="G/530402/1KA101"/>
    <s v="001"/>
    <n v="0"/>
    <n v="158333.32999999999"/>
    <n v="0"/>
    <n v="158333.32999999999"/>
    <n v="18230.59"/>
    <n v="33675.96"/>
    <n v="33675.96"/>
    <n v="124657.37"/>
    <n v="124657.37"/>
    <n v="106426.78"/>
  </r>
  <r>
    <s v="53"/>
    <x v="2"/>
    <x v="7"/>
    <s v="ZS03F030"/>
    <x v="45"/>
    <s v="A101"/>
    <s v="FORTALECIMIENTO INSTITUCIONAL"/>
    <s v="GC00A10100001D"/>
    <s v="GC00A10100001D GASTOS ADMINISTRATIVOS"/>
    <s v="53 BIENES Y SERVICIOS DE CONSUMO"/>
    <s v="530402 Edificios, Locales, Residencias y Cablea"/>
    <s v="G/530402/1FA101"/>
    <s v="001"/>
    <n v="7000"/>
    <n v="0"/>
    <n v="-4000"/>
    <n v="3000"/>
    <n v="0"/>
    <n v="0"/>
    <n v="0"/>
    <n v="3000"/>
    <n v="3000"/>
    <n v="3000"/>
  </r>
  <r>
    <s v="53"/>
    <x v="2"/>
    <x v="7"/>
    <s v="ZM04F040"/>
    <x v="41"/>
    <s v="A101"/>
    <s v="FORTALECIMIENTO INSTITUCIONAL"/>
    <s v="GC00A10100001D"/>
    <s v="GC00A10100001D GASTOS ADMINISTRATIVOS"/>
    <s v="53 BIENES Y SERVICIOS DE CONSUMO"/>
    <s v="530402 Edificios, Locales, Residencias y Cablea"/>
    <s v="G/530402/1FA101"/>
    <s v="001"/>
    <n v="100000"/>
    <n v="-12951.64"/>
    <n v="-61548.35"/>
    <n v="25500.01"/>
    <n v="1370.89"/>
    <n v="24027.57"/>
    <n v="0"/>
    <n v="1472.44"/>
    <n v="25500.01"/>
    <n v="101.55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0403 Mobiliarios (Instalación, Mantenimiento"/>
    <s v="G/530403/1IA101"/>
    <s v="001"/>
    <n v="5000"/>
    <n v="2000"/>
    <n v="0"/>
    <n v="7000"/>
    <n v="3.25"/>
    <n v="6940.75"/>
    <n v="6940.75"/>
    <n v="59.25"/>
    <n v="59.25"/>
    <n v="56"/>
  </r>
  <r>
    <s v="53"/>
    <x v="2"/>
    <x v="3"/>
    <s v="AT69K040"/>
    <x v="16"/>
    <s v="A101"/>
    <s v="FORTALECIMIENTO INSTITUCIONAL"/>
    <s v="GC00A10100001D"/>
    <s v="GC00A10100001D GASTOS ADMINISTRATIVOS"/>
    <s v="53 BIENES Y SERVICIOS DE CONSUMO"/>
    <s v="530403 Mobiliarios (Instalación, Mantenimiento"/>
    <s v="G/530403/1KA101"/>
    <s v="001"/>
    <n v="0"/>
    <n v="40200"/>
    <n v="0"/>
    <n v="40200"/>
    <n v="0"/>
    <n v="200"/>
    <n v="48.52"/>
    <n v="40000"/>
    <n v="40151.480000000003"/>
    <n v="40000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403 Mobiliarios (Instalación, Mantenimiento"/>
    <s v="G/530403/1FA101"/>
    <s v="001"/>
    <n v="0"/>
    <n v="2080"/>
    <n v="0"/>
    <n v="2080"/>
    <n v="0"/>
    <n v="1159.82"/>
    <n v="0"/>
    <n v="920.18"/>
    <n v="2080"/>
    <n v="920.18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0403 Mobiliarios (Instalación, Mantenimiento"/>
    <s v="G/530403/1IA101"/>
    <s v="001"/>
    <n v="17000"/>
    <n v="0"/>
    <n v="0"/>
    <n v="17000"/>
    <n v="1533.84"/>
    <n v="12782"/>
    <n v="0"/>
    <n v="4218"/>
    <n v="17000"/>
    <n v="2684.16"/>
  </r>
  <r>
    <s v="53"/>
    <x v="0"/>
    <x v="0"/>
    <s v="ZA01A009"/>
    <x v="1"/>
    <s v="A101"/>
    <s v="FORTALECIMIENTO INSTITUCIONAL"/>
    <s v="GC00A10100001D"/>
    <s v="GC00A10100001D GASTOS ADMINISTRATIVOS"/>
    <s v="53 BIENES Y SERVICIOS DE CONSUMO"/>
    <s v="530403 Mobiliarios (Instalación, Mantenimiento"/>
    <s v="G/530403/1AA101"/>
    <s v="002"/>
    <n v="2000"/>
    <n v="0"/>
    <n v="-2000"/>
    <n v="0"/>
    <n v="0"/>
    <n v="0"/>
    <n v="0"/>
    <n v="0"/>
    <n v="0"/>
    <n v="0"/>
  </r>
  <r>
    <s v="53"/>
    <x v="2"/>
    <x v="7"/>
    <s v="ZQ08F080"/>
    <x v="44"/>
    <s v="A101"/>
    <s v="FORTALECIMIENTO INSTITUCIONAL"/>
    <s v="GC00A10100001D"/>
    <s v="GC00A10100001D GASTOS ADMINISTRATIVOS"/>
    <s v="53 BIENES Y SERVICIOS DE CONSUMO"/>
    <s v="530403 Mobiliarios (Instalación, Mantenimiento"/>
    <s v="G/530403/1FA101"/>
    <s v="001"/>
    <n v="1500"/>
    <n v="3011.68"/>
    <n v="-1500"/>
    <n v="3011.68"/>
    <n v="0"/>
    <n v="3011.68"/>
    <n v="0"/>
    <n v="0"/>
    <n v="3011.68"/>
    <n v="0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0403 Mobiliarios (Instalación, Mantenimiento"/>
    <s v="G/530403/1MA101"/>
    <s v="001"/>
    <n v="5000"/>
    <n v="-5000"/>
    <n v="0"/>
    <n v="0"/>
    <n v="0"/>
    <n v="0"/>
    <n v="0"/>
    <n v="0"/>
    <n v="0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403 Mobiliarios (Instalación, Mantenimiento"/>
    <s v="G/530403/1AA101"/>
    <s v="002"/>
    <n v="5000"/>
    <n v="0"/>
    <n v="-4000"/>
    <n v="1000"/>
    <n v="0"/>
    <n v="1000"/>
    <n v="0"/>
    <n v="0"/>
    <n v="1000"/>
    <n v="0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403 Mobiliarios (Instalación, Mantenimiento"/>
    <s v="G/530403/1FA101"/>
    <s v="001"/>
    <n v="3000"/>
    <n v="0"/>
    <n v="-3000"/>
    <n v="0"/>
    <n v="0"/>
    <n v="0"/>
    <n v="0"/>
    <n v="0"/>
    <n v="0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403 Mobiliarios (Instalación, Mantenimiento"/>
    <s v="G/530403/1AA101"/>
    <s v="002"/>
    <n v="0"/>
    <n v="380.8"/>
    <n v="0"/>
    <n v="380.8"/>
    <n v="224"/>
    <n v="156.80000000000001"/>
    <n v="156.80000000000001"/>
    <n v="224"/>
    <n v="224"/>
    <n v="0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403 Mobiliarios (Instalación, Mantenimiento"/>
    <s v="G/530403/1PA101"/>
    <s v="001"/>
    <n v="50"/>
    <n v="-50"/>
    <n v="0"/>
    <n v="0"/>
    <n v="0"/>
    <n v="0"/>
    <n v="0"/>
    <n v="0"/>
    <n v="0"/>
    <n v="0"/>
  </r>
  <r>
    <s v="53"/>
    <x v="1"/>
    <x v="10"/>
    <s v="ZA01I000"/>
    <x v="18"/>
    <s v="A101"/>
    <s v="FORTALECIMIENTO INSTITUCIONAL"/>
    <s v="GC00A10100001D"/>
    <s v="GC00A10100001D GASTOS ADMINISTRATIVOS"/>
    <s v="53 BIENES Y SERVICIOS DE CONSUMO"/>
    <s v="530403 Mobiliarios (Instalación, Mantenimiento"/>
    <s v="G/530403/1IA101"/>
    <s v="001"/>
    <n v="4000"/>
    <n v="0"/>
    <n v="-4000"/>
    <n v="0"/>
    <n v="0"/>
    <n v="0"/>
    <n v="0"/>
    <n v="0"/>
    <n v="0"/>
    <n v="0"/>
  </r>
  <r>
    <s v="53"/>
    <x v="1"/>
    <x v="10"/>
    <s v="EQ13I030"/>
    <x v="35"/>
    <s v="A101"/>
    <s v="FORTALECIMIENTO INSTITUCIONAL"/>
    <s v="GC00A10100001D"/>
    <s v="GC00A10100001D GASTOS ADMINISTRATIVOS"/>
    <s v="53 BIENES Y SERVICIOS DE CONSUMO"/>
    <s v="530403 Mobiliarios (Instalación, Mantenimiento"/>
    <s v="G/530403/1IA101"/>
    <s v="001"/>
    <n v="600"/>
    <n v="-600"/>
    <n v="0"/>
    <n v="0"/>
    <n v="0"/>
    <n v="0"/>
    <n v="0"/>
    <n v="0"/>
    <n v="0"/>
    <n v="0"/>
  </r>
  <r>
    <s v="53"/>
    <x v="2"/>
    <x v="9"/>
    <s v="PM71N010"/>
    <x v="20"/>
    <s v="A101"/>
    <s v="FORTALECIMIENTO INSTITUCIONAL"/>
    <s v="GC00A10100001D"/>
    <s v="GC00A10100001D GASTOS ADMINISTRATIVOS"/>
    <s v="53 BIENES Y SERVICIOS DE CONSUMO"/>
    <s v="530403 Mobiliarios (Instalación, Mantenimiento"/>
    <s v="G/530403/1NA101"/>
    <s v="001"/>
    <n v="17000"/>
    <n v="-1211.5"/>
    <n v="-15588.5"/>
    <n v="200"/>
    <n v="0"/>
    <n v="200"/>
    <n v="0"/>
    <n v="0"/>
    <n v="200"/>
    <n v="0"/>
  </r>
  <r>
    <s v="53"/>
    <x v="2"/>
    <x v="7"/>
    <s v="ZD07F070"/>
    <x v="43"/>
    <s v="A101"/>
    <s v="FORTALECIMIENTO INSTITUCIONAL"/>
    <s v="GC00A10100001D"/>
    <s v="GC00A10100001D GASTOS ADMINISTRATIVOS"/>
    <s v="53 BIENES Y SERVICIOS DE CONSUMO"/>
    <s v="530404 Maquinarias y Equipos (Instalación, Mant"/>
    <s v="G/530404/1FA101"/>
    <s v="001"/>
    <n v="3000"/>
    <n v="-1000"/>
    <n v="-1440"/>
    <n v="560"/>
    <n v="0"/>
    <n v="560"/>
    <n v="560"/>
    <n v="0"/>
    <n v="0"/>
    <n v="0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404 Maquinarias y Equipos (Instalación, Mant"/>
    <s v="G/530404/1PA101"/>
    <s v="001"/>
    <n v="23874.22"/>
    <n v="-11397.24"/>
    <n v="0"/>
    <n v="12476.98"/>
    <n v="0"/>
    <n v="12476.98"/>
    <n v="7094"/>
    <n v="0"/>
    <n v="5382.98"/>
    <n v="0"/>
  </r>
  <r>
    <s v="53"/>
    <x v="2"/>
    <x v="7"/>
    <s v="ZC09F090"/>
    <x v="10"/>
    <s v="A101"/>
    <s v="FORTALECIMIENTO INSTITUCIONAL"/>
    <s v="GC00A10100001D"/>
    <s v="GC00A10100001D GASTOS ADMINISTRATIVOS"/>
    <s v="53 BIENES Y SERVICIOS DE CONSUMO"/>
    <s v="530404 Maquinarias y Equipos (Instalación, Mant"/>
    <s v="G/530404/1FA101"/>
    <s v="001"/>
    <n v="0"/>
    <n v="5124.3"/>
    <n v="0"/>
    <n v="5124.3"/>
    <n v="0"/>
    <n v="5124.29"/>
    <n v="5124.29"/>
    <n v="0.01"/>
    <n v="0.01"/>
    <n v="0.01"/>
  </r>
  <r>
    <s v="53"/>
    <x v="1"/>
    <x v="10"/>
    <s v="ZA01I000"/>
    <x v="18"/>
    <s v="A101"/>
    <s v="FORTALECIMIENTO INSTITUCIONAL"/>
    <s v="GC00A10100001D"/>
    <s v="GC00A10100001D GASTOS ADMINISTRATIVOS"/>
    <s v="53 BIENES Y SERVICIOS DE CONSUMO"/>
    <s v="530404 Maquinarias y Equipos (Instalación, Mant"/>
    <s v="G/530404/1IA101"/>
    <s v="001"/>
    <n v="14000"/>
    <n v="0"/>
    <n v="-14000"/>
    <n v="0"/>
    <n v="0"/>
    <n v="0"/>
    <n v="0"/>
    <n v="0"/>
    <n v="0"/>
    <n v="0"/>
  </r>
  <r>
    <s v="53"/>
    <x v="2"/>
    <x v="9"/>
    <s v="PM71N010"/>
    <x v="20"/>
    <s v="A101"/>
    <s v="FORTALECIMIENTO INSTITUCIONAL"/>
    <s v="GC00A10100001D"/>
    <s v="GC00A10100001D GASTOS ADMINISTRATIVOS"/>
    <s v="53 BIENES Y SERVICIOS DE CONSUMO"/>
    <s v="530404 Maquinarias y Equipos (Instalación, Mant"/>
    <s v="G/530404/1NA101"/>
    <s v="001"/>
    <n v="10000"/>
    <n v="-1850"/>
    <n v="0"/>
    <n v="8150"/>
    <n v="0"/>
    <n v="200"/>
    <n v="0"/>
    <n v="7950"/>
    <n v="8150"/>
    <n v="7950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0404 Maquinarias y Equipos (Instalación, Mant"/>
    <s v="G/530404/1MA101"/>
    <s v="001"/>
    <n v="170000"/>
    <n v="-119040.96000000001"/>
    <n v="0"/>
    <n v="50959.040000000001"/>
    <n v="0"/>
    <n v="31054.74"/>
    <n v="16775.560000000001"/>
    <n v="19904.3"/>
    <n v="34183.480000000003"/>
    <n v="19904.3"/>
  </r>
  <r>
    <s v="53"/>
    <x v="1"/>
    <x v="10"/>
    <s v="EQ13I030"/>
    <x v="35"/>
    <s v="A101"/>
    <s v="FORTALECIMIENTO INSTITUCIONAL"/>
    <s v="GC00A10100001D"/>
    <s v="GC00A10100001D GASTOS ADMINISTRATIVOS"/>
    <s v="53 BIENES Y SERVICIOS DE CONSUMO"/>
    <s v="530404 Maquinarias y Equipos (Instalación, Mant"/>
    <s v="G/530404/1IA101"/>
    <s v="001"/>
    <n v="500"/>
    <n v="-500"/>
    <n v="0"/>
    <n v="0"/>
    <n v="0"/>
    <n v="0"/>
    <n v="0"/>
    <n v="0"/>
    <n v="0"/>
    <n v="0"/>
  </r>
  <r>
    <s v="53"/>
    <x v="2"/>
    <x v="13"/>
    <s v="ZA01D000"/>
    <x v="22"/>
    <s v="A101"/>
    <s v="FORTALECIMIENTO INSTITUCIONAL"/>
    <s v="GC00A10100001D"/>
    <s v="GC00A10100001D GASTOS ADMINISTRATIVOS"/>
    <s v="53 BIENES Y SERVICIOS DE CONSUMO"/>
    <s v="530404 Maquinarias y Equipos (Instalación, Mant"/>
    <s v="G/530404/1DA101"/>
    <s v="001"/>
    <n v="6000"/>
    <n v="11750"/>
    <n v="0"/>
    <n v="17750"/>
    <n v="0"/>
    <n v="0"/>
    <n v="0"/>
    <n v="17750"/>
    <n v="17750"/>
    <n v="17750"/>
  </r>
  <r>
    <s v="53"/>
    <x v="2"/>
    <x v="7"/>
    <s v="ZM04F040"/>
    <x v="41"/>
    <s v="A101"/>
    <s v="FORTALECIMIENTO INSTITUCIONAL"/>
    <s v="GC00A10100001D"/>
    <s v="GC00A10100001D GASTOS ADMINISTRATIVOS"/>
    <s v="53 BIENES Y SERVICIOS DE CONSUMO"/>
    <s v="530404 Maquinarias y Equipos (Instalación, Mant"/>
    <s v="G/530404/1FA101"/>
    <s v="001"/>
    <n v="0"/>
    <n v="6200"/>
    <n v="-2700"/>
    <n v="3500"/>
    <n v="480.16"/>
    <n v="2646.56"/>
    <n v="0"/>
    <n v="853.44"/>
    <n v="3500"/>
    <n v="373.28"/>
  </r>
  <r>
    <s v="53"/>
    <x v="2"/>
    <x v="7"/>
    <s v="ZS03F030"/>
    <x v="45"/>
    <s v="A101"/>
    <s v="FORTALECIMIENTO INSTITUCIONAL"/>
    <s v="GC00A10100001D"/>
    <s v="GC00A10100001D GASTOS ADMINISTRATIVOS"/>
    <s v="53 BIENES Y SERVICIOS DE CONSUMO"/>
    <s v="530404 Maquinarias y Equipos (Instalación, Mant"/>
    <s v="G/530404/1FA101"/>
    <s v="001"/>
    <n v="5000"/>
    <n v="0"/>
    <n v="-1900"/>
    <n v="3100"/>
    <n v="481.44"/>
    <n v="2618.56"/>
    <n v="2618.56"/>
    <n v="481.44"/>
    <n v="481.44"/>
    <n v="0"/>
  </r>
  <r>
    <s v="53"/>
    <x v="1"/>
    <x v="10"/>
    <s v="OL41I060"/>
    <x v="29"/>
    <s v="A101"/>
    <s v="FORTALECIMIENTO INSTITUCIONAL"/>
    <s v="GC00A10100001D"/>
    <s v="GC00A10100001D GASTOS ADMINISTRATIVOS"/>
    <s v="53 BIENES Y SERVICIOS DE CONSUMO"/>
    <s v="530404 Maquinarias y Equipos (Instalación, Mant"/>
    <s v="G/530404/1IA101"/>
    <s v="001"/>
    <n v="1000"/>
    <n v="0"/>
    <n v="0"/>
    <n v="1000"/>
    <n v="0"/>
    <n v="0"/>
    <n v="0"/>
    <n v="1000"/>
    <n v="1000"/>
    <n v="1000"/>
  </r>
  <r>
    <s v="53"/>
    <x v="3"/>
    <x v="6"/>
    <s v="AC67Q000"/>
    <x v="9"/>
    <s v="A101"/>
    <s v="FORTALECIMIENTO INSTITUCIONAL"/>
    <s v="GC00A10100001D"/>
    <s v="GC00A10100001D GASTOS ADMINISTRATIVOS"/>
    <s v="53 BIENES Y SERVICIOS DE CONSUMO"/>
    <s v="530404 Maquinarias y Equipos (Instalación, Mant"/>
    <s v="G/530404/1QA101"/>
    <s v="001"/>
    <n v="7500"/>
    <n v="-2586"/>
    <n v="0"/>
    <n v="4914"/>
    <n v="0"/>
    <n v="4914"/>
    <n v="4914"/>
    <n v="0"/>
    <n v="0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404 Maquinarias y Equipos (Instalación, Mant"/>
    <s v="G/530404/1AA101"/>
    <s v="002"/>
    <n v="1000"/>
    <n v="1020.14"/>
    <n v="-350.4"/>
    <n v="1669.74"/>
    <n v="0"/>
    <n v="1669.74"/>
    <n v="1285.82"/>
    <n v="0"/>
    <n v="383.92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404 Maquinarias y Equipos (Instalación, Mant"/>
    <s v="G/530404/1BA101"/>
    <s v="001"/>
    <n v="0"/>
    <n v="0"/>
    <n v="253.12"/>
    <n v="253.12"/>
    <n v="0"/>
    <n v="0"/>
    <n v="0"/>
    <n v="253.12"/>
    <n v="253.12"/>
    <n v="253.12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0404 Maquinarias y Equipos (Instalación, Mant"/>
    <s v="G/530404/1IA101"/>
    <s v="001"/>
    <n v="2000"/>
    <n v="1500"/>
    <n v="0"/>
    <n v="3500"/>
    <n v="0.72"/>
    <n v="3437.28"/>
    <n v="3274.88"/>
    <n v="62.72"/>
    <n v="225.12"/>
    <n v="62"/>
  </r>
  <r>
    <s v="53"/>
    <x v="1"/>
    <x v="10"/>
    <s v="EE11I010"/>
    <x v="37"/>
    <s v="A101"/>
    <s v="FORTALECIMIENTO INSTITUCIONAL"/>
    <s v="GC00A10100001D"/>
    <s v="GC00A10100001D GASTOS ADMINISTRATIVOS"/>
    <s v="53 BIENES Y SERVICIOS DE CONSUMO"/>
    <s v="530404 Maquinarias y Equipos (Instalación, Mant"/>
    <s v="G/530404/1IA101"/>
    <s v="001"/>
    <n v="0"/>
    <n v="5824"/>
    <n v="0"/>
    <n v="5824"/>
    <n v="0"/>
    <n v="5824"/>
    <n v="0"/>
    <n v="0"/>
    <n v="5824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404 Maquinarias y Equipos (Instalación, Mant"/>
    <s v="G/530404/1AA101"/>
    <s v="001"/>
    <n v="0"/>
    <n v="0"/>
    <n v="350.4"/>
    <n v="350.4"/>
    <n v="0"/>
    <n v="0"/>
    <n v="0"/>
    <n v="350.4"/>
    <n v="350.4"/>
    <n v="350.4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0404 Maquinarias y Equipos (Instalación, Mant"/>
    <s v="G/530404/1IA101"/>
    <s v="001"/>
    <n v="6000"/>
    <n v="1000"/>
    <n v="0"/>
    <n v="7000"/>
    <n v="981.73"/>
    <n v="3046.27"/>
    <n v="1657.53"/>
    <n v="3953.73"/>
    <n v="5342.47"/>
    <n v="2972"/>
  </r>
  <r>
    <s v="53"/>
    <x v="2"/>
    <x v="7"/>
    <s v="ZQ08F080"/>
    <x v="44"/>
    <s v="A101"/>
    <s v="FORTALECIMIENTO INSTITUCIONAL"/>
    <s v="GC00A10100001D"/>
    <s v="GC00A10100001D GASTOS ADMINISTRATIVOS"/>
    <s v="53 BIENES Y SERVICIOS DE CONSUMO"/>
    <s v="530404 Maquinarias y Equipos (Instalación, Mant"/>
    <s v="G/530404/1FA101"/>
    <s v="001"/>
    <n v="12000"/>
    <n v="0"/>
    <n v="0"/>
    <n v="12000"/>
    <n v="0.01"/>
    <n v="11757.33"/>
    <n v="5075.84"/>
    <n v="242.67"/>
    <n v="6924.16"/>
    <n v="242.66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404 Maquinarias y Equipos (Instalación, Mant"/>
    <s v="G/530404/1FA101"/>
    <s v="001"/>
    <n v="3000"/>
    <n v="16734.12"/>
    <n v="0"/>
    <n v="19734.12"/>
    <n v="265.44"/>
    <n v="17488.82"/>
    <n v="106"/>
    <n v="2245.3000000000002"/>
    <n v="19628.12"/>
    <n v="1979.86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404 Maquinarias y Equipos (Instalación, Mant"/>
    <s v="G/530404/1AA101"/>
    <s v="002"/>
    <n v="184512"/>
    <n v="-11586.45"/>
    <n v="-69849.05"/>
    <n v="103076.5"/>
    <n v="8014.24"/>
    <n v="90669.54"/>
    <n v="69409.649999999994"/>
    <n v="12406.96"/>
    <n v="33666.85"/>
    <n v="4392.72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0404 Maquinarias y Equipos (Instalación, Mant"/>
    <s v="G/530404/1IA101"/>
    <s v="001"/>
    <n v="5000"/>
    <n v="0"/>
    <n v="0"/>
    <n v="5000"/>
    <n v="0"/>
    <n v="1198.4000000000001"/>
    <n v="0"/>
    <n v="3801.6"/>
    <n v="5000"/>
    <n v="3801.6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404 Maquinarias y Equipos (Instalación, Mant"/>
    <s v="G/530404/1BA101"/>
    <s v="002"/>
    <n v="1300"/>
    <n v="1980"/>
    <n v="-253.12"/>
    <n v="3026.88"/>
    <n v="931.8"/>
    <n v="2095.08"/>
    <n v="1281.28"/>
    <n v="931.8"/>
    <n v="1745.6"/>
    <n v="0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404 Maquinarias y Equipos (Instalación, Mant"/>
    <s v="G/530404/1FA101"/>
    <s v="001"/>
    <n v="10000"/>
    <n v="0"/>
    <n v="-3360"/>
    <n v="6640"/>
    <n v="0"/>
    <n v="5431.2"/>
    <n v="28"/>
    <n v="1208.8"/>
    <n v="6612"/>
    <n v="1208.8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405 Vehículos (Servicio para Mantenimiento y Re"/>
    <s v="G/530405/1BA101"/>
    <s v="001"/>
    <n v="0"/>
    <n v="0"/>
    <n v="8338.17"/>
    <n v="8338.17"/>
    <n v="0"/>
    <n v="0"/>
    <n v="0"/>
    <n v="8338.17"/>
    <n v="8338.17"/>
    <n v="8338.17"/>
  </r>
  <r>
    <s v="53"/>
    <x v="2"/>
    <x v="7"/>
    <s v="ZM04F040"/>
    <x v="41"/>
    <s v="A101"/>
    <s v="FORTALECIMIENTO INSTITUCIONAL"/>
    <s v="GC00A10100001D"/>
    <s v="GC00A10100001D GASTOS ADMINISTRATIVOS"/>
    <s v="53 BIENES Y SERVICIOS DE CONSUMO"/>
    <s v="530405 Vehículos (Servicio para Mantenimiento y Re"/>
    <s v="G/530405/1FA101"/>
    <s v="001"/>
    <n v="0"/>
    <n v="10000"/>
    <n v="0"/>
    <n v="10000"/>
    <n v="0"/>
    <n v="10000"/>
    <n v="6744.98"/>
    <n v="0"/>
    <n v="3255.02"/>
    <n v="0"/>
  </r>
  <r>
    <s v="53"/>
    <x v="2"/>
    <x v="7"/>
    <s v="TM68F100"/>
    <x v="36"/>
    <s v="A101"/>
    <s v="FORTALECIMIENTO INSTITUCIONAL"/>
    <s v="GC00A10100001D"/>
    <s v="GC00A10100001D GASTOS ADMINISTRATIVOS"/>
    <s v="53 BIENES Y SERVICIOS DE CONSUMO"/>
    <s v="530405 Vehículos (Servicio para Mantenimiento y Re"/>
    <s v="G/530405/1FA101"/>
    <s v="001"/>
    <n v="0"/>
    <n v="266"/>
    <n v="0"/>
    <n v="266"/>
    <n v="0"/>
    <n v="266"/>
    <n v="266"/>
    <n v="0"/>
    <n v="0"/>
    <n v="0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0405 Vehículos (Servicio para Mantenimiento y Re"/>
    <s v="G/530405/1IA101"/>
    <s v="001"/>
    <n v="600"/>
    <n v="0"/>
    <n v="0"/>
    <n v="600"/>
    <n v="0"/>
    <n v="300.16000000000003"/>
    <n v="0"/>
    <n v="299.83999999999997"/>
    <n v="600"/>
    <n v="299.83999999999997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0405 Vehículos (Servicio para Mantenimiento y Re"/>
    <s v="G/530405/1MA101"/>
    <s v="001"/>
    <n v="16000"/>
    <n v="-3000"/>
    <n v="0"/>
    <n v="13000"/>
    <n v="2084.3200000000002"/>
    <n v="4249.88"/>
    <n v="647.4"/>
    <n v="8750.1200000000008"/>
    <n v="12352.6"/>
    <n v="6665.8"/>
  </r>
  <r>
    <s v="53"/>
    <x v="2"/>
    <x v="7"/>
    <s v="ZT06F060"/>
    <x v="40"/>
    <s v="A101"/>
    <s v="FORTALECIMIENTO INSTITUCIONAL"/>
    <s v="GC00A10100001D"/>
    <s v="GC00A10100001D GASTOS ADMINISTRATIVOS"/>
    <s v="53 BIENES Y SERVICIOS DE CONSUMO"/>
    <s v="530405 Vehículos (Servicio para Mantenimiento y Re"/>
    <s v="G/530405/1FA101"/>
    <s v="001"/>
    <n v="0"/>
    <n v="18836.599999999999"/>
    <n v="0"/>
    <n v="18836.599999999999"/>
    <n v="0"/>
    <n v="0"/>
    <n v="0"/>
    <n v="18836.599999999999"/>
    <n v="18836.599999999999"/>
    <n v="18836.599999999999"/>
  </r>
  <r>
    <s v="53"/>
    <x v="3"/>
    <x v="6"/>
    <s v="AC67Q000"/>
    <x v="9"/>
    <s v="A101"/>
    <s v="FORTALECIMIENTO INSTITUCIONAL"/>
    <s v="GC00A10100001D"/>
    <s v="GC00A10100001D GASTOS ADMINISTRATIVOS"/>
    <s v="53 BIENES Y SERVICIOS DE CONSUMO"/>
    <s v="530405 Vehículos (Servicio para Mantenimiento y Re"/>
    <s v="G/530405/1QA101"/>
    <s v="001"/>
    <n v="7500"/>
    <n v="7864.76"/>
    <n v="0"/>
    <n v="15364.76"/>
    <n v="0"/>
    <n v="7498.69"/>
    <n v="323.69"/>
    <n v="7866.07"/>
    <n v="15041.07"/>
    <n v="7866.07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0405 Vehículos (Servicio para Mantenimiento y Re"/>
    <s v="G/530405/1IA101"/>
    <s v="001"/>
    <n v="4000"/>
    <n v="0"/>
    <n v="0"/>
    <n v="4000"/>
    <n v="0"/>
    <n v="3404.48"/>
    <n v="1851.36"/>
    <n v="595.52"/>
    <n v="2148.64"/>
    <n v="595.52"/>
  </r>
  <r>
    <s v="53"/>
    <x v="2"/>
    <x v="7"/>
    <s v="ZS03F030"/>
    <x v="45"/>
    <s v="A101"/>
    <s v="FORTALECIMIENTO INSTITUCIONAL"/>
    <s v="GC00A10100001D"/>
    <s v="GC00A10100001D GASTOS ADMINISTRATIVOS"/>
    <s v="53 BIENES Y SERVICIOS DE CONSUMO"/>
    <s v="530405 Vehículos (Servicio para Mantenimiento y Re"/>
    <s v="G/530405/1FA101"/>
    <s v="001"/>
    <n v="27800"/>
    <n v="-4000"/>
    <n v="-7224"/>
    <n v="16576"/>
    <n v="0"/>
    <n v="16576"/>
    <n v="7659.06"/>
    <n v="0"/>
    <n v="8916.94"/>
    <n v="0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405 Vehículos (Servicio para Mantenimiento y Re"/>
    <s v="G/530405/1FA101"/>
    <s v="001"/>
    <n v="11000"/>
    <n v="8500"/>
    <n v="-5147.93"/>
    <n v="14352.07"/>
    <n v="0"/>
    <n v="14188.07"/>
    <n v="5975.75"/>
    <n v="164"/>
    <n v="8376.32"/>
    <n v="164"/>
  </r>
  <r>
    <s v="53"/>
    <x v="2"/>
    <x v="7"/>
    <s v="ZD07F070"/>
    <x v="43"/>
    <s v="A101"/>
    <s v="FORTALECIMIENTO INSTITUCIONAL"/>
    <s v="GC00A10100001D"/>
    <s v="GC00A10100001D GASTOS ADMINISTRATIVOS"/>
    <s v="53 BIENES Y SERVICIOS DE CONSUMO"/>
    <s v="530405 Vehículos (Servicio para Mantenimiento y Re"/>
    <s v="G/530405/1FA101"/>
    <s v="001"/>
    <n v="3000"/>
    <n v="3800"/>
    <n v="0"/>
    <n v="6800"/>
    <n v="270"/>
    <n v="5509"/>
    <n v="2149"/>
    <n v="1291"/>
    <n v="4651"/>
    <n v="1021"/>
  </r>
  <r>
    <s v="53"/>
    <x v="2"/>
    <x v="7"/>
    <s v="ZQ08F080"/>
    <x v="44"/>
    <s v="A101"/>
    <s v="FORTALECIMIENTO INSTITUCIONAL"/>
    <s v="GC00A10100001D"/>
    <s v="GC00A10100001D GASTOS ADMINISTRATIVOS"/>
    <s v="53 BIENES Y SERVICIOS DE CONSUMO"/>
    <s v="530405 Vehículos (Servicio para Mantenimiento y Re"/>
    <s v="G/530405/1FA101"/>
    <s v="001"/>
    <n v="14000"/>
    <n v="1176.04"/>
    <n v="0"/>
    <n v="15176.04"/>
    <n v="0"/>
    <n v="15176.04"/>
    <n v="2396.8000000000002"/>
    <n v="0"/>
    <n v="12779.24"/>
    <n v="0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0405 Vehículos (Servicio para Mantenimiento y Re"/>
    <s v="G/530405/1IA101"/>
    <s v="001"/>
    <n v="2000"/>
    <n v="0"/>
    <n v="0"/>
    <n v="2000"/>
    <n v="0"/>
    <n v="340.48"/>
    <n v="340.48"/>
    <n v="1659.52"/>
    <n v="1659.52"/>
    <n v="1659.52"/>
  </r>
  <r>
    <s v="53"/>
    <x v="1"/>
    <x v="10"/>
    <s v="CF22I050"/>
    <x v="38"/>
    <s v="A101"/>
    <s v="FORTALECIMIENTO INSTITUCIONAL"/>
    <s v="GC00A10100001D"/>
    <s v="GC00A10100001D GASTOS ADMINISTRATIVOS"/>
    <s v="53 BIENES Y SERVICIOS DE CONSUMO"/>
    <s v="530405 Vehículos (Servicio para Mantenimiento y Re"/>
    <s v="G/530405/1IA101"/>
    <s v="001"/>
    <n v="1000"/>
    <n v="0"/>
    <n v="0"/>
    <n v="1000"/>
    <n v="944"/>
    <n v="56"/>
    <n v="0"/>
    <n v="944"/>
    <n v="1000"/>
    <n v="0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405 Vehículos (Servicio para Mantenimiento y Re"/>
    <s v="G/530405/1FA101"/>
    <s v="001"/>
    <n v="3000"/>
    <n v="7237.73"/>
    <n v="0"/>
    <n v="10237.73"/>
    <n v="38.08"/>
    <n v="9888.7000000000007"/>
    <n v="30.27"/>
    <n v="349.03"/>
    <n v="10207.459999999999"/>
    <n v="310.95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405 Vehículos (Servicio para Mantenimiento y Re"/>
    <s v="G/530405/1AA101"/>
    <s v="002"/>
    <n v="266406"/>
    <n v="0"/>
    <n v="-75345.89"/>
    <n v="191060.11"/>
    <n v="407.33"/>
    <n v="190652.78"/>
    <n v="61286.9"/>
    <n v="407.33"/>
    <n v="129773.21"/>
    <n v="0"/>
  </r>
  <r>
    <s v="53"/>
    <x v="1"/>
    <x v="2"/>
    <s v="UN31M010"/>
    <x v="15"/>
    <s v="A101"/>
    <s v="FORTALECIMIENTO INSTITUCIONAL"/>
    <s v="GC00A10100001D"/>
    <s v="GC00A10100001D GASTOS ADMINISTRATIVOS"/>
    <s v="53 BIENES Y SERVICIOS DE CONSUMO"/>
    <s v="530405 Vehículos (Servicio para Mantenimiento y Re"/>
    <s v="G/530405/1MA101"/>
    <s v="001"/>
    <n v="10000"/>
    <n v="2000"/>
    <n v="-4800"/>
    <n v="7200"/>
    <n v="5979.2"/>
    <n v="1220.8"/>
    <n v="1220.8"/>
    <n v="5979.2"/>
    <n v="5979.2"/>
    <n v="0"/>
  </r>
  <r>
    <s v="53"/>
    <x v="1"/>
    <x v="10"/>
    <s v="EE11I010"/>
    <x v="37"/>
    <s v="A101"/>
    <s v="FORTALECIMIENTO INSTITUCIONAL"/>
    <s v="GC00A10100001D"/>
    <s v="GC00A10100001D GASTOS ADMINISTRATIVOS"/>
    <s v="53 BIENES Y SERVICIOS DE CONSUMO"/>
    <s v="530405 Vehículos (Servicio para Mantenimiento y Re"/>
    <s v="G/530405/1IA101"/>
    <s v="001"/>
    <n v="900"/>
    <n v="0"/>
    <n v="0"/>
    <n v="900"/>
    <n v="0"/>
    <n v="0"/>
    <n v="0"/>
    <n v="900"/>
    <n v="900"/>
    <n v="900"/>
  </r>
  <r>
    <s v="53"/>
    <x v="2"/>
    <x v="7"/>
    <s v="ZC09F090"/>
    <x v="10"/>
    <s v="A101"/>
    <s v="FORTALECIMIENTO INSTITUCIONAL"/>
    <s v="GC00A10100001D"/>
    <s v="GC00A10100001D GASTOS ADMINISTRATIVOS"/>
    <s v="53 BIENES Y SERVICIOS DE CONSUMO"/>
    <s v="530405 Vehículos (Servicio para Mantenimiento y Re"/>
    <s v="G/530405/1FA101"/>
    <s v="001"/>
    <n v="5000"/>
    <n v="10375.700000000001"/>
    <n v="0"/>
    <n v="15375.7"/>
    <n v="0"/>
    <n v="5463.92"/>
    <n v="5463.92"/>
    <n v="9911.7800000000007"/>
    <n v="9911.7800000000007"/>
    <n v="9911.7800000000007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405 Vehículos (Servicio para Mantenimiento y Re"/>
    <s v="G/530405/1AA101"/>
    <s v="002"/>
    <n v="0"/>
    <n v="7151.98"/>
    <n v="0"/>
    <n v="7151.98"/>
    <n v="0"/>
    <n v="7151.98"/>
    <n v="2097.48"/>
    <n v="0"/>
    <n v="5054.5"/>
    <n v="0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405 Vehículos (Servicio para Mantenimiento y Re"/>
    <s v="G/530405/1PA101"/>
    <s v="001"/>
    <n v="7000"/>
    <n v="-931.84"/>
    <n v="0"/>
    <n v="6068.16"/>
    <n v="0"/>
    <n v="6068.16"/>
    <n v="3728.48"/>
    <n v="0"/>
    <n v="2339.6799999999998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405 Vehículos (Servicio para Mantenimiento y Re"/>
    <s v="G/530405/1BA101"/>
    <s v="002"/>
    <n v="0"/>
    <n v="14700"/>
    <n v="-8338.17"/>
    <n v="6361.83"/>
    <n v="2280.21"/>
    <n v="4081.62"/>
    <n v="3510.88"/>
    <n v="2280.21"/>
    <n v="2850.95"/>
    <n v="0"/>
  </r>
  <r>
    <s v="53"/>
    <x v="3"/>
    <x v="6"/>
    <s v="AC67Q000"/>
    <x v="9"/>
    <s v="A101"/>
    <s v="FORTALECIMIENTO INSTITUCIONAL"/>
    <s v="GC00A10100001D"/>
    <s v="GC00A10100001D GASTOS ADMINISTRATIVOS"/>
    <s v="53 BIENES Y SERVICIOS DE CONSUMO"/>
    <s v="530406 Herramientas (Mantenimiento y Reparación)"/>
    <s v="G/530406/1QA101"/>
    <s v="001"/>
    <n v="500"/>
    <n v="-500"/>
    <n v="0"/>
    <n v="0"/>
    <n v="0"/>
    <n v="0"/>
    <n v="0"/>
    <n v="0"/>
    <n v="0"/>
    <n v="0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0418 Mantenimiento de Áreas Verdes y Arreglo de"/>
    <s v="G/530418/1IA101"/>
    <s v="001"/>
    <n v="0"/>
    <n v="4250"/>
    <n v="0"/>
    <n v="4250"/>
    <n v="16.399999999999999"/>
    <n v="4233.6000000000004"/>
    <n v="2540.16"/>
    <n v="16.399999999999999"/>
    <n v="1709.84"/>
    <n v="0"/>
  </r>
  <r>
    <s v="53"/>
    <x v="2"/>
    <x v="8"/>
    <s v="ZA01P000"/>
    <x v="32"/>
    <s v="A101"/>
    <s v="FORTALECIMIENTO INSTITUCIONAL"/>
    <s v="GC00A10100001D"/>
    <s v="GC00A10100001D GASTOS ADMINISTRATIVOS"/>
    <s v="53 BIENES Y SERVICIOS DE CONSUMO"/>
    <s v="530418 Mantenimiento de Áreas Verdes y Arreglo de"/>
    <s v="G/530418/1PA101"/>
    <s v="001"/>
    <n v="2000"/>
    <n v="0"/>
    <n v="-1000"/>
    <n v="1000"/>
    <n v="0"/>
    <n v="0"/>
    <n v="0"/>
    <n v="1000"/>
    <n v="1000"/>
    <n v="1000"/>
  </r>
  <r>
    <s v="53"/>
    <x v="2"/>
    <x v="3"/>
    <s v="AT69K040"/>
    <x v="16"/>
    <s v="A101"/>
    <s v="FORTALECIMIENTO INSTITUCIONAL"/>
    <s v="GC00A10100001D"/>
    <s v="GC00A10100001D GASTOS ADMINISTRATIVOS"/>
    <s v="53 BIENES Y SERVICIOS DE CONSUMO"/>
    <s v="530418 Mantenimiento de Áreas Verdes y Arreglo de"/>
    <s v="G/530418/1KA101"/>
    <s v="001"/>
    <n v="0"/>
    <n v="56000"/>
    <n v="0"/>
    <n v="56000"/>
    <n v="0.46"/>
    <n v="55999.54"/>
    <n v="20999.82"/>
    <n v="0.46"/>
    <n v="35000.18"/>
    <n v="0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0419 Bienes Deportivos (Instalación, Mantenimien"/>
    <s v="G/530419/1IA101"/>
    <s v="001"/>
    <n v="0"/>
    <n v="5000"/>
    <n v="-2500"/>
    <n v="2500"/>
    <n v="0"/>
    <n v="0"/>
    <n v="0"/>
    <n v="2500"/>
    <n v="2500"/>
    <n v="250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502 Edificios, Locales y Residencias, Parque"/>
    <s v="G/530502/1BA101"/>
    <s v="002"/>
    <n v="160000"/>
    <n v="81291.98"/>
    <n v="-533.69000000000005"/>
    <n v="240758.29"/>
    <n v="0.02"/>
    <n v="240758.27"/>
    <n v="194648.76"/>
    <n v="0.02"/>
    <n v="46109.53"/>
    <n v="0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502 Edificios, Locales y Residencias, Parque"/>
    <s v="G/530502/1PA101"/>
    <s v="001"/>
    <n v="11201.44"/>
    <n v="-6021.44"/>
    <n v="0"/>
    <n v="5180"/>
    <n v="0"/>
    <n v="5180"/>
    <n v="5100"/>
    <n v="0"/>
    <n v="80"/>
    <n v="0"/>
  </r>
  <r>
    <s v="53"/>
    <x v="2"/>
    <x v="7"/>
    <s v="ZM04F040"/>
    <x v="41"/>
    <s v="A101"/>
    <s v="FORTALECIMIENTO INSTITUCIONAL"/>
    <s v="GC00A10100001D"/>
    <s v="GC00A10100001D GASTOS ADMINISTRATIVOS"/>
    <s v="53 BIENES Y SERVICIOS DE CONSUMO"/>
    <s v="530502 Edificios, Locales y Residencias, Parque"/>
    <s v="G/530502/1FA101"/>
    <s v="001"/>
    <n v="18000"/>
    <n v="0"/>
    <n v="0"/>
    <n v="18000"/>
    <n v="257.67"/>
    <n v="17742.330000000002"/>
    <n v="17212.939999999999"/>
    <n v="257.67"/>
    <n v="787.06"/>
    <n v="0"/>
  </r>
  <r>
    <s v="53"/>
    <x v="2"/>
    <x v="3"/>
    <s v="AT69K040"/>
    <x v="16"/>
    <s v="A101"/>
    <s v="FORTALECIMIENTO INSTITUCIONAL"/>
    <s v="GC00A10100001D"/>
    <s v="GC00A10100001D GASTOS ADMINISTRATIVOS"/>
    <s v="53 BIENES Y SERVICIOS DE CONSUMO"/>
    <s v="530502 Edificios, Locales y Residencias, Parque"/>
    <s v="G/530502/1KA101"/>
    <s v="001"/>
    <n v="660156.9"/>
    <n v="232331.02"/>
    <n v="-150000"/>
    <n v="742487.92"/>
    <n v="0.08"/>
    <n v="688253.92"/>
    <n v="456530.82"/>
    <n v="54234"/>
    <n v="285957.09999999998"/>
    <n v="54233.919999999998"/>
  </r>
  <r>
    <s v="53"/>
    <x v="2"/>
    <x v="7"/>
    <s v="ZT06F060"/>
    <x v="40"/>
    <s v="A101"/>
    <s v="FORTALECIMIENTO INSTITUCIONAL"/>
    <s v="GC00A10100001D"/>
    <s v="GC00A10100001D GASTOS ADMINISTRATIVOS"/>
    <s v="53 BIENES Y SERVICIOS DE CONSUMO"/>
    <s v="530502 Edificios, Locales y Residencias, Parque"/>
    <s v="G/530502/1FA101"/>
    <s v="001"/>
    <n v="47000"/>
    <n v="5801.26"/>
    <n v="0"/>
    <n v="52801.26"/>
    <n v="1414.52"/>
    <n v="51386.74"/>
    <n v="49006.720000000001"/>
    <n v="1414.52"/>
    <n v="3794.54"/>
    <n v="0"/>
  </r>
  <r>
    <s v="53"/>
    <x v="2"/>
    <x v="7"/>
    <s v="TM68F100"/>
    <x v="36"/>
    <s v="A101"/>
    <s v="FORTALECIMIENTO INSTITUCIONAL"/>
    <s v="GC00A10100001D"/>
    <s v="GC00A10100001D GASTOS ADMINISTRATIVOS"/>
    <s v="53 BIENES Y SERVICIOS DE CONSUMO"/>
    <s v="530502 Edificios, Locales y Residencias, Parque"/>
    <s v="G/530502/1FA101"/>
    <s v="001"/>
    <n v="80000"/>
    <n v="0"/>
    <n v="-9000"/>
    <n v="71000"/>
    <n v="0"/>
    <n v="71000"/>
    <n v="68000"/>
    <n v="0"/>
    <n v="3000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502 Edificios, Locales y Residencias, Parque"/>
    <s v="G/530502/1BA101"/>
    <s v="001"/>
    <n v="0"/>
    <n v="0"/>
    <n v="533.69000000000005"/>
    <n v="533.69000000000005"/>
    <n v="0"/>
    <n v="0"/>
    <n v="0"/>
    <n v="533.69000000000005"/>
    <n v="533.69000000000005"/>
    <n v="533.69000000000005"/>
  </r>
  <r>
    <s v="53"/>
    <x v="0"/>
    <x v="0"/>
    <s v="ZA01A008"/>
    <x v="51"/>
    <s v="A101"/>
    <s v="FORTALECIMIENTO INSTITUCIONAL"/>
    <s v="GC00A10100001D"/>
    <s v="GC00A10100001D GASTOS ADMINISTRATIVOS"/>
    <s v="53 BIENES Y SERVICIOS DE CONSUMO"/>
    <s v="530502 Edificios, Locales y Residencias, Parque"/>
    <s v="G/530502/1AA101"/>
    <s v="002"/>
    <n v="157000"/>
    <n v="0"/>
    <n v="-110500"/>
    <n v="46500"/>
    <n v="0"/>
    <n v="46500"/>
    <n v="38548.230000000003"/>
    <n v="0"/>
    <n v="7951.77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502 Edificios, Locales y Residencias, Parque"/>
    <s v="G/530502/1AA101"/>
    <s v="002"/>
    <n v="250000"/>
    <n v="99440"/>
    <n v="0"/>
    <n v="349440"/>
    <n v="0"/>
    <n v="349440"/>
    <n v="320320"/>
    <n v="0"/>
    <n v="29120"/>
    <n v="0"/>
  </r>
  <r>
    <s v="53"/>
    <x v="0"/>
    <x v="0"/>
    <s v="ZA01A003"/>
    <x v="49"/>
    <s v="A101"/>
    <s v="FORTALECIMIENTO INSTITUCIONAL"/>
    <s v="GC00A10100001D"/>
    <s v="GC00A10100001D GASTOS ADMINISTRATIVOS"/>
    <s v="53 BIENES Y SERVICIOS DE CONSUMO"/>
    <s v="530502 Edificios, Locales y Residencias, Parque"/>
    <s v="G/530502/1AA101"/>
    <s v="002"/>
    <n v="320"/>
    <n v="0"/>
    <n v="-320"/>
    <n v="0"/>
    <n v="0"/>
    <n v="0"/>
    <n v="0"/>
    <n v="0"/>
    <n v="0"/>
    <n v="0"/>
  </r>
  <r>
    <s v="53"/>
    <x v="0"/>
    <x v="0"/>
    <s v="ZA01A008"/>
    <x v="51"/>
    <s v="A101"/>
    <s v="FORTALECIMIENTO INSTITUCIONAL"/>
    <s v="GC00A10100001D"/>
    <s v="GC00A10100001D GASTOS ADMINISTRATIVOS"/>
    <s v="53 BIENES Y SERVICIOS DE CONSUMO"/>
    <s v="530502 Edificios, Locales y Residencias, Parque"/>
    <s v="G/530502/1AA101"/>
    <s v="001"/>
    <n v="0"/>
    <n v="0"/>
    <n v="110500"/>
    <n v="110500"/>
    <n v="0"/>
    <n v="0"/>
    <n v="0"/>
    <n v="110500"/>
    <n v="110500"/>
    <n v="110500"/>
  </r>
  <r>
    <s v="53"/>
    <x v="0"/>
    <x v="0"/>
    <s v="ZA01A009"/>
    <x v="1"/>
    <s v="A101"/>
    <s v="FORTALECIMIENTO INSTITUCIONAL"/>
    <s v="GC00A10100001D"/>
    <s v="GC00A10100001D GASTOS ADMINISTRATIVOS"/>
    <s v="53 BIENES Y SERVICIOS DE CONSUMO"/>
    <s v="530503 Mobiliario (Arrendamiento)"/>
    <s v="G/530503/1AA101"/>
    <s v="001"/>
    <n v="0"/>
    <n v="0"/>
    <n v="381.53"/>
    <n v="381.53"/>
    <n v="0"/>
    <n v="0"/>
    <n v="0"/>
    <n v="381.53"/>
    <n v="381.53"/>
    <n v="381.53"/>
  </r>
  <r>
    <s v="53"/>
    <x v="0"/>
    <x v="0"/>
    <s v="ZA01A009"/>
    <x v="1"/>
    <s v="A101"/>
    <s v="FORTALECIMIENTO INSTITUCIONAL"/>
    <s v="GC00A10100001D"/>
    <s v="GC00A10100001D GASTOS ADMINISTRATIVOS"/>
    <s v="53 BIENES Y SERVICIOS DE CONSUMO"/>
    <s v="530503 Mobiliario (Arrendamiento)"/>
    <s v="G/530503/1AA101"/>
    <s v="002"/>
    <n v="20000"/>
    <n v="-19618.47"/>
    <n v="-381.53"/>
    <n v="0"/>
    <n v="0"/>
    <n v="0"/>
    <n v="0"/>
    <n v="0"/>
    <n v="0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504 Maquinarias y Equipos (Arrendamientos)"/>
    <s v="G/530504/1AA101"/>
    <s v="002"/>
    <n v="76802"/>
    <n v="0"/>
    <n v="-19663.560000000001"/>
    <n v="57138.44"/>
    <n v="0"/>
    <n v="57138.44"/>
    <n v="6844.06"/>
    <n v="0"/>
    <n v="50294.38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505 Vehículos (Arrendamiento)"/>
    <s v="G/530505/1AA101"/>
    <s v="002"/>
    <n v="0"/>
    <n v="1314.29"/>
    <n v="0"/>
    <n v="1314.29"/>
    <n v="0"/>
    <n v="1314.29"/>
    <n v="1314.29"/>
    <n v="0"/>
    <n v="0"/>
    <n v="0"/>
  </r>
  <r>
    <s v="53"/>
    <x v="2"/>
    <x v="7"/>
    <s v="ZT06F060"/>
    <x v="40"/>
    <s v="A101"/>
    <s v="FORTALECIMIENTO INSTITUCIONAL"/>
    <s v="GC00A10100001D"/>
    <s v="GC00A10100001D GASTOS ADMINISTRATIVOS"/>
    <s v="53 BIENES Y SERVICIOS DE CONSUMO"/>
    <s v="530505 Vehículos (Arrendamiento)"/>
    <s v="G/530505/1FA101"/>
    <s v="001"/>
    <n v="113000"/>
    <n v="-52722.23"/>
    <n v="0"/>
    <n v="60277.77"/>
    <n v="0"/>
    <n v="60277.77"/>
    <n v="43055.55"/>
    <n v="0"/>
    <n v="17222.22"/>
    <n v="0"/>
  </r>
  <r>
    <s v="53"/>
    <x v="2"/>
    <x v="7"/>
    <s v="ZD07F070"/>
    <x v="43"/>
    <s v="A101"/>
    <s v="FORTALECIMIENTO INSTITUCIONAL"/>
    <s v="GC00A10100001D"/>
    <s v="GC00A10100001D GASTOS ADMINISTRATIVOS"/>
    <s v="53 BIENES Y SERVICIOS DE CONSUMO"/>
    <s v="530505 Vehículos (Arrendamiento)"/>
    <s v="G/530505/1FA101"/>
    <s v="001"/>
    <n v="94000"/>
    <n v="-12000"/>
    <n v="-662.7"/>
    <n v="81337.3"/>
    <n v="5915.42"/>
    <n v="75421.88"/>
    <n v="59154.400000000001"/>
    <n v="5915.42"/>
    <n v="22182.9"/>
    <n v="0"/>
  </r>
  <r>
    <s v="53"/>
    <x v="2"/>
    <x v="7"/>
    <s v="ZC09F090"/>
    <x v="10"/>
    <s v="A101"/>
    <s v="FORTALECIMIENTO INSTITUCIONAL"/>
    <s v="GC00A10100001D"/>
    <s v="GC00A10100001D GASTOS ADMINISTRATIVOS"/>
    <s v="53 BIENES Y SERVICIOS DE CONSUMO"/>
    <s v="530505 Vehículos (Arrendamiento)"/>
    <s v="G/530505/1FA101"/>
    <s v="001"/>
    <n v="66000"/>
    <n v="-7600"/>
    <n v="-58400"/>
    <n v="0"/>
    <n v="0"/>
    <n v="0"/>
    <n v="0"/>
    <n v="0"/>
    <n v="0"/>
    <n v="0"/>
  </r>
  <r>
    <s v="53"/>
    <x v="2"/>
    <x v="7"/>
    <s v="TM68F100"/>
    <x v="36"/>
    <s v="A101"/>
    <s v="FORTALECIMIENTO INSTITUCIONAL"/>
    <s v="GC00A10100001D"/>
    <s v="GC00A10100001D GASTOS ADMINISTRATIVOS"/>
    <s v="53 BIENES Y SERVICIOS DE CONSUMO"/>
    <s v="530505 Vehículos (Arrendamiento)"/>
    <s v="G/530505/1FA101"/>
    <s v="001"/>
    <n v="6800"/>
    <n v="-3800"/>
    <n v="-3000"/>
    <n v="0"/>
    <n v="0"/>
    <n v="0"/>
    <n v="0"/>
    <n v="0"/>
    <n v="0"/>
    <n v="0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505 Vehículos (Arrendamiento)"/>
    <s v="G/530505/1FA101"/>
    <s v="001"/>
    <n v="76000"/>
    <n v="0"/>
    <n v="-66583.66"/>
    <n v="9416.34"/>
    <n v="0"/>
    <n v="9416.34"/>
    <n v="9416.34"/>
    <n v="0"/>
    <n v="0"/>
    <n v="0"/>
  </r>
  <r>
    <s v="53"/>
    <x v="2"/>
    <x v="13"/>
    <s v="ZA01D000"/>
    <x v="22"/>
    <s v="A101"/>
    <s v="FORTALECIMIENTO INSTITUCIONAL"/>
    <s v="GC00A10100001D"/>
    <s v="GC00A10100001D GASTOS ADMINISTRATIVOS"/>
    <s v="53 BIENES Y SERVICIOS DE CONSUMO"/>
    <s v="530505 Vehículos (Arrendamiento)"/>
    <s v="G/530505/1DA101"/>
    <s v="001"/>
    <n v="0"/>
    <n v="1595.05"/>
    <n v="0"/>
    <n v="1595.05"/>
    <n v="0"/>
    <n v="1595.05"/>
    <n v="1595.05"/>
    <n v="0"/>
    <n v="0"/>
    <n v="0"/>
  </r>
  <r>
    <s v="53"/>
    <x v="1"/>
    <x v="2"/>
    <s v="UN31M010"/>
    <x v="15"/>
    <s v="A101"/>
    <s v="FORTALECIMIENTO INSTITUCIONAL"/>
    <s v="GC00A10100001D"/>
    <s v="GC00A10100001D GASTOS ADMINISTRATIVOS"/>
    <s v="53 BIENES Y SERVICIOS DE CONSUMO"/>
    <s v="530505 Vehículos (Arrendamiento)"/>
    <s v="G/530505/1MA101"/>
    <s v="001"/>
    <n v="100"/>
    <n v="0"/>
    <n v="0"/>
    <n v="100"/>
    <n v="0"/>
    <n v="0"/>
    <n v="0"/>
    <n v="100"/>
    <n v="100"/>
    <n v="10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505 Vehículos (Arrendamiento)"/>
    <s v="G/530505/1BA101"/>
    <s v="002"/>
    <n v="400000"/>
    <n v="-253887.47"/>
    <n v="0"/>
    <n v="146112.53"/>
    <n v="0"/>
    <n v="146112.53"/>
    <n v="146112.51"/>
    <n v="0"/>
    <n v="0.02"/>
    <n v="0"/>
  </r>
  <r>
    <s v="53"/>
    <x v="2"/>
    <x v="7"/>
    <s v="ZQ08F080"/>
    <x v="44"/>
    <s v="A101"/>
    <s v="FORTALECIMIENTO INSTITUCIONAL"/>
    <s v="GC00A10100001D"/>
    <s v="GC00A10100001D GASTOS ADMINISTRATIVOS"/>
    <s v="53 BIENES Y SERVICIOS DE CONSUMO"/>
    <s v="530505 Vehículos (Arrendamiento)"/>
    <s v="G/530505/1FA101"/>
    <s v="001"/>
    <n v="87500"/>
    <n v="-38874.11"/>
    <n v="-46069.19"/>
    <n v="2556.6999999999998"/>
    <n v="0"/>
    <n v="2556.6999999999998"/>
    <n v="2556.6999999999998"/>
    <n v="0"/>
    <n v="0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601 Consultoría, Asesoría e Investigación Es"/>
    <s v="G/530601/1AA101"/>
    <s v="001"/>
    <n v="0"/>
    <n v="0"/>
    <n v="33.26"/>
    <n v="33.26"/>
    <n v="0"/>
    <n v="0"/>
    <n v="0"/>
    <n v="33.26"/>
    <n v="33.26"/>
    <n v="33.26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601 Consultoría, Asesoría e Investigación Es"/>
    <s v="G/530601/1AA101"/>
    <s v="002"/>
    <n v="0"/>
    <n v="4513.26"/>
    <n v="-33.26"/>
    <n v="4480"/>
    <n v="0"/>
    <n v="4480"/>
    <n v="0"/>
    <n v="0"/>
    <n v="4480"/>
    <n v="0"/>
  </r>
  <r>
    <s v="53"/>
    <x v="0"/>
    <x v="0"/>
    <s v="ZA01A003"/>
    <x v="49"/>
    <s v="A101"/>
    <s v="FORTALECIMIENTO INSTITUCIONAL"/>
    <s v="GC00A10100001D"/>
    <s v="GC00A10100001D GASTOS ADMINISTRATIVOS"/>
    <s v="53 BIENES Y SERVICIOS DE CONSUMO"/>
    <s v="530602 Servicio de Auditoría"/>
    <s v="G/530602/1AA101"/>
    <s v="001"/>
    <n v="0"/>
    <n v="0"/>
    <n v="89104"/>
    <n v="89104"/>
    <n v="0"/>
    <n v="0"/>
    <n v="0"/>
    <n v="89104"/>
    <n v="89104"/>
    <n v="89104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602 Servicio de Auditoría"/>
    <s v="G/530602/1AA101"/>
    <s v="002"/>
    <n v="0"/>
    <n v="3920"/>
    <n v="0"/>
    <n v="3920"/>
    <n v="0"/>
    <n v="3920"/>
    <n v="3920"/>
    <n v="0"/>
    <n v="0"/>
    <n v="0"/>
  </r>
  <r>
    <s v="53"/>
    <x v="2"/>
    <x v="13"/>
    <s v="ZA01D000"/>
    <x v="22"/>
    <s v="A101"/>
    <s v="FORTALECIMIENTO INSTITUCIONAL"/>
    <s v="GC00A10100001D"/>
    <s v="GC00A10100001D GASTOS ADMINISTRATIVOS"/>
    <s v="53 BIENES Y SERVICIOS DE CONSUMO"/>
    <s v="530602 Servicio de Auditoría"/>
    <s v="G/530602/1DA101"/>
    <s v="001"/>
    <n v="0"/>
    <n v="1344"/>
    <n v="0"/>
    <n v="1344"/>
    <n v="0"/>
    <n v="0"/>
    <n v="0"/>
    <n v="1344"/>
    <n v="1344"/>
    <n v="1344"/>
  </r>
  <r>
    <s v="53"/>
    <x v="0"/>
    <x v="0"/>
    <s v="ZA01A003"/>
    <x v="49"/>
    <s v="A101"/>
    <s v="FORTALECIMIENTO INSTITUCIONAL"/>
    <s v="GC00A10100001D"/>
    <s v="GC00A10100001D GASTOS ADMINISTRATIVOS"/>
    <s v="53 BIENES Y SERVICIOS DE CONSUMO"/>
    <s v="530602 Servicio de Auditoría"/>
    <s v="G/530602/1AA101"/>
    <s v="002"/>
    <n v="650000"/>
    <n v="-896"/>
    <n v="-649104"/>
    <n v="0"/>
    <n v="0"/>
    <n v="0"/>
    <n v="0"/>
    <n v="0"/>
    <n v="0"/>
    <n v="0"/>
  </r>
  <r>
    <s v="53"/>
    <x v="0"/>
    <x v="0"/>
    <s v="ZA01A002"/>
    <x v="4"/>
    <s v="A101"/>
    <s v="FORTALECIMIENTO INSTITUCIONAL"/>
    <s v="GC00A10100001D"/>
    <s v="GC00A10100001D GASTOS ADMINISTRATIVOS"/>
    <s v="53 BIENES Y SERVICIOS DE CONSUMO"/>
    <s v="530606 Honorarios por Contratos Civiles de Servici"/>
    <s v="G/530606/1AA101"/>
    <s v="002"/>
    <n v="12000"/>
    <n v="0"/>
    <n v="-12000"/>
    <n v="0"/>
    <n v="0"/>
    <n v="0"/>
    <n v="0"/>
    <n v="0"/>
    <n v="0"/>
    <n v="0"/>
  </r>
  <r>
    <s v="53"/>
    <x v="2"/>
    <x v="13"/>
    <s v="ZA01D000"/>
    <x v="22"/>
    <s v="A101"/>
    <s v="FORTALECIMIENTO INSTITUCIONAL"/>
    <s v="GC00A10100001D"/>
    <s v="GC00A10100001D GASTOS ADMINISTRATIVOS"/>
    <s v="53 BIENES Y SERVICIOS DE CONSUMO"/>
    <s v="530609 Investigaciones Profesionales y Análisis"/>
    <s v="G/530609/1DA101"/>
    <s v="001"/>
    <n v="0"/>
    <n v="3396"/>
    <n v="0"/>
    <n v="3396"/>
    <n v="0"/>
    <n v="3000"/>
    <n v="0"/>
    <n v="396"/>
    <n v="3396"/>
    <n v="396"/>
  </r>
  <r>
    <s v="53"/>
    <x v="0"/>
    <x v="0"/>
    <s v="ZA01A002"/>
    <x v="4"/>
    <s v="A101"/>
    <s v="FORTALECIMIENTO INSTITUCIONAL"/>
    <s v="GC00A10100001D"/>
    <s v="GC00A10100001D GASTOS ADMINISTRATIVOS"/>
    <s v="53 BIENES Y SERVICIOS DE CONSUMO"/>
    <s v="530612 Capacitación a Servidores Publicos"/>
    <s v="G/530612/1AA101"/>
    <s v="002"/>
    <n v="15000"/>
    <n v="0"/>
    <n v="-15000"/>
    <n v="0"/>
    <n v="0"/>
    <n v="0"/>
    <n v="0"/>
    <n v="0"/>
    <n v="0"/>
    <n v="0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701 Desarrollo, Actualización, Asistencia Técni"/>
    <s v="G/530701/1FA101"/>
    <s v="001"/>
    <n v="0"/>
    <n v="16600"/>
    <n v="0"/>
    <n v="16600"/>
    <n v="16184"/>
    <n v="78.400000000000006"/>
    <n v="78.400000000000006"/>
    <n v="16521.599999999999"/>
    <n v="16521.599999999999"/>
    <n v="337.6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0701 Desarrollo, Actualización, Asistencia Técni"/>
    <s v="G/530701/1IA101"/>
    <s v="001"/>
    <n v="0"/>
    <n v="2300"/>
    <n v="0"/>
    <n v="2300"/>
    <n v="0"/>
    <n v="2240"/>
    <n v="0"/>
    <n v="60"/>
    <n v="2300"/>
    <n v="60"/>
  </r>
  <r>
    <s v="53"/>
    <x v="0"/>
    <x v="0"/>
    <s v="ZA01A003"/>
    <x v="49"/>
    <s v="A101"/>
    <s v="FORTALECIMIENTO INSTITUCIONAL"/>
    <s v="GC00A10100001D"/>
    <s v="GC00A10100001D GASTOS ADMINISTRATIVOS"/>
    <s v="53 BIENES Y SERVICIOS DE CONSUMO"/>
    <s v="530702 Arrendamiento y Licencias de Uso de Paquete"/>
    <s v="G/530702/1AA101"/>
    <s v="002"/>
    <n v="0"/>
    <n v="1321.6"/>
    <n v="-1321.6"/>
    <n v="0"/>
    <n v="0"/>
    <n v="0"/>
    <n v="0"/>
    <n v="0"/>
    <n v="0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702 Arrendamiento y Licencias de Uso de Paqu"/>
    <s v="G/530702/1BA101"/>
    <s v="001"/>
    <n v="0"/>
    <n v="0"/>
    <n v="2240"/>
    <n v="2240"/>
    <n v="0"/>
    <n v="0"/>
    <n v="0"/>
    <n v="2240"/>
    <n v="2240"/>
    <n v="224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702 Arrendamiento y Licencias de Uso de Paquete"/>
    <s v="G/530702/1AA101"/>
    <s v="001"/>
    <n v="0"/>
    <n v="0"/>
    <n v="64.989999999999995"/>
    <n v="64.989999999999995"/>
    <n v="0"/>
    <n v="0"/>
    <n v="0"/>
    <n v="64.989999999999995"/>
    <n v="64.989999999999995"/>
    <n v="64.989999999999995"/>
  </r>
  <r>
    <s v="53"/>
    <x v="0"/>
    <x v="0"/>
    <s v="ZA01A009"/>
    <x v="1"/>
    <s v="A101"/>
    <s v="FORTALECIMIENTO INSTITUCIONAL"/>
    <s v="GC00A10100001D"/>
    <s v="GC00A10100001D GASTOS ADMINISTRATIVOS"/>
    <s v="53 BIENES Y SERVICIOS DE CONSUMO"/>
    <s v="530702 Arrendamiento y Licencias de Uso de Paquete"/>
    <s v="G/530702/1AA101"/>
    <s v="002"/>
    <n v="0"/>
    <n v="7951.64"/>
    <n v="-7951.64"/>
    <n v="0"/>
    <n v="0"/>
    <n v="0"/>
    <n v="0"/>
    <n v="0"/>
    <n v="0"/>
    <n v="0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702 Arrendamiento y Licencias de Uso de Paquete"/>
    <s v="G/530702/1FA101"/>
    <s v="001"/>
    <n v="0"/>
    <n v="8000"/>
    <n v="0"/>
    <n v="8000"/>
    <n v="0"/>
    <n v="7095.2"/>
    <n v="0"/>
    <n v="904.8"/>
    <n v="8000"/>
    <n v="904.8"/>
  </r>
  <r>
    <s v="53"/>
    <x v="2"/>
    <x v="7"/>
    <s v="ZC09F090"/>
    <x v="10"/>
    <s v="A101"/>
    <s v="FORTALECIMIENTO INSTITUCIONAL"/>
    <s v="GC00A10100001D"/>
    <s v="GC00A10100001D GASTOS ADMINISTRATIVOS"/>
    <s v="53 BIENES Y SERVICIOS DE CONSUMO"/>
    <s v="530702 Arrendamiento y Licencias de Uso de Paquete"/>
    <s v="G/530702/1FA101"/>
    <s v="001"/>
    <n v="0"/>
    <n v="5000"/>
    <n v="0"/>
    <n v="5000"/>
    <n v="0"/>
    <n v="4771.2"/>
    <n v="0"/>
    <n v="228.8"/>
    <n v="5000"/>
    <n v="228.8"/>
  </r>
  <r>
    <s v="53"/>
    <x v="2"/>
    <x v="7"/>
    <s v="ZT06F060"/>
    <x v="40"/>
    <s v="A101"/>
    <s v="FORTALECIMIENTO INSTITUCIONAL"/>
    <s v="GC00A10100001D"/>
    <s v="GC00A10100001D GASTOS ADMINISTRATIVOS"/>
    <s v="53 BIENES Y SERVICIOS DE CONSUMO"/>
    <s v="530702 Arrendamiento y Licencias de Uso de Paquete"/>
    <s v="G/530702/1FA101"/>
    <s v="001"/>
    <n v="0"/>
    <n v="7095.2"/>
    <n v="0"/>
    <n v="7095.2"/>
    <n v="0"/>
    <n v="7095.2"/>
    <n v="0"/>
    <n v="0"/>
    <n v="7095.2"/>
    <n v="0"/>
  </r>
  <r>
    <s v="53"/>
    <x v="0"/>
    <x v="0"/>
    <s v="ZA01A002"/>
    <x v="4"/>
    <s v="A101"/>
    <s v="FORTALECIMIENTO INSTITUCIONAL"/>
    <s v="GC00A10100001D"/>
    <s v="GC00A10100001D GASTOS ADMINISTRATIVOS"/>
    <s v="53 BIENES Y SERVICIOS DE CONSUMO"/>
    <s v="530702 Arrendamiento y Licencias de Uso de Paquete"/>
    <s v="G/530702/1AA101"/>
    <s v="002"/>
    <n v="160000"/>
    <n v="0"/>
    <n v="-160000"/>
    <n v="0"/>
    <n v="0"/>
    <n v="0"/>
    <n v="0"/>
    <n v="0"/>
    <n v="0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702 Arrendamiento y Licencias de Uso de Paqu"/>
    <s v="G/530702/1BA101"/>
    <s v="002"/>
    <n v="0"/>
    <n v="2240"/>
    <n v="-2240"/>
    <n v="0"/>
    <n v="0"/>
    <n v="0"/>
    <n v="0"/>
    <n v="0"/>
    <n v="0"/>
    <n v="0"/>
  </r>
  <r>
    <s v="53"/>
    <x v="0"/>
    <x v="0"/>
    <s v="ZA01A009"/>
    <x v="1"/>
    <s v="A101"/>
    <s v="FORTALECIMIENTO INSTITUCIONAL"/>
    <s v="GC00A10100001D"/>
    <s v="GC00A10100001D GASTOS ADMINISTRATIVOS"/>
    <s v="53 BIENES Y SERVICIOS DE CONSUMO"/>
    <s v="530702 Arrendamiento y Licencias de Uso de Paquete"/>
    <s v="G/530702/1AA101"/>
    <s v="001"/>
    <n v="0"/>
    <n v="0"/>
    <n v="7951.64"/>
    <n v="7951.64"/>
    <n v="0"/>
    <n v="0"/>
    <n v="0"/>
    <n v="7951.64"/>
    <n v="7951.64"/>
    <n v="7951.64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702 Arrendamiento y Licencias de Uso de Paquete"/>
    <s v="G/530702/1AA101"/>
    <s v="002"/>
    <n v="0"/>
    <n v="64.989999999999995"/>
    <n v="-64.989999999999995"/>
    <n v="0"/>
    <n v="0"/>
    <n v="0"/>
    <n v="0"/>
    <n v="0"/>
    <n v="0"/>
    <n v="0"/>
  </r>
  <r>
    <s v="53"/>
    <x v="2"/>
    <x v="7"/>
    <s v="ZS03F030"/>
    <x v="45"/>
    <s v="A101"/>
    <s v="FORTALECIMIENTO INSTITUCIONAL"/>
    <s v="GC00A10100001D"/>
    <s v="GC00A10100001D GASTOS ADMINISTRATIVOS"/>
    <s v="53 BIENES Y SERVICIOS DE CONSUMO"/>
    <s v="530702 Arrendamiento y Licencias de Uso de Paquete"/>
    <s v="G/530702/1FA101"/>
    <s v="001"/>
    <n v="0"/>
    <n v="7095.2"/>
    <n v="0"/>
    <n v="7095.2"/>
    <n v="0"/>
    <n v="7095.2"/>
    <n v="0"/>
    <n v="0"/>
    <n v="7095.2"/>
    <n v="0"/>
  </r>
  <r>
    <s v="53"/>
    <x v="2"/>
    <x v="7"/>
    <s v="ZM04F040"/>
    <x v="41"/>
    <s v="A101"/>
    <s v="FORTALECIMIENTO INSTITUCIONAL"/>
    <s v="GC00A10100001D"/>
    <s v="GC00A10100001D GASTOS ADMINISTRATIVOS"/>
    <s v="53 BIENES Y SERVICIOS DE CONSUMO"/>
    <s v="530702 Arrendamiento y Licencias de Uso de Paquete"/>
    <s v="G/530702/1FA101"/>
    <s v="001"/>
    <n v="0"/>
    <n v="7951.64"/>
    <n v="0"/>
    <n v="7951.64"/>
    <n v="0"/>
    <n v="7560"/>
    <n v="0"/>
    <n v="391.64"/>
    <n v="7951.64"/>
    <n v="391.64"/>
  </r>
  <r>
    <s v="53"/>
    <x v="3"/>
    <x v="6"/>
    <s v="AC67Q000"/>
    <x v="9"/>
    <s v="A101"/>
    <s v="FORTALECIMIENTO INSTITUCIONAL"/>
    <s v="GC00A10100001D"/>
    <s v="GC00A10100001D GASTOS ADMINISTRATIVOS"/>
    <s v="53 BIENES Y SERVICIOS DE CONSUMO"/>
    <s v="530704 Mantenimiento y Reparación de Equipos y Sis"/>
    <s v="G/530704/1QA101"/>
    <s v="001"/>
    <n v="8500"/>
    <n v="-2465.44"/>
    <n v="0"/>
    <n v="6034.56"/>
    <n v="0"/>
    <n v="6034.56"/>
    <n v="386.4"/>
    <n v="0"/>
    <n v="5648.16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704 Mantenimiento y Reparación de Equipos y Sis"/>
    <s v="G/530704/1AA101"/>
    <s v="002"/>
    <n v="1000"/>
    <n v="0"/>
    <n v="0"/>
    <n v="1000"/>
    <n v="0"/>
    <n v="1000"/>
    <n v="0"/>
    <n v="0"/>
    <n v="1000"/>
    <n v="0"/>
  </r>
  <r>
    <s v="53"/>
    <x v="1"/>
    <x v="10"/>
    <s v="JM40I070"/>
    <x v="27"/>
    <s v="A101"/>
    <s v="FORTALECIMIENTO INSTITUCIONAL"/>
    <s v="GC00A10100001D"/>
    <s v="GC00A10100001D GASTOS ADMINISTRATIVOS"/>
    <s v="53 BIENES Y SERVICIOS DE CONSUMO"/>
    <s v="530704 Mantenimiento y Reparación de Equipos y Sis"/>
    <s v="G/530704/1IA101"/>
    <s v="001"/>
    <n v="1200"/>
    <n v="0"/>
    <n v="0"/>
    <n v="1200"/>
    <n v="0"/>
    <n v="1008"/>
    <n v="0"/>
    <n v="192"/>
    <n v="1200"/>
    <n v="192"/>
  </r>
  <r>
    <s v="53"/>
    <x v="2"/>
    <x v="13"/>
    <s v="ZA01D000"/>
    <x v="22"/>
    <s v="A101"/>
    <s v="FORTALECIMIENTO INSTITUCIONAL"/>
    <s v="GC00A10100001D"/>
    <s v="GC00A10100001D GASTOS ADMINISTRATIVOS"/>
    <s v="53 BIENES Y SERVICIOS DE CONSUMO"/>
    <s v="530704 Mantenimiento y Reparación de Equipos y Sis"/>
    <s v="G/530704/1DA101"/>
    <s v="001"/>
    <n v="0"/>
    <n v="5000"/>
    <n v="0"/>
    <n v="5000"/>
    <n v="0"/>
    <n v="0"/>
    <n v="0"/>
    <n v="5000"/>
    <n v="5000"/>
    <n v="5000"/>
  </r>
  <r>
    <s v="53"/>
    <x v="2"/>
    <x v="7"/>
    <s v="ZD07F070"/>
    <x v="43"/>
    <s v="A101"/>
    <s v="FORTALECIMIENTO INSTITUCIONAL"/>
    <s v="GC00A10100001D"/>
    <s v="GC00A10100001D GASTOS ADMINISTRATIVOS"/>
    <s v="53 BIENES Y SERVICIOS DE CONSUMO"/>
    <s v="530704 Mantenimiento y Reparación de Equipos y Sis"/>
    <s v="G/530704/1FA101"/>
    <s v="001"/>
    <n v="0"/>
    <n v="5500"/>
    <n v="-5432.8"/>
    <n v="67.2"/>
    <n v="0"/>
    <n v="67.2"/>
    <n v="67.2"/>
    <n v="0"/>
    <n v="0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704 Mantenimiento y Reparación de Equipos y Sis"/>
    <s v="G/530704/1BA101"/>
    <s v="001"/>
    <n v="0"/>
    <n v="0"/>
    <n v="5548.69"/>
    <n v="5548.69"/>
    <n v="0"/>
    <n v="0"/>
    <n v="0"/>
    <n v="5548.69"/>
    <n v="5548.69"/>
    <n v="5548.69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0704 Mantenimiento y Reparación de Equipos y Sis"/>
    <s v="G/530704/1IA101"/>
    <s v="001"/>
    <n v="3000"/>
    <n v="4000"/>
    <n v="0"/>
    <n v="7000"/>
    <n v="0"/>
    <n v="7000"/>
    <n v="0"/>
    <n v="0"/>
    <n v="7000"/>
    <n v="0"/>
  </r>
  <r>
    <s v="53"/>
    <x v="2"/>
    <x v="7"/>
    <s v="ZQ08F080"/>
    <x v="44"/>
    <s v="A101"/>
    <s v="FORTALECIMIENTO INSTITUCIONAL"/>
    <s v="GC00A10100001D"/>
    <s v="GC00A10100001D GASTOS ADMINISTRATIVOS"/>
    <s v="53 BIENES Y SERVICIOS DE CONSUMO"/>
    <s v="530704 Mantenimiento y Reparación de Equipos y Sis"/>
    <s v="G/530704/1FA101"/>
    <s v="001"/>
    <n v="7000"/>
    <n v="0"/>
    <n v="0"/>
    <n v="7000"/>
    <n v="0"/>
    <n v="6566.18"/>
    <n v="0"/>
    <n v="433.82"/>
    <n v="7000"/>
    <n v="433.82"/>
  </r>
  <r>
    <s v="53"/>
    <x v="2"/>
    <x v="7"/>
    <s v="ZS03F030"/>
    <x v="45"/>
    <s v="A101"/>
    <s v="FORTALECIMIENTO INSTITUCIONAL"/>
    <s v="GC00A10100001D"/>
    <s v="GC00A10100001D GASTOS ADMINISTRATIVOS"/>
    <s v="53 BIENES Y SERVICIOS DE CONSUMO"/>
    <s v="530704 Mantenimiento y Reparación de Equipos y Sis"/>
    <s v="G/530704/1FA101"/>
    <s v="001"/>
    <n v="15000"/>
    <n v="0"/>
    <n v="0"/>
    <n v="15000"/>
    <n v="5277.28"/>
    <n v="9722.7199999999993"/>
    <n v="0"/>
    <n v="5277.28"/>
    <n v="15000"/>
    <n v="0"/>
  </r>
  <r>
    <s v="53"/>
    <x v="1"/>
    <x v="10"/>
    <s v="OL41I060"/>
    <x v="29"/>
    <s v="A101"/>
    <s v="FORTALECIMIENTO INSTITUCIONAL"/>
    <s v="GC00A10100001D"/>
    <s v="GC00A10100001D GASTOS ADMINISTRATIVOS"/>
    <s v="53 BIENES Y SERVICIOS DE CONSUMO"/>
    <s v="530704 Mantenimiento y Reparación de Equipos y Sis"/>
    <s v="G/530704/1IA101"/>
    <s v="001"/>
    <n v="3000"/>
    <n v="0"/>
    <n v="-3000"/>
    <n v="0"/>
    <n v="0"/>
    <n v="0"/>
    <n v="0"/>
    <n v="0"/>
    <n v="0"/>
    <n v="0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0704 Mantenimiento y Reparación de Equipos y Sis"/>
    <s v="G/530704/1IA101"/>
    <s v="001"/>
    <n v="4000"/>
    <n v="0"/>
    <n v="0"/>
    <n v="4000"/>
    <n v="0"/>
    <n v="0"/>
    <n v="0"/>
    <n v="4000"/>
    <n v="4000"/>
    <n v="4000"/>
  </r>
  <r>
    <s v="53"/>
    <x v="2"/>
    <x v="8"/>
    <s v="ZA01P000"/>
    <x v="32"/>
    <s v="A101"/>
    <s v="FORTALECIMIENTO INSTITUCIONAL"/>
    <s v="GC00A10100001D"/>
    <s v="GC00A10100001D GASTOS ADMINISTRATIVOS"/>
    <s v="53 BIENES Y SERVICIOS DE CONSUMO"/>
    <s v="530704 Mantenimiento y Reparación de Equipos y Sis"/>
    <s v="G/530704/1PA101"/>
    <s v="001"/>
    <n v="500"/>
    <n v="0"/>
    <n v="-250"/>
    <n v="250"/>
    <n v="0.8"/>
    <n v="179.2"/>
    <n v="0"/>
    <n v="70.8"/>
    <n v="250"/>
    <n v="70"/>
  </r>
  <r>
    <s v="53"/>
    <x v="2"/>
    <x v="7"/>
    <s v="ZC09F090"/>
    <x v="10"/>
    <s v="A101"/>
    <s v="FORTALECIMIENTO INSTITUCIONAL"/>
    <s v="GC00A10100001D"/>
    <s v="GC00A10100001D GASTOS ADMINISTRATIVOS"/>
    <s v="53 BIENES Y SERVICIOS DE CONSUMO"/>
    <s v="530704 Mantenimiento y Reparación de Equipos y Sis"/>
    <s v="G/530704/1FA101"/>
    <s v="001"/>
    <n v="7000"/>
    <n v="-2500"/>
    <n v="-2500"/>
    <n v="2000"/>
    <n v="36.64"/>
    <n v="1963.36"/>
    <n v="0"/>
    <n v="36.64"/>
    <n v="2000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704 Mantenimiento y Reparación de Equipos y Sis"/>
    <s v="G/530704/1AA101"/>
    <s v="002"/>
    <n v="0"/>
    <n v="11852.38"/>
    <n v="-1253.05"/>
    <n v="10599.33"/>
    <n v="1658.89"/>
    <n v="8940.44"/>
    <n v="7081.15"/>
    <n v="1658.89"/>
    <n v="3518.18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704 Mantenimiento y Reparación de Equipos y Sis"/>
    <s v="G/530704/1AA101"/>
    <s v="001"/>
    <n v="0"/>
    <n v="0"/>
    <n v="1253.05"/>
    <n v="1253.05"/>
    <n v="0"/>
    <n v="0"/>
    <n v="0"/>
    <n v="1253.05"/>
    <n v="1253.05"/>
    <n v="1253.05"/>
  </r>
  <r>
    <s v="53"/>
    <x v="2"/>
    <x v="7"/>
    <s v="ZM04F040"/>
    <x v="41"/>
    <s v="A101"/>
    <s v="FORTALECIMIENTO INSTITUCIONAL"/>
    <s v="GC00A10100001D"/>
    <s v="GC00A10100001D GASTOS ADMINISTRATIVOS"/>
    <s v="53 BIENES Y SERVICIOS DE CONSUMO"/>
    <s v="530704 Mantenimiento y Reparación de Equipos y Sis"/>
    <s v="G/530704/1FA101"/>
    <s v="001"/>
    <n v="0"/>
    <n v="5000"/>
    <n v="-3000"/>
    <n v="2000"/>
    <n v="0"/>
    <n v="1996.96"/>
    <n v="0"/>
    <n v="3.04"/>
    <n v="2000"/>
    <n v="3.04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704 Mantenimiento y Reparación de Equipos y Sis"/>
    <s v="G/530704/1PA101"/>
    <s v="001"/>
    <n v="7250"/>
    <n v="-150.32"/>
    <n v="0"/>
    <n v="7099.68"/>
    <n v="0"/>
    <n v="7099.68"/>
    <n v="0"/>
    <n v="0"/>
    <n v="7099.68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704 Mantenimiento y Reparación de Equipos y Sis"/>
    <s v="G/530704/1BA101"/>
    <s v="002"/>
    <n v="10000"/>
    <n v="-2000"/>
    <n v="-5548.69"/>
    <n v="2451.31"/>
    <n v="800.43"/>
    <n v="1650.88"/>
    <n v="0"/>
    <n v="800.43"/>
    <n v="2451.31"/>
    <n v="0"/>
  </r>
  <r>
    <s v="53"/>
    <x v="1"/>
    <x v="10"/>
    <s v="CF22I050"/>
    <x v="38"/>
    <s v="A101"/>
    <s v="FORTALECIMIENTO INSTITUCIONAL"/>
    <s v="GC00A10100001D"/>
    <s v="GC00A10100001D GASTOS ADMINISTRATIVOS"/>
    <s v="53 BIENES Y SERVICIOS DE CONSUMO"/>
    <s v="530704 Mantenimiento y Reparación de Equipos y Sis"/>
    <s v="G/530704/1IA101"/>
    <s v="001"/>
    <n v="3000"/>
    <n v="0"/>
    <n v="0"/>
    <n v="3000"/>
    <n v="2428.8000000000002"/>
    <n v="571.20000000000005"/>
    <n v="0"/>
    <n v="2428.8000000000002"/>
    <n v="3000"/>
    <n v="0"/>
  </r>
  <r>
    <s v="53"/>
    <x v="2"/>
    <x v="7"/>
    <s v="TM68F100"/>
    <x v="36"/>
    <s v="A101"/>
    <s v="FORTALECIMIENTO INSTITUCIONAL"/>
    <s v="GC00A10100001D"/>
    <s v="GC00A10100001D GASTOS ADMINISTRATIVOS"/>
    <s v="53 BIENES Y SERVICIOS DE CONSUMO"/>
    <s v="530704 Mantenimiento y Reparación de Equipos y Sis"/>
    <s v="G/530704/1FA101"/>
    <s v="001"/>
    <n v="700"/>
    <n v="1800"/>
    <n v="0"/>
    <n v="2500"/>
    <n v="263.83999999999997"/>
    <n v="2236.16"/>
    <n v="0"/>
    <n v="263.83999999999997"/>
    <n v="2500"/>
    <n v="0"/>
  </r>
  <r>
    <s v="53"/>
    <x v="2"/>
    <x v="7"/>
    <s v="ZT06F060"/>
    <x v="40"/>
    <s v="A101"/>
    <s v="FORTALECIMIENTO INSTITUCIONAL"/>
    <s v="GC00A10100001D"/>
    <s v="GC00A10100001D GASTOS ADMINISTRATIVOS"/>
    <s v="53 BIENES Y SERVICIOS DE CONSUMO"/>
    <s v="530704 Mantenimiento y Reparación de Equipos y Sis"/>
    <s v="G/530704/1FA101"/>
    <s v="001"/>
    <n v="3000"/>
    <n v="2700"/>
    <n v="0"/>
    <n v="5700"/>
    <n v="0"/>
    <n v="5666.83"/>
    <n v="0"/>
    <n v="33.17"/>
    <n v="5700"/>
    <n v="33.17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0704 Mantenimiento y Reparación de Equipos y Sis"/>
    <s v="G/530704/1MA101"/>
    <s v="001"/>
    <n v="8000"/>
    <n v="-5751.43"/>
    <n v="0"/>
    <n v="2248.5700000000002"/>
    <n v="0"/>
    <n v="2248.5700000000002"/>
    <n v="2019.97"/>
    <n v="0"/>
    <n v="228.6"/>
    <n v="0"/>
  </r>
  <r>
    <s v="53"/>
    <x v="0"/>
    <x v="0"/>
    <s v="ZA01A002"/>
    <x v="4"/>
    <s v="A101"/>
    <s v="FORTALECIMIENTO INSTITUCIONAL"/>
    <s v="GC00A10100001D"/>
    <s v="GC00A10100001D GASTOS ADMINISTRATIVOS"/>
    <s v="53 BIENES Y SERVICIOS DE CONSUMO"/>
    <s v="530704 Mantenimiento y Reparación de Equipos y Sis"/>
    <s v="G/530704/1AA101"/>
    <s v="002"/>
    <n v="25000"/>
    <n v="0"/>
    <n v="-25000"/>
    <n v="0"/>
    <n v="0"/>
    <n v="0"/>
    <n v="0"/>
    <n v="0"/>
    <n v="0"/>
    <n v="0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0704 Mantenimiento y Reparación de Equipos y Sis"/>
    <s v="G/530704/1IA101"/>
    <s v="001"/>
    <n v="3000"/>
    <n v="0"/>
    <n v="0"/>
    <n v="3000"/>
    <n v="0"/>
    <n v="672"/>
    <n v="672"/>
    <n v="2328"/>
    <n v="2328"/>
    <n v="2328"/>
  </r>
  <r>
    <s v="53"/>
    <x v="0"/>
    <x v="0"/>
    <s v="ZA01A004"/>
    <x v="52"/>
    <s v="A101"/>
    <s v="FORTALECIMIENTO INSTITUCIONAL"/>
    <s v="GC00A10100001D"/>
    <s v="GC00A10100001D GASTOS ADMINISTRATIVOS"/>
    <s v="53 BIENES Y SERVICIOS DE CONSUMO"/>
    <s v="530704 Mantenimiento y Reparación de Equipos y Sis"/>
    <s v="G/530704/1AA101"/>
    <s v="002"/>
    <n v="1000"/>
    <n v="0"/>
    <n v="-1000"/>
    <n v="0"/>
    <n v="0"/>
    <n v="0"/>
    <n v="0"/>
    <n v="0"/>
    <n v="0"/>
    <n v="0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704 Mantenimiento y Reparación de Equipos y Sis"/>
    <s v="G/530704/1FA101"/>
    <s v="001"/>
    <n v="1000"/>
    <n v="5000"/>
    <n v="0"/>
    <n v="6000"/>
    <n v="0"/>
    <n v="5924.8"/>
    <n v="0"/>
    <n v="75.2"/>
    <n v="6000"/>
    <n v="75.2"/>
  </r>
  <r>
    <s v="53"/>
    <x v="0"/>
    <x v="0"/>
    <s v="ZA01A000"/>
    <x v="3"/>
    <s v="A101"/>
    <s v="FORTALECIMIENTO INSTITUCIONAL"/>
    <s v="GC00A10100001D"/>
    <s v="GC00A10100001D GASTOS ADMINISTRATIVOS"/>
    <s v="53 BIENES Y SERVICIOS DE CONSUMO"/>
    <s v="530801 Alimentos y Bebidas"/>
    <s v="G/530801/1AA101"/>
    <s v="001"/>
    <n v="0"/>
    <n v="0"/>
    <n v="3000"/>
    <n v="3000"/>
    <n v="0"/>
    <n v="0"/>
    <n v="0"/>
    <n v="3000"/>
    <n v="3000"/>
    <n v="3000"/>
  </r>
  <r>
    <s v="53"/>
    <x v="0"/>
    <x v="1"/>
    <s v="ZA01C002"/>
    <x v="11"/>
    <s v="A101"/>
    <s v="FORTALECIMIENTO INSTITUCIONAL"/>
    <s v="GC00A10100001D"/>
    <s v="GC00A10100001D GASTOS ADMINISTRATIVOS"/>
    <s v="53 BIENES Y SERVICIOS DE CONSUMO"/>
    <s v="530801 Alimentos y Bebidas"/>
    <s v="G/530801/1CA101"/>
    <s v="001"/>
    <n v="0"/>
    <n v="0"/>
    <n v="1200"/>
    <n v="1200"/>
    <n v="0"/>
    <n v="0"/>
    <n v="0"/>
    <n v="1200"/>
    <n v="1200"/>
    <n v="120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801 Alimentos y Bebidas"/>
    <s v="G/530801/1AA101"/>
    <s v="002"/>
    <n v="3600"/>
    <n v="-2640.96"/>
    <n v="-220.55"/>
    <n v="738.49"/>
    <n v="0"/>
    <n v="738.49"/>
    <n v="19.45"/>
    <n v="0"/>
    <n v="719.04"/>
    <n v="0"/>
  </r>
  <r>
    <s v="53"/>
    <x v="2"/>
    <x v="7"/>
    <s v="ZS03F030"/>
    <x v="45"/>
    <s v="A101"/>
    <s v="FORTALECIMIENTO INSTITUCIONAL"/>
    <s v="GC00A10100001D"/>
    <s v="GC00A10100001D GASTOS ADMINISTRATIVOS"/>
    <s v="53 BIENES Y SERVICIOS DE CONSUMO"/>
    <s v="530801 Alimentos y Bebidas"/>
    <s v="G/530801/1FA101"/>
    <s v="001"/>
    <n v="3000"/>
    <n v="0"/>
    <n v="-1000"/>
    <n v="2000"/>
    <n v="1616.2"/>
    <n v="383.8"/>
    <n v="0"/>
    <n v="1616.2"/>
    <n v="2000"/>
    <n v="0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801 Alimentos y Bebidas"/>
    <s v="G/530801/1FA101"/>
    <s v="001"/>
    <n v="0"/>
    <n v="120"/>
    <n v="-120"/>
    <n v="0"/>
    <n v="0"/>
    <n v="0"/>
    <n v="0"/>
    <n v="0"/>
    <n v="0"/>
    <n v="0"/>
  </r>
  <r>
    <s v="53"/>
    <x v="2"/>
    <x v="3"/>
    <s v="AT69K040"/>
    <x v="16"/>
    <s v="A101"/>
    <s v="FORTALECIMIENTO INSTITUCIONAL"/>
    <s v="GC00A10100001D"/>
    <s v="GC00A10100001D GASTOS ADMINISTRATIVOS"/>
    <s v="53 BIENES Y SERVICIOS DE CONSUMO"/>
    <s v="530801 Alimentos y Bebidas"/>
    <s v="G/530801/1KA101"/>
    <s v="001"/>
    <n v="0"/>
    <n v="600"/>
    <n v="0"/>
    <n v="600"/>
    <n v="0"/>
    <n v="600"/>
    <n v="217.44"/>
    <n v="0"/>
    <n v="382.56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801 Alimentos y Bebidas"/>
    <s v="G/530801/1BA101"/>
    <s v="002"/>
    <n v="200"/>
    <n v="116.51"/>
    <n v="0"/>
    <n v="316.51"/>
    <n v="0"/>
    <n v="316.51"/>
    <n v="316.51"/>
    <n v="0"/>
    <n v="0"/>
    <n v="0"/>
  </r>
  <r>
    <s v="53"/>
    <x v="0"/>
    <x v="0"/>
    <s v="ZA01A000"/>
    <x v="3"/>
    <s v="A101"/>
    <s v="FORTALECIMIENTO INSTITUCIONAL"/>
    <s v="GC00A10100001D"/>
    <s v="GC00A10100001D GASTOS ADMINISTRATIVOS"/>
    <s v="53 BIENES Y SERVICIOS DE CONSUMO"/>
    <s v="530801 Alimentos y Bebidas"/>
    <s v="G/530801/1AA101"/>
    <s v="002"/>
    <n v="6000"/>
    <n v="0"/>
    <n v="-3000"/>
    <n v="3000"/>
    <n v="0"/>
    <n v="0"/>
    <n v="0"/>
    <n v="3000"/>
    <n v="3000"/>
    <n v="300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801 Alimentos y Bebidas"/>
    <s v="G/530801/1AA101"/>
    <s v="001"/>
    <n v="0"/>
    <n v="0"/>
    <n v="220.55"/>
    <n v="220.55"/>
    <n v="0"/>
    <n v="0"/>
    <n v="0"/>
    <n v="220.55"/>
    <n v="220.55"/>
    <n v="220.55"/>
  </r>
  <r>
    <s v="53"/>
    <x v="2"/>
    <x v="9"/>
    <s v="PM71N010"/>
    <x v="20"/>
    <s v="A101"/>
    <s v="FORTALECIMIENTO INSTITUCIONAL"/>
    <s v="GC00A10100001D"/>
    <s v="GC00A10100001D GASTOS ADMINISTRATIVOS"/>
    <s v="53 BIENES Y SERVICIOS DE CONSUMO"/>
    <s v="530801 Alimentos y Bebidas"/>
    <s v="G/530801/1NA101"/>
    <s v="001"/>
    <n v="200"/>
    <n v="0"/>
    <n v="0"/>
    <n v="200"/>
    <n v="0"/>
    <n v="200"/>
    <n v="131.31"/>
    <n v="0"/>
    <n v="68.69"/>
    <n v="0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801 Alimentos y Bebidas"/>
    <s v="G/530801/1PA101"/>
    <s v="001"/>
    <n v="50"/>
    <n v="-50"/>
    <n v="0"/>
    <n v="0"/>
    <n v="0"/>
    <n v="0"/>
    <n v="0"/>
    <n v="0"/>
    <n v="0"/>
    <n v="0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0801 Alimentos y Bebidas"/>
    <s v="G/530801/1IA101"/>
    <s v="001"/>
    <n v="500"/>
    <n v="0"/>
    <n v="-500"/>
    <n v="0"/>
    <n v="0"/>
    <n v="0"/>
    <n v="0"/>
    <n v="0"/>
    <n v="0"/>
    <n v="0"/>
  </r>
  <r>
    <s v="53"/>
    <x v="0"/>
    <x v="1"/>
    <s v="ZA01C002"/>
    <x v="11"/>
    <s v="A101"/>
    <s v="FORTALECIMIENTO INSTITUCIONAL"/>
    <s v="GC00A10100001D"/>
    <s v="GC00A10100001D GASTOS ADMINISTRATIVOS"/>
    <s v="53 BIENES Y SERVICIOS DE CONSUMO"/>
    <s v="530801 Alimentos y Bebidas"/>
    <s v="G/530801/1CA101"/>
    <s v="002"/>
    <n v="14400"/>
    <n v="0"/>
    <n v="-14400"/>
    <n v="0"/>
    <n v="0"/>
    <n v="0"/>
    <n v="0"/>
    <n v="0"/>
    <n v="0"/>
    <n v="0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801 Alimentos y Bebidas"/>
    <s v="G/530801/1FA101"/>
    <s v="001"/>
    <n v="20"/>
    <n v="0"/>
    <n v="-20"/>
    <n v="0"/>
    <n v="0"/>
    <n v="0"/>
    <n v="0"/>
    <n v="0"/>
    <n v="0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801 Alimentos y Bebidas"/>
    <s v="G/530801/1AA101"/>
    <s v="002"/>
    <n v="6400"/>
    <n v="0"/>
    <n v="-4400"/>
    <n v="2000"/>
    <n v="0"/>
    <n v="2000"/>
    <n v="208.8"/>
    <n v="0"/>
    <n v="1791.2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802 Vestuario, Lencería, Prendas de Protecc"/>
    <s v="G/530802/1AA101"/>
    <s v="002"/>
    <n v="0"/>
    <n v="17391.650000000001"/>
    <n v="-426.61"/>
    <n v="16965.04"/>
    <n v="0"/>
    <n v="16965.04"/>
    <n v="16965.04"/>
    <n v="0"/>
    <n v="0"/>
    <n v="0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802 Vestuario, Lencería, Prendas de Protecc"/>
    <s v="G/530802/1PA101"/>
    <s v="001"/>
    <n v="100"/>
    <n v="-75"/>
    <n v="0"/>
    <n v="25"/>
    <n v="0"/>
    <n v="17.64"/>
    <n v="17.64"/>
    <n v="7.36"/>
    <n v="7.36"/>
    <n v="7.36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802 Vestuario, Lencería, Prendas de Protecc"/>
    <s v="G/530802/1BA101"/>
    <s v="001"/>
    <n v="0"/>
    <n v="0"/>
    <n v="27664.79"/>
    <n v="27664.79"/>
    <n v="0"/>
    <n v="0"/>
    <n v="0"/>
    <n v="27664.79"/>
    <n v="27664.79"/>
    <n v="27664.79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802 Vestuario, Lencería, Prendas de Protecc"/>
    <s v="G/530802/1AA101"/>
    <s v="001"/>
    <n v="0"/>
    <n v="-15.5"/>
    <n v="426.61"/>
    <n v="411.11"/>
    <n v="0"/>
    <n v="0"/>
    <n v="0"/>
    <n v="411.11"/>
    <n v="411.11"/>
    <n v="411.11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0802 Vestuario, Lencería, Prendas de Protecc"/>
    <s v="G/530802/1IA101"/>
    <s v="001"/>
    <n v="0"/>
    <n v="1500"/>
    <n v="0"/>
    <n v="1500"/>
    <n v="228.4"/>
    <n v="971.6"/>
    <n v="0"/>
    <n v="528.4"/>
    <n v="1500"/>
    <n v="300"/>
  </r>
  <r>
    <s v="53"/>
    <x v="0"/>
    <x v="0"/>
    <s v="ZA01A002"/>
    <x v="4"/>
    <s v="A101"/>
    <s v="FORTALECIMIENTO INSTITUCIONAL"/>
    <s v="GC00A10100001D"/>
    <s v="GC00A10100001D GASTOS ADMINISTRATIVOS"/>
    <s v="53 BIENES Y SERVICIOS DE CONSUMO"/>
    <s v="530802 Vestuario, Lencería, Prendas de Protecc"/>
    <s v="G/530802/1AA101"/>
    <s v="001"/>
    <n v="0"/>
    <n v="-500000"/>
    <n v="572077.89"/>
    <n v="72077.89"/>
    <n v="0"/>
    <n v="0"/>
    <n v="0"/>
    <n v="72077.89"/>
    <n v="72077.89"/>
    <n v="72077.89"/>
  </r>
  <r>
    <s v="53"/>
    <x v="2"/>
    <x v="7"/>
    <s v="ZD07F070"/>
    <x v="43"/>
    <s v="A101"/>
    <s v="FORTALECIMIENTO INSTITUCIONAL"/>
    <s v="GC00A10100001D"/>
    <s v="GC00A10100001D GASTOS ADMINISTRATIVOS"/>
    <s v="53 BIENES Y SERVICIOS DE CONSUMO"/>
    <s v="530802 Vestuario, Lencería, Prendas de Protecc"/>
    <s v="G/530802/1FA101"/>
    <s v="001"/>
    <n v="0"/>
    <n v="200"/>
    <n v="-200"/>
    <n v="0"/>
    <n v="0"/>
    <n v="0"/>
    <n v="0"/>
    <n v="0"/>
    <n v="0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802 Vestuario, Lencería, Prendas de Protecc"/>
    <s v="G/530802/1BA101"/>
    <s v="002"/>
    <n v="20000"/>
    <n v="22173.54"/>
    <n v="-27664.79"/>
    <n v="14508.75"/>
    <n v="3810.24"/>
    <n v="10698.51"/>
    <n v="8013.98"/>
    <n v="3810.24"/>
    <n v="6494.77"/>
    <n v="0"/>
  </r>
  <r>
    <s v="53"/>
    <x v="0"/>
    <x v="0"/>
    <s v="ZA01A002"/>
    <x v="4"/>
    <s v="A101"/>
    <s v="FORTALECIMIENTO INSTITUCIONAL"/>
    <s v="GC00A10100001D"/>
    <s v="GC00A10100001D GASTOS ADMINISTRATIVOS"/>
    <s v="53 BIENES Y SERVICIOS DE CONSUMO"/>
    <s v="530802 Vestuario, Lencería, Prendas de Protecc"/>
    <s v="G/530802/1AA101"/>
    <s v="002"/>
    <n v="955000"/>
    <n v="-247000"/>
    <n v="-572077.89"/>
    <n v="135922.10999999999"/>
    <n v="62054.98"/>
    <n v="73867.13"/>
    <n v="59723.35"/>
    <n v="62054.98"/>
    <n v="76198.759999999995"/>
    <n v="0"/>
  </r>
  <r>
    <s v="53"/>
    <x v="2"/>
    <x v="7"/>
    <s v="TM68F100"/>
    <x v="36"/>
    <s v="A101"/>
    <s v="FORTALECIMIENTO INSTITUCIONAL"/>
    <s v="GC00A10100001D"/>
    <s v="GC00A10100001D GASTOS ADMINISTRATIVOS"/>
    <s v="53 BIENES Y SERVICIOS DE CONSUMO"/>
    <s v="530803 Combustibles y Lubricantes"/>
    <s v="G/530803/1FA101"/>
    <s v="001"/>
    <n v="1000"/>
    <n v="200"/>
    <n v="0"/>
    <n v="1200"/>
    <n v="0"/>
    <n v="1200"/>
    <n v="1027.5"/>
    <n v="0"/>
    <n v="172.5"/>
    <n v="0"/>
  </r>
  <r>
    <s v="53"/>
    <x v="1"/>
    <x v="2"/>
    <s v="UC32M020"/>
    <x v="33"/>
    <s v="A101"/>
    <s v="FORTALECIMIENTO INSTITUCIONAL"/>
    <s v="GC00A10100001D"/>
    <s v="GC00A10100001D GASTOS ADMINISTRATIVOS"/>
    <s v="53 BIENES Y SERVICIOS DE CONSUMO"/>
    <s v="530803 Combustibles y Lubricantes"/>
    <s v="G/530803/1MA101"/>
    <s v="001"/>
    <n v="4000"/>
    <n v="0"/>
    <n v="0"/>
    <n v="4000"/>
    <n v="0"/>
    <n v="4000"/>
    <n v="2672.29"/>
    <n v="0"/>
    <n v="1327.71"/>
    <n v="0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803 Combustibles y Lubricantes"/>
    <s v="G/530803/1PA101"/>
    <s v="001"/>
    <n v="7000"/>
    <n v="971.7"/>
    <n v="0"/>
    <n v="7971.7"/>
    <n v="0"/>
    <n v="7961.79"/>
    <n v="5058.26"/>
    <n v="9.91"/>
    <n v="2913.44"/>
    <n v="9.91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0803 Combustibles y Lubricantes"/>
    <s v="G/530803/1MA101"/>
    <s v="001"/>
    <n v="10000"/>
    <n v="-3800"/>
    <n v="0"/>
    <n v="6200"/>
    <n v="0"/>
    <n v="5645.96"/>
    <n v="4087.41"/>
    <n v="554.04"/>
    <n v="2112.59"/>
    <n v="554.04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0803 Combustibles y Lubricantes"/>
    <s v="G/530803/1IA101"/>
    <s v="001"/>
    <n v="400"/>
    <n v="0"/>
    <n v="0"/>
    <n v="400"/>
    <n v="0"/>
    <n v="400"/>
    <n v="115.2"/>
    <n v="0"/>
    <n v="284.8"/>
    <n v="0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803 Combustibles y Lubricantes"/>
    <s v="G/530803/1FA101"/>
    <s v="001"/>
    <n v="16000"/>
    <n v="-320"/>
    <n v="-3160"/>
    <n v="12520"/>
    <n v="0"/>
    <n v="10840"/>
    <n v="6428.13"/>
    <n v="1680"/>
    <n v="6091.87"/>
    <n v="1680"/>
  </r>
  <r>
    <s v="53"/>
    <x v="2"/>
    <x v="9"/>
    <s v="PM71N010"/>
    <x v="20"/>
    <s v="A101"/>
    <s v="FORTALECIMIENTO INSTITUCIONAL"/>
    <s v="GC00A10100001D"/>
    <s v="GC00A10100001D GASTOS ADMINISTRATIVOS"/>
    <s v="53 BIENES Y SERVICIOS DE CONSUMO"/>
    <s v="530803 Combustibles y Lubricantes"/>
    <s v="G/530803/1NA101"/>
    <s v="001"/>
    <n v="5000"/>
    <n v="10000"/>
    <n v="0"/>
    <n v="15000"/>
    <n v="0"/>
    <n v="1234.53"/>
    <n v="1234.53"/>
    <n v="13765.47"/>
    <n v="13765.47"/>
    <n v="13765.47"/>
  </r>
  <r>
    <s v="53"/>
    <x v="2"/>
    <x v="7"/>
    <s v="ZD07F070"/>
    <x v="43"/>
    <s v="A101"/>
    <s v="FORTALECIMIENTO INSTITUCIONAL"/>
    <s v="GC00A10100001D"/>
    <s v="GC00A10100001D GASTOS ADMINISTRATIVOS"/>
    <s v="53 BIENES Y SERVICIOS DE CONSUMO"/>
    <s v="530803 Combustibles y Lubricantes"/>
    <s v="G/530803/1FA101"/>
    <s v="001"/>
    <n v="4000"/>
    <n v="0"/>
    <n v="0"/>
    <n v="4000"/>
    <n v="0"/>
    <n v="2271.2199999999998"/>
    <n v="1913.18"/>
    <n v="1728.78"/>
    <n v="2086.8200000000002"/>
    <n v="1728.78"/>
  </r>
  <r>
    <s v="53"/>
    <x v="2"/>
    <x v="7"/>
    <s v="ZT06F060"/>
    <x v="40"/>
    <s v="A101"/>
    <s v="FORTALECIMIENTO INSTITUCIONAL"/>
    <s v="GC00A10100001D"/>
    <s v="GC00A10100001D GASTOS ADMINISTRATIVOS"/>
    <s v="53 BIENES Y SERVICIOS DE CONSUMO"/>
    <s v="530803 Combustibles y Lubricantes"/>
    <s v="G/530803/1FA101"/>
    <s v="001"/>
    <n v="8400"/>
    <n v="0"/>
    <n v="0"/>
    <n v="8400"/>
    <n v="4200"/>
    <n v="4200"/>
    <n v="2987.48"/>
    <n v="4200"/>
    <n v="5412.52"/>
    <n v="0"/>
  </r>
  <r>
    <s v="53"/>
    <x v="1"/>
    <x v="10"/>
    <s v="CF22I050"/>
    <x v="38"/>
    <s v="A101"/>
    <s v="FORTALECIMIENTO INSTITUCIONAL"/>
    <s v="GC00A10100001D"/>
    <s v="GC00A10100001D GASTOS ADMINISTRATIVOS"/>
    <s v="53 BIENES Y SERVICIOS DE CONSUMO"/>
    <s v="530803 Combustibles y Lubricantes"/>
    <s v="G/530803/1IA101"/>
    <s v="001"/>
    <n v="15000"/>
    <n v="0"/>
    <n v="0"/>
    <n v="15000"/>
    <n v="5050.84"/>
    <n v="9949.16"/>
    <n v="4728.8500000000004"/>
    <n v="5050.84"/>
    <n v="10271.15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803 Combustibles y Lubricantes"/>
    <s v="G/530803/1AA101"/>
    <s v="002"/>
    <n v="1700"/>
    <n v="-118.57"/>
    <n v="0"/>
    <n v="1581.43"/>
    <n v="0"/>
    <n v="1581.43"/>
    <n v="1081.43"/>
    <n v="0"/>
    <n v="500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803 Combustibles y Lubricantes"/>
    <s v="G/530803/1AA101"/>
    <s v="002"/>
    <n v="150000"/>
    <n v="0"/>
    <n v="-5340.02"/>
    <n v="144659.98000000001"/>
    <n v="0"/>
    <n v="144659.98000000001"/>
    <n v="67096.570000000007"/>
    <n v="0"/>
    <n v="77563.41"/>
    <n v="0"/>
  </r>
  <r>
    <s v="53"/>
    <x v="1"/>
    <x v="2"/>
    <s v="UN31M010"/>
    <x v="15"/>
    <s v="A101"/>
    <s v="FORTALECIMIENTO INSTITUCIONAL"/>
    <s v="GC00A10100001D"/>
    <s v="GC00A10100001D GASTOS ADMINISTRATIVOS"/>
    <s v="53 BIENES Y SERVICIOS DE CONSUMO"/>
    <s v="530803 Combustibles y Lubricantes"/>
    <s v="G/530803/1MA101"/>
    <s v="001"/>
    <n v="7000"/>
    <n v="500"/>
    <n v="-1800"/>
    <n v="5700"/>
    <n v="826.61"/>
    <n v="4652.72"/>
    <n v="3326.39"/>
    <n v="1047.28"/>
    <n v="2373.61"/>
    <n v="220.67"/>
  </r>
  <r>
    <s v="53"/>
    <x v="2"/>
    <x v="7"/>
    <s v="ZS03F030"/>
    <x v="45"/>
    <s v="A101"/>
    <s v="FORTALECIMIENTO INSTITUCIONAL"/>
    <s v="GC00A10100001D"/>
    <s v="GC00A10100001D GASTOS ADMINISTRATIVOS"/>
    <s v="53 BIENES Y SERVICIOS DE CONSUMO"/>
    <s v="530803 Combustibles y Lubricantes"/>
    <s v="G/530803/1FA101"/>
    <s v="001"/>
    <n v="15000"/>
    <n v="0"/>
    <n v="-6000"/>
    <n v="9000"/>
    <n v="3426.66"/>
    <n v="5573.34"/>
    <n v="3811.12"/>
    <n v="3426.66"/>
    <n v="5188.88"/>
    <n v="0"/>
  </r>
  <r>
    <s v="53"/>
    <x v="2"/>
    <x v="7"/>
    <s v="ZQ08F080"/>
    <x v="44"/>
    <s v="A101"/>
    <s v="FORTALECIMIENTO INSTITUCIONAL"/>
    <s v="GC00A10100001D"/>
    <s v="GC00A10100001D GASTOS ADMINISTRATIVOS"/>
    <s v="53 BIENES Y SERVICIOS DE CONSUMO"/>
    <s v="530803 Combustibles y Lubricantes"/>
    <s v="G/530803/1FA101"/>
    <s v="001"/>
    <n v="15000"/>
    <n v="-1458.1"/>
    <n v="0"/>
    <n v="13541.9"/>
    <n v="0"/>
    <n v="13541.89"/>
    <n v="8283"/>
    <n v="0.01"/>
    <n v="5258.9"/>
    <n v="0.01"/>
  </r>
  <r>
    <s v="53"/>
    <x v="2"/>
    <x v="7"/>
    <s v="ZM04F040"/>
    <x v="41"/>
    <s v="A101"/>
    <s v="FORTALECIMIENTO INSTITUCIONAL"/>
    <s v="GC00A10100001D"/>
    <s v="GC00A10100001D GASTOS ADMINISTRATIVOS"/>
    <s v="53 BIENES Y SERVICIOS DE CONSUMO"/>
    <s v="530803 Combustibles y Lubricantes"/>
    <s v="G/530803/1FA101"/>
    <s v="001"/>
    <n v="10000"/>
    <n v="-2000"/>
    <n v="-3000"/>
    <n v="5000"/>
    <n v="0"/>
    <n v="5000"/>
    <n v="4786.26"/>
    <n v="0"/>
    <n v="213.74"/>
    <n v="0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803 Combustibles y Lubricantes"/>
    <s v="G/530803/1FA101"/>
    <s v="001"/>
    <n v="16000"/>
    <n v="0"/>
    <n v="0"/>
    <n v="16000"/>
    <n v="0"/>
    <n v="14431.62"/>
    <n v="7933.46"/>
    <n v="1568.38"/>
    <n v="8066.54"/>
    <n v="1568.38"/>
  </r>
  <r>
    <s v="53"/>
    <x v="3"/>
    <x v="6"/>
    <s v="AC67Q000"/>
    <x v="9"/>
    <s v="A101"/>
    <s v="FORTALECIMIENTO INSTITUCIONAL"/>
    <s v="GC00A10100001D"/>
    <s v="GC00A10100001D GASTOS ADMINISTRATIVOS"/>
    <s v="53 BIENES Y SERVICIOS DE CONSUMO"/>
    <s v="530803 Combustibles y Lubricantes"/>
    <s v="G/530803/1QA101"/>
    <s v="001"/>
    <n v="2000"/>
    <n v="5918"/>
    <n v="0"/>
    <n v="7918"/>
    <n v="0.06"/>
    <n v="7327.51"/>
    <n v="3841.43"/>
    <n v="590.49"/>
    <n v="4076.57"/>
    <n v="590.42999999999995"/>
  </r>
  <r>
    <s v="53"/>
    <x v="2"/>
    <x v="7"/>
    <s v="ZC09F090"/>
    <x v="10"/>
    <s v="A101"/>
    <s v="FORTALECIMIENTO INSTITUCIONAL"/>
    <s v="GC00A10100001D"/>
    <s v="GC00A10100001D GASTOS ADMINISTRATIVOS"/>
    <s v="53 BIENES Y SERVICIOS DE CONSUMO"/>
    <s v="530803 Combustibles y Lubricantes"/>
    <s v="G/530803/1FA101"/>
    <s v="001"/>
    <n v="5000"/>
    <n v="-5000"/>
    <n v="0"/>
    <n v="0"/>
    <n v="0"/>
    <n v="0"/>
    <n v="0"/>
    <n v="0"/>
    <n v="0"/>
    <n v="0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0803 Combustibles y Lubricantes"/>
    <s v="G/530803/1IA101"/>
    <s v="001"/>
    <n v="500"/>
    <n v="0"/>
    <n v="0"/>
    <n v="500"/>
    <n v="0"/>
    <n v="0"/>
    <n v="0"/>
    <n v="500"/>
    <n v="500"/>
    <n v="500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0803 Combustibles y Lubricantes"/>
    <s v="G/530803/1IA101"/>
    <s v="001"/>
    <n v="1000"/>
    <n v="-1000"/>
    <n v="0"/>
    <n v="0"/>
    <n v="0"/>
    <n v="0"/>
    <n v="0"/>
    <n v="0"/>
    <n v="0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803 Combustibles y Lubricantes"/>
    <s v="G/530803/1BA101"/>
    <s v="001"/>
    <n v="0"/>
    <n v="0"/>
    <n v="4605.9799999999996"/>
    <n v="4605.9799999999996"/>
    <n v="0"/>
    <n v="0"/>
    <n v="0"/>
    <n v="4605.9799999999996"/>
    <n v="4605.9799999999996"/>
    <n v="4605.9799999999996"/>
  </r>
  <r>
    <s v="53"/>
    <x v="1"/>
    <x v="10"/>
    <s v="EE11I010"/>
    <x v="37"/>
    <s v="A101"/>
    <s v="FORTALECIMIENTO INSTITUCIONAL"/>
    <s v="GC00A10100001D"/>
    <s v="GC00A10100001D GASTOS ADMINISTRATIVOS"/>
    <s v="53 BIENES Y SERVICIOS DE CONSUMO"/>
    <s v="530803 Combustibles y Lubricantes"/>
    <s v="G/530803/1IA101"/>
    <s v="001"/>
    <n v="400"/>
    <n v="0"/>
    <n v="0"/>
    <n v="400"/>
    <n v="0"/>
    <n v="0"/>
    <n v="0"/>
    <n v="400"/>
    <n v="400"/>
    <n v="40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803 Combustibles y Lubricantes"/>
    <s v="G/530803/1BA101"/>
    <s v="002"/>
    <n v="8000"/>
    <n v="15500"/>
    <n v="-4605.9799999999996"/>
    <n v="18894.02"/>
    <n v="677.44"/>
    <n v="18216.580000000002"/>
    <n v="10805.92"/>
    <n v="677.44"/>
    <n v="8088.1"/>
    <n v="0"/>
  </r>
  <r>
    <s v="53"/>
    <x v="3"/>
    <x v="6"/>
    <s v="AC67Q000"/>
    <x v="9"/>
    <s v="A101"/>
    <s v="FORTALECIMIENTO INSTITUCIONAL"/>
    <s v="GC00A10100001D"/>
    <s v="GC00A10100001D GASTOS ADMINISTRATIVOS"/>
    <s v="53 BIENES Y SERVICIOS DE CONSUMO"/>
    <s v="530804 Materiales de Oficina"/>
    <s v="G/530804/1QA101"/>
    <s v="001"/>
    <n v="1000"/>
    <n v="2500"/>
    <n v="0"/>
    <n v="3500"/>
    <n v="3500"/>
    <n v="0"/>
    <n v="0"/>
    <n v="3500"/>
    <n v="3500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804 Materiales de Oficina"/>
    <s v="G/530804/1AA101"/>
    <s v="002"/>
    <n v="8000"/>
    <n v="-6261.15"/>
    <n v="-1700"/>
    <n v="38.85"/>
    <n v="0"/>
    <n v="38.85"/>
    <n v="38.85"/>
    <n v="0"/>
    <n v="0"/>
    <n v="0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804 Materiales de Oficina"/>
    <s v="G/530804/1FA101"/>
    <s v="001"/>
    <n v="20000"/>
    <n v="-11626.32"/>
    <n v="-1989.68"/>
    <n v="6384"/>
    <n v="955.71"/>
    <n v="3185.36"/>
    <n v="0"/>
    <n v="3198.64"/>
    <n v="6384"/>
    <n v="2242.9299999999998"/>
  </r>
  <r>
    <s v="53"/>
    <x v="2"/>
    <x v="9"/>
    <s v="PM71N010"/>
    <x v="20"/>
    <s v="A101"/>
    <s v="FORTALECIMIENTO INSTITUCIONAL"/>
    <s v="GC00A10100001D"/>
    <s v="GC00A10100001D GASTOS ADMINISTRATIVOS"/>
    <s v="53 BIENES Y SERVICIOS DE CONSUMO"/>
    <s v="530804 Materiales de Oficina"/>
    <s v="G/530804/1NA101"/>
    <s v="001"/>
    <n v="13000"/>
    <n v="7000"/>
    <n v="0"/>
    <n v="20000"/>
    <n v="0"/>
    <n v="12557.65"/>
    <n v="12557.65"/>
    <n v="7442.35"/>
    <n v="7442.35"/>
    <n v="7442.35"/>
  </r>
  <r>
    <s v="53"/>
    <x v="1"/>
    <x v="2"/>
    <s v="UN31M010"/>
    <x v="15"/>
    <s v="A101"/>
    <s v="FORTALECIMIENTO INSTITUCIONAL"/>
    <s v="GC00A10100001D"/>
    <s v="GC00A10100001D GASTOS ADMINISTRATIVOS"/>
    <s v="53 BIENES Y SERVICIOS DE CONSUMO"/>
    <s v="530804 Materiales de Oficina"/>
    <s v="G/530804/1MA101"/>
    <s v="001"/>
    <n v="6000"/>
    <n v="-1000"/>
    <n v="-2500"/>
    <n v="2500"/>
    <n v="0"/>
    <n v="830.64"/>
    <n v="830.64"/>
    <n v="1669.36"/>
    <n v="1669.36"/>
    <n v="1669.36"/>
  </r>
  <r>
    <s v="53"/>
    <x v="2"/>
    <x v="7"/>
    <s v="TM68F100"/>
    <x v="36"/>
    <s v="A101"/>
    <s v="FORTALECIMIENTO INSTITUCIONAL"/>
    <s v="GC00A10100001D"/>
    <s v="GC00A10100001D GASTOS ADMINISTRATIVOS"/>
    <s v="53 BIENES Y SERVICIOS DE CONSUMO"/>
    <s v="530804 Materiales de Oficina"/>
    <s v="G/530804/1FA101"/>
    <s v="001"/>
    <n v="800"/>
    <n v="2000"/>
    <n v="0"/>
    <n v="2800"/>
    <n v="925.49"/>
    <n v="1874.51"/>
    <n v="552.58000000000004"/>
    <n v="925.49"/>
    <n v="2247.42"/>
    <n v="0"/>
  </r>
  <r>
    <s v="53"/>
    <x v="1"/>
    <x v="10"/>
    <s v="EE11I010"/>
    <x v="37"/>
    <s v="A101"/>
    <s v="FORTALECIMIENTO INSTITUCIONAL"/>
    <s v="GC00A10100001D"/>
    <s v="GC00A10100001D GASTOS ADMINISTRATIVOS"/>
    <s v="53 BIENES Y SERVICIOS DE CONSUMO"/>
    <s v="530804 Materiales de Oficina"/>
    <s v="G/530804/1IA101"/>
    <s v="001"/>
    <n v="2800"/>
    <n v="0"/>
    <n v="0"/>
    <n v="2800"/>
    <n v="962.71"/>
    <n v="1822.08"/>
    <n v="1661.25"/>
    <n v="977.92"/>
    <n v="1138.75"/>
    <n v="15.21"/>
  </r>
  <r>
    <s v="53"/>
    <x v="1"/>
    <x v="10"/>
    <s v="OL41I060"/>
    <x v="29"/>
    <s v="A101"/>
    <s v="FORTALECIMIENTO INSTITUCIONAL"/>
    <s v="GC00A10100001D"/>
    <s v="GC00A10100001D GASTOS ADMINISTRATIVOS"/>
    <s v="53 BIENES Y SERVICIOS DE CONSUMO"/>
    <s v="530804 Materiales de Oficina"/>
    <s v="G/530804/1IA101"/>
    <s v="001"/>
    <n v="3000"/>
    <n v="0"/>
    <n v="0"/>
    <n v="3000"/>
    <n v="1368.41"/>
    <n v="1631.59"/>
    <n v="0"/>
    <n v="1368.41"/>
    <n v="3000"/>
    <n v="0"/>
  </r>
  <r>
    <s v="53"/>
    <x v="1"/>
    <x v="10"/>
    <s v="EQ13I030"/>
    <x v="35"/>
    <s v="A101"/>
    <s v="FORTALECIMIENTO INSTITUCIONAL"/>
    <s v="GC00A10100001D"/>
    <s v="GC00A10100001D GASTOS ADMINISTRATIVOS"/>
    <s v="53 BIENES Y SERVICIOS DE CONSUMO"/>
    <s v="530804 Materiales de Oficina"/>
    <s v="G/530804/1IA101"/>
    <s v="001"/>
    <n v="1000"/>
    <n v="-1000"/>
    <n v="0"/>
    <n v="0"/>
    <n v="0"/>
    <n v="0"/>
    <n v="0"/>
    <n v="0"/>
    <n v="0"/>
    <n v="0"/>
  </r>
  <r>
    <s v="53"/>
    <x v="0"/>
    <x v="1"/>
    <s v="ZA01C002"/>
    <x v="11"/>
    <s v="A101"/>
    <s v="FORTALECIMIENTO INSTITUCIONAL"/>
    <s v="GC00A10100001D"/>
    <s v="GC00A10100001D GASTOS ADMINISTRATIVOS"/>
    <s v="53 BIENES Y SERVICIOS DE CONSUMO"/>
    <s v="530804 Materiales de Oficina"/>
    <s v="G/530804/1CA101"/>
    <s v="002"/>
    <n v="200"/>
    <n v="0"/>
    <n v="-200"/>
    <n v="0"/>
    <n v="0"/>
    <n v="0"/>
    <n v="0"/>
    <n v="0"/>
    <n v="0"/>
    <n v="0"/>
  </r>
  <r>
    <s v="53"/>
    <x v="2"/>
    <x v="7"/>
    <s v="ZC09F090"/>
    <x v="10"/>
    <s v="A101"/>
    <s v="FORTALECIMIENTO INSTITUCIONAL"/>
    <s v="GC00A10100001D"/>
    <s v="GC00A10100001D GASTOS ADMINISTRATIVOS"/>
    <s v="53 BIENES Y SERVICIOS DE CONSUMO"/>
    <s v="530804 Materiales de Oficina"/>
    <s v="G/530804/1FA101"/>
    <s v="001"/>
    <n v="3000"/>
    <n v="0"/>
    <n v="-2000"/>
    <n v="1000"/>
    <n v="1000"/>
    <n v="0"/>
    <n v="0"/>
    <n v="1000"/>
    <n v="1000"/>
    <n v="0"/>
  </r>
  <r>
    <s v="53"/>
    <x v="2"/>
    <x v="7"/>
    <s v="ZS03F030"/>
    <x v="45"/>
    <s v="A101"/>
    <s v="FORTALECIMIENTO INSTITUCIONAL"/>
    <s v="GC00A10100001D"/>
    <s v="GC00A10100001D GASTOS ADMINISTRATIVOS"/>
    <s v="53 BIENES Y SERVICIOS DE CONSUMO"/>
    <s v="530804 Materiales de Oficina"/>
    <s v="G/530804/1FA101"/>
    <s v="001"/>
    <n v="10000"/>
    <n v="0"/>
    <n v="0"/>
    <n v="10000"/>
    <n v="2036.06"/>
    <n v="7963.94"/>
    <n v="6404.54"/>
    <n v="2036.06"/>
    <n v="3595.46"/>
    <n v="0"/>
  </r>
  <r>
    <s v="53"/>
    <x v="1"/>
    <x v="10"/>
    <s v="ZA01I000"/>
    <x v="18"/>
    <s v="A101"/>
    <s v="FORTALECIMIENTO INSTITUCIONAL"/>
    <s v="GC00A10100001D"/>
    <s v="GC00A10100001D GASTOS ADMINISTRATIVOS"/>
    <s v="53 BIENES Y SERVICIOS DE CONSUMO"/>
    <s v="530804 Materiales de Oficina"/>
    <s v="G/530804/1IA101"/>
    <s v="001"/>
    <n v="0"/>
    <n v="36.85"/>
    <n v="0"/>
    <n v="36.85"/>
    <n v="36.85"/>
    <n v="0"/>
    <n v="0"/>
    <n v="36.85"/>
    <n v="36.85"/>
    <n v="0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0804 Materiales de Oficina"/>
    <s v="G/530804/1IA101"/>
    <s v="001"/>
    <n v="500"/>
    <n v="500"/>
    <n v="0"/>
    <n v="1000"/>
    <n v="382.6"/>
    <n v="397.92"/>
    <n v="0"/>
    <n v="602.08000000000004"/>
    <n v="1000"/>
    <n v="219.48"/>
  </r>
  <r>
    <s v="53"/>
    <x v="2"/>
    <x v="7"/>
    <s v="ZT06F060"/>
    <x v="40"/>
    <s v="A101"/>
    <s v="FORTALECIMIENTO INSTITUCIONAL"/>
    <s v="GC00A10100001D"/>
    <s v="GC00A10100001D GASTOS ADMINISTRATIVOS"/>
    <s v="53 BIENES Y SERVICIOS DE CONSUMO"/>
    <s v="530804 Materiales de Oficina"/>
    <s v="G/530804/1FA101"/>
    <s v="001"/>
    <n v="2000"/>
    <n v="0"/>
    <n v="0"/>
    <n v="2000"/>
    <n v="0"/>
    <n v="0"/>
    <n v="0"/>
    <n v="2000"/>
    <n v="2000"/>
    <n v="2000"/>
  </r>
  <r>
    <s v="53"/>
    <x v="1"/>
    <x v="10"/>
    <s v="SF43I080"/>
    <x v="34"/>
    <s v="A101"/>
    <s v="FORTALECIMIENTO INSTITUCIONAL"/>
    <s v="GC00A10100001D"/>
    <s v="GC00A10100001D GASTOS ADMINISTRATIVOS"/>
    <s v="53 BIENES Y SERVICIOS DE CONSUMO"/>
    <s v="530804 Materiales de Oficina"/>
    <s v="G/530804/1IA101"/>
    <s v="001"/>
    <n v="2000"/>
    <n v="0"/>
    <n v="-400"/>
    <n v="1600"/>
    <n v="392.17"/>
    <n v="1202.98"/>
    <n v="1202.98"/>
    <n v="397.02"/>
    <n v="397.02"/>
    <n v="4.8499999999999996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0804 Materiales de Oficina"/>
    <s v="G/530804/1MA101"/>
    <s v="001"/>
    <n v="10000"/>
    <n v="0"/>
    <n v="0"/>
    <n v="10000"/>
    <n v="3283.02"/>
    <n v="4840.37"/>
    <n v="2398.9"/>
    <n v="5159.63"/>
    <n v="7601.1"/>
    <n v="1876.61"/>
  </r>
  <r>
    <s v="53"/>
    <x v="2"/>
    <x v="7"/>
    <s v="ZD07F070"/>
    <x v="43"/>
    <s v="A101"/>
    <s v="FORTALECIMIENTO INSTITUCIONAL"/>
    <s v="GC00A10100001D"/>
    <s v="GC00A10100001D GASTOS ADMINISTRATIVOS"/>
    <s v="53 BIENES Y SERVICIOS DE CONSUMO"/>
    <s v="530804 Materiales de Oficina"/>
    <s v="G/530804/1FA101"/>
    <s v="001"/>
    <n v="2500"/>
    <n v="4000"/>
    <n v="0"/>
    <n v="6500"/>
    <n v="310.85000000000002"/>
    <n v="4204.29"/>
    <n v="3878.72"/>
    <n v="2295.71"/>
    <n v="2621.2800000000002"/>
    <n v="1984.86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0804 Materiales de Oficina"/>
    <s v="G/530804/1IA101"/>
    <s v="001"/>
    <n v="2000"/>
    <n v="0"/>
    <n v="0"/>
    <n v="2000"/>
    <n v="384.93"/>
    <n v="1615.07"/>
    <n v="1615.07"/>
    <n v="384.93"/>
    <n v="384.93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804 Materiales de Oficina"/>
    <s v="G/530804/1AA101"/>
    <s v="001"/>
    <n v="0"/>
    <n v="0"/>
    <n v="1222.76"/>
    <n v="1222.76"/>
    <n v="0"/>
    <n v="0"/>
    <n v="0"/>
    <n v="1222.76"/>
    <n v="1222.76"/>
    <n v="1222.76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804 Materiales de Oficina"/>
    <s v="G/530804/1AA101"/>
    <s v="002"/>
    <n v="150000"/>
    <n v="0"/>
    <n v="-92602.76"/>
    <n v="57397.24"/>
    <n v="22196.74"/>
    <n v="35200.5"/>
    <n v="17639.04"/>
    <n v="22196.74"/>
    <n v="39758.199999999997"/>
    <n v="0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0804 Materiales de Oficina"/>
    <s v="G/530804/1IA101"/>
    <s v="001"/>
    <n v="4000"/>
    <n v="0"/>
    <n v="0"/>
    <n v="4000"/>
    <n v="255.82"/>
    <n v="318.52999999999997"/>
    <n v="318.52999999999997"/>
    <n v="3681.47"/>
    <n v="3681.47"/>
    <n v="3425.65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804 Materiales de Oficina"/>
    <s v="G/530804/1BA101"/>
    <s v="001"/>
    <n v="0"/>
    <n v="0"/>
    <n v="137.58000000000001"/>
    <n v="137.58000000000001"/>
    <n v="0"/>
    <n v="0"/>
    <n v="0"/>
    <n v="137.58000000000001"/>
    <n v="137.58000000000001"/>
    <n v="137.58000000000001"/>
  </r>
  <r>
    <s v="53"/>
    <x v="2"/>
    <x v="3"/>
    <s v="AT69K040"/>
    <x v="16"/>
    <s v="A101"/>
    <s v="FORTALECIMIENTO INSTITUCIONAL"/>
    <s v="GC00A10100001D"/>
    <s v="GC00A10100001D GASTOS ADMINISTRATIVOS"/>
    <s v="53 BIENES Y SERVICIOS DE CONSUMO"/>
    <s v="530804 Materiales de Oficina"/>
    <s v="G/530804/1KA101"/>
    <s v="001"/>
    <n v="0"/>
    <n v="536"/>
    <n v="0"/>
    <n v="536"/>
    <n v="0"/>
    <n v="200"/>
    <n v="100.52"/>
    <n v="336"/>
    <n v="435.48"/>
    <n v="336"/>
  </r>
  <r>
    <s v="53"/>
    <x v="1"/>
    <x v="10"/>
    <s v="JM40I070"/>
    <x v="27"/>
    <s v="A101"/>
    <s v="FORTALECIMIENTO INSTITUCIONAL"/>
    <s v="GC00A10100001D"/>
    <s v="GC00A10100001D GASTOS ADMINISTRATIVOS"/>
    <s v="53 BIENES Y SERVICIOS DE CONSUMO"/>
    <s v="530804 Materiales de Oficina"/>
    <s v="G/530804/1IA101"/>
    <s v="001"/>
    <n v="4000"/>
    <n v="0"/>
    <n v="0"/>
    <n v="4000"/>
    <n v="3264.52"/>
    <n v="96.3"/>
    <n v="0"/>
    <n v="3903.7"/>
    <n v="4000"/>
    <n v="639.17999999999995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804 Materiales de Oficina"/>
    <s v="G/530804/1AA101"/>
    <s v="001"/>
    <n v="0"/>
    <n v="0"/>
    <n v="1700"/>
    <n v="1700"/>
    <n v="1700"/>
    <n v="0"/>
    <n v="0"/>
    <n v="1700"/>
    <n v="1700"/>
    <n v="0"/>
  </r>
  <r>
    <s v="53"/>
    <x v="0"/>
    <x v="1"/>
    <s v="ZA01C002"/>
    <x v="11"/>
    <s v="A101"/>
    <s v="FORTALECIMIENTO INSTITUCIONAL"/>
    <s v="GC00A10100001D"/>
    <s v="GC00A10100001D GASTOS ADMINISTRATIVOS"/>
    <s v="53 BIENES Y SERVICIOS DE CONSUMO"/>
    <s v="530804 Materiales de Oficina"/>
    <s v="G/530804/1CA101"/>
    <s v="001"/>
    <n v="0"/>
    <n v="0"/>
    <n v="200"/>
    <n v="200"/>
    <n v="0"/>
    <n v="0"/>
    <n v="0"/>
    <n v="200"/>
    <n v="200"/>
    <n v="200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804 Materiales de Oficina"/>
    <s v="G/530804/1PA101"/>
    <s v="001"/>
    <n v="1000"/>
    <n v="-1000"/>
    <n v="0"/>
    <n v="0"/>
    <n v="0"/>
    <n v="0"/>
    <n v="0"/>
    <n v="0"/>
    <n v="0"/>
    <n v="0"/>
  </r>
  <r>
    <s v="53"/>
    <x v="2"/>
    <x v="7"/>
    <s v="ZQ08F080"/>
    <x v="44"/>
    <s v="A101"/>
    <s v="FORTALECIMIENTO INSTITUCIONAL"/>
    <s v="GC00A10100001D"/>
    <s v="GC00A10100001D GASTOS ADMINISTRATIVOS"/>
    <s v="53 BIENES Y SERVICIOS DE CONSUMO"/>
    <s v="530804 Materiales de Oficina"/>
    <s v="G/530804/1FA101"/>
    <s v="001"/>
    <n v="2000"/>
    <n v="1910.1"/>
    <n v="0"/>
    <n v="3910.1"/>
    <n v="924.64"/>
    <n v="2983.71"/>
    <n v="2213.0100000000002"/>
    <n v="926.39"/>
    <n v="1697.09"/>
    <n v="1.75"/>
  </r>
  <r>
    <s v="53"/>
    <x v="2"/>
    <x v="7"/>
    <s v="ZM04F040"/>
    <x v="41"/>
    <s v="A101"/>
    <s v="FORTALECIMIENTO INSTITUCIONAL"/>
    <s v="GC00A10100001D"/>
    <s v="GC00A10100001D GASTOS ADMINISTRATIVOS"/>
    <s v="53 BIENES Y SERVICIOS DE CONSUMO"/>
    <s v="530804 Materiales de Oficina"/>
    <s v="G/530804/1FA101"/>
    <s v="001"/>
    <n v="1000"/>
    <n v="0"/>
    <n v="-1000"/>
    <n v="0"/>
    <n v="0"/>
    <n v="0"/>
    <n v="0"/>
    <n v="0"/>
    <n v="0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804 Materiales de Oficina"/>
    <s v="G/530804/1BA101"/>
    <s v="002"/>
    <n v="35000"/>
    <n v="-20358.5"/>
    <n v="-137.58000000000001"/>
    <n v="14503.92"/>
    <n v="9385.16"/>
    <n v="5118.76"/>
    <n v="5068.76"/>
    <n v="9385.16"/>
    <n v="9435.16"/>
    <n v="0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804 Materiales de Oficina"/>
    <s v="G/530804/1FA101"/>
    <s v="001"/>
    <n v="6000"/>
    <n v="-1857.8"/>
    <n v="0"/>
    <n v="4142.2"/>
    <n v="283.32"/>
    <n v="3858.88"/>
    <n v="3546.18"/>
    <n v="283.32"/>
    <n v="596.02"/>
    <n v="0"/>
  </r>
  <r>
    <s v="53"/>
    <x v="1"/>
    <x v="10"/>
    <s v="CF22I050"/>
    <x v="38"/>
    <s v="A101"/>
    <s v="FORTALECIMIENTO INSTITUCIONAL"/>
    <s v="GC00A10100001D"/>
    <s v="GC00A10100001D GASTOS ADMINISTRATIVOS"/>
    <s v="53 BIENES Y SERVICIOS DE CONSUMO"/>
    <s v="530804 Materiales de Oficina"/>
    <s v="G/530804/1IA101"/>
    <s v="001"/>
    <n v="3000"/>
    <n v="0"/>
    <n v="0"/>
    <n v="3000"/>
    <n v="720.25"/>
    <n v="900.08"/>
    <n v="561.92999999999995"/>
    <n v="2099.92"/>
    <n v="2438.0700000000002"/>
    <n v="1379.67"/>
  </r>
  <r>
    <s v="53"/>
    <x v="2"/>
    <x v="7"/>
    <s v="ZT06F060"/>
    <x v="40"/>
    <s v="A101"/>
    <s v="FORTALECIMIENTO INSTITUCIONAL"/>
    <s v="GC00A10100001D"/>
    <s v="GC00A10100001D GASTOS ADMINISTRATIVOS"/>
    <s v="53 BIENES Y SERVICIOS DE CONSUMO"/>
    <s v="530805 Materiales de Aseo"/>
    <s v="G/530805/1FA101"/>
    <s v="001"/>
    <n v="1000"/>
    <n v="0"/>
    <n v="0"/>
    <n v="1000"/>
    <n v="1.2"/>
    <n v="268.8"/>
    <n v="0"/>
    <n v="731.2"/>
    <n v="1000"/>
    <n v="730"/>
  </r>
  <r>
    <s v="53"/>
    <x v="3"/>
    <x v="6"/>
    <s v="AC67Q000"/>
    <x v="9"/>
    <s v="A101"/>
    <s v="FORTALECIMIENTO INSTITUCIONAL"/>
    <s v="GC00A10100001D"/>
    <s v="GC00A10100001D GASTOS ADMINISTRATIVOS"/>
    <s v="53 BIENES Y SERVICIOS DE CONSUMO"/>
    <s v="530805 Materiales de Aseo"/>
    <s v="G/530805/1QA101"/>
    <s v="001"/>
    <n v="1000"/>
    <n v="2188.3000000000002"/>
    <n v="0"/>
    <n v="3188.3"/>
    <n v="0"/>
    <n v="3188.3"/>
    <n v="3188.3"/>
    <n v="0"/>
    <n v="0"/>
    <n v="0"/>
  </r>
  <r>
    <s v="53"/>
    <x v="2"/>
    <x v="7"/>
    <s v="TM68F100"/>
    <x v="36"/>
    <s v="A101"/>
    <s v="FORTALECIMIENTO INSTITUCIONAL"/>
    <s v="GC00A10100001D"/>
    <s v="GC00A10100001D GASTOS ADMINISTRATIVOS"/>
    <s v="53 BIENES Y SERVICIOS DE CONSUMO"/>
    <s v="530805 Materiales de Aseo"/>
    <s v="G/530805/1FA101"/>
    <s v="001"/>
    <n v="400"/>
    <n v="2753"/>
    <n v="0"/>
    <n v="3153"/>
    <n v="1884.27"/>
    <n v="1268.73"/>
    <n v="197.97"/>
    <n v="1884.27"/>
    <n v="2955.03"/>
    <n v="0"/>
  </r>
  <r>
    <s v="53"/>
    <x v="1"/>
    <x v="2"/>
    <s v="UN31M010"/>
    <x v="15"/>
    <s v="A101"/>
    <s v="FORTALECIMIENTO INSTITUCIONAL"/>
    <s v="GC00A10100001D"/>
    <s v="GC00A10100001D GASTOS ADMINISTRATIVOS"/>
    <s v="53 BIENES Y SERVICIOS DE CONSUMO"/>
    <s v="530805 Materiales de Aseo"/>
    <s v="G/530805/1MA101"/>
    <s v="001"/>
    <n v="11000"/>
    <n v="0"/>
    <n v="0"/>
    <n v="11000"/>
    <n v="3112.96"/>
    <n v="7887.04"/>
    <n v="1501.59"/>
    <n v="3112.96"/>
    <n v="9498.41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805 Materiales de Aseo"/>
    <s v="G/530805/1AA101"/>
    <s v="002"/>
    <n v="14000"/>
    <n v="-13000"/>
    <n v="0"/>
    <n v="1000"/>
    <n v="0"/>
    <n v="1000"/>
    <n v="25.31"/>
    <n v="0"/>
    <n v="974.69"/>
    <n v="0"/>
  </r>
  <r>
    <s v="53"/>
    <x v="1"/>
    <x v="10"/>
    <s v="JM40I070"/>
    <x v="27"/>
    <s v="A101"/>
    <s v="FORTALECIMIENTO INSTITUCIONAL"/>
    <s v="GC00A10100001D"/>
    <s v="GC00A10100001D GASTOS ADMINISTRATIVOS"/>
    <s v="53 BIENES Y SERVICIOS DE CONSUMO"/>
    <s v="530805 Materiales de Aseo"/>
    <s v="G/530805/1IA101"/>
    <s v="001"/>
    <n v="2555.84"/>
    <n v="0"/>
    <n v="0"/>
    <n v="2555.84"/>
    <n v="0"/>
    <n v="0"/>
    <n v="0"/>
    <n v="2555.84"/>
    <n v="2555.84"/>
    <n v="2555.84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805 Materiales de Aseo"/>
    <s v="G/530805/1PA101"/>
    <s v="001"/>
    <n v="200"/>
    <n v="-200"/>
    <n v="0"/>
    <n v="0"/>
    <n v="0"/>
    <n v="0"/>
    <n v="0"/>
    <n v="0"/>
    <n v="0"/>
    <n v="0"/>
  </r>
  <r>
    <s v="53"/>
    <x v="2"/>
    <x v="7"/>
    <s v="ZS03F030"/>
    <x v="45"/>
    <s v="A101"/>
    <s v="FORTALECIMIENTO INSTITUCIONAL"/>
    <s v="GC00A10100001D"/>
    <s v="GC00A10100001D GASTOS ADMINISTRATIVOS"/>
    <s v="53 BIENES Y SERVICIOS DE CONSUMO"/>
    <s v="530805 Materiales de Aseo"/>
    <s v="G/530805/1FA101"/>
    <s v="001"/>
    <n v="3000"/>
    <n v="0"/>
    <n v="-7.0000000000000007E-2"/>
    <n v="2999.93"/>
    <n v="282.39999999999998"/>
    <n v="377.53"/>
    <n v="377.53"/>
    <n v="2622.4"/>
    <n v="2622.4"/>
    <n v="2340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0805 Materiales de Aseo"/>
    <s v="G/530805/1MA101"/>
    <s v="001"/>
    <n v="30000"/>
    <n v="-11000"/>
    <n v="0"/>
    <n v="19000"/>
    <n v="0"/>
    <n v="4129.7700000000004"/>
    <n v="4129.7700000000004"/>
    <n v="14870.23"/>
    <n v="14870.23"/>
    <n v="14870.23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0805 Materiales de Aseo"/>
    <s v="G/530805/1IA101"/>
    <s v="001"/>
    <n v="0"/>
    <n v="750"/>
    <n v="0"/>
    <n v="750"/>
    <n v="147.94999999999999"/>
    <n v="602.04999999999995"/>
    <n v="66.81"/>
    <n v="147.94999999999999"/>
    <n v="683.19"/>
    <n v="0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0805 Materiales de Aseo"/>
    <s v="G/530805/1IA101"/>
    <s v="001"/>
    <n v="800"/>
    <n v="400"/>
    <n v="0"/>
    <n v="1200"/>
    <n v="603.09"/>
    <n v="595.34"/>
    <n v="0"/>
    <n v="604.66"/>
    <n v="1200"/>
    <n v="1.57"/>
  </r>
  <r>
    <s v="53"/>
    <x v="2"/>
    <x v="7"/>
    <s v="ZD07F070"/>
    <x v="43"/>
    <s v="A101"/>
    <s v="FORTALECIMIENTO INSTITUCIONAL"/>
    <s v="GC00A10100001D"/>
    <s v="GC00A10100001D GASTOS ADMINISTRATIVOS"/>
    <s v="53 BIENES Y SERVICIOS DE CONSUMO"/>
    <s v="530805 Materiales de Aseo"/>
    <s v="G/530805/1FA101"/>
    <s v="001"/>
    <n v="0"/>
    <n v="1000"/>
    <n v="0"/>
    <n v="1000"/>
    <n v="144.58000000000001"/>
    <n v="711.81"/>
    <n v="711.81"/>
    <n v="288.19"/>
    <n v="288.19"/>
    <n v="143.61000000000001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805 Materiales de Aseo"/>
    <s v="G/530805/1FA101"/>
    <s v="001"/>
    <n v="13000"/>
    <n v="3136"/>
    <n v="-4109.55"/>
    <n v="12026.45"/>
    <n v="2613.2199999999998"/>
    <n v="7541.33"/>
    <n v="4167.62"/>
    <n v="4485.12"/>
    <n v="7858.83"/>
    <n v="1871.9"/>
  </r>
  <r>
    <s v="53"/>
    <x v="1"/>
    <x v="10"/>
    <s v="OL41I060"/>
    <x v="29"/>
    <s v="A101"/>
    <s v="FORTALECIMIENTO INSTITUCIONAL"/>
    <s v="GC00A10100001D"/>
    <s v="GC00A10100001D GASTOS ADMINISTRATIVOS"/>
    <s v="53 BIENES Y SERVICIOS DE CONSUMO"/>
    <s v="530805 Materiales de Aseo"/>
    <s v="G/530805/1IA101"/>
    <s v="001"/>
    <n v="2000"/>
    <n v="1120"/>
    <n v="0"/>
    <n v="3120"/>
    <n v="850.49"/>
    <n v="2262.5100000000002"/>
    <n v="0"/>
    <n v="857.49"/>
    <n v="3120"/>
    <n v="7"/>
  </r>
  <r>
    <s v="53"/>
    <x v="1"/>
    <x v="10"/>
    <s v="EE11I010"/>
    <x v="37"/>
    <s v="A101"/>
    <s v="FORTALECIMIENTO INSTITUCIONAL"/>
    <s v="GC00A10100001D"/>
    <s v="GC00A10100001D GASTOS ADMINISTRATIVOS"/>
    <s v="53 BIENES Y SERVICIOS DE CONSUMO"/>
    <s v="530805 Materiales de Aseo"/>
    <s v="G/530805/1IA101"/>
    <s v="001"/>
    <n v="1000"/>
    <n v="0"/>
    <n v="0"/>
    <n v="1000"/>
    <n v="326.95"/>
    <n v="663.04"/>
    <n v="663.04"/>
    <n v="336.96"/>
    <n v="336.96"/>
    <n v="10.01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805 Materiales de Aseo"/>
    <s v="G/530805/1FA101"/>
    <s v="001"/>
    <n v="600"/>
    <n v="-165.82"/>
    <n v="0"/>
    <n v="434.18"/>
    <n v="50.98"/>
    <n v="383.2"/>
    <n v="371.87"/>
    <n v="50.98"/>
    <n v="62.31"/>
    <n v="0"/>
  </r>
  <r>
    <s v="53"/>
    <x v="2"/>
    <x v="7"/>
    <s v="ZQ08F080"/>
    <x v="44"/>
    <s v="A101"/>
    <s v="FORTALECIMIENTO INSTITUCIONAL"/>
    <s v="GC00A10100001D"/>
    <s v="GC00A10100001D GASTOS ADMINISTRATIVOS"/>
    <s v="53 BIENES Y SERVICIOS DE CONSUMO"/>
    <s v="530805 Materiales de Aseo"/>
    <s v="G/530805/1FA101"/>
    <s v="001"/>
    <n v="250"/>
    <n v="100"/>
    <n v="0"/>
    <n v="350"/>
    <n v="127.57"/>
    <n v="222.08"/>
    <n v="0"/>
    <n v="127.92"/>
    <n v="350"/>
    <n v="0.35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805 Materiales de Aseo"/>
    <s v="G/530805/1AA101"/>
    <s v="002"/>
    <n v="850"/>
    <n v="1236.04"/>
    <n v="0"/>
    <n v="2086.04"/>
    <n v="97.66"/>
    <n v="1988.38"/>
    <n v="1988.38"/>
    <n v="97.66"/>
    <n v="97.66"/>
    <n v="0"/>
  </r>
  <r>
    <s v="53"/>
    <x v="2"/>
    <x v="13"/>
    <s v="ZA01D000"/>
    <x v="22"/>
    <s v="A101"/>
    <s v="FORTALECIMIENTO INSTITUCIONAL"/>
    <s v="GC00A10100001D"/>
    <s v="GC00A10100001D GASTOS ADMINISTRATIVOS"/>
    <s v="53 BIENES Y SERVICIOS DE CONSUMO"/>
    <s v="530805 Materiales de Aseo"/>
    <s v="G/530805/1DA101"/>
    <s v="001"/>
    <n v="220"/>
    <n v="0"/>
    <n v="0"/>
    <n v="220"/>
    <n v="0"/>
    <n v="0"/>
    <n v="0"/>
    <n v="220"/>
    <n v="220"/>
    <n v="220"/>
  </r>
  <r>
    <s v="53"/>
    <x v="1"/>
    <x v="10"/>
    <s v="CF22I050"/>
    <x v="38"/>
    <s v="A101"/>
    <s v="FORTALECIMIENTO INSTITUCIONAL"/>
    <s v="GC00A10100001D"/>
    <s v="GC00A10100001D GASTOS ADMINISTRATIVOS"/>
    <s v="53 BIENES Y SERVICIOS DE CONSUMO"/>
    <s v="530805 Materiales de Aseo"/>
    <s v="G/530805/1IA101"/>
    <s v="001"/>
    <n v="300"/>
    <n v="0"/>
    <n v="0"/>
    <n v="300"/>
    <n v="98.8"/>
    <n v="101.2"/>
    <n v="0"/>
    <n v="198.8"/>
    <n v="300"/>
    <n v="10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805 Materiales de Aseo"/>
    <s v="G/530805/1BA101"/>
    <s v="002"/>
    <n v="1500"/>
    <n v="3669.57"/>
    <n v="-1530.7"/>
    <n v="3638.87"/>
    <n v="0"/>
    <n v="3638.87"/>
    <n v="3588.87"/>
    <n v="0"/>
    <n v="50"/>
    <n v="0"/>
  </r>
  <r>
    <s v="53"/>
    <x v="2"/>
    <x v="9"/>
    <s v="PM71N010"/>
    <x v="20"/>
    <s v="A101"/>
    <s v="FORTALECIMIENTO INSTITUCIONAL"/>
    <s v="GC00A10100001D"/>
    <s v="GC00A10100001D GASTOS ADMINISTRATIVOS"/>
    <s v="53 BIENES Y SERVICIOS DE CONSUMO"/>
    <s v="530805 Materiales de Aseo"/>
    <s v="G/530805/1NA101"/>
    <s v="001"/>
    <n v="3500"/>
    <n v="34780.5"/>
    <n v="0"/>
    <n v="38280.5"/>
    <n v="0"/>
    <n v="36630.839999999997"/>
    <n v="36630.839999999997"/>
    <n v="1649.66"/>
    <n v="1649.66"/>
    <n v="1649.66"/>
  </r>
  <r>
    <s v="53"/>
    <x v="2"/>
    <x v="7"/>
    <s v="ZM04F040"/>
    <x v="41"/>
    <s v="A101"/>
    <s v="FORTALECIMIENTO INSTITUCIONAL"/>
    <s v="GC00A10100001D"/>
    <s v="GC00A10100001D GASTOS ADMINISTRATIVOS"/>
    <s v="53 BIENES Y SERVICIOS DE CONSUMO"/>
    <s v="530805 Materiales de Aseo"/>
    <s v="G/530805/1FA101"/>
    <s v="001"/>
    <n v="1000"/>
    <n v="0"/>
    <n v="-1000"/>
    <n v="0"/>
    <n v="0"/>
    <n v="0"/>
    <n v="0"/>
    <n v="0"/>
    <n v="0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805 Materiales de Aseo"/>
    <s v="G/530805/1BA101"/>
    <s v="001"/>
    <n v="0"/>
    <n v="0"/>
    <n v="1530.7"/>
    <n v="1530.7"/>
    <n v="0"/>
    <n v="0"/>
    <n v="0"/>
    <n v="1530.7"/>
    <n v="1530.7"/>
    <n v="1530.7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0805 Materiales de Aseo"/>
    <s v="G/530805/1IA101"/>
    <s v="001"/>
    <n v="1000"/>
    <n v="6000"/>
    <n v="0"/>
    <n v="7000"/>
    <n v="1457.1"/>
    <n v="1758.9"/>
    <n v="1758.9"/>
    <n v="5241.1000000000004"/>
    <n v="5241.1000000000004"/>
    <n v="3784"/>
  </r>
  <r>
    <s v="53"/>
    <x v="2"/>
    <x v="7"/>
    <s v="ZC09F090"/>
    <x v="10"/>
    <s v="A101"/>
    <s v="FORTALECIMIENTO INSTITUCIONAL"/>
    <s v="GC00A10100001D"/>
    <s v="GC00A10100001D GASTOS ADMINISTRATIVOS"/>
    <s v="53 BIENES Y SERVICIOS DE CONSUMO"/>
    <s v="530805 Materiales de Aseo"/>
    <s v="G/530805/1FA101"/>
    <s v="001"/>
    <n v="0"/>
    <n v="2500"/>
    <n v="0"/>
    <n v="2500"/>
    <n v="0"/>
    <n v="1279.3800000000001"/>
    <n v="1279.3800000000001"/>
    <n v="1220.6199999999999"/>
    <n v="1220.6199999999999"/>
    <n v="1220.6199999999999"/>
  </r>
  <r>
    <s v="53"/>
    <x v="2"/>
    <x v="7"/>
    <s v="ZS03F030"/>
    <x v="45"/>
    <s v="A101"/>
    <s v="FORTALECIMIENTO INSTITUCIONAL"/>
    <s v="GC00A10100001D"/>
    <s v="GC00A10100001D GASTOS ADMINISTRATIVOS"/>
    <s v="53 BIENES Y SERVICIOS DE CONSUMO"/>
    <s v="530807 Materiales de Impresión, Fotografía, Rep"/>
    <s v="G/530807/1FA101"/>
    <s v="001"/>
    <n v="29000"/>
    <n v="0"/>
    <n v="0"/>
    <n v="29000"/>
    <n v="11248.03"/>
    <n v="17751.97"/>
    <n v="0"/>
    <n v="11248.03"/>
    <n v="29000"/>
    <n v="0"/>
  </r>
  <r>
    <s v="53"/>
    <x v="3"/>
    <x v="6"/>
    <s v="AC67Q000"/>
    <x v="9"/>
    <s v="A101"/>
    <s v="FORTALECIMIENTO INSTITUCIONAL"/>
    <s v="GC00A10100001D"/>
    <s v="GC00A10100001D GASTOS ADMINISTRATIVOS"/>
    <s v="53 BIENES Y SERVICIOS DE CONSUMO"/>
    <s v="530807 Materiales de Impresión, Fotografía, Rep"/>
    <s v="G/530807/1QA101"/>
    <s v="001"/>
    <n v="10000"/>
    <n v="-2082.94"/>
    <n v="0"/>
    <n v="7917.06"/>
    <n v="7917.06"/>
    <n v="0"/>
    <n v="0"/>
    <n v="7917.06"/>
    <n v="7917.06"/>
    <n v="0"/>
  </r>
  <r>
    <s v="53"/>
    <x v="1"/>
    <x v="2"/>
    <s v="UN31M010"/>
    <x v="15"/>
    <s v="A101"/>
    <s v="FORTALECIMIENTO INSTITUCIONAL"/>
    <s v="GC00A10100001D"/>
    <s v="GC00A10100001D GASTOS ADMINISTRATIVOS"/>
    <s v="53 BIENES Y SERVICIOS DE CONSUMO"/>
    <s v="530807 Materiales de Impresión, Fotografía, Rep"/>
    <s v="G/530807/1MA101"/>
    <s v="001"/>
    <n v="5000"/>
    <n v="0"/>
    <n v="0"/>
    <n v="5000"/>
    <n v="0.01"/>
    <n v="4999.99"/>
    <n v="4999.99"/>
    <n v="0.01"/>
    <n v="0.01"/>
    <n v="0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0807 Materiales de Impresión, Fotografía, Rep"/>
    <s v="G/530807/1MA101"/>
    <s v="001"/>
    <n v="40000"/>
    <n v="-17809.66"/>
    <n v="0"/>
    <n v="22190.34"/>
    <n v="0"/>
    <n v="20730.080000000002"/>
    <n v="20730.080000000002"/>
    <n v="1460.26"/>
    <n v="1460.26"/>
    <n v="1460.26"/>
  </r>
  <r>
    <s v="53"/>
    <x v="2"/>
    <x v="7"/>
    <s v="TM68F100"/>
    <x v="36"/>
    <s v="A101"/>
    <s v="FORTALECIMIENTO INSTITUCIONAL"/>
    <s v="GC00A10100001D"/>
    <s v="GC00A10100001D GASTOS ADMINISTRATIVOS"/>
    <s v="53 BIENES Y SERVICIOS DE CONSUMO"/>
    <s v="530807 Materiales de Impresión, Fotografía, Rep"/>
    <s v="G/530807/1FA101"/>
    <s v="001"/>
    <n v="5000"/>
    <n v="-10.62"/>
    <n v="0"/>
    <n v="4989.38"/>
    <n v="0"/>
    <n v="4989.38"/>
    <n v="4989.38"/>
    <n v="0"/>
    <n v="0"/>
    <n v="0"/>
  </r>
  <r>
    <s v="53"/>
    <x v="2"/>
    <x v="13"/>
    <s v="ZA01D000"/>
    <x v="22"/>
    <s v="A101"/>
    <s v="FORTALECIMIENTO INSTITUCIONAL"/>
    <s v="GC00A10100001D"/>
    <s v="GC00A10100001D GASTOS ADMINISTRATIVOS"/>
    <s v="53 BIENES Y SERVICIOS DE CONSUMO"/>
    <s v="530807 Materiales de Impresión, Fotografía, Rep"/>
    <s v="G/530807/1DA101"/>
    <s v="001"/>
    <n v="0"/>
    <n v="3000"/>
    <n v="0"/>
    <n v="3000"/>
    <n v="0"/>
    <n v="0"/>
    <n v="0"/>
    <n v="3000"/>
    <n v="3000"/>
    <n v="3000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0807 Materiales de Impresión, Fotografía, Rep"/>
    <s v="G/530807/1IA101"/>
    <s v="001"/>
    <n v="1000"/>
    <n v="6000"/>
    <n v="0"/>
    <n v="7000"/>
    <n v="0.04"/>
    <n v="6968.17"/>
    <n v="0"/>
    <n v="31.83"/>
    <n v="7000"/>
    <n v="31.79"/>
  </r>
  <r>
    <s v="53"/>
    <x v="1"/>
    <x v="10"/>
    <s v="OL41I060"/>
    <x v="29"/>
    <s v="A101"/>
    <s v="FORTALECIMIENTO INSTITUCIONAL"/>
    <s v="GC00A10100001D"/>
    <s v="GC00A10100001D GASTOS ADMINISTRATIVOS"/>
    <s v="53 BIENES Y SERVICIOS DE CONSUMO"/>
    <s v="530807 Materiales de Impresión, Fotografía, Rep"/>
    <s v="G/530807/1IA101"/>
    <s v="001"/>
    <n v="8000"/>
    <n v="0"/>
    <n v="0"/>
    <n v="8000"/>
    <n v="0.08"/>
    <n v="5169.92"/>
    <n v="0"/>
    <n v="2830.08"/>
    <n v="8000"/>
    <n v="283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807 Materiales de Impresión, Fotografía, Rep"/>
    <s v="G/530807/1AA101"/>
    <s v="002"/>
    <n v="26000"/>
    <n v="-25984.5"/>
    <n v="0"/>
    <n v="15.5"/>
    <n v="0"/>
    <n v="15.5"/>
    <n v="0"/>
    <n v="0"/>
    <n v="15.5"/>
    <n v="0"/>
  </r>
  <r>
    <s v="53"/>
    <x v="2"/>
    <x v="9"/>
    <s v="PM71N010"/>
    <x v="20"/>
    <s v="A101"/>
    <s v="FORTALECIMIENTO INSTITUCIONAL"/>
    <s v="GC00A10100001D"/>
    <s v="GC00A10100001D GASTOS ADMINISTRATIVOS"/>
    <s v="53 BIENES Y SERVICIOS DE CONSUMO"/>
    <s v="530807 Materiales de Impresión, Fotografía, Rep"/>
    <s v="G/530807/1NA101"/>
    <s v="001"/>
    <n v="44000"/>
    <n v="26000"/>
    <n v="0"/>
    <n v="70000"/>
    <n v="2857.3"/>
    <n v="66623.199999999997"/>
    <n v="0"/>
    <n v="3376.8"/>
    <n v="70000"/>
    <n v="519.5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807 Materiales de Impresión, Fotografía, Rep"/>
    <s v="G/530807/1BA101"/>
    <s v="001"/>
    <n v="0"/>
    <n v="0"/>
    <n v="411.28"/>
    <n v="411.28"/>
    <n v="0"/>
    <n v="0"/>
    <n v="0"/>
    <n v="411.28"/>
    <n v="411.28"/>
    <n v="411.28"/>
  </r>
  <r>
    <s v="53"/>
    <x v="2"/>
    <x v="7"/>
    <s v="ZD07F070"/>
    <x v="43"/>
    <s v="A101"/>
    <s v="FORTALECIMIENTO INSTITUCIONAL"/>
    <s v="GC00A10100001D"/>
    <s v="GC00A10100001D GASTOS ADMINISTRATIVOS"/>
    <s v="53 BIENES Y SERVICIOS DE CONSUMO"/>
    <s v="530807 Materiales de Impresión, Fotografía, Rep"/>
    <s v="G/530807/1FA101"/>
    <s v="001"/>
    <n v="5000"/>
    <n v="0"/>
    <n v="0"/>
    <n v="5000"/>
    <n v="0.01"/>
    <n v="4999.4799999999996"/>
    <n v="4999.4799999999996"/>
    <n v="0.52"/>
    <n v="0.52"/>
    <n v="0.51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807 Materiales de Impresión, Fotografía, Rep"/>
    <s v="G/530807/1BA101"/>
    <s v="002"/>
    <n v="30000"/>
    <n v="26380.02"/>
    <n v="-411.28"/>
    <n v="55968.74"/>
    <n v="35738.17"/>
    <n v="20230.57"/>
    <n v="20230.57"/>
    <n v="35738.17"/>
    <n v="35738.17"/>
    <n v="0"/>
  </r>
  <r>
    <s v="53"/>
    <x v="0"/>
    <x v="0"/>
    <s v="ZA01A002"/>
    <x v="4"/>
    <s v="A101"/>
    <s v="FORTALECIMIENTO INSTITUCIONAL"/>
    <s v="GC00A10100001D"/>
    <s v="GC00A10100001D GASTOS ADMINISTRATIVOS"/>
    <s v="53 BIENES Y SERVICIOS DE CONSUMO"/>
    <s v="530807 Materiales de Impresión, Fotografía, Rep"/>
    <s v="G/530807/1AA101"/>
    <s v="002"/>
    <n v="0"/>
    <n v="2400"/>
    <n v="-500.48"/>
    <n v="1899.52"/>
    <n v="0"/>
    <n v="1899.52"/>
    <n v="1899.52"/>
    <n v="0"/>
    <n v="0"/>
    <n v="0"/>
  </r>
  <r>
    <s v="53"/>
    <x v="1"/>
    <x v="10"/>
    <s v="EQ13I030"/>
    <x v="35"/>
    <s v="A101"/>
    <s v="FORTALECIMIENTO INSTITUCIONAL"/>
    <s v="GC00A10100001D"/>
    <s v="GC00A10100001D GASTOS ADMINISTRATIVOS"/>
    <s v="53 BIENES Y SERVICIOS DE CONSUMO"/>
    <s v="530807 Materiales de Impresión, Fotografía, Rep"/>
    <s v="G/530807/1IA101"/>
    <s v="001"/>
    <n v="3000"/>
    <n v="0"/>
    <n v="0"/>
    <n v="3000"/>
    <n v="0.06"/>
    <n v="2999.94"/>
    <n v="2999.94"/>
    <n v="0.06"/>
    <n v="0.06"/>
    <n v="0"/>
  </r>
  <r>
    <s v="53"/>
    <x v="2"/>
    <x v="7"/>
    <s v="ZQ08F080"/>
    <x v="44"/>
    <s v="A101"/>
    <s v="FORTALECIMIENTO INSTITUCIONAL"/>
    <s v="GC00A10100001D"/>
    <s v="GC00A10100001D GASTOS ADMINISTRATIVOS"/>
    <s v="53 BIENES Y SERVICIOS DE CONSUMO"/>
    <s v="530807 Materiales de Impresión, Fotografía, Rep"/>
    <s v="G/530807/1FA101"/>
    <s v="001"/>
    <n v="8000"/>
    <n v="0"/>
    <n v="0"/>
    <n v="8000"/>
    <n v="0"/>
    <n v="7807.71"/>
    <n v="7807.71"/>
    <n v="192.29"/>
    <n v="192.29"/>
    <n v="192.29"/>
  </r>
  <r>
    <s v="53"/>
    <x v="1"/>
    <x v="10"/>
    <s v="CF22I050"/>
    <x v="38"/>
    <s v="A101"/>
    <s v="FORTALECIMIENTO INSTITUCIONAL"/>
    <s v="GC00A10100001D"/>
    <s v="GC00A10100001D GASTOS ADMINISTRATIVOS"/>
    <s v="53 BIENES Y SERVICIOS DE CONSUMO"/>
    <s v="530807 Materiales de Impresión, Fotografía, Rep"/>
    <s v="G/530807/1IA101"/>
    <s v="001"/>
    <n v="6000"/>
    <n v="0"/>
    <n v="0"/>
    <n v="6000"/>
    <n v="123.83"/>
    <n v="5876.17"/>
    <n v="0"/>
    <n v="123.83"/>
    <n v="6000"/>
    <n v="0"/>
  </r>
  <r>
    <s v="53"/>
    <x v="1"/>
    <x v="10"/>
    <s v="JM40I070"/>
    <x v="27"/>
    <s v="A101"/>
    <s v="FORTALECIMIENTO INSTITUCIONAL"/>
    <s v="GC00A10100001D"/>
    <s v="GC00A10100001D GASTOS ADMINISTRATIVOS"/>
    <s v="53 BIENES Y SERVICIOS DE CONSUMO"/>
    <s v="530807 Materiales de Impresión, Fotografía, Rep"/>
    <s v="G/530807/1IA101"/>
    <s v="001"/>
    <n v="9500"/>
    <n v="0"/>
    <n v="0"/>
    <n v="9500"/>
    <n v="5791.52"/>
    <n v="0"/>
    <n v="0"/>
    <n v="9500"/>
    <n v="9500"/>
    <n v="3708.48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0807 Materiales de Impresión, Fotografía, Rep"/>
    <s v="G/530807/1IA101"/>
    <s v="001"/>
    <n v="40000"/>
    <n v="-19200"/>
    <n v="0"/>
    <n v="20800"/>
    <n v="0.05"/>
    <n v="7934.55"/>
    <n v="7934.55"/>
    <n v="12865.45"/>
    <n v="12865.45"/>
    <n v="12865.4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0807 Materiales de Impresión, Fotografía, Rep"/>
    <s v="G/530807/1IA101"/>
    <s v="001"/>
    <n v="5000"/>
    <n v="0"/>
    <n v="0"/>
    <n v="5000"/>
    <n v="9.06"/>
    <n v="4990.9399999999996"/>
    <n v="4990.9399999999996"/>
    <n v="9.06"/>
    <n v="9.06"/>
    <n v="0"/>
  </r>
  <r>
    <s v="53"/>
    <x v="1"/>
    <x v="10"/>
    <s v="EE11I010"/>
    <x v="37"/>
    <s v="A101"/>
    <s v="FORTALECIMIENTO INSTITUCIONAL"/>
    <s v="GC00A10100001D"/>
    <s v="GC00A10100001D GASTOS ADMINISTRATIVOS"/>
    <s v="53 BIENES Y SERVICIOS DE CONSUMO"/>
    <s v="530807 Materiales de Impresión, Fotografía, Rep"/>
    <s v="G/530807/1IA101"/>
    <s v="001"/>
    <n v="18000"/>
    <n v="0"/>
    <n v="0"/>
    <n v="18000"/>
    <n v="0"/>
    <n v="0"/>
    <n v="0"/>
    <n v="18000"/>
    <n v="18000"/>
    <n v="18000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807 Materiales de Impresión, Fotografía, Rep"/>
    <s v="G/530807/1FA101"/>
    <s v="001"/>
    <n v="17000"/>
    <n v="10015.31"/>
    <n v="0"/>
    <n v="27015.31"/>
    <n v="19999.84"/>
    <n v="0"/>
    <n v="0"/>
    <n v="27015.31"/>
    <n v="27015.31"/>
    <n v="7015.47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807 Materiales de Impresión, Fotografía, Rep"/>
    <s v="G/530807/1FA101"/>
    <s v="001"/>
    <n v="0"/>
    <n v="7950.88"/>
    <n v="0"/>
    <n v="7950.88"/>
    <n v="0.01"/>
    <n v="7950.87"/>
    <n v="7950.87"/>
    <n v="0.01"/>
    <n v="0.01"/>
    <n v="0"/>
  </r>
  <r>
    <s v="53"/>
    <x v="2"/>
    <x v="7"/>
    <s v="ZM04F040"/>
    <x v="41"/>
    <s v="A101"/>
    <s v="FORTALECIMIENTO INSTITUCIONAL"/>
    <s v="GC00A10100001D"/>
    <s v="GC00A10100001D GASTOS ADMINISTRATIVOS"/>
    <s v="53 BIENES Y SERVICIOS DE CONSUMO"/>
    <s v="530807 Materiales de Impresión, Fotografía, Rep"/>
    <s v="G/530807/1FA101"/>
    <s v="001"/>
    <n v="0"/>
    <n v="45000"/>
    <n v="-33000"/>
    <n v="12000"/>
    <n v="562.55999999999995"/>
    <n v="10614.52"/>
    <n v="0"/>
    <n v="1385.48"/>
    <n v="12000"/>
    <n v="822.92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807 Materiales de Impresión, Fotografía, Rep"/>
    <s v="G/530807/1AA101"/>
    <s v="001"/>
    <n v="0"/>
    <n v="-45000"/>
    <n v="89050.880000000005"/>
    <n v="44050.879999999997"/>
    <n v="0"/>
    <n v="0"/>
    <n v="0"/>
    <n v="44050.879999999997"/>
    <n v="44050.879999999997"/>
    <n v="44050.879999999997"/>
  </r>
  <r>
    <s v="53"/>
    <x v="1"/>
    <x v="10"/>
    <s v="SF43I080"/>
    <x v="34"/>
    <s v="A101"/>
    <s v="FORTALECIMIENTO INSTITUCIONAL"/>
    <s v="GC00A10100001D"/>
    <s v="GC00A10100001D GASTOS ADMINISTRATIVOS"/>
    <s v="53 BIENES Y SERVICIOS DE CONSUMO"/>
    <s v="530807 Materiales de Impresión, Fotografía, Rep"/>
    <s v="G/530807/1IA101"/>
    <s v="001"/>
    <n v="3000"/>
    <n v="0"/>
    <n v="-3000"/>
    <n v="0"/>
    <n v="0"/>
    <n v="0"/>
    <n v="0"/>
    <n v="0"/>
    <n v="0"/>
    <n v="0"/>
  </r>
  <r>
    <s v="53"/>
    <x v="2"/>
    <x v="7"/>
    <s v="ZT06F060"/>
    <x v="40"/>
    <s v="A101"/>
    <s v="FORTALECIMIENTO INSTITUCIONAL"/>
    <s v="GC00A10100001D"/>
    <s v="GC00A10100001D GASTOS ADMINISTRATIVOS"/>
    <s v="53 BIENES Y SERVICIOS DE CONSUMO"/>
    <s v="530807 Materiales de Impresión, Fotografía, Rep"/>
    <s v="G/530807/1FA101"/>
    <s v="001"/>
    <n v="0"/>
    <n v="20000"/>
    <n v="0"/>
    <n v="20000"/>
    <n v="0"/>
    <n v="0"/>
    <n v="0"/>
    <n v="20000"/>
    <n v="20000"/>
    <n v="20000"/>
  </r>
  <r>
    <s v="53"/>
    <x v="2"/>
    <x v="7"/>
    <s v="ZC09F090"/>
    <x v="10"/>
    <s v="A101"/>
    <s v="FORTALECIMIENTO INSTITUCIONAL"/>
    <s v="GC00A10100001D"/>
    <s v="GC00A10100001D GASTOS ADMINISTRATIVOS"/>
    <s v="53 BIENES Y SERVICIOS DE CONSUMO"/>
    <s v="530807 Materiales de Impresión, Fotografía, Rep"/>
    <s v="G/530807/1FA101"/>
    <s v="001"/>
    <n v="15000"/>
    <n v="0"/>
    <n v="-7000"/>
    <n v="8000"/>
    <n v="215.48"/>
    <n v="7784.52"/>
    <n v="0"/>
    <n v="215.48"/>
    <n v="8000"/>
    <n v="0"/>
  </r>
  <r>
    <s v="53"/>
    <x v="1"/>
    <x v="2"/>
    <s v="ZA01M000"/>
    <x v="42"/>
    <s v="A101"/>
    <s v="FORTALECIMIENTO INSTITUCIONAL"/>
    <s v="GC00A10100001D"/>
    <s v="GC00A10100001D GASTOS ADMINISTRATIVOS"/>
    <s v="53 BIENES Y SERVICIOS DE CONSUMO"/>
    <s v="530807 Materiales de Impresión, Fotografía, Rep"/>
    <s v="G/530807/1MA101"/>
    <s v="001"/>
    <n v="0"/>
    <n v="5500"/>
    <n v="0"/>
    <n v="5500"/>
    <n v="0"/>
    <n v="4552.8"/>
    <n v="0"/>
    <n v="947.2"/>
    <n v="5500"/>
    <n v="947.2"/>
  </r>
  <r>
    <s v="53"/>
    <x v="0"/>
    <x v="0"/>
    <s v="ZA01A002"/>
    <x v="4"/>
    <s v="A101"/>
    <s v="FORTALECIMIENTO INSTITUCIONAL"/>
    <s v="GC00A10100001D"/>
    <s v="GC00A10100001D GASTOS ADMINISTRATIVOS"/>
    <s v="53 BIENES Y SERVICIOS DE CONSUMO"/>
    <s v="530807 Materiales de Impresión, Fotografía, Rep"/>
    <s v="G/530807/1AA101"/>
    <s v="001"/>
    <n v="0"/>
    <n v="0"/>
    <n v="500.48"/>
    <n v="500.48"/>
    <n v="0"/>
    <n v="0"/>
    <n v="0"/>
    <n v="500.48"/>
    <n v="500.48"/>
    <n v="500.48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807 Materiales de Impresión, Fotografía, Rep"/>
    <s v="G/530807/1AA101"/>
    <s v="002"/>
    <n v="600000"/>
    <n v="93480"/>
    <n v="-311130.88"/>
    <n v="382349.12"/>
    <n v="381349.12"/>
    <n v="1000"/>
    <n v="298.76"/>
    <n v="381349.12"/>
    <n v="382050.36"/>
    <n v="0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807 Materiales de Impresión, Fotografía, Rep"/>
    <s v="G/530807/1PA101"/>
    <s v="001"/>
    <n v="100"/>
    <n v="-100"/>
    <n v="0"/>
    <n v="0"/>
    <n v="0"/>
    <n v="0"/>
    <n v="0"/>
    <n v="0"/>
    <n v="0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808 Instrumental Médico Quirúrgico"/>
    <s v="G/530808/1AA101"/>
    <s v="002"/>
    <n v="1000"/>
    <n v="0"/>
    <n v="0"/>
    <n v="1000"/>
    <n v="0"/>
    <n v="1000"/>
    <n v="105.03"/>
    <n v="0"/>
    <n v="894.97"/>
    <n v="0"/>
  </r>
  <r>
    <s v="53"/>
    <x v="2"/>
    <x v="9"/>
    <s v="PM71N010"/>
    <x v="20"/>
    <s v="A101"/>
    <s v="FORTALECIMIENTO INSTITUCIONAL"/>
    <s v="GC00A10100001D"/>
    <s v="GC00A10100001D GASTOS ADMINISTRATIVOS"/>
    <s v="53 BIENES Y SERVICIOS DE CONSUMO"/>
    <s v="530809 Medicamentos"/>
    <s v="G/530809/1NA101"/>
    <s v="001"/>
    <n v="0"/>
    <n v="1650"/>
    <n v="0"/>
    <n v="1650"/>
    <n v="0"/>
    <n v="1641.02"/>
    <n v="1641.02"/>
    <n v="8.98"/>
    <n v="8.98"/>
    <n v="8.98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809 Medicamentos"/>
    <s v="G/530809/1AA101"/>
    <s v="002"/>
    <n v="1000"/>
    <n v="0"/>
    <n v="0"/>
    <n v="1000"/>
    <n v="0"/>
    <n v="1000"/>
    <n v="0"/>
    <n v="0"/>
    <n v="1000"/>
    <n v="0"/>
  </r>
  <r>
    <s v="53"/>
    <x v="2"/>
    <x v="7"/>
    <s v="ZD07F070"/>
    <x v="43"/>
    <s v="A101"/>
    <s v="FORTALECIMIENTO INSTITUCIONAL"/>
    <s v="GC00A10100001D"/>
    <s v="GC00A10100001D GASTOS ADMINISTRATIVOS"/>
    <s v="53 BIENES Y SERVICIOS DE CONSUMO"/>
    <s v="530809 Medicamentos"/>
    <s v="G/530809/1FA101"/>
    <s v="001"/>
    <n v="0"/>
    <n v="1000"/>
    <n v="-914.88"/>
    <n v="85.12"/>
    <n v="0"/>
    <n v="85.12"/>
    <n v="85.12"/>
    <n v="0"/>
    <n v="0"/>
    <n v="0"/>
  </r>
  <r>
    <s v="53"/>
    <x v="2"/>
    <x v="13"/>
    <s v="ZA01D000"/>
    <x v="22"/>
    <s v="A101"/>
    <s v="FORTALECIMIENTO INSTITUCIONAL"/>
    <s v="GC00A10100001D"/>
    <s v="GC00A10100001D GASTOS ADMINISTRATIVOS"/>
    <s v="53 BIENES Y SERVICIOS DE CONSUMO"/>
    <s v="530810 Dispositivos Médicos para Laboratorio Cl"/>
    <s v="G/530810/1DA101"/>
    <s v="001"/>
    <n v="18000"/>
    <n v="17291.599999999999"/>
    <n v="0"/>
    <n v="35291.599999999999"/>
    <n v="26291.56"/>
    <n v="0"/>
    <n v="0"/>
    <n v="35291.599999999999"/>
    <n v="35291.599999999999"/>
    <n v="9000.0400000000009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810 Dispositivos Médicos para Laboratorio Cl"/>
    <s v="G/530810/1FA101"/>
    <s v="001"/>
    <n v="300"/>
    <n v="-300"/>
    <n v="0"/>
    <n v="0"/>
    <n v="0"/>
    <n v="0"/>
    <n v="0"/>
    <n v="0"/>
    <n v="0"/>
    <n v="0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0811 Insumos, Materiales y Suministros para Cons"/>
    <s v="G/530811/1IA101"/>
    <s v="001"/>
    <n v="1000"/>
    <n v="0"/>
    <n v="0"/>
    <n v="1000"/>
    <n v="521.33000000000004"/>
    <n v="478.61"/>
    <n v="0"/>
    <n v="521.39"/>
    <n v="1000"/>
    <n v="0.06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811 Insumos, Materiales y Suministros para Cons"/>
    <s v="G/530811/1PA101"/>
    <s v="001"/>
    <n v="2874"/>
    <n v="-2793.5"/>
    <n v="0"/>
    <n v="80.5"/>
    <n v="0"/>
    <n v="42.56"/>
    <n v="42.56"/>
    <n v="37.94"/>
    <n v="37.94"/>
    <n v="37.94"/>
  </r>
  <r>
    <s v="53"/>
    <x v="2"/>
    <x v="7"/>
    <s v="ZS03F030"/>
    <x v="45"/>
    <s v="A101"/>
    <s v="FORTALECIMIENTO INSTITUCIONAL"/>
    <s v="GC00A10100001D"/>
    <s v="GC00A10100001D GASTOS ADMINISTRATIVOS"/>
    <s v="53 BIENES Y SERVICIOS DE CONSUMO"/>
    <s v="530811 Insumos, Materiales y Suministros para Cons"/>
    <s v="G/530811/1FA101"/>
    <s v="001"/>
    <n v="31000"/>
    <n v="0"/>
    <n v="0"/>
    <n v="31000"/>
    <n v="5058.07"/>
    <n v="25941.93"/>
    <n v="0"/>
    <n v="5058.07"/>
    <n v="31000"/>
    <n v="0"/>
  </r>
  <r>
    <s v="53"/>
    <x v="2"/>
    <x v="3"/>
    <s v="AT69K040"/>
    <x v="16"/>
    <s v="A101"/>
    <s v="FORTALECIMIENTO INSTITUCIONAL"/>
    <s v="GC00A10100001D"/>
    <s v="GC00A10100001D GASTOS ADMINISTRATIVOS"/>
    <s v="53 BIENES Y SERVICIOS DE CONSUMO"/>
    <s v="530811 Insumos, Materiales y Suministros para Cons"/>
    <s v="G/530811/1KA101"/>
    <s v="001"/>
    <n v="0"/>
    <n v="1450"/>
    <n v="0"/>
    <n v="1450"/>
    <n v="0"/>
    <n v="1450"/>
    <n v="1097.5"/>
    <n v="0"/>
    <n v="352.5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811 Insumos, Materiales y Suministros para Cons"/>
    <s v="G/530811/1AA101"/>
    <s v="002"/>
    <n v="200"/>
    <n v="0"/>
    <n v="-194.4"/>
    <n v="5.6"/>
    <n v="0"/>
    <n v="5.6"/>
    <n v="5.6"/>
    <n v="0"/>
    <n v="0"/>
    <n v="0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0811 Insumos, Materiales y Suministros para Cons"/>
    <s v="G/530811/1MA101"/>
    <s v="001"/>
    <n v="10000"/>
    <n v="-584.35"/>
    <n v="0"/>
    <n v="9415.65"/>
    <n v="0"/>
    <n v="0"/>
    <n v="0"/>
    <n v="9415.65"/>
    <n v="9415.65"/>
    <n v="9415.65"/>
  </r>
  <r>
    <s v="53"/>
    <x v="2"/>
    <x v="7"/>
    <s v="ZQ08F080"/>
    <x v="44"/>
    <s v="A101"/>
    <s v="FORTALECIMIENTO INSTITUCIONAL"/>
    <s v="GC00A10100001D"/>
    <s v="GC00A10100001D GASTOS ADMINISTRATIVOS"/>
    <s v="53 BIENES Y SERVICIOS DE CONSUMO"/>
    <s v="530811 Insumos, Materiales y Suministros para Cons"/>
    <s v="G/530811/1FA101"/>
    <s v="001"/>
    <n v="2000"/>
    <n v="0"/>
    <n v="0"/>
    <n v="2000"/>
    <n v="0"/>
    <n v="265.5"/>
    <n v="0"/>
    <n v="1734.5"/>
    <n v="2000"/>
    <n v="1734.5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811 Insumos, Materiales y Suministros para Cons"/>
    <s v="G/530811/1FA101"/>
    <s v="001"/>
    <n v="0"/>
    <n v="7000"/>
    <n v="0"/>
    <n v="7000"/>
    <n v="0"/>
    <n v="5466.5"/>
    <n v="3765.26"/>
    <n v="1533.5"/>
    <n v="3234.74"/>
    <n v="1533.5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811 Insumos, Materiales y Suministros para Cons"/>
    <s v="G/530811/1BA101"/>
    <s v="002"/>
    <n v="250"/>
    <n v="-250"/>
    <n v="0"/>
    <n v="0"/>
    <n v="0"/>
    <n v="0"/>
    <n v="0"/>
    <n v="0"/>
    <n v="0"/>
    <n v="0"/>
  </r>
  <r>
    <s v="53"/>
    <x v="1"/>
    <x v="2"/>
    <s v="UN31M010"/>
    <x v="15"/>
    <s v="A101"/>
    <s v="FORTALECIMIENTO INSTITUCIONAL"/>
    <s v="GC00A10100001D"/>
    <s v="GC00A10100001D GASTOS ADMINISTRATIVOS"/>
    <s v="53 BIENES Y SERVICIOS DE CONSUMO"/>
    <s v="530811 Insumos, Materiales y Suministros para Cons"/>
    <s v="G/530811/1MA101"/>
    <s v="001"/>
    <n v="7000"/>
    <n v="17000"/>
    <n v="-9900"/>
    <n v="14100"/>
    <n v="633.67999999999995"/>
    <n v="6476.72"/>
    <n v="6063.44"/>
    <n v="7623.28"/>
    <n v="8036.56"/>
    <n v="6989.6"/>
  </r>
  <r>
    <s v="53"/>
    <x v="1"/>
    <x v="10"/>
    <s v="EQ13I030"/>
    <x v="35"/>
    <s v="A101"/>
    <s v="FORTALECIMIENTO INSTITUCIONAL"/>
    <s v="GC00A10100001D"/>
    <s v="GC00A10100001D GASTOS ADMINISTRATIVOS"/>
    <s v="53 BIENES Y SERVICIOS DE CONSUMO"/>
    <s v="530811 Insumos, Materiales y Suministros para Cons"/>
    <s v="G/530811/1IA101"/>
    <s v="001"/>
    <n v="400"/>
    <n v="-400"/>
    <n v="0"/>
    <n v="0"/>
    <n v="0"/>
    <n v="0"/>
    <n v="0"/>
    <n v="0"/>
    <n v="0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811 Insumos, Materiales y Suministros para Cons"/>
    <s v="G/530811/1AA101"/>
    <s v="002"/>
    <n v="34000"/>
    <n v="0"/>
    <n v="0"/>
    <n v="34000"/>
    <n v="31000"/>
    <n v="3000"/>
    <n v="281.12"/>
    <n v="31000"/>
    <n v="33718.879999999997"/>
    <n v="0"/>
  </r>
  <r>
    <s v="53"/>
    <x v="2"/>
    <x v="7"/>
    <s v="ZM04F040"/>
    <x v="41"/>
    <s v="A101"/>
    <s v="FORTALECIMIENTO INSTITUCIONAL"/>
    <s v="GC00A10100001D"/>
    <s v="GC00A10100001D GASTOS ADMINISTRATIVOS"/>
    <s v="53 BIENES Y SERVICIOS DE CONSUMO"/>
    <s v="530811 Insumos, Materiales y Suministros para Cons"/>
    <s v="G/530811/1FA101"/>
    <s v="001"/>
    <n v="0"/>
    <n v="3000"/>
    <n v="-1500"/>
    <n v="1500"/>
    <n v="0"/>
    <n v="0"/>
    <n v="0"/>
    <n v="1500"/>
    <n v="1500"/>
    <n v="1500"/>
  </r>
  <r>
    <s v="53"/>
    <x v="2"/>
    <x v="7"/>
    <s v="ZD07F070"/>
    <x v="43"/>
    <s v="A101"/>
    <s v="FORTALECIMIENTO INSTITUCIONAL"/>
    <s v="GC00A10100001D"/>
    <s v="GC00A10100001D GASTOS ADMINISTRATIVOS"/>
    <s v="53 BIENES Y SERVICIOS DE CONSUMO"/>
    <s v="530811 Insumos, Materiales y Suministros para Cons"/>
    <s v="G/530811/1FA101"/>
    <s v="001"/>
    <n v="200"/>
    <n v="1000"/>
    <n v="0"/>
    <n v="1200"/>
    <n v="38.700000000000003"/>
    <n v="304.42"/>
    <n v="304.42"/>
    <n v="895.58"/>
    <n v="895.58"/>
    <n v="856.88"/>
  </r>
  <r>
    <s v="53"/>
    <x v="2"/>
    <x v="7"/>
    <s v="ZC09F090"/>
    <x v="10"/>
    <s v="A101"/>
    <s v="FORTALECIMIENTO INSTITUCIONAL"/>
    <s v="GC00A10100001D"/>
    <s v="GC00A10100001D GASTOS ADMINISTRATIVOS"/>
    <s v="53 BIENES Y SERVICIOS DE CONSUMO"/>
    <s v="530811 Insumos, Materiales y Suministros para Cons"/>
    <s v="G/530811/1FA101"/>
    <s v="001"/>
    <n v="30"/>
    <n v="0"/>
    <n v="0"/>
    <n v="30"/>
    <n v="0"/>
    <n v="0"/>
    <n v="0"/>
    <n v="30"/>
    <n v="30"/>
    <n v="30"/>
  </r>
  <r>
    <s v="53"/>
    <x v="1"/>
    <x v="2"/>
    <s v="ZA01M000"/>
    <x v="42"/>
    <s v="A101"/>
    <s v="FORTALECIMIENTO INSTITUCIONAL"/>
    <s v="GC00A10100001D"/>
    <s v="GC00A10100001D GASTOS ADMINISTRATIVOS"/>
    <s v="53 BIENES Y SERVICIOS DE CONSUMO"/>
    <s v="530811 Insumos, Materiales y Suministros para Cons"/>
    <s v="G/530811/1MA101"/>
    <s v="001"/>
    <n v="0"/>
    <n v="2050"/>
    <n v="0"/>
    <n v="2050"/>
    <n v="588"/>
    <n v="0"/>
    <n v="0"/>
    <n v="2050"/>
    <n v="2050"/>
    <n v="1462"/>
  </r>
  <r>
    <s v="53"/>
    <x v="0"/>
    <x v="0"/>
    <s v="ZA01A002"/>
    <x v="4"/>
    <s v="A101"/>
    <s v="FORTALECIMIENTO INSTITUCIONAL"/>
    <s v="GC00A10100001D"/>
    <s v="GC00A10100001D GASTOS ADMINISTRATIVOS"/>
    <s v="53 BIENES Y SERVICIOS DE CONSUMO"/>
    <s v="530811 Insumos, Materiales y Suministros para Cons"/>
    <s v="G/530811/1AA101"/>
    <s v="002"/>
    <n v="8000"/>
    <n v="-2400"/>
    <n v="-5600"/>
    <n v="0"/>
    <n v="0"/>
    <n v="0"/>
    <n v="0"/>
    <n v="0"/>
    <n v="0"/>
    <n v="0"/>
  </r>
  <r>
    <s v="53"/>
    <x v="3"/>
    <x v="6"/>
    <s v="AC67Q000"/>
    <x v="9"/>
    <s v="A101"/>
    <s v="FORTALECIMIENTO INSTITUCIONAL"/>
    <s v="GC00A10100001D"/>
    <s v="GC00A10100001D GASTOS ADMINISTRATIVOS"/>
    <s v="53 BIENES Y SERVICIOS DE CONSUMO"/>
    <s v="530811 Insumos, Materiales y Suministros para Cons"/>
    <s v="G/530811/1QA101"/>
    <s v="001"/>
    <n v="7500"/>
    <n v="-7500"/>
    <n v="0"/>
    <n v="0"/>
    <n v="0"/>
    <n v="0"/>
    <n v="0"/>
    <n v="0"/>
    <n v="0"/>
    <n v="0"/>
  </r>
  <r>
    <s v="53"/>
    <x v="2"/>
    <x v="9"/>
    <s v="PM71N010"/>
    <x v="20"/>
    <s v="A101"/>
    <s v="FORTALECIMIENTO INSTITUCIONAL"/>
    <s v="GC00A10100001D"/>
    <s v="GC00A10100001D GASTOS ADMINISTRATIVOS"/>
    <s v="53 BIENES Y SERVICIOS DE CONSUMO"/>
    <s v="530811 Insumos, Materiales y Suministros para Cons"/>
    <s v="G/530811/1NA101"/>
    <s v="001"/>
    <n v="0"/>
    <n v="4000"/>
    <n v="0"/>
    <n v="4000"/>
    <n v="0"/>
    <n v="0"/>
    <n v="0"/>
    <n v="4000"/>
    <n v="4000"/>
    <n v="4000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0811 Insumos, Materiales y Suministros para Cons"/>
    <s v="G/530811/1IA101"/>
    <s v="001"/>
    <n v="2500"/>
    <n v="0"/>
    <n v="0"/>
    <n v="2500"/>
    <n v="0.39"/>
    <n v="2499.61"/>
    <n v="2499.61"/>
    <n v="0.39"/>
    <n v="0.39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811 Insumos, Materiales y Suministros para Cons"/>
    <s v="G/530811/1AA101"/>
    <s v="001"/>
    <n v="0"/>
    <n v="0"/>
    <n v="194.4"/>
    <n v="194.4"/>
    <n v="0"/>
    <n v="0"/>
    <n v="0"/>
    <n v="194.4"/>
    <n v="194.4"/>
    <n v="194.4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0811 Insumos, Materiales y Suministros para Cons"/>
    <s v="G/530811/1IA101"/>
    <s v="001"/>
    <n v="8000"/>
    <n v="0"/>
    <n v="-1000"/>
    <n v="7000"/>
    <n v="660.94"/>
    <n v="4701.0600000000004"/>
    <n v="517.65"/>
    <n v="2298.94"/>
    <n v="6482.35"/>
    <n v="1638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811 Insumos, Materiales y Suministros para Cons"/>
    <s v="G/530811/1FA101"/>
    <s v="001"/>
    <n v="1000"/>
    <n v="3360"/>
    <n v="0"/>
    <n v="4360"/>
    <n v="85.69"/>
    <n v="3292.29"/>
    <n v="208.86"/>
    <n v="1067.71"/>
    <n v="4151.1400000000003"/>
    <n v="982.02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812 Materiales Didácticos"/>
    <s v="G/530812/1PA101"/>
    <s v="001"/>
    <n v="1000"/>
    <n v="-1000"/>
    <n v="0"/>
    <n v="0"/>
    <n v="0"/>
    <n v="0"/>
    <n v="0"/>
    <n v="0"/>
    <n v="0"/>
    <n v="0"/>
  </r>
  <r>
    <s v="53"/>
    <x v="1"/>
    <x v="10"/>
    <s v="JM40I070"/>
    <x v="27"/>
    <s v="A101"/>
    <s v="FORTALECIMIENTO INSTITUCIONAL"/>
    <s v="GC00A10100001D"/>
    <s v="GC00A10100001D GASTOS ADMINISTRATIVOS"/>
    <s v="53 BIENES Y SERVICIOS DE CONSUMO"/>
    <s v="530812 Materiales Didácticos"/>
    <s v="G/530812/1IA101"/>
    <s v="001"/>
    <n v="1000"/>
    <n v="0"/>
    <n v="0"/>
    <n v="1000"/>
    <n v="993.44"/>
    <n v="0"/>
    <n v="0"/>
    <n v="1000"/>
    <n v="1000"/>
    <n v="6.56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0812 Materiales Didácticos"/>
    <s v="G/530812/1IA101"/>
    <s v="001"/>
    <n v="2000"/>
    <n v="-1200"/>
    <n v="-800"/>
    <n v="0"/>
    <n v="0"/>
    <n v="0"/>
    <n v="0"/>
    <n v="0"/>
    <n v="0"/>
    <n v="0"/>
  </r>
  <r>
    <s v="53"/>
    <x v="1"/>
    <x v="10"/>
    <s v="OL41I060"/>
    <x v="29"/>
    <s v="A101"/>
    <s v="FORTALECIMIENTO INSTITUCIONAL"/>
    <s v="GC00A10100001D"/>
    <s v="GC00A10100001D GASTOS ADMINISTRATIVOS"/>
    <s v="53 BIENES Y SERVICIOS DE CONSUMO"/>
    <s v="530812 Materiales Didácticos"/>
    <s v="G/530812/1IA101"/>
    <s v="001"/>
    <n v="2000"/>
    <n v="0"/>
    <n v="-2000"/>
    <n v="0"/>
    <n v="0"/>
    <n v="0"/>
    <n v="0"/>
    <n v="0"/>
    <n v="0"/>
    <n v="0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0812 Materiales Didácticos"/>
    <s v="G/530812/1IA101"/>
    <s v="001"/>
    <n v="3000"/>
    <n v="0"/>
    <n v="0"/>
    <n v="3000"/>
    <n v="0"/>
    <n v="0"/>
    <n v="0"/>
    <n v="3000"/>
    <n v="3000"/>
    <n v="3000"/>
  </r>
  <r>
    <s v="53"/>
    <x v="1"/>
    <x v="10"/>
    <s v="CF22I050"/>
    <x v="38"/>
    <s v="A101"/>
    <s v="FORTALECIMIENTO INSTITUCIONAL"/>
    <s v="GC00A10100001D"/>
    <s v="GC00A10100001D GASTOS ADMINISTRATIVOS"/>
    <s v="53 BIENES Y SERVICIOS DE CONSUMO"/>
    <s v="530812 Materiales Didácticos"/>
    <s v="G/530812/1IA101"/>
    <s v="001"/>
    <n v="500"/>
    <n v="0"/>
    <n v="0"/>
    <n v="500"/>
    <n v="0"/>
    <n v="0"/>
    <n v="0"/>
    <n v="500"/>
    <n v="500"/>
    <n v="500"/>
  </r>
  <r>
    <s v="53"/>
    <x v="2"/>
    <x v="13"/>
    <s v="ZA01D000"/>
    <x v="22"/>
    <s v="A101"/>
    <s v="FORTALECIMIENTO INSTITUCIONAL"/>
    <s v="GC00A10100001D"/>
    <s v="GC00A10100001D GASTOS ADMINISTRATIVOS"/>
    <s v="53 BIENES Y SERVICIOS DE CONSUMO"/>
    <s v="530813 Repuestos y Accesorios"/>
    <s v="G/530813/1DA101"/>
    <s v="002"/>
    <n v="12000"/>
    <n v="0"/>
    <n v="-0.32"/>
    <n v="11999.68"/>
    <n v="0"/>
    <n v="11999.68"/>
    <n v="11999.68"/>
    <n v="0"/>
    <n v="0"/>
    <n v="0"/>
  </r>
  <r>
    <s v="53"/>
    <x v="2"/>
    <x v="7"/>
    <s v="ZV05F050"/>
    <x v="39"/>
    <s v="A101"/>
    <s v="FORTALECIMIENTO INSTITUCIONAL"/>
    <s v="GC00A10100001D"/>
    <s v="GC00A10100001D GASTOS ADMINISTRATIVOS"/>
    <s v="53 BIENES Y SERVICIOS DE CONSUMO"/>
    <s v="530813 Repuestos y Accesorios"/>
    <s v="G/530813/1FA101"/>
    <s v="001"/>
    <n v="9000"/>
    <n v="6781.92"/>
    <n v="0"/>
    <n v="15781.92"/>
    <n v="152.55000000000001"/>
    <n v="15079.69"/>
    <n v="300.17"/>
    <n v="702.23"/>
    <n v="15481.75"/>
    <n v="549.67999999999995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813 Repuestos y Accesorios"/>
    <s v="G/530813/1PA101"/>
    <s v="001"/>
    <n v="10000"/>
    <n v="10366.09"/>
    <n v="0"/>
    <n v="20366.09"/>
    <n v="0"/>
    <n v="20366.09"/>
    <n v="18186.59"/>
    <n v="0"/>
    <n v="2179.5"/>
    <n v="0"/>
  </r>
  <r>
    <s v="53"/>
    <x v="2"/>
    <x v="7"/>
    <s v="ZM04F040"/>
    <x v="41"/>
    <s v="A101"/>
    <s v="FORTALECIMIENTO INSTITUCIONAL"/>
    <s v="GC00A10100001D"/>
    <s v="GC00A10100001D GASTOS ADMINISTRATIVOS"/>
    <s v="53 BIENES Y SERVICIOS DE CONSUMO"/>
    <s v="530813 Repuestos y Accesorios"/>
    <s v="G/530813/1FA101"/>
    <s v="001"/>
    <n v="3000"/>
    <n v="0"/>
    <n v="-3000"/>
    <n v="0"/>
    <n v="0"/>
    <n v="0"/>
    <n v="0"/>
    <n v="0"/>
    <n v="0"/>
    <n v="0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0813 Repuestos y Accesorios"/>
    <s v="G/530813/1IA101"/>
    <s v="001"/>
    <n v="3000"/>
    <n v="6000"/>
    <n v="0"/>
    <n v="9000"/>
    <n v="78.3"/>
    <n v="7530.1"/>
    <n v="2612.4"/>
    <n v="1469.9"/>
    <n v="6387.6"/>
    <n v="1391.6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813 Repuestos y Accesorios"/>
    <s v="G/530813/1FA101"/>
    <s v="001"/>
    <n v="2455"/>
    <n v="0"/>
    <n v="0"/>
    <n v="2455"/>
    <n v="0"/>
    <n v="2455"/>
    <n v="2365.16"/>
    <n v="0"/>
    <n v="89.84"/>
    <n v="0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0813 Repuestos y Accesorios"/>
    <s v="G/530813/1IA101"/>
    <s v="001"/>
    <n v="1000"/>
    <n v="0"/>
    <n v="0"/>
    <n v="1000"/>
    <n v="0"/>
    <n v="0"/>
    <n v="0"/>
    <n v="1000"/>
    <n v="1000"/>
    <n v="1000"/>
  </r>
  <r>
    <s v="53"/>
    <x v="2"/>
    <x v="7"/>
    <s v="ZQ08F080"/>
    <x v="44"/>
    <s v="A101"/>
    <s v="FORTALECIMIENTO INSTITUCIONAL"/>
    <s v="GC00A10100001D"/>
    <s v="GC00A10100001D GASTOS ADMINISTRATIVOS"/>
    <s v="53 BIENES Y SERVICIOS DE CONSUMO"/>
    <s v="530813 Repuestos y Accesorios"/>
    <s v="G/530813/1FA101"/>
    <s v="001"/>
    <n v="28000"/>
    <n v="5174.54"/>
    <n v="0"/>
    <n v="33174.54"/>
    <n v="0"/>
    <n v="33174.54"/>
    <n v="11159.84"/>
    <n v="0"/>
    <n v="22014.7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813 Repuestos y Accesorios"/>
    <s v="G/530813/1BA101"/>
    <s v="001"/>
    <n v="0"/>
    <n v="0"/>
    <n v="3760.72"/>
    <n v="3760.72"/>
    <n v="0"/>
    <n v="0"/>
    <n v="0"/>
    <n v="3760.72"/>
    <n v="3760.72"/>
    <n v="3760.72"/>
  </r>
  <r>
    <s v="53"/>
    <x v="1"/>
    <x v="10"/>
    <s v="CF22I050"/>
    <x v="38"/>
    <s v="A101"/>
    <s v="FORTALECIMIENTO INSTITUCIONAL"/>
    <s v="GC00A10100001D"/>
    <s v="GC00A10100001D GASTOS ADMINISTRATIVOS"/>
    <s v="53 BIENES Y SERVICIOS DE CONSUMO"/>
    <s v="530813 Repuestos y Accesorios"/>
    <s v="G/530813/1IA101"/>
    <s v="001"/>
    <n v="1000"/>
    <n v="0"/>
    <n v="0"/>
    <n v="1000"/>
    <n v="612.91999999999996"/>
    <n v="387.08"/>
    <n v="0"/>
    <n v="612.91999999999996"/>
    <n v="1000"/>
    <n v="0"/>
  </r>
  <r>
    <s v="53"/>
    <x v="1"/>
    <x v="15"/>
    <s v="ZA01G000"/>
    <x v="26"/>
    <s v="A101"/>
    <s v="FORTALECIMIENTO INSTITUCIONAL"/>
    <s v="GC00A10100001D"/>
    <s v="GC00A10100001D GASTOS ADMINISTRATIVOS"/>
    <s v="53 BIENES Y SERVICIOS DE CONSUMO"/>
    <s v="530813 Repuestos y Accesorios"/>
    <s v="G/530813/1GA101"/>
    <s v="001"/>
    <n v="5000"/>
    <n v="0"/>
    <n v="-5000"/>
    <n v="0"/>
    <n v="0"/>
    <n v="0"/>
    <n v="0"/>
    <n v="0"/>
    <n v="0"/>
    <n v="0"/>
  </r>
  <r>
    <s v="53"/>
    <x v="2"/>
    <x v="7"/>
    <s v="TM68F100"/>
    <x v="36"/>
    <s v="A101"/>
    <s v="FORTALECIMIENTO INSTITUCIONAL"/>
    <s v="GC00A10100001D"/>
    <s v="GC00A10100001D GASTOS ADMINISTRATIVOS"/>
    <s v="53 BIENES Y SERVICIOS DE CONSUMO"/>
    <s v="530813 Repuestos y Accesorios"/>
    <s v="G/530813/1FA101"/>
    <s v="001"/>
    <n v="200"/>
    <n v="1442"/>
    <n v="0"/>
    <n v="1642"/>
    <n v="111.2"/>
    <n v="1530.7"/>
    <n v="841.9"/>
    <n v="111.3"/>
    <n v="800.1"/>
    <n v="0.1"/>
  </r>
  <r>
    <s v="53"/>
    <x v="2"/>
    <x v="7"/>
    <s v="ZD07F070"/>
    <x v="43"/>
    <s v="A101"/>
    <s v="FORTALECIMIENTO INSTITUCIONAL"/>
    <s v="GC00A10100001D"/>
    <s v="GC00A10100001D GASTOS ADMINISTRATIVOS"/>
    <s v="53 BIENES Y SERVICIOS DE CONSUMO"/>
    <s v="530813 Repuestos y Accesorios"/>
    <s v="G/530813/1FA101"/>
    <s v="001"/>
    <n v="1000"/>
    <n v="0"/>
    <n v="0"/>
    <n v="1000"/>
    <n v="0"/>
    <n v="660.8"/>
    <n v="660.8"/>
    <n v="339.2"/>
    <n v="339.2"/>
    <n v="339.2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0813 Repuestos y Accesorios"/>
    <s v="G/530813/1IA101"/>
    <s v="001"/>
    <n v="900"/>
    <n v="3000"/>
    <n v="0"/>
    <n v="3900"/>
    <n v="0"/>
    <n v="3000"/>
    <n v="2713.23"/>
    <n v="900"/>
    <n v="1186.77"/>
    <n v="900"/>
  </r>
  <r>
    <s v="53"/>
    <x v="2"/>
    <x v="8"/>
    <s v="ZA01P000"/>
    <x v="32"/>
    <s v="A101"/>
    <s v="FORTALECIMIENTO INSTITUCIONAL"/>
    <s v="GC00A10100001D"/>
    <s v="GC00A10100001D GASTOS ADMINISTRATIVOS"/>
    <s v="53 BIENES Y SERVICIOS DE CONSUMO"/>
    <s v="530813 Repuestos y Accesorios"/>
    <s v="G/530813/1PA101"/>
    <s v="001"/>
    <n v="2000"/>
    <n v="0"/>
    <n v="-1000"/>
    <n v="1000"/>
    <n v="0"/>
    <n v="0"/>
    <n v="0"/>
    <n v="1000"/>
    <n v="1000"/>
    <n v="100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813 Repuestos y Accesorios"/>
    <s v="G/530813/1BA101"/>
    <s v="002"/>
    <n v="3000"/>
    <n v="12480"/>
    <n v="-3760.72"/>
    <n v="11719.28"/>
    <n v="2964.14"/>
    <n v="8755.14"/>
    <n v="3054.74"/>
    <n v="2964.14"/>
    <n v="8664.5400000000009"/>
    <n v="0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0813 Repuestos y Accesorios"/>
    <s v="G/530813/1MA101"/>
    <s v="001"/>
    <n v="180000"/>
    <n v="-150000"/>
    <n v="0"/>
    <n v="30000"/>
    <n v="0"/>
    <n v="15732.75"/>
    <n v="7267.34"/>
    <n v="14267.25"/>
    <n v="22732.66"/>
    <n v="14267.25"/>
  </r>
  <r>
    <s v="53"/>
    <x v="2"/>
    <x v="13"/>
    <s v="ZA01D000"/>
    <x v="22"/>
    <s v="A101"/>
    <s v="FORTALECIMIENTO INSTITUCIONAL"/>
    <s v="GC00A10100001D"/>
    <s v="GC00A10100001D GASTOS ADMINISTRATIVOS"/>
    <s v="53 BIENES Y SERVICIOS DE CONSUMO"/>
    <s v="530813 Repuestos y Accesorios"/>
    <s v="G/530813/1DA101"/>
    <s v="001"/>
    <n v="37000"/>
    <n v="6134.4"/>
    <n v="0.32"/>
    <n v="43134.720000000001"/>
    <n v="21014.400000000001"/>
    <n v="14880.32"/>
    <n v="14880.32"/>
    <n v="28254.400000000001"/>
    <n v="28254.400000000001"/>
    <n v="724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813 Repuestos y Accesorios"/>
    <s v="G/530813/1AA101"/>
    <s v="002"/>
    <n v="361780"/>
    <n v="-11142.81"/>
    <n v="-35076.22"/>
    <n v="315560.96999999997"/>
    <n v="4292.7700000000004"/>
    <n v="305230.34999999998"/>
    <n v="137836.84"/>
    <n v="10330.620000000001"/>
    <n v="177724.13"/>
    <n v="6037.85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813 Repuestos y Accesorios"/>
    <s v="G/530813/1AA101"/>
    <s v="002"/>
    <n v="5000"/>
    <n v="-4188.3999999999996"/>
    <n v="0"/>
    <n v="811.6"/>
    <n v="0"/>
    <n v="811.6"/>
    <n v="811.6"/>
    <n v="0"/>
    <n v="0"/>
    <n v="0"/>
  </r>
  <r>
    <s v="53"/>
    <x v="1"/>
    <x v="2"/>
    <s v="UN31M010"/>
    <x v="15"/>
    <s v="A101"/>
    <s v="FORTALECIMIENTO INSTITUCIONAL"/>
    <s v="GC00A10100001D"/>
    <s v="GC00A10100001D GASTOS ADMINISTRATIVOS"/>
    <s v="53 BIENES Y SERVICIOS DE CONSUMO"/>
    <s v="530813 Repuestos y Accesorios"/>
    <s v="G/530813/1MA101"/>
    <s v="001"/>
    <n v="5000"/>
    <n v="5000"/>
    <n v="0"/>
    <n v="10000"/>
    <n v="8702.31"/>
    <n v="806.4"/>
    <n v="806.4"/>
    <n v="9193.6"/>
    <n v="9193.6"/>
    <n v="491.29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814 Suministros para Actividades Agropecuarias,"/>
    <s v="G/530814/1PA101"/>
    <s v="001"/>
    <n v="115"/>
    <n v="-115"/>
    <n v="0"/>
    <n v="0"/>
    <n v="0"/>
    <n v="0"/>
    <n v="0"/>
    <n v="0"/>
    <n v="0"/>
    <n v="0"/>
  </r>
  <r>
    <s v="53"/>
    <x v="1"/>
    <x v="10"/>
    <s v="ZA01I000"/>
    <x v="18"/>
    <s v="A101"/>
    <s v="FORTALECIMIENTO INSTITUCIONAL"/>
    <s v="GC00A10100001D"/>
    <s v="GC00A10100001D GASTOS ADMINISTRATIVOS"/>
    <s v="53 BIENES Y SERVICIOS DE CONSUMO"/>
    <s v="530819 Accesorios e Insumos Químicos y Orgánico"/>
    <s v="G/530819/1IA101"/>
    <s v="001"/>
    <n v="4500"/>
    <n v="0"/>
    <n v="-4500"/>
    <n v="0"/>
    <n v="0"/>
    <n v="0"/>
    <n v="0"/>
    <n v="0"/>
    <n v="0"/>
    <n v="0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0819 Accesorios e Insumos Químicos y Orgánico"/>
    <s v="G/530819/1FA101"/>
    <s v="001"/>
    <n v="360"/>
    <n v="-360"/>
    <n v="0"/>
    <n v="0"/>
    <n v="0"/>
    <n v="0"/>
    <n v="0"/>
    <n v="0"/>
    <n v="0"/>
    <n v="0"/>
  </r>
  <r>
    <s v="53"/>
    <x v="2"/>
    <x v="3"/>
    <s v="AT69K040"/>
    <x v="16"/>
    <s v="A101"/>
    <s v="FORTALECIMIENTO INSTITUCIONAL"/>
    <s v="GC00A10100001D"/>
    <s v="GC00A10100001D GASTOS ADMINISTRATIVOS"/>
    <s v="53 BIENES Y SERVICIOS DE CONSUMO"/>
    <s v="530820 Menaje y Accesorios Descartables"/>
    <s v="G/530820/1KA101"/>
    <s v="001"/>
    <n v="0"/>
    <n v="3000"/>
    <n v="0"/>
    <n v="3000"/>
    <n v="0"/>
    <n v="0"/>
    <n v="0"/>
    <n v="3000"/>
    <n v="3000"/>
    <n v="3000"/>
  </r>
  <r>
    <s v="53"/>
    <x v="1"/>
    <x v="2"/>
    <s v="UN31M010"/>
    <x v="15"/>
    <s v="A101"/>
    <s v="FORTALECIMIENTO INSTITUCIONAL"/>
    <s v="GC00A10100001D"/>
    <s v="GC00A10100001D GASTOS ADMINISTRATIVOS"/>
    <s v="53 BIENES Y SERVICIOS DE CONSUMO"/>
    <s v="530820 Menaje y Accesorios Descartables"/>
    <s v="G/530820/1MA101"/>
    <s v="001"/>
    <n v="0"/>
    <n v="1000"/>
    <n v="-1000"/>
    <n v="0"/>
    <n v="0"/>
    <n v="0"/>
    <n v="0"/>
    <n v="0"/>
    <n v="0"/>
    <n v="0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0820 Menaje y Accesorios Descartables"/>
    <s v="G/530820/1MA101"/>
    <s v="001"/>
    <n v="3000"/>
    <n v="-1000"/>
    <n v="0"/>
    <n v="2000"/>
    <n v="0"/>
    <n v="0"/>
    <n v="0"/>
    <n v="2000"/>
    <n v="2000"/>
    <n v="2000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820 Menaje y Accesorios Descartables"/>
    <s v="G/530820/1PA101"/>
    <s v="001"/>
    <n v="80"/>
    <n v="-80"/>
    <n v="0"/>
    <n v="0"/>
    <n v="0"/>
    <n v="0"/>
    <n v="0"/>
    <n v="0"/>
    <n v="0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820 Menaje y Accesorios Descartables"/>
    <s v="G/530820/1BA101"/>
    <s v="002"/>
    <n v="0"/>
    <n v="1742.16"/>
    <n v="-202.16"/>
    <n v="1540"/>
    <n v="0"/>
    <n v="1540"/>
    <n v="1540"/>
    <n v="0"/>
    <n v="0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820 Menaje y Accesorios Descartables"/>
    <s v="G/530820/1BA101"/>
    <s v="001"/>
    <n v="0"/>
    <n v="0"/>
    <n v="202.16"/>
    <n v="202.16"/>
    <n v="0"/>
    <n v="0"/>
    <n v="0"/>
    <n v="202.16"/>
    <n v="202.16"/>
    <n v="202.16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822 Condecoraciones"/>
    <s v="G/530822/1AA101"/>
    <s v="002"/>
    <n v="0"/>
    <n v="1000"/>
    <n v="0"/>
    <n v="1000"/>
    <n v="0"/>
    <n v="1000"/>
    <n v="291.2"/>
    <n v="0"/>
    <n v="708.8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823 Egresos para Sanidad Agropecuaria"/>
    <s v="G/530823/1AA101"/>
    <s v="001"/>
    <n v="0"/>
    <n v="0"/>
    <n v="270"/>
    <n v="270"/>
    <n v="44.8"/>
    <n v="0"/>
    <n v="0"/>
    <n v="270"/>
    <n v="270"/>
    <n v="225.2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823 Egresos para Sanidad Agropecuaria"/>
    <s v="G/530823/1AA101"/>
    <s v="002"/>
    <n v="250"/>
    <n v="288.8"/>
    <n v="-270"/>
    <n v="268.8"/>
    <n v="0"/>
    <n v="268.8"/>
    <n v="156.80000000000001"/>
    <n v="0"/>
    <n v="112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826 Dispositivos Médicos de Uso General"/>
    <s v="G/530826/1BA101"/>
    <s v="001"/>
    <n v="0"/>
    <n v="0"/>
    <n v="19.98"/>
    <n v="19.98"/>
    <n v="0"/>
    <n v="0"/>
    <n v="0"/>
    <n v="19.98"/>
    <n v="19.98"/>
    <n v="19.98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0826 Dispositivos Médicos de Uso General"/>
    <s v="G/530826/1AA101"/>
    <s v="002"/>
    <n v="0"/>
    <n v="2153"/>
    <n v="0"/>
    <n v="2153"/>
    <n v="215.04"/>
    <n v="1937.96"/>
    <n v="1937.96"/>
    <n v="215.04"/>
    <n v="215.04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0826 Dispositivos Médicos de Uso General"/>
    <s v="G/530826/1BA101"/>
    <s v="002"/>
    <n v="0"/>
    <n v="78428.160000000003"/>
    <n v="-19.98"/>
    <n v="78408.179999999993"/>
    <n v="0"/>
    <n v="78408.179999999993"/>
    <n v="78408.179999999993"/>
    <n v="0"/>
    <n v="0"/>
    <n v="0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826 Dispositivos Médicos de Uso General"/>
    <s v="G/530826/1PA101"/>
    <s v="001"/>
    <n v="20"/>
    <n v="-20"/>
    <n v="0"/>
    <n v="0"/>
    <n v="0"/>
    <n v="0"/>
    <n v="0"/>
    <n v="0"/>
    <n v="0"/>
    <n v="0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0826 Dispositivos Médicos de Uso General"/>
    <s v="G/530826/1IA101"/>
    <s v="001"/>
    <n v="0"/>
    <n v="600"/>
    <n v="0"/>
    <n v="600"/>
    <n v="463.36"/>
    <n v="136.63999999999999"/>
    <n v="0"/>
    <n v="463.36"/>
    <n v="600"/>
    <n v="0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0827 Uniformes Deportivos"/>
    <s v="G/530827/1IA101"/>
    <s v="001"/>
    <n v="4000"/>
    <n v="0"/>
    <n v="-4000"/>
    <n v="0"/>
    <n v="0"/>
    <n v="0"/>
    <n v="0"/>
    <n v="0"/>
    <n v="0"/>
    <n v="0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0827 Uniformes Deportivos"/>
    <s v="G/530827/1IA101"/>
    <s v="001"/>
    <n v="2000"/>
    <n v="-1200"/>
    <n v="-800"/>
    <n v="0"/>
    <n v="0"/>
    <n v="0"/>
    <n v="0"/>
    <n v="0"/>
    <n v="0"/>
    <n v="0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0832 Dispositivos Médicos para Odontología"/>
    <s v="G/530832/1PA101"/>
    <s v="001"/>
    <n v="400"/>
    <n v="-400"/>
    <n v="0"/>
    <n v="0"/>
    <n v="0"/>
    <n v="0"/>
    <n v="0"/>
    <n v="0"/>
    <n v="0"/>
    <n v="0"/>
  </r>
  <r>
    <s v="53"/>
    <x v="1"/>
    <x v="10"/>
    <s v="JM40I070"/>
    <x v="27"/>
    <s v="A101"/>
    <s v="FORTALECIMIENTO INSTITUCIONAL"/>
    <s v="GC00A10100001D"/>
    <s v="GC00A10100001D GASTOS ADMINISTRATIVOS"/>
    <s v="53 BIENES Y SERVICIOS DE CONSUMO"/>
    <s v="531403 Mobiliario"/>
    <s v="G/531403/1IA101"/>
    <s v="001"/>
    <n v="7001.16"/>
    <n v="0"/>
    <n v="0"/>
    <n v="7001.16"/>
    <n v="6538.56"/>
    <n v="0"/>
    <n v="0"/>
    <n v="7001.16"/>
    <n v="7001.16"/>
    <n v="462.6"/>
  </r>
  <r>
    <s v="53"/>
    <x v="1"/>
    <x v="10"/>
    <s v="EQ13I030"/>
    <x v="35"/>
    <s v="A101"/>
    <s v="FORTALECIMIENTO INSTITUCIONAL"/>
    <s v="GC00A10100001D"/>
    <s v="GC00A10100001D GASTOS ADMINISTRATIVOS"/>
    <s v="53 BIENES Y SERVICIOS DE CONSUMO"/>
    <s v="531403 Mobiliario"/>
    <s v="G/531403/1IA101"/>
    <s v="001"/>
    <n v="500"/>
    <n v="-500"/>
    <n v="0"/>
    <n v="0"/>
    <n v="0"/>
    <n v="0"/>
    <n v="0"/>
    <n v="0"/>
    <n v="0"/>
    <n v="0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1403 Mobiliario"/>
    <s v="G/531403/1MA101"/>
    <s v="001"/>
    <n v="5000"/>
    <n v="-3000"/>
    <n v="0"/>
    <n v="2000"/>
    <n v="0"/>
    <n v="0"/>
    <n v="0"/>
    <n v="2000"/>
    <n v="2000"/>
    <n v="200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1403 Mobiliario"/>
    <s v="G/531403/1AA101"/>
    <s v="001"/>
    <n v="0"/>
    <n v="0"/>
    <n v="78.02"/>
    <n v="78.02"/>
    <n v="0"/>
    <n v="0"/>
    <n v="0"/>
    <n v="78.02"/>
    <n v="78.02"/>
    <n v="78.02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1403 Mobiliario"/>
    <s v="G/531403/1AA101"/>
    <s v="001"/>
    <n v="0"/>
    <n v="0"/>
    <n v="1431.09"/>
    <n v="1431.09"/>
    <n v="80.64"/>
    <n v="1350.45"/>
    <n v="0"/>
    <n v="80.64"/>
    <n v="1431.09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1403 Mobiliario"/>
    <s v="G/531403/1AA101"/>
    <s v="002"/>
    <n v="3000"/>
    <n v="1431.09"/>
    <n v="-4431.09"/>
    <n v="0"/>
    <n v="0"/>
    <n v="0"/>
    <n v="0"/>
    <n v="0"/>
    <n v="0"/>
    <n v="0"/>
  </r>
  <r>
    <s v="53"/>
    <x v="0"/>
    <x v="0"/>
    <s v="RP36A010"/>
    <x v="0"/>
    <s v="A101"/>
    <s v="FORTALECIMIENTO INSTITUCIONAL"/>
    <s v="GC00A10100001D"/>
    <s v="GC00A10100001D GASTOS ADMINISTRATIVOS"/>
    <s v="53 BIENES Y SERVICIOS DE CONSUMO"/>
    <s v="531403 Mobiliario"/>
    <s v="G/531403/1AA101"/>
    <s v="002"/>
    <n v="800"/>
    <n v="340"/>
    <n v="-78.02"/>
    <n v="1061.98"/>
    <n v="1061.98"/>
    <n v="0"/>
    <n v="0"/>
    <n v="1061.98"/>
    <n v="1061.98"/>
    <n v="0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1403 Mobiliario"/>
    <s v="G/531403/1IA101"/>
    <s v="001"/>
    <n v="4000"/>
    <n v="0"/>
    <n v="-4000"/>
    <n v="0"/>
    <n v="0"/>
    <n v="0"/>
    <n v="0"/>
    <n v="0"/>
    <n v="0"/>
    <n v="0"/>
  </r>
  <r>
    <s v="53"/>
    <x v="1"/>
    <x v="10"/>
    <s v="OL41I060"/>
    <x v="29"/>
    <s v="A101"/>
    <s v="FORTALECIMIENTO INSTITUCIONAL"/>
    <s v="GC00A10100001D"/>
    <s v="GC00A10100001D GASTOS ADMINISTRATIVOS"/>
    <s v="53 BIENES Y SERVICIOS DE CONSUMO"/>
    <s v="531403 Mobiliario"/>
    <s v="G/531403/1IA101"/>
    <s v="001"/>
    <n v="1500"/>
    <n v="0"/>
    <n v="0"/>
    <n v="1500"/>
    <n v="0.87"/>
    <n v="1465.13"/>
    <n v="0"/>
    <n v="34.869999999999997"/>
    <n v="1500"/>
    <n v="34"/>
  </r>
  <r>
    <s v="53"/>
    <x v="1"/>
    <x v="10"/>
    <s v="CB21I040"/>
    <x v="17"/>
    <s v="A101"/>
    <s v="FORTALECIMIENTO INSTITUCIONAL"/>
    <s v="GC00A10100001D"/>
    <s v="GC00A10100001D GASTOS ADMINISTRATIVOS"/>
    <s v="53 BIENES Y SERVICIOS DE CONSUMO"/>
    <s v="531404 Maquinarias y Equipos"/>
    <s v="G/531404/1IA101"/>
    <s v="001"/>
    <n v="0"/>
    <n v="700"/>
    <n v="0"/>
    <n v="700"/>
    <n v="463.68"/>
    <n v="0"/>
    <n v="0"/>
    <n v="700"/>
    <n v="700"/>
    <n v="236.32"/>
  </r>
  <r>
    <s v="53"/>
    <x v="2"/>
    <x v="8"/>
    <s v="FS66P020"/>
    <x v="13"/>
    <s v="A101"/>
    <s v="FORTALECIMIENTO INSTITUCIONAL"/>
    <s v="GC00A10100001D"/>
    <s v="GC00A10100001D GASTOS ADMINISTRATIVOS"/>
    <s v="53 BIENES Y SERVICIOS DE CONSUMO"/>
    <s v="531404 Maquinarias y Equipos"/>
    <s v="G/531404/1PA101"/>
    <s v="001"/>
    <n v="70"/>
    <n v="-70"/>
    <n v="0"/>
    <n v="0"/>
    <n v="0"/>
    <n v="0"/>
    <n v="0"/>
    <n v="0"/>
    <n v="0"/>
    <n v="0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1404 Maquinarias y Equipos"/>
    <s v="G/531404/1FA101"/>
    <s v="001"/>
    <n v="100"/>
    <n v="0"/>
    <n v="0"/>
    <n v="100"/>
    <n v="0"/>
    <n v="0"/>
    <n v="0"/>
    <n v="100"/>
    <n v="100"/>
    <n v="10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1404 Maquinarias y Equipos"/>
    <s v="G/531404/1BA101"/>
    <s v="001"/>
    <n v="0"/>
    <n v="0"/>
    <n v="1000"/>
    <n v="1000"/>
    <n v="0"/>
    <n v="0"/>
    <n v="0"/>
    <n v="1000"/>
    <n v="1000"/>
    <n v="100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1404 Maquinarias y Equipos"/>
    <s v="G/531404/1BA101"/>
    <s v="002"/>
    <n v="1000"/>
    <n v="2688"/>
    <n v="-1000"/>
    <n v="2688"/>
    <n v="0"/>
    <n v="2688"/>
    <n v="2688"/>
    <n v="0"/>
    <n v="0"/>
    <n v="0"/>
  </r>
  <r>
    <s v="53"/>
    <x v="1"/>
    <x v="10"/>
    <s v="ES12I020"/>
    <x v="30"/>
    <s v="A101"/>
    <s v="FORTALECIMIENTO INSTITUCIONAL"/>
    <s v="GC00A10100001D"/>
    <s v="GC00A10100001D GASTOS ADMINISTRATIVOS"/>
    <s v="53 BIENES Y SERVICIOS DE CONSUMO"/>
    <s v="531404 Maquinarias y Equipos"/>
    <s v="G/531404/1IA101"/>
    <s v="001"/>
    <n v="0"/>
    <n v="500"/>
    <n v="0"/>
    <n v="500"/>
    <n v="4.08"/>
    <n v="465.92"/>
    <n v="465.92"/>
    <n v="34.08"/>
    <n v="34.08"/>
    <n v="30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1404 Maquinarias y Equipos"/>
    <s v="G/531404/1MA101"/>
    <s v="001"/>
    <n v="2000"/>
    <n v="0"/>
    <n v="0"/>
    <n v="2000"/>
    <n v="0"/>
    <n v="0"/>
    <n v="0"/>
    <n v="2000"/>
    <n v="2000"/>
    <n v="2000"/>
  </r>
  <r>
    <s v="53"/>
    <x v="1"/>
    <x v="10"/>
    <s v="OL41I060"/>
    <x v="29"/>
    <s v="A101"/>
    <s v="FORTALECIMIENTO INSTITUCIONAL"/>
    <s v="GC00A10100001D"/>
    <s v="GC00A10100001D GASTOS ADMINISTRATIVOS"/>
    <s v="53 BIENES Y SERVICIOS DE CONSUMO"/>
    <s v="531404 Maquinarias y Equipos"/>
    <s v="G/531404/1IA101"/>
    <s v="001"/>
    <n v="4000"/>
    <n v="-1120"/>
    <n v="0"/>
    <n v="2880"/>
    <n v="0.8"/>
    <n v="1943.2"/>
    <n v="0"/>
    <n v="936.8"/>
    <n v="2880"/>
    <n v="936"/>
  </r>
  <r>
    <s v="53"/>
    <x v="1"/>
    <x v="2"/>
    <s v="US33M030"/>
    <x v="5"/>
    <s v="A101"/>
    <s v="FORTALECIMIENTO INSTITUCIONAL"/>
    <s v="GC00A10100001D"/>
    <s v="GC00A10100001D GASTOS ADMINISTRATIVOS"/>
    <s v="53 BIENES Y SERVICIOS DE CONSUMO"/>
    <s v="531406 Herramientas y Equipos menores"/>
    <s v="G/531406/1MA101"/>
    <s v="001"/>
    <n v="7000"/>
    <n v="-7000"/>
    <n v="0"/>
    <n v="0"/>
    <n v="0"/>
    <n v="0"/>
    <n v="0"/>
    <n v="0"/>
    <n v="0"/>
    <n v="0"/>
  </r>
  <r>
    <s v="53"/>
    <x v="2"/>
    <x v="7"/>
    <s v="ZN02F020"/>
    <x v="46"/>
    <s v="A101"/>
    <s v="FORTALECIMIENTO INSTITUCIONAL"/>
    <s v="GC00A10100001D"/>
    <s v="GC00A10100001D GASTOS ADMINISTRATIVOS"/>
    <s v="53 BIENES Y SERVICIOS DE CONSUMO"/>
    <s v="531406 Herramientas y Equipos menores"/>
    <s v="G/531406/1FA101"/>
    <s v="001"/>
    <n v="100"/>
    <n v="0"/>
    <n v="0"/>
    <n v="100"/>
    <n v="0"/>
    <n v="0"/>
    <n v="0"/>
    <n v="100"/>
    <n v="100"/>
    <n v="100"/>
  </r>
  <r>
    <s v="53"/>
    <x v="2"/>
    <x v="7"/>
    <s v="ZM04F040"/>
    <x v="41"/>
    <s v="A101"/>
    <s v="FORTALECIMIENTO INSTITUCIONAL"/>
    <s v="GC00A10100001D"/>
    <s v="GC00A10100001D GASTOS ADMINISTRATIVOS"/>
    <s v="53 BIENES Y SERVICIOS DE CONSUMO"/>
    <s v="531406 Herramientas y Equipos menores"/>
    <s v="G/531406/1FA101"/>
    <s v="001"/>
    <n v="0"/>
    <n v="1000"/>
    <n v="0"/>
    <n v="1000"/>
    <n v="0"/>
    <n v="675.32"/>
    <n v="0"/>
    <n v="324.68"/>
    <n v="1000"/>
    <n v="324.68"/>
  </r>
  <r>
    <s v="53"/>
    <x v="1"/>
    <x v="2"/>
    <s v="ZA01M000"/>
    <x v="42"/>
    <s v="A101"/>
    <s v="FORTALECIMIENTO INSTITUCIONAL"/>
    <s v="GC00A10100001D"/>
    <s v="GC00A10100001D GASTOS ADMINISTRATIVOS"/>
    <s v="53 BIENES Y SERVICIOS DE CONSUMO"/>
    <s v="531406 Herramientas y Equipos menores"/>
    <s v="G/531406/1MA101"/>
    <s v="001"/>
    <n v="0"/>
    <n v="560"/>
    <n v="0"/>
    <n v="560"/>
    <n v="184.8"/>
    <n v="0"/>
    <n v="0"/>
    <n v="560"/>
    <n v="560"/>
    <n v="375.2"/>
  </r>
  <r>
    <s v="53"/>
    <x v="2"/>
    <x v="7"/>
    <s v="ZQ08F080"/>
    <x v="44"/>
    <s v="A101"/>
    <s v="FORTALECIMIENTO INSTITUCIONAL"/>
    <s v="GC00A10100001D"/>
    <s v="GC00A10100001D GASTOS ADMINISTRATIVOS"/>
    <s v="53 BIENES Y SERVICIOS DE CONSUMO"/>
    <s v="531407 Equipos, Sistemas y Paquetes Informáticos"/>
    <s v="G/531407/1FA101"/>
    <s v="001"/>
    <n v="0"/>
    <n v="120.96"/>
    <n v="0"/>
    <n v="120.96"/>
    <n v="120.96"/>
    <n v="0"/>
    <n v="0"/>
    <n v="120.96"/>
    <n v="120.96"/>
    <n v="0"/>
  </r>
  <r>
    <s v="53"/>
    <x v="3"/>
    <x v="6"/>
    <s v="AC67Q000"/>
    <x v="9"/>
    <s v="A101"/>
    <s v="FORTALECIMIENTO INSTITUCIONAL"/>
    <s v="GC00A10100001D"/>
    <s v="GC00A10100001D GASTOS ADMINISTRATIVOS"/>
    <s v="53 BIENES Y SERVICIOS DE CONSUMO"/>
    <s v="531407 Equipos, Sistemas y Paquetes Informáticos"/>
    <s v="G/531407/1QA101"/>
    <s v="001"/>
    <n v="0"/>
    <n v="1015.08"/>
    <n v="0"/>
    <n v="1015.08"/>
    <n v="0"/>
    <n v="1014.72"/>
    <n v="1014.72"/>
    <n v="0.36"/>
    <n v="0.36"/>
    <n v="0.36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1407 Equipos, Sistemas y Paquetes Informáticos"/>
    <s v="G/531407/1IA101"/>
    <s v="001"/>
    <n v="1000"/>
    <n v="0"/>
    <n v="-1000"/>
    <n v="0"/>
    <n v="0"/>
    <n v="0"/>
    <n v="0"/>
    <n v="0"/>
    <n v="0"/>
    <n v="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1407 Equipos, Sistemas y Paquetes Informáticos"/>
    <s v="G/531407/1BA101"/>
    <s v="001"/>
    <n v="0"/>
    <n v="0"/>
    <n v="1100"/>
    <n v="1100"/>
    <n v="0"/>
    <n v="0"/>
    <n v="0"/>
    <n v="1100"/>
    <n v="1100"/>
    <n v="1100"/>
  </r>
  <r>
    <s v="53"/>
    <x v="0"/>
    <x v="12"/>
    <s v="MC37B000"/>
    <x v="21"/>
    <s v="A101"/>
    <s v="FORTALECIMIENTO INSTITUCIONAL"/>
    <s v="GC00A10100001D"/>
    <s v="GC00A10100001D GASTOS ADMINISTRATIVOS"/>
    <s v="53 BIENES Y SERVICIOS DE CONSUMO"/>
    <s v="531407 Equipos, Sistemas y Paquetes Informáticos"/>
    <s v="G/531407/1BA101"/>
    <s v="002"/>
    <n v="1100"/>
    <n v="0"/>
    <n v="-1100"/>
    <n v="0"/>
    <n v="0"/>
    <n v="0"/>
    <n v="0"/>
    <n v="0"/>
    <n v="0"/>
    <n v="0"/>
  </r>
  <r>
    <s v="53"/>
    <x v="1"/>
    <x v="10"/>
    <s v="MB42I090"/>
    <x v="28"/>
    <s v="A101"/>
    <s v="FORTALECIMIENTO INSTITUCIONAL"/>
    <s v="GC00A10100001D"/>
    <s v="GC00A10100001D GASTOS ADMINISTRATIVOS"/>
    <s v="53 BIENES Y SERVICIOS DE CONSUMO"/>
    <s v="531409 Libros y Colecciones"/>
    <s v="G/531409/1IA101"/>
    <s v="001"/>
    <n v="2500"/>
    <n v="0"/>
    <n v="-2500"/>
    <n v="0"/>
    <n v="0"/>
    <n v="0"/>
    <n v="0"/>
    <n v="0"/>
    <n v="0"/>
    <n v="0"/>
  </r>
  <r>
    <s v="53"/>
    <x v="2"/>
    <x v="7"/>
    <s v="ZM04F040"/>
    <x v="41"/>
    <s v="A101"/>
    <s v="FORTALECIMIENTO INSTITUCIONAL"/>
    <s v="GC00A10100001D"/>
    <s v="GC00A10100001D GASTOS ADMINISTRATIVOS"/>
    <s v="53 BIENES Y SERVICIOS DE CONSUMO"/>
    <s v="531411 Partes y Repuestos"/>
    <s v="G/531411/1FA101"/>
    <s v="001"/>
    <n v="0"/>
    <n v="450"/>
    <n v="0"/>
    <n v="450"/>
    <n v="0"/>
    <n v="318.62"/>
    <n v="318.62"/>
    <n v="131.38"/>
    <n v="131.38"/>
    <n v="131.38"/>
  </r>
  <r>
    <s v="56"/>
    <x v="0"/>
    <x v="0"/>
    <s v="ZA01A003"/>
    <x v="49"/>
    <s v="A101"/>
    <s v="FORTALECIMIENTO INSTITUCIONAL"/>
    <s v="GC00A10100001D"/>
    <s v="GC00A10100001D GASTOS ADMINISTRATIVOS"/>
    <s v="56 GASTOS FINANCIEROS"/>
    <s v="560201 Sector Público Financiero"/>
    <s v="G/560201/1AA101"/>
    <s v="002"/>
    <n v="1327109.6000000001"/>
    <n v="0"/>
    <n v="-220670.94"/>
    <n v="1106438.6599999999"/>
    <n v="0"/>
    <n v="1106438.6599999999"/>
    <n v="1106438.6599999999"/>
    <n v="0"/>
    <n v="0"/>
    <n v="0"/>
  </r>
  <r>
    <s v="56"/>
    <x v="0"/>
    <x v="0"/>
    <s v="ZA01A003"/>
    <x v="49"/>
    <s v="A101"/>
    <s v="FORTALECIMIENTO INSTITUCIONAL"/>
    <s v="GC00A10100001D"/>
    <s v="GC00A10100001D GASTOS ADMINISTRATIVOS"/>
    <s v="56 GASTOS FINANCIEROS"/>
    <s v="560201 Sector Público Financiero"/>
    <s v="G/560201/1AA101"/>
    <s v="001"/>
    <n v="0"/>
    <n v="0"/>
    <n v="182796.29"/>
    <n v="182796.29"/>
    <n v="0"/>
    <n v="94123.04"/>
    <n v="94123.04"/>
    <n v="88673.25"/>
    <n v="88673.25"/>
    <n v="88673.25"/>
  </r>
  <r>
    <s v="56"/>
    <x v="0"/>
    <x v="0"/>
    <s v="ZA01A003"/>
    <x v="49"/>
    <s v="A101"/>
    <s v="FORTALECIMIENTO INSTITUCIONAL"/>
    <s v="GC00A10100001D"/>
    <s v="GC00A10100001D GASTOS ADMINISTRATIVOS"/>
    <s v="56 GASTOS FINANCIEROS"/>
    <s v="560301 A Organismos Multilaterales"/>
    <s v="G/560301/1AA101"/>
    <s v="001"/>
    <n v="0"/>
    <n v="0"/>
    <n v="11349780.699999999"/>
    <n v="11349780.699999999"/>
    <n v="0"/>
    <n v="0"/>
    <n v="0"/>
    <n v="11349780.699999999"/>
    <n v="11349780.699999999"/>
    <n v="11349780.699999999"/>
  </r>
  <r>
    <s v="56"/>
    <x v="0"/>
    <x v="0"/>
    <s v="ZA01A003"/>
    <x v="49"/>
    <s v="A101"/>
    <s v="FORTALECIMIENTO INSTITUCIONAL"/>
    <s v="GC00A10100001D"/>
    <s v="GC00A10100001D GASTOS ADMINISTRATIVOS"/>
    <s v="56 GASTOS FINANCIEROS"/>
    <s v="560301 A Organismos Multilaterales"/>
    <s v="G/560301/1AA101"/>
    <s v="002"/>
    <n v="45017521.619999997"/>
    <n v="0"/>
    <n v="-21964616.350000001"/>
    <n v="23052905.27"/>
    <n v="0"/>
    <n v="19672080.199999999"/>
    <n v="19672080.199999999"/>
    <n v="3380825.07"/>
    <n v="3380825.07"/>
    <n v="3380825.07"/>
  </r>
  <r>
    <s v="56"/>
    <x v="0"/>
    <x v="0"/>
    <s v="ZA01A003"/>
    <x v="49"/>
    <s v="A101"/>
    <s v="FORTALECIMIENTO INSTITUCIONAL"/>
    <s v="GC00A10100001D"/>
    <s v="GC00A10100001D GASTOS ADMINISTRATIVOS"/>
    <s v="56 GASTOS FINANCIEROS"/>
    <s v="560304 Al Sector Privado No Financiero"/>
    <s v="G/560304/1AA101"/>
    <s v="001"/>
    <n v="0"/>
    <n v="0"/>
    <n v="23000"/>
    <n v="23000"/>
    <n v="0"/>
    <n v="0"/>
    <n v="0"/>
    <n v="23000"/>
    <n v="23000"/>
    <n v="23000"/>
  </r>
  <r>
    <s v="56"/>
    <x v="0"/>
    <x v="0"/>
    <s v="ZA01A003"/>
    <x v="49"/>
    <s v="A101"/>
    <s v="FORTALECIMIENTO INSTITUCIONAL"/>
    <s v="GC00A10100001D"/>
    <s v="GC00A10100001D GASTOS ADMINISTRATIVOS"/>
    <s v="56 GASTOS FINANCIEROS"/>
    <s v="560304 Al Sector Privado No Financiero"/>
    <s v="G/560304/1AA101"/>
    <s v="002"/>
    <n v="1509762"/>
    <n v="0"/>
    <n v="-23000"/>
    <n v="1486762"/>
    <n v="0"/>
    <n v="1486762"/>
    <n v="1486762"/>
    <n v="0"/>
    <n v="0"/>
    <n v="0"/>
  </r>
  <r>
    <s v="57"/>
    <x v="1"/>
    <x v="2"/>
    <s v="UN31M010"/>
    <x v="15"/>
    <s v="A101"/>
    <s v="FORTALECIMIENTO INSTITUCIONAL"/>
    <s v="GC00A10100001D"/>
    <s v="GC00A10100001D GASTOS ADMINISTRATIVOS"/>
    <s v="57 OTROS GASTOS CORRIENTES"/>
    <s v="570102 Tasas Generales, Impuestos, Contribuciones,"/>
    <s v="G/570102/1MA101"/>
    <s v="001"/>
    <n v="5700"/>
    <n v="0"/>
    <n v="0"/>
    <n v="5700"/>
    <n v="0"/>
    <n v="1025.8900000000001"/>
    <n v="705.55"/>
    <n v="4674.1099999999997"/>
    <n v="4994.45"/>
    <n v="4674.1099999999997"/>
  </r>
  <r>
    <s v="57"/>
    <x v="2"/>
    <x v="7"/>
    <s v="ZN02F020"/>
    <x v="46"/>
    <s v="A101"/>
    <s v="FORTALECIMIENTO INSTITUCIONAL"/>
    <s v="GC00A10100001D"/>
    <s v="GC00A10100001D GASTOS ADMINISTRATIVOS"/>
    <s v="57 OTROS GASTOS CORRIENTES"/>
    <s v="570102 Tasas Generales, Impuestos, Contribuciones,"/>
    <s v="G/570102/1FA101"/>
    <s v="001"/>
    <n v="2500"/>
    <n v="0"/>
    <n v="-1628.38"/>
    <n v="871.62"/>
    <n v="0"/>
    <n v="871.62"/>
    <n v="19.8"/>
    <n v="0"/>
    <n v="851.82"/>
    <n v="0"/>
  </r>
  <r>
    <s v="57"/>
    <x v="0"/>
    <x v="0"/>
    <s v="ZA01A003"/>
    <x v="49"/>
    <s v="A101"/>
    <s v="FORTALECIMIENTO INSTITUCIONAL"/>
    <s v="GC00A10100001D"/>
    <s v="GC00A10100001D GASTOS ADMINISTRATIVOS"/>
    <s v="57 OTROS GASTOS CORRIENTES"/>
    <s v="570102 Tasas Generales, Impuestos, Contribuciones,"/>
    <s v="G/570102/1AA101"/>
    <s v="002"/>
    <n v="2400"/>
    <n v="0"/>
    <n v="-2400"/>
    <n v="0"/>
    <n v="0"/>
    <n v="0"/>
    <n v="0"/>
    <n v="0"/>
    <n v="0"/>
    <n v="0"/>
  </r>
  <r>
    <s v="57"/>
    <x v="0"/>
    <x v="0"/>
    <s v="RP36A010"/>
    <x v="0"/>
    <s v="A101"/>
    <s v="FORTALECIMIENTO INSTITUCIONAL"/>
    <s v="GC00A10100001D"/>
    <s v="GC00A10100001D GASTOS ADMINISTRATIVOS"/>
    <s v="57 OTROS GASTOS CORRIENTES"/>
    <s v="570102 Tasas Generales, Impuestos, Contribuciones,"/>
    <s v="G/570102/1AA101"/>
    <s v="001"/>
    <n v="0"/>
    <n v="0"/>
    <n v="0.06"/>
    <n v="0.06"/>
    <n v="0"/>
    <n v="0"/>
    <n v="0"/>
    <n v="0.06"/>
    <n v="0.06"/>
    <n v="0.06"/>
  </r>
  <r>
    <s v="57"/>
    <x v="0"/>
    <x v="0"/>
    <s v="ZA01A001"/>
    <x v="47"/>
    <s v="A101"/>
    <s v="FORTALECIMIENTO INSTITUCIONAL"/>
    <s v="GC00A10100001D"/>
    <s v="GC00A10100001D GASTOS ADMINISTRATIVOS"/>
    <s v="57 OTROS GASTOS CORRIENTES"/>
    <s v="570102 Tasas Generales, Impuestos, Contribuciones,"/>
    <s v="G/570102/1AA101"/>
    <s v="002"/>
    <n v="29000"/>
    <n v="0"/>
    <n v="-14395.67"/>
    <n v="14604.33"/>
    <n v="4541.8999999999996"/>
    <n v="10062.43"/>
    <n v="0"/>
    <n v="4541.8999999999996"/>
    <n v="14604.33"/>
    <n v="0"/>
  </r>
  <r>
    <s v="57"/>
    <x v="2"/>
    <x v="7"/>
    <s v="ZM04F040"/>
    <x v="41"/>
    <s v="A101"/>
    <s v="FORTALECIMIENTO INSTITUCIONAL"/>
    <s v="GC00A10100001D"/>
    <s v="GC00A10100001D GASTOS ADMINISTRATIVOS"/>
    <s v="57 OTROS GASTOS CORRIENTES"/>
    <s v="570102 Tasas Generales, Impuestos, Contribuciones,"/>
    <s v="G/570102/1FA101"/>
    <s v="001"/>
    <n v="2500"/>
    <n v="0"/>
    <n v="0"/>
    <n v="2500"/>
    <n v="0"/>
    <n v="2138.3000000000002"/>
    <n v="2116.4899999999998"/>
    <n v="361.7"/>
    <n v="383.51"/>
    <n v="361.7"/>
  </r>
  <r>
    <s v="57"/>
    <x v="1"/>
    <x v="10"/>
    <s v="CF22I050"/>
    <x v="38"/>
    <s v="A101"/>
    <s v="FORTALECIMIENTO INSTITUCIONAL"/>
    <s v="GC00A10100001D"/>
    <s v="GC00A10100001D GASTOS ADMINISTRATIVOS"/>
    <s v="57 OTROS GASTOS CORRIENTES"/>
    <s v="570102 Tasas Generales, Impuestos, Contribuciones,"/>
    <s v="G/570102/1IA101"/>
    <s v="001"/>
    <n v="500"/>
    <n v="0"/>
    <n v="0"/>
    <n v="500"/>
    <n v="0"/>
    <n v="418.88"/>
    <n v="418.88"/>
    <n v="81.12"/>
    <n v="81.12"/>
    <n v="81.12"/>
  </r>
  <r>
    <s v="57"/>
    <x v="1"/>
    <x v="10"/>
    <s v="MB42I090"/>
    <x v="28"/>
    <s v="A101"/>
    <s v="FORTALECIMIENTO INSTITUCIONAL"/>
    <s v="GC00A10100001D"/>
    <s v="GC00A10100001D GASTOS ADMINISTRATIVOS"/>
    <s v="57 OTROS GASTOS CORRIENTES"/>
    <s v="570102 Tasas Generales, Impuestos, Contribuciones,"/>
    <s v="G/570102/1IA101"/>
    <s v="001"/>
    <n v="300"/>
    <n v="0"/>
    <n v="0"/>
    <n v="300"/>
    <n v="0"/>
    <n v="91.59"/>
    <n v="91.59"/>
    <n v="208.41"/>
    <n v="208.41"/>
    <n v="208.41"/>
  </r>
  <r>
    <s v="57"/>
    <x v="2"/>
    <x v="7"/>
    <s v="ZC09F090"/>
    <x v="10"/>
    <s v="A101"/>
    <s v="FORTALECIMIENTO INSTITUCIONAL"/>
    <s v="GC00A10100001D"/>
    <s v="GC00A10100001D GASTOS ADMINISTRATIVOS"/>
    <s v="57 OTROS GASTOS CORRIENTES"/>
    <s v="570102 Tasas Generales, Impuestos, Contribuciones,"/>
    <s v="G/570102/1FA101"/>
    <s v="001"/>
    <n v="2500"/>
    <n v="2000"/>
    <n v="0"/>
    <n v="4500"/>
    <n v="0"/>
    <n v="3538.25"/>
    <n v="2142.7199999999998"/>
    <n v="961.75"/>
    <n v="2357.2800000000002"/>
    <n v="961.75"/>
  </r>
  <r>
    <s v="57"/>
    <x v="1"/>
    <x v="10"/>
    <s v="SF43I080"/>
    <x v="34"/>
    <s v="A101"/>
    <s v="FORTALECIMIENTO INSTITUCIONAL"/>
    <s v="GC00A10100001D"/>
    <s v="GC00A10100001D GASTOS ADMINISTRATIVOS"/>
    <s v="57 OTROS GASTOS CORRIENTES"/>
    <s v="570102 Tasas Generales, Impuestos, Contribuciones,"/>
    <s v="G/570102/1IA101"/>
    <s v="001"/>
    <n v="0"/>
    <n v="188.78"/>
    <n v="0"/>
    <n v="188.78"/>
    <n v="0"/>
    <n v="188.78"/>
    <n v="188.78"/>
    <n v="0"/>
    <n v="0"/>
    <n v="0"/>
  </r>
  <r>
    <s v="57"/>
    <x v="2"/>
    <x v="3"/>
    <s v="AT69K040"/>
    <x v="16"/>
    <s v="A101"/>
    <s v="FORTALECIMIENTO INSTITUCIONAL"/>
    <s v="GC00A10100001D"/>
    <s v="GC00A10100001D GASTOS ADMINISTRATIVOS"/>
    <s v="57 OTROS GASTOS CORRIENTES"/>
    <s v="570102 Tasas Generales, Impuestos, Contribuciones,"/>
    <s v="G/570102/1KA101"/>
    <s v="001"/>
    <n v="0"/>
    <n v="108800"/>
    <n v="0"/>
    <n v="108800"/>
    <n v="0"/>
    <n v="80070.94"/>
    <n v="62037.75"/>
    <n v="28729.06"/>
    <n v="46762.25"/>
    <n v="28729.06"/>
  </r>
  <r>
    <s v="57"/>
    <x v="2"/>
    <x v="7"/>
    <s v="ZD07F070"/>
    <x v="43"/>
    <s v="A101"/>
    <s v="FORTALECIMIENTO INSTITUCIONAL"/>
    <s v="GC00A10100001D"/>
    <s v="GC00A10100001D GASTOS ADMINISTRATIVOS"/>
    <s v="57 OTROS GASTOS CORRIENTES"/>
    <s v="570102 Tasas Generales, Impuestos, Contribuciones,"/>
    <s v="G/570102/1FA101"/>
    <s v="001"/>
    <n v="1400"/>
    <n v="1000"/>
    <n v="0"/>
    <n v="2400"/>
    <n v="0"/>
    <n v="1473"/>
    <n v="1202.46"/>
    <n v="927"/>
    <n v="1197.54"/>
    <n v="927"/>
  </r>
  <r>
    <s v="57"/>
    <x v="3"/>
    <x v="6"/>
    <s v="AC67Q000"/>
    <x v="9"/>
    <s v="A101"/>
    <s v="FORTALECIMIENTO INSTITUCIONAL"/>
    <s v="GC00A10100001D"/>
    <s v="GC00A10100001D GASTOS ADMINISTRATIVOS"/>
    <s v="57 OTROS GASTOS CORRIENTES"/>
    <s v="570102 Tasas Generales, Impuestos, Contribuciones,"/>
    <s v="G/570102/1QA101"/>
    <s v="001"/>
    <n v="2000"/>
    <n v="-26"/>
    <n v="0"/>
    <n v="1974"/>
    <n v="0"/>
    <n v="1235.8499999999999"/>
    <n v="1235.8499999999999"/>
    <n v="738.15"/>
    <n v="738.15"/>
    <n v="738.15"/>
  </r>
  <r>
    <s v="57"/>
    <x v="1"/>
    <x v="10"/>
    <s v="ES12I020"/>
    <x v="30"/>
    <s v="A101"/>
    <s v="FORTALECIMIENTO INSTITUCIONAL"/>
    <s v="GC00A10100001D"/>
    <s v="GC00A10100001D GASTOS ADMINISTRATIVOS"/>
    <s v="57 OTROS GASTOS CORRIENTES"/>
    <s v="570102 Tasas Generales, Impuestos, Contribuciones,"/>
    <s v="G/570102/1IA101"/>
    <s v="001"/>
    <n v="1000"/>
    <n v="0"/>
    <n v="0"/>
    <n v="1000"/>
    <n v="0"/>
    <n v="282.60000000000002"/>
    <n v="0"/>
    <n v="717.4"/>
    <n v="1000"/>
    <n v="717.4"/>
  </r>
  <r>
    <s v="57"/>
    <x v="1"/>
    <x v="10"/>
    <s v="CB21I040"/>
    <x v="17"/>
    <s v="A101"/>
    <s v="FORTALECIMIENTO INSTITUCIONAL"/>
    <s v="GC00A10100001D"/>
    <s v="GC00A10100001D GASTOS ADMINISTRATIVOS"/>
    <s v="57 OTROS GASTOS CORRIENTES"/>
    <s v="570102 Tasas Generales, Impuestos, Contribuciones,"/>
    <s v="G/570102/1IA101"/>
    <s v="001"/>
    <n v="1000"/>
    <n v="0"/>
    <n v="-193.33"/>
    <n v="806.67"/>
    <n v="0"/>
    <n v="806.67"/>
    <n v="806.67"/>
    <n v="0"/>
    <n v="0"/>
    <n v="0"/>
  </r>
  <r>
    <s v="57"/>
    <x v="2"/>
    <x v="8"/>
    <s v="FS66P020"/>
    <x v="13"/>
    <s v="A101"/>
    <s v="FORTALECIMIENTO INSTITUCIONAL"/>
    <s v="GC00A10100001D"/>
    <s v="GC00A10100001D GASTOS ADMINISTRATIVOS"/>
    <s v="57 OTROS GASTOS CORRIENTES"/>
    <s v="570102 Tasas Generales, Impuestos, Contribuciones,"/>
    <s v="G/570102/1PA101"/>
    <s v="001"/>
    <n v="2500"/>
    <n v="-37.67"/>
    <n v="0"/>
    <n v="2462.33"/>
    <n v="0"/>
    <n v="2434.42"/>
    <n v="2424.64"/>
    <n v="27.91"/>
    <n v="37.69"/>
    <n v="27.91"/>
  </r>
  <r>
    <s v="57"/>
    <x v="1"/>
    <x v="2"/>
    <s v="US33M030"/>
    <x v="5"/>
    <s v="A101"/>
    <s v="FORTALECIMIENTO INSTITUCIONAL"/>
    <s v="GC00A10100001D"/>
    <s v="GC00A10100001D GASTOS ADMINISTRATIVOS"/>
    <s v="57 OTROS GASTOS CORRIENTES"/>
    <s v="570102 Tasas Generales, Impuestos, Contribuciones,"/>
    <s v="G/570102/1MA101"/>
    <s v="001"/>
    <n v="5000"/>
    <n v="-2500"/>
    <n v="0"/>
    <n v="2500"/>
    <n v="0"/>
    <n v="1679.2"/>
    <n v="0"/>
    <n v="820.8"/>
    <n v="2500"/>
    <n v="820.8"/>
  </r>
  <r>
    <s v="57"/>
    <x v="2"/>
    <x v="7"/>
    <s v="ZS03F030"/>
    <x v="45"/>
    <s v="A101"/>
    <s v="FORTALECIMIENTO INSTITUCIONAL"/>
    <s v="GC00A10100001D"/>
    <s v="GC00A10100001D GASTOS ADMINISTRATIVOS"/>
    <s v="57 OTROS GASTOS CORRIENTES"/>
    <s v="570102 Tasas Generales, Impuestos, Contribuciones,"/>
    <s v="G/570102/1FA101"/>
    <s v="001"/>
    <n v="4000"/>
    <n v="0"/>
    <n v="0"/>
    <n v="4000"/>
    <n v="1240"/>
    <n v="2760"/>
    <n v="0"/>
    <n v="1240"/>
    <n v="4000"/>
    <n v="0"/>
  </r>
  <r>
    <s v="57"/>
    <x v="0"/>
    <x v="0"/>
    <s v="RP36A010"/>
    <x v="0"/>
    <s v="A101"/>
    <s v="FORTALECIMIENTO INSTITUCIONAL"/>
    <s v="GC00A10100001D"/>
    <s v="GC00A10100001D GASTOS ADMINISTRATIVOS"/>
    <s v="57 OTROS GASTOS CORRIENTES"/>
    <s v="570102 Tasas Generales, Impuestos, Contribuciones,"/>
    <s v="G/570102/1AA101"/>
    <s v="002"/>
    <n v="100"/>
    <n v="19.02"/>
    <n v="-0.06"/>
    <n v="118.96"/>
    <n v="0"/>
    <n v="118.96"/>
    <n v="118.96"/>
    <n v="0"/>
    <n v="0"/>
    <n v="0"/>
  </r>
  <r>
    <s v="57"/>
    <x v="0"/>
    <x v="12"/>
    <s v="MC37B000"/>
    <x v="21"/>
    <s v="A101"/>
    <s v="FORTALECIMIENTO INSTITUCIONAL"/>
    <s v="GC00A10100001D"/>
    <s v="GC00A10100001D GASTOS ADMINISTRATIVOS"/>
    <s v="57 OTROS GASTOS CORRIENTES"/>
    <s v="570102 Tasas Generales, Impuestos, Contribuciones,"/>
    <s v="G/570102/1BA101"/>
    <s v="002"/>
    <n v="800"/>
    <n v="1500"/>
    <n v="-709.12"/>
    <n v="1590.88"/>
    <n v="0"/>
    <n v="1590.88"/>
    <n v="505.23"/>
    <n v="0"/>
    <n v="1085.6500000000001"/>
    <n v="0"/>
  </r>
  <r>
    <s v="57"/>
    <x v="0"/>
    <x v="12"/>
    <s v="MC37B000"/>
    <x v="21"/>
    <s v="A101"/>
    <s v="FORTALECIMIENTO INSTITUCIONAL"/>
    <s v="GC00A10100001D"/>
    <s v="GC00A10100001D GASTOS ADMINISTRATIVOS"/>
    <s v="57 OTROS GASTOS CORRIENTES"/>
    <s v="570102 Tasas Generales, Impuestos, Contribuciones,"/>
    <s v="G/570102/1BA101"/>
    <s v="001"/>
    <n v="0"/>
    <n v="0"/>
    <n v="709.12"/>
    <n v="709.12"/>
    <n v="0"/>
    <n v="0"/>
    <n v="0"/>
    <n v="709.12"/>
    <n v="709.12"/>
    <n v="709.12"/>
  </r>
  <r>
    <s v="57"/>
    <x v="2"/>
    <x v="7"/>
    <s v="ZT06F060"/>
    <x v="40"/>
    <s v="A101"/>
    <s v="FORTALECIMIENTO INSTITUCIONAL"/>
    <s v="GC00A10100001D"/>
    <s v="GC00A10100001D GASTOS ADMINISTRATIVOS"/>
    <s v="57 OTROS GASTOS CORRIENTES"/>
    <s v="570102 Tasas Generales, Impuestos, Contribuciones,"/>
    <s v="G/570102/1FA101"/>
    <s v="001"/>
    <n v="1000"/>
    <n v="0"/>
    <n v="0"/>
    <n v="1000"/>
    <n v="0"/>
    <n v="766.81"/>
    <n v="766.81"/>
    <n v="233.19"/>
    <n v="233.19"/>
    <n v="233.19"/>
  </r>
  <r>
    <s v="57"/>
    <x v="0"/>
    <x v="0"/>
    <s v="ZA01A001"/>
    <x v="47"/>
    <s v="A101"/>
    <s v="FORTALECIMIENTO INSTITUCIONAL"/>
    <s v="GC00A10100001D"/>
    <s v="GC00A10100001D GASTOS ADMINISTRATIVOS"/>
    <s v="57 OTROS GASTOS CORRIENTES"/>
    <s v="570102 Tasas Generales, Impuestos, Contribuciones,"/>
    <s v="G/570102/1AA101"/>
    <s v="001"/>
    <n v="0"/>
    <n v="0"/>
    <n v="0.1"/>
    <n v="0.1"/>
    <n v="0"/>
    <n v="0"/>
    <n v="0"/>
    <n v="0.1"/>
    <n v="0.1"/>
    <n v="0.1"/>
  </r>
  <r>
    <s v="57"/>
    <x v="2"/>
    <x v="7"/>
    <s v="ZV05F050"/>
    <x v="39"/>
    <s v="A101"/>
    <s v="FORTALECIMIENTO INSTITUCIONAL"/>
    <s v="GC00A10100001D"/>
    <s v="GC00A10100001D GASTOS ADMINISTRATIVOS"/>
    <s v="57 OTROS GASTOS CORRIENTES"/>
    <s v="570102 Tasas Generales, Impuestos, Contribuciones,"/>
    <s v="G/570102/1FA101"/>
    <s v="001"/>
    <n v="6500"/>
    <n v="-1835.12"/>
    <n v="0"/>
    <n v="4664.88"/>
    <n v="0"/>
    <n v="4664.76"/>
    <n v="2017.19"/>
    <n v="0.12"/>
    <n v="2647.69"/>
    <n v="0.12"/>
  </r>
  <r>
    <s v="57"/>
    <x v="2"/>
    <x v="7"/>
    <s v="TM68F100"/>
    <x v="36"/>
    <s v="A101"/>
    <s v="FORTALECIMIENTO INSTITUCIONAL"/>
    <s v="GC00A10100001D"/>
    <s v="GC00A10100001D GASTOS ADMINISTRATIVOS"/>
    <s v="57 OTROS GASTOS CORRIENTES"/>
    <s v="570102 Tasas Generales, Impuestos, Contribuciones,"/>
    <s v="G/570102/1FA101"/>
    <s v="001"/>
    <n v="0"/>
    <n v="109.19"/>
    <n v="0"/>
    <n v="109.19"/>
    <n v="0"/>
    <n v="109.19"/>
    <n v="109.19"/>
    <n v="0"/>
    <n v="0"/>
    <n v="0"/>
  </r>
  <r>
    <s v="57"/>
    <x v="2"/>
    <x v="7"/>
    <s v="ZQ08F080"/>
    <x v="44"/>
    <s v="A101"/>
    <s v="FORTALECIMIENTO INSTITUCIONAL"/>
    <s v="GC00A10100001D"/>
    <s v="GC00A10100001D GASTOS ADMINISTRATIVOS"/>
    <s v="57 OTROS GASTOS CORRIENTES"/>
    <s v="570102 Tasas Generales, Impuestos, Contribuciones,"/>
    <s v="G/570102/1FA101"/>
    <s v="001"/>
    <n v="0"/>
    <n v="3646.58"/>
    <n v="0"/>
    <n v="3646.58"/>
    <n v="297.89999999999998"/>
    <n v="2645.62"/>
    <n v="1504.96"/>
    <n v="1000.96"/>
    <n v="2141.62"/>
    <n v="703.06"/>
  </r>
  <r>
    <s v="57"/>
    <x v="0"/>
    <x v="0"/>
    <s v="ZA01A001"/>
    <x v="47"/>
    <s v="A101"/>
    <s v="FORTALECIMIENTO INSTITUCIONAL"/>
    <s v="GC00A10100001D"/>
    <s v="GC00A10100001D GASTOS ADMINISTRATIVOS"/>
    <s v="57 OTROS GASTOS CORRIENTES"/>
    <s v="570201 Seguros"/>
    <s v="G/570201/1AA101"/>
    <s v="001"/>
    <n v="0"/>
    <n v="0"/>
    <n v="4950.5600000000004"/>
    <n v="4950.5600000000004"/>
    <n v="0"/>
    <n v="0"/>
    <n v="0"/>
    <n v="4950.5600000000004"/>
    <n v="4950.5600000000004"/>
    <n v="4950.5600000000004"/>
  </r>
  <r>
    <s v="57"/>
    <x v="0"/>
    <x v="0"/>
    <s v="ZA01A001"/>
    <x v="47"/>
    <s v="A101"/>
    <s v="FORTALECIMIENTO INSTITUCIONAL"/>
    <s v="GC00A10100001D"/>
    <s v="GC00A10100001D GASTOS ADMINISTRATIVOS"/>
    <s v="57 OTROS GASTOS CORRIENTES"/>
    <s v="570201 Seguros"/>
    <s v="G/570201/1AA101"/>
    <s v="002"/>
    <n v="2175000"/>
    <n v="-29431.09"/>
    <n v="-504950.56"/>
    <n v="1640618.35"/>
    <n v="6270.93"/>
    <n v="1634347.42"/>
    <n v="1602826.87"/>
    <n v="6270.93"/>
    <n v="37791.480000000003"/>
    <n v="0"/>
  </r>
  <r>
    <s v="57"/>
    <x v="2"/>
    <x v="9"/>
    <s v="PM71N010"/>
    <x v="20"/>
    <s v="A101"/>
    <s v="FORTALECIMIENTO INSTITUCIONAL"/>
    <s v="GC00A10100001D"/>
    <s v="GC00A10100001D GASTOS ADMINISTRATIVOS"/>
    <s v="57 OTROS GASTOS CORRIENTES"/>
    <s v="570201 Seguros"/>
    <s v="G/570201/1NA101"/>
    <s v="001"/>
    <n v="4000"/>
    <n v="0"/>
    <n v="0"/>
    <n v="4000"/>
    <n v="0"/>
    <n v="940"/>
    <n v="940"/>
    <n v="3060"/>
    <n v="3060"/>
    <n v="3060"/>
  </r>
  <r>
    <s v="57"/>
    <x v="2"/>
    <x v="7"/>
    <s v="ZM04F040"/>
    <x v="41"/>
    <s v="A101"/>
    <s v="FORTALECIMIENTO INSTITUCIONAL"/>
    <s v="GC00A10100001D"/>
    <s v="GC00A10100001D GASTOS ADMINISTRATIVOS"/>
    <s v="57 OTROS GASTOS CORRIENTES"/>
    <s v="570203 Comisiones Bancarias"/>
    <s v="G/570203/1FA101"/>
    <s v="001"/>
    <n v="170"/>
    <n v="0"/>
    <n v="0"/>
    <n v="170"/>
    <n v="0"/>
    <n v="48"/>
    <n v="0"/>
    <n v="122"/>
    <n v="170"/>
    <n v="122"/>
  </r>
  <r>
    <s v="57"/>
    <x v="2"/>
    <x v="7"/>
    <s v="ZN02F020"/>
    <x v="46"/>
    <s v="A101"/>
    <s v="FORTALECIMIENTO INSTITUCIONAL"/>
    <s v="GC00A10100001D"/>
    <s v="GC00A10100001D GASTOS ADMINISTRATIVOS"/>
    <s v="57 OTROS GASTOS CORRIENTES"/>
    <s v="570203 Comisiones Bancarias"/>
    <s v="G/570203/1FA101"/>
    <s v="001"/>
    <n v="200"/>
    <n v="0"/>
    <n v="0"/>
    <n v="200"/>
    <n v="0"/>
    <n v="200"/>
    <n v="54.6"/>
    <n v="0"/>
    <n v="145.4"/>
    <n v="0"/>
  </r>
  <r>
    <s v="57"/>
    <x v="2"/>
    <x v="7"/>
    <s v="ZD07F070"/>
    <x v="43"/>
    <s v="A101"/>
    <s v="FORTALECIMIENTO INSTITUCIONAL"/>
    <s v="GC00A10100001D"/>
    <s v="GC00A10100001D GASTOS ADMINISTRATIVOS"/>
    <s v="57 OTROS GASTOS CORRIENTES"/>
    <s v="570203 Comisiones Bancarias"/>
    <s v="G/570203/1FA101"/>
    <s v="001"/>
    <n v="100"/>
    <n v="200"/>
    <n v="-268.2"/>
    <n v="31.8"/>
    <n v="0"/>
    <n v="31.8"/>
    <n v="31.8"/>
    <n v="0"/>
    <n v="0"/>
    <n v="0"/>
  </r>
  <r>
    <s v="57"/>
    <x v="0"/>
    <x v="12"/>
    <s v="MC37B000"/>
    <x v="21"/>
    <s v="A101"/>
    <s v="FORTALECIMIENTO INSTITUCIONAL"/>
    <s v="GC00A10100001D"/>
    <s v="GC00A10100001D GASTOS ADMINISTRATIVOS"/>
    <s v="57 OTROS GASTOS CORRIENTES"/>
    <s v="570203 Comisiones Bancarias"/>
    <s v="G/570203/1BA101"/>
    <s v="001"/>
    <n v="0"/>
    <n v="0"/>
    <n v="5.2"/>
    <n v="5.2"/>
    <n v="0"/>
    <n v="0"/>
    <n v="0"/>
    <n v="5.2"/>
    <n v="5.2"/>
    <n v="5.2"/>
  </r>
  <r>
    <s v="57"/>
    <x v="3"/>
    <x v="6"/>
    <s v="AC67Q000"/>
    <x v="9"/>
    <s v="A101"/>
    <s v="FORTALECIMIENTO INSTITUCIONAL"/>
    <s v="GC00A10100001D"/>
    <s v="GC00A10100001D GASTOS ADMINISTRATIVOS"/>
    <s v="57 OTROS GASTOS CORRIENTES"/>
    <s v="570203 Comisiones Bancarias"/>
    <s v="G/570203/1QA101"/>
    <s v="001"/>
    <n v="0"/>
    <n v="26"/>
    <n v="0"/>
    <n v="26"/>
    <n v="0"/>
    <n v="8.4"/>
    <n v="8.4"/>
    <n v="17.600000000000001"/>
    <n v="17.600000000000001"/>
    <n v="17.600000000000001"/>
  </r>
  <r>
    <s v="57"/>
    <x v="0"/>
    <x v="0"/>
    <s v="ZA01A003"/>
    <x v="49"/>
    <s v="A101"/>
    <s v="FORTALECIMIENTO INSTITUCIONAL"/>
    <s v="GC00A10100001D"/>
    <s v="GC00A10100001D GASTOS ADMINISTRATIVOS"/>
    <s v="57 OTROS GASTOS CORRIENTES"/>
    <s v="570203 Comisiones Bancarias"/>
    <s v="G/570203/1AA101"/>
    <s v="001"/>
    <n v="0"/>
    <n v="0"/>
    <n v="689388.9"/>
    <n v="689388.9"/>
    <n v="0"/>
    <n v="4810.29"/>
    <n v="4810.29"/>
    <n v="684578.61"/>
    <n v="684578.61"/>
    <n v="684578.61"/>
  </r>
  <r>
    <s v="57"/>
    <x v="2"/>
    <x v="7"/>
    <s v="ZC09F090"/>
    <x v="10"/>
    <s v="A101"/>
    <s v="FORTALECIMIENTO INSTITUCIONAL"/>
    <s v="GC00A10100001D"/>
    <s v="GC00A10100001D GASTOS ADMINISTRATIVOS"/>
    <s v="57 OTROS GASTOS CORRIENTES"/>
    <s v="570203 Comisiones Bancarias"/>
    <s v="G/570203/1FA101"/>
    <s v="001"/>
    <n v="100"/>
    <n v="0"/>
    <n v="0"/>
    <n v="100"/>
    <n v="0"/>
    <n v="34.200000000000003"/>
    <n v="0"/>
    <n v="65.8"/>
    <n v="100"/>
    <n v="65.8"/>
  </r>
  <r>
    <s v="57"/>
    <x v="2"/>
    <x v="7"/>
    <s v="ZT06F060"/>
    <x v="40"/>
    <s v="A101"/>
    <s v="FORTALECIMIENTO INSTITUCIONAL"/>
    <s v="GC00A10100001D"/>
    <s v="GC00A10100001D GASTOS ADMINISTRATIVOS"/>
    <s v="57 OTROS GASTOS CORRIENTES"/>
    <s v="570203 Comisiones Bancarias"/>
    <s v="G/570203/1FA101"/>
    <s v="001"/>
    <n v="100"/>
    <n v="0"/>
    <n v="0"/>
    <n v="100"/>
    <n v="0"/>
    <n v="0"/>
    <n v="0"/>
    <n v="100"/>
    <n v="100"/>
    <n v="100"/>
  </r>
  <r>
    <s v="57"/>
    <x v="2"/>
    <x v="8"/>
    <s v="FS66P020"/>
    <x v="13"/>
    <s v="A101"/>
    <s v="FORTALECIMIENTO INSTITUCIONAL"/>
    <s v="GC00A10100001D"/>
    <s v="GC00A10100001D GASTOS ADMINISTRATIVOS"/>
    <s v="57 OTROS GASTOS CORRIENTES"/>
    <s v="570203 Comisiones Bancarias"/>
    <s v="G/570203/1PA101"/>
    <s v="001"/>
    <n v="20"/>
    <n v="0"/>
    <n v="0"/>
    <n v="20"/>
    <n v="0"/>
    <n v="2.42"/>
    <n v="2.41"/>
    <n v="17.579999999999998"/>
    <n v="17.59"/>
    <n v="17.579999999999998"/>
  </r>
  <r>
    <s v="57"/>
    <x v="2"/>
    <x v="3"/>
    <s v="AT69K040"/>
    <x v="16"/>
    <s v="A101"/>
    <s v="FORTALECIMIENTO INSTITUCIONAL"/>
    <s v="GC00A10100001D"/>
    <s v="GC00A10100001D GASTOS ADMINISTRATIVOS"/>
    <s v="57 OTROS GASTOS CORRIENTES"/>
    <s v="570203 Comisiones Bancarias"/>
    <s v="G/570203/1KA101"/>
    <s v="001"/>
    <n v="0"/>
    <n v="500"/>
    <n v="0"/>
    <n v="500"/>
    <n v="0"/>
    <n v="3.3"/>
    <n v="3.3"/>
    <n v="496.7"/>
    <n v="496.7"/>
    <n v="496.7"/>
  </r>
  <r>
    <s v="57"/>
    <x v="0"/>
    <x v="0"/>
    <s v="RP36A010"/>
    <x v="0"/>
    <s v="A101"/>
    <s v="FORTALECIMIENTO INSTITUCIONAL"/>
    <s v="GC00A10100001D"/>
    <s v="GC00A10100001D GASTOS ADMINISTRATIVOS"/>
    <s v="57 OTROS GASTOS CORRIENTES"/>
    <s v="570203 Comisiones Bancarias"/>
    <s v="G/570203/1AA101"/>
    <s v="001"/>
    <n v="0"/>
    <n v="0"/>
    <n v="237.6"/>
    <n v="237.6"/>
    <n v="0"/>
    <n v="0"/>
    <n v="0"/>
    <n v="237.6"/>
    <n v="237.6"/>
    <n v="237.6"/>
  </r>
  <r>
    <s v="57"/>
    <x v="0"/>
    <x v="12"/>
    <s v="MC37B000"/>
    <x v="21"/>
    <s v="A101"/>
    <s v="FORTALECIMIENTO INSTITUCIONAL"/>
    <s v="GC00A10100001D"/>
    <s v="GC00A10100001D GASTOS ADMINISTRATIVOS"/>
    <s v="57 OTROS GASTOS CORRIENTES"/>
    <s v="570203 Comisiones Bancarias"/>
    <s v="G/570203/1BA101"/>
    <s v="002"/>
    <n v="0"/>
    <n v="25"/>
    <n v="-5.2"/>
    <n v="19.8"/>
    <n v="0"/>
    <n v="19.8"/>
    <n v="5.7"/>
    <n v="0"/>
    <n v="14.1"/>
    <n v="0"/>
  </r>
  <r>
    <s v="57"/>
    <x v="2"/>
    <x v="7"/>
    <s v="ZS03F030"/>
    <x v="45"/>
    <s v="A101"/>
    <s v="FORTALECIMIENTO INSTITUCIONAL"/>
    <s v="GC00A10100001D"/>
    <s v="GC00A10100001D GASTOS ADMINISTRATIVOS"/>
    <s v="57 OTROS GASTOS CORRIENTES"/>
    <s v="570203 Comisiones Bancarias"/>
    <s v="G/570203/1FA101"/>
    <s v="001"/>
    <n v="100"/>
    <n v="0"/>
    <n v="-100"/>
    <n v="0"/>
    <n v="0"/>
    <n v="0"/>
    <n v="0"/>
    <n v="0"/>
    <n v="0"/>
    <n v="0"/>
  </r>
  <r>
    <s v="57"/>
    <x v="1"/>
    <x v="2"/>
    <s v="US33M030"/>
    <x v="5"/>
    <s v="A101"/>
    <s v="FORTALECIMIENTO INSTITUCIONAL"/>
    <s v="GC00A10100001D"/>
    <s v="GC00A10100001D GASTOS ADMINISTRATIVOS"/>
    <s v="57 OTROS GASTOS CORRIENTES"/>
    <s v="570203 Comisiones Bancarias"/>
    <s v="G/570203/1MA101"/>
    <s v="001"/>
    <n v="550"/>
    <n v="0"/>
    <n v="0"/>
    <n v="550"/>
    <n v="0"/>
    <n v="0"/>
    <n v="0"/>
    <n v="550"/>
    <n v="550"/>
    <n v="550"/>
  </r>
  <r>
    <s v="57"/>
    <x v="0"/>
    <x v="0"/>
    <s v="RP36A010"/>
    <x v="0"/>
    <s v="A101"/>
    <s v="FORTALECIMIENTO INSTITUCIONAL"/>
    <s v="GC00A10100001D"/>
    <s v="GC00A10100001D GASTOS ADMINISTRATIVOS"/>
    <s v="57 OTROS GASTOS CORRIENTES"/>
    <s v="570203 Comisiones Bancarias"/>
    <s v="G/570203/1AA101"/>
    <s v="002"/>
    <n v="500"/>
    <n v="-170"/>
    <n v="-237.6"/>
    <n v="92.4"/>
    <n v="0"/>
    <n v="92.4"/>
    <n v="73.2"/>
    <n v="0"/>
    <n v="19.2"/>
    <n v="0"/>
  </r>
  <r>
    <s v="57"/>
    <x v="0"/>
    <x v="0"/>
    <s v="ZA01A003"/>
    <x v="49"/>
    <s v="A101"/>
    <s v="FORTALECIMIENTO INSTITUCIONAL"/>
    <s v="GC00A10100001D"/>
    <s v="GC00A10100001D GASTOS ADMINISTRATIVOS"/>
    <s v="57 OTROS GASTOS CORRIENTES"/>
    <s v="570203 Comisiones Bancarias"/>
    <s v="G/570203/1AA101"/>
    <s v="002"/>
    <n v="781922.17"/>
    <n v="0"/>
    <n v="-367219.66"/>
    <n v="414702.51"/>
    <n v="0"/>
    <n v="397298.28"/>
    <n v="372116.36"/>
    <n v="17404.23"/>
    <n v="42586.15"/>
    <n v="17404.23"/>
  </r>
  <r>
    <s v="57"/>
    <x v="1"/>
    <x v="2"/>
    <s v="UN31M010"/>
    <x v="15"/>
    <s v="A101"/>
    <s v="FORTALECIMIENTO INSTITUCIONAL"/>
    <s v="GC00A10100001D"/>
    <s v="GC00A10100001D GASTOS ADMINISTRATIVOS"/>
    <s v="57 OTROS GASTOS CORRIENTES"/>
    <s v="570203 Comisiones Bancarias"/>
    <s v="G/570203/1MA101"/>
    <s v="001"/>
    <n v="100"/>
    <n v="0"/>
    <n v="0"/>
    <n v="100"/>
    <n v="0"/>
    <n v="12.21"/>
    <n v="10.5"/>
    <n v="87.79"/>
    <n v="89.5"/>
    <n v="87.79"/>
  </r>
  <r>
    <s v="57"/>
    <x v="2"/>
    <x v="3"/>
    <s v="AT69K040"/>
    <x v="16"/>
    <s v="A101"/>
    <s v="FORTALECIMIENTO INSTITUCIONAL"/>
    <s v="GC00A10100001D"/>
    <s v="GC00A10100001D GASTOS ADMINISTRATIVOS"/>
    <s v="57 OTROS GASTOS CORRIENTES"/>
    <s v="570206 Costas Judiciales, Trámites Notariales, Leg"/>
    <s v="G/570206/1KA101"/>
    <s v="001"/>
    <n v="0"/>
    <n v="6000"/>
    <n v="0"/>
    <n v="6000"/>
    <n v="4425.97"/>
    <n v="1574.03"/>
    <n v="0"/>
    <n v="4425.97"/>
    <n v="6000"/>
    <n v="0"/>
  </r>
  <r>
    <s v="57"/>
    <x v="0"/>
    <x v="0"/>
    <s v="ZA01A008"/>
    <x v="51"/>
    <s v="A101"/>
    <s v="FORTALECIMIENTO INSTITUCIONAL"/>
    <s v="GC00A10100001D"/>
    <s v="GC00A10100001D GASTOS ADMINISTRATIVOS"/>
    <s v="57 OTROS GASTOS CORRIENTES"/>
    <s v="570206 Costas Judiciales, Trámites Notariales, Leg"/>
    <s v="G/570206/1AA101"/>
    <s v="002"/>
    <n v="10500"/>
    <n v="0"/>
    <n v="-500"/>
    <n v="10000"/>
    <n v="0"/>
    <n v="10000"/>
    <n v="7612.15"/>
    <n v="0"/>
    <n v="2387.85"/>
    <n v="0"/>
  </r>
  <r>
    <s v="57"/>
    <x v="0"/>
    <x v="0"/>
    <s v="RP36A010"/>
    <x v="0"/>
    <s v="A101"/>
    <s v="FORTALECIMIENTO INSTITUCIONAL"/>
    <s v="GC00A10100001D"/>
    <s v="GC00A10100001D GASTOS ADMINISTRATIVOS"/>
    <s v="57 OTROS GASTOS CORRIENTES"/>
    <s v="570206 Costas Judiciales, Trámites Notariales, Leg"/>
    <s v="G/570206/1AA101"/>
    <s v="001"/>
    <n v="0"/>
    <n v="0"/>
    <n v="58.56"/>
    <n v="58.56"/>
    <n v="0"/>
    <n v="0"/>
    <n v="0"/>
    <n v="58.56"/>
    <n v="58.56"/>
    <n v="58.56"/>
  </r>
  <r>
    <s v="57"/>
    <x v="0"/>
    <x v="0"/>
    <s v="RP36A010"/>
    <x v="0"/>
    <s v="A101"/>
    <s v="FORTALECIMIENTO INSTITUCIONAL"/>
    <s v="GC00A10100001D"/>
    <s v="GC00A10100001D GASTOS ADMINISTRATIVOS"/>
    <s v="57 OTROS GASTOS CORRIENTES"/>
    <s v="570206 Costas Judiciales, Trámites Notariales, Leg"/>
    <s v="G/570206/1AA101"/>
    <s v="002"/>
    <n v="220"/>
    <n v="-120"/>
    <n v="-58.56"/>
    <n v="41.44"/>
    <n v="0"/>
    <n v="41.44"/>
    <n v="41.44"/>
    <n v="0"/>
    <n v="0"/>
    <n v="0"/>
  </r>
  <r>
    <s v="57"/>
    <x v="0"/>
    <x v="0"/>
    <s v="ZA01A003"/>
    <x v="49"/>
    <s v="A101"/>
    <s v="FORTALECIMIENTO INSTITUCIONAL"/>
    <s v="GC00A10100001D"/>
    <s v="GC00A10100001D GASTOS ADMINISTRATIVOS"/>
    <s v="57 OTROS GASTOS CORRIENTES"/>
    <s v="570206 Costas Judiciales, Trámites Notariales, Leg"/>
    <s v="G/570206/1AA101"/>
    <s v="002"/>
    <n v="6000"/>
    <n v="896"/>
    <n v="-6000"/>
    <n v="896"/>
    <n v="896"/>
    <n v="0"/>
    <n v="0"/>
    <n v="896"/>
    <n v="896"/>
    <n v="0"/>
  </r>
  <r>
    <s v="57"/>
    <x v="2"/>
    <x v="7"/>
    <s v="ZV05F050"/>
    <x v="39"/>
    <s v="A101"/>
    <s v="FORTALECIMIENTO INSTITUCIONAL"/>
    <s v="GC00A10100001D"/>
    <s v="GC00A10100001D GASTOS ADMINISTRATIVOS"/>
    <s v="57 OTROS GASTOS CORRIENTES"/>
    <s v="570206 Costas Judiciales, Trámites Notariales, Leg"/>
    <s v="G/570206/1FA101"/>
    <s v="001"/>
    <n v="700"/>
    <n v="-700"/>
    <n v="0"/>
    <n v="0"/>
    <n v="0"/>
    <n v="0"/>
    <n v="0"/>
    <n v="0"/>
    <n v="0"/>
    <n v="0"/>
  </r>
  <r>
    <s v="57"/>
    <x v="2"/>
    <x v="7"/>
    <s v="ZT06F060"/>
    <x v="40"/>
    <s v="A101"/>
    <s v="FORTALECIMIENTO INSTITUCIONAL"/>
    <s v="GC00A10100001D"/>
    <s v="GC00A10100001D GASTOS ADMINISTRATIVOS"/>
    <s v="57 OTROS GASTOS CORRIENTES"/>
    <s v="570206 Costas Judiciales, Trámites Notariales, Leg"/>
    <s v="G/570206/1FA101"/>
    <s v="001"/>
    <n v="30"/>
    <n v="0"/>
    <n v="0"/>
    <n v="30"/>
    <n v="0"/>
    <n v="0"/>
    <n v="0"/>
    <n v="30"/>
    <n v="30"/>
    <n v="30"/>
  </r>
  <r>
    <s v="57"/>
    <x v="0"/>
    <x v="1"/>
    <s v="ZA01C010"/>
    <x v="53"/>
    <s v="A101"/>
    <s v="FORTALECIMIENTO INSTITUCIONAL"/>
    <s v="GC00A10100001D"/>
    <s v="GC00A10100001D GASTOS ADMINISTRATIVOS"/>
    <s v="57 OTROS GASTOS CORRIENTES"/>
    <s v="570206 Costas Judiciales, Trámites Notariales, Leg"/>
    <s v="G/570206/1CA101"/>
    <s v="002"/>
    <n v="5000"/>
    <n v="0"/>
    <n v="-3800"/>
    <n v="1200"/>
    <n v="0"/>
    <n v="1200"/>
    <n v="0"/>
    <n v="0"/>
    <n v="1200"/>
    <n v="0"/>
  </r>
  <r>
    <s v="57"/>
    <x v="0"/>
    <x v="0"/>
    <s v="ZA01A002"/>
    <x v="4"/>
    <s v="A101"/>
    <s v="FORTALECIMIENTO INSTITUCIONAL"/>
    <s v="GC00A10100001D"/>
    <s v="GC00A10100001D GASTOS ADMINISTRATIVOS"/>
    <s v="57 OTROS GASTOS CORRIENTES"/>
    <s v="570206 Costas Judiciales, Trámites Notariales, Leg"/>
    <s v="G/570206/1AA101"/>
    <s v="002"/>
    <n v="5000"/>
    <n v="0"/>
    <n v="-5000"/>
    <n v="0"/>
    <n v="0"/>
    <n v="0"/>
    <n v="0"/>
    <n v="0"/>
    <n v="0"/>
    <n v="0"/>
  </r>
  <r>
    <s v="57"/>
    <x v="0"/>
    <x v="0"/>
    <s v="ZA01A001"/>
    <x v="47"/>
    <s v="A101"/>
    <s v="FORTALECIMIENTO INSTITUCIONAL"/>
    <s v="GC00A10100001D"/>
    <s v="GC00A10100001D GASTOS ADMINISTRATIVOS"/>
    <s v="57 OTROS GASTOS CORRIENTES"/>
    <s v="570206 Costas Judiciales, Trámites Notariales, Leg"/>
    <s v="G/570206/1AA101"/>
    <s v="002"/>
    <n v="3600"/>
    <n v="0"/>
    <n v="-2600"/>
    <n v="1000"/>
    <n v="0"/>
    <n v="1000"/>
    <n v="184.95"/>
    <n v="0"/>
    <n v="815.05"/>
    <n v="0"/>
  </r>
  <r>
    <s v="57"/>
    <x v="2"/>
    <x v="7"/>
    <s v="ZS03F030"/>
    <x v="45"/>
    <s v="A101"/>
    <s v="FORTALECIMIENTO INSTITUCIONAL"/>
    <s v="GC00A10100001D"/>
    <s v="GC00A10100001D GASTOS ADMINISTRATIVOS"/>
    <s v="57 OTROS GASTOS CORRIENTES"/>
    <s v="570206 Costas Judiciales, Trámites Notariales, Leg"/>
    <s v="G/570206/1FA101"/>
    <s v="001"/>
    <n v="200"/>
    <n v="0"/>
    <n v="-200"/>
    <n v="0"/>
    <n v="0"/>
    <n v="0"/>
    <n v="0"/>
    <n v="0"/>
    <n v="0"/>
    <n v="0"/>
  </r>
  <r>
    <s v="57"/>
    <x v="2"/>
    <x v="7"/>
    <s v="ZN02F020"/>
    <x v="46"/>
    <s v="A101"/>
    <s v="FORTALECIMIENTO INSTITUCIONAL"/>
    <s v="GC00A10100001D"/>
    <s v="GC00A10100001D GASTOS ADMINISTRATIVOS"/>
    <s v="57 OTROS GASTOS CORRIENTES"/>
    <s v="570206 Costas Judiciales, Trámites Notariales, Leg"/>
    <s v="G/570206/1FA101"/>
    <s v="001"/>
    <n v="100"/>
    <n v="0"/>
    <n v="0"/>
    <n v="100"/>
    <n v="0"/>
    <n v="0"/>
    <n v="0"/>
    <n v="100"/>
    <n v="100"/>
    <n v="100"/>
  </r>
  <r>
    <s v="57"/>
    <x v="3"/>
    <x v="6"/>
    <s v="AC67Q000"/>
    <x v="9"/>
    <s v="A101"/>
    <s v="FORTALECIMIENTO INSTITUCIONAL"/>
    <s v="GC00A10100001D"/>
    <s v="GC00A10100001D GASTOS ADMINISTRATIVOS"/>
    <s v="57 OTROS GASTOS CORRIENTES"/>
    <s v="570206 Costas Judiciales, Trámites Notariales, Leg"/>
    <s v="G/570206/1QA101"/>
    <s v="001"/>
    <n v="4000"/>
    <n v="-4000"/>
    <n v="0"/>
    <n v="0"/>
    <n v="0"/>
    <n v="0"/>
    <n v="0"/>
    <n v="0"/>
    <n v="0"/>
    <n v="0"/>
  </r>
  <r>
    <s v="57"/>
    <x v="0"/>
    <x v="1"/>
    <s v="ZA01C010"/>
    <x v="53"/>
    <s v="A101"/>
    <s v="FORTALECIMIENTO INSTITUCIONAL"/>
    <s v="GC00A10100001D"/>
    <s v="GC00A10100001D GASTOS ADMINISTRATIVOS"/>
    <s v="57 OTROS GASTOS CORRIENTES"/>
    <s v="570206 Costas Judiciales, Trámites Notariales, Leg"/>
    <s v="G/570206/1CA101"/>
    <s v="001"/>
    <n v="0"/>
    <n v="0"/>
    <n v="3800"/>
    <n v="3800"/>
    <n v="0"/>
    <n v="560"/>
    <n v="0"/>
    <n v="3240"/>
    <n v="3800"/>
    <n v="3240"/>
  </r>
  <r>
    <s v="57"/>
    <x v="0"/>
    <x v="0"/>
    <s v="ZA01A008"/>
    <x v="51"/>
    <s v="A101"/>
    <s v="FORTALECIMIENTO INSTITUCIONAL"/>
    <s v="GC00A10100001D"/>
    <s v="GC00A10100001D GASTOS ADMINISTRATIVOS"/>
    <s v="57 OTROS GASTOS CORRIENTES"/>
    <s v="570206 Costas Judiciales, Trámites Notariales, Leg"/>
    <s v="G/570206/1AA101"/>
    <s v="001"/>
    <n v="0"/>
    <n v="0"/>
    <n v="500"/>
    <n v="500"/>
    <n v="0"/>
    <n v="0"/>
    <n v="0"/>
    <n v="500"/>
    <n v="500"/>
    <n v="500"/>
  </r>
  <r>
    <s v="57"/>
    <x v="2"/>
    <x v="9"/>
    <s v="PM71N010"/>
    <x v="20"/>
    <s v="A101"/>
    <s v="FORTALECIMIENTO INSTITUCIONAL"/>
    <s v="GC00A10100001D"/>
    <s v="GC00A10100001D GASTOS ADMINISTRATIVOS"/>
    <s v="57 OTROS GASTOS CORRIENTES"/>
    <s v="570206 Costas Judiciales, Trámites Notariales, Leg"/>
    <s v="G/570206/1NA101"/>
    <s v="001"/>
    <n v="390"/>
    <n v="0"/>
    <n v="0"/>
    <n v="390"/>
    <n v="0"/>
    <n v="0"/>
    <n v="0"/>
    <n v="390"/>
    <n v="390"/>
    <n v="390"/>
  </r>
  <r>
    <s v="57"/>
    <x v="2"/>
    <x v="7"/>
    <s v="ZM04F040"/>
    <x v="41"/>
    <s v="A101"/>
    <s v="FORTALECIMIENTO INSTITUCIONAL"/>
    <s v="GC00A10100001D"/>
    <s v="GC00A10100001D GASTOS ADMINISTRATIVOS"/>
    <s v="57 OTROS GASTOS CORRIENTES"/>
    <s v="570206 Costas Judiciales, Trámites Notariales, Leg"/>
    <s v="G/570206/1FA101"/>
    <s v="001"/>
    <n v="100"/>
    <n v="0"/>
    <n v="0"/>
    <n v="100"/>
    <n v="0"/>
    <n v="0"/>
    <n v="0"/>
    <n v="100"/>
    <n v="100"/>
    <n v="100"/>
  </r>
  <r>
    <s v="57"/>
    <x v="0"/>
    <x v="0"/>
    <s v="ZA01A002"/>
    <x v="4"/>
    <s v="A101"/>
    <s v="FORTALECIMIENTO INSTITUCIONAL"/>
    <s v="GC00A10100001D"/>
    <s v="GC00A10100001D GASTOS ADMINISTRATIVOS"/>
    <s v="57 OTROS GASTOS CORRIENTES"/>
    <s v="570206 Costas Judiciales, Trámites Notariales, Leg"/>
    <s v="G/570206/1AA101"/>
    <s v="001"/>
    <n v="0"/>
    <n v="0"/>
    <n v="5000"/>
    <n v="5000"/>
    <n v="0"/>
    <n v="0"/>
    <n v="0"/>
    <n v="5000"/>
    <n v="5000"/>
    <n v="5000"/>
  </r>
  <r>
    <s v="57"/>
    <x v="0"/>
    <x v="0"/>
    <s v="ZA01A002"/>
    <x v="4"/>
    <s v="A101"/>
    <s v="FORTALECIMIENTO INSTITUCIONAL"/>
    <s v="GC00A10100001D"/>
    <s v="GC00A10100001D GASTOS ADMINISTRATIVOS"/>
    <s v="57 OTROS GASTOS CORRIENTES"/>
    <s v="570215 Indemnizaciones por Sentencias Judiciales"/>
    <s v="G/570215/1AA101"/>
    <s v="002"/>
    <n v="50000"/>
    <n v="0"/>
    <n v="-50000"/>
    <n v="0"/>
    <n v="0"/>
    <n v="0"/>
    <n v="0"/>
    <n v="0"/>
    <n v="0"/>
    <n v="0"/>
  </r>
  <r>
    <s v="57"/>
    <x v="0"/>
    <x v="0"/>
    <s v="ZA01A002"/>
    <x v="4"/>
    <s v="A101"/>
    <s v="FORTALECIMIENTO INSTITUCIONAL"/>
    <s v="GC00A10100001D"/>
    <s v="GC00A10100001D GASTOS ADMINISTRATIVOS"/>
    <s v="57 OTROS GASTOS CORRIENTES"/>
    <s v="570215 Indemnizaciones por Sentencias Judiciales"/>
    <s v="G/570215/1AA101"/>
    <s v="001"/>
    <n v="0"/>
    <n v="0"/>
    <n v="50000"/>
    <n v="50000"/>
    <n v="0"/>
    <n v="0"/>
    <n v="0"/>
    <n v="50000"/>
    <n v="50000"/>
    <n v="50000"/>
  </r>
  <r>
    <s v="57"/>
    <x v="0"/>
    <x v="0"/>
    <s v="ZA01A003"/>
    <x v="49"/>
    <s v="A101"/>
    <s v="FORTALECIMIENTO INSTITUCIONAL"/>
    <s v="GC00A10100001D"/>
    <s v="GC00A10100001D GASTOS ADMINISTRATIVOS"/>
    <s v="57 OTROS GASTOS CORRIENTES"/>
    <s v="570219 Devoluciones"/>
    <s v="G/570219/1AA101"/>
    <s v="002"/>
    <n v="4150000"/>
    <n v="-107716.9"/>
    <n v="-2400000"/>
    <n v="1642283.1"/>
    <n v="0"/>
    <n v="1642283.1"/>
    <n v="1275052.3500000001"/>
    <n v="0"/>
    <n v="367230.75"/>
    <n v="0"/>
  </r>
  <r>
    <s v="58"/>
    <x v="0"/>
    <x v="0"/>
    <s v="ZA01A003"/>
    <x v="49"/>
    <s v="A101"/>
    <s v="FORTALECIMIENTO INSTITUCIONAL"/>
    <s v="GC00A10100001D"/>
    <s v="GC00A10100001D GASTOS ADMINISTRATIVOS"/>
    <s v="58 TRANSFERENCIAS Y DONACIONES CORRIENTES"/>
    <s v="580101 A Entidades del Presupuesto General del"/>
    <s v="G/580101/1AA101"/>
    <s v="002"/>
    <n v="0"/>
    <n v="4300000"/>
    <n v="0"/>
    <n v="4300000"/>
    <n v="0"/>
    <n v="4300000"/>
    <n v="2725124.91"/>
    <n v="0"/>
    <n v="1574875.09"/>
    <n v="0"/>
  </r>
  <r>
    <s v="58"/>
    <x v="0"/>
    <x v="0"/>
    <s v="ZA01A003"/>
    <x v="49"/>
    <s v="A101"/>
    <s v="FORTALECIMIENTO INSTITUCIONAL"/>
    <s v="GC00A10100001D"/>
    <s v="GC00A10100001D GASTOS ADMINISTRATIVOS"/>
    <s v="58 TRANSFERENCIAS Y DONACIONES CORRIENTES"/>
    <s v="580102 A Entidades Descentralizadas y Autónomas"/>
    <s v="G/580102/1AA101"/>
    <s v="002"/>
    <n v="0"/>
    <n v="1680000"/>
    <n v="0"/>
    <n v="1680000"/>
    <n v="0"/>
    <n v="1680000"/>
    <n v="1001420.9"/>
    <n v="0"/>
    <n v="678579.1"/>
    <n v="0"/>
  </r>
  <r>
    <s v="58"/>
    <x v="0"/>
    <x v="0"/>
    <s v="ZA01A003"/>
    <x v="49"/>
    <s v="A101"/>
    <s v="FORTALECIMIENTO INSTITUCIONAL"/>
    <s v="GC00A10100001D"/>
    <s v="GC00A10100001D GASTOS ADMINISTRATIVOS"/>
    <s v="58 TRANSFERENCIAS Y DONACIONES CORRIENTES"/>
    <s v="580103 A Empresas Públicas"/>
    <s v="G/580103/1AA101"/>
    <s v="002"/>
    <n v="1680000"/>
    <n v="0"/>
    <n v="-1219228.03"/>
    <n v="460771.97"/>
    <n v="0"/>
    <n v="460771.97"/>
    <n v="6889"/>
    <n v="0"/>
    <n v="453882.97"/>
    <n v="0"/>
  </r>
  <r>
    <s v="58"/>
    <x v="0"/>
    <x v="0"/>
    <s v="ZA01A003"/>
    <x v="49"/>
    <s v="A101"/>
    <s v="FORTALECIMIENTO INSTITUCIONAL"/>
    <s v="GC00A10100001D"/>
    <s v="GC00A10100001D GASTOS ADMINISTRATIVOS"/>
    <s v="58 TRANSFERENCIAS Y DONACIONES CORRIENTES"/>
    <s v="580103 A Empresas Públicas"/>
    <s v="G/580103/1AA101"/>
    <s v="001"/>
    <n v="0"/>
    <n v="0"/>
    <n v="1219228.03"/>
    <n v="1219228.03"/>
    <n v="0"/>
    <n v="0"/>
    <n v="0"/>
    <n v="1219228.03"/>
    <n v="1219228.03"/>
    <n v="1219228.03"/>
  </r>
  <r>
    <s v="58"/>
    <x v="0"/>
    <x v="0"/>
    <s v="ZA01A003"/>
    <x v="49"/>
    <s v="A101"/>
    <s v="FORTALECIMIENTO INSTITUCIONAL"/>
    <s v="GC00A10100001D"/>
    <s v="GC00A10100001D GASTOS ADMINISTRATIVOS"/>
    <s v="58 TRANSFERENCIAS Y DONACIONES CORRIENTES"/>
    <s v="580204 Al Sector Privado no Financiero"/>
    <s v="G/580204/1AA101"/>
    <s v="002"/>
    <n v="6350000"/>
    <n v="-5980000"/>
    <n v="-370000"/>
    <n v="0"/>
    <n v="0"/>
    <n v="0"/>
    <n v="0"/>
    <n v="0"/>
    <n v="0"/>
    <n v="0"/>
  </r>
  <r>
    <s v="58"/>
    <x v="0"/>
    <x v="0"/>
    <s v="ZA01A002"/>
    <x v="4"/>
    <s v="A101"/>
    <s v="FORTALECIMIENTO INSTITUCIONAL"/>
    <s v="GC00A10100001D"/>
    <s v="GC00A10100001D GASTOS ADMINISTRATIVOS"/>
    <s v="58 TRANSFERENCIAS Y DONACIONES CORRIENTES"/>
    <s v="580209 A Jubilados Patronales"/>
    <s v="G/580209/1AA101"/>
    <s v="001"/>
    <n v="0"/>
    <n v="-102000"/>
    <n v="1173698.7"/>
    <n v="1071698.7"/>
    <n v="0"/>
    <n v="0"/>
    <n v="0"/>
    <n v="1071698.7"/>
    <n v="1071698.7"/>
    <n v="1071698.7"/>
  </r>
  <r>
    <s v="58"/>
    <x v="0"/>
    <x v="0"/>
    <s v="ZA01A002"/>
    <x v="4"/>
    <s v="A101"/>
    <s v="FORTALECIMIENTO INSTITUCIONAL"/>
    <s v="GC00A10100001D"/>
    <s v="GC00A10100001D GASTOS ADMINISTRATIVOS"/>
    <s v="58 TRANSFERENCIAS Y DONACIONES CORRIENTES"/>
    <s v="580209 A Jubilados Patronales"/>
    <s v="G/580209/1AA101"/>
    <s v="002"/>
    <n v="3115000"/>
    <n v="0"/>
    <n v="-1173698.7"/>
    <n v="1941301.3"/>
    <n v="0"/>
    <n v="1941301.3"/>
    <n v="1941301.3"/>
    <n v="0"/>
    <n v="0"/>
    <n v="0"/>
  </r>
  <r>
    <s v="58"/>
    <x v="0"/>
    <x v="1"/>
    <s v="ZA01C050"/>
    <x v="54"/>
    <s v="A102"/>
    <s v="TRANSFERENCIA"/>
    <s v="GI00A10200005T"/>
    <s v="GI00A10200005T QUITO HONESTO"/>
    <s v="58 TRANSFERENCIAS Y DONACIONES CORRIENTES"/>
    <s v="580102 A Entidades Descentralizadas y Autónomas"/>
    <s v="G/580102/1CA102"/>
    <s v="002"/>
    <n v="0"/>
    <n v="1413250.73"/>
    <n v="-179563.78"/>
    <n v="1233686.95"/>
    <n v="0"/>
    <n v="1233686.95"/>
    <n v="1057999.76"/>
    <n v="0"/>
    <n v="175687.19"/>
    <n v="0"/>
  </r>
  <r>
    <s v="58"/>
    <x v="0"/>
    <x v="1"/>
    <s v="ZA01C050"/>
    <x v="54"/>
    <s v="A102"/>
    <s v="TRANSFERENCIA"/>
    <s v="GI00A10200005T"/>
    <s v="GI00A10200005T QUITO HONESTO"/>
    <s v="58 TRANSFERENCIAS Y DONACIONES CORRIENTES"/>
    <s v="580103 A Empresas Públicas"/>
    <s v="G/580103/1CA102"/>
    <s v="002"/>
    <n v="1413250.73"/>
    <n v="-1413250.73"/>
    <n v="0"/>
    <n v="0"/>
    <n v="0"/>
    <n v="0"/>
    <n v="0"/>
    <n v="0"/>
    <n v="0"/>
    <n v="0"/>
  </r>
  <r>
    <s v="58"/>
    <x v="2"/>
    <x v="8"/>
    <s v="ZA01P050"/>
    <x v="55"/>
    <s v="A102"/>
    <s v="TRANSFERENCIA"/>
    <s v="GI00A10200016T"/>
    <s v="GI00A10200016T EPM HABITAT Y VIVENDA"/>
    <s v="58 TRANSFERENCIAS Y DONACIONES CORRIENTES"/>
    <s v="580103 A Empresas Públicas"/>
    <s v="G/580103/1PA102"/>
    <s v="001"/>
    <n v="0"/>
    <n v="0"/>
    <n v="1000000"/>
    <n v="1000000"/>
    <n v="0"/>
    <n v="0"/>
    <n v="0"/>
    <n v="1000000"/>
    <n v="1000000"/>
    <n v="1000000"/>
  </r>
  <r>
    <s v="58"/>
    <x v="3"/>
    <x v="11"/>
    <s v="ZA01H020"/>
    <x v="56"/>
    <s v="A102"/>
    <s v="TRANSFERENCIA"/>
    <s v="GI00A10200017T"/>
    <s v="GI00A10200017T SERVICIOS AEROPORTUARIOS Y GESTION DE ZO"/>
    <s v="58 TRANSFERENCIAS Y DONACIONES CORRIENTES"/>
    <s v="580103 A Empresas Públicas"/>
    <s v="G/580103/1HA102"/>
    <s v="001"/>
    <n v="0"/>
    <n v="0"/>
    <n v="3784852.09"/>
    <n v="3784852.09"/>
    <n v="0"/>
    <n v="3784852.09"/>
    <n v="3784852.09"/>
    <n v="0"/>
    <n v="0"/>
    <n v="0"/>
  </r>
  <r>
    <s v="58"/>
    <x v="3"/>
    <x v="11"/>
    <s v="ZA01H020"/>
    <x v="56"/>
    <s v="A102"/>
    <s v="TRANSFERENCIA"/>
    <s v="GI00A10200017T"/>
    <s v="GI00A10200017T SERVICIOS AEROPORTUARIOS Y GESTION DE ZO"/>
    <s v="58 TRANSFERENCIAS Y DONACIONES CORRIENTES"/>
    <s v="580103 A Empresas Públicas"/>
    <s v="G/580103/1HA102"/>
    <s v="002"/>
    <n v="0"/>
    <n v="279554.28999999998"/>
    <n v="0"/>
    <n v="279554.28999999998"/>
    <n v="0"/>
    <n v="279554.28999999998"/>
    <n v="279554.28999999998"/>
    <n v="0"/>
    <n v="0"/>
    <n v="0"/>
  </r>
  <r>
    <s v="71"/>
    <x v="2"/>
    <x v="7"/>
    <s v="ZC09F090"/>
    <x v="10"/>
    <s v="F102"/>
    <s v="PARTICIPACION CIUDADANA"/>
    <s v="GI00F10200002D"/>
    <s v="GI00F10200002D SISTEMA DE PARTICIPACION CIUDADANA"/>
    <s v="71 GASTOS EN PERSONAL PARA INVERSIÓN"/>
    <s v="710203 Decimotercer Sueldo"/>
    <s v="G/710203/1FF102"/>
    <s v="002"/>
    <n v="613"/>
    <n v="0"/>
    <n v="0"/>
    <n v="613"/>
    <n v="613"/>
    <n v="0"/>
    <n v="0"/>
    <n v="613"/>
    <n v="613"/>
    <n v="0"/>
  </r>
  <r>
    <s v="71"/>
    <x v="2"/>
    <x v="7"/>
    <s v="ZQ08F080"/>
    <x v="44"/>
    <s v="F102"/>
    <s v="PARTICIPACION CIUDADANA"/>
    <s v="GI00F10200002D"/>
    <s v="GI00F10200002D SISTEMA DE PARTICIPACION CIUDADANA"/>
    <s v="71 GASTOS EN PERSONAL PARA INVERSIÓN"/>
    <s v="710203 Decimotercer Sueldo"/>
    <s v="G/710203/1FF102"/>
    <s v="002"/>
    <n v="817"/>
    <n v="0"/>
    <n v="0"/>
    <n v="817"/>
    <n v="817"/>
    <n v="0"/>
    <n v="0"/>
    <n v="817"/>
    <n v="817"/>
    <n v="0"/>
  </r>
  <r>
    <s v="71"/>
    <x v="2"/>
    <x v="7"/>
    <s v="ZT06F060"/>
    <x v="40"/>
    <s v="F102"/>
    <s v="PARTICIPACION CIUDADANA"/>
    <s v="GI00F10200002D"/>
    <s v="GI00F10200002D SISTEMA DE PARTICIPACION CIUDADANA"/>
    <s v="71 GASTOS EN PERSONAL PARA INVERSIÓN"/>
    <s v="710203 Decimotercer Sueldo"/>
    <s v="G/710203/1FF102"/>
    <s v="002"/>
    <n v="1200"/>
    <n v="0"/>
    <n v="0"/>
    <n v="1200"/>
    <n v="1200"/>
    <n v="0"/>
    <n v="0"/>
    <n v="1200"/>
    <n v="1200"/>
    <n v="0"/>
  </r>
  <r>
    <s v="71"/>
    <x v="2"/>
    <x v="7"/>
    <s v="ZM04F040"/>
    <x v="41"/>
    <s v="F102"/>
    <s v="PARTICIPACION CIUDADANA"/>
    <s v="GI00F10200002D"/>
    <s v="GI00F10200002D SISTEMA DE PARTICIPACION CIUDADANA"/>
    <s v="71 GASTOS EN PERSONAL PARA INVERSIÓN"/>
    <s v="710203 Decimotercer Sueldo"/>
    <s v="G/710203/1FF102"/>
    <s v="002"/>
    <n v="3560"/>
    <n v="0"/>
    <n v="0"/>
    <n v="3560"/>
    <n v="3560"/>
    <n v="0"/>
    <n v="0"/>
    <n v="3560"/>
    <n v="3560"/>
    <n v="0"/>
  </r>
  <r>
    <s v="71"/>
    <x v="2"/>
    <x v="7"/>
    <s v="ZC09F090"/>
    <x v="10"/>
    <s v="F102"/>
    <s v="PARTICIPACION CIUDADANA"/>
    <s v="GI00F10200002D"/>
    <s v="GI00F10200002D SISTEMA DE PARTICIPACION CIUDADANA"/>
    <s v="71 GASTOS EN PERSONAL PARA INVERSIÓN"/>
    <s v="710204 Decimocuarto Sueldo"/>
    <s v="G/710204/1FF102"/>
    <s v="001"/>
    <n v="0"/>
    <n v="0"/>
    <n v="5.82"/>
    <n v="5.82"/>
    <n v="0"/>
    <n v="0"/>
    <n v="0"/>
    <n v="5.82"/>
    <n v="5.82"/>
    <n v="5.82"/>
  </r>
  <r>
    <s v="71"/>
    <x v="2"/>
    <x v="7"/>
    <s v="ZM04F040"/>
    <x v="41"/>
    <s v="F102"/>
    <s v="PARTICIPACION CIUDADANA"/>
    <s v="GI00F10200002D"/>
    <s v="GI00F10200002D SISTEMA DE PARTICIPACION CIUDADANA"/>
    <s v="71 GASTOS EN PERSONAL PARA INVERSIÓN"/>
    <s v="710204 Decimocuarto Sueldo"/>
    <s v="G/710204/1FF102"/>
    <s v="002"/>
    <n v="2029.1"/>
    <n v="0"/>
    <n v="-29.1"/>
    <n v="2000"/>
    <n v="118.88"/>
    <n v="1881.12"/>
    <n v="1881.12"/>
    <n v="118.88"/>
    <n v="118.88"/>
    <n v="0"/>
  </r>
  <r>
    <s v="71"/>
    <x v="2"/>
    <x v="7"/>
    <s v="ZQ08F080"/>
    <x v="44"/>
    <s v="F102"/>
    <s v="PARTICIPACION CIUDADANA"/>
    <s v="GI00F10200002D"/>
    <s v="GI00F10200002D SISTEMA DE PARTICIPACION CIUDADANA"/>
    <s v="71 GASTOS EN PERSONAL PARA INVERSIÓN"/>
    <s v="710204 Decimocuarto Sueldo"/>
    <s v="G/710204/1FF102"/>
    <s v="002"/>
    <n v="405.82"/>
    <n v="0"/>
    <n v="-5.82"/>
    <n v="400"/>
    <n v="400"/>
    <n v="0"/>
    <n v="0"/>
    <n v="400"/>
    <n v="400"/>
    <n v="0"/>
  </r>
  <r>
    <s v="71"/>
    <x v="2"/>
    <x v="7"/>
    <s v="ZM04F040"/>
    <x v="41"/>
    <s v="F102"/>
    <s v="PARTICIPACION CIUDADANA"/>
    <s v="GI00F10200002D"/>
    <s v="GI00F10200002D SISTEMA DE PARTICIPACION CIUDADANA"/>
    <s v="71 GASTOS EN PERSONAL PARA INVERSIÓN"/>
    <s v="710204 Decimocuarto Sueldo"/>
    <s v="G/710204/1FF102"/>
    <s v="001"/>
    <n v="0"/>
    <n v="0"/>
    <n v="29.1"/>
    <n v="29.1"/>
    <n v="0"/>
    <n v="0"/>
    <n v="0"/>
    <n v="29.1"/>
    <n v="29.1"/>
    <n v="29.1"/>
  </r>
  <r>
    <s v="71"/>
    <x v="2"/>
    <x v="7"/>
    <s v="ZQ08F080"/>
    <x v="44"/>
    <s v="F102"/>
    <s v="PARTICIPACION CIUDADANA"/>
    <s v="GI00F10200002D"/>
    <s v="GI00F10200002D SISTEMA DE PARTICIPACION CIUDADANA"/>
    <s v="71 GASTOS EN PERSONAL PARA INVERSIÓN"/>
    <s v="710204 Decimocuarto Sueldo"/>
    <s v="G/710204/1FF102"/>
    <s v="001"/>
    <n v="0"/>
    <n v="0"/>
    <n v="5.82"/>
    <n v="5.82"/>
    <n v="0"/>
    <n v="0"/>
    <n v="0"/>
    <n v="5.82"/>
    <n v="5.82"/>
    <n v="5.82"/>
  </r>
  <r>
    <s v="71"/>
    <x v="2"/>
    <x v="7"/>
    <s v="ZT06F060"/>
    <x v="40"/>
    <s v="F102"/>
    <s v="PARTICIPACION CIUDADANA"/>
    <s v="GI00F10200002D"/>
    <s v="GI00F10200002D SISTEMA DE PARTICIPACION CIUDADANA"/>
    <s v="71 GASTOS EN PERSONAL PARA INVERSIÓN"/>
    <s v="710204 Decimocuarto Sueldo"/>
    <s v="G/710204/1FF102"/>
    <s v="001"/>
    <n v="0"/>
    <n v="0"/>
    <n v="5.82"/>
    <n v="5.82"/>
    <n v="0"/>
    <n v="0"/>
    <n v="0"/>
    <n v="5.82"/>
    <n v="5.82"/>
    <n v="5.82"/>
  </r>
  <r>
    <s v="71"/>
    <x v="2"/>
    <x v="7"/>
    <s v="ZT06F060"/>
    <x v="40"/>
    <s v="F102"/>
    <s v="PARTICIPACION CIUDADANA"/>
    <s v="GI00F10200002D"/>
    <s v="GI00F10200002D SISTEMA DE PARTICIPACION CIUDADANA"/>
    <s v="71 GASTOS EN PERSONAL PARA INVERSIÓN"/>
    <s v="710204 Decimocuarto Sueldo"/>
    <s v="G/710204/1FF102"/>
    <s v="002"/>
    <n v="405.82"/>
    <n v="0"/>
    <n v="-5.82"/>
    <n v="400"/>
    <n v="0"/>
    <n v="400"/>
    <n v="400"/>
    <n v="0"/>
    <n v="0"/>
    <n v="0"/>
  </r>
  <r>
    <s v="71"/>
    <x v="2"/>
    <x v="7"/>
    <s v="ZC09F090"/>
    <x v="10"/>
    <s v="F102"/>
    <s v="PARTICIPACION CIUDADANA"/>
    <s v="GI00F10200002D"/>
    <s v="GI00F10200002D SISTEMA DE PARTICIPACION CIUDADANA"/>
    <s v="71 GASTOS EN PERSONAL PARA INVERSIÓN"/>
    <s v="710204 Decimocuarto Sueldo"/>
    <s v="G/710204/1FF102"/>
    <s v="002"/>
    <n v="405.82"/>
    <n v="0"/>
    <n v="-5.82"/>
    <n v="400"/>
    <n v="66.67"/>
    <n v="333.33"/>
    <n v="333.33"/>
    <n v="66.67"/>
    <n v="66.67"/>
    <n v="0"/>
  </r>
  <r>
    <s v="71"/>
    <x v="2"/>
    <x v="7"/>
    <s v="ZT06F060"/>
    <x v="40"/>
    <s v="F102"/>
    <s v="PARTICIPACION CIUDADANA"/>
    <s v="GI00F10200002D"/>
    <s v="GI00F10200002D SISTEMA DE PARTICIPACION CIUDADANA"/>
    <s v="71 GASTOS EN PERSONAL PARA INVERSIÓN"/>
    <s v="710510 Servicios Personales por Contrato"/>
    <s v="G/710510/1FF102"/>
    <s v="002"/>
    <n v="14400"/>
    <n v="0"/>
    <n v="0"/>
    <n v="14400"/>
    <n v="1200"/>
    <n v="13200"/>
    <n v="13200"/>
    <n v="1200"/>
    <n v="1200"/>
    <n v="0"/>
  </r>
  <r>
    <s v="71"/>
    <x v="2"/>
    <x v="7"/>
    <s v="ZM04F040"/>
    <x v="41"/>
    <s v="F102"/>
    <s v="PARTICIPACION CIUDADANA"/>
    <s v="GI00F10200002D"/>
    <s v="GI00F10200002D SISTEMA DE PARTICIPACION CIUDADANA"/>
    <s v="71 GASTOS EN PERSONAL PARA INVERSIÓN"/>
    <s v="710510 Servicios Personales por Contrato"/>
    <s v="G/710510/1FF102"/>
    <s v="002"/>
    <n v="42720"/>
    <n v="0"/>
    <n v="0"/>
    <n v="42720"/>
    <n v="3560"/>
    <n v="39160"/>
    <n v="39160"/>
    <n v="3560"/>
    <n v="3560"/>
    <n v="0"/>
  </r>
  <r>
    <s v="71"/>
    <x v="2"/>
    <x v="7"/>
    <s v="ZQ08F080"/>
    <x v="44"/>
    <s v="F102"/>
    <s v="PARTICIPACION CIUDADANA"/>
    <s v="GI00F10200002D"/>
    <s v="GI00F10200002D SISTEMA DE PARTICIPACION CIUDADANA"/>
    <s v="71 GASTOS EN PERSONAL PARA INVERSIÓN"/>
    <s v="710510 Servicios Personales por Contrato"/>
    <s v="G/710510/1FF102"/>
    <s v="002"/>
    <n v="9804"/>
    <n v="0"/>
    <n v="0"/>
    <n v="9804"/>
    <n v="9804"/>
    <n v="0"/>
    <n v="0"/>
    <n v="9804"/>
    <n v="9804"/>
    <n v="0"/>
  </r>
  <r>
    <s v="71"/>
    <x v="2"/>
    <x v="7"/>
    <s v="ZC09F090"/>
    <x v="10"/>
    <s v="F102"/>
    <s v="PARTICIPACION CIUDADANA"/>
    <s v="GI00F10200002D"/>
    <s v="GI00F10200002D SISTEMA DE PARTICIPACION CIUDADANA"/>
    <s v="71 GASTOS EN PERSONAL PARA INVERSIÓN"/>
    <s v="710510 Servicios Personales por Contrato"/>
    <s v="G/710510/1FF102"/>
    <s v="001"/>
    <n v="0"/>
    <n v="70"/>
    <n v="0"/>
    <n v="70"/>
    <n v="70"/>
    <n v="0"/>
    <n v="0"/>
    <n v="70"/>
    <n v="70"/>
    <n v="0"/>
  </r>
  <r>
    <s v="71"/>
    <x v="2"/>
    <x v="7"/>
    <s v="ZC09F090"/>
    <x v="10"/>
    <s v="F102"/>
    <s v="PARTICIPACION CIUDADANA"/>
    <s v="GI00F10200002D"/>
    <s v="GI00F10200002D SISTEMA DE PARTICIPACION CIUDADANA"/>
    <s v="71 GASTOS EN PERSONAL PARA INVERSIÓN"/>
    <s v="710510 Servicios Personales por Contrato"/>
    <s v="G/710510/1FF102"/>
    <s v="002"/>
    <n v="7356"/>
    <n v="0"/>
    <n v="0"/>
    <n v="7356"/>
    <n v="583.47"/>
    <n v="6772.53"/>
    <n v="6772.53"/>
    <n v="583.47"/>
    <n v="583.47"/>
    <n v="0"/>
  </r>
  <r>
    <s v="71"/>
    <x v="2"/>
    <x v="7"/>
    <s v="ZT06F060"/>
    <x v="40"/>
    <s v="F102"/>
    <s v="PARTICIPACION CIUDADANA"/>
    <s v="GI00F10200002D"/>
    <s v="GI00F10200002D SISTEMA DE PARTICIPACION CIUDADANA"/>
    <s v="71 GASTOS EN PERSONAL PARA INVERSIÓN"/>
    <s v="710601 Aporte Patronal"/>
    <s v="G/710601/1FF102"/>
    <s v="002"/>
    <n v="1821.6"/>
    <n v="0"/>
    <n v="0"/>
    <n v="1821.6"/>
    <n v="151.80000000000001"/>
    <n v="1669.8"/>
    <n v="1669.8"/>
    <n v="151.80000000000001"/>
    <n v="151.80000000000001"/>
    <n v="0"/>
  </r>
  <r>
    <s v="71"/>
    <x v="2"/>
    <x v="7"/>
    <s v="ZM04F040"/>
    <x v="41"/>
    <s v="F102"/>
    <s v="PARTICIPACION CIUDADANA"/>
    <s v="GI00F10200002D"/>
    <s v="GI00F10200002D SISTEMA DE PARTICIPACION CIUDADANA"/>
    <s v="71 GASTOS EN PERSONAL PARA INVERSIÓN"/>
    <s v="710601 Aporte Patronal"/>
    <s v="G/710601/1FF102"/>
    <s v="002"/>
    <n v="5404.08"/>
    <n v="0"/>
    <n v="0"/>
    <n v="5404.08"/>
    <n v="450.34"/>
    <n v="4953.74"/>
    <n v="4953.74"/>
    <n v="450.34"/>
    <n v="450.34"/>
    <n v="0"/>
  </r>
  <r>
    <s v="71"/>
    <x v="2"/>
    <x v="7"/>
    <s v="ZT06F060"/>
    <x v="40"/>
    <s v="F102"/>
    <s v="PARTICIPACION CIUDADANA"/>
    <s v="GI00F10200002D"/>
    <s v="GI00F10200002D SISTEMA DE PARTICIPACION CIUDADANA"/>
    <s v="71 GASTOS EN PERSONAL PARA INVERSIÓN"/>
    <s v="710601 Aporte Patronal"/>
    <s v="G/710601/1FF102"/>
    <s v="001"/>
    <n v="0"/>
    <n v="0"/>
    <n v="15.18"/>
    <n v="15.18"/>
    <n v="0"/>
    <n v="0"/>
    <n v="0"/>
    <n v="15.18"/>
    <n v="15.18"/>
    <n v="15.18"/>
  </r>
  <r>
    <s v="71"/>
    <x v="2"/>
    <x v="7"/>
    <s v="ZM04F040"/>
    <x v="41"/>
    <s v="F102"/>
    <s v="PARTICIPACION CIUDADANA"/>
    <s v="GI00F10200002D"/>
    <s v="GI00F10200002D SISTEMA DE PARTICIPACION CIUDADANA"/>
    <s v="71 GASTOS EN PERSONAL PARA INVERSIÓN"/>
    <s v="710601 Aporte Patronal"/>
    <s v="G/710601/1FF102"/>
    <s v="001"/>
    <n v="0"/>
    <n v="0"/>
    <n v="45.03"/>
    <n v="45.03"/>
    <n v="0"/>
    <n v="0"/>
    <n v="0"/>
    <n v="45.03"/>
    <n v="45.03"/>
    <n v="45.03"/>
  </r>
  <r>
    <s v="71"/>
    <x v="2"/>
    <x v="7"/>
    <s v="ZC09F090"/>
    <x v="10"/>
    <s v="F102"/>
    <s v="PARTICIPACION CIUDADANA"/>
    <s v="GI00F10200002D"/>
    <s v="GI00F10200002D SISTEMA DE PARTICIPACION CIUDADANA"/>
    <s v="71 GASTOS EN PERSONAL PARA INVERSIÓN"/>
    <s v="710601 Aporte Patronal"/>
    <s v="G/710601/1FF102"/>
    <s v="001"/>
    <n v="0"/>
    <n v="0"/>
    <n v="7.7"/>
    <n v="7.7"/>
    <n v="0"/>
    <n v="0"/>
    <n v="0"/>
    <n v="7.7"/>
    <n v="7.7"/>
    <n v="7.7"/>
  </r>
  <r>
    <s v="71"/>
    <x v="2"/>
    <x v="7"/>
    <s v="ZC09F090"/>
    <x v="10"/>
    <s v="F102"/>
    <s v="PARTICIPACION CIUDADANA"/>
    <s v="GI00F10200002D"/>
    <s v="GI00F10200002D SISTEMA DE PARTICIPACION CIUDADANA"/>
    <s v="71 GASTOS EN PERSONAL PARA INVERSIÓN"/>
    <s v="710601 Aporte Patronal"/>
    <s v="G/710601/1FF102"/>
    <s v="002"/>
    <n v="930.53"/>
    <n v="0"/>
    <n v="0"/>
    <n v="930.53"/>
    <n v="77.59"/>
    <n v="852.94"/>
    <n v="852.94"/>
    <n v="77.59"/>
    <n v="77.59"/>
    <n v="0"/>
  </r>
  <r>
    <s v="71"/>
    <x v="2"/>
    <x v="7"/>
    <s v="ZQ08F080"/>
    <x v="44"/>
    <s v="F102"/>
    <s v="PARTICIPACION CIUDADANA"/>
    <s v="GI00F10200002D"/>
    <s v="GI00F10200002D SISTEMA DE PARTICIPACION CIUDADANA"/>
    <s v="71 GASTOS EN PERSONAL PARA INVERSIÓN"/>
    <s v="710601 Aporte Patronal"/>
    <s v="G/710601/1FF102"/>
    <s v="002"/>
    <n v="1240.21"/>
    <n v="0"/>
    <n v="0"/>
    <n v="1240.21"/>
    <n v="1240.21"/>
    <n v="0"/>
    <n v="0"/>
    <n v="1240.21"/>
    <n v="1240.21"/>
    <n v="0"/>
  </r>
  <r>
    <s v="71"/>
    <x v="2"/>
    <x v="7"/>
    <s v="ZT06F060"/>
    <x v="40"/>
    <s v="F102"/>
    <s v="PARTICIPACION CIUDADANA"/>
    <s v="GI00F10200002D"/>
    <s v="GI00F10200002D SISTEMA DE PARTICIPACION CIUDADANA"/>
    <s v="71 GASTOS EN PERSONAL PARA INVERSIÓN"/>
    <s v="710602 Fondo de Reserva"/>
    <s v="G/710602/1FF102"/>
    <s v="002"/>
    <n v="1200"/>
    <n v="0"/>
    <n v="0"/>
    <n v="1200"/>
    <n v="100.44"/>
    <n v="1099.56"/>
    <n v="1099.56"/>
    <n v="100.44"/>
    <n v="100.44"/>
    <n v="0"/>
  </r>
  <r>
    <s v="71"/>
    <x v="2"/>
    <x v="7"/>
    <s v="ZM04F040"/>
    <x v="41"/>
    <s v="F102"/>
    <s v="PARTICIPACION CIUDADANA"/>
    <s v="GI00F10200002D"/>
    <s v="GI00F10200002D SISTEMA DE PARTICIPACION CIUDADANA"/>
    <s v="71 GASTOS EN PERSONAL PARA INVERSIÓN"/>
    <s v="710602 Fondo de Reserva"/>
    <s v="G/710602/1FF102"/>
    <s v="002"/>
    <n v="3560"/>
    <n v="0"/>
    <n v="0"/>
    <n v="3560"/>
    <n v="1359.76"/>
    <n v="2200.2399999999998"/>
    <n v="2200.2399999999998"/>
    <n v="1359.76"/>
    <n v="1359.76"/>
    <n v="0"/>
  </r>
  <r>
    <s v="71"/>
    <x v="2"/>
    <x v="7"/>
    <s v="ZT06F060"/>
    <x v="40"/>
    <s v="F102"/>
    <s v="PARTICIPACION CIUDADANA"/>
    <s v="GI00F10200002D"/>
    <s v="GI00F10200002D SISTEMA DE PARTICIPACION CIUDADANA"/>
    <s v="71 GASTOS EN PERSONAL PARA INVERSIÓN"/>
    <s v="710602 Fondo de Reserva"/>
    <s v="G/710602/1FF102"/>
    <s v="001"/>
    <n v="0"/>
    <n v="0"/>
    <n v="9.52"/>
    <n v="9.52"/>
    <n v="0"/>
    <n v="0"/>
    <n v="0"/>
    <n v="9.52"/>
    <n v="9.52"/>
    <n v="9.52"/>
  </r>
  <r>
    <s v="71"/>
    <x v="2"/>
    <x v="7"/>
    <s v="ZC09F090"/>
    <x v="10"/>
    <s v="F102"/>
    <s v="PARTICIPACION CIUDADANA"/>
    <s v="GI00F10200002D"/>
    <s v="GI00F10200002D SISTEMA DE PARTICIPACION CIUDADANA"/>
    <s v="71 GASTOS EN PERSONAL PARA INVERSIÓN"/>
    <s v="710602 Fondo de Reserva"/>
    <s v="G/710602/1FF102"/>
    <s v="002"/>
    <n v="613"/>
    <n v="0"/>
    <n v="0"/>
    <n v="613"/>
    <n v="459.82"/>
    <n v="153.18"/>
    <n v="153.18"/>
    <n v="459.82"/>
    <n v="459.82"/>
    <n v="0"/>
  </r>
  <r>
    <s v="71"/>
    <x v="2"/>
    <x v="7"/>
    <s v="ZQ08F080"/>
    <x v="44"/>
    <s v="F102"/>
    <s v="PARTICIPACION CIUDADANA"/>
    <s v="GI00F10200002D"/>
    <s v="GI00F10200002D SISTEMA DE PARTICIPACION CIUDADANA"/>
    <s v="71 GASTOS EN PERSONAL PARA INVERSIÓN"/>
    <s v="710602 Fondo de Reserva"/>
    <s v="G/710602/1FF102"/>
    <s v="002"/>
    <n v="817"/>
    <n v="0"/>
    <n v="0"/>
    <n v="817"/>
    <n v="817"/>
    <n v="0"/>
    <n v="0"/>
    <n v="817"/>
    <n v="817"/>
    <n v="0"/>
  </r>
  <r>
    <s v="71"/>
    <x v="2"/>
    <x v="7"/>
    <s v="ZN02F020"/>
    <x v="46"/>
    <s v="F102"/>
    <s v="PARTICIPACION CIUDADANA"/>
    <s v="GI00F10200005D"/>
    <s v="GI00F10200005D CASAS SOMOS QUITO"/>
    <s v="71 GASTOS EN PERSONAL PARA INVERSIÓN"/>
    <s v="710203 Decimotercer Sueldo"/>
    <s v="G/710203/1FF102"/>
    <s v="002"/>
    <n v="10693"/>
    <n v="0"/>
    <n v="0"/>
    <n v="10693"/>
    <n v="8378.42"/>
    <n v="2314.58"/>
    <n v="2314.58"/>
    <n v="8378.42"/>
    <n v="8378.42"/>
    <n v="0"/>
  </r>
  <r>
    <s v="71"/>
    <x v="2"/>
    <x v="7"/>
    <s v="ZT06F060"/>
    <x v="40"/>
    <s v="F102"/>
    <s v="PARTICIPACION CIUDADANA"/>
    <s v="GI00F10200005D"/>
    <s v="GI00F10200005D CASAS SOMOS QUITO"/>
    <s v="71 GASTOS EN PERSONAL PARA INVERSIÓN"/>
    <s v="710203 Decimotercer Sueldo"/>
    <s v="G/710203/1FF102"/>
    <s v="002"/>
    <n v="6305"/>
    <n v="0"/>
    <n v="0"/>
    <n v="6305"/>
    <n v="6236.15"/>
    <n v="68.849999999999994"/>
    <n v="68.849999999999994"/>
    <n v="6236.15"/>
    <n v="6236.15"/>
    <n v="0"/>
  </r>
  <r>
    <s v="71"/>
    <x v="2"/>
    <x v="7"/>
    <s v="ZC09F090"/>
    <x v="10"/>
    <s v="F102"/>
    <s v="PARTICIPACION CIUDADANA"/>
    <s v="GI00F10200005D"/>
    <s v="GI00F10200005D CASAS SOMOS QUITO"/>
    <s v="71 GASTOS EN PERSONAL PARA INVERSIÓN"/>
    <s v="710203 Decimotercer Sueldo"/>
    <s v="G/710203/1FF102"/>
    <s v="002"/>
    <n v="4570"/>
    <n v="0"/>
    <n v="0"/>
    <n v="4570"/>
    <n v="4570"/>
    <n v="0"/>
    <n v="0"/>
    <n v="4570"/>
    <n v="4570"/>
    <n v="0"/>
  </r>
  <r>
    <s v="71"/>
    <x v="2"/>
    <x v="7"/>
    <s v="ZM04F040"/>
    <x v="41"/>
    <s v="F102"/>
    <s v="PARTICIPACION CIUDADANA"/>
    <s v="GI00F10200005D"/>
    <s v="GI00F10200005D CASAS SOMOS QUITO"/>
    <s v="71 GASTOS EN PERSONAL PARA INVERSIÓN"/>
    <s v="710203 Decimotercer Sueldo"/>
    <s v="G/710203/1FF102"/>
    <s v="002"/>
    <n v="11510"/>
    <n v="0"/>
    <n v="0"/>
    <n v="11510"/>
    <n v="6671.73"/>
    <n v="4838.2700000000004"/>
    <n v="4838.2700000000004"/>
    <n v="6671.73"/>
    <n v="6671.73"/>
    <n v="0"/>
  </r>
  <r>
    <s v="71"/>
    <x v="2"/>
    <x v="7"/>
    <s v="ZD07F070"/>
    <x v="43"/>
    <s v="F102"/>
    <s v="PARTICIPACION CIUDADANA"/>
    <s v="GI00F10200005D"/>
    <s v="GI00F10200005D CASAS SOMOS QUITO"/>
    <s v="71 GASTOS EN PERSONAL PARA INVERSIÓN"/>
    <s v="710203 Decimotercer Sueldo"/>
    <s v="G/710203/1FF102"/>
    <s v="002"/>
    <n v="13144"/>
    <n v="0"/>
    <n v="0"/>
    <n v="13144"/>
    <n v="9754.8799999999992"/>
    <n v="3389.12"/>
    <n v="3389.12"/>
    <n v="9754.8799999999992"/>
    <n v="9754.8799999999992"/>
    <n v="0"/>
  </r>
  <r>
    <s v="71"/>
    <x v="2"/>
    <x v="7"/>
    <s v="ZQ08F080"/>
    <x v="44"/>
    <s v="F102"/>
    <s v="PARTICIPACION CIUDADANA"/>
    <s v="GI00F10200005D"/>
    <s v="GI00F10200005D CASAS SOMOS QUITO"/>
    <s v="71 GASTOS EN PERSONAL PARA INVERSIÓN"/>
    <s v="710203 Decimotercer Sueldo"/>
    <s v="G/710203/1FF102"/>
    <s v="002"/>
    <n v="8040"/>
    <n v="0"/>
    <n v="0"/>
    <n v="8040"/>
    <n v="7358.97"/>
    <n v="681.03"/>
    <n v="681.03"/>
    <n v="7358.97"/>
    <n v="7358.97"/>
    <n v="0"/>
  </r>
  <r>
    <s v="71"/>
    <x v="2"/>
    <x v="7"/>
    <s v="TM68F100"/>
    <x v="36"/>
    <s v="F102"/>
    <s v="PARTICIPACION CIUDADANA"/>
    <s v="GI00F10200005D"/>
    <s v="GI00F10200005D CASAS SOMOS QUITO"/>
    <s v="71 GASTOS EN PERSONAL PARA INVERSIÓN"/>
    <s v="710203 Decimotercer Sueldo"/>
    <s v="G/710203/1FF102"/>
    <s v="002"/>
    <n v="817"/>
    <n v="0"/>
    <n v="0"/>
    <n v="817"/>
    <n v="68.12"/>
    <n v="748.88"/>
    <n v="748.88"/>
    <n v="68.12"/>
    <n v="68.12"/>
    <n v="0"/>
  </r>
  <r>
    <s v="71"/>
    <x v="2"/>
    <x v="7"/>
    <s v="ZA01F000"/>
    <x v="25"/>
    <s v="F102"/>
    <s v="PARTICIPACION CIUDADANA"/>
    <s v="GI00F10200005D"/>
    <s v="GI00F10200005D CASAS SOMOS QUITO"/>
    <s v="71 GASTOS EN PERSONAL PARA INVERSIÓN"/>
    <s v="710203 Decimotercer Sueldo"/>
    <s v="G/710203/1FF102"/>
    <s v="002"/>
    <n v="2353"/>
    <n v="0"/>
    <n v="0"/>
    <n v="2353"/>
    <n v="2353"/>
    <n v="0"/>
    <n v="0"/>
    <n v="2353"/>
    <n v="2353"/>
    <n v="0"/>
  </r>
  <r>
    <s v="71"/>
    <x v="2"/>
    <x v="7"/>
    <s v="ZV05F050"/>
    <x v="39"/>
    <s v="F102"/>
    <s v="PARTICIPACION CIUDADANA"/>
    <s v="GI00F10200005D"/>
    <s v="GI00F10200005D CASAS SOMOS QUITO"/>
    <s v="71 GASTOS EN PERSONAL PARA INVERSIÓN"/>
    <s v="710203 Decimotercer Sueldo"/>
    <s v="G/710203/1FF102"/>
    <s v="002"/>
    <n v="11510"/>
    <n v="0"/>
    <n v="0"/>
    <n v="11510"/>
    <n v="9724.3799999999992"/>
    <n v="1785.62"/>
    <n v="1785.62"/>
    <n v="9724.3799999999992"/>
    <n v="9724.3799999999992"/>
    <n v="0"/>
  </r>
  <r>
    <s v="71"/>
    <x v="2"/>
    <x v="7"/>
    <s v="ZS03F030"/>
    <x v="45"/>
    <s v="F102"/>
    <s v="PARTICIPACION CIUDADANA"/>
    <s v="GI00F10200005D"/>
    <s v="GI00F10200005D CASAS SOMOS QUITO"/>
    <s v="71 GASTOS EN PERSONAL PARA INVERSIÓN"/>
    <s v="710203 Decimotercer Sueldo"/>
    <s v="G/710203/1FF102"/>
    <s v="002"/>
    <n v="13245"/>
    <n v="0"/>
    <n v="0"/>
    <n v="13245"/>
    <n v="11654.62"/>
    <n v="1590.38"/>
    <n v="1590.38"/>
    <n v="11654.62"/>
    <n v="11654.62"/>
    <n v="0"/>
  </r>
  <r>
    <s v="71"/>
    <x v="2"/>
    <x v="7"/>
    <s v="TM68F100"/>
    <x v="36"/>
    <s v="F102"/>
    <s v="PARTICIPACION CIUDADANA"/>
    <s v="GI00F10200005D"/>
    <s v="GI00F10200005D CASAS SOMOS QUITO"/>
    <s v="71 GASTOS EN PERSONAL PARA INVERSIÓN"/>
    <s v="710204 Decimocuarto Sueldo"/>
    <s v="G/710204/1FF102"/>
    <s v="001"/>
    <n v="0"/>
    <n v="20"/>
    <n v="5.82"/>
    <n v="25.82"/>
    <n v="20"/>
    <n v="0"/>
    <n v="0"/>
    <n v="25.82"/>
    <n v="25.82"/>
    <n v="5.82"/>
  </r>
  <r>
    <s v="71"/>
    <x v="2"/>
    <x v="7"/>
    <s v="ZS03F030"/>
    <x v="45"/>
    <s v="F102"/>
    <s v="PARTICIPACION CIUDADANA"/>
    <s v="GI00F10200005D"/>
    <s v="GI00F10200005D CASAS SOMOS QUITO"/>
    <s v="71 GASTOS EN PERSONAL PARA INVERSIÓN"/>
    <s v="710204 Decimocuarto Sueldo"/>
    <s v="G/710204/1FF102"/>
    <s v="002"/>
    <n v="6087.3"/>
    <n v="0"/>
    <n v="-87.3"/>
    <n v="6000"/>
    <n v="587.91"/>
    <n v="5412.09"/>
    <n v="5412.09"/>
    <n v="587.91"/>
    <n v="587.91"/>
    <n v="0"/>
  </r>
  <r>
    <s v="71"/>
    <x v="2"/>
    <x v="7"/>
    <s v="ZT06F060"/>
    <x v="40"/>
    <s v="F102"/>
    <s v="PARTICIPACION CIUDADANA"/>
    <s v="GI00F10200005D"/>
    <s v="GI00F10200005D CASAS SOMOS QUITO"/>
    <s v="71 GASTOS EN PERSONAL PARA INVERSIÓN"/>
    <s v="710204 Decimocuarto Sueldo"/>
    <s v="G/710204/1FF102"/>
    <s v="002"/>
    <n v="2840.74"/>
    <n v="0"/>
    <n v="-40.74"/>
    <n v="2800"/>
    <n v="560"/>
    <n v="2240"/>
    <n v="2240"/>
    <n v="560"/>
    <n v="560"/>
    <n v="0"/>
  </r>
  <r>
    <s v="71"/>
    <x v="2"/>
    <x v="7"/>
    <s v="ZN02F020"/>
    <x v="46"/>
    <s v="F102"/>
    <s v="PARTICIPACION CIUDADANA"/>
    <s v="GI00F10200005D"/>
    <s v="GI00F10200005D CASAS SOMOS QUITO"/>
    <s v="71 GASTOS EN PERSONAL PARA INVERSIÓN"/>
    <s v="710204 Decimocuarto Sueldo"/>
    <s v="G/710204/1FF102"/>
    <s v="001"/>
    <n v="0"/>
    <n v="0"/>
    <n v="69.84"/>
    <n v="69.84"/>
    <n v="0"/>
    <n v="0"/>
    <n v="0"/>
    <n v="69.84"/>
    <n v="69.84"/>
    <n v="69.84"/>
  </r>
  <r>
    <s v="71"/>
    <x v="2"/>
    <x v="7"/>
    <s v="ZQ08F080"/>
    <x v="44"/>
    <s v="F102"/>
    <s v="PARTICIPACION CIUDADANA"/>
    <s v="GI00F10200005D"/>
    <s v="GI00F10200005D CASAS SOMOS QUITO"/>
    <s v="71 GASTOS EN PERSONAL PARA INVERSIÓN"/>
    <s v="710204 Decimocuarto Sueldo"/>
    <s v="G/710204/1FF102"/>
    <s v="001"/>
    <n v="0"/>
    <n v="0"/>
    <n v="52.38"/>
    <n v="52.38"/>
    <n v="0"/>
    <n v="0"/>
    <n v="0"/>
    <n v="52.38"/>
    <n v="52.38"/>
    <n v="52.38"/>
  </r>
  <r>
    <s v="71"/>
    <x v="2"/>
    <x v="7"/>
    <s v="ZM04F040"/>
    <x v="41"/>
    <s v="F102"/>
    <s v="PARTICIPACION CIUDADANA"/>
    <s v="GI00F10200005D"/>
    <s v="GI00F10200005D CASAS SOMOS QUITO"/>
    <s v="71 GASTOS EN PERSONAL PARA INVERSIÓN"/>
    <s v="710204 Decimocuarto Sueldo"/>
    <s v="G/710204/1FF102"/>
    <s v="001"/>
    <n v="0"/>
    <n v="0"/>
    <n v="75.66"/>
    <n v="75.66"/>
    <n v="0"/>
    <n v="0"/>
    <n v="0"/>
    <n v="75.66"/>
    <n v="75.66"/>
    <n v="75.66"/>
  </r>
  <r>
    <s v="71"/>
    <x v="2"/>
    <x v="7"/>
    <s v="ZN02F020"/>
    <x v="46"/>
    <s v="F102"/>
    <s v="PARTICIPACION CIUDADANA"/>
    <s v="GI00F10200005D"/>
    <s v="GI00F10200005D CASAS SOMOS QUITO"/>
    <s v="71 GASTOS EN PERSONAL PARA INVERSIÓN"/>
    <s v="710204 Decimocuarto Sueldo"/>
    <s v="G/710204/1FF102"/>
    <s v="002"/>
    <n v="4869.84"/>
    <n v="0"/>
    <n v="-69.84"/>
    <n v="4800"/>
    <n v="603.69000000000005"/>
    <n v="4196.3100000000004"/>
    <n v="4196.3100000000004"/>
    <n v="603.69000000000005"/>
    <n v="603.69000000000005"/>
    <n v="0"/>
  </r>
  <r>
    <s v="71"/>
    <x v="2"/>
    <x v="7"/>
    <s v="ZC09F090"/>
    <x v="10"/>
    <s v="F102"/>
    <s v="PARTICIPACION CIUDADANA"/>
    <s v="GI00F10200005D"/>
    <s v="GI00F10200005D CASAS SOMOS QUITO"/>
    <s v="71 GASTOS EN PERSONAL PARA INVERSIÓN"/>
    <s v="710204 Decimocuarto Sueldo"/>
    <s v="G/710204/1FF102"/>
    <s v="002"/>
    <n v="2029.1"/>
    <n v="0"/>
    <n v="-29.1"/>
    <n v="2000"/>
    <n v="836.48"/>
    <n v="1163.52"/>
    <n v="1163.52"/>
    <n v="836.48"/>
    <n v="836.48"/>
    <n v="0"/>
  </r>
  <r>
    <s v="71"/>
    <x v="2"/>
    <x v="7"/>
    <s v="ZD07F070"/>
    <x v="43"/>
    <s v="F102"/>
    <s v="PARTICIPACION CIUDADANA"/>
    <s v="GI00F10200005D"/>
    <s v="GI00F10200005D CASAS SOMOS QUITO"/>
    <s v="71 GASTOS EN PERSONAL PARA INVERSIÓN"/>
    <s v="710204 Decimocuarto Sueldo"/>
    <s v="G/710204/1FF102"/>
    <s v="001"/>
    <n v="0"/>
    <n v="0"/>
    <n v="87.3"/>
    <n v="87.3"/>
    <n v="0"/>
    <n v="0"/>
    <n v="0"/>
    <n v="87.3"/>
    <n v="87.3"/>
    <n v="87.3"/>
  </r>
  <r>
    <s v="71"/>
    <x v="2"/>
    <x v="7"/>
    <s v="ZD07F070"/>
    <x v="43"/>
    <s v="F102"/>
    <s v="PARTICIPACION CIUDADANA"/>
    <s v="GI00F10200005D"/>
    <s v="GI00F10200005D CASAS SOMOS QUITO"/>
    <s v="71 GASTOS EN PERSONAL PARA INVERSIÓN"/>
    <s v="710204 Decimocuarto Sueldo"/>
    <s v="G/710204/1FF102"/>
    <s v="002"/>
    <n v="6087.3"/>
    <n v="0"/>
    <n v="-87.3"/>
    <n v="6000"/>
    <n v="1551.71"/>
    <n v="4448.29"/>
    <n v="4448.29"/>
    <n v="1551.71"/>
    <n v="1551.71"/>
    <n v="0"/>
  </r>
  <r>
    <s v="71"/>
    <x v="2"/>
    <x v="7"/>
    <s v="ZS03F030"/>
    <x v="45"/>
    <s v="F102"/>
    <s v="PARTICIPACION CIUDADANA"/>
    <s v="GI00F10200005D"/>
    <s v="GI00F10200005D CASAS SOMOS QUITO"/>
    <s v="71 GASTOS EN PERSONAL PARA INVERSIÓN"/>
    <s v="710204 Decimocuarto Sueldo"/>
    <s v="G/710204/1FF102"/>
    <s v="001"/>
    <n v="0"/>
    <n v="0"/>
    <n v="87.3"/>
    <n v="87.3"/>
    <n v="0"/>
    <n v="0"/>
    <n v="0"/>
    <n v="87.3"/>
    <n v="87.3"/>
    <n v="87.3"/>
  </r>
  <r>
    <s v="71"/>
    <x v="2"/>
    <x v="7"/>
    <s v="ZC09F090"/>
    <x v="10"/>
    <s v="F102"/>
    <s v="PARTICIPACION CIUDADANA"/>
    <s v="GI00F10200005D"/>
    <s v="GI00F10200005D CASAS SOMOS QUITO"/>
    <s v="71 GASTOS EN PERSONAL PARA INVERSIÓN"/>
    <s v="710204 Decimocuarto Sueldo"/>
    <s v="G/710204/1FF102"/>
    <s v="001"/>
    <n v="0"/>
    <n v="0"/>
    <n v="29.1"/>
    <n v="29.1"/>
    <n v="0"/>
    <n v="0"/>
    <n v="0"/>
    <n v="29.1"/>
    <n v="29.1"/>
    <n v="29.1"/>
  </r>
  <r>
    <s v="71"/>
    <x v="2"/>
    <x v="7"/>
    <s v="ZA01F000"/>
    <x v="25"/>
    <s v="F102"/>
    <s v="PARTICIPACION CIUDADANA"/>
    <s v="GI00F10200005D"/>
    <s v="GI00F10200005D CASAS SOMOS QUITO"/>
    <s v="71 GASTOS EN PERSONAL PARA INVERSIÓN"/>
    <s v="710204 Decimocuarto Sueldo"/>
    <s v="G/710204/1FF102"/>
    <s v="001"/>
    <n v="0"/>
    <n v="0"/>
    <n v="11.64"/>
    <n v="11.64"/>
    <n v="0"/>
    <n v="0"/>
    <n v="0"/>
    <n v="11.64"/>
    <n v="11.64"/>
    <n v="11.64"/>
  </r>
  <r>
    <s v="71"/>
    <x v="2"/>
    <x v="7"/>
    <s v="ZQ08F080"/>
    <x v="44"/>
    <s v="F102"/>
    <s v="PARTICIPACION CIUDADANA"/>
    <s v="GI00F10200005D"/>
    <s v="GI00F10200005D CASAS SOMOS QUITO"/>
    <s v="71 GASTOS EN PERSONAL PARA INVERSIÓN"/>
    <s v="710204 Decimocuarto Sueldo"/>
    <s v="G/710204/1FF102"/>
    <s v="002"/>
    <n v="3652.38"/>
    <n v="0"/>
    <n v="-52.38"/>
    <n v="3600"/>
    <n v="495.06"/>
    <n v="3104.94"/>
    <n v="3104.94"/>
    <n v="495.06"/>
    <n v="495.06"/>
    <n v="0"/>
  </r>
  <r>
    <s v="71"/>
    <x v="2"/>
    <x v="7"/>
    <s v="ZM04F040"/>
    <x v="41"/>
    <s v="F102"/>
    <s v="PARTICIPACION CIUDADANA"/>
    <s v="GI00F10200005D"/>
    <s v="GI00F10200005D CASAS SOMOS QUITO"/>
    <s v="71 GASTOS EN PERSONAL PARA INVERSIÓN"/>
    <s v="710204 Decimocuarto Sueldo"/>
    <s v="G/710204/1FF102"/>
    <s v="002"/>
    <n v="5275.66"/>
    <n v="0"/>
    <n v="-75.66"/>
    <n v="5200"/>
    <n v="789.42"/>
    <n v="4410.58"/>
    <n v="4410.58"/>
    <n v="789.42"/>
    <n v="789.42"/>
    <n v="0"/>
  </r>
  <r>
    <s v="71"/>
    <x v="2"/>
    <x v="7"/>
    <s v="ZT06F060"/>
    <x v="40"/>
    <s v="F102"/>
    <s v="PARTICIPACION CIUDADANA"/>
    <s v="GI00F10200005D"/>
    <s v="GI00F10200005D CASAS SOMOS QUITO"/>
    <s v="71 GASTOS EN PERSONAL PARA INVERSIÓN"/>
    <s v="710204 Decimocuarto Sueldo"/>
    <s v="G/710204/1FF102"/>
    <s v="001"/>
    <n v="0"/>
    <n v="0"/>
    <n v="40.74"/>
    <n v="40.74"/>
    <n v="0"/>
    <n v="0"/>
    <n v="0"/>
    <n v="40.74"/>
    <n v="40.74"/>
    <n v="40.74"/>
  </r>
  <r>
    <s v="71"/>
    <x v="2"/>
    <x v="7"/>
    <s v="ZV05F050"/>
    <x v="39"/>
    <s v="F102"/>
    <s v="PARTICIPACION CIUDADANA"/>
    <s v="GI00F10200005D"/>
    <s v="GI00F10200005D CASAS SOMOS QUITO"/>
    <s v="71 GASTOS EN PERSONAL PARA INVERSIÓN"/>
    <s v="710204 Decimocuarto Sueldo"/>
    <s v="G/710204/1FF102"/>
    <s v="001"/>
    <n v="0"/>
    <n v="0"/>
    <n v="75.66"/>
    <n v="75.66"/>
    <n v="0"/>
    <n v="0"/>
    <n v="0"/>
    <n v="75.66"/>
    <n v="75.66"/>
    <n v="75.66"/>
  </r>
  <r>
    <s v="71"/>
    <x v="2"/>
    <x v="7"/>
    <s v="TM68F100"/>
    <x v="36"/>
    <s v="F102"/>
    <s v="PARTICIPACION CIUDADANA"/>
    <s v="GI00F10200005D"/>
    <s v="GI00F10200005D CASAS SOMOS QUITO"/>
    <s v="71 GASTOS EN PERSONAL PARA INVERSIÓN"/>
    <s v="710204 Decimocuarto Sueldo"/>
    <s v="G/710204/1FF102"/>
    <s v="002"/>
    <n v="405.82"/>
    <n v="0"/>
    <n v="-5.82"/>
    <n v="400"/>
    <n v="20.62"/>
    <n v="379.38"/>
    <n v="379.38"/>
    <n v="20.62"/>
    <n v="20.62"/>
    <n v="0"/>
  </r>
  <r>
    <s v="71"/>
    <x v="2"/>
    <x v="7"/>
    <s v="ZA01F000"/>
    <x v="25"/>
    <s v="F102"/>
    <s v="PARTICIPACION CIUDADANA"/>
    <s v="GI00F10200005D"/>
    <s v="GI00F10200005D CASAS SOMOS QUITO"/>
    <s v="71 GASTOS EN PERSONAL PARA INVERSIÓN"/>
    <s v="710204 Decimocuarto Sueldo"/>
    <s v="G/710204/1FF102"/>
    <s v="002"/>
    <n v="811.64"/>
    <n v="0"/>
    <n v="-11.64"/>
    <n v="800"/>
    <n v="0"/>
    <n v="800"/>
    <n v="800"/>
    <n v="0"/>
    <n v="0"/>
    <n v="0"/>
  </r>
  <r>
    <s v="71"/>
    <x v="2"/>
    <x v="7"/>
    <s v="ZV05F050"/>
    <x v="39"/>
    <s v="F102"/>
    <s v="PARTICIPACION CIUDADANA"/>
    <s v="GI00F10200005D"/>
    <s v="GI00F10200005D CASAS SOMOS QUITO"/>
    <s v="71 GASTOS EN PERSONAL PARA INVERSIÓN"/>
    <s v="710204 Decimocuarto Sueldo"/>
    <s v="G/710204/1FF102"/>
    <s v="002"/>
    <n v="5275.66"/>
    <n v="0"/>
    <n v="-75.66"/>
    <n v="5200"/>
    <n v="559.53"/>
    <n v="4640.47"/>
    <n v="4640.47"/>
    <n v="559.53"/>
    <n v="559.53"/>
    <n v="0"/>
  </r>
  <r>
    <s v="71"/>
    <x v="2"/>
    <x v="7"/>
    <s v="ZD07F070"/>
    <x v="43"/>
    <s v="F102"/>
    <s v="PARTICIPACION CIUDADANA"/>
    <s v="GI00F10200005D"/>
    <s v="GI00F10200005D CASAS SOMOS QUITO"/>
    <s v="71 GASTOS EN PERSONAL PARA INVERSIÓN"/>
    <s v="710507 Honorarios"/>
    <s v="G/710507/1FF102"/>
    <s v="002"/>
    <n v="0"/>
    <n v="1832.2"/>
    <n v="-0.1"/>
    <n v="1832.1"/>
    <n v="0"/>
    <n v="1832.1"/>
    <n v="1832.1"/>
    <n v="0"/>
    <n v="0"/>
    <n v="0"/>
  </r>
  <r>
    <s v="71"/>
    <x v="2"/>
    <x v="7"/>
    <s v="ZN02F020"/>
    <x v="46"/>
    <s v="F102"/>
    <s v="PARTICIPACION CIUDADANA"/>
    <s v="GI00F10200005D"/>
    <s v="GI00F10200005D CASAS SOMOS QUITO"/>
    <s v="71 GASTOS EN PERSONAL PARA INVERSIÓN"/>
    <s v="710507 Honorarios"/>
    <s v="G/710507/1FF102"/>
    <s v="002"/>
    <n v="0"/>
    <n v="880"/>
    <n v="0"/>
    <n v="880"/>
    <n v="0"/>
    <n v="880"/>
    <n v="880"/>
    <n v="0"/>
    <n v="0"/>
    <n v="0"/>
  </r>
  <r>
    <s v="71"/>
    <x v="2"/>
    <x v="7"/>
    <s v="ZT06F060"/>
    <x v="40"/>
    <s v="F102"/>
    <s v="PARTICIPACION CIUDADANA"/>
    <s v="GI00F10200005D"/>
    <s v="GI00F10200005D CASAS SOMOS QUITO"/>
    <s v="71 GASTOS EN PERSONAL PARA INVERSIÓN"/>
    <s v="710507 Honorarios"/>
    <s v="G/710507/1FF102"/>
    <s v="002"/>
    <n v="0"/>
    <n v="550"/>
    <n v="-5.33"/>
    <n v="544.66999999999996"/>
    <n v="0"/>
    <n v="544.66999999999996"/>
    <n v="544.66999999999996"/>
    <n v="0"/>
    <n v="0"/>
    <n v="0"/>
  </r>
  <r>
    <s v="71"/>
    <x v="2"/>
    <x v="7"/>
    <s v="ZC09F090"/>
    <x v="10"/>
    <s v="F102"/>
    <s v="PARTICIPACION CIUDADANA"/>
    <s v="GI00F10200005D"/>
    <s v="GI00F10200005D CASAS SOMOS QUITO"/>
    <s v="71 GASTOS EN PERSONAL PARA INVERSIÓN"/>
    <s v="710507 Honorarios"/>
    <s v="G/710507/1FF102"/>
    <s v="002"/>
    <n v="0"/>
    <n v="1650"/>
    <n v="0"/>
    <n v="1650"/>
    <n v="0"/>
    <n v="1650"/>
    <n v="1650"/>
    <n v="0"/>
    <n v="0"/>
    <n v="0"/>
  </r>
  <r>
    <s v="71"/>
    <x v="2"/>
    <x v="7"/>
    <s v="ZM04F040"/>
    <x v="41"/>
    <s v="F102"/>
    <s v="PARTICIPACION CIUDADANA"/>
    <s v="GI00F10200005D"/>
    <s v="GI00F10200005D CASAS SOMOS QUITO"/>
    <s v="71 GASTOS EN PERSONAL PARA INVERSIÓN"/>
    <s v="710507 Honorarios"/>
    <s v="G/710507/1FF102"/>
    <s v="002"/>
    <n v="0"/>
    <n v="1500"/>
    <n v="-214.8"/>
    <n v="1285.2"/>
    <n v="0"/>
    <n v="1285.2"/>
    <n v="1285.2"/>
    <n v="0"/>
    <n v="0"/>
    <n v="0"/>
  </r>
  <r>
    <s v="71"/>
    <x v="2"/>
    <x v="7"/>
    <s v="ZS03F030"/>
    <x v="45"/>
    <s v="F102"/>
    <s v="PARTICIPACION CIUDADANA"/>
    <s v="GI00F10200005D"/>
    <s v="GI00F10200005D CASAS SOMOS QUITO"/>
    <s v="71 GASTOS EN PERSONAL PARA INVERSIÓN"/>
    <s v="710507 Honorarios"/>
    <s v="G/710507/1FF102"/>
    <s v="002"/>
    <n v="0"/>
    <n v="850"/>
    <n v="-23.8"/>
    <n v="826.2"/>
    <n v="0"/>
    <n v="826.2"/>
    <n v="826.2"/>
    <n v="0"/>
    <n v="0"/>
    <n v="0"/>
  </r>
  <r>
    <s v="71"/>
    <x v="2"/>
    <x v="7"/>
    <s v="ZQ08F080"/>
    <x v="44"/>
    <s v="F102"/>
    <s v="PARTICIPACION CIUDADANA"/>
    <s v="GI00F10200005D"/>
    <s v="GI00F10200005D CASAS SOMOS QUITO"/>
    <s v="71 GASTOS EN PERSONAL PARA INVERSIÓN"/>
    <s v="710507 Honorarios"/>
    <s v="G/710507/1FF102"/>
    <s v="002"/>
    <n v="0"/>
    <n v="2025.33"/>
    <n v="-0.53"/>
    <n v="2024.8"/>
    <n v="0"/>
    <n v="2024.8"/>
    <n v="2024.8"/>
    <n v="0"/>
    <n v="0"/>
    <n v="0"/>
  </r>
  <r>
    <s v="71"/>
    <x v="2"/>
    <x v="7"/>
    <s v="ZD07F070"/>
    <x v="43"/>
    <s v="F102"/>
    <s v="PARTICIPACION CIUDADANA"/>
    <s v="GI00F10200005D"/>
    <s v="GI00F10200005D CASAS SOMOS QUITO"/>
    <s v="71 GASTOS EN PERSONAL PARA INVERSIÓN"/>
    <s v="710507 Honorarios"/>
    <s v="G/710507/1FF102"/>
    <s v="001"/>
    <n v="0"/>
    <n v="0"/>
    <n v="1439.51"/>
    <n v="1439.51"/>
    <n v="0"/>
    <n v="0"/>
    <n v="0"/>
    <n v="1439.51"/>
    <n v="1439.51"/>
    <n v="1439.51"/>
  </r>
  <r>
    <s v="71"/>
    <x v="2"/>
    <x v="7"/>
    <s v="ZM04F040"/>
    <x v="41"/>
    <s v="F102"/>
    <s v="PARTICIPACION CIUDADANA"/>
    <s v="GI00F10200005D"/>
    <s v="GI00F10200005D CASAS SOMOS QUITO"/>
    <s v="71 GASTOS EN PERSONAL PARA INVERSIÓN"/>
    <s v="710507 Honorarios"/>
    <s v="G/710507/1FF102"/>
    <s v="001"/>
    <n v="0"/>
    <n v="0"/>
    <n v="1009.8"/>
    <n v="1009.8"/>
    <n v="0"/>
    <n v="0"/>
    <n v="0"/>
    <n v="1009.8"/>
    <n v="1009.8"/>
    <n v="1009.8"/>
  </r>
  <r>
    <s v="71"/>
    <x v="2"/>
    <x v="7"/>
    <s v="ZQ08F080"/>
    <x v="44"/>
    <s v="F102"/>
    <s v="PARTICIPACION CIUDADANA"/>
    <s v="GI00F10200005D"/>
    <s v="GI00F10200005D CASAS SOMOS QUITO"/>
    <s v="71 GASTOS EN PERSONAL PARA INVERSIÓN"/>
    <s v="710507 Honorarios"/>
    <s v="G/710507/1FF102"/>
    <s v="001"/>
    <n v="0"/>
    <n v="0"/>
    <n v="1590.91"/>
    <n v="1590.91"/>
    <n v="0"/>
    <n v="0"/>
    <n v="0"/>
    <n v="1590.91"/>
    <n v="1590.91"/>
    <n v="1590.91"/>
  </r>
  <r>
    <s v="71"/>
    <x v="2"/>
    <x v="7"/>
    <s v="ZS03F030"/>
    <x v="45"/>
    <s v="F102"/>
    <s v="PARTICIPACION CIUDADANA"/>
    <s v="GI00F10200005D"/>
    <s v="GI00F10200005D CASAS SOMOS QUITO"/>
    <s v="71 GASTOS EN PERSONAL PARA INVERSIÓN"/>
    <s v="710507 Honorarios"/>
    <s v="G/710507/1FF102"/>
    <s v="001"/>
    <n v="0"/>
    <n v="0"/>
    <n v="649.16"/>
    <n v="649.16"/>
    <n v="0"/>
    <n v="0"/>
    <n v="0"/>
    <n v="649.16"/>
    <n v="649.16"/>
    <n v="649.16"/>
  </r>
  <r>
    <s v="71"/>
    <x v="2"/>
    <x v="7"/>
    <s v="ZT06F060"/>
    <x v="40"/>
    <s v="F102"/>
    <s v="PARTICIPACION CIUDADANA"/>
    <s v="GI00F10200005D"/>
    <s v="GI00F10200005D CASAS SOMOS QUITO"/>
    <s v="71 GASTOS EN PERSONAL PARA INVERSIÓN"/>
    <s v="710507 Honorarios"/>
    <s v="G/710507/1FF102"/>
    <s v="001"/>
    <n v="0"/>
    <n v="0"/>
    <n v="427.96"/>
    <n v="427.96"/>
    <n v="0"/>
    <n v="0"/>
    <n v="0"/>
    <n v="427.96"/>
    <n v="427.96"/>
    <n v="427.96"/>
  </r>
  <r>
    <s v="71"/>
    <x v="2"/>
    <x v="7"/>
    <s v="ZC09F090"/>
    <x v="10"/>
    <s v="F102"/>
    <s v="PARTICIPACION CIUDADANA"/>
    <s v="GI00F10200005D"/>
    <s v="GI00F10200005D CASAS SOMOS QUITO"/>
    <s v="71 GASTOS EN PERSONAL PARA INVERSIÓN"/>
    <s v="710507 Honorarios"/>
    <s v="G/710507/1FF102"/>
    <s v="001"/>
    <n v="0"/>
    <n v="0"/>
    <n v="806.67"/>
    <n v="806.67"/>
    <n v="0"/>
    <n v="0"/>
    <n v="0"/>
    <n v="806.67"/>
    <n v="806.67"/>
    <n v="806.67"/>
  </r>
  <r>
    <s v="71"/>
    <x v="2"/>
    <x v="7"/>
    <s v="ZT06F060"/>
    <x v="40"/>
    <s v="F102"/>
    <s v="PARTICIPACION CIUDADANA"/>
    <s v="GI00F10200005D"/>
    <s v="GI00F10200005D CASAS SOMOS QUITO"/>
    <s v="71 GASTOS EN PERSONAL PARA INVERSIÓN"/>
    <s v="710510 Servicios Personales por Contrato"/>
    <s v="G/710510/1FF102"/>
    <s v="002"/>
    <n v="75660"/>
    <n v="0"/>
    <n v="0"/>
    <n v="75660"/>
    <n v="11327.7"/>
    <n v="64332.3"/>
    <n v="64332.3"/>
    <n v="11327.7"/>
    <n v="11327.7"/>
    <n v="0"/>
  </r>
  <r>
    <s v="71"/>
    <x v="2"/>
    <x v="7"/>
    <s v="ZD07F070"/>
    <x v="43"/>
    <s v="F102"/>
    <s v="PARTICIPACION CIUDADANA"/>
    <s v="GI00F10200005D"/>
    <s v="GI00F10200005D CASAS SOMOS QUITO"/>
    <s v="71 GASTOS EN PERSONAL PARA INVERSIÓN"/>
    <s v="710510 Servicios Personales por Contrato"/>
    <s v="G/710510/1FF102"/>
    <s v="002"/>
    <n v="157728"/>
    <n v="0"/>
    <n v="0"/>
    <n v="157728"/>
    <n v="23055.8"/>
    <n v="134672.20000000001"/>
    <n v="134672.20000000001"/>
    <n v="23055.8"/>
    <n v="23055.8"/>
    <n v="0"/>
  </r>
  <r>
    <s v="71"/>
    <x v="2"/>
    <x v="7"/>
    <s v="TM68F100"/>
    <x v="36"/>
    <s v="F102"/>
    <s v="PARTICIPACION CIUDADANA"/>
    <s v="GI00F10200005D"/>
    <s v="GI00F10200005D CASAS SOMOS QUITO"/>
    <s v="71 GASTOS EN PERSONAL PARA INVERSIÓN"/>
    <s v="710510 Servicios Personales por Contrato"/>
    <s v="G/710510/1FF102"/>
    <s v="002"/>
    <n v="9804"/>
    <n v="0"/>
    <n v="0"/>
    <n v="9804"/>
    <n v="817"/>
    <n v="8987"/>
    <n v="8987"/>
    <n v="817"/>
    <n v="817"/>
    <n v="0"/>
  </r>
  <r>
    <s v="71"/>
    <x v="2"/>
    <x v="7"/>
    <s v="ZN02F020"/>
    <x v="46"/>
    <s v="F102"/>
    <s v="PARTICIPACION CIUDADANA"/>
    <s v="GI00F10200005D"/>
    <s v="GI00F10200005D CASAS SOMOS QUITO"/>
    <s v="71 GASTOS EN PERSONAL PARA INVERSIÓN"/>
    <s v="710510 Servicios Personales por Contrato"/>
    <s v="G/710510/1FF102"/>
    <s v="002"/>
    <n v="128316"/>
    <n v="0"/>
    <n v="0"/>
    <n v="128316"/>
    <n v="19982.599999999999"/>
    <n v="108333.4"/>
    <n v="108333.4"/>
    <n v="19982.599999999999"/>
    <n v="19982.599999999999"/>
    <n v="0"/>
  </r>
  <r>
    <s v="71"/>
    <x v="2"/>
    <x v="7"/>
    <s v="ZM04F040"/>
    <x v="41"/>
    <s v="F102"/>
    <s v="PARTICIPACION CIUDADANA"/>
    <s v="GI00F10200005D"/>
    <s v="GI00F10200005D CASAS SOMOS QUITO"/>
    <s v="71 GASTOS EN PERSONAL PARA INVERSIÓN"/>
    <s v="710510 Servicios Personales por Contrato"/>
    <s v="G/710510/1FF102"/>
    <s v="002"/>
    <n v="138120"/>
    <n v="0"/>
    <n v="0"/>
    <n v="138120"/>
    <n v="15768.67"/>
    <n v="122351.33"/>
    <n v="122351.33"/>
    <n v="15768.67"/>
    <n v="15768.67"/>
    <n v="0"/>
  </r>
  <r>
    <s v="71"/>
    <x v="2"/>
    <x v="7"/>
    <s v="ZC09F090"/>
    <x v="10"/>
    <s v="F102"/>
    <s v="PARTICIPACION CIUDADANA"/>
    <s v="GI00F10200005D"/>
    <s v="GI00F10200005D CASAS SOMOS QUITO"/>
    <s v="71 GASTOS EN PERSONAL PARA INVERSIÓN"/>
    <s v="710510 Servicios Personales por Contrato"/>
    <s v="G/710510/1FF102"/>
    <s v="002"/>
    <n v="54840"/>
    <n v="0"/>
    <n v="0"/>
    <n v="54840"/>
    <n v="7980"/>
    <n v="46860"/>
    <n v="46860"/>
    <n v="7980"/>
    <n v="7980"/>
    <n v="0"/>
  </r>
  <r>
    <s v="71"/>
    <x v="2"/>
    <x v="7"/>
    <s v="ZA01F000"/>
    <x v="25"/>
    <s v="F102"/>
    <s v="PARTICIPACION CIUDADANA"/>
    <s v="GI00F10200005D"/>
    <s v="GI00F10200005D CASAS SOMOS QUITO"/>
    <s v="71 GASTOS EN PERSONAL PARA INVERSIÓN"/>
    <s v="710510 Servicios Personales por Contrato"/>
    <s v="G/710510/1FF102"/>
    <s v="002"/>
    <n v="28236"/>
    <n v="0"/>
    <n v="0"/>
    <n v="28236"/>
    <n v="2353"/>
    <n v="25883"/>
    <n v="25883"/>
    <n v="2353"/>
    <n v="2353"/>
    <n v="0"/>
  </r>
  <r>
    <s v="71"/>
    <x v="2"/>
    <x v="7"/>
    <s v="ZQ08F080"/>
    <x v="44"/>
    <s v="F102"/>
    <s v="PARTICIPACION CIUDADANA"/>
    <s v="GI00F10200005D"/>
    <s v="GI00F10200005D CASAS SOMOS QUITO"/>
    <s v="71 GASTOS EN PERSONAL PARA INVERSIÓN"/>
    <s v="710510 Servicios Personales por Contrato"/>
    <s v="G/710510/1FF102"/>
    <s v="002"/>
    <n v="96480"/>
    <n v="0"/>
    <n v="0"/>
    <n v="96480"/>
    <n v="3037.37"/>
    <n v="93442.63"/>
    <n v="93442.63"/>
    <n v="3037.37"/>
    <n v="3037.37"/>
    <n v="0"/>
  </r>
  <r>
    <s v="71"/>
    <x v="2"/>
    <x v="7"/>
    <s v="ZV05F050"/>
    <x v="39"/>
    <s v="F102"/>
    <s v="PARTICIPACION CIUDADANA"/>
    <s v="GI00F10200005D"/>
    <s v="GI00F10200005D CASAS SOMOS QUITO"/>
    <s v="71 GASTOS EN PERSONAL PARA INVERSIÓN"/>
    <s v="710510 Servicios Personales por Contrato"/>
    <s v="G/710510/1FF102"/>
    <s v="002"/>
    <n v="138120"/>
    <n v="0"/>
    <n v="0"/>
    <n v="138120"/>
    <n v="21477.03"/>
    <n v="116642.97"/>
    <n v="116642.97"/>
    <n v="21477.03"/>
    <n v="21477.03"/>
    <n v="0"/>
  </r>
  <r>
    <s v="71"/>
    <x v="2"/>
    <x v="7"/>
    <s v="ZQ08F080"/>
    <x v="44"/>
    <s v="F102"/>
    <s v="PARTICIPACION CIUDADANA"/>
    <s v="GI00F10200005D"/>
    <s v="GI00F10200005D CASAS SOMOS QUITO"/>
    <s v="71 GASTOS EN PERSONAL PARA INVERSIÓN"/>
    <s v="710510 Servicios Personales por Contrato"/>
    <s v="G/710510/1FF102"/>
    <s v="001"/>
    <n v="0"/>
    <n v="5900"/>
    <n v="4320.26"/>
    <n v="10220.26"/>
    <n v="5900"/>
    <n v="0"/>
    <n v="0"/>
    <n v="10220.26"/>
    <n v="10220.26"/>
    <n v="4320.26"/>
  </r>
  <r>
    <s v="71"/>
    <x v="2"/>
    <x v="7"/>
    <s v="ZS03F030"/>
    <x v="45"/>
    <s v="F102"/>
    <s v="PARTICIPACION CIUDADANA"/>
    <s v="GI00F10200005D"/>
    <s v="GI00F10200005D CASAS SOMOS QUITO"/>
    <s v="71 GASTOS EN PERSONAL PARA INVERSIÓN"/>
    <s v="710510 Servicios Personales por Contrato"/>
    <s v="G/710510/1FF102"/>
    <s v="002"/>
    <n v="158940"/>
    <n v="0"/>
    <n v="0"/>
    <n v="158940"/>
    <n v="15536.94"/>
    <n v="143403.06"/>
    <n v="143403.06"/>
    <n v="15536.94"/>
    <n v="15536.94"/>
    <n v="0"/>
  </r>
  <r>
    <s v="71"/>
    <x v="2"/>
    <x v="7"/>
    <s v="TM68F100"/>
    <x v="36"/>
    <s v="F102"/>
    <s v="PARTICIPACION CIUDADANA"/>
    <s v="GI00F10200005D"/>
    <s v="GI00F10200005D CASAS SOMOS QUITO"/>
    <s v="71 GASTOS EN PERSONAL PARA INVERSIÓN"/>
    <s v="710601 Aporte Patronal"/>
    <s v="G/710601/1FF102"/>
    <s v="002"/>
    <n v="1240.21"/>
    <n v="0"/>
    <n v="0"/>
    <n v="1240.21"/>
    <n v="103.36"/>
    <n v="1136.8499999999999"/>
    <n v="1136.8499999999999"/>
    <n v="103.36"/>
    <n v="103.36"/>
    <n v="0"/>
  </r>
  <r>
    <s v="71"/>
    <x v="2"/>
    <x v="7"/>
    <s v="ZC09F090"/>
    <x v="10"/>
    <s v="F102"/>
    <s v="PARTICIPACION CIUDADANA"/>
    <s v="GI00F10200005D"/>
    <s v="GI00F10200005D CASAS SOMOS QUITO"/>
    <s v="71 GASTOS EN PERSONAL PARA INVERSIÓN"/>
    <s v="710601 Aporte Patronal"/>
    <s v="G/710601/1FF102"/>
    <s v="002"/>
    <n v="6937.26"/>
    <n v="0"/>
    <n v="0"/>
    <n v="6937.26"/>
    <n v="800.69"/>
    <n v="6136.57"/>
    <n v="6136.57"/>
    <n v="800.69"/>
    <n v="800.69"/>
    <n v="0"/>
  </r>
  <r>
    <s v="71"/>
    <x v="2"/>
    <x v="7"/>
    <s v="ZQ08F080"/>
    <x v="44"/>
    <s v="F102"/>
    <s v="PARTICIPACION CIUDADANA"/>
    <s v="GI00F10200005D"/>
    <s v="GI00F10200005D CASAS SOMOS QUITO"/>
    <s v="71 GASTOS EN PERSONAL PARA INVERSIÓN"/>
    <s v="710601 Aporte Patronal"/>
    <s v="G/710601/1FF102"/>
    <s v="001"/>
    <n v="0"/>
    <n v="1000"/>
    <n v="989.36"/>
    <n v="1989.36"/>
    <n v="1000"/>
    <n v="0"/>
    <n v="0"/>
    <n v="1989.36"/>
    <n v="1989.36"/>
    <n v="989.36"/>
  </r>
  <r>
    <s v="71"/>
    <x v="2"/>
    <x v="7"/>
    <s v="ZS03F030"/>
    <x v="45"/>
    <s v="F102"/>
    <s v="PARTICIPACION CIUDADANA"/>
    <s v="GI00F10200005D"/>
    <s v="GI00F10200005D CASAS SOMOS QUITO"/>
    <s v="71 GASTOS EN PERSONAL PARA INVERSIÓN"/>
    <s v="710601 Aporte Patronal"/>
    <s v="G/710601/1FF102"/>
    <s v="002"/>
    <n v="20105.91"/>
    <n v="0"/>
    <n v="0"/>
    <n v="20105.91"/>
    <n v="1860.73"/>
    <n v="18245.18"/>
    <n v="18245.18"/>
    <n v="1860.73"/>
    <n v="1860.73"/>
    <n v="0"/>
  </r>
  <r>
    <s v="71"/>
    <x v="2"/>
    <x v="7"/>
    <s v="TM68F100"/>
    <x v="36"/>
    <s v="F102"/>
    <s v="PARTICIPACION CIUDADANA"/>
    <s v="GI00F10200005D"/>
    <s v="GI00F10200005D CASAS SOMOS QUITO"/>
    <s v="71 GASTOS EN PERSONAL PARA INVERSIÓN"/>
    <s v="710601 Aporte Patronal"/>
    <s v="G/710601/1FF102"/>
    <s v="001"/>
    <n v="0"/>
    <n v="0"/>
    <n v="10.33"/>
    <n v="10.33"/>
    <n v="0"/>
    <n v="0"/>
    <n v="0"/>
    <n v="10.33"/>
    <n v="10.33"/>
    <n v="10.33"/>
  </r>
  <r>
    <s v="71"/>
    <x v="2"/>
    <x v="7"/>
    <s v="ZQ08F080"/>
    <x v="44"/>
    <s v="F102"/>
    <s v="PARTICIPACION CIUDADANA"/>
    <s v="GI00F10200005D"/>
    <s v="GI00F10200005D CASAS SOMOS QUITO"/>
    <s v="71 GASTOS EN PERSONAL PARA INVERSIÓN"/>
    <s v="710601 Aporte Patronal"/>
    <s v="G/710601/1FF102"/>
    <s v="002"/>
    <n v="12204.72"/>
    <n v="0"/>
    <n v="0"/>
    <n v="12204.72"/>
    <n v="127.99"/>
    <n v="12076.73"/>
    <n v="12076.73"/>
    <n v="127.99"/>
    <n v="127.99"/>
    <n v="0"/>
  </r>
  <r>
    <s v="71"/>
    <x v="2"/>
    <x v="7"/>
    <s v="ZA01F000"/>
    <x v="25"/>
    <s v="F102"/>
    <s v="PARTICIPACION CIUDADANA"/>
    <s v="GI00F10200005D"/>
    <s v="GI00F10200005D CASAS SOMOS QUITO"/>
    <s v="71 GASTOS EN PERSONAL PARA INVERSIÓN"/>
    <s v="710601 Aporte Patronal"/>
    <s v="G/710601/1FF102"/>
    <s v="001"/>
    <n v="0"/>
    <n v="0"/>
    <n v="29.72"/>
    <n v="29.72"/>
    <n v="0"/>
    <n v="0"/>
    <n v="0"/>
    <n v="29.72"/>
    <n v="29.72"/>
    <n v="29.72"/>
  </r>
  <r>
    <s v="71"/>
    <x v="2"/>
    <x v="7"/>
    <s v="ZD07F070"/>
    <x v="43"/>
    <s v="F102"/>
    <s v="PARTICIPACION CIUDADANA"/>
    <s v="GI00F10200005D"/>
    <s v="GI00F10200005D CASAS SOMOS QUITO"/>
    <s v="71 GASTOS EN PERSONAL PARA INVERSIÓN"/>
    <s v="710601 Aporte Patronal"/>
    <s v="G/710601/1FF102"/>
    <s v="002"/>
    <n v="19952.59"/>
    <n v="0"/>
    <n v="0"/>
    <n v="19952.59"/>
    <n v="2684.62"/>
    <n v="17267.97"/>
    <n v="17267.97"/>
    <n v="2684.62"/>
    <n v="2684.62"/>
    <n v="0"/>
  </r>
  <r>
    <s v="71"/>
    <x v="2"/>
    <x v="7"/>
    <s v="ZA01F000"/>
    <x v="25"/>
    <s v="F102"/>
    <s v="PARTICIPACION CIUDADANA"/>
    <s v="GI00F10200005D"/>
    <s v="GI00F10200005D CASAS SOMOS QUITO"/>
    <s v="71 GASTOS EN PERSONAL PARA INVERSIÓN"/>
    <s v="710601 Aporte Patronal"/>
    <s v="G/710601/1FF102"/>
    <s v="002"/>
    <n v="3571.85"/>
    <n v="0"/>
    <n v="0"/>
    <n v="3571.85"/>
    <n v="297.7"/>
    <n v="3274.15"/>
    <n v="3274.15"/>
    <n v="297.7"/>
    <n v="297.7"/>
    <n v="0"/>
  </r>
  <r>
    <s v="71"/>
    <x v="2"/>
    <x v="7"/>
    <s v="ZN02F020"/>
    <x v="46"/>
    <s v="F102"/>
    <s v="PARTICIPACION CIUDADANA"/>
    <s v="GI00F10200005D"/>
    <s v="GI00F10200005D CASAS SOMOS QUITO"/>
    <s v="71 GASTOS EN PERSONAL PARA INVERSIÓN"/>
    <s v="710601 Aporte Patronal"/>
    <s v="G/710601/1FF102"/>
    <s v="002"/>
    <n v="16231.97"/>
    <n v="0"/>
    <n v="0"/>
    <n v="16231.97"/>
    <n v="2416.31"/>
    <n v="13815.66"/>
    <n v="13815.66"/>
    <n v="2416.31"/>
    <n v="2416.31"/>
    <n v="0"/>
  </r>
  <r>
    <s v="71"/>
    <x v="2"/>
    <x v="7"/>
    <s v="ZT06F060"/>
    <x v="40"/>
    <s v="F102"/>
    <s v="PARTICIPACION CIUDADANA"/>
    <s v="GI00F10200005D"/>
    <s v="GI00F10200005D CASAS SOMOS QUITO"/>
    <s v="71 GASTOS EN PERSONAL PARA INVERSIÓN"/>
    <s v="710601 Aporte Patronal"/>
    <s v="G/710601/1FF102"/>
    <s v="002"/>
    <n v="9570.99"/>
    <n v="0"/>
    <n v="0"/>
    <n v="9570.99"/>
    <n v="1363.98"/>
    <n v="8207.01"/>
    <n v="8207.01"/>
    <n v="1363.98"/>
    <n v="1363.98"/>
    <n v="0"/>
  </r>
  <r>
    <s v="71"/>
    <x v="2"/>
    <x v="7"/>
    <s v="ZM04F040"/>
    <x v="41"/>
    <s v="F102"/>
    <s v="PARTICIPACION CIUDADANA"/>
    <s v="GI00F10200005D"/>
    <s v="GI00F10200005D CASAS SOMOS QUITO"/>
    <s v="71 GASTOS EN PERSONAL PARA INVERSIÓN"/>
    <s v="710601 Aporte Patronal"/>
    <s v="G/710601/1FF102"/>
    <s v="002"/>
    <n v="17472.18"/>
    <n v="0"/>
    <n v="0"/>
    <n v="17472.18"/>
    <n v="1832"/>
    <n v="15640.18"/>
    <n v="15640.18"/>
    <n v="1832"/>
    <n v="1832"/>
    <n v="0"/>
  </r>
  <r>
    <s v="71"/>
    <x v="2"/>
    <x v="7"/>
    <s v="ZV05F050"/>
    <x v="39"/>
    <s v="F102"/>
    <s v="PARTICIPACION CIUDADANA"/>
    <s v="GI00F10200005D"/>
    <s v="GI00F10200005D CASAS SOMOS QUITO"/>
    <s v="71 GASTOS EN PERSONAL PARA INVERSIÓN"/>
    <s v="710601 Aporte Patronal"/>
    <s v="G/710601/1FF102"/>
    <s v="002"/>
    <n v="17472.18"/>
    <n v="0"/>
    <n v="0"/>
    <n v="17472.18"/>
    <n v="2806.88"/>
    <n v="14665.3"/>
    <n v="14665.3"/>
    <n v="2806.88"/>
    <n v="2806.88"/>
    <n v="0"/>
  </r>
  <r>
    <s v="71"/>
    <x v="2"/>
    <x v="7"/>
    <s v="ZS03F030"/>
    <x v="45"/>
    <s v="F102"/>
    <s v="PARTICIPACION CIUDADANA"/>
    <s v="GI00F10200005D"/>
    <s v="GI00F10200005D CASAS SOMOS QUITO"/>
    <s v="71 GASTOS EN PERSONAL PARA INVERSIÓN"/>
    <s v="710602 Fondo de Reserva"/>
    <s v="G/710602/1FF102"/>
    <s v="002"/>
    <n v="13245"/>
    <n v="0"/>
    <n v="0"/>
    <n v="13245"/>
    <n v="5029.04"/>
    <n v="8215.9599999999991"/>
    <n v="8215.9599999999991"/>
    <n v="5029.04"/>
    <n v="5029.04"/>
    <n v="0"/>
  </r>
  <r>
    <s v="71"/>
    <x v="2"/>
    <x v="7"/>
    <s v="ZQ08F080"/>
    <x v="44"/>
    <s v="F102"/>
    <s v="PARTICIPACION CIUDADANA"/>
    <s v="GI00F10200005D"/>
    <s v="GI00F10200005D CASAS SOMOS QUITO"/>
    <s v="71 GASTOS EN PERSONAL PARA INVERSIÓN"/>
    <s v="710602 Fondo de Reserva"/>
    <s v="G/710602/1FF102"/>
    <s v="002"/>
    <n v="8040"/>
    <n v="0"/>
    <n v="0"/>
    <n v="8040"/>
    <n v="2903.28"/>
    <n v="5136.72"/>
    <n v="5136.72"/>
    <n v="2903.28"/>
    <n v="2903.28"/>
    <n v="0"/>
  </r>
  <r>
    <s v="71"/>
    <x v="2"/>
    <x v="7"/>
    <s v="ZA01F000"/>
    <x v="25"/>
    <s v="F102"/>
    <s v="PARTICIPACION CIUDADANA"/>
    <s v="GI00F10200005D"/>
    <s v="GI00F10200005D CASAS SOMOS QUITO"/>
    <s v="71 GASTOS EN PERSONAL PARA INVERSIÓN"/>
    <s v="710602 Fondo de Reserva"/>
    <s v="G/710602/1FF102"/>
    <s v="002"/>
    <n v="2353"/>
    <n v="0"/>
    <n v="0"/>
    <n v="2353"/>
    <n v="452.3"/>
    <n v="1900.7"/>
    <n v="1900.7"/>
    <n v="452.3"/>
    <n v="452.3"/>
    <n v="0"/>
  </r>
  <r>
    <s v="71"/>
    <x v="2"/>
    <x v="7"/>
    <s v="ZT06F060"/>
    <x v="40"/>
    <s v="F102"/>
    <s v="PARTICIPACION CIUDADANA"/>
    <s v="GI00F10200005D"/>
    <s v="GI00F10200005D CASAS SOMOS QUITO"/>
    <s v="71 GASTOS EN PERSONAL PARA INVERSIÓN"/>
    <s v="710602 Fondo de Reserva"/>
    <s v="G/710602/1FF102"/>
    <s v="002"/>
    <n v="6305"/>
    <n v="0"/>
    <n v="0"/>
    <n v="6305"/>
    <n v="3166.85"/>
    <n v="3138.15"/>
    <n v="3138.15"/>
    <n v="3166.85"/>
    <n v="3166.85"/>
    <n v="0"/>
  </r>
  <r>
    <s v="71"/>
    <x v="2"/>
    <x v="7"/>
    <s v="ZV05F050"/>
    <x v="39"/>
    <s v="F102"/>
    <s v="PARTICIPACION CIUDADANA"/>
    <s v="GI00F10200005D"/>
    <s v="GI00F10200005D CASAS SOMOS QUITO"/>
    <s v="71 GASTOS EN PERSONAL PARA INVERSIÓN"/>
    <s v="710602 Fondo de Reserva"/>
    <s v="G/710602/1FF102"/>
    <s v="002"/>
    <n v="11510"/>
    <n v="0"/>
    <n v="0"/>
    <n v="11510"/>
    <n v="4367.7700000000004"/>
    <n v="7142.23"/>
    <n v="7142.23"/>
    <n v="4367.7700000000004"/>
    <n v="4367.7700000000004"/>
    <n v="0"/>
  </r>
  <r>
    <s v="71"/>
    <x v="2"/>
    <x v="7"/>
    <s v="ZM04F040"/>
    <x v="41"/>
    <s v="F102"/>
    <s v="PARTICIPACION CIUDADANA"/>
    <s v="GI00F10200005D"/>
    <s v="GI00F10200005D CASAS SOMOS QUITO"/>
    <s v="71 GASTOS EN PERSONAL PARA INVERSIÓN"/>
    <s v="710602 Fondo de Reserva"/>
    <s v="G/710602/1FF102"/>
    <s v="002"/>
    <n v="11510"/>
    <n v="0"/>
    <n v="0"/>
    <n v="11510"/>
    <n v="5669.71"/>
    <n v="5840.29"/>
    <n v="5840.29"/>
    <n v="5669.71"/>
    <n v="5669.71"/>
    <n v="0"/>
  </r>
  <r>
    <s v="71"/>
    <x v="2"/>
    <x v="7"/>
    <s v="ZN02F020"/>
    <x v="46"/>
    <s v="F102"/>
    <s v="PARTICIPACION CIUDADANA"/>
    <s v="GI00F10200005D"/>
    <s v="GI00F10200005D CASAS SOMOS QUITO"/>
    <s v="71 GASTOS EN PERSONAL PARA INVERSIÓN"/>
    <s v="710602 Fondo de Reserva"/>
    <s v="G/710602/1FF102"/>
    <s v="002"/>
    <n v="10693"/>
    <n v="0"/>
    <n v="0"/>
    <n v="10693"/>
    <n v="5447.39"/>
    <n v="5245.61"/>
    <n v="5245.61"/>
    <n v="5447.39"/>
    <n v="5447.39"/>
    <n v="0"/>
  </r>
  <r>
    <s v="71"/>
    <x v="2"/>
    <x v="7"/>
    <s v="TM68F100"/>
    <x v="36"/>
    <s v="F102"/>
    <s v="PARTICIPACION CIUDADANA"/>
    <s v="GI00F10200005D"/>
    <s v="GI00F10200005D CASAS SOMOS QUITO"/>
    <s v="71 GASTOS EN PERSONAL PARA INVERSIÓN"/>
    <s v="710602 Fondo de Reserva"/>
    <s v="G/710602/1FF102"/>
    <s v="002"/>
    <n v="817"/>
    <n v="0"/>
    <n v="0"/>
    <n v="817"/>
    <n v="68.34"/>
    <n v="748.66"/>
    <n v="748.66"/>
    <n v="68.34"/>
    <n v="68.34"/>
    <n v="0"/>
  </r>
  <r>
    <s v="71"/>
    <x v="2"/>
    <x v="7"/>
    <s v="ZD07F070"/>
    <x v="43"/>
    <s v="F102"/>
    <s v="PARTICIPACION CIUDADANA"/>
    <s v="GI00F10200005D"/>
    <s v="GI00F10200005D CASAS SOMOS QUITO"/>
    <s v="71 GASTOS EN PERSONAL PARA INVERSIÓN"/>
    <s v="710602 Fondo de Reserva"/>
    <s v="G/710602/1FF102"/>
    <s v="002"/>
    <n v="13144"/>
    <n v="0"/>
    <n v="0"/>
    <n v="13144"/>
    <n v="3853.2"/>
    <n v="9290.7999999999993"/>
    <n v="9290.7999999999993"/>
    <n v="3853.2"/>
    <n v="3853.2"/>
    <n v="0"/>
  </r>
  <r>
    <s v="71"/>
    <x v="2"/>
    <x v="7"/>
    <s v="ZC09F090"/>
    <x v="10"/>
    <s v="F102"/>
    <s v="PARTICIPACION CIUDADANA"/>
    <s v="GI00F10200005D"/>
    <s v="GI00F10200005D CASAS SOMOS QUITO"/>
    <s v="71 GASTOS EN PERSONAL PARA INVERSIÓN"/>
    <s v="710602 Fondo de Reserva"/>
    <s v="G/710602/1FF102"/>
    <s v="002"/>
    <n v="4570"/>
    <n v="0"/>
    <n v="0"/>
    <n v="4570"/>
    <n v="2468.5500000000002"/>
    <n v="2101.4499999999998"/>
    <n v="2101.4499999999998"/>
    <n v="2468.5500000000002"/>
    <n v="2468.5500000000002"/>
    <n v="0"/>
  </r>
  <r>
    <s v="71"/>
    <x v="2"/>
    <x v="7"/>
    <s v="TM68F100"/>
    <x v="36"/>
    <s v="F102"/>
    <s v="PARTICIPACION CIUDADANA"/>
    <s v="GI00F10200005D"/>
    <s v="GI00F10200005D CASAS SOMOS QUITO"/>
    <s v="71 GASTOS EN PERSONAL PARA INVERSIÓN"/>
    <s v="710602 Fondo de Reserva"/>
    <s v="G/710602/1FF102"/>
    <s v="001"/>
    <n v="0"/>
    <n v="0"/>
    <n v="6.53"/>
    <n v="6.53"/>
    <n v="0"/>
    <n v="0"/>
    <n v="0"/>
    <n v="6.53"/>
    <n v="6.53"/>
    <n v="6.53"/>
  </r>
  <r>
    <s v="71"/>
    <x v="1"/>
    <x v="15"/>
    <s v="ZA01G000"/>
    <x v="26"/>
    <s v="G101"/>
    <s v="ARTE, CULTURA Y PATRIMONIO"/>
    <s v="GI00G10100001D"/>
    <s v="GI00G10100001D AGENDA CULTURAL METROPOLITANA"/>
    <s v="71 GASTOS EN PERSONAL PARA INVERSIÓN"/>
    <s v="710203 Decimotercer Sueldo"/>
    <s v="G/710203/1GG101"/>
    <s v="002"/>
    <n v="17702"/>
    <n v="0"/>
    <n v="0"/>
    <n v="17702"/>
    <n v="13345.98"/>
    <n v="4356.0200000000004"/>
    <n v="4356.0200000000004"/>
    <n v="13345.98"/>
    <n v="13345.98"/>
    <n v="0"/>
  </r>
  <r>
    <s v="71"/>
    <x v="1"/>
    <x v="15"/>
    <s v="ZA01G000"/>
    <x v="26"/>
    <s v="G101"/>
    <s v="ARTE, CULTURA Y PATRIMONIO"/>
    <s v="GI00G10100001D"/>
    <s v="GI00G10100001D AGENDA CULTURAL METROPOLITANA"/>
    <s v="71 GASTOS EN PERSONAL PARA INVERSIÓN"/>
    <s v="710204 Decimocuarto Sueldo"/>
    <s v="G/710204/1GG101"/>
    <s v="001"/>
    <n v="0"/>
    <n v="120"/>
    <n v="98.94"/>
    <n v="218.94"/>
    <n v="120"/>
    <n v="0"/>
    <n v="0"/>
    <n v="218.94"/>
    <n v="218.94"/>
    <n v="98.94"/>
  </r>
  <r>
    <s v="71"/>
    <x v="1"/>
    <x v="15"/>
    <s v="ZA01G000"/>
    <x v="26"/>
    <s v="G101"/>
    <s v="ARTE, CULTURA Y PATRIMONIO"/>
    <s v="GI00G10100001D"/>
    <s v="GI00G10100001D AGENDA CULTURAL METROPOLITANA"/>
    <s v="71 GASTOS EN PERSONAL PARA INVERSIÓN"/>
    <s v="710204 Decimocuarto Sueldo"/>
    <s v="G/710204/1GG101"/>
    <s v="002"/>
    <n v="6898.94"/>
    <n v="0"/>
    <n v="-98.94"/>
    <n v="6800"/>
    <n v="13.42"/>
    <n v="6786.58"/>
    <n v="6786.58"/>
    <n v="13.42"/>
    <n v="13.42"/>
    <n v="0"/>
  </r>
  <r>
    <s v="71"/>
    <x v="1"/>
    <x v="15"/>
    <s v="ZA01G000"/>
    <x v="26"/>
    <s v="G101"/>
    <s v="ARTE, CULTURA Y PATRIMONIO"/>
    <s v="GI00G10100001D"/>
    <s v="GI00G10100001D AGENDA CULTURAL METROPOLITANA"/>
    <s v="71 GASTOS EN PERSONAL PARA INVERSIÓN"/>
    <s v="710507 Honorarios"/>
    <s v="G/710507/1GG101"/>
    <s v="002"/>
    <n v="0"/>
    <n v="986"/>
    <n v="0"/>
    <n v="986"/>
    <n v="0"/>
    <n v="986"/>
    <n v="986"/>
    <n v="0"/>
    <n v="0"/>
    <n v="0"/>
  </r>
  <r>
    <s v="71"/>
    <x v="1"/>
    <x v="15"/>
    <s v="ZA01G000"/>
    <x v="26"/>
    <s v="G101"/>
    <s v="ARTE, CULTURA Y PATRIMONIO"/>
    <s v="GI00G10100001D"/>
    <s v="GI00G10100001D AGENDA CULTURAL METROPOLITANA"/>
    <s v="71 GASTOS EN PERSONAL PARA INVERSIÓN"/>
    <s v="710509 Horas Extraordinarias y Suplementarias"/>
    <s v="G/710509/1GG101"/>
    <s v="001"/>
    <n v="0"/>
    <n v="0"/>
    <n v="173.21"/>
    <n v="173.21"/>
    <n v="0"/>
    <n v="0"/>
    <n v="0"/>
    <n v="173.21"/>
    <n v="173.21"/>
    <n v="173.21"/>
  </r>
  <r>
    <s v="71"/>
    <x v="1"/>
    <x v="15"/>
    <s v="ZA01G000"/>
    <x v="26"/>
    <s v="G101"/>
    <s v="ARTE, CULTURA Y PATRIMONIO"/>
    <s v="GI00G10100001D"/>
    <s v="GI00G10100001D AGENDA CULTURAL METROPOLITANA"/>
    <s v="71 GASTOS EN PERSONAL PARA INVERSIÓN"/>
    <s v="710509 Horas Extraordinarias y Suplementarias"/>
    <s v="G/710509/1GG101"/>
    <s v="002"/>
    <n v="0"/>
    <n v="2550"/>
    <n v="-2247.16"/>
    <n v="302.83999999999997"/>
    <n v="0"/>
    <n v="302.83999999999997"/>
    <n v="302.83999999999997"/>
    <n v="0"/>
    <n v="0"/>
    <n v="0"/>
  </r>
  <r>
    <s v="71"/>
    <x v="1"/>
    <x v="15"/>
    <s v="ZA01G000"/>
    <x v="26"/>
    <s v="G101"/>
    <s v="ARTE, CULTURA Y PATRIMONIO"/>
    <s v="GI00G10100001D"/>
    <s v="GI00G10100001D AGENDA CULTURAL METROPOLITANA"/>
    <s v="71 GASTOS EN PERSONAL PARA INVERSIÓN"/>
    <s v="710510 Servicios Personales por Contrato"/>
    <s v="G/710510/1GG101"/>
    <s v="002"/>
    <n v="212424"/>
    <n v="0"/>
    <n v="0"/>
    <n v="212424"/>
    <n v="7737.96"/>
    <n v="204686.04"/>
    <n v="204686.04"/>
    <n v="7737.96"/>
    <n v="7737.96"/>
    <n v="0"/>
  </r>
  <r>
    <s v="71"/>
    <x v="1"/>
    <x v="15"/>
    <s v="ZA01G000"/>
    <x v="26"/>
    <s v="G101"/>
    <s v="ARTE, CULTURA Y PATRIMONIO"/>
    <s v="GI00G10100001D"/>
    <s v="GI00G10100001D AGENDA CULTURAL METROPOLITANA"/>
    <s v="71 GASTOS EN PERSONAL PARA INVERSIÓN"/>
    <s v="710510 Servicios Personales por Contrato"/>
    <s v="G/710510/1GG101"/>
    <s v="001"/>
    <n v="0"/>
    <n v="11220"/>
    <n v="10770.94"/>
    <n v="21990.94"/>
    <n v="11220"/>
    <n v="0"/>
    <n v="0"/>
    <n v="21990.94"/>
    <n v="21990.94"/>
    <n v="10770.94"/>
  </r>
  <r>
    <s v="71"/>
    <x v="1"/>
    <x v="15"/>
    <s v="ZA01G000"/>
    <x v="26"/>
    <s v="G101"/>
    <s v="ARTE, CULTURA Y PATRIMONIO"/>
    <s v="GI00G10100001D"/>
    <s v="GI00G10100001D AGENDA CULTURAL METROPOLITANA"/>
    <s v="71 GASTOS EN PERSONAL PARA INVERSIÓN"/>
    <s v="710512 Subrogación"/>
    <s v="G/710512/1GG101"/>
    <s v="001"/>
    <n v="0"/>
    <n v="0"/>
    <n v="429"/>
    <n v="429"/>
    <n v="0"/>
    <n v="0"/>
    <n v="0"/>
    <n v="429"/>
    <n v="429"/>
    <n v="429"/>
  </r>
  <r>
    <s v="71"/>
    <x v="1"/>
    <x v="15"/>
    <s v="ZA01G000"/>
    <x v="26"/>
    <s v="G101"/>
    <s v="ARTE, CULTURA Y PATRIMONIO"/>
    <s v="GI00G10100001D"/>
    <s v="GI00G10100001D AGENDA CULTURAL METROPOLITANA"/>
    <s v="71 GASTOS EN PERSONAL PARA INVERSIÓN"/>
    <s v="710512 Subrogación"/>
    <s v="G/710512/1GG101"/>
    <s v="002"/>
    <n v="0"/>
    <n v="550"/>
    <n v="-4"/>
    <n v="546"/>
    <n v="0"/>
    <n v="546"/>
    <n v="546"/>
    <n v="0"/>
    <n v="0"/>
    <n v="0"/>
  </r>
  <r>
    <s v="71"/>
    <x v="1"/>
    <x v="15"/>
    <s v="ZA01G000"/>
    <x v="26"/>
    <s v="G101"/>
    <s v="ARTE, CULTURA Y PATRIMONIO"/>
    <s v="GI00G10100001D"/>
    <s v="GI00G10100001D AGENDA CULTURAL METROPOLITANA"/>
    <s v="71 GASTOS EN PERSONAL PARA INVERSIÓN"/>
    <s v="710601 Aporte Patronal"/>
    <s v="G/710601/1GG101"/>
    <s v="002"/>
    <n v="26871.64"/>
    <n v="0"/>
    <n v="0"/>
    <n v="26871.64"/>
    <n v="793.15"/>
    <n v="26078.49"/>
    <n v="26078.49"/>
    <n v="793.15"/>
    <n v="793.15"/>
    <n v="0"/>
  </r>
  <r>
    <s v="71"/>
    <x v="1"/>
    <x v="15"/>
    <s v="ZA01G000"/>
    <x v="26"/>
    <s v="G101"/>
    <s v="ARTE, CULTURA Y PATRIMONIO"/>
    <s v="GI00G10100001D"/>
    <s v="GI00G10100001D AGENDA CULTURAL METROPOLITANA"/>
    <s v="71 GASTOS EN PERSONAL PARA INVERSIÓN"/>
    <s v="710601 Aporte Patronal"/>
    <s v="G/710601/1GG101"/>
    <s v="001"/>
    <n v="0"/>
    <n v="1650"/>
    <n v="1467.91"/>
    <n v="3117.91"/>
    <n v="1650"/>
    <n v="0"/>
    <n v="0"/>
    <n v="3117.91"/>
    <n v="3117.91"/>
    <n v="1467.91"/>
  </r>
  <r>
    <s v="71"/>
    <x v="1"/>
    <x v="15"/>
    <s v="ZA01G000"/>
    <x v="26"/>
    <s v="G101"/>
    <s v="ARTE, CULTURA Y PATRIMONIO"/>
    <s v="GI00G10100001D"/>
    <s v="GI00G10100001D AGENDA CULTURAL METROPOLITANA"/>
    <s v="71 GASTOS EN PERSONAL PARA INVERSIÓN"/>
    <s v="710602 Fondo de Reserva"/>
    <s v="G/710602/1GG101"/>
    <s v="002"/>
    <n v="17702"/>
    <n v="0"/>
    <n v="0"/>
    <n v="17702"/>
    <n v="8002.58"/>
    <n v="9699.42"/>
    <n v="9699.42"/>
    <n v="8002.58"/>
    <n v="8002.58"/>
    <n v="0"/>
  </r>
  <r>
    <s v="71"/>
    <x v="1"/>
    <x v="15"/>
    <s v="ZA01G000"/>
    <x v="26"/>
    <s v="G101"/>
    <s v="ARTE, CULTURA Y PATRIMONIO"/>
    <s v="GI00G10100003D"/>
    <s v="GI00G10100003D SERVICIOS CULTURALES COMUNITARIOS Y DEPO"/>
    <s v="71 GASTOS EN PERSONAL PARA INVERSIÓN"/>
    <s v="710203 Decimotercer Sueldo"/>
    <s v="G/710203/1GG101"/>
    <s v="002"/>
    <n v="35372"/>
    <n v="0"/>
    <n v="0"/>
    <n v="35372"/>
    <n v="32187.4"/>
    <n v="3184.6"/>
    <n v="3184.6"/>
    <n v="32187.4"/>
    <n v="32187.4"/>
    <n v="0"/>
  </r>
  <r>
    <s v="71"/>
    <x v="1"/>
    <x v="15"/>
    <s v="ZA01G000"/>
    <x v="26"/>
    <s v="G101"/>
    <s v="ARTE, CULTURA Y PATRIMONIO"/>
    <s v="GI00G10100003D"/>
    <s v="GI00G10100003D SERVICIOS CULTURALES COMUNITARIOS Y DEPO"/>
    <s v="71 GASTOS EN PERSONAL PARA INVERSIÓN"/>
    <s v="710204 Decimocuarto Sueldo"/>
    <s v="G/710204/1GG101"/>
    <s v="001"/>
    <n v="0"/>
    <n v="0"/>
    <n v="221.16"/>
    <n v="221.16"/>
    <n v="0"/>
    <n v="0"/>
    <n v="0"/>
    <n v="221.16"/>
    <n v="221.16"/>
    <n v="221.16"/>
  </r>
  <r>
    <s v="71"/>
    <x v="1"/>
    <x v="15"/>
    <s v="ZA01G000"/>
    <x v="26"/>
    <s v="G101"/>
    <s v="ARTE, CULTURA Y PATRIMONIO"/>
    <s v="GI00G10100003D"/>
    <s v="GI00G10100003D SERVICIOS CULTURALES COMUNITARIOS Y DEPO"/>
    <s v="71 GASTOS EN PERSONAL PARA INVERSIÓN"/>
    <s v="710204 Decimocuarto Sueldo"/>
    <s v="G/710204/1GG101"/>
    <s v="002"/>
    <n v="15421.16"/>
    <n v="0"/>
    <n v="-221.16"/>
    <n v="15200"/>
    <n v="3326.72"/>
    <n v="11873.28"/>
    <n v="11873.28"/>
    <n v="3326.72"/>
    <n v="3326.72"/>
    <n v="0"/>
  </r>
  <r>
    <s v="71"/>
    <x v="1"/>
    <x v="15"/>
    <s v="ZA01G000"/>
    <x v="26"/>
    <s v="G101"/>
    <s v="ARTE, CULTURA Y PATRIMONIO"/>
    <s v="GI00G10100003D"/>
    <s v="GI00G10100003D SERVICIOS CULTURALES COMUNITARIOS Y DEPO"/>
    <s v="71 GASTOS EN PERSONAL PARA INVERSIÓN"/>
    <s v="710507 Honorarios"/>
    <s v="G/710507/1GG101"/>
    <s v="001"/>
    <n v="0"/>
    <n v="0"/>
    <n v="10496.1"/>
    <n v="10496.1"/>
    <n v="0"/>
    <n v="0"/>
    <n v="0"/>
    <n v="10496.1"/>
    <n v="10496.1"/>
    <n v="10496.1"/>
  </r>
  <r>
    <s v="71"/>
    <x v="1"/>
    <x v="15"/>
    <s v="ZA01G000"/>
    <x v="26"/>
    <s v="G101"/>
    <s v="ARTE, CULTURA Y PATRIMONIO"/>
    <s v="GI00G10100003D"/>
    <s v="GI00G10100003D SERVICIOS CULTURALES COMUNITARIOS Y DEPO"/>
    <s v="71 GASTOS EN PERSONAL PARA INVERSIÓN"/>
    <s v="710507 Honorarios"/>
    <s v="G/710507/1GG101"/>
    <s v="002"/>
    <n v="0"/>
    <n v="13358.84"/>
    <n v="-0.17"/>
    <n v="13358.67"/>
    <n v="0"/>
    <n v="13358.67"/>
    <n v="13358.67"/>
    <n v="0"/>
    <n v="0"/>
    <n v="0"/>
  </r>
  <r>
    <s v="71"/>
    <x v="1"/>
    <x v="15"/>
    <s v="ZA01G000"/>
    <x v="26"/>
    <s v="G101"/>
    <s v="ARTE, CULTURA Y PATRIMONIO"/>
    <s v="GI00G10100003D"/>
    <s v="GI00G10100003D SERVICIOS CULTURALES COMUNITARIOS Y DEPO"/>
    <s v="71 GASTOS EN PERSONAL PARA INVERSIÓN"/>
    <s v="710509 Horas Extraordinarias y Suplementarias"/>
    <s v="G/710509/1GG101"/>
    <s v="001"/>
    <n v="0"/>
    <n v="0"/>
    <n v="1312.89"/>
    <n v="1312.89"/>
    <n v="0"/>
    <n v="0"/>
    <n v="0"/>
    <n v="1312.89"/>
    <n v="1312.89"/>
    <n v="1312.89"/>
  </r>
  <r>
    <s v="71"/>
    <x v="1"/>
    <x v="15"/>
    <s v="ZA01G000"/>
    <x v="26"/>
    <s v="G101"/>
    <s v="ARTE, CULTURA Y PATRIMONIO"/>
    <s v="GI00G10100003D"/>
    <s v="GI00G10100003D SERVICIOS CULTURALES COMUNITARIOS Y DEPO"/>
    <s v="71 GASTOS EN PERSONAL PARA INVERSIÓN"/>
    <s v="710509 Horas Extraordinarias y Suplementarias"/>
    <s v="G/710509/1GG101"/>
    <s v="002"/>
    <n v="0"/>
    <n v="2850"/>
    <n v="-1312.89"/>
    <n v="1537.11"/>
    <n v="0"/>
    <n v="1537.11"/>
    <n v="1537.11"/>
    <n v="0"/>
    <n v="0"/>
    <n v="0"/>
  </r>
  <r>
    <s v="71"/>
    <x v="1"/>
    <x v="15"/>
    <s v="ZA01G000"/>
    <x v="26"/>
    <s v="G101"/>
    <s v="ARTE, CULTURA Y PATRIMONIO"/>
    <s v="GI00G10100003D"/>
    <s v="GI00G10100003D SERVICIOS CULTURALES COMUNITARIOS Y DEPO"/>
    <s v="71 GASTOS EN PERSONAL PARA INVERSIÓN"/>
    <s v="710510 Servicios Personales por Contrato"/>
    <s v="G/710510/1GG101"/>
    <s v="002"/>
    <n v="424464"/>
    <n v="0"/>
    <n v="0"/>
    <n v="424464"/>
    <n v="79259.839999999997"/>
    <n v="345204.16"/>
    <n v="345204.16"/>
    <n v="79259.839999999997"/>
    <n v="79259.839999999997"/>
    <n v="0"/>
  </r>
  <r>
    <s v="71"/>
    <x v="1"/>
    <x v="15"/>
    <s v="ZA01G000"/>
    <x v="26"/>
    <s v="G101"/>
    <s v="ARTE, CULTURA Y PATRIMONIO"/>
    <s v="GI00G10100003D"/>
    <s v="GI00G10100003D SERVICIOS CULTURALES COMUNITARIOS Y DEPO"/>
    <s v="71 GASTOS EN PERSONAL PARA INVERSIÓN"/>
    <s v="710513 Encargos"/>
    <s v="G/710513/1GG101"/>
    <s v="001"/>
    <n v="0"/>
    <n v="0"/>
    <n v="2572.42"/>
    <n v="2572.42"/>
    <n v="0"/>
    <n v="0"/>
    <n v="0"/>
    <n v="2572.42"/>
    <n v="2572.42"/>
    <n v="2572.42"/>
  </r>
  <r>
    <s v="71"/>
    <x v="1"/>
    <x v="15"/>
    <s v="ZA01G000"/>
    <x v="26"/>
    <s v="G101"/>
    <s v="ARTE, CULTURA Y PATRIMONIO"/>
    <s v="GI00G10100003D"/>
    <s v="GI00G10100003D SERVICIOS CULTURALES COMUNITARIOS Y DEPO"/>
    <s v="71 GASTOS EN PERSONAL PARA INVERSIÓN"/>
    <s v="710513 Encargos"/>
    <s v="G/710513/1GG101"/>
    <s v="002"/>
    <n v="0"/>
    <n v="3274"/>
    <n v="-0.01"/>
    <n v="3273.99"/>
    <n v="0"/>
    <n v="3273.99"/>
    <n v="3273.99"/>
    <n v="0"/>
    <n v="0"/>
    <n v="0"/>
  </r>
  <r>
    <s v="71"/>
    <x v="1"/>
    <x v="15"/>
    <s v="ZA01G000"/>
    <x v="26"/>
    <s v="G101"/>
    <s v="ARTE, CULTURA Y PATRIMONIO"/>
    <s v="GI00G10100003D"/>
    <s v="GI00G10100003D SERVICIOS CULTURALES COMUNITARIOS Y DEPO"/>
    <s v="71 GASTOS EN PERSONAL PARA INVERSIÓN"/>
    <s v="710601 Aporte Patronal"/>
    <s v="G/710601/1GG101"/>
    <s v="002"/>
    <n v="53694.7"/>
    <n v="0"/>
    <n v="0"/>
    <n v="53694.7"/>
    <n v="7922.72"/>
    <n v="45771.98"/>
    <n v="45771.98"/>
    <n v="7922.72"/>
    <n v="7922.72"/>
    <n v="0"/>
  </r>
  <r>
    <s v="71"/>
    <x v="1"/>
    <x v="15"/>
    <s v="ZA01G000"/>
    <x v="26"/>
    <s v="G101"/>
    <s v="ARTE, CULTURA Y PATRIMONIO"/>
    <s v="GI00G10100003D"/>
    <s v="GI00G10100003D SERVICIOS CULTURALES COMUNITARIOS Y DEPO"/>
    <s v="71 GASTOS EN PERSONAL PARA INVERSIÓN"/>
    <s v="710602 Fondo de Reserva"/>
    <s v="G/710602/1GG101"/>
    <s v="002"/>
    <n v="35372"/>
    <n v="0"/>
    <n v="0"/>
    <n v="35372"/>
    <n v="17958.3"/>
    <n v="17413.7"/>
    <n v="17413.7"/>
    <n v="17958.3"/>
    <n v="17958.3"/>
    <n v="0"/>
  </r>
  <r>
    <s v="71"/>
    <x v="1"/>
    <x v="10"/>
    <s v="ZA01I000"/>
    <x v="18"/>
    <s v="I101"/>
    <s v="PRACTICAS SALUDABLES"/>
    <s v="GI00I10100003D"/>
    <s v="GI00I10100003D QUITO SI LA MUEVE"/>
    <s v="71 GASTOS EN PERSONAL PARA INVERSIÓN"/>
    <s v="710203 Decimotercer Sueldo"/>
    <s v="G/710203/1II101"/>
    <s v="002"/>
    <n v="0"/>
    <n v="5790"/>
    <n v="0"/>
    <n v="5790"/>
    <n v="5790"/>
    <n v="0"/>
    <n v="0"/>
    <n v="5790"/>
    <n v="5790"/>
    <n v="0"/>
  </r>
  <r>
    <s v="71"/>
    <x v="1"/>
    <x v="10"/>
    <s v="ZA01I000"/>
    <x v="18"/>
    <s v="I101"/>
    <s v="PRACTICAS SALUDABLES"/>
    <s v="GI00I10100003D"/>
    <s v="GI00I10100003D QUITO SI LA MUEVE"/>
    <s v="71 GASTOS EN PERSONAL PARA INVERSIÓN"/>
    <s v="710204 Decimocuarto Sueldo"/>
    <s v="G/710204/1II101"/>
    <s v="002"/>
    <n v="0"/>
    <n v="2400"/>
    <n v="0"/>
    <n v="2400"/>
    <n v="164.15"/>
    <n v="2235.85"/>
    <n v="2235.85"/>
    <n v="164.15"/>
    <n v="164.15"/>
    <n v="0"/>
  </r>
  <r>
    <s v="71"/>
    <x v="1"/>
    <x v="10"/>
    <s v="ZA01I000"/>
    <x v="18"/>
    <s v="I101"/>
    <s v="PRACTICAS SALUDABLES"/>
    <s v="GI00I10100003D"/>
    <s v="GI00I10100003D QUITO SI LA MUEVE"/>
    <s v="71 GASTOS EN PERSONAL PARA INVERSIÓN"/>
    <s v="710510 Servicios Personales por Contrato"/>
    <s v="G/710510/1II101"/>
    <s v="002"/>
    <n v="0"/>
    <n v="69480"/>
    <n v="0"/>
    <n v="69480"/>
    <n v="17652"/>
    <n v="51828"/>
    <n v="51828"/>
    <n v="17652"/>
    <n v="17652"/>
    <n v="0"/>
  </r>
  <r>
    <s v="71"/>
    <x v="1"/>
    <x v="10"/>
    <s v="ZA01I000"/>
    <x v="18"/>
    <s v="I101"/>
    <s v="PRACTICAS SALUDABLES"/>
    <s v="GI00I10100003D"/>
    <s v="GI00I10100003D QUITO SI LA MUEVE"/>
    <s v="71 GASTOS EN PERSONAL PARA INVERSIÓN"/>
    <s v="710601 Aporte Patronal"/>
    <s v="G/710601/1II101"/>
    <s v="002"/>
    <n v="0"/>
    <n v="8789.2199999999993"/>
    <n v="0"/>
    <n v="8789.2199999999993"/>
    <n v="2232.84"/>
    <n v="6556.38"/>
    <n v="6556.38"/>
    <n v="2232.84"/>
    <n v="2232.84"/>
    <n v="0"/>
  </r>
  <r>
    <s v="71"/>
    <x v="1"/>
    <x v="10"/>
    <s v="ZA01I000"/>
    <x v="18"/>
    <s v="I101"/>
    <s v="PRACTICAS SALUDABLES"/>
    <s v="GI00I10100003D"/>
    <s v="GI00I10100003D QUITO SI LA MUEVE"/>
    <s v="71 GASTOS EN PERSONAL PARA INVERSIÓN"/>
    <s v="710602 Fondo de Reserva"/>
    <s v="G/710602/1II101"/>
    <s v="002"/>
    <n v="0"/>
    <n v="5790"/>
    <n v="0"/>
    <n v="5790"/>
    <n v="4392.87"/>
    <n v="1397.13"/>
    <n v="1397.13"/>
    <n v="4392.87"/>
    <n v="4392.87"/>
    <n v="0"/>
  </r>
  <r>
    <s v="71"/>
    <x v="1"/>
    <x v="10"/>
    <s v="ZA01I000"/>
    <x v="18"/>
    <s v="I102"/>
    <s v="SISTEMA EDUCATIVO MUNICIPAL"/>
    <s v="GI00I10200008D"/>
    <s v="GI00I10200008D AMPLIACIÓN DE LA OFERTA EDUCATIVA VIRTUA"/>
    <s v="71 GASTOS EN PERSONAL PARA INVERSIÓN"/>
    <s v="710203 Decimotercer Sueldo"/>
    <s v="G/710203/1II102"/>
    <s v="002"/>
    <n v="0"/>
    <n v="89486"/>
    <n v="0"/>
    <n v="89486"/>
    <n v="84132.63"/>
    <n v="5353.37"/>
    <n v="5353.37"/>
    <n v="84132.63"/>
    <n v="84132.63"/>
    <n v="0"/>
  </r>
  <r>
    <s v="71"/>
    <x v="1"/>
    <x v="10"/>
    <s v="ZA01I000"/>
    <x v="18"/>
    <s v="I102"/>
    <s v="SISTEMA EDUCATIVO MUNICIPAL"/>
    <s v="GI00I10200008D"/>
    <s v="GI00I10200008D AMPLIACIÓN DE LA OFERTA EDUCATIVA VIRTUA"/>
    <s v="71 GASTOS EN PERSONAL PARA INVERSIÓN"/>
    <s v="710204 Decimocuarto Sueldo"/>
    <s v="G/710204/1II102"/>
    <s v="002"/>
    <n v="0"/>
    <n v="42000"/>
    <n v="0"/>
    <n v="42000"/>
    <n v="2378.17"/>
    <n v="39621.83"/>
    <n v="39621.83"/>
    <n v="2378.17"/>
    <n v="2378.17"/>
    <n v="0"/>
  </r>
  <r>
    <s v="71"/>
    <x v="1"/>
    <x v="10"/>
    <s v="ZA01I000"/>
    <x v="18"/>
    <s v="I102"/>
    <s v="SISTEMA EDUCATIVO MUNICIPAL"/>
    <s v="GI00I10200008D"/>
    <s v="GI00I10200008D AMPLIACIÓN DE LA OFERTA EDUCATIVA VIRTUA"/>
    <s v="71 GASTOS EN PERSONAL PARA INVERSIÓN"/>
    <s v="710507 Honorarios"/>
    <s v="G/710507/1II102"/>
    <s v="001"/>
    <n v="0"/>
    <n v="0"/>
    <n v="449.35"/>
    <n v="449.35"/>
    <n v="0"/>
    <n v="0"/>
    <n v="0"/>
    <n v="449.35"/>
    <n v="449.35"/>
    <n v="449.35"/>
  </r>
  <r>
    <s v="71"/>
    <x v="1"/>
    <x v="10"/>
    <s v="ZA01I000"/>
    <x v="18"/>
    <s v="I102"/>
    <s v="SISTEMA EDUCATIVO MUNICIPAL"/>
    <s v="GI00I10200008D"/>
    <s v="GI00I10200008D AMPLIACIÓN DE LA OFERTA EDUCATIVA VIRTUA"/>
    <s v="71 GASTOS EN PERSONAL PARA INVERSIÓN"/>
    <s v="710507 Honorarios"/>
    <s v="G/710507/1II102"/>
    <s v="002"/>
    <n v="0"/>
    <n v="1389"/>
    <n v="-0.1"/>
    <n v="1388.9"/>
    <n v="0"/>
    <n v="1388.9"/>
    <n v="1388.9"/>
    <n v="0"/>
    <n v="0"/>
    <n v="0"/>
  </r>
  <r>
    <s v="71"/>
    <x v="1"/>
    <x v="10"/>
    <s v="ZA01I000"/>
    <x v="18"/>
    <s v="I102"/>
    <s v="SISTEMA EDUCATIVO MUNICIPAL"/>
    <s v="GI00I10200008D"/>
    <s v="GI00I10200008D AMPLIACIÓN DE LA OFERTA EDUCATIVA VIRTUA"/>
    <s v="71 GASTOS EN PERSONAL PARA INVERSIÓN"/>
    <s v="710510 Servicios Personales por Contrato"/>
    <s v="G/710510/1II102"/>
    <s v="002"/>
    <n v="0"/>
    <n v="1073832"/>
    <n v="0"/>
    <n v="1073832"/>
    <n v="115466.61"/>
    <n v="958365.39"/>
    <n v="958365.39"/>
    <n v="115466.61"/>
    <n v="115466.61"/>
    <n v="0"/>
  </r>
  <r>
    <s v="71"/>
    <x v="1"/>
    <x v="10"/>
    <s v="ZA01I000"/>
    <x v="18"/>
    <s v="I102"/>
    <s v="SISTEMA EDUCATIVO MUNICIPAL"/>
    <s v="GI00I10200008D"/>
    <s v="GI00I10200008D AMPLIACIÓN DE LA OFERTA EDUCATIVA VIRTUA"/>
    <s v="71 GASTOS EN PERSONAL PARA INVERSIÓN"/>
    <s v="710601 Aporte Patronal"/>
    <s v="G/710601/1II102"/>
    <s v="002"/>
    <n v="0"/>
    <n v="135839.75"/>
    <n v="0"/>
    <n v="135839.75"/>
    <n v="26009.66"/>
    <n v="109830.09"/>
    <n v="109830.09"/>
    <n v="26009.66"/>
    <n v="26009.66"/>
    <n v="0"/>
  </r>
  <r>
    <s v="71"/>
    <x v="1"/>
    <x v="10"/>
    <s v="ZA01I000"/>
    <x v="18"/>
    <s v="I102"/>
    <s v="SISTEMA EDUCATIVO MUNICIPAL"/>
    <s v="GI00I10200008D"/>
    <s v="GI00I10200008D AMPLIACIÓN DE LA OFERTA EDUCATIVA VIRTUA"/>
    <s v="71 GASTOS EN PERSONAL PARA INVERSIÓN"/>
    <s v="710602 Fondo de Reserva"/>
    <s v="G/710602/1II102"/>
    <s v="002"/>
    <n v="0"/>
    <n v="89486"/>
    <n v="0"/>
    <n v="89486"/>
    <n v="15821.63"/>
    <n v="73664.37"/>
    <n v="73664.37"/>
    <n v="15821.63"/>
    <n v="15821.63"/>
    <n v="0"/>
  </r>
  <r>
    <s v="71"/>
    <x v="1"/>
    <x v="5"/>
    <s v="ZA01J000"/>
    <x v="8"/>
    <s v="J103"/>
    <s v="PROMOCIÓN Y PROTECCIÓN DE DERECHOS"/>
    <s v="GI00J10300001D"/>
    <s v="GI00J10300001D GARANTÍA DE PROTECCIÓN DE DERECHOS"/>
    <s v="71 GASTOS EN PERSONAL PARA INVERSIÓN"/>
    <s v="710203 Decimotercer Sueldo"/>
    <s v="G/710203/1JJ103"/>
    <s v="002"/>
    <n v="7873"/>
    <n v="0"/>
    <n v="0"/>
    <n v="7873"/>
    <n v="6762.2"/>
    <n v="1110.8"/>
    <n v="1110.8"/>
    <n v="6762.2"/>
    <n v="6762.2"/>
    <n v="0"/>
  </r>
  <r>
    <s v="71"/>
    <x v="1"/>
    <x v="5"/>
    <s v="ZA01J000"/>
    <x v="8"/>
    <s v="J103"/>
    <s v="PROMOCIÓN Y PROTECCIÓN DE DERECHOS"/>
    <s v="GI00J10300001D"/>
    <s v="GI00J10300001D GARANTÍA DE PROTECCIÓN DE DERECHOS"/>
    <s v="71 GASTOS EN PERSONAL PARA INVERSIÓN"/>
    <s v="710204 Decimocuarto Sueldo"/>
    <s v="G/710204/1JJ103"/>
    <s v="001"/>
    <n v="0"/>
    <n v="0"/>
    <n v="34.92"/>
    <n v="34.92"/>
    <n v="0"/>
    <n v="0"/>
    <n v="0"/>
    <n v="34.92"/>
    <n v="34.92"/>
    <n v="34.92"/>
  </r>
  <r>
    <s v="71"/>
    <x v="1"/>
    <x v="5"/>
    <s v="ZA01J000"/>
    <x v="8"/>
    <s v="J103"/>
    <s v="PROMOCIÓN Y PROTECCIÓN DE DERECHOS"/>
    <s v="GI00J10300001D"/>
    <s v="GI00J10300001D GARANTÍA DE PROTECCIÓN DE DERECHOS"/>
    <s v="71 GASTOS EN PERSONAL PARA INVERSIÓN"/>
    <s v="710204 Decimocuarto Sueldo"/>
    <s v="G/710204/1JJ103"/>
    <s v="002"/>
    <n v="2434.92"/>
    <n v="0"/>
    <n v="-34.92"/>
    <n v="2400"/>
    <n v="1580.03"/>
    <n v="819.97"/>
    <n v="819.97"/>
    <n v="1580.03"/>
    <n v="1580.03"/>
    <n v="0"/>
  </r>
  <r>
    <s v="71"/>
    <x v="1"/>
    <x v="5"/>
    <s v="ZA01J000"/>
    <x v="8"/>
    <s v="J103"/>
    <s v="PROMOCIÓN Y PROTECCIÓN DE DERECHOS"/>
    <s v="GI00J10300001D"/>
    <s v="GI00J10300001D GARANTÍA DE PROTECCIÓN DE DERECHOS"/>
    <s v="71 GASTOS EN PERSONAL PARA INVERSIÓN"/>
    <s v="710510 Servicios Personales por Contrato"/>
    <s v="G/710510/1JJ103"/>
    <s v="002"/>
    <n v="94476"/>
    <n v="0"/>
    <n v="0"/>
    <n v="94476"/>
    <n v="47746.3"/>
    <n v="46729.7"/>
    <n v="46729.7"/>
    <n v="47746.3"/>
    <n v="47746.3"/>
    <n v="0"/>
  </r>
  <r>
    <s v="71"/>
    <x v="1"/>
    <x v="5"/>
    <s v="ZA01J000"/>
    <x v="8"/>
    <s v="J103"/>
    <s v="PROMOCIÓN Y PROTECCIÓN DE DERECHOS"/>
    <s v="GI00J10300001D"/>
    <s v="GI00J10300001D GARANTÍA DE PROTECCIÓN DE DERECHOS"/>
    <s v="71 GASTOS EN PERSONAL PARA INVERSIÓN"/>
    <s v="710601 Aporte Patronal"/>
    <s v="G/710601/1JJ103"/>
    <s v="002"/>
    <n v="11951.21"/>
    <n v="0"/>
    <n v="0"/>
    <n v="11951.21"/>
    <n v="6039.95"/>
    <n v="5911.26"/>
    <n v="5911.26"/>
    <n v="6039.95"/>
    <n v="6039.95"/>
    <n v="0"/>
  </r>
  <r>
    <s v="71"/>
    <x v="1"/>
    <x v="5"/>
    <s v="ZA01J000"/>
    <x v="8"/>
    <s v="J103"/>
    <s v="PROMOCIÓN Y PROTECCIÓN DE DERECHOS"/>
    <s v="GI00J10300001D"/>
    <s v="GI00J10300001D GARANTÍA DE PROTECCIÓN DE DERECHOS"/>
    <s v="71 GASTOS EN PERSONAL PARA INVERSIÓN"/>
    <s v="710602 Fondo de Reserva"/>
    <s v="G/710602/1JJ103"/>
    <s v="002"/>
    <n v="7873"/>
    <n v="0"/>
    <n v="0"/>
    <n v="7873"/>
    <n v="5666.29"/>
    <n v="2206.71"/>
    <n v="2206.71"/>
    <n v="5666.29"/>
    <n v="5666.29"/>
    <n v="0"/>
  </r>
  <r>
    <s v="71"/>
    <x v="1"/>
    <x v="5"/>
    <s v="ZA01J000"/>
    <x v="8"/>
    <s v="J103"/>
    <s v="PROMOCIÓN Y PROTECCIÓN DE DERECHOS"/>
    <s v="GI00J10300002D"/>
    <s v="GI00J10300002D PROMOCIÓN DE DERECHOS DE GRUPOS DE ATENC"/>
    <s v="71 GASTOS EN PERSONAL PARA INVERSIÓN"/>
    <s v="710203 Decimotercer Sueldo"/>
    <s v="G/710203/1JJ103"/>
    <s v="002"/>
    <n v="5673"/>
    <n v="0"/>
    <n v="0"/>
    <n v="5673"/>
    <n v="4750.87"/>
    <n v="922.13"/>
    <n v="922.13"/>
    <n v="4750.87"/>
    <n v="4750.87"/>
    <n v="0"/>
  </r>
  <r>
    <s v="71"/>
    <x v="2"/>
    <x v="7"/>
    <s v="ZV05F050"/>
    <x v="39"/>
    <s v="J103"/>
    <s v="PROMOCIÓN Y PROTECCIÓN DE DERECHOS"/>
    <s v="GI00J10300002D"/>
    <s v="GI00J10300002D PROMOCIÓN DE DERECHOS DE GRUPOS DE ATENC"/>
    <s v="71 GASTOS EN PERSONAL PARA INVERSIÓN"/>
    <s v="710203 Decimotercer Sueldo"/>
    <s v="G/710203/1FJ103"/>
    <s v="002"/>
    <n v="1631"/>
    <n v="0"/>
    <n v="0"/>
    <n v="1631"/>
    <n v="721.6"/>
    <n v="909.4"/>
    <n v="909.4"/>
    <n v="721.6"/>
    <n v="721.6"/>
    <n v="0"/>
  </r>
  <r>
    <s v="71"/>
    <x v="1"/>
    <x v="5"/>
    <s v="ZA01J000"/>
    <x v="8"/>
    <s v="J103"/>
    <s v="PROMOCIÓN Y PROTECCIÓN DE DERECHOS"/>
    <s v="GI00J10300002D"/>
    <s v="GI00J10300002D PROMOCIÓN DE DERECHOS DE GRUPOS DE ATENC"/>
    <s v="71 GASTOS EN PERSONAL PARA INVERSIÓN"/>
    <s v="710204 Decimocuarto Sueldo"/>
    <s v="G/710204/1JJ103"/>
    <s v="002"/>
    <n v="2434.92"/>
    <n v="720.63"/>
    <n v="-34.89"/>
    <n v="3120.66"/>
    <n v="34.01"/>
    <n v="3086.65"/>
    <n v="3086.65"/>
    <n v="34.01"/>
    <n v="34.01"/>
    <n v="0"/>
  </r>
  <r>
    <s v="71"/>
    <x v="2"/>
    <x v="7"/>
    <s v="ZV05F050"/>
    <x v="39"/>
    <s v="J103"/>
    <s v="PROMOCIÓN Y PROTECCIÓN DE DERECHOS"/>
    <s v="GI00J10300002D"/>
    <s v="GI00J10300002D PROMOCIÓN DE DERECHOS DE GRUPOS DE ATENC"/>
    <s v="71 GASTOS EN PERSONAL PARA INVERSIÓN"/>
    <s v="710204 Decimocuarto Sueldo"/>
    <s v="G/710204/1FJ103"/>
    <s v="001"/>
    <n v="0"/>
    <n v="0"/>
    <n v="11.64"/>
    <n v="11.64"/>
    <n v="0"/>
    <n v="0"/>
    <n v="0"/>
    <n v="11.64"/>
    <n v="11.64"/>
    <n v="11.64"/>
  </r>
  <r>
    <s v="71"/>
    <x v="1"/>
    <x v="5"/>
    <s v="ZA01J000"/>
    <x v="8"/>
    <s v="J103"/>
    <s v="PROMOCIÓN Y PROTECCIÓN DE DERECHOS"/>
    <s v="GI00J10300002D"/>
    <s v="GI00J10300002D PROMOCIÓN DE DERECHOS DE GRUPOS DE ATENC"/>
    <s v="71 GASTOS EN PERSONAL PARA INVERSIÓN"/>
    <s v="710204 Decimocuarto Sueldo"/>
    <s v="G/710204/1JJ103"/>
    <s v="001"/>
    <n v="0"/>
    <n v="0"/>
    <n v="34.89"/>
    <n v="34.89"/>
    <n v="0"/>
    <n v="0"/>
    <n v="0"/>
    <n v="34.89"/>
    <n v="34.89"/>
    <n v="34.89"/>
  </r>
  <r>
    <s v="71"/>
    <x v="2"/>
    <x v="7"/>
    <s v="ZV05F050"/>
    <x v="39"/>
    <s v="J103"/>
    <s v="PROMOCIÓN Y PROTECCIÓN DE DERECHOS"/>
    <s v="GI00J10300002D"/>
    <s v="GI00J10300002D PROMOCIÓN DE DERECHOS DE GRUPOS DE ATENC"/>
    <s v="71 GASTOS EN PERSONAL PARA INVERSIÓN"/>
    <s v="710204 Decimocuarto Sueldo"/>
    <s v="G/710204/1FJ103"/>
    <s v="002"/>
    <n v="811.64"/>
    <n v="0"/>
    <n v="-11.64"/>
    <n v="800"/>
    <n v="430.83"/>
    <n v="369.17"/>
    <n v="369.17"/>
    <n v="430.83"/>
    <n v="430.83"/>
    <n v="0"/>
  </r>
  <r>
    <s v="71"/>
    <x v="1"/>
    <x v="5"/>
    <s v="ZA01J000"/>
    <x v="8"/>
    <s v="J103"/>
    <s v="PROMOCIÓN Y PROTECCIÓN DE DERECHOS"/>
    <s v="GI00J10300002D"/>
    <s v="GI00J10300002D PROMOCIÓN DE DERECHOS DE GRUPOS DE ATENC"/>
    <s v="71 GASTOS EN PERSONAL PARA INVERSIÓN"/>
    <s v="710507 Honorarios"/>
    <s v="G/710507/1JJ103"/>
    <s v="002"/>
    <n v="0"/>
    <n v="612"/>
    <n v="0"/>
    <n v="612"/>
    <n v="0"/>
    <n v="612"/>
    <n v="612"/>
    <n v="0"/>
    <n v="0"/>
    <n v="0"/>
  </r>
  <r>
    <s v="71"/>
    <x v="2"/>
    <x v="7"/>
    <s v="ZV05F050"/>
    <x v="39"/>
    <s v="J103"/>
    <s v="PROMOCIÓN Y PROTECCIÓN DE DERECHOS"/>
    <s v="GI00J10300002D"/>
    <s v="GI00J10300002D PROMOCIÓN DE DERECHOS DE GRUPOS DE ATENC"/>
    <s v="71 GASTOS EN PERSONAL PARA INVERSIÓN"/>
    <s v="710510 Servicios Personales por Contrato"/>
    <s v="G/710510/1FJ103"/>
    <s v="002"/>
    <n v="19572"/>
    <n v="0"/>
    <n v="0"/>
    <n v="19572"/>
    <n v="9474"/>
    <n v="10098"/>
    <n v="10098"/>
    <n v="9474"/>
    <n v="9474"/>
    <n v="0"/>
  </r>
  <r>
    <s v="71"/>
    <x v="1"/>
    <x v="5"/>
    <s v="ZA01J000"/>
    <x v="8"/>
    <s v="J103"/>
    <s v="PROMOCIÓN Y PROTECCIÓN DE DERECHOS"/>
    <s v="GI00J10300002D"/>
    <s v="GI00J10300002D PROMOCIÓN DE DERECHOS DE GRUPOS DE ATENC"/>
    <s v="71 GASTOS EN PERSONAL PARA INVERSIÓN"/>
    <s v="710510 Servicios Personales por Contrato"/>
    <s v="G/710510/1JJ103"/>
    <s v="001"/>
    <n v="0"/>
    <n v="0"/>
    <n v="41140.33"/>
    <n v="41140.33"/>
    <n v="4467"/>
    <n v="4473"/>
    <n v="4473"/>
    <n v="36667.33"/>
    <n v="36667.33"/>
    <n v="32200.33"/>
  </r>
  <r>
    <s v="71"/>
    <x v="1"/>
    <x v="5"/>
    <s v="ZA01J000"/>
    <x v="8"/>
    <s v="J103"/>
    <s v="PROMOCIÓN Y PROTECCIÓN DE DERECHOS"/>
    <s v="GI00J10300002D"/>
    <s v="GI00J10300002D PROMOCIÓN DE DERECHOS DE GRUPOS DE ATENC"/>
    <s v="71 GASTOS EN PERSONAL PARA INVERSIÓN"/>
    <s v="710510 Servicios Personales por Contrato"/>
    <s v="G/710510/1JJ103"/>
    <s v="002"/>
    <n v="68076"/>
    <n v="18295"/>
    <n v="0"/>
    <n v="86371"/>
    <n v="7"/>
    <n v="86364"/>
    <n v="86364"/>
    <n v="7"/>
    <n v="7"/>
    <n v="0"/>
  </r>
  <r>
    <s v="71"/>
    <x v="2"/>
    <x v="7"/>
    <s v="ZV05F050"/>
    <x v="39"/>
    <s v="J103"/>
    <s v="PROMOCIÓN Y PROTECCIÓN DE DERECHOS"/>
    <s v="GI00J10300002D"/>
    <s v="GI00J10300002D PROMOCIÓN DE DERECHOS DE GRUPOS DE ATENC"/>
    <s v="71 GASTOS EN PERSONAL PARA INVERSIÓN"/>
    <s v="710512 Subrogación"/>
    <s v="G/710512/1FJ103"/>
    <s v="001"/>
    <n v="0"/>
    <n v="1650"/>
    <n v="0"/>
    <n v="1650"/>
    <n v="0"/>
    <n v="814.8"/>
    <n v="814.8"/>
    <n v="835.2"/>
    <n v="835.2"/>
    <n v="835.2"/>
  </r>
  <r>
    <s v="71"/>
    <x v="2"/>
    <x v="7"/>
    <s v="ZV05F050"/>
    <x v="39"/>
    <s v="J103"/>
    <s v="PROMOCIÓN Y PROTECCIÓN DE DERECHOS"/>
    <s v="GI00J10300002D"/>
    <s v="GI00J10300002D PROMOCIÓN DE DERECHOS DE GRUPOS DE ATENC"/>
    <s v="71 GASTOS EN PERSONAL PARA INVERSIÓN"/>
    <s v="710601 Aporte Patronal"/>
    <s v="G/710601/1FJ103"/>
    <s v="002"/>
    <n v="2475.86"/>
    <n v="0"/>
    <n v="0"/>
    <n v="2475.86"/>
    <n v="1095.3599999999999"/>
    <n v="1380.5"/>
    <n v="1380.5"/>
    <n v="1095.3599999999999"/>
    <n v="1095.3599999999999"/>
    <n v="0"/>
  </r>
  <r>
    <s v="71"/>
    <x v="1"/>
    <x v="5"/>
    <s v="ZA01J000"/>
    <x v="8"/>
    <s v="J103"/>
    <s v="PROMOCIÓN Y PROTECCIÓN DE DERECHOS"/>
    <s v="GI00J10300002D"/>
    <s v="GI00J10300002D PROMOCIÓN DE DERECHOS DE GRUPOS DE ATENC"/>
    <s v="71 GASTOS EN PERSONAL PARA INVERSIÓN"/>
    <s v="710601 Aporte Patronal"/>
    <s v="G/710601/1JJ103"/>
    <s v="001"/>
    <n v="0"/>
    <n v="0"/>
    <n v="5204.29"/>
    <n v="5204.29"/>
    <n v="574.16"/>
    <n v="565.84"/>
    <n v="565.84"/>
    <n v="4638.45"/>
    <n v="4638.45"/>
    <n v="4064.29"/>
  </r>
  <r>
    <s v="71"/>
    <x v="1"/>
    <x v="5"/>
    <s v="ZA01J000"/>
    <x v="8"/>
    <s v="J103"/>
    <s v="PROMOCIÓN Y PROTECCIÓN DE DERECHOS"/>
    <s v="GI00J10300002D"/>
    <s v="GI00J10300002D PROMOCIÓN DE DERECHOS DE GRUPOS DE ATENC"/>
    <s v="71 GASTOS EN PERSONAL PARA INVERSIÓN"/>
    <s v="710601 Aporte Patronal"/>
    <s v="G/710601/1JJ103"/>
    <s v="002"/>
    <n v="8611.61"/>
    <n v="2391.6999999999998"/>
    <n v="0"/>
    <n v="11003.31"/>
    <n v="0.81"/>
    <n v="11002.5"/>
    <n v="11002.5"/>
    <n v="0.81"/>
    <n v="0.81"/>
    <n v="0"/>
  </r>
  <r>
    <s v="71"/>
    <x v="2"/>
    <x v="7"/>
    <s v="ZV05F050"/>
    <x v="39"/>
    <s v="J103"/>
    <s v="PROMOCIÓN Y PROTECCIÓN DE DERECHOS"/>
    <s v="GI00J10300002D"/>
    <s v="GI00J10300002D PROMOCIÓN DE DERECHOS DE GRUPOS DE ATENC"/>
    <s v="71 GASTOS EN PERSONAL PARA INVERSIÓN"/>
    <s v="710602 Fondo de Reserva"/>
    <s v="G/710602/1FJ103"/>
    <s v="002"/>
    <n v="1631"/>
    <n v="0"/>
    <n v="0"/>
    <n v="1631"/>
    <n v="721.96"/>
    <n v="909.04"/>
    <n v="909.04"/>
    <n v="721.96"/>
    <n v="721.96"/>
    <n v="0"/>
  </r>
  <r>
    <s v="71"/>
    <x v="1"/>
    <x v="5"/>
    <s v="ZA01J000"/>
    <x v="8"/>
    <s v="J103"/>
    <s v="PROMOCIÓN Y PROTECCIÓN DE DERECHOS"/>
    <s v="GI00J10300002D"/>
    <s v="GI00J10300002D PROMOCIÓN DE DERECHOS DE GRUPOS DE ATENC"/>
    <s v="71 GASTOS EN PERSONAL PARA INVERSIÓN"/>
    <s v="710602 Fondo de Reserva"/>
    <s v="G/710602/1JJ103"/>
    <s v="002"/>
    <n v="5673"/>
    <n v="0"/>
    <n v="0"/>
    <n v="5673"/>
    <n v="939.19"/>
    <n v="4733.8100000000004"/>
    <n v="4733.8100000000004"/>
    <n v="939.19"/>
    <n v="939.19"/>
    <n v="0"/>
  </r>
  <r>
    <s v="71"/>
    <x v="0"/>
    <x v="0"/>
    <s v="ZA01A005"/>
    <x v="48"/>
    <s v="L101"/>
    <s v="GESTION INSTITUCIONAL EFICIENTE E INNOVADORA"/>
    <s v="GI00L10100001D"/>
    <s v="GI00L10100001D GESTION CATASTRAL"/>
    <s v="71 GASTOS EN PERSONAL PARA INVERSIÓN"/>
    <s v="710203 Decimotercer Sueldo"/>
    <s v="G/710203/1AL101"/>
    <s v="002"/>
    <n v="0"/>
    <n v="23389.5"/>
    <n v="-7796.5"/>
    <n v="15593"/>
    <n v="15593"/>
    <n v="0"/>
    <n v="0"/>
    <n v="15593"/>
    <n v="15593"/>
    <n v="0"/>
  </r>
  <r>
    <s v="71"/>
    <x v="0"/>
    <x v="0"/>
    <s v="ZA01A005"/>
    <x v="48"/>
    <s v="L101"/>
    <s v="GESTION INSTITUCIONAL EFICIENTE E INNOVADORA"/>
    <s v="GI00L10100001D"/>
    <s v="GI00L10100001D GESTION CATASTRAL"/>
    <s v="71 GASTOS EN PERSONAL PARA INVERSIÓN"/>
    <s v="710203 Decimotercer Sueldo"/>
    <s v="G/710203/1AL101"/>
    <s v="001"/>
    <n v="0"/>
    <n v="0"/>
    <n v="7796.5"/>
    <n v="7796.5"/>
    <n v="0"/>
    <n v="0"/>
    <n v="0"/>
    <n v="7796.5"/>
    <n v="7796.5"/>
    <n v="7796.5"/>
  </r>
  <r>
    <s v="71"/>
    <x v="0"/>
    <x v="0"/>
    <s v="ZA01A005"/>
    <x v="48"/>
    <s v="L101"/>
    <s v="GESTION INSTITUCIONAL EFICIENTE E INNOVADORA"/>
    <s v="GI00L10100001D"/>
    <s v="GI00L10100001D GESTION CATASTRAL"/>
    <s v="71 GASTOS EN PERSONAL PARA INVERSIÓN"/>
    <s v="710204 Decimocuarto Sueldo"/>
    <s v="G/710204/1AL101"/>
    <s v="002"/>
    <n v="0"/>
    <n v="9300"/>
    <n v="-3100"/>
    <n v="6200"/>
    <n v="6200"/>
    <n v="0"/>
    <n v="0"/>
    <n v="6200"/>
    <n v="6200"/>
    <n v="0"/>
  </r>
  <r>
    <s v="71"/>
    <x v="0"/>
    <x v="0"/>
    <s v="ZA01A005"/>
    <x v="48"/>
    <s v="L101"/>
    <s v="GESTION INSTITUCIONAL EFICIENTE E INNOVADORA"/>
    <s v="GI00L10100001D"/>
    <s v="GI00L10100001D GESTION CATASTRAL"/>
    <s v="71 GASTOS EN PERSONAL PARA INVERSIÓN"/>
    <s v="710204 Decimocuarto Sueldo"/>
    <s v="G/710204/1AL101"/>
    <s v="001"/>
    <n v="0"/>
    <n v="0"/>
    <n v="3100"/>
    <n v="3100"/>
    <n v="0"/>
    <n v="0"/>
    <n v="0"/>
    <n v="3100"/>
    <n v="3100"/>
    <n v="3100"/>
  </r>
  <r>
    <s v="71"/>
    <x v="0"/>
    <x v="0"/>
    <s v="ZA01A005"/>
    <x v="48"/>
    <s v="L101"/>
    <s v="GESTION INSTITUCIONAL EFICIENTE E INNOVADORA"/>
    <s v="GI00L10100001D"/>
    <s v="GI00L10100001D GESTION CATASTRAL"/>
    <s v="71 GASTOS EN PERSONAL PARA INVERSIÓN"/>
    <s v="710510 Servicios Personales por Contrato"/>
    <s v="G/710510/1AL101"/>
    <s v="002"/>
    <n v="0"/>
    <n v="280674"/>
    <n v="-93558"/>
    <n v="187116"/>
    <n v="187116"/>
    <n v="0"/>
    <n v="0"/>
    <n v="187116"/>
    <n v="187116"/>
    <n v="0"/>
  </r>
  <r>
    <s v="71"/>
    <x v="0"/>
    <x v="0"/>
    <s v="ZA01A005"/>
    <x v="48"/>
    <s v="L101"/>
    <s v="GESTION INSTITUCIONAL EFICIENTE E INNOVADORA"/>
    <s v="GI00L10100001D"/>
    <s v="GI00L10100001D GESTION CATASTRAL"/>
    <s v="71 GASTOS EN PERSONAL PARA INVERSIÓN"/>
    <s v="710510 Servicios Personales por Contrato"/>
    <s v="G/710510/1AL101"/>
    <s v="001"/>
    <n v="0"/>
    <n v="0"/>
    <n v="93558"/>
    <n v="93558"/>
    <n v="0"/>
    <n v="0"/>
    <n v="0"/>
    <n v="93558"/>
    <n v="93558"/>
    <n v="93558"/>
  </r>
  <r>
    <s v="71"/>
    <x v="0"/>
    <x v="0"/>
    <s v="ZA01A005"/>
    <x v="48"/>
    <s v="L101"/>
    <s v="GESTION INSTITUCIONAL EFICIENTE E INNOVADORA"/>
    <s v="GI00L10100001D"/>
    <s v="GI00L10100001D GESTION CATASTRAL"/>
    <s v="71 GASTOS EN PERSONAL PARA INVERSIÓN"/>
    <s v="710601 Aporte Patronal"/>
    <s v="G/710601/1AL101"/>
    <s v="002"/>
    <n v="0"/>
    <n v="35505.26"/>
    <n v="-11835.09"/>
    <n v="23670.17"/>
    <n v="23670.17"/>
    <n v="0"/>
    <n v="0"/>
    <n v="23670.17"/>
    <n v="23670.17"/>
    <n v="0"/>
  </r>
  <r>
    <s v="71"/>
    <x v="0"/>
    <x v="0"/>
    <s v="ZA01A005"/>
    <x v="48"/>
    <s v="L101"/>
    <s v="GESTION INSTITUCIONAL EFICIENTE E INNOVADORA"/>
    <s v="GI00L10100001D"/>
    <s v="GI00L10100001D GESTION CATASTRAL"/>
    <s v="71 GASTOS EN PERSONAL PARA INVERSIÓN"/>
    <s v="710601 Aporte Patronal"/>
    <s v="G/710601/1AL101"/>
    <s v="001"/>
    <n v="0"/>
    <n v="0"/>
    <n v="11835.09"/>
    <n v="11835.09"/>
    <n v="0"/>
    <n v="0"/>
    <n v="0"/>
    <n v="11835.09"/>
    <n v="11835.09"/>
    <n v="11835.09"/>
  </r>
  <r>
    <s v="71"/>
    <x v="0"/>
    <x v="0"/>
    <s v="ZA01A005"/>
    <x v="48"/>
    <s v="L101"/>
    <s v="GESTION INSTITUCIONAL EFICIENTE E INNOVADORA"/>
    <s v="GI00L10100001D"/>
    <s v="GI00L10100001D GESTION CATASTRAL"/>
    <s v="71 GASTOS EN PERSONAL PARA INVERSIÓN"/>
    <s v="710602 Fondo de Reserva"/>
    <s v="G/710602/1AL101"/>
    <s v="002"/>
    <n v="0"/>
    <n v="23389.5"/>
    <n v="-7796.5"/>
    <n v="15593"/>
    <n v="15593"/>
    <n v="0"/>
    <n v="0"/>
    <n v="15593"/>
    <n v="15593"/>
    <n v="0"/>
  </r>
  <r>
    <s v="71"/>
    <x v="0"/>
    <x v="0"/>
    <s v="ZA01A005"/>
    <x v="48"/>
    <s v="L101"/>
    <s v="GESTION INSTITUCIONAL EFICIENTE E INNOVADORA"/>
    <s v="GI00L10100001D"/>
    <s v="GI00L10100001D GESTION CATASTRAL"/>
    <s v="71 GASTOS EN PERSONAL PARA INVERSIÓN"/>
    <s v="710602 Fondo de Reserva"/>
    <s v="G/710602/1AL101"/>
    <s v="001"/>
    <n v="0"/>
    <n v="0"/>
    <n v="7796.5"/>
    <n v="7796.5"/>
    <n v="0"/>
    <n v="0"/>
    <n v="0"/>
    <n v="7796.5"/>
    <n v="7796.5"/>
    <n v="7796.5"/>
  </r>
  <r>
    <s v="71"/>
    <x v="0"/>
    <x v="12"/>
    <s v="MC37B000"/>
    <x v="21"/>
    <s v="L101"/>
    <s v="GESTION INSTITUCIONAL EFICIENTE E INNOVADORA"/>
    <s v="GI00L10100010D"/>
    <s v="GI00L10100010D CONTROL DE CUMPLIMIENTO DE LA NORMATIVA"/>
    <s v="71 GASTOS EN PERSONAL PARA INVERSIÓN"/>
    <s v="710203 Decimotercer Sueldo"/>
    <s v="G/710203/1BL101"/>
    <s v="002"/>
    <n v="0"/>
    <n v="229715"/>
    <n v="0"/>
    <n v="229715"/>
    <n v="206412.29"/>
    <n v="23302.71"/>
    <n v="23302.71"/>
    <n v="206412.29"/>
    <n v="206412.29"/>
    <n v="0"/>
  </r>
  <r>
    <s v="71"/>
    <x v="0"/>
    <x v="12"/>
    <s v="MC37B000"/>
    <x v="21"/>
    <s v="L101"/>
    <s v="GESTION INSTITUCIONAL EFICIENTE E INNOVADORA"/>
    <s v="GI00L10100010D"/>
    <s v="GI00L10100010D CONTROL DE CUMPLIMIENTO DE LA NORMATIVA"/>
    <s v="71 GASTOS EN PERSONAL PARA INVERSIÓN"/>
    <s v="710204 Decimocuarto Sueldo"/>
    <s v="G/710204/1BL101"/>
    <s v="002"/>
    <n v="0"/>
    <n v="76676.61"/>
    <n v="0"/>
    <n v="76676.61"/>
    <n v="29602.34"/>
    <n v="47074.27"/>
    <n v="47074.27"/>
    <n v="29602.34"/>
    <n v="29602.34"/>
    <n v="0"/>
  </r>
  <r>
    <s v="71"/>
    <x v="0"/>
    <x v="12"/>
    <s v="MC37B000"/>
    <x v="21"/>
    <s v="L101"/>
    <s v="GESTION INSTITUCIONAL EFICIENTE E INNOVADORA"/>
    <s v="GI00L10100010D"/>
    <s v="GI00L10100010D CONTROL DE CUMPLIMIENTO DE LA NORMATIVA"/>
    <s v="71 GASTOS EN PERSONAL PARA INVERSIÓN"/>
    <s v="710502 Remuneración Unificada para Pasantes"/>
    <s v="G/710502/1BL101"/>
    <s v="002"/>
    <n v="21105.599999999999"/>
    <n v="-11237.24"/>
    <n v="-2415.35"/>
    <n v="7453.01"/>
    <n v="0"/>
    <n v="7453.01"/>
    <n v="7453.01"/>
    <n v="0"/>
    <n v="0"/>
    <n v="0"/>
  </r>
  <r>
    <s v="71"/>
    <x v="0"/>
    <x v="12"/>
    <s v="MC37B000"/>
    <x v="21"/>
    <s v="L101"/>
    <s v="GESTION INSTITUCIONAL EFICIENTE E INNOVADORA"/>
    <s v="GI00L10100010D"/>
    <s v="GI00L10100010D CONTROL DE CUMPLIMIENTO DE LA NORMATIVA"/>
    <s v="71 GASTOS EN PERSONAL PARA INVERSIÓN"/>
    <s v="710509 Horas Extraordinarias y Suplementarias"/>
    <s v="G/710509/1BL101"/>
    <s v="001"/>
    <n v="0"/>
    <n v="0"/>
    <n v="10825.38"/>
    <n v="10825.38"/>
    <n v="0"/>
    <n v="370.07"/>
    <n v="370.07"/>
    <n v="10455.31"/>
    <n v="10455.31"/>
    <n v="10455.31"/>
  </r>
  <r>
    <s v="71"/>
    <x v="0"/>
    <x v="12"/>
    <s v="MC37B000"/>
    <x v="21"/>
    <s v="L101"/>
    <s v="GESTION INSTITUCIONAL EFICIENTE E INNOVADORA"/>
    <s v="GI00L10100010D"/>
    <s v="GI00L10100010D CONTROL DE CUMPLIMIENTO DE LA NORMATIVA"/>
    <s v="71 GASTOS EN PERSONAL PARA INVERSIÓN"/>
    <s v="710509 Horas Extraordinarias y Suplementarias"/>
    <s v="G/710509/1BL101"/>
    <s v="002"/>
    <n v="0"/>
    <n v="12000"/>
    <n v="-10825.38"/>
    <n v="1174.6199999999999"/>
    <n v="0"/>
    <n v="1174.6199999999999"/>
    <n v="1174.6199999999999"/>
    <n v="0"/>
    <n v="0"/>
    <n v="0"/>
  </r>
  <r>
    <s v="71"/>
    <x v="0"/>
    <x v="12"/>
    <s v="MC37B000"/>
    <x v="21"/>
    <s v="L101"/>
    <s v="GESTION INSTITUCIONAL EFICIENTE E INNOVADORA"/>
    <s v="GI00L10100010D"/>
    <s v="GI00L10100010D CONTROL DE CUMPLIMIENTO DE LA NORMATIVA"/>
    <s v="71 GASTOS EN PERSONAL PARA INVERSIÓN"/>
    <s v="710510 Servicios Personales por Contrato"/>
    <s v="G/710510/1BL101"/>
    <s v="002"/>
    <n v="0"/>
    <n v="1308875"/>
    <n v="0"/>
    <n v="1308875"/>
    <n v="355513.43"/>
    <n v="953361.57"/>
    <n v="953361.57"/>
    <n v="355513.43"/>
    <n v="355513.43"/>
    <n v="0"/>
  </r>
  <r>
    <s v="71"/>
    <x v="0"/>
    <x v="12"/>
    <s v="MC37B000"/>
    <x v="21"/>
    <s v="L101"/>
    <s v="GESTION INSTITUCIONAL EFICIENTE E INNOVADORA"/>
    <s v="GI00L10100010D"/>
    <s v="GI00L10100010D CONTROL DE CUMPLIMIENTO DE LA NORMATIVA"/>
    <s v="71 GASTOS EN PERSONAL PARA INVERSIÓN"/>
    <s v="710512 Subrogación"/>
    <s v="G/710512/1BL101"/>
    <s v="001"/>
    <n v="0"/>
    <n v="0"/>
    <n v="1936.6"/>
    <n v="1936.6"/>
    <n v="0"/>
    <n v="0"/>
    <n v="0"/>
    <n v="1936.6"/>
    <n v="1936.6"/>
    <n v="1936.6"/>
  </r>
  <r>
    <s v="71"/>
    <x v="0"/>
    <x v="12"/>
    <s v="MC37B000"/>
    <x v="21"/>
    <s v="L101"/>
    <s v="GESTION INSTITUCIONAL EFICIENTE E INNOVADORA"/>
    <s v="GI00L10100010D"/>
    <s v="GI00L10100010D CONTROL DE CUMPLIMIENTO DE LA NORMATIVA"/>
    <s v="71 GASTOS EN PERSONAL PARA INVERSIÓN"/>
    <s v="710512 Subrogación"/>
    <s v="G/710512/1BL101"/>
    <s v="002"/>
    <n v="0"/>
    <n v="2700"/>
    <n v="-1936.6"/>
    <n v="763.4"/>
    <n v="0"/>
    <n v="763.4"/>
    <n v="763.4"/>
    <n v="0"/>
    <n v="0"/>
    <n v="0"/>
  </r>
  <r>
    <s v="71"/>
    <x v="0"/>
    <x v="12"/>
    <s v="MC37B000"/>
    <x v="21"/>
    <s v="L101"/>
    <s v="GESTION INSTITUCIONAL EFICIENTE E INNOVADORA"/>
    <s v="GI00L10100010D"/>
    <s v="GI00L10100010D CONTROL DE CUMPLIMIENTO DE LA NORMATIVA"/>
    <s v="71 GASTOS EN PERSONAL PARA INVERSIÓN"/>
    <s v="710601 Aporte Patronal"/>
    <s v="G/710601/1BL101"/>
    <s v="002"/>
    <n v="11094.4"/>
    <n v="162954.91"/>
    <n v="-1257.26"/>
    <n v="172792.05"/>
    <n v="47568.3"/>
    <n v="125223.75"/>
    <n v="125223.75"/>
    <n v="47568.3"/>
    <n v="47568.3"/>
    <n v="0"/>
  </r>
  <r>
    <s v="71"/>
    <x v="0"/>
    <x v="12"/>
    <s v="MC37B000"/>
    <x v="21"/>
    <s v="L101"/>
    <s v="GESTION INSTITUCIONAL EFICIENTE E INNOVADORA"/>
    <s v="GI00L10100010D"/>
    <s v="GI00L10100010D CONTROL DE CUMPLIMIENTO DE LA NORMATIVA"/>
    <s v="71 GASTOS EN PERSONAL PARA INVERSIÓN"/>
    <s v="710602 Fondo de Reserva"/>
    <s v="G/710602/1BL101"/>
    <s v="002"/>
    <n v="0"/>
    <n v="223410"/>
    <n v="0"/>
    <n v="223410"/>
    <n v="183167.06"/>
    <n v="40242.94"/>
    <n v="40242.94"/>
    <n v="183167.06"/>
    <n v="183167.06"/>
    <n v="0"/>
  </r>
  <r>
    <s v="71"/>
    <x v="0"/>
    <x v="0"/>
    <s v="ZA01A008"/>
    <x v="51"/>
    <s v="L101"/>
    <s v="GESTION INSTITUCIONAL EFICIENTE E INNOVADORA"/>
    <s v="GI00L10100036D"/>
    <s v="GI00L10100036D MODERNIZACIÓN DE LA GESTIÓN DE BIENES IN"/>
    <s v="71 GASTOS EN PERSONAL PARA INVERSIÓN"/>
    <s v="710203 Decimotercer Sueldo"/>
    <s v="G/710203/1AL101"/>
    <s v="001"/>
    <n v="0"/>
    <n v="0"/>
    <n v="3353.33"/>
    <n v="3353.33"/>
    <n v="0"/>
    <n v="0"/>
    <n v="0"/>
    <n v="3353.33"/>
    <n v="3353.33"/>
    <n v="3353.33"/>
  </r>
  <r>
    <s v="71"/>
    <x v="0"/>
    <x v="0"/>
    <s v="ZA01A008"/>
    <x v="51"/>
    <s v="L101"/>
    <s v="GESTION INSTITUCIONAL EFICIENTE E INNOVADORA"/>
    <s v="GI00L10100036D"/>
    <s v="GI00L10100036D MODERNIZACIÓN DE LA GESTIÓN DE BIENES IN"/>
    <s v="71 GASTOS EN PERSONAL PARA INVERSIÓN"/>
    <s v="710203 Decimotercer Sueldo"/>
    <s v="G/710203/1AL101"/>
    <s v="002"/>
    <n v="0"/>
    <n v="3353.33"/>
    <n v="-3353.33"/>
    <n v="0"/>
    <n v="0"/>
    <n v="0"/>
    <n v="0"/>
    <n v="0"/>
    <n v="0"/>
    <n v="0"/>
  </r>
  <r>
    <s v="71"/>
    <x v="0"/>
    <x v="0"/>
    <s v="ZA01A008"/>
    <x v="51"/>
    <s v="L101"/>
    <s v="GESTION INSTITUCIONAL EFICIENTE E INNOVADORA"/>
    <s v="GI00L10100036D"/>
    <s v="GI00L10100036D MODERNIZACIÓN DE LA GESTIÓN DE BIENES IN"/>
    <s v="71 GASTOS EN PERSONAL PARA INVERSIÓN"/>
    <s v="710204 Decimocuarto Sueldo"/>
    <s v="G/710204/1AL101"/>
    <s v="001"/>
    <n v="0"/>
    <n v="0"/>
    <n v="1333.33"/>
    <n v="1333.33"/>
    <n v="0"/>
    <n v="0"/>
    <n v="0"/>
    <n v="1333.33"/>
    <n v="1333.33"/>
    <n v="1333.33"/>
  </r>
  <r>
    <s v="71"/>
    <x v="0"/>
    <x v="0"/>
    <s v="ZA01A008"/>
    <x v="51"/>
    <s v="L101"/>
    <s v="GESTION INSTITUCIONAL EFICIENTE E INNOVADORA"/>
    <s v="GI00L10100036D"/>
    <s v="GI00L10100036D MODERNIZACIÓN DE LA GESTIÓN DE BIENES IN"/>
    <s v="71 GASTOS EN PERSONAL PARA INVERSIÓN"/>
    <s v="710204 Decimocuarto Sueldo"/>
    <s v="G/710204/1AL101"/>
    <s v="002"/>
    <n v="0"/>
    <n v="1333.33"/>
    <n v="-1333.33"/>
    <n v="0"/>
    <n v="0"/>
    <n v="0"/>
    <n v="0"/>
    <n v="0"/>
    <n v="0"/>
    <n v="0"/>
  </r>
  <r>
    <s v="71"/>
    <x v="0"/>
    <x v="0"/>
    <s v="ZA01A008"/>
    <x v="51"/>
    <s v="L101"/>
    <s v="GESTION INSTITUCIONAL EFICIENTE E INNOVADORA"/>
    <s v="GI00L10100036D"/>
    <s v="GI00L10100036D MODERNIZACIÓN DE LA GESTIÓN DE BIENES IN"/>
    <s v="71 GASTOS EN PERSONAL PARA INVERSIÓN"/>
    <s v="710510 Servicios Personales por Contrato"/>
    <s v="G/710510/1AL101"/>
    <s v="002"/>
    <n v="0"/>
    <n v="40240"/>
    <n v="-40240"/>
    <n v="0"/>
    <n v="0"/>
    <n v="0"/>
    <n v="0"/>
    <n v="0"/>
    <n v="0"/>
    <n v="0"/>
  </r>
  <r>
    <s v="71"/>
    <x v="0"/>
    <x v="0"/>
    <s v="ZA01A008"/>
    <x v="51"/>
    <s v="L101"/>
    <s v="GESTION INSTITUCIONAL EFICIENTE E INNOVADORA"/>
    <s v="GI00L10100036D"/>
    <s v="GI00L10100036D MODERNIZACIÓN DE LA GESTIÓN DE BIENES IN"/>
    <s v="71 GASTOS EN PERSONAL PARA INVERSIÓN"/>
    <s v="710510 Servicios Personales por Contrato"/>
    <s v="G/710510/1AL101"/>
    <s v="001"/>
    <n v="0"/>
    <n v="0"/>
    <n v="40240"/>
    <n v="40240"/>
    <n v="0"/>
    <n v="0"/>
    <n v="0"/>
    <n v="40240"/>
    <n v="40240"/>
    <n v="40240"/>
  </r>
  <r>
    <s v="71"/>
    <x v="0"/>
    <x v="0"/>
    <s v="ZA01A008"/>
    <x v="51"/>
    <s v="L101"/>
    <s v="GESTION INSTITUCIONAL EFICIENTE E INNOVADORA"/>
    <s v="GI00L10100036D"/>
    <s v="GI00L10100036D MODERNIZACIÓN DE LA GESTIÓN DE BIENES IN"/>
    <s v="71 GASTOS EN PERSONAL PARA INVERSIÓN"/>
    <s v="710601 Aporte Patronal"/>
    <s v="G/710601/1AL101"/>
    <s v="002"/>
    <n v="0"/>
    <n v="5090.37"/>
    <n v="-5090.37"/>
    <n v="0"/>
    <n v="0"/>
    <n v="0"/>
    <n v="0"/>
    <n v="0"/>
    <n v="0"/>
    <n v="0"/>
  </r>
  <r>
    <s v="71"/>
    <x v="0"/>
    <x v="0"/>
    <s v="ZA01A008"/>
    <x v="51"/>
    <s v="L101"/>
    <s v="GESTION INSTITUCIONAL EFICIENTE E INNOVADORA"/>
    <s v="GI00L10100036D"/>
    <s v="GI00L10100036D MODERNIZACIÓN DE LA GESTIÓN DE BIENES IN"/>
    <s v="71 GASTOS EN PERSONAL PARA INVERSIÓN"/>
    <s v="710601 Aporte Patronal"/>
    <s v="G/710601/1AL101"/>
    <s v="001"/>
    <n v="0"/>
    <n v="0"/>
    <n v="5090.37"/>
    <n v="5090.37"/>
    <n v="0"/>
    <n v="0"/>
    <n v="0"/>
    <n v="5090.37"/>
    <n v="5090.37"/>
    <n v="5090.37"/>
  </r>
  <r>
    <s v="71"/>
    <x v="0"/>
    <x v="0"/>
    <s v="ZA01A008"/>
    <x v="51"/>
    <s v="L101"/>
    <s v="GESTION INSTITUCIONAL EFICIENTE E INNOVADORA"/>
    <s v="GI00L10100036D"/>
    <s v="GI00L10100036D MODERNIZACIÓN DE LA GESTIÓN DE BIENES IN"/>
    <s v="71 GASTOS EN PERSONAL PARA INVERSIÓN"/>
    <s v="710602 Fondo de Reserva"/>
    <s v="G/710602/1AL101"/>
    <s v="002"/>
    <n v="0"/>
    <n v="3353.33"/>
    <n v="-3353.33"/>
    <n v="0"/>
    <n v="0"/>
    <n v="0"/>
    <n v="0"/>
    <n v="0"/>
    <n v="0"/>
    <n v="0"/>
  </r>
  <r>
    <s v="71"/>
    <x v="0"/>
    <x v="0"/>
    <s v="ZA01A008"/>
    <x v="51"/>
    <s v="L101"/>
    <s v="GESTION INSTITUCIONAL EFICIENTE E INNOVADORA"/>
    <s v="GI00L10100036D"/>
    <s v="GI00L10100036D MODERNIZACIÓN DE LA GESTIÓN DE BIENES IN"/>
    <s v="71 GASTOS EN PERSONAL PARA INVERSIÓN"/>
    <s v="710602 Fondo de Reserva"/>
    <s v="G/710602/1AL101"/>
    <s v="001"/>
    <n v="0"/>
    <n v="0"/>
    <n v="3353.33"/>
    <n v="3353.33"/>
    <n v="0"/>
    <n v="0"/>
    <n v="0"/>
    <n v="3353.33"/>
    <n v="3353.33"/>
    <n v="3353.33"/>
  </r>
  <r>
    <s v="71"/>
    <x v="2"/>
    <x v="7"/>
    <s v="ZD07F070"/>
    <x v="43"/>
    <s v="M103"/>
    <s v="SALUD AL DIA"/>
    <s v="GI00M10300005D"/>
    <s v="GI00M10300005D MANEJO DE FAUNA URBANA EN EL DMQ"/>
    <s v="71 GASTOS EN PERSONAL PARA INVERSIÓN"/>
    <s v="710203 Decimotercer Sueldo"/>
    <s v="G/710203/1FM103"/>
    <s v="001"/>
    <n v="0"/>
    <n v="777.58"/>
    <n v="0"/>
    <n v="777.58"/>
    <n v="555.41999999999996"/>
    <n v="0"/>
    <n v="0"/>
    <n v="777.58"/>
    <n v="777.58"/>
    <n v="222.16"/>
  </r>
  <r>
    <s v="71"/>
    <x v="2"/>
    <x v="7"/>
    <s v="ZN02F020"/>
    <x v="46"/>
    <s v="M103"/>
    <s v="SALUD AL DIA"/>
    <s v="GI00M10300005D"/>
    <s v="GI00M10300005D MANEJO DE FAUNA URBANA EN EL DMQ"/>
    <s v="71 GASTOS EN PERSONAL PARA INVERSIÓN"/>
    <s v="710203 Decimotercer Sueldo"/>
    <s v="G/710203/1FM103"/>
    <s v="001"/>
    <n v="0"/>
    <n v="777.58"/>
    <n v="-222.16"/>
    <n v="555.41999999999996"/>
    <n v="333.26"/>
    <n v="222.16"/>
    <n v="222.16"/>
    <n v="333.26"/>
    <n v="333.26"/>
    <n v="0"/>
  </r>
  <r>
    <s v="71"/>
    <x v="2"/>
    <x v="7"/>
    <s v="ZC09F090"/>
    <x v="10"/>
    <s v="M103"/>
    <s v="SALUD AL DIA"/>
    <s v="GI00M10300005D"/>
    <s v="GI00M10300005D MANEJO DE FAUNA URBANA EN EL DMQ"/>
    <s v="71 GASTOS EN PERSONAL PARA INVERSIÓN"/>
    <s v="710203 Decimotercer Sueldo"/>
    <s v="G/710203/1FM103"/>
    <s v="001"/>
    <n v="0"/>
    <n v="777.58"/>
    <n v="0"/>
    <n v="777.58"/>
    <n v="555.41999999999996"/>
    <n v="0"/>
    <n v="0"/>
    <n v="777.58"/>
    <n v="777.58"/>
    <n v="222.16"/>
  </r>
  <r>
    <s v="71"/>
    <x v="2"/>
    <x v="7"/>
    <s v="ZS03F030"/>
    <x v="45"/>
    <s v="M103"/>
    <s v="SALUD AL DIA"/>
    <s v="GI00M10300005D"/>
    <s v="GI00M10300005D MANEJO DE FAUNA URBANA EN EL DMQ"/>
    <s v="71 GASTOS EN PERSONAL PARA INVERSIÓN"/>
    <s v="710203 Decimotercer Sueldo"/>
    <s v="G/710203/1FM103"/>
    <s v="001"/>
    <n v="0"/>
    <n v="777.58"/>
    <n v="0"/>
    <n v="777.58"/>
    <n v="555.41999999999996"/>
    <n v="0"/>
    <n v="0"/>
    <n v="777.58"/>
    <n v="777.58"/>
    <n v="222.16"/>
  </r>
  <r>
    <s v="71"/>
    <x v="2"/>
    <x v="7"/>
    <s v="ZM04F040"/>
    <x v="41"/>
    <s v="M103"/>
    <s v="SALUD AL DIA"/>
    <s v="GI00M10300005D"/>
    <s v="GI00M10300005D MANEJO DE FAUNA URBANA EN EL DMQ"/>
    <s v="71 GASTOS EN PERSONAL PARA INVERSIÓN"/>
    <s v="710203 Decimotercer Sueldo"/>
    <s v="G/710203/1FM103"/>
    <s v="001"/>
    <n v="0"/>
    <n v="777.58"/>
    <n v="0"/>
    <n v="777.58"/>
    <n v="251.8"/>
    <n v="303.62"/>
    <n v="303.62"/>
    <n v="473.96"/>
    <n v="473.96"/>
    <n v="222.16"/>
  </r>
  <r>
    <s v="71"/>
    <x v="2"/>
    <x v="7"/>
    <s v="ZV05F050"/>
    <x v="39"/>
    <s v="M103"/>
    <s v="SALUD AL DIA"/>
    <s v="GI00M10300005D"/>
    <s v="GI00M10300005D MANEJO DE FAUNA URBANA EN EL DMQ"/>
    <s v="71 GASTOS EN PERSONAL PARA INVERSIÓN"/>
    <s v="710203 Decimotercer Sueldo"/>
    <s v="G/710203/1FM103"/>
    <s v="001"/>
    <n v="0"/>
    <n v="777.58"/>
    <n v="0"/>
    <n v="777.58"/>
    <n v="233.29"/>
    <n v="322.13"/>
    <n v="322.13"/>
    <n v="455.45"/>
    <n v="455.45"/>
    <n v="222.16"/>
  </r>
  <r>
    <s v="71"/>
    <x v="1"/>
    <x v="2"/>
    <s v="ZA01M000"/>
    <x v="42"/>
    <s v="M103"/>
    <s v="SALUD AL DIA"/>
    <s v="GI00M10300005D"/>
    <s v="GI00M10300005D MANEJO DE FAUNA URBANA EN EL DMQ"/>
    <s v="71 GASTOS EN PERSONAL PARA INVERSIÓN"/>
    <s v="710203 Decimotercer Sueldo"/>
    <s v="G/710203/1MM103"/>
    <s v="002"/>
    <n v="0"/>
    <n v="11755"/>
    <n v="0"/>
    <n v="11755"/>
    <n v="9942.6299999999992"/>
    <n v="1812.37"/>
    <n v="1812.37"/>
    <n v="9942.6299999999992"/>
    <n v="9942.6299999999992"/>
    <n v="0"/>
  </r>
  <r>
    <s v="71"/>
    <x v="1"/>
    <x v="2"/>
    <s v="ZA01M000"/>
    <x v="42"/>
    <s v="M103"/>
    <s v="SALUD AL DIA"/>
    <s v="GI00M10300005D"/>
    <s v="GI00M10300005D MANEJO DE FAUNA URBANA EN EL DMQ"/>
    <s v="71 GASTOS EN PERSONAL PARA INVERSIÓN"/>
    <s v="710203 Decimotercer Sueldo"/>
    <s v="G/710203/1MM103"/>
    <s v="001"/>
    <n v="0"/>
    <n v="51806.75"/>
    <n v="0"/>
    <n v="51806.75"/>
    <n v="44313.33"/>
    <n v="7493.42"/>
    <n v="7493.42"/>
    <n v="44313.33"/>
    <n v="44313.33"/>
    <n v="0"/>
  </r>
  <r>
    <s v="71"/>
    <x v="2"/>
    <x v="7"/>
    <s v="ZT06F060"/>
    <x v="40"/>
    <s v="M103"/>
    <s v="SALUD AL DIA"/>
    <s v="GI00M10300005D"/>
    <s v="GI00M10300005D MANEJO DE FAUNA URBANA EN EL DMQ"/>
    <s v="71 GASTOS EN PERSONAL PARA INVERSIÓN"/>
    <s v="710203 Decimotercer Sueldo"/>
    <s v="G/710203/1FM103"/>
    <s v="001"/>
    <n v="0"/>
    <n v="777.58"/>
    <n v="0"/>
    <n v="777.58"/>
    <n v="333.26"/>
    <n v="222.16"/>
    <n v="222.16"/>
    <n v="555.41999999999996"/>
    <n v="555.41999999999996"/>
    <n v="222.16"/>
  </r>
  <r>
    <s v="71"/>
    <x v="2"/>
    <x v="7"/>
    <s v="ZQ08F080"/>
    <x v="44"/>
    <s v="M103"/>
    <s v="SALUD AL DIA"/>
    <s v="GI00M10300005D"/>
    <s v="GI00M10300005D MANEJO DE FAUNA URBANA EN EL DMQ"/>
    <s v="71 GASTOS EN PERSONAL PARA INVERSIÓN"/>
    <s v="710203 Decimotercer Sueldo"/>
    <s v="G/710203/1FM103"/>
    <s v="001"/>
    <n v="0"/>
    <n v="777.58"/>
    <n v="0"/>
    <n v="777.58"/>
    <n v="222.18"/>
    <n v="333.24"/>
    <n v="333.24"/>
    <n v="444.34"/>
    <n v="444.34"/>
    <n v="222.16"/>
  </r>
  <r>
    <s v="71"/>
    <x v="2"/>
    <x v="7"/>
    <s v="ZM04F040"/>
    <x v="41"/>
    <s v="M103"/>
    <s v="SALUD AL DIA"/>
    <s v="GI00M10300005D"/>
    <s v="GI00M10300005D MANEJO DE FAUNA URBANA EN EL DMQ"/>
    <s v="71 GASTOS EN PERSONAL PARA INVERSIÓN"/>
    <s v="710204 Decimocuarto Sueldo"/>
    <s v="G/710204/1FM103"/>
    <s v="001"/>
    <n v="0"/>
    <n v="233.33"/>
    <n v="0"/>
    <n v="233.33"/>
    <n v="75.569999999999993"/>
    <n v="91.1"/>
    <n v="91.1"/>
    <n v="142.22999999999999"/>
    <n v="142.22999999999999"/>
    <n v="66.66"/>
  </r>
  <r>
    <s v="71"/>
    <x v="2"/>
    <x v="7"/>
    <s v="ZT06F060"/>
    <x v="40"/>
    <s v="M103"/>
    <s v="SALUD AL DIA"/>
    <s v="GI00M10300005D"/>
    <s v="GI00M10300005D MANEJO DE FAUNA URBANA EN EL DMQ"/>
    <s v="71 GASTOS EN PERSONAL PARA INVERSIÓN"/>
    <s v="710204 Decimocuarto Sueldo"/>
    <s v="G/710204/1FM103"/>
    <s v="001"/>
    <n v="0"/>
    <n v="233.33"/>
    <n v="0"/>
    <n v="233.33"/>
    <n v="100.01"/>
    <n v="66.66"/>
    <n v="66.66"/>
    <n v="166.67"/>
    <n v="166.67"/>
    <n v="66.66"/>
  </r>
  <r>
    <s v="71"/>
    <x v="1"/>
    <x v="2"/>
    <s v="ZA01M000"/>
    <x v="42"/>
    <s v="M103"/>
    <s v="SALUD AL DIA"/>
    <s v="GI00M10300005D"/>
    <s v="GI00M10300005D MANEJO DE FAUNA URBANA EN EL DMQ"/>
    <s v="71 GASTOS EN PERSONAL PARA INVERSIÓN"/>
    <s v="710204 Decimocuarto Sueldo"/>
    <s v="G/710204/1MM103"/>
    <s v="002"/>
    <n v="0"/>
    <n v="3600"/>
    <n v="0"/>
    <n v="3600"/>
    <n v="2863.36"/>
    <n v="736.64"/>
    <n v="736.64"/>
    <n v="2863.36"/>
    <n v="2863.36"/>
    <n v="0"/>
  </r>
  <r>
    <s v="71"/>
    <x v="2"/>
    <x v="7"/>
    <s v="ZV05F050"/>
    <x v="39"/>
    <s v="M103"/>
    <s v="SALUD AL DIA"/>
    <s v="GI00M10300005D"/>
    <s v="GI00M10300005D MANEJO DE FAUNA URBANA EN EL DMQ"/>
    <s v="71 GASTOS EN PERSONAL PARA INVERSIÓN"/>
    <s v="710204 Decimocuarto Sueldo"/>
    <s v="G/710204/1FM103"/>
    <s v="001"/>
    <n v="0"/>
    <n v="233.33"/>
    <n v="0"/>
    <n v="233.33"/>
    <n v="70.010000000000005"/>
    <n v="96.66"/>
    <n v="96.66"/>
    <n v="136.66999999999999"/>
    <n v="136.66999999999999"/>
    <n v="66.66"/>
  </r>
  <r>
    <s v="71"/>
    <x v="2"/>
    <x v="7"/>
    <s v="ZN02F020"/>
    <x v="46"/>
    <s v="M103"/>
    <s v="SALUD AL DIA"/>
    <s v="GI00M10300005D"/>
    <s v="GI00M10300005D MANEJO DE FAUNA URBANA EN EL DMQ"/>
    <s v="71 GASTOS EN PERSONAL PARA INVERSIÓN"/>
    <s v="710204 Decimocuarto Sueldo"/>
    <s v="G/710204/1FM103"/>
    <s v="001"/>
    <n v="0"/>
    <n v="233.33"/>
    <n v="-66.66"/>
    <n v="166.67"/>
    <n v="100.01"/>
    <n v="66.66"/>
    <n v="66.66"/>
    <n v="100.01"/>
    <n v="100.01"/>
    <n v="0"/>
  </r>
  <r>
    <s v="71"/>
    <x v="2"/>
    <x v="7"/>
    <s v="ZQ08F080"/>
    <x v="44"/>
    <s v="M103"/>
    <s v="SALUD AL DIA"/>
    <s v="GI00M10300005D"/>
    <s v="GI00M10300005D MANEJO DE FAUNA URBANA EN EL DMQ"/>
    <s v="71 GASTOS EN PERSONAL PARA INVERSIÓN"/>
    <s v="710204 Decimocuarto Sueldo"/>
    <s v="G/710204/1FM103"/>
    <s v="001"/>
    <n v="0"/>
    <n v="233.33"/>
    <n v="0"/>
    <n v="233.33"/>
    <n v="66.680000000000007"/>
    <n v="99.99"/>
    <n v="99.99"/>
    <n v="133.34"/>
    <n v="133.34"/>
    <n v="66.66"/>
  </r>
  <r>
    <s v="71"/>
    <x v="1"/>
    <x v="2"/>
    <s v="ZA01M000"/>
    <x v="42"/>
    <s v="M103"/>
    <s v="SALUD AL DIA"/>
    <s v="GI00M10300005D"/>
    <s v="GI00M10300005D MANEJO DE FAUNA URBANA EN EL DMQ"/>
    <s v="71 GASTOS EN PERSONAL PARA INVERSIÓN"/>
    <s v="710204 Decimocuarto Sueldo"/>
    <s v="G/710204/1MM103"/>
    <s v="001"/>
    <n v="0"/>
    <n v="19333.330000000002"/>
    <n v="0"/>
    <n v="19333.330000000002"/>
    <n v="8321.42"/>
    <n v="11011.91"/>
    <n v="11011.91"/>
    <n v="8321.42"/>
    <n v="8321.42"/>
    <n v="0"/>
  </r>
  <r>
    <s v="71"/>
    <x v="2"/>
    <x v="7"/>
    <s v="ZS03F030"/>
    <x v="45"/>
    <s v="M103"/>
    <s v="SALUD AL DIA"/>
    <s v="GI00M10300005D"/>
    <s v="GI00M10300005D MANEJO DE FAUNA URBANA EN EL DMQ"/>
    <s v="71 GASTOS EN PERSONAL PARA INVERSIÓN"/>
    <s v="710204 Decimocuarto Sueldo"/>
    <s v="G/710204/1FM103"/>
    <s v="001"/>
    <n v="0"/>
    <n v="233.33"/>
    <n v="0"/>
    <n v="233.33"/>
    <n v="166.67"/>
    <n v="0"/>
    <n v="0"/>
    <n v="233.33"/>
    <n v="233.33"/>
    <n v="66.66"/>
  </r>
  <r>
    <s v="71"/>
    <x v="2"/>
    <x v="7"/>
    <s v="ZD07F070"/>
    <x v="43"/>
    <s v="M103"/>
    <s v="SALUD AL DIA"/>
    <s v="GI00M10300005D"/>
    <s v="GI00M10300005D MANEJO DE FAUNA URBANA EN EL DMQ"/>
    <s v="71 GASTOS EN PERSONAL PARA INVERSIÓN"/>
    <s v="710204 Decimocuarto Sueldo"/>
    <s v="G/710204/1FM103"/>
    <s v="001"/>
    <n v="0"/>
    <n v="233.33"/>
    <n v="0"/>
    <n v="233.33"/>
    <n v="166.67"/>
    <n v="0"/>
    <n v="0"/>
    <n v="233.33"/>
    <n v="233.33"/>
    <n v="66.66"/>
  </r>
  <r>
    <s v="71"/>
    <x v="2"/>
    <x v="7"/>
    <s v="ZC09F090"/>
    <x v="10"/>
    <s v="M103"/>
    <s v="SALUD AL DIA"/>
    <s v="GI00M10300005D"/>
    <s v="GI00M10300005D MANEJO DE FAUNA URBANA EN EL DMQ"/>
    <s v="71 GASTOS EN PERSONAL PARA INVERSIÓN"/>
    <s v="710204 Decimocuarto Sueldo"/>
    <s v="G/710204/1FM103"/>
    <s v="001"/>
    <n v="0"/>
    <n v="233.33"/>
    <n v="0"/>
    <n v="233.33"/>
    <n v="166.67"/>
    <n v="0"/>
    <n v="0"/>
    <n v="233.33"/>
    <n v="233.33"/>
    <n v="66.66"/>
  </r>
  <r>
    <s v="71"/>
    <x v="1"/>
    <x v="2"/>
    <s v="ZA01M000"/>
    <x v="42"/>
    <s v="M103"/>
    <s v="SALUD AL DIA"/>
    <s v="GI00M10300005D"/>
    <s v="GI00M10300005D MANEJO DE FAUNA URBANA EN EL DMQ"/>
    <s v="71 GASTOS EN PERSONAL PARA INVERSIÓN"/>
    <s v="710507 Honorarios"/>
    <s v="G/710507/1MM103"/>
    <s v="001"/>
    <n v="0"/>
    <n v="0"/>
    <n v="1058.54"/>
    <n v="1058.54"/>
    <n v="0"/>
    <n v="0"/>
    <n v="0"/>
    <n v="1058.54"/>
    <n v="1058.54"/>
    <n v="1058.54"/>
  </r>
  <r>
    <s v="71"/>
    <x v="2"/>
    <x v="7"/>
    <s v="ZD07F070"/>
    <x v="43"/>
    <s v="M103"/>
    <s v="SALUD AL DIA"/>
    <s v="GI00M10300005D"/>
    <s v="GI00M10300005D MANEJO DE FAUNA URBANA EN EL DMQ"/>
    <s v="71 GASTOS EN PERSONAL PARA INVERSIÓN"/>
    <s v="710507 Honorarios"/>
    <s v="G/710507/1FM103"/>
    <s v="001"/>
    <n v="0"/>
    <n v="1245"/>
    <n v="0"/>
    <n v="1245"/>
    <n v="0"/>
    <n v="1244.1300000000001"/>
    <n v="1244.1300000000001"/>
    <n v="0.87"/>
    <n v="0.87"/>
    <n v="0.87"/>
  </r>
  <r>
    <s v="71"/>
    <x v="2"/>
    <x v="7"/>
    <s v="ZM04F040"/>
    <x v="41"/>
    <s v="M103"/>
    <s v="SALUD AL DIA"/>
    <s v="GI00M10300005D"/>
    <s v="GI00M10300005D MANEJO DE FAUNA URBANA EN EL DMQ"/>
    <s v="71 GASTOS EN PERSONAL PARA INVERSIÓN"/>
    <s v="710507 Honorarios"/>
    <s v="G/710507/1FM103"/>
    <s v="001"/>
    <n v="0"/>
    <n v="980"/>
    <n v="0"/>
    <n v="980"/>
    <n v="0"/>
    <n v="977.53"/>
    <n v="977.53"/>
    <n v="2.4700000000000002"/>
    <n v="2.4700000000000002"/>
    <n v="2.4700000000000002"/>
  </r>
  <r>
    <s v="71"/>
    <x v="1"/>
    <x v="2"/>
    <s v="ZA01M000"/>
    <x v="42"/>
    <s v="M103"/>
    <s v="SALUD AL DIA"/>
    <s v="GI00M10300005D"/>
    <s v="GI00M10300005D MANEJO DE FAUNA URBANA EN EL DMQ"/>
    <s v="71 GASTOS EN PERSONAL PARA INVERSIÓN"/>
    <s v="710507 Honorarios"/>
    <s v="G/710507/1MM103"/>
    <s v="002"/>
    <n v="0"/>
    <n v="2636.86"/>
    <n v="-45.5"/>
    <n v="2591.36"/>
    <n v="0"/>
    <n v="2591.36"/>
    <n v="2591.36"/>
    <n v="0"/>
    <n v="0"/>
    <n v="0"/>
  </r>
  <r>
    <s v="71"/>
    <x v="2"/>
    <x v="7"/>
    <s v="ZV05F050"/>
    <x v="39"/>
    <s v="M103"/>
    <s v="SALUD AL DIA"/>
    <s v="GI00M10300005D"/>
    <s v="GI00M10300005D MANEJO DE FAUNA URBANA EN EL DMQ"/>
    <s v="71 GASTOS EN PERSONAL PARA INVERSIÓN"/>
    <s v="710507 Honorarios"/>
    <s v="G/710507/1FM103"/>
    <s v="001"/>
    <n v="0"/>
    <n v="1200"/>
    <n v="0"/>
    <n v="1200"/>
    <n v="0"/>
    <n v="1199.7"/>
    <n v="1199.7"/>
    <n v="0.3"/>
    <n v="0.3"/>
    <n v="0.3"/>
  </r>
  <r>
    <s v="71"/>
    <x v="1"/>
    <x v="2"/>
    <s v="ZA01M000"/>
    <x v="42"/>
    <s v="M103"/>
    <s v="SALUD AL DIA"/>
    <s v="GI00M10300005D"/>
    <s v="GI00M10300005D MANEJO DE FAUNA URBANA EN EL DMQ"/>
    <s v="71 GASTOS EN PERSONAL PARA INVERSIÓN"/>
    <s v="710510 Servicios Personales por Contrato"/>
    <s v="G/710510/1MM103"/>
    <s v="001"/>
    <n v="0"/>
    <n v="621681"/>
    <n v="1942.71"/>
    <n v="623623.71"/>
    <n v="143527.29999999999"/>
    <n v="478153.7"/>
    <n v="478153.7"/>
    <n v="145470.01"/>
    <n v="145470.01"/>
    <n v="1942.71"/>
  </r>
  <r>
    <s v="71"/>
    <x v="2"/>
    <x v="7"/>
    <s v="ZD07F070"/>
    <x v="43"/>
    <s v="M103"/>
    <s v="SALUD AL DIA"/>
    <s v="GI00M10300005D"/>
    <s v="GI00M10300005D MANEJO DE FAUNA URBANA EN EL DMQ"/>
    <s v="71 GASTOS EN PERSONAL PARA INVERSIÓN"/>
    <s v="710510 Servicios Personales por Contrato"/>
    <s v="G/710510/1FM103"/>
    <s v="001"/>
    <n v="0"/>
    <n v="8086"/>
    <n v="0"/>
    <n v="8086"/>
    <n v="3999"/>
    <n v="2666"/>
    <n v="2666"/>
    <n v="5420"/>
    <n v="5420"/>
    <n v="1421"/>
  </r>
  <r>
    <s v="71"/>
    <x v="2"/>
    <x v="7"/>
    <s v="ZT06F060"/>
    <x v="40"/>
    <s v="M103"/>
    <s v="SALUD AL DIA"/>
    <s v="GI00M10300005D"/>
    <s v="GI00M10300005D MANEJO DE FAUNA URBANA EN EL DMQ"/>
    <s v="71 GASTOS EN PERSONAL PARA INVERSIÓN"/>
    <s v="710510 Servicios Personales por Contrato"/>
    <s v="G/710510/1FM103"/>
    <s v="001"/>
    <n v="0"/>
    <n v="9331"/>
    <n v="0"/>
    <n v="9331"/>
    <n v="3999"/>
    <n v="2666"/>
    <n v="2666"/>
    <n v="6665"/>
    <n v="6665"/>
    <n v="2666"/>
  </r>
  <r>
    <s v="71"/>
    <x v="2"/>
    <x v="7"/>
    <s v="ZQ08F080"/>
    <x v="44"/>
    <s v="M103"/>
    <s v="SALUD AL DIA"/>
    <s v="GI00M10300005D"/>
    <s v="GI00M10300005D MANEJO DE FAUNA URBANA EN EL DMQ"/>
    <s v="71 GASTOS EN PERSONAL PARA INVERSIÓN"/>
    <s v="710510 Servicios Personales por Contrato"/>
    <s v="G/710510/1FM103"/>
    <s v="001"/>
    <n v="0"/>
    <n v="9331"/>
    <n v="0"/>
    <n v="9331"/>
    <n v="2666"/>
    <n v="3999"/>
    <n v="3999"/>
    <n v="5332"/>
    <n v="5332"/>
    <n v="2666"/>
  </r>
  <r>
    <s v="71"/>
    <x v="2"/>
    <x v="7"/>
    <s v="ZV05F050"/>
    <x v="39"/>
    <s v="M103"/>
    <s v="SALUD AL DIA"/>
    <s v="GI00M10300005D"/>
    <s v="GI00M10300005D MANEJO DE FAUNA URBANA EN EL DMQ"/>
    <s v="71 GASTOS EN PERSONAL PARA INVERSIÓN"/>
    <s v="710510 Servicios Personales por Contrato"/>
    <s v="G/710510/1FM103"/>
    <s v="001"/>
    <n v="0"/>
    <n v="8131"/>
    <n v="0"/>
    <n v="8131"/>
    <n v="3999"/>
    <n v="2666"/>
    <n v="2666"/>
    <n v="5465"/>
    <n v="5465"/>
    <n v="1466"/>
  </r>
  <r>
    <s v="71"/>
    <x v="2"/>
    <x v="7"/>
    <s v="ZN02F020"/>
    <x v="46"/>
    <s v="M103"/>
    <s v="SALUD AL DIA"/>
    <s v="GI00M10300005D"/>
    <s v="GI00M10300005D MANEJO DE FAUNA URBANA EN EL DMQ"/>
    <s v="71 GASTOS EN PERSONAL PARA INVERSIÓN"/>
    <s v="710510 Servicios Personales por Contrato"/>
    <s v="G/710510/1FM103"/>
    <s v="001"/>
    <n v="0"/>
    <n v="9331"/>
    <n v="-2666"/>
    <n v="6665"/>
    <n v="3999"/>
    <n v="2666"/>
    <n v="2666"/>
    <n v="3999"/>
    <n v="3999"/>
    <n v="0"/>
  </r>
  <r>
    <s v="71"/>
    <x v="1"/>
    <x v="2"/>
    <s v="ZA01M000"/>
    <x v="42"/>
    <s v="M103"/>
    <s v="SALUD AL DIA"/>
    <s v="GI00M10300005D"/>
    <s v="GI00M10300005D MANEJO DE FAUNA URBANA EN EL DMQ"/>
    <s v="71 GASTOS EN PERSONAL PARA INVERSIÓN"/>
    <s v="710510 Servicios Personales por Contrato"/>
    <s v="G/710510/1MM103"/>
    <s v="002"/>
    <n v="0"/>
    <n v="141060"/>
    <n v="0"/>
    <n v="141060"/>
    <n v="57372.66"/>
    <n v="83687.34"/>
    <n v="83687.34"/>
    <n v="57372.66"/>
    <n v="57372.66"/>
    <n v="0"/>
  </r>
  <r>
    <s v="71"/>
    <x v="2"/>
    <x v="7"/>
    <s v="ZC09F090"/>
    <x v="10"/>
    <s v="M103"/>
    <s v="SALUD AL DIA"/>
    <s v="GI00M10300005D"/>
    <s v="GI00M10300005D MANEJO DE FAUNA URBANA EN EL DMQ"/>
    <s v="71 GASTOS EN PERSONAL PARA INVERSIÓN"/>
    <s v="710510 Servicios Personales por Contrato"/>
    <s v="G/710510/1FM103"/>
    <s v="001"/>
    <n v="0"/>
    <n v="9331"/>
    <n v="0"/>
    <n v="9331"/>
    <n v="2666"/>
    <n v="3999"/>
    <n v="3999"/>
    <n v="5332"/>
    <n v="5332"/>
    <n v="2666"/>
  </r>
  <r>
    <s v="71"/>
    <x v="2"/>
    <x v="7"/>
    <s v="ZS03F030"/>
    <x v="45"/>
    <s v="M103"/>
    <s v="SALUD AL DIA"/>
    <s v="GI00M10300005D"/>
    <s v="GI00M10300005D MANEJO DE FAUNA URBANA EN EL DMQ"/>
    <s v="71 GASTOS EN PERSONAL PARA INVERSIÓN"/>
    <s v="710510 Servicios Personales por Contrato"/>
    <s v="G/710510/1FM103"/>
    <s v="001"/>
    <n v="0"/>
    <n v="9331"/>
    <n v="0"/>
    <n v="9331"/>
    <n v="3599.1"/>
    <n v="3065.9"/>
    <n v="3065.9"/>
    <n v="6265.1"/>
    <n v="6265.1"/>
    <n v="2666"/>
  </r>
  <r>
    <s v="71"/>
    <x v="2"/>
    <x v="7"/>
    <s v="ZM04F040"/>
    <x v="41"/>
    <s v="M103"/>
    <s v="SALUD AL DIA"/>
    <s v="GI00M10300005D"/>
    <s v="GI00M10300005D MANEJO DE FAUNA URBANA EN EL DMQ"/>
    <s v="71 GASTOS EN PERSONAL PARA INVERSIÓN"/>
    <s v="710510 Servicios Personales por Contrato"/>
    <s v="G/710510/1FM103"/>
    <s v="001"/>
    <n v="0"/>
    <n v="8351"/>
    <n v="0"/>
    <n v="8351"/>
    <n v="3999"/>
    <n v="2666"/>
    <n v="2666"/>
    <n v="5685"/>
    <n v="5685"/>
    <n v="1686"/>
  </r>
  <r>
    <s v="71"/>
    <x v="2"/>
    <x v="7"/>
    <s v="ZN02F020"/>
    <x v="46"/>
    <s v="M103"/>
    <s v="SALUD AL DIA"/>
    <s v="GI00M10300005D"/>
    <s v="GI00M10300005D MANEJO DE FAUNA URBANA EN EL DMQ"/>
    <s v="71 GASTOS EN PERSONAL PARA INVERSIÓN"/>
    <s v="710601 Aporte Patronal"/>
    <s v="G/710601/1FM103"/>
    <s v="001"/>
    <n v="0"/>
    <n v="1180.3800000000001"/>
    <n v="-337.26"/>
    <n v="843.12"/>
    <n v="505.88"/>
    <n v="337.24"/>
    <n v="337.24"/>
    <n v="505.88"/>
    <n v="505.88"/>
    <n v="0"/>
  </r>
  <r>
    <s v="71"/>
    <x v="2"/>
    <x v="7"/>
    <s v="ZS03F030"/>
    <x v="45"/>
    <s v="M103"/>
    <s v="SALUD AL DIA"/>
    <s v="GI00M10300005D"/>
    <s v="GI00M10300005D MANEJO DE FAUNA URBANA EN EL DMQ"/>
    <s v="71 GASTOS EN PERSONAL PARA INVERSIÓN"/>
    <s v="710601 Aporte Patronal"/>
    <s v="G/710601/1FM103"/>
    <s v="001"/>
    <n v="0"/>
    <n v="1180.3800000000001"/>
    <n v="0"/>
    <n v="1180.3800000000001"/>
    <n v="455.29"/>
    <n v="387.83"/>
    <n v="387.83"/>
    <n v="792.55"/>
    <n v="792.55"/>
    <n v="337.26"/>
  </r>
  <r>
    <s v="71"/>
    <x v="2"/>
    <x v="7"/>
    <s v="ZD07F070"/>
    <x v="43"/>
    <s v="M103"/>
    <s v="SALUD AL DIA"/>
    <s v="GI00M10300005D"/>
    <s v="GI00M10300005D MANEJO DE FAUNA URBANA EN EL DMQ"/>
    <s v="71 GASTOS EN PERSONAL PARA INVERSIÓN"/>
    <s v="710601 Aporte Patronal"/>
    <s v="G/710601/1FM103"/>
    <s v="001"/>
    <n v="0"/>
    <n v="1180.3800000000001"/>
    <n v="0"/>
    <n v="1180.3800000000001"/>
    <n v="348.5"/>
    <n v="494.62"/>
    <n v="494.62"/>
    <n v="685.76"/>
    <n v="685.76"/>
    <n v="337.26"/>
  </r>
  <r>
    <s v="71"/>
    <x v="1"/>
    <x v="2"/>
    <s v="ZA01M000"/>
    <x v="42"/>
    <s v="M103"/>
    <s v="SALUD AL DIA"/>
    <s v="GI00M10300005D"/>
    <s v="GI00M10300005D MANEJO DE FAUNA URBANA EN EL DMQ"/>
    <s v="71 GASTOS EN PERSONAL PARA INVERSIÓN"/>
    <s v="710601 Aporte Patronal"/>
    <s v="G/710601/1MM103"/>
    <s v="001"/>
    <n v="0"/>
    <n v="78643.5"/>
    <n v="0"/>
    <n v="78643.5"/>
    <n v="17829.73"/>
    <n v="60813.77"/>
    <n v="60813.77"/>
    <n v="17829.73"/>
    <n v="17829.73"/>
    <n v="0"/>
  </r>
  <r>
    <s v="71"/>
    <x v="1"/>
    <x v="2"/>
    <s v="ZA01M000"/>
    <x v="42"/>
    <s v="M103"/>
    <s v="SALUD AL DIA"/>
    <s v="GI00M10300005D"/>
    <s v="GI00M10300005D MANEJO DE FAUNA URBANA EN EL DMQ"/>
    <s v="71 GASTOS EN PERSONAL PARA INVERSIÓN"/>
    <s v="710601 Aporte Patronal"/>
    <s v="G/710601/1MM103"/>
    <s v="002"/>
    <n v="0"/>
    <n v="17844.09"/>
    <n v="0"/>
    <n v="17844.09"/>
    <n v="7257.61"/>
    <n v="10586.48"/>
    <n v="10586.48"/>
    <n v="7257.61"/>
    <n v="7257.61"/>
    <n v="0"/>
  </r>
  <r>
    <s v="71"/>
    <x v="2"/>
    <x v="7"/>
    <s v="ZC09F090"/>
    <x v="10"/>
    <s v="M103"/>
    <s v="SALUD AL DIA"/>
    <s v="GI00M10300005D"/>
    <s v="GI00M10300005D MANEJO DE FAUNA URBANA EN EL DMQ"/>
    <s v="71 GASTOS EN PERSONAL PARA INVERSIÓN"/>
    <s v="710601 Aporte Patronal"/>
    <s v="G/710601/1FM103"/>
    <s v="001"/>
    <n v="0"/>
    <n v="1180.3800000000001"/>
    <n v="0"/>
    <n v="1180.3800000000001"/>
    <n v="337.26"/>
    <n v="505.86"/>
    <n v="505.86"/>
    <n v="674.52"/>
    <n v="674.52"/>
    <n v="337.26"/>
  </r>
  <r>
    <s v="71"/>
    <x v="2"/>
    <x v="7"/>
    <s v="ZQ08F080"/>
    <x v="44"/>
    <s v="M103"/>
    <s v="SALUD AL DIA"/>
    <s v="GI00M10300005D"/>
    <s v="GI00M10300005D MANEJO DE FAUNA URBANA EN EL DMQ"/>
    <s v="71 GASTOS EN PERSONAL PARA INVERSIÓN"/>
    <s v="710601 Aporte Patronal"/>
    <s v="G/710601/1FM103"/>
    <s v="001"/>
    <n v="0"/>
    <n v="1180.3800000000001"/>
    <n v="0"/>
    <n v="1180.3800000000001"/>
    <n v="337.26"/>
    <n v="505.86"/>
    <n v="505.86"/>
    <n v="674.52"/>
    <n v="674.52"/>
    <n v="337.26"/>
  </r>
  <r>
    <s v="71"/>
    <x v="2"/>
    <x v="7"/>
    <s v="ZM04F040"/>
    <x v="41"/>
    <s v="M103"/>
    <s v="SALUD AL DIA"/>
    <s v="GI00M10300005D"/>
    <s v="GI00M10300005D MANEJO DE FAUNA URBANA EN EL DMQ"/>
    <s v="71 GASTOS EN PERSONAL PARA INVERSIÓN"/>
    <s v="710601 Aporte Patronal"/>
    <s v="G/710601/1FM103"/>
    <s v="001"/>
    <n v="0"/>
    <n v="1180.3800000000001"/>
    <n v="0"/>
    <n v="1180.3800000000001"/>
    <n v="382.22"/>
    <n v="460.9"/>
    <n v="460.9"/>
    <n v="719.48"/>
    <n v="719.48"/>
    <n v="337.26"/>
  </r>
  <r>
    <s v="71"/>
    <x v="2"/>
    <x v="7"/>
    <s v="ZT06F060"/>
    <x v="40"/>
    <s v="M103"/>
    <s v="SALUD AL DIA"/>
    <s v="GI00M10300005D"/>
    <s v="GI00M10300005D MANEJO DE FAUNA URBANA EN EL DMQ"/>
    <s v="71 GASTOS EN PERSONAL PARA INVERSIÓN"/>
    <s v="710601 Aporte Patronal"/>
    <s v="G/710601/1FM103"/>
    <s v="001"/>
    <n v="0"/>
    <n v="1180.3800000000001"/>
    <n v="0"/>
    <n v="1180.3800000000001"/>
    <n v="505.88"/>
    <n v="337.24"/>
    <n v="337.24"/>
    <n v="843.14"/>
    <n v="843.14"/>
    <n v="337.26"/>
  </r>
  <r>
    <s v="71"/>
    <x v="2"/>
    <x v="7"/>
    <s v="ZV05F050"/>
    <x v="39"/>
    <s v="M103"/>
    <s v="SALUD AL DIA"/>
    <s v="GI00M10300005D"/>
    <s v="GI00M10300005D MANEJO DE FAUNA URBANA EN EL DMQ"/>
    <s v="71 GASTOS EN PERSONAL PARA INVERSIÓN"/>
    <s v="710601 Aporte Patronal"/>
    <s v="G/710601/1FM103"/>
    <s v="001"/>
    <n v="0"/>
    <n v="1180.3800000000001"/>
    <n v="0"/>
    <n v="1180.3800000000001"/>
    <n v="354.12"/>
    <n v="489"/>
    <n v="489"/>
    <n v="691.38"/>
    <n v="691.38"/>
    <n v="337.26"/>
  </r>
  <r>
    <s v="71"/>
    <x v="2"/>
    <x v="7"/>
    <s v="ZQ08F080"/>
    <x v="44"/>
    <s v="M103"/>
    <s v="SALUD AL DIA"/>
    <s v="GI00M10300005D"/>
    <s v="GI00M10300005D MANEJO DE FAUNA URBANA EN EL DMQ"/>
    <s v="71 GASTOS EN PERSONAL PARA INVERSIÓN"/>
    <s v="710602 Fondo de Reserva"/>
    <s v="G/710602/1FM103"/>
    <s v="001"/>
    <n v="0"/>
    <n v="777.58"/>
    <n v="0"/>
    <n v="777.58"/>
    <n v="555.41999999999996"/>
    <n v="0"/>
    <n v="0"/>
    <n v="777.58"/>
    <n v="777.58"/>
    <n v="222.16"/>
  </r>
  <r>
    <s v="71"/>
    <x v="2"/>
    <x v="7"/>
    <s v="ZT06F060"/>
    <x v="40"/>
    <s v="M103"/>
    <s v="SALUD AL DIA"/>
    <s v="GI00M10300005D"/>
    <s v="GI00M10300005D MANEJO DE FAUNA URBANA EN EL DMQ"/>
    <s v="71 GASTOS EN PERSONAL PARA INVERSIÓN"/>
    <s v="710602 Fondo de Reserva"/>
    <s v="G/710602/1FM103"/>
    <s v="001"/>
    <n v="0"/>
    <n v="777.58"/>
    <n v="0"/>
    <n v="777.58"/>
    <n v="555.41999999999996"/>
    <n v="0"/>
    <n v="0"/>
    <n v="777.58"/>
    <n v="777.58"/>
    <n v="222.16"/>
  </r>
  <r>
    <s v="71"/>
    <x v="2"/>
    <x v="7"/>
    <s v="ZS03F030"/>
    <x v="45"/>
    <s v="M103"/>
    <s v="SALUD AL DIA"/>
    <s v="GI00M10300005D"/>
    <s v="GI00M10300005D MANEJO DE FAUNA URBANA EN EL DMQ"/>
    <s v="71 GASTOS EN PERSONAL PARA INVERSIÓN"/>
    <s v="710602 Fondo de Reserva"/>
    <s v="G/710602/1FM103"/>
    <s v="001"/>
    <n v="0"/>
    <n v="777.58"/>
    <n v="0"/>
    <n v="777.58"/>
    <n v="555.41999999999996"/>
    <n v="0"/>
    <n v="0"/>
    <n v="777.58"/>
    <n v="777.58"/>
    <n v="222.16"/>
  </r>
  <r>
    <s v="71"/>
    <x v="2"/>
    <x v="7"/>
    <s v="ZV05F050"/>
    <x v="39"/>
    <s v="M103"/>
    <s v="SALUD AL DIA"/>
    <s v="GI00M10300005D"/>
    <s v="GI00M10300005D MANEJO DE FAUNA URBANA EN EL DMQ"/>
    <s v="71 GASTOS EN PERSONAL PARA INVERSIÓN"/>
    <s v="710602 Fondo de Reserva"/>
    <s v="G/710602/1FM103"/>
    <s v="001"/>
    <n v="0"/>
    <n v="777.58"/>
    <n v="0"/>
    <n v="777.58"/>
    <n v="555.41999999999996"/>
    <n v="0"/>
    <n v="0"/>
    <n v="777.58"/>
    <n v="777.58"/>
    <n v="222.16"/>
  </r>
  <r>
    <s v="71"/>
    <x v="1"/>
    <x v="2"/>
    <s v="ZA01M000"/>
    <x v="42"/>
    <s v="M103"/>
    <s v="SALUD AL DIA"/>
    <s v="GI00M10300005D"/>
    <s v="GI00M10300005D MANEJO DE FAUNA URBANA EN EL DMQ"/>
    <s v="71 GASTOS EN PERSONAL PARA INVERSIÓN"/>
    <s v="710602 Fondo de Reserva"/>
    <s v="G/710602/1MM103"/>
    <s v="002"/>
    <n v="0"/>
    <n v="11755"/>
    <n v="0"/>
    <n v="11755"/>
    <n v="10556.11"/>
    <n v="1198.8900000000001"/>
    <n v="1198.8900000000001"/>
    <n v="10556.11"/>
    <n v="10556.11"/>
    <n v="0"/>
  </r>
  <r>
    <s v="71"/>
    <x v="2"/>
    <x v="7"/>
    <s v="ZC09F090"/>
    <x v="10"/>
    <s v="M103"/>
    <s v="SALUD AL DIA"/>
    <s v="GI00M10300005D"/>
    <s v="GI00M10300005D MANEJO DE FAUNA URBANA EN EL DMQ"/>
    <s v="71 GASTOS EN PERSONAL PARA INVERSIÓN"/>
    <s v="710602 Fondo de Reserva"/>
    <s v="G/710602/1FM103"/>
    <s v="001"/>
    <n v="0"/>
    <n v="777.58"/>
    <n v="0"/>
    <n v="777.58"/>
    <n v="555.41999999999996"/>
    <n v="0"/>
    <n v="0"/>
    <n v="777.58"/>
    <n v="777.58"/>
    <n v="222.16"/>
  </r>
  <r>
    <s v="71"/>
    <x v="2"/>
    <x v="7"/>
    <s v="ZM04F040"/>
    <x v="41"/>
    <s v="M103"/>
    <s v="SALUD AL DIA"/>
    <s v="GI00M10300005D"/>
    <s v="GI00M10300005D MANEJO DE FAUNA URBANA EN EL DMQ"/>
    <s v="71 GASTOS EN PERSONAL PARA INVERSIÓN"/>
    <s v="710602 Fondo de Reserva"/>
    <s v="G/710602/1FM103"/>
    <s v="001"/>
    <n v="0"/>
    <n v="777.58"/>
    <n v="0"/>
    <n v="777.58"/>
    <n v="555.41999999999996"/>
    <n v="0"/>
    <n v="0"/>
    <n v="777.58"/>
    <n v="777.58"/>
    <n v="222.16"/>
  </r>
  <r>
    <s v="71"/>
    <x v="1"/>
    <x v="2"/>
    <s v="ZA01M000"/>
    <x v="42"/>
    <s v="M103"/>
    <s v="SALUD AL DIA"/>
    <s v="GI00M10300005D"/>
    <s v="GI00M10300005D MANEJO DE FAUNA URBANA EN EL DMQ"/>
    <s v="71 GASTOS EN PERSONAL PARA INVERSIÓN"/>
    <s v="710602 Fondo de Reserva"/>
    <s v="G/710602/1MM103"/>
    <s v="001"/>
    <n v="0"/>
    <n v="51806.75"/>
    <n v="0"/>
    <n v="51806.75"/>
    <n v="45898.96"/>
    <n v="5907.54"/>
    <n v="5907.54"/>
    <n v="45899.21"/>
    <n v="45899.21"/>
    <n v="0.25"/>
  </r>
  <r>
    <s v="71"/>
    <x v="2"/>
    <x v="7"/>
    <s v="ZD07F070"/>
    <x v="43"/>
    <s v="M103"/>
    <s v="SALUD AL DIA"/>
    <s v="GI00M10300005D"/>
    <s v="GI00M10300005D MANEJO DE FAUNA URBANA EN EL DMQ"/>
    <s v="71 GASTOS EN PERSONAL PARA INVERSIÓN"/>
    <s v="710602 Fondo de Reserva"/>
    <s v="G/710602/1FM103"/>
    <s v="001"/>
    <n v="0"/>
    <n v="777.58"/>
    <n v="0"/>
    <n v="777.58"/>
    <n v="555.41999999999996"/>
    <n v="0"/>
    <n v="0"/>
    <n v="777.58"/>
    <n v="777.58"/>
    <n v="222.16"/>
  </r>
  <r>
    <s v="71"/>
    <x v="2"/>
    <x v="7"/>
    <s v="ZN02F020"/>
    <x v="46"/>
    <s v="M103"/>
    <s v="SALUD AL DIA"/>
    <s v="GI00M10300005D"/>
    <s v="GI00M10300005D MANEJO DE FAUNA URBANA EN EL DMQ"/>
    <s v="71 GASTOS EN PERSONAL PARA INVERSIÓN"/>
    <s v="710602 Fondo de Reserva"/>
    <s v="G/710602/1FM103"/>
    <s v="001"/>
    <n v="0"/>
    <n v="777.58"/>
    <n v="-222.16"/>
    <n v="555.41999999999996"/>
    <n v="555.41999999999996"/>
    <n v="0"/>
    <n v="0"/>
    <n v="555.41999999999996"/>
    <n v="555.41999999999996"/>
    <n v="0"/>
  </r>
  <r>
    <s v="71"/>
    <x v="1"/>
    <x v="2"/>
    <s v="US33M030"/>
    <x v="5"/>
    <s v="M103"/>
    <s v="SALUD AL DIA"/>
    <s v="GI00M10300006D"/>
    <s v="GI00M10300006D ATENCIÓN Y PREVENCIÓN DE LA ENFERMEDAD"/>
    <s v="71 GASTOS EN PERSONAL PARA INVERSIÓN"/>
    <s v="710106 Salarios Unificados"/>
    <s v="G/710106/1MM103"/>
    <s v="001"/>
    <n v="0"/>
    <n v="367027"/>
    <n v="0"/>
    <n v="367027"/>
    <n v="60965.32"/>
    <n v="238494.68"/>
    <n v="238494.68"/>
    <n v="128532.32"/>
    <n v="128532.32"/>
    <n v="67567"/>
  </r>
  <r>
    <s v="71"/>
    <x v="1"/>
    <x v="2"/>
    <s v="US33M030"/>
    <x v="5"/>
    <s v="M103"/>
    <s v="SALUD AL DIA"/>
    <s v="GI00M10300006D"/>
    <s v="GI00M10300006D ATENCIÓN Y PREVENCIÓN DE LA ENFERMEDAD"/>
    <s v="71 GASTOS EN PERSONAL PARA INVERSIÓN"/>
    <s v="710203 Decimotercer Sueldo"/>
    <s v="G/710203/1MM103"/>
    <s v="001"/>
    <n v="0"/>
    <n v="221729.66"/>
    <n v="0"/>
    <n v="221729.66"/>
    <n v="125752.42"/>
    <n v="95977.24"/>
    <n v="95977.24"/>
    <n v="125752.42"/>
    <n v="125752.42"/>
    <n v="0"/>
  </r>
  <r>
    <s v="71"/>
    <x v="1"/>
    <x v="2"/>
    <s v="US33M030"/>
    <x v="5"/>
    <s v="M103"/>
    <s v="SALUD AL DIA"/>
    <s v="GI00M10300006D"/>
    <s v="GI00M10300006D ATENCIÓN Y PREVENCIÓN DE LA ENFERMEDAD"/>
    <s v="71 GASTOS EN PERSONAL PARA INVERSIÓN"/>
    <s v="710204 Decimocuarto Sueldo"/>
    <s v="G/710204/1MM103"/>
    <s v="001"/>
    <n v="0"/>
    <n v="64100"/>
    <n v="0"/>
    <n v="64100"/>
    <n v="32459.73"/>
    <n v="31640.27"/>
    <n v="31640.27"/>
    <n v="32459.73"/>
    <n v="32459.73"/>
    <n v="0"/>
  </r>
  <r>
    <s v="71"/>
    <x v="1"/>
    <x v="2"/>
    <s v="US33M030"/>
    <x v="5"/>
    <s v="M103"/>
    <s v="SALUD AL DIA"/>
    <s v="GI00M10300006D"/>
    <s v="GI00M10300006D ATENCIÓN Y PREVENCIÓN DE LA ENFERMEDAD"/>
    <s v="71 GASTOS EN PERSONAL PARA INVERSIÓN"/>
    <s v="710304 Compensación por Tra"/>
    <s v="G/710304/1MM103"/>
    <s v="001"/>
    <n v="0"/>
    <n v="3720"/>
    <n v="0"/>
    <n v="3720"/>
    <n v="3203"/>
    <n v="517"/>
    <n v="517"/>
    <n v="3203"/>
    <n v="3203"/>
    <n v="0"/>
  </r>
  <r>
    <s v="71"/>
    <x v="1"/>
    <x v="2"/>
    <s v="US33M030"/>
    <x v="5"/>
    <s v="M103"/>
    <s v="SALUD AL DIA"/>
    <s v="GI00M10300006D"/>
    <s v="GI00M10300006D ATENCIÓN Y PREVENCIÓN DE LA ENFERMEDAD"/>
    <s v="71 GASTOS EN PERSONAL PARA INVERSIÓN"/>
    <s v="710306 Alimentación"/>
    <s v="G/710306/1MM103"/>
    <s v="001"/>
    <n v="0"/>
    <n v="30000"/>
    <n v="0"/>
    <n v="30000"/>
    <n v="21984"/>
    <n v="8016"/>
    <n v="8016"/>
    <n v="21984"/>
    <n v="21984"/>
    <n v="0"/>
  </r>
  <r>
    <s v="71"/>
    <x v="1"/>
    <x v="2"/>
    <s v="US33M030"/>
    <x v="5"/>
    <s v="M103"/>
    <s v="SALUD AL DIA"/>
    <s v="GI00M10300006D"/>
    <s v="GI00M10300006D ATENCIÓN Y PREVENCIÓN DE LA ENFERMEDAD"/>
    <s v="71 GASTOS EN PERSONAL PARA INVERSIÓN"/>
    <s v="710401 Cargas Familiares"/>
    <s v="G/710401/1MM103"/>
    <s v="001"/>
    <n v="0"/>
    <n v="4464"/>
    <n v="0"/>
    <n v="4464"/>
    <n v="4464"/>
    <n v="0"/>
    <n v="0"/>
    <n v="4464"/>
    <n v="4464"/>
    <n v="0"/>
  </r>
  <r>
    <s v="71"/>
    <x v="1"/>
    <x v="2"/>
    <s v="US33M030"/>
    <x v="5"/>
    <s v="M103"/>
    <s v="SALUD AL DIA"/>
    <s v="GI00M10300006D"/>
    <s v="GI00M10300006D ATENCIÓN Y PREVENCIÓN DE LA ENFERMEDAD"/>
    <s v="71 GASTOS EN PERSONAL PARA INVERSIÓN"/>
    <s v="710507 Honorarios"/>
    <s v="G/710507/1MM103"/>
    <s v="002"/>
    <n v="0"/>
    <n v="187079.39"/>
    <n v="-3.13"/>
    <n v="187076.26"/>
    <n v="0"/>
    <n v="187076.26"/>
    <n v="187076.26"/>
    <n v="0"/>
    <n v="0"/>
    <n v="0"/>
  </r>
  <r>
    <s v="71"/>
    <x v="1"/>
    <x v="2"/>
    <s v="US33M030"/>
    <x v="5"/>
    <s v="M103"/>
    <s v="SALUD AL DIA"/>
    <s v="GI00M10300006D"/>
    <s v="GI00M10300006D ATENCIÓN Y PREVENCIÓN DE LA ENFERMEDAD"/>
    <s v="71 GASTOS EN PERSONAL PARA INVERSIÓN"/>
    <s v="710507 Honorarios"/>
    <s v="G/710507/1MM103"/>
    <s v="001"/>
    <n v="0"/>
    <n v="1663"/>
    <n v="31411.85"/>
    <n v="33074.85"/>
    <n v="0"/>
    <n v="1662.27"/>
    <n v="1662.27"/>
    <n v="31412.58"/>
    <n v="31412.58"/>
    <n v="31412.58"/>
  </r>
  <r>
    <s v="71"/>
    <x v="1"/>
    <x v="2"/>
    <s v="US33M030"/>
    <x v="5"/>
    <s v="M103"/>
    <s v="SALUD AL DIA"/>
    <s v="GI00M10300006D"/>
    <s v="GI00M10300006D ATENCIÓN Y PREVENCIÓN DE LA ENFERMEDAD"/>
    <s v="71 GASTOS EN PERSONAL PARA INVERSIÓN"/>
    <s v="710510 Servicios Personales por Contrato"/>
    <s v="G/710510/1MM103"/>
    <s v="001"/>
    <n v="0"/>
    <n v="2361296"/>
    <n v="0"/>
    <n v="2361296"/>
    <n v="1056796.1100000001"/>
    <n v="1304499.8899999999"/>
    <n v="1304499.8899999999"/>
    <n v="1056796.1100000001"/>
    <n v="1056796.1100000001"/>
    <n v="0"/>
  </r>
  <r>
    <s v="71"/>
    <x v="1"/>
    <x v="2"/>
    <s v="US33M030"/>
    <x v="5"/>
    <s v="M103"/>
    <s v="SALUD AL DIA"/>
    <s v="GI00M10300006D"/>
    <s v="GI00M10300006D ATENCIÓN Y PREVENCIÓN DE LA ENFERMEDAD"/>
    <s v="71 GASTOS EN PERSONAL PARA INVERSIÓN"/>
    <s v="710601 Aporte Patronal"/>
    <s v="G/710601/1MM103"/>
    <s v="001"/>
    <n v="0"/>
    <n v="335088.33"/>
    <n v="0"/>
    <n v="335088.33"/>
    <n v="118890.69"/>
    <n v="216197.64"/>
    <n v="216197.64"/>
    <n v="118890.69"/>
    <n v="118890.69"/>
    <n v="0"/>
  </r>
  <r>
    <s v="71"/>
    <x v="1"/>
    <x v="2"/>
    <s v="US33M030"/>
    <x v="5"/>
    <s v="M103"/>
    <s v="SALUD AL DIA"/>
    <s v="GI00M10300006D"/>
    <s v="GI00M10300006D ATENCIÓN Y PREVENCIÓN DE LA ENFERMEDAD"/>
    <s v="71 GASTOS EN PERSONAL PARA INVERSIÓN"/>
    <s v="710602 Fondo de Reserva"/>
    <s v="G/710602/1MM103"/>
    <s v="001"/>
    <n v="0"/>
    <n v="196774.67"/>
    <n v="0"/>
    <n v="196774.67"/>
    <n v="196774.67"/>
    <n v="0"/>
    <n v="0"/>
    <n v="196774.67"/>
    <n v="196774.67"/>
    <n v="0"/>
  </r>
  <r>
    <s v="71"/>
    <x v="1"/>
    <x v="2"/>
    <s v="US33M030"/>
    <x v="5"/>
    <s v="M103"/>
    <s v="SALUD AL DIA"/>
    <s v="GI00M10300006D"/>
    <s v="GI00M10300006D ATENCIÓN Y PREVENCIÓN DE LA ENFERMEDAD"/>
    <s v="71 GASTOS EN PERSONAL PARA INVERSIÓN"/>
    <s v="710704 Compensación por Desahucio"/>
    <s v="G/710704/1MM103"/>
    <s v="001"/>
    <n v="0"/>
    <n v="10465"/>
    <n v="0"/>
    <n v="10465"/>
    <n v="10465"/>
    <n v="0"/>
    <n v="0"/>
    <n v="10465"/>
    <n v="10465"/>
    <n v="0"/>
  </r>
  <r>
    <s v="71"/>
    <x v="1"/>
    <x v="2"/>
    <s v="US33M030"/>
    <x v="5"/>
    <s v="M103"/>
    <s v="SALUD AL DIA"/>
    <s v="GI00M10300006D"/>
    <s v="GI00M10300006D ATENCIÓN Y PREVENCIÓN DE LA ENFERMEDAD"/>
    <s v="71 GASTOS EN PERSONAL PARA INVERSIÓN"/>
    <s v="710707 Compensación por Vacaciones no Gozadas por"/>
    <s v="G/710707/1MM103"/>
    <s v="001"/>
    <n v="0"/>
    <n v="70985.84"/>
    <n v="0"/>
    <n v="70985.84"/>
    <n v="1744.17"/>
    <n v="0"/>
    <n v="0"/>
    <n v="70985.84"/>
    <n v="70985.84"/>
    <n v="69241.67"/>
  </r>
  <r>
    <s v="71"/>
    <x v="1"/>
    <x v="2"/>
    <s v="UN31M010"/>
    <x v="15"/>
    <s v="M103"/>
    <s v="SALUD AL DIA"/>
    <s v="GI00M10300007D"/>
    <s v="GI00M10300007D PREVENCION INTEGRAL DE ADICCIONES"/>
    <s v="71 GASTOS EN PERSONAL PARA INVERSIÓN"/>
    <s v="710203 Decimotercer Sueldo"/>
    <s v="G/710203/1MM103"/>
    <s v="002"/>
    <n v="0"/>
    <n v="50810"/>
    <n v="-1009.76"/>
    <n v="49800.24"/>
    <n v="40648.839999999997"/>
    <n v="9151.4"/>
    <n v="9151.4"/>
    <n v="40648.839999999997"/>
    <n v="40648.839999999997"/>
    <n v="0"/>
  </r>
  <r>
    <s v="71"/>
    <x v="1"/>
    <x v="2"/>
    <s v="UN31M010"/>
    <x v="15"/>
    <s v="M103"/>
    <s v="SALUD AL DIA"/>
    <s v="GI00M10300007D"/>
    <s v="GI00M10300007D PREVENCION INTEGRAL DE ADICCIONES"/>
    <s v="71 GASTOS EN PERSONAL PARA INVERSIÓN"/>
    <s v="710203 Decimotercer Sueldo"/>
    <s v="G/710203/1MM103"/>
    <s v="001"/>
    <n v="0"/>
    <n v="14234.25"/>
    <n v="1009.76"/>
    <n v="15244.01"/>
    <n v="12783.27"/>
    <n v="1450.98"/>
    <n v="1450.98"/>
    <n v="13793.03"/>
    <n v="13793.03"/>
    <n v="1009.76"/>
  </r>
  <r>
    <s v="71"/>
    <x v="1"/>
    <x v="2"/>
    <s v="UN31M010"/>
    <x v="15"/>
    <s v="M103"/>
    <s v="SALUD AL DIA"/>
    <s v="GI00M10300007D"/>
    <s v="GI00M10300007D PREVENCION INTEGRAL DE ADICCIONES"/>
    <s v="71 GASTOS EN PERSONAL PARA INVERSIÓN"/>
    <s v="710204 Decimocuarto Sueldo"/>
    <s v="G/710204/1MM103"/>
    <s v="002"/>
    <n v="0"/>
    <n v="15200"/>
    <n v="-200.02"/>
    <n v="14999.98"/>
    <n v="1740.18"/>
    <n v="13259.8"/>
    <n v="13259.8"/>
    <n v="1740.18"/>
    <n v="1740.18"/>
    <n v="0"/>
  </r>
  <r>
    <s v="71"/>
    <x v="1"/>
    <x v="2"/>
    <s v="UN31M010"/>
    <x v="15"/>
    <s v="M103"/>
    <s v="SALUD AL DIA"/>
    <s v="GI00M10300007D"/>
    <s v="GI00M10300007D PREVENCION INTEGRAL DE ADICCIONES"/>
    <s v="71 GASTOS EN PERSONAL PARA INVERSIÓN"/>
    <s v="710204 Decimocuarto Sueldo"/>
    <s v="G/710204/1MM103"/>
    <s v="001"/>
    <n v="0"/>
    <n v="4600"/>
    <n v="200.02"/>
    <n v="4800.0200000000004"/>
    <n v="4200.04"/>
    <n v="399.96"/>
    <n v="399.96"/>
    <n v="4400.0600000000004"/>
    <n v="4400.0600000000004"/>
    <n v="200.02"/>
  </r>
  <r>
    <s v="71"/>
    <x v="1"/>
    <x v="2"/>
    <s v="UN31M010"/>
    <x v="15"/>
    <s v="M103"/>
    <s v="SALUD AL DIA"/>
    <s v="GI00M10300007D"/>
    <s v="GI00M10300007D PREVENCION INTEGRAL DE ADICCIONES"/>
    <s v="71 GASTOS EN PERSONAL PARA INVERSIÓN"/>
    <s v="710507 Honorarios"/>
    <s v="G/710507/1MM103"/>
    <s v="001"/>
    <n v="0"/>
    <n v="0"/>
    <n v="1639.16"/>
    <n v="1639.16"/>
    <n v="0"/>
    <n v="0"/>
    <n v="0"/>
    <n v="1639.16"/>
    <n v="1639.16"/>
    <n v="1639.16"/>
  </r>
  <r>
    <s v="71"/>
    <x v="1"/>
    <x v="2"/>
    <s v="UN31M010"/>
    <x v="15"/>
    <s v="M103"/>
    <s v="SALUD AL DIA"/>
    <s v="GI00M10300007D"/>
    <s v="GI00M10300007D PREVENCION INTEGRAL DE ADICCIONES"/>
    <s v="71 GASTOS EN PERSONAL PARA INVERSIÓN"/>
    <s v="710507 Honorarios"/>
    <s v="G/710507/1MM103"/>
    <s v="002"/>
    <n v="0"/>
    <n v="17898.330000000002"/>
    <n v="-2.2599999999999998"/>
    <n v="17896.07"/>
    <n v="0"/>
    <n v="17896.07"/>
    <n v="17896.07"/>
    <n v="0"/>
    <n v="0"/>
    <n v="0"/>
  </r>
  <r>
    <s v="71"/>
    <x v="1"/>
    <x v="2"/>
    <s v="UN31M010"/>
    <x v="15"/>
    <s v="M103"/>
    <s v="SALUD AL DIA"/>
    <s v="GI00M10300007D"/>
    <s v="GI00M10300007D PREVENCION INTEGRAL DE ADICCIONES"/>
    <s v="71 GASTOS EN PERSONAL PARA INVERSIÓN"/>
    <s v="710510 Servicios Personales por Contrato"/>
    <s v="G/710510/1MM103"/>
    <s v="002"/>
    <n v="0"/>
    <n v="609720"/>
    <n v="-8788"/>
    <n v="600932"/>
    <n v="81333.53"/>
    <n v="519598.47"/>
    <n v="519598.47"/>
    <n v="81333.53"/>
    <n v="81333.53"/>
    <n v="0"/>
  </r>
  <r>
    <s v="71"/>
    <x v="1"/>
    <x v="2"/>
    <s v="UN31M010"/>
    <x v="15"/>
    <s v="M103"/>
    <s v="SALUD AL DIA"/>
    <s v="GI00M10300007D"/>
    <s v="GI00M10300007D PREVENCION INTEGRAL DE ADICCIONES"/>
    <s v="71 GASTOS EN PERSONAL PARA INVERSIÓN"/>
    <s v="710510 Servicios Personales por Contrato"/>
    <s v="G/710510/1MM103"/>
    <s v="001"/>
    <n v="0"/>
    <n v="170811"/>
    <n v="134154.18"/>
    <n v="304965.18"/>
    <n v="62304.13"/>
    <n v="108506.87"/>
    <n v="108506.87"/>
    <n v="196458.31"/>
    <n v="196458.31"/>
    <n v="134154.18"/>
  </r>
  <r>
    <s v="71"/>
    <x v="1"/>
    <x v="2"/>
    <s v="UN31M010"/>
    <x v="15"/>
    <s v="M103"/>
    <s v="SALUD AL DIA"/>
    <s v="GI00M10300007D"/>
    <s v="GI00M10300007D PREVENCION INTEGRAL DE ADICCIONES"/>
    <s v="71 GASTOS EN PERSONAL PARA INVERSIÓN"/>
    <s v="710601 Aporte Patronal"/>
    <s v="G/710601/1MM103"/>
    <s v="002"/>
    <n v="0"/>
    <n v="77129.58"/>
    <n v="-1111.6500000000001"/>
    <n v="76017.929999999993"/>
    <n v="8024.58"/>
    <n v="67993.350000000006"/>
    <n v="67993.350000000006"/>
    <n v="8024.58"/>
    <n v="8024.58"/>
    <n v="0"/>
  </r>
  <r>
    <s v="71"/>
    <x v="1"/>
    <x v="2"/>
    <s v="UN31M010"/>
    <x v="15"/>
    <s v="M103"/>
    <s v="SALUD AL DIA"/>
    <s v="GI00M10300007D"/>
    <s v="GI00M10300007D PREVENCION INTEGRAL DE ADICCIONES"/>
    <s v="71 GASTOS EN PERSONAL PARA INVERSIÓN"/>
    <s v="710601 Aporte Patronal"/>
    <s v="G/710601/1MM103"/>
    <s v="001"/>
    <n v="0"/>
    <n v="21607.59"/>
    <n v="17426.46"/>
    <n v="39034.050000000003"/>
    <n v="7881.41"/>
    <n v="13726.18"/>
    <n v="13726.18"/>
    <n v="25307.87"/>
    <n v="25307.87"/>
    <n v="17426.46"/>
  </r>
  <r>
    <s v="71"/>
    <x v="1"/>
    <x v="2"/>
    <s v="UN31M010"/>
    <x v="15"/>
    <s v="M103"/>
    <s v="SALUD AL DIA"/>
    <s v="GI00M10300007D"/>
    <s v="GI00M10300007D PREVENCION INTEGRAL DE ADICCIONES"/>
    <s v="71 GASTOS EN PERSONAL PARA INVERSIÓN"/>
    <s v="710602 Fondo de Reserva"/>
    <s v="G/710602/1MM103"/>
    <s v="002"/>
    <n v="0"/>
    <n v="50810"/>
    <n v="-3890.21"/>
    <n v="46919.79"/>
    <n v="43971.65"/>
    <n v="2948.14"/>
    <n v="2948.14"/>
    <n v="43971.65"/>
    <n v="43971.65"/>
    <n v="0"/>
  </r>
  <r>
    <s v="71"/>
    <x v="1"/>
    <x v="2"/>
    <s v="UN31M010"/>
    <x v="15"/>
    <s v="M103"/>
    <s v="SALUD AL DIA"/>
    <s v="GI00M10300007D"/>
    <s v="GI00M10300007D PREVENCION INTEGRAL DE ADICCIONES"/>
    <s v="71 GASTOS EN PERSONAL PARA INVERSIÓN"/>
    <s v="710602 Fondo de Reserva"/>
    <s v="G/710602/1MM103"/>
    <s v="001"/>
    <n v="0"/>
    <n v="14234.25"/>
    <n v="3890.21"/>
    <n v="18124.46"/>
    <n v="9688.93"/>
    <n v="4545.32"/>
    <n v="4545.32"/>
    <n v="13579.14"/>
    <n v="13579.14"/>
    <n v="3890.21"/>
  </r>
  <r>
    <s v="71"/>
    <x v="1"/>
    <x v="2"/>
    <s v="UN31M010"/>
    <x v="15"/>
    <s v="M103"/>
    <s v="SALUD AL DIA"/>
    <s v="GI00M10300007D"/>
    <s v="GI00M10300007D PREVENCION INTEGRAL DE ADICCIONES"/>
    <s v="71 GASTOS EN PERSONAL PARA INVERSIÓN"/>
    <s v="710707 Compensación por Vacaciones no Gozadas por"/>
    <s v="G/710707/1MM103"/>
    <s v="001"/>
    <n v="0"/>
    <n v="70699.44"/>
    <n v="0"/>
    <n v="70699.44"/>
    <n v="0"/>
    <n v="4715.6000000000004"/>
    <n v="4715.6000000000004"/>
    <n v="65983.839999999997"/>
    <n v="65983.839999999997"/>
    <n v="65983.839999999997"/>
  </r>
  <r>
    <s v="71"/>
    <x v="1"/>
    <x v="2"/>
    <s v="UC32M020"/>
    <x v="33"/>
    <s v="M103"/>
    <s v="SALUD AL DIA"/>
    <s v="GI00M10300009D"/>
    <s v="GI00M10300009D PREVENCIÓN DE LA MAL NUTRICIÓN EN EL DMQ"/>
    <s v="71 GASTOS EN PERSONAL PARA INVERSIÓN"/>
    <s v="710203 Decimotercer Sueldo"/>
    <s v="G/710203/1MM103"/>
    <s v="002"/>
    <n v="0"/>
    <n v="45867"/>
    <n v="0"/>
    <n v="45867"/>
    <n v="40858.54"/>
    <n v="5008.46"/>
    <n v="5008.46"/>
    <n v="40858.54"/>
    <n v="40858.54"/>
    <n v="0"/>
  </r>
  <r>
    <s v="71"/>
    <x v="1"/>
    <x v="2"/>
    <s v="UC32M020"/>
    <x v="33"/>
    <s v="M103"/>
    <s v="SALUD AL DIA"/>
    <s v="GI00M10300009D"/>
    <s v="GI00M10300009D PREVENCIÓN DE LA MAL NUTRICIÓN EN EL DMQ"/>
    <s v="71 GASTOS EN PERSONAL PARA INVERSIÓN"/>
    <s v="710204 Decimocuarto Sueldo"/>
    <s v="G/710204/1MM103"/>
    <s v="002"/>
    <n v="0"/>
    <n v="14800"/>
    <n v="0"/>
    <n v="14800"/>
    <n v="1200.32"/>
    <n v="13599.68"/>
    <n v="13599.68"/>
    <n v="1200.32"/>
    <n v="1200.32"/>
    <n v="0"/>
  </r>
  <r>
    <s v="71"/>
    <x v="1"/>
    <x v="2"/>
    <s v="UC32M020"/>
    <x v="33"/>
    <s v="M103"/>
    <s v="SALUD AL DIA"/>
    <s v="GI00M10300009D"/>
    <s v="GI00M10300009D PREVENCIÓN DE LA MAL NUTRICIÓN EN EL DMQ"/>
    <s v="71 GASTOS EN PERSONAL PARA INVERSIÓN"/>
    <s v="710507 Honorarios"/>
    <s v="G/710507/1MM103"/>
    <s v="001"/>
    <n v="0"/>
    <n v="0"/>
    <n v="1508.57"/>
    <n v="1508.57"/>
    <n v="0"/>
    <n v="0"/>
    <n v="0"/>
    <n v="1508.57"/>
    <n v="1508.57"/>
    <n v="1508.57"/>
  </r>
  <r>
    <s v="71"/>
    <x v="1"/>
    <x v="2"/>
    <s v="UC32M020"/>
    <x v="33"/>
    <s v="M103"/>
    <s v="SALUD AL DIA"/>
    <s v="GI00M10300009D"/>
    <s v="GI00M10300009D PREVENCIÓN DE LA MAL NUTRICIÓN EN EL DMQ"/>
    <s v="71 GASTOS EN PERSONAL PARA INVERSIÓN"/>
    <s v="710507 Honorarios"/>
    <s v="G/710507/1MM103"/>
    <s v="002"/>
    <n v="0"/>
    <n v="1920"/>
    <n v="0"/>
    <n v="1920"/>
    <n v="0"/>
    <n v="1920"/>
    <n v="1920"/>
    <n v="0"/>
    <n v="0"/>
    <n v="0"/>
  </r>
  <r>
    <s v="71"/>
    <x v="1"/>
    <x v="2"/>
    <s v="UC32M020"/>
    <x v="33"/>
    <s v="M103"/>
    <s v="SALUD AL DIA"/>
    <s v="GI00M10300009D"/>
    <s v="GI00M10300009D PREVENCIÓN DE LA MAL NUTRICIÓN EN EL DMQ"/>
    <s v="71 GASTOS EN PERSONAL PARA INVERSIÓN"/>
    <s v="710510 Servicios Personales por Contrato"/>
    <s v="G/710510/1MM103"/>
    <s v="002"/>
    <n v="0"/>
    <n v="550404"/>
    <n v="0"/>
    <n v="550404"/>
    <n v="53170"/>
    <n v="497234"/>
    <n v="497234"/>
    <n v="53170"/>
    <n v="53170"/>
    <n v="0"/>
  </r>
  <r>
    <s v="71"/>
    <x v="1"/>
    <x v="2"/>
    <s v="UC32M020"/>
    <x v="33"/>
    <s v="M103"/>
    <s v="SALUD AL DIA"/>
    <s v="GI00M10300009D"/>
    <s v="GI00M10300009D PREVENCIÓN DE LA MAL NUTRICIÓN EN EL DMQ"/>
    <s v="71 GASTOS EN PERSONAL PARA INVERSIÓN"/>
    <s v="710601 Aporte Patronal"/>
    <s v="G/710601/1MM103"/>
    <s v="002"/>
    <n v="0"/>
    <n v="69626.11"/>
    <n v="0"/>
    <n v="69626.11"/>
    <n v="6483.19"/>
    <n v="63142.92"/>
    <n v="63142.92"/>
    <n v="6483.19"/>
    <n v="6483.19"/>
    <n v="0"/>
  </r>
  <r>
    <s v="71"/>
    <x v="1"/>
    <x v="2"/>
    <s v="UC32M020"/>
    <x v="33"/>
    <s v="M103"/>
    <s v="SALUD AL DIA"/>
    <s v="GI00M10300009D"/>
    <s v="GI00M10300009D PREVENCIÓN DE LA MAL NUTRICIÓN EN EL DMQ"/>
    <s v="71 GASTOS EN PERSONAL PARA INVERSIÓN"/>
    <s v="710602 Fondo de Reserva"/>
    <s v="G/710602/1MM103"/>
    <s v="001"/>
    <n v="0"/>
    <n v="2500"/>
    <n v="0"/>
    <n v="2500"/>
    <n v="2500"/>
    <n v="0"/>
    <n v="0"/>
    <n v="2500"/>
    <n v="2500"/>
    <n v="0"/>
  </r>
  <r>
    <s v="71"/>
    <x v="1"/>
    <x v="2"/>
    <s v="UC32M020"/>
    <x v="33"/>
    <s v="M103"/>
    <s v="SALUD AL DIA"/>
    <s v="GI00M10300009D"/>
    <s v="GI00M10300009D PREVENCIÓN DE LA MAL NUTRICIÓN EN EL DMQ"/>
    <s v="71 GASTOS EN PERSONAL PARA INVERSIÓN"/>
    <s v="710602 Fondo de Reserva"/>
    <s v="G/710602/1MM103"/>
    <s v="002"/>
    <n v="0"/>
    <n v="45867"/>
    <n v="0"/>
    <n v="45867"/>
    <n v="1237.52"/>
    <n v="44629.48"/>
    <n v="44629.48"/>
    <n v="1237.52"/>
    <n v="1237.52"/>
    <n v="0"/>
  </r>
  <r>
    <s v="71"/>
    <x v="2"/>
    <x v="8"/>
    <s v="FS66P020"/>
    <x v="13"/>
    <s v="P303"/>
    <s v="PROTEGER EL PATRIMONIO HISTORICO Y CULTURAL DEL DM"/>
    <s v="GI00P30300005D"/>
    <s v="GI00P30300005D SISTEMA DE INFORMACION DEL PATRIMONIO CU"/>
    <s v="71 GASTOS EN PERSONAL PARA INVERSIÓN"/>
    <s v="710203 Decimotercer Sueldo"/>
    <s v="G/710203/3PP303"/>
    <s v="002"/>
    <n v="1543"/>
    <n v="4419"/>
    <n v="0"/>
    <n v="5962"/>
    <n v="3349.69"/>
    <n v="2612.31"/>
    <n v="2612.31"/>
    <n v="3349.69"/>
    <n v="3349.69"/>
    <n v="0"/>
  </r>
  <r>
    <s v="71"/>
    <x v="2"/>
    <x v="8"/>
    <s v="FS66P020"/>
    <x v="13"/>
    <s v="P303"/>
    <s v="PROTEGER EL PATRIMONIO HISTORICO Y CULTURAL DEL DM"/>
    <s v="GI00P30300005D"/>
    <s v="GI00P30300005D SISTEMA DE INFORMACION DEL PATRIMONIO CU"/>
    <s v="71 GASTOS EN PERSONAL PARA INVERSIÓN"/>
    <s v="710204 Decimocuarto Sueldo"/>
    <s v="G/710204/3PP303"/>
    <s v="001"/>
    <n v="0"/>
    <n v="0"/>
    <n v="3.28"/>
    <n v="3.28"/>
    <n v="0"/>
    <n v="0"/>
    <n v="0"/>
    <n v="3.28"/>
    <n v="3.28"/>
    <n v="3.28"/>
  </r>
  <r>
    <s v="71"/>
    <x v="2"/>
    <x v="8"/>
    <s v="FS66P020"/>
    <x v="13"/>
    <s v="P303"/>
    <s v="PROTEGER EL PATRIMONIO HISTORICO Y CULTURAL DEL DM"/>
    <s v="GI00P30300005D"/>
    <s v="GI00P30300005D SISTEMA DE INFORMACION DEL PATRIMONIO CU"/>
    <s v="71 GASTOS EN PERSONAL PARA INVERSIÓN"/>
    <s v="710204 Decimocuarto Sueldo"/>
    <s v="G/710204/3PP303"/>
    <s v="002"/>
    <n v="405.82"/>
    <n v="1400"/>
    <n v="-3.28"/>
    <n v="1802.54"/>
    <n v="439.04"/>
    <n v="1363.5"/>
    <n v="1363.5"/>
    <n v="439.04"/>
    <n v="439.04"/>
    <n v="0"/>
  </r>
  <r>
    <s v="71"/>
    <x v="2"/>
    <x v="8"/>
    <s v="FS66P020"/>
    <x v="13"/>
    <s v="P303"/>
    <s v="PROTEGER EL PATRIMONIO HISTORICO Y CULTURAL DEL DM"/>
    <s v="GI00P30300005D"/>
    <s v="GI00P30300005D SISTEMA DE INFORMACION DEL PATRIMONIO CU"/>
    <s v="71 GASTOS EN PERSONAL PARA INVERSIÓN"/>
    <s v="710507 Honorarios"/>
    <s v="G/710507/3PP303"/>
    <s v="002"/>
    <n v="0"/>
    <n v="2630.63"/>
    <n v="-42.23"/>
    <n v="2588.4"/>
    <n v="0"/>
    <n v="2588.4"/>
    <n v="2588.4"/>
    <n v="0"/>
    <n v="0"/>
    <n v="0"/>
  </r>
  <r>
    <s v="71"/>
    <x v="2"/>
    <x v="8"/>
    <s v="FS66P020"/>
    <x v="13"/>
    <s v="P303"/>
    <s v="PROTEGER EL PATRIMONIO HISTORICO Y CULTURAL DEL DM"/>
    <s v="GI00P30300005D"/>
    <s v="GI00P30300005D SISTEMA DE INFORMACION DEL PATRIMONIO CU"/>
    <s v="71 GASTOS EN PERSONAL PARA INVERSIÓN"/>
    <s v="710507 Honorarios"/>
    <s v="G/710507/3PP303"/>
    <s v="001"/>
    <n v="0"/>
    <n v="0"/>
    <n v="42.23"/>
    <n v="42.23"/>
    <n v="0"/>
    <n v="0"/>
    <n v="0"/>
    <n v="42.23"/>
    <n v="42.23"/>
    <n v="42.23"/>
  </r>
  <r>
    <s v="71"/>
    <x v="2"/>
    <x v="8"/>
    <s v="FS66P020"/>
    <x v="13"/>
    <s v="P303"/>
    <s v="PROTEGER EL PATRIMONIO HISTORICO Y CULTURAL DEL DM"/>
    <s v="GI00P30300005D"/>
    <s v="GI00P30300005D SISTEMA DE INFORMACION DEL PATRIMONIO CU"/>
    <s v="71 GASTOS EN PERSONAL PARA INVERSIÓN"/>
    <s v="710510 Servicios Personales por Contrato"/>
    <s v="G/710510/3PP303"/>
    <s v="002"/>
    <n v="18516"/>
    <n v="53028"/>
    <n v="0"/>
    <n v="71544"/>
    <n v="8838"/>
    <n v="62706"/>
    <n v="62706"/>
    <n v="8838"/>
    <n v="8838"/>
    <n v="0"/>
  </r>
  <r>
    <s v="71"/>
    <x v="2"/>
    <x v="8"/>
    <s v="FS66P020"/>
    <x v="13"/>
    <s v="P303"/>
    <s v="PROTEGER EL PATRIMONIO HISTORICO Y CULTURAL DEL DM"/>
    <s v="GI00P30300005D"/>
    <s v="GI00P30300005D SISTEMA DE INFORMACION DEL PATRIMONIO CU"/>
    <s v="71 GASTOS EN PERSONAL PARA INVERSIÓN"/>
    <s v="710601 Aporte Patronal"/>
    <s v="G/710601/3PP303"/>
    <s v="001"/>
    <n v="0"/>
    <n v="0"/>
    <n v="75.39"/>
    <n v="75.39"/>
    <n v="0"/>
    <n v="0"/>
    <n v="0"/>
    <n v="75.39"/>
    <n v="75.39"/>
    <n v="75.39"/>
  </r>
  <r>
    <s v="71"/>
    <x v="2"/>
    <x v="8"/>
    <s v="FS66P020"/>
    <x v="13"/>
    <s v="P303"/>
    <s v="PROTEGER EL PATRIMONIO HISTORICO Y CULTURAL DEL DM"/>
    <s v="GI00P30300005D"/>
    <s v="GI00P30300005D SISTEMA DE INFORMACION DEL PATRIMONIO CU"/>
    <s v="71 GASTOS EN PERSONAL PARA INVERSIÓN"/>
    <s v="710601 Aporte Patronal"/>
    <s v="G/710601/3PP303"/>
    <s v="002"/>
    <n v="2342.27"/>
    <n v="6708.04"/>
    <n v="0"/>
    <n v="9050.31"/>
    <n v="790.6"/>
    <n v="8259.7099999999991"/>
    <n v="8259.7099999999991"/>
    <n v="790.6"/>
    <n v="790.6"/>
    <n v="0"/>
  </r>
  <r>
    <s v="71"/>
    <x v="2"/>
    <x v="8"/>
    <s v="FS66P020"/>
    <x v="13"/>
    <s v="P303"/>
    <s v="PROTEGER EL PATRIMONIO HISTORICO Y CULTURAL DEL DM"/>
    <s v="GI00P30300005D"/>
    <s v="GI00P30300005D SISTEMA DE INFORMACION DEL PATRIMONIO CU"/>
    <s v="71 GASTOS EN PERSONAL PARA INVERSIÓN"/>
    <s v="710602 Fondo de Reserva"/>
    <s v="G/710602/3PP303"/>
    <s v="002"/>
    <n v="1543"/>
    <n v="4419"/>
    <n v="0"/>
    <n v="5962"/>
    <n v="3513.83"/>
    <n v="2448.17"/>
    <n v="2448.17"/>
    <n v="3513.83"/>
    <n v="3513.83"/>
    <n v="0"/>
  </r>
  <r>
    <s v="71"/>
    <x v="2"/>
    <x v="8"/>
    <s v="FS66P020"/>
    <x v="13"/>
    <s v="P303"/>
    <s v="PROTEGER EL PATRIMONIO HISTORICO Y CULTURAL DEL DM"/>
    <s v="GI00P30300005D"/>
    <s v="GI00P30300005D SISTEMA DE INFORMACION DEL PATRIMONIO CU"/>
    <s v="71 GASTOS EN PERSONAL PARA INVERSIÓN"/>
    <s v="710707 Compensación por Vacaciones no Gozadas por"/>
    <s v="G/710707/3PP303"/>
    <s v="002"/>
    <n v="0"/>
    <n v="7307.48"/>
    <n v="-4952.96"/>
    <n v="2354.52"/>
    <n v="0"/>
    <n v="2354.52"/>
    <n v="2354.52"/>
    <n v="0"/>
    <n v="0"/>
    <n v="0"/>
  </r>
  <r>
    <s v="71"/>
    <x v="2"/>
    <x v="8"/>
    <s v="FS66P020"/>
    <x v="13"/>
    <s v="P303"/>
    <s v="PROTEGER EL PATRIMONIO HISTORICO Y CULTURAL DEL DM"/>
    <s v="GI00P30300005D"/>
    <s v="GI00P30300005D SISTEMA DE INFORMACION DEL PATRIMONIO CU"/>
    <s v="71 GASTOS EN PERSONAL PARA INVERSIÓN"/>
    <s v="710707 Compensación por Vacaciones no Gozadas por"/>
    <s v="G/710707/3PP303"/>
    <s v="001"/>
    <n v="0"/>
    <n v="0"/>
    <n v="4952.96"/>
    <n v="4952.96"/>
    <n v="0"/>
    <n v="0"/>
    <n v="0"/>
    <n v="4952.96"/>
    <n v="4952.96"/>
    <n v="4952.96"/>
  </r>
  <r>
    <s v="71"/>
    <x v="2"/>
    <x v="8"/>
    <s v="FS66P020"/>
    <x v="13"/>
    <s v="P303"/>
    <s v="PROTEGER EL PATRIMONIO HISTORICO Y CULTURAL DEL DM"/>
    <s v="GI00P30300008D"/>
    <s v="GI00P30300008D CONSERVACIÓN DEL ESPACIO PÚBLICO EN EL C"/>
    <s v="71 GASTOS EN PERSONAL PARA INVERSIÓN"/>
    <s v="710203 Decimotercer Sueldo"/>
    <s v="G/710203/3PP303"/>
    <s v="002"/>
    <n v="0"/>
    <n v="817"/>
    <n v="0"/>
    <n v="817"/>
    <n v="68.12"/>
    <n v="748.88"/>
    <n v="748.88"/>
    <n v="68.12"/>
    <n v="68.12"/>
    <n v="0"/>
  </r>
  <r>
    <s v="71"/>
    <x v="2"/>
    <x v="8"/>
    <s v="FS66P020"/>
    <x v="13"/>
    <s v="P303"/>
    <s v="PROTEGER EL PATRIMONIO HISTORICO Y CULTURAL DEL DM"/>
    <s v="GI00P30300008D"/>
    <s v="GI00P30300008D CONSERVACIÓN DEL ESPACIO PÚBLICO EN EL C"/>
    <s v="71 GASTOS EN PERSONAL PARA INVERSIÓN"/>
    <s v="710204 Decimocuarto Sueldo"/>
    <s v="G/710204/3PP303"/>
    <s v="002"/>
    <n v="0"/>
    <n v="420"/>
    <n v="0"/>
    <n v="420"/>
    <n v="50.83"/>
    <n v="369.17"/>
    <n v="369.17"/>
    <n v="50.83"/>
    <n v="50.83"/>
    <n v="0"/>
  </r>
  <r>
    <s v="71"/>
    <x v="2"/>
    <x v="8"/>
    <s v="FS66P020"/>
    <x v="13"/>
    <s v="P303"/>
    <s v="PROTEGER EL PATRIMONIO HISTORICO Y CULTURAL DEL DM"/>
    <s v="GI00P30300008D"/>
    <s v="GI00P30300008D CONSERVACIÓN DEL ESPACIO PÚBLICO EN EL C"/>
    <s v="71 GASTOS EN PERSONAL PARA INVERSIÓN"/>
    <s v="710510 Servicios Personales por Contrato"/>
    <s v="G/710510/3PP303"/>
    <s v="002"/>
    <n v="0"/>
    <n v="9804"/>
    <n v="0"/>
    <n v="9804"/>
    <n v="817"/>
    <n v="8987"/>
    <n v="8987"/>
    <n v="817"/>
    <n v="817"/>
    <n v="0"/>
  </r>
  <r>
    <s v="71"/>
    <x v="2"/>
    <x v="8"/>
    <s v="FS66P020"/>
    <x v="13"/>
    <s v="P303"/>
    <s v="PROTEGER EL PATRIMONIO HISTORICO Y CULTURAL DEL DM"/>
    <s v="GI00P30300008D"/>
    <s v="GI00P30300008D CONSERVACIÓN DEL ESPACIO PÚBLICO EN EL C"/>
    <s v="71 GASTOS EN PERSONAL PARA INVERSIÓN"/>
    <s v="710601 Aporte Patronal"/>
    <s v="G/710601/3PP303"/>
    <s v="002"/>
    <n v="0"/>
    <n v="1240.21"/>
    <n v="0"/>
    <n v="1240.21"/>
    <n v="103.36"/>
    <n v="1136.8499999999999"/>
    <n v="1136.8499999999999"/>
    <n v="103.36"/>
    <n v="103.36"/>
    <n v="0"/>
  </r>
  <r>
    <s v="71"/>
    <x v="2"/>
    <x v="8"/>
    <s v="FS66P020"/>
    <x v="13"/>
    <s v="P303"/>
    <s v="PROTEGER EL PATRIMONIO HISTORICO Y CULTURAL DEL DM"/>
    <s v="GI00P30300008D"/>
    <s v="GI00P30300008D CONSERVACIÓN DEL ESPACIO PÚBLICO EN EL C"/>
    <s v="71 GASTOS EN PERSONAL PARA INVERSIÓN"/>
    <s v="710601 Aporte Patronal"/>
    <s v="G/710601/3PP303"/>
    <s v="001"/>
    <n v="0"/>
    <n v="0"/>
    <n v="10.33"/>
    <n v="10.33"/>
    <n v="0"/>
    <n v="0"/>
    <n v="0"/>
    <n v="10.33"/>
    <n v="10.33"/>
    <n v="10.33"/>
  </r>
  <r>
    <s v="71"/>
    <x v="2"/>
    <x v="8"/>
    <s v="FS66P020"/>
    <x v="13"/>
    <s v="P303"/>
    <s v="PROTEGER EL PATRIMONIO HISTORICO Y CULTURAL DEL DM"/>
    <s v="GI00P30300008D"/>
    <s v="GI00P30300008D CONSERVACIÓN DEL ESPACIO PÚBLICO EN EL C"/>
    <s v="71 GASTOS EN PERSONAL PARA INVERSIÓN"/>
    <s v="710602 Fondo de Reserva"/>
    <s v="G/710602/3PP303"/>
    <s v="002"/>
    <n v="0"/>
    <n v="817"/>
    <n v="0"/>
    <n v="817"/>
    <n v="444.94"/>
    <n v="372.06"/>
    <n v="372.06"/>
    <n v="444.94"/>
    <n v="444.94"/>
    <n v="0"/>
  </r>
  <r>
    <s v="71"/>
    <x v="2"/>
    <x v="8"/>
    <s v="FS66P020"/>
    <x v="13"/>
    <s v="P303"/>
    <s v="PROTEGER EL PATRIMONIO HISTORICO Y CULTURAL DEL DM"/>
    <s v="GI00P30300008D"/>
    <s v="GI00P30300008D CONSERVACIÓN DEL ESPACIO PÚBLICO EN EL C"/>
    <s v="71 GASTOS EN PERSONAL PARA INVERSIÓN"/>
    <s v="710707 Compensación por Vacaciones no Gozadas por"/>
    <s v="G/710707/3PP303"/>
    <s v="002"/>
    <n v="0"/>
    <n v="1000"/>
    <n v="-1000"/>
    <n v="0"/>
    <n v="0"/>
    <n v="0"/>
    <n v="0"/>
    <n v="0"/>
    <n v="0"/>
    <n v="0"/>
  </r>
  <r>
    <s v="71"/>
    <x v="2"/>
    <x v="8"/>
    <s v="FS66P020"/>
    <x v="13"/>
    <s v="P303"/>
    <s v="PROTEGER EL PATRIMONIO HISTORICO Y CULTURAL DEL DM"/>
    <s v="GI00P30300008D"/>
    <s v="GI00P30300008D CONSERVACIÓN DEL ESPACIO PÚBLICO EN EL C"/>
    <s v="71 GASTOS EN PERSONAL PARA INVERSIÓN"/>
    <s v="710707 Compensación por Vacaciones no Gozadas por"/>
    <s v="G/710707/3PP303"/>
    <s v="001"/>
    <n v="0"/>
    <n v="0"/>
    <n v="1000"/>
    <n v="1000"/>
    <n v="0"/>
    <n v="0"/>
    <n v="0"/>
    <n v="1000"/>
    <n v="1000"/>
    <n v="1000"/>
  </r>
  <r>
    <s v="71"/>
    <x v="2"/>
    <x v="8"/>
    <s v="ZA01P000"/>
    <x v="32"/>
    <s v="P306"/>
    <s v="REGULACIÓN DEL USO Y GESTIÓN DEL SUELO"/>
    <s v="GI00P30600001D"/>
    <s v="GI00P30600001D ACTUALIZACIÓN DE LOS INSTRUMENTOS DE PLA"/>
    <s v="71 GASTOS EN PERSONAL PARA INVERSIÓN"/>
    <s v="710203 Decimotercer Sueldo"/>
    <s v="G/710203/3PP306"/>
    <s v="001"/>
    <n v="0"/>
    <n v="41065.75"/>
    <n v="0"/>
    <n v="41065.75"/>
    <n v="27490.68"/>
    <n v="13575.07"/>
    <n v="13575.07"/>
    <n v="27490.68"/>
    <n v="27490.68"/>
    <n v="0"/>
  </r>
  <r>
    <s v="71"/>
    <x v="2"/>
    <x v="8"/>
    <s v="ZA01P000"/>
    <x v="32"/>
    <s v="P306"/>
    <s v="REGULACIÓN DEL USO Y GESTIÓN DEL SUELO"/>
    <s v="GI00P30600001D"/>
    <s v="GI00P30600001D ACTUALIZACIÓN DE LOS INSTRUMENTOS DE PLA"/>
    <s v="71 GASTOS EN PERSONAL PARA INVERSIÓN"/>
    <s v="710204 Decimocuarto Sueldo"/>
    <s v="G/710204/3PP306"/>
    <s v="001"/>
    <n v="0"/>
    <n v="10633.33"/>
    <n v="0"/>
    <n v="10633.33"/>
    <n v="3200.24"/>
    <n v="7433.09"/>
    <n v="7433.09"/>
    <n v="3200.24"/>
    <n v="3200.24"/>
    <n v="0"/>
  </r>
  <r>
    <s v="71"/>
    <x v="2"/>
    <x v="8"/>
    <s v="ZA01P000"/>
    <x v="32"/>
    <s v="P306"/>
    <s v="REGULACIÓN DEL USO Y GESTIÓN DEL SUELO"/>
    <s v="GI00P30600001D"/>
    <s v="GI00P30600001D ACTUALIZACIÓN DE LOS INSTRUMENTOS DE PLA"/>
    <s v="71 GASTOS EN PERSONAL PARA INVERSIÓN"/>
    <s v="710507 Honorarios"/>
    <s v="G/710507/3PP306"/>
    <s v="001"/>
    <n v="0"/>
    <n v="16325.63"/>
    <n v="-11870.32"/>
    <n v="4455.3100000000004"/>
    <n v="0"/>
    <n v="2338.67"/>
    <n v="2338.67"/>
    <n v="2116.64"/>
    <n v="2116.64"/>
    <n v="2116.64"/>
  </r>
  <r>
    <s v="71"/>
    <x v="2"/>
    <x v="8"/>
    <s v="ZA01P000"/>
    <x v="32"/>
    <s v="P306"/>
    <s v="REGULACIÓN DEL USO Y GESTIÓN DEL SUELO"/>
    <s v="GI00P30600001D"/>
    <s v="GI00P30600001D ACTUALIZACIÓN DE LOS INSTRUMENTOS DE PLA"/>
    <s v="71 GASTOS EN PERSONAL PARA INVERSIÓN"/>
    <s v="710510 Servicios Personales por Contrato"/>
    <s v="G/710510/3PP306"/>
    <s v="001"/>
    <n v="0"/>
    <n v="510189"/>
    <n v="0"/>
    <n v="510189"/>
    <n v="63590.400000000001"/>
    <n v="446598.6"/>
    <n v="446598.6"/>
    <n v="63590.400000000001"/>
    <n v="63590.400000000001"/>
    <n v="0"/>
  </r>
  <r>
    <s v="71"/>
    <x v="2"/>
    <x v="8"/>
    <s v="ZA01P000"/>
    <x v="32"/>
    <s v="P306"/>
    <s v="REGULACIÓN DEL USO Y GESTIÓN DEL SUELO"/>
    <s v="GI00P30600001D"/>
    <s v="GI00P30600001D ACTUALIZACIÓN DE LOS INSTRUMENTOS DE PLA"/>
    <s v="71 GASTOS EN PERSONAL PARA INVERSIÓN"/>
    <s v="710512 Subrogación"/>
    <s v="G/710512/3PP306"/>
    <s v="001"/>
    <n v="0"/>
    <n v="879"/>
    <n v="0.33"/>
    <n v="879.33"/>
    <n v="0"/>
    <n v="878.33"/>
    <n v="878.33"/>
    <n v="1"/>
    <n v="1"/>
    <n v="1"/>
  </r>
  <r>
    <s v="71"/>
    <x v="2"/>
    <x v="8"/>
    <s v="ZA01P000"/>
    <x v="32"/>
    <s v="P306"/>
    <s v="REGULACIÓN DEL USO Y GESTIÓN DEL SUELO"/>
    <s v="GI00P30600001D"/>
    <s v="GI00P30600001D ACTUALIZACIÓN DE LOS INSTRUMENTOS DE PLA"/>
    <s v="71 GASTOS EN PERSONAL PARA INVERSIÓN"/>
    <s v="710512 Subrogación"/>
    <s v="G/710512/3PP306"/>
    <s v="002"/>
    <n v="0"/>
    <n v="310.33"/>
    <n v="-0.33"/>
    <n v="310"/>
    <n v="0"/>
    <n v="310"/>
    <n v="310"/>
    <n v="0"/>
    <n v="0"/>
    <n v="0"/>
  </r>
  <r>
    <s v="71"/>
    <x v="2"/>
    <x v="8"/>
    <s v="ZA01P000"/>
    <x v="32"/>
    <s v="P306"/>
    <s v="REGULACIÓN DEL USO Y GESTIÓN DEL SUELO"/>
    <s v="GI00P30600001D"/>
    <s v="GI00P30600001D ACTUALIZACIÓN DE LOS INSTRUMENTOS DE PLA"/>
    <s v="71 GASTOS EN PERSONAL PARA INVERSIÓN"/>
    <s v="710601 Aporte Patronal"/>
    <s v="G/710601/3PP306"/>
    <s v="001"/>
    <n v="0"/>
    <n v="51292.88"/>
    <n v="16049.36"/>
    <n v="67342.240000000005"/>
    <n v="5653.86"/>
    <n v="56939.02"/>
    <n v="56939.02"/>
    <n v="10403.219999999999"/>
    <n v="10403.219999999999"/>
    <n v="4749.3599999999997"/>
  </r>
  <r>
    <s v="71"/>
    <x v="2"/>
    <x v="8"/>
    <s v="ZA01P000"/>
    <x v="32"/>
    <s v="P306"/>
    <s v="REGULACIÓN DEL USO Y GESTIÓN DEL SUELO"/>
    <s v="GI00P30600001D"/>
    <s v="GI00P30600001D ACTUALIZACIÓN DE LOS INSTRUMENTOS DE PLA"/>
    <s v="71 GASTOS EN PERSONAL PARA INVERSIÓN"/>
    <s v="710602 Fondo de Reserva"/>
    <s v="G/710602/3PP306"/>
    <s v="001"/>
    <n v="0"/>
    <n v="41065.75"/>
    <n v="0"/>
    <n v="41065.75"/>
    <n v="36580.699999999997"/>
    <n v="4485.05"/>
    <n v="4485.05"/>
    <n v="36580.699999999997"/>
    <n v="36580.699999999997"/>
    <n v="0"/>
  </r>
  <r>
    <s v="71"/>
    <x v="2"/>
    <x v="7"/>
    <s v="RB34F010"/>
    <x v="31"/>
    <s v="P306"/>
    <s v="REGULACIÓN DEL USO Y GESTIÓN DEL SUELO"/>
    <s v="GI00P30600004D"/>
    <s v="GI00P30600004D REGULA TU BARRIO"/>
    <s v="71 GASTOS EN PERSONAL PARA INVERSIÓN"/>
    <s v="710203 Decimotercer Sueldo"/>
    <s v="G/710203/3FP306"/>
    <s v="001"/>
    <n v="0"/>
    <n v="23210"/>
    <n v="-9284"/>
    <n v="13926"/>
    <n v="13444.65"/>
    <n v="481.35"/>
    <n v="481.35"/>
    <n v="13444.65"/>
    <n v="13444.65"/>
    <n v="0"/>
  </r>
  <r>
    <s v="71"/>
    <x v="2"/>
    <x v="7"/>
    <s v="RB34F010"/>
    <x v="31"/>
    <s v="P306"/>
    <s v="REGULACIÓN DEL USO Y GESTIÓN DEL SUELO"/>
    <s v="GI00P30600004D"/>
    <s v="GI00P30600004D REGULA TU BARRIO"/>
    <s v="71 GASTOS EN PERSONAL PARA INVERSIÓN"/>
    <s v="710204 Decimocuarto Sueldo"/>
    <s v="G/710204/3FP306"/>
    <s v="001"/>
    <n v="0"/>
    <n v="7000"/>
    <n v="-2800"/>
    <n v="4200"/>
    <n v="4066.68"/>
    <n v="133.32"/>
    <n v="133.32"/>
    <n v="4066.68"/>
    <n v="4066.68"/>
    <n v="0"/>
  </r>
  <r>
    <s v="71"/>
    <x v="2"/>
    <x v="7"/>
    <s v="RB34F010"/>
    <x v="31"/>
    <s v="P306"/>
    <s v="REGULACIÓN DEL USO Y GESTIÓN DEL SUELO"/>
    <s v="GI00P30600004D"/>
    <s v="GI00P30600004D REGULA TU BARRIO"/>
    <s v="71 GASTOS EN PERSONAL PARA INVERSIÓN"/>
    <s v="710507 Honorarios"/>
    <s v="G/710507/3FP306"/>
    <s v="002"/>
    <n v="0"/>
    <n v="1244.1300000000001"/>
    <n v="0"/>
    <n v="1244.1300000000001"/>
    <n v="0"/>
    <n v="1244.1300000000001"/>
    <n v="1244.1300000000001"/>
    <n v="0"/>
    <n v="0"/>
    <n v="0"/>
  </r>
  <r>
    <s v="71"/>
    <x v="2"/>
    <x v="7"/>
    <s v="RB34F010"/>
    <x v="31"/>
    <s v="P306"/>
    <s v="REGULACIÓN DEL USO Y GESTIÓN DEL SUELO"/>
    <s v="GI00P30600004D"/>
    <s v="GI00P30600004D REGULA TU BARRIO"/>
    <s v="71 GASTOS EN PERSONAL PARA INVERSIÓN"/>
    <s v="710510 Servicios Personales por Contrato"/>
    <s v="G/710510/3FP306"/>
    <s v="001"/>
    <n v="0"/>
    <n v="278520"/>
    <n v="-111408"/>
    <n v="167112"/>
    <n v="97073.37"/>
    <n v="70038.63"/>
    <n v="70038.63"/>
    <n v="97073.37"/>
    <n v="97073.37"/>
    <n v="0"/>
  </r>
  <r>
    <s v="71"/>
    <x v="2"/>
    <x v="7"/>
    <s v="RB34F010"/>
    <x v="31"/>
    <s v="P306"/>
    <s v="REGULACIÓN DEL USO Y GESTIÓN DEL SUELO"/>
    <s v="GI00P30600004D"/>
    <s v="GI00P30600004D REGULA TU BARRIO"/>
    <s v="71 GASTOS EN PERSONAL PARA INVERSIÓN"/>
    <s v="710601 Aporte Patronal"/>
    <s v="G/710601/3FP306"/>
    <s v="001"/>
    <n v="0"/>
    <n v="35232.78"/>
    <n v="-14093.11"/>
    <n v="21139.67"/>
    <n v="12122.59"/>
    <n v="9017.08"/>
    <n v="9017.08"/>
    <n v="12122.59"/>
    <n v="12122.59"/>
    <n v="0"/>
  </r>
  <r>
    <s v="71"/>
    <x v="2"/>
    <x v="7"/>
    <s v="RB34F010"/>
    <x v="31"/>
    <s v="P306"/>
    <s v="REGULACIÓN DEL USO Y GESTIÓN DEL SUELO"/>
    <s v="GI00P30600004D"/>
    <s v="GI00P30600004D REGULA TU BARRIO"/>
    <s v="71 GASTOS EN PERSONAL PARA INVERSIÓN"/>
    <s v="710602 Fondo de Reserva"/>
    <s v="G/710602/3FP306"/>
    <s v="001"/>
    <n v="0"/>
    <n v="23210"/>
    <n v="-9284"/>
    <n v="13926"/>
    <n v="11985.53"/>
    <n v="1940.47"/>
    <n v="1940.47"/>
    <n v="11985.53"/>
    <n v="11985.53"/>
    <n v="0"/>
  </r>
  <r>
    <s v="73"/>
    <x v="0"/>
    <x v="12"/>
    <s v="MC37B000"/>
    <x v="21"/>
    <s v="A101"/>
    <s v="FORTALECIMIENTO INSTITUCIONAL"/>
    <s v="GC00A10100001D"/>
    <s v="GC00A10100001D GASTOS ADMINISTRATIVOS"/>
    <s v="73 BIENES Y SERVICIOS PARA INVERSIÓN"/>
    <s v="730106 Servicio de Correo"/>
    <s v="G/730106/1BA101"/>
    <s v="002"/>
    <n v="177100"/>
    <n v="-177100"/>
    <n v="0"/>
    <n v="0"/>
    <n v="0"/>
    <n v="0"/>
    <n v="0"/>
    <n v="0"/>
    <n v="0"/>
    <n v="0"/>
  </r>
  <r>
    <s v="73"/>
    <x v="1"/>
    <x v="10"/>
    <s v="OL41I060"/>
    <x v="29"/>
    <s v="A101"/>
    <s v="FORTALECIMIENTO INSTITUCIONAL"/>
    <s v="GC00A10100001D"/>
    <s v="GC00A10100001D GASTOS ADMINISTRATIVOS"/>
    <s v="73 BIENES Y SERVICIOS PARA INVERSIÓN"/>
    <s v="730402 Edificios, Locales, Residencias y Cablea"/>
    <s v="G/730402/1IA101"/>
    <s v="001"/>
    <n v="6600"/>
    <n v="0"/>
    <n v="-6600"/>
    <n v="0"/>
    <n v="0"/>
    <n v="0"/>
    <n v="0"/>
    <n v="0"/>
    <n v="0"/>
    <n v="0"/>
  </r>
  <r>
    <s v="73"/>
    <x v="2"/>
    <x v="7"/>
    <s v="ZD07F070"/>
    <x v="43"/>
    <s v="D301"/>
    <s v="CERO RESIDUOSCERO RESIDUOS"/>
    <s v="GI00D30100004D"/>
    <s v="GI00D30100004D IMPLEMENTACIÓN DE CENTROS DE APROVECHAMI"/>
    <s v="73 BIENES Y SERVICIOS PARA INVERSIÓN"/>
    <s v="730404 Maquinarias y Equipos (Instalación, Mant"/>
    <s v="G/730404/3FD301"/>
    <s v="001"/>
    <n v="2000"/>
    <n v="0"/>
    <n v="-2000"/>
    <n v="0"/>
    <n v="0"/>
    <n v="0"/>
    <n v="0"/>
    <n v="0"/>
    <n v="0"/>
    <n v="0"/>
  </r>
  <r>
    <s v="73"/>
    <x v="2"/>
    <x v="7"/>
    <s v="ZC09F090"/>
    <x v="10"/>
    <s v="D301"/>
    <s v="CERO RESIDUOSCERO RESIDUOS"/>
    <s v="GI00D30100004D"/>
    <s v="GI00D30100004D IMPLEMENTACIÓN DE CENTROS DE APROVECHAMI"/>
    <s v="73 BIENES Y SERVICIOS PARA INVERSIÓN"/>
    <s v="730505 Vehículos (Arrendamiento)"/>
    <s v="G/730505/3FD301"/>
    <s v="001"/>
    <n v="5300"/>
    <n v="0"/>
    <n v="-5300"/>
    <n v="0"/>
    <n v="0"/>
    <n v="0"/>
    <n v="0"/>
    <n v="0"/>
    <n v="0"/>
    <n v="0"/>
  </r>
  <r>
    <s v="73"/>
    <x v="2"/>
    <x v="7"/>
    <s v="ZD07F070"/>
    <x v="43"/>
    <s v="D301"/>
    <s v="CERO RESIDUOSCERO RESIDUOS"/>
    <s v="GI00D30100004D"/>
    <s v="GI00D30100004D IMPLEMENTACIÓN DE CENTROS DE APROVECHAMI"/>
    <s v="73 BIENES Y SERVICIOS PARA INVERSIÓN"/>
    <s v="730505 Vehículos (Arrendamiento)"/>
    <s v="G/730505/3FD301"/>
    <s v="001"/>
    <n v="6000"/>
    <n v="0"/>
    <n v="-6000"/>
    <n v="0"/>
    <n v="0"/>
    <n v="0"/>
    <n v="0"/>
    <n v="0"/>
    <n v="0"/>
    <n v="0"/>
  </r>
  <r>
    <s v="73"/>
    <x v="2"/>
    <x v="7"/>
    <s v="ZS03F030"/>
    <x v="45"/>
    <s v="D301"/>
    <s v="CERO RESIDUOSCERO RESIDUOS"/>
    <s v="GI00D30100004D"/>
    <s v="GI00D30100004D IMPLEMENTACIÓN DE CENTROS DE APROVECHAMI"/>
    <s v="73 BIENES Y SERVICIOS PARA INVERSIÓN"/>
    <s v="730601 Consultoría, Asesoría e Investigación Es"/>
    <s v="G/730601/3FD301"/>
    <s v="001"/>
    <n v="83758"/>
    <n v="0"/>
    <n v="-83758"/>
    <n v="0"/>
    <n v="0"/>
    <n v="0"/>
    <n v="0"/>
    <n v="0"/>
    <n v="0"/>
    <n v="0"/>
  </r>
  <r>
    <s v="73"/>
    <x v="2"/>
    <x v="7"/>
    <s v="ZC09F090"/>
    <x v="10"/>
    <s v="D301"/>
    <s v="CERO RESIDUOSCERO RESIDUOS"/>
    <s v="GI00D30100004D"/>
    <s v="GI00D30100004D IMPLEMENTACIÓN DE CENTROS DE APROVECHAMI"/>
    <s v="73 BIENES Y SERVICIOS PARA INVERSIÓN"/>
    <s v="730605 Estudio y Diseño de Proyectos"/>
    <s v="G/730605/3FD301"/>
    <s v="001"/>
    <n v="15000"/>
    <n v="0"/>
    <n v="-15000"/>
    <n v="0"/>
    <n v="0"/>
    <n v="0"/>
    <n v="0"/>
    <n v="0"/>
    <n v="0"/>
    <n v="0"/>
  </r>
  <r>
    <s v="73"/>
    <x v="2"/>
    <x v="7"/>
    <s v="ZD07F070"/>
    <x v="43"/>
    <s v="D301"/>
    <s v="CERO RESIDUOSCERO RESIDUOS"/>
    <s v="GI00D30100004D"/>
    <s v="GI00D30100004D IMPLEMENTACIÓN DE CENTROS DE APROVECHAMI"/>
    <s v="73 BIENES Y SERVICIOS PARA INVERSIÓN"/>
    <s v="730605 Estudio y Diseño de Proyectos"/>
    <s v="G/730605/3FD301"/>
    <s v="001"/>
    <n v="15000"/>
    <n v="0"/>
    <n v="-15000"/>
    <n v="0"/>
    <n v="0"/>
    <n v="0"/>
    <n v="0"/>
    <n v="0"/>
    <n v="0"/>
    <n v="0"/>
  </r>
  <r>
    <s v="73"/>
    <x v="2"/>
    <x v="7"/>
    <s v="ZD07F070"/>
    <x v="43"/>
    <s v="D301"/>
    <s v="CERO RESIDUOSCERO RESIDUOS"/>
    <s v="GI00D30100004D"/>
    <s v="GI00D30100004D IMPLEMENTACIÓN DE CENTROS DE APROVECHAMI"/>
    <s v="73 BIENES Y SERVICIOS PARA INVERSIÓN"/>
    <s v="730606 Honorarios por Contratos Civiles de Servici"/>
    <s v="G/730606/3FD301"/>
    <s v="001"/>
    <n v="3159.01"/>
    <n v="0"/>
    <n v="-3159.01"/>
    <n v="0"/>
    <n v="0"/>
    <n v="0"/>
    <n v="0"/>
    <n v="0"/>
    <n v="0"/>
    <n v="0"/>
  </r>
  <r>
    <s v="73"/>
    <x v="2"/>
    <x v="7"/>
    <s v="ZC09F090"/>
    <x v="10"/>
    <s v="D301"/>
    <s v="CERO RESIDUOSCERO RESIDUOS"/>
    <s v="GI00D30100004D"/>
    <s v="GI00D30100004D IMPLEMENTACIÓN DE CENTROS DE APROVECHAMI"/>
    <s v="73 BIENES Y SERVICIOS PARA INVERSIÓN"/>
    <s v="730606 Honorarios por Contratos Civiles de Servici"/>
    <s v="G/730606/3FD301"/>
    <s v="001"/>
    <n v="3158"/>
    <n v="0"/>
    <n v="-3158"/>
    <n v="0"/>
    <n v="0"/>
    <n v="0"/>
    <n v="0"/>
    <n v="0"/>
    <n v="0"/>
    <n v="0"/>
  </r>
  <r>
    <s v="73"/>
    <x v="2"/>
    <x v="7"/>
    <s v="ZC09F090"/>
    <x v="10"/>
    <s v="D301"/>
    <s v="CERO RESIDUOSCERO RESIDUOS"/>
    <s v="GI00D30100004D"/>
    <s v="GI00D30100004D IMPLEMENTACIÓN DE CENTROS DE APROVECHAMI"/>
    <s v="73 BIENES Y SERVICIOS PARA INVERSIÓN"/>
    <s v="730804 Materiales de Oficina"/>
    <s v="G/730804/3FD301"/>
    <s v="001"/>
    <n v="300"/>
    <n v="0"/>
    <n v="-300"/>
    <n v="0"/>
    <n v="0"/>
    <n v="0"/>
    <n v="0"/>
    <n v="0"/>
    <n v="0"/>
    <n v="0"/>
  </r>
  <r>
    <s v="73"/>
    <x v="2"/>
    <x v="7"/>
    <s v="ZD07F070"/>
    <x v="43"/>
    <s v="D301"/>
    <s v="CERO RESIDUOSCERO RESIDUOS"/>
    <s v="GI00D30100004D"/>
    <s v="GI00D30100004D IMPLEMENTACIÓN DE CENTROS DE APROVECHAMI"/>
    <s v="73 BIENES Y SERVICIOS PARA INVERSIÓN"/>
    <s v="730804 Materiales de Oficina"/>
    <s v="G/730804/3FD301"/>
    <s v="001"/>
    <n v="300"/>
    <n v="0"/>
    <n v="-300"/>
    <n v="0"/>
    <n v="0"/>
    <n v="0"/>
    <n v="0"/>
    <n v="0"/>
    <n v="0"/>
    <n v="0"/>
  </r>
  <r>
    <s v="73"/>
    <x v="2"/>
    <x v="7"/>
    <s v="ZD07F070"/>
    <x v="43"/>
    <s v="D301"/>
    <s v="CERO RESIDUOSCERO RESIDUOS"/>
    <s v="GI00D30100004D"/>
    <s v="GI00D30100004D IMPLEMENTACIÓN DE CENTROS DE APROVECHAMI"/>
    <s v="73 BIENES Y SERVICIOS PARA INVERSIÓN"/>
    <s v="730814 Suministros para Actividades Agropecuarias,"/>
    <s v="G/730814/3FD301"/>
    <s v="001"/>
    <n v="700"/>
    <n v="0"/>
    <n v="-700"/>
    <n v="0"/>
    <n v="0"/>
    <n v="0"/>
    <n v="0"/>
    <n v="0"/>
    <n v="0"/>
    <n v="0"/>
  </r>
  <r>
    <s v="73"/>
    <x v="2"/>
    <x v="7"/>
    <s v="ZC09F090"/>
    <x v="10"/>
    <s v="D301"/>
    <s v="CERO RESIDUOSCERO RESIDUOS"/>
    <s v="GI00D30100004D"/>
    <s v="GI00D30100004D IMPLEMENTACIÓN DE CENTROS DE APROVECHAMI"/>
    <s v="73 BIENES Y SERVICIOS PARA INVERSIÓN"/>
    <s v="730814 Suministros para Actividades Agropecuarias,"/>
    <s v="G/730814/3FD301"/>
    <s v="001"/>
    <n v="1000"/>
    <n v="0"/>
    <n v="-1000"/>
    <n v="0"/>
    <n v="0"/>
    <n v="0"/>
    <n v="0"/>
    <n v="0"/>
    <n v="0"/>
    <n v="0"/>
  </r>
  <r>
    <s v="73"/>
    <x v="2"/>
    <x v="7"/>
    <s v="ZD07F070"/>
    <x v="43"/>
    <s v="D301"/>
    <s v="CERO RESIDUOSCERO RESIDUOS"/>
    <s v="GI00D30100004D"/>
    <s v="GI00D30100004D IMPLEMENTACIÓN DE CENTROS DE APROVECHAMI"/>
    <s v="73 BIENES Y SERVICIOS PARA INVERSIÓN"/>
    <s v="731406 Herramientas y equipos menores"/>
    <s v="G/731406/3FD301"/>
    <s v="001"/>
    <n v="600"/>
    <n v="0"/>
    <n v="-600"/>
    <n v="0"/>
    <n v="0"/>
    <n v="0"/>
    <n v="0"/>
    <n v="0"/>
    <n v="0"/>
    <n v="0"/>
  </r>
  <r>
    <s v="73"/>
    <x v="2"/>
    <x v="7"/>
    <s v="ZC09F090"/>
    <x v="10"/>
    <s v="D301"/>
    <s v="CERO RESIDUOSCERO RESIDUOS"/>
    <s v="GI00D30100004D"/>
    <s v="GI00D30100004D IMPLEMENTACIÓN DE CENTROS DE APROVECHAMI"/>
    <s v="73 BIENES Y SERVICIOS PARA INVERSIÓN"/>
    <s v="731406 Herramientas y equipos menores"/>
    <s v="G/731406/3FD301"/>
    <s v="001"/>
    <n v="1000"/>
    <n v="0"/>
    <n v="-1000"/>
    <n v="0"/>
    <n v="0"/>
    <n v="0"/>
    <n v="0"/>
    <n v="0"/>
    <n v="0"/>
    <n v="0"/>
  </r>
  <r>
    <s v="73"/>
    <x v="2"/>
    <x v="13"/>
    <s v="ZA01D000"/>
    <x v="22"/>
    <s v="D303"/>
    <s v="PREVENCION, CONTROL Y REGULACION AMBIENTAL"/>
    <s v="GI00D30300001D"/>
    <s v="GI00D30300001D MEJORAMIENTO DE LA GESTION DE LA CALIDAD"/>
    <s v="73 BIENES Y SERVICIOS PARA INVERSIÓN"/>
    <s v="730701 Desarrollo, Actualización, Asistencia Té"/>
    <s v="G/730701/3DD303"/>
    <s v="001"/>
    <n v="10000"/>
    <n v="0"/>
    <n v="-10000"/>
    <n v="0"/>
    <n v="0"/>
    <n v="0"/>
    <n v="0"/>
    <n v="0"/>
    <n v="0"/>
    <n v="0"/>
  </r>
  <r>
    <s v="73"/>
    <x v="2"/>
    <x v="13"/>
    <s v="ZA01D000"/>
    <x v="22"/>
    <s v="D303"/>
    <s v="PREVENCION, CONTROL Y REGULACION AMBIENTAL"/>
    <s v="GI00D30300001D"/>
    <s v="GI00D30300001D MEJORAMIENTO DE LA GESTION DE LA CALIDAD"/>
    <s v="73 BIENES Y SERVICIOS PARA INVERSIÓN"/>
    <s v="730702 Arrendamiento y Licencias de Uso de Paquete"/>
    <s v="G/730702/3DD303"/>
    <s v="001"/>
    <n v="45000"/>
    <n v="0"/>
    <n v="-37000"/>
    <n v="8000"/>
    <n v="0"/>
    <n v="0"/>
    <n v="0"/>
    <n v="8000"/>
    <n v="8000"/>
    <n v="8000"/>
  </r>
  <r>
    <s v="73"/>
    <x v="2"/>
    <x v="13"/>
    <s v="ZA01D000"/>
    <x v="22"/>
    <s v="D305"/>
    <s v="ÁREAS PROTEGIDAS  Y CORREDORES ECOLÓGICOS"/>
    <s v="GI00D30500001D"/>
    <s v="GI00D30500001D MANEJO  AMBIENTAL  DE LAS QUEBRADAS PRIO"/>
    <s v="73 BIENES Y SERVICIOS PARA INVERSIÓN"/>
    <s v="730204 Edición, Impresión, Reproducción, Public"/>
    <s v="G/730204/3DD305"/>
    <s v="001"/>
    <n v="5000"/>
    <n v="0"/>
    <n v="-5000"/>
    <n v="0"/>
    <n v="0"/>
    <n v="0"/>
    <n v="0"/>
    <n v="0"/>
    <n v="0"/>
    <n v="0"/>
  </r>
  <r>
    <s v="73"/>
    <x v="2"/>
    <x v="13"/>
    <s v="ZA01D000"/>
    <x v="22"/>
    <s v="D305"/>
    <s v="ÁREAS PROTEGIDAS  Y CORREDORES ECOLÓGICOS"/>
    <s v="GI00D30500001D"/>
    <s v="GI00D30500001D MANEJO  AMBIENTAL  DE LAS QUEBRADAS PRIO"/>
    <s v="73 BIENES Y SERVICIOS PARA INVERSIÓN"/>
    <s v="730205 Espectáculos Culturales y Sociales"/>
    <s v="G/730205/3DD305"/>
    <s v="001"/>
    <n v="5000"/>
    <n v="0"/>
    <n v="-5000"/>
    <n v="0"/>
    <n v="0"/>
    <n v="0"/>
    <n v="0"/>
    <n v="0"/>
    <n v="0"/>
    <n v="0"/>
  </r>
  <r>
    <s v="73"/>
    <x v="2"/>
    <x v="13"/>
    <s v="ZA01D000"/>
    <x v="22"/>
    <s v="D305"/>
    <s v="ÁREAS PROTEGIDAS  Y CORREDORES ECOLÓGICOS"/>
    <s v="GI00D30500001D"/>
    <s v="GI00D30500001D MANEJO  AMBIENTAL  DE LAS QUEBRADAS PRIO"/>
    <s v="73 BIENES Y SERVICIOS PARA INVERSIÓN"/>
    <s v="730236 Servicios en Plantaciones Forestales"/>
    <s v="G/730236/3DD305"/>
    <s v="001"/>
    <n v="28500"/>
    <n v="67500"/>
    <n v="0"/>
    <n v="96000"/>
    <n v="0"/>
    <n v="0"/>
    <n v="0"/>
    <n v="96000"/>
    <n v="96000"/>
    <n v="96000"/>
  </r>
  <r>
    <s v="73"/>
    <x v="2"/>
    <x v="13"/>
    <s v="ZA01D000"/>
    <x v="22"/>
    <s v="D305"/>
    <s v="ÁREAS PROTEGIDAS  Y CORREDORES ECOLÓGICOS"/>
    <s v="GI00D30500001D"/>
    <s v="GI00D30500001D MANEJO  AMBIENTAL  DE LAS QUEBRADAS PRIO"/>
    <s v="73 BIENES Y SERVICIOS PARA INVERSIÓN"/>
    <s v="730237 Remediación, Restauración y Descontaminació"/>
    <s v="G/730237/3DD305"/>
    <s v="001"/>
    <n v="71000"/>
    <n v="-51000"/>
    <n v="-20000"/>
    <n v="0"/>
    <n v="0"/>
    <n v="0"/>
    <n v="0"/>
    <n v="0"/>
    <n v="0"/>
    <n v="0"/>
  </r>
  <r>
    <s v="73"/>
    <x v="2"/>
    <x v="13"/>
    <s v="ZA01D000"/>
    <x v="22"/>
    <s v="D305"/>
    <s v="ÁREAS PROTEGIDAS  Y CORREDORES ECOLÓGICOS"/>
    <s v="GI00D30500001D"/>
    <s v="GI00D30500001D MANEJO  AMBIENTAL  DE LAS QUEBRADAS PRIO"/>
    <s v="73 BIENES Y SERVICIOS PARA INVERSIÓN"/>
    <s v="731515 Plantas"/>
    <s v="G/731515/3DD305"/>
    <s v="001"/>
    <n v="16500"/>
    <n v="-16500"/>
    <n v="0"/>
    <n v="0"/>
    <n v="0"/>
    <n v="0"/>
    <n v="0"/>
    <n v="0"/>
    <n v="0"/>
    <n v="0"/>
  </r>
  <r>
    <s v="73"/>
    <x v="2"/>
    <x v="13"/>
    <s v="ZA01D000"/>
    <x v="22"/>
    <s v="D306"/>
    <s v="QUITO CIUDAD LIMPIA"/>
    <s v="GI00D30600002D"/>
    <s v="GI00D30600002D MONITOREO DE LA CALIDAD DE LOS RECURSOS"/>
    <s v="73 BIENES Y SERVICIOS PARA INVERSIÓN"/>
    <s v="730701 Desarrollo, Actualización, Asistencia Té"/>
    <s v="G/730701/3DD306"/>
    <s v="001"/>
    <n v="22000"/>
    <n v="28000"/>
    <n v="0"/>
    <n v="50000"/>
    <n v="0"/>
    <n v="0"/>
    <n v="0"/>
    <n v="50000"/>
    <n v="50000"/>
    <n v="50000"/>
  </r>
  <r>
    <s v="73"/>
    <x v="2"/>
    <x v="13"/>
    <s v="ZA01D000"/>
    <x v="22"/>
    <s v="D306"/>
    <s v="QUITO CIUDAD LIMPIA"/>
    <s v="GI00D30600002D"/>
    <s v="GI00D30600002D MONITOREO DE LA CALIDAD DE LOS RECURSOS"/>
    <s v="73 BIENES Y SERVICIOS PARA INVERSIÓN"/>
    <s v="730702 Arrendamiento y Licencias de Uso de Paquete"/>
    <s v="G/730702/3DD306"/>
    <s v="001"/>
    <n v="15000"/>
    <n v="-15000"/>
    <n v="0"/>
    <n v="0"/>
    <n v="0"/>
    <n v="0"/>
    <n v="0"/>
    <n v="0"/>
    <n v="0"/>
    <n v="0"/>
  </r>
  <r>
    <s v="73"/>
    <x v="2"/>
    <x v="13"/>
    <s v="ZA01D000"/>
    <x v="22"/>
    <s v="D307"/>
    <s v="RECUPERACIÓN DE COBERTURA VEGETAL EN EL DMQ"/>
    <s v="GI00D30700002D"/>
    <s v="GI00D30700002D RESTAURACIÓN ECOLÓGICA PARA EL MEJORAMIE"/>
    <s v="73 BIENES Y SERVICIOS PARA INVERSIÓN"/>
    <s v="730204 Edición, Impresión, Reproducción, Public"/>
    <s v="G/730204/3DD307"/>
    <s v="001"/>
    <n v="30000"/>
    <n v="0"/>
    <n v="0"/>
    <n v="30000"/>
    <n v="0"/>
    <n v="0"/>
    <n v="0"/>
    <n v="30000"/>
    <n v="30000"/>
    <n v="30000"/>
  </r>
  <r>
    <s v="73"/>
    <x v="2"/>
    <x v="13"/>
    <s v="ZA01D000"/>
    <x v="22"/>
    <s v="D307"/>
    <s v="RECUPERACIÓN DE COBERTURA VEGETAL EN EL DMQ"/>
    <s v="GI00D30700002D"/>
    <s v="GI00D30700002D RESTAURACIÓN ECOLÓGICA PARA EL MEJORAMIE"/>
    <s v="73 BIENES Y SERVICIOS PARA INVERSIÓN"/>
    <s v="730207 Difusión, Información y Publicidad"/>
    <s v="G/730207/3DD307"/>
    <s v="001"/>
    <n v="5000"/>
    <n v="0"/>
    <n v="-5000"/>
    <n v="0"/>
    <n v="0"/>
    <n v="0"/>
    <n v="0"/>
    <n v="0"/>
    <n v="0"/>
    <n v="0"/>
  </r>
  <r>
    <s v="73"/>
    <x v="2"/>
    <x v="13"/>
    <s v="ZA01D000"/>
    <x v="22"/>
    <s v="D307"/>
    <s v="RECUPERACIÓN DE COBERTURA VEGETAL EN EL DMQ"/>
    <s v="GI00D30700002D"/>
    <s v="GI00D30700002D RESTAURACIÓN ECOLÓGICA PARA EL MEJORAMIE"/>
    <s v="73 BIENES Y SERVICIOS PARA INVERSIÓN"/>
    <s v="730236 Servicios en Plantaciones Forestales"/>
    <s v="G/730236/3DD307"/>
    <s v="001"/>
    <n v="267000"/>
    <n v="0"/>
    <n v="0"/>
    <n v="267000"/>
    <n v="0"/>
    <n v="0"/>
    <n v="0"/>
    <n v="267000"/>
    <n v="267000"/>
    <n v="267000"/>
  </r>
  <r>
    <s v="73"/>
    <x v="2"/>
    <x v="13"/>
    <s v="ZA01D000"/>
    <x v="22"/>
    <s v="D307"/>
    <s v="RECUPERACIÓN DE COBERTURA VEGETAL EN EL DMQ"/>
    <s v="GI00D30700002D"/>
    <s v="GI00D30700002D RESTAURACIÓN ECOLÓGICA PARA EL MEJORAMIE"/>
    <s v="73 BIENES Y SERVICIOS PARA INVERSIÓN"/>
    <s v="730802 Vestuario, Lencería, Prendas de Protecci"/>
    <s v="G/730802/3DD307"/>
    <s v="001"/>
    <n v="3570"/>
    <n v="0"/>
    <n v="0"/>
    <n v="3570"/>
    <n v="0"/>
    <n v="0"/>
    <n v="0"/>
    <n v="3570"/>
    <n v="3570"/>
    <n v="3570"/>
  </r>
  <r>
    <s v="73"/>
    <x v="2"/>
    <x v="13"/>
    <s v="ZA01D000"/>
    <x v="22"/>
    <s v="D307"/>
    <s v="RECUPERACIÓN DE COBERTURA VEGETAL EN EL DMQ"/>
    <s v="GI00D30700002D"/>
    <s v="GI00D30700002D RESTAURACIÓN ECOLÓGICA PARA EL MEJORAMIE"/>
    <s v="73 BIENES Y SERVICIOS PARA INVERSIÓN"/>
    <s v="731406 Herramientas y equipos menores"/>
    <s v="G/731406/3DD307"/>
    <s v="001"/>
    <n v="1430"/>
    <n v="0"/>
    <n v="0"/>
    <n v="1430"/>
    <n v="0"/>
    <n v="0"/>
    <n v="0"/>
    <n v="1430"/>
    <n v="1430"/>
    <n v="1430"/>
  </r>
  <r>
    <s v="73"/>
    <x v="2"/>
    <x v="7"/>
    <s v="ZN02F020"/>
    <x v="46"/>
    <s v="F102"/>
    <s v="PARTICIPACION CIUDADANA"/>
    <s v="GI00F10200001D"/>
    <s v="GI00F10200001D PRESUPUESTOS PARTICIPATIVOS"/>
    <s v="73 BIENES Y SERVICIOS PARA INVERSIÓN"/>
    <s v="730204 Edición, Impresión, Reproducción, Public"/>
    <s v="G/730204/1FF102"/>
    <s v="001"/>
    <n v="12262.5"/>
    <n v="11114.76"/>
    <n v="-10000"/>
    <n v="13377.26"/>
    <n v="0"/>
    <n v="13377.26"/>
    <n v="10422.700000000001"/>
    <n v="0"/>
    <n v="2954.56"/>
    <n v="0"/>
  </r>
  <r>
    <s v="73"/>
    <x v="2"/>
    <x v="7"/>
    <s v="ZQ08F080"/>
    <x v="44"/>
    <s v="F102"/>
    <s v="PARTICIPACION CIUDADANA"/>
    <s v="GI00F10200001D"/>
    <s v="GI00F10200001D PRESUPUESTOS PARTICIPATIVOS"/>
    <s v="73 BIENES Y SERVICIOS PARA INVERSIÓN"/>
    <s v="730204 Edición, Impresión, Reproducción, Public"/>
    <s v="G/730204/1FF102"/>
    <s v="001"/>
    <n v="7860"/>
    <n v="0"/>
    <n v="-786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1D"/>
    <s v="GI00F10200001D PRESUPUESTOS PARTICIPATIVOS"/>
    <s v="73 BIENES Y SERVICIOS PARA INVERSIÓN"/>
    <s v="730205 Espectáculos Culturales y Sociales"/>
    <s v="G/730205/1FF102"/>
    <s v="001"/>
    <n v="79526.759999999995"/>
    <n v="-11602.11"/>
    <n v="-7548.65"/>
    <n v="60376"/>
    <n v="0"/>
    <n v="60376"/>
    <n v="33376"/>
    <n v="0"/>
    <n v="27000"/>
    <n v="0"/>
  </r>
  <r>
    <s v="73"/>
    <x v="2"/>
    <x v="7"/>
    <s v="ZQ08F080"/>
    <x v="44"/>
    <s v="F102"/>
    <s v="PARTICIPACION CIUDADANA"/>
    <s v="GI00F10200001D"/>
    <s v="GI00F10200001D PRESUPUESTOS PARTICIPATIVOS"/>
    <s v="73 BIENES Y SERVICIOS PARA INVERSIÓN"/>
    <s v="730205 Espectáculos Culturales y Sociales"/>
    <s v="G/730205/1FF102"/>
    <s v="001"/>
    <n v="58766"/>
    <n v="1624"/>
    <n v="-60390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1D"/>
    <s v="GI00F10200001D PRESUPUESTOS PARTICIPATIVOS"/>
    <s v="73 BIENES Y SERVICIOS PARA INVERSIÓN"/>
    <s v="730205 Espectáculos Culturales y Sociales"/>
    <s v="G/730205/1FF102"/>
    <s v="001"/>
    <n v="125141.75"/>
    <n v="0"/>
    <n v="-125141.75"/>
    <n v="0"/>
    <n v="0"/>
    <n v="0"/>
    <n v="0"/>
    <n v="0"/>
    <n v="0"/>
    <n v="0"/>
  </r>
  <r>
    <s v="73"/>
    <x v="2"/>
    <x v="7"/>
    <s v="ZM04F040"/>
    <x v="41"/>
    <s v="F102"/>
    <s v="PARTICIPACION CIUDADANA"/>
    <s v="GI00F10200001D"/>
    <s v="GI00F10200001D PRESUPUESTOS PARTICIPATIVOS"/>
    <s v="73 BIENES Y SERVICIOS PARA INVERSIÓN"/>
    <s v="730205 Espectáculos Culturales y Sociales"/>
    <s v="G/730205/1FF102"/>
    <s v="001"/>
    <n v="5000"/>
    <n v="0"/>
    <n v="-500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1D"/>
    <s v="GI00F10200001D PRESUPUESTOS PARTICIPATIVOS"/>
    <s v="73 BIENES Y SERVICIOS PARA INVERSIÓN"/>
    <s v="730235 Servicio de Alimentación"/>
    <s v="G/730235/1FF102"/>
    <s v="001"/>
    <n v="6368"/>
    <n v="560"/>
    <n v="-6928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1D"/>
    <s v="GI00F10200001D PRESUPUESTOS PARTICIPATIVOS"/>
    <s v="73 BIENES Y SERVICIOS PARA INVERSIÓN"/>
    <s v="730237 Remediación, Restauración y Descontaminació"/>
    <s v="G/730237/1FF102"/>
    <s v="001"/>
    <n v="37618.75"/>
    <n v="0"/>
    <n v="0"/>
    <n v="37618.75"/>
    <n v="0"/>
    <n v="21618.76"/>
    <n v="21618.76"/>
    <n v="15999.99"/>
    <n v="15999.99"/>
    <n v="15999.99"/>
  </r>
  <r>
    <s v="73"/>
    <x v="2"/>
    <x v="7"/>
    <s v="ZN02F020"/>
    <x v="46"/>
    <s v="F102"/>
    <s v="PARTICIPACION CIUDADANA"/>
    <s v="GI00F10200001D"/>
    <s v="GI00F10200001D PRESUPUESTOS PARTICIPATIVOS"/>
    <s v="73 BIENES Y SERVICIOS PARA INVERSIÓN"/>
    <s v="730237 Remediación, Restauración y Descontaminació"/>
    <s v="G/730237/1FF102"/>
    <s v="002"/>
    <n v="0"/>
    <n v="36031.24"/>
    <n v="0"/>
    <n v="36031.24"/>
    <n v="0"/>
    <n v="36031.24"/>
    <n v="36031.24"/>
    <n v="0"/>
    <n v="0"/>
    <n v="0"/>
  </r>
  <r>
    <s v="73"/>
    <x v="2"/>
    <x v="7"/>
    <s v="ZD07F070"/>
    <x v="43"/>
    <s v="F102"/>
    <s v="PARTICIPACION CIUDADANA"/>
    <s v="GI00F10200001D"/>
    <s v="GI00F10200001D PRESUPUESTOS PARTICIPATIVOS"/>
    <s v="73 BIENES Y SERVICIOS PARA INVERSIÓN"/>
    <s v="730237 Remediación, Restauración y Descontaminació"/>
    <s v="G/730237/1FF102"/>
    <s v="001"/>
    <n v="235978.45"/>
    <n v="0"/>
    <n v="-235978.45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1D"/>
    <s v="GI00F10200001D PRESUPUESTOS PARTICIPATIVOS"/>
    <s v="73 BIENES Y SERVICIOS PARA INVERSIÓN"/>
    <s v="730504 Maquinarias y Equipos (Arrendamiento)"/>
    <s v="G/730504/1FF102"/>
    <s v="001"/>
    <n v="0"/>
    <n v="149381.75"/>
    <n v="-93381.75"/>
    <n v="56000"/>
    <n v="7937.37"/>
    <n v="47191.14"/>
    <n v="0"/>
    <n v="8808.86"/>
    <n v="56000"/>
    <n v="871.49"/>
  </r>
  <r>
    <s v="73"/>
    <x v="2"/>
    <x v="7"/>
    <s v="ZN02F020"/>
    <x v="46"/>
    <s v="F102"/>
    <s v="PARTICIPACION CIUDADANA"/>
    <s v="GI00F10200001D"/>
    <s v="GI00F10200001D PRESUPUESTOS PARTICIPATIVOS"/>
    <s v="73 BIENES Y SERVICIOS PARA INVERSIÓN"/>
    <s v="730505 Vehículos (Arrendamiento)"/>
    <s v="G/730505/1FF102"/>
    <s v="001"/>
    <n v="3500"/>
    <n v="-2000"/>
    <n v="-150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1D"/>
    <s v="GI00F10200001D PRESUPUESTOS PARTICIPATIVOS"/>
    <s v="73 BIENES Y SERVICIOS PARA INVERSIÓN"/>
    <s v="730505 Vehículos (Arrendamiento)"/>
    <s v="G/730505/1FF102"/>
    <s v="001"/>
    <n v="9532"/>
    <n v="0"/>
    <n v="-9532"/>
    <n v="0"/>
    <n v="0"/>
    <n v="0"/>
    <n v="0"/>
    <n v="0"/>
    <n v="0"/>
    <n v="0"/>
  </r>
  <r>
    <s v="73"/>
    <x v="2"/>
    <x v="7"/>
    <s v="ZM04F040"/>
    <x v="41"/>
    <s v="F102"/>
    <s v="PARTICIPACION CIUDADANA"/>
    <s v="GI00F10200001D"/>
    <s v="GI00F10200001D PRESUPUESTOS PARTICIPATIVOS"/>
    <s v="73 BIENES Y SERVICIOS PARA INVERSIÓN"/>
    <s v="730604 Fiscalización e Inspecciones Técnicas"/>
    <s v="G/730604/1FF102"/>
    <s v="001"/>
    <n v="63199.360000000001"/>
    <n v="-11331.6"/>
    <n v="-51867.76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1D"/>
    <s v="GI00F10200001D PRESUPUESTOS PARTICIPATIVOS"/>
    <s v="73 BIENES Y SERVICIOS PARA INVERSIÓN"/>
    <s v="730605 Estudio y Diseño de Proyectos"/>
    <s v="G/730605/1FF102"/>
    <s v="002"/>
    <n v="0"/>
    <n v="15812.51"/>
    <n v="-0.01"/>
    <n v="15812.5"/>
    <n v="0"/>
    <n v="15812.5"/>
    <n v="15812.5"/>
    <n v="0"/>
    <n v="0"/>
    <n v="0"/>
  </r>
  <r>
    <s v="73"/>
    <x v="2"/>
    <x v="7"/>
    <s v="ZD07F070"/>
    <x v="43"/>
    <s v="F102"/>
    <s v="PARTICIPACION CIUDADANA"/>
    <s v="GI00F10200001D"/>
    <s v="GI00F10200001D PRESUPUESTOS PARTICIPATIVOS"/>
    <s v="73 BIENES Y SERVICIOS PARA INVERSIÓN"/>
    <s v="730605 Estudio y Diseño de Proyectos"/>
    <s v="G/730605/1FF102"/>
    <s v="001"/>
    <n v="0"/>
    <n v="18232"/>
    <n v="-18232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1D"/>
    <s v="GI00F10200001D PRESUPUESTOS PARTICIPATIVOS"/>
    <s v="73 BIENES Y SERVICIOS PARA INVERSIÓN"/>
    <s v="730605 Estudio y Diseño de Proyectos"/>
    <s v="G/730605/1FF102"/>
    <s v="001"/>
    <n v="14005.36"/>
    <n v="0"/>
    <n v="0.01"/>
    <n v="14005.37"/>
    <n v="0.01"/>
    <n v="9487.49"/>
    <n v="9487.49"/>
    <n v="4517.88"/>
    <n v="4517.88"/>
    <n v="4517.87"/>
  </r>
  <r>
    <s v="73"/>
    <x v="2"/>
    <x v="7"/>
    <s v="ZV05F050"/>
    <x v="39"/>
    <s v="F102"/>
    <s v="PARTICIPACION CIUDADANA"/>
    <s v="GI00F10200001D"/>
    <s v="GI00F10200001D PRESUPUESTOS PARTICIPATIVOS"/>
    <s v="73 BIENES Y SERVICIOS PARA INVERSIÓN"/>
    <s v="730605 Estudio y Diseño de Proyectos"/>
    <s v="G/730605/1FF102"/>
    <s v="001"/>
    <n v="53420.66"/>
    <n v="-2399.89"/>
    <n v="0"/>
    <n v="51020.77"/>
    <n v="0"/>
    <n v="49690.03"/>
    <n v="49690.03"/>
    <n v="1330.74"/>
    <n v="1330.74"/>
    <n v="1330.74"/>
  </r>
  <r>
    <s v="73"/>
    <x v="2"/>
    <x v="7"/>
    <s v="ZQ08F080"/>
    <x v="44"/>
    <s v="F102"/>
    <s v="PARTICIPACION CIUDADANA"/>
    <s v="GI00F10200001D"/>
    <s v="GI00F10200001D PRESUPUESTOS PARTICIPATIVOS"/>
    <s v="73 BIENES Y SERVICIOS PARA INVERSIÓN"/>
    <s v="730605 Estudio y Diseño de Proyectos"/>
    <s v="G/730605/1FF102"/>
    <s v="001"/>
    <n v="0"/>
    <n v="77800"/>
    <n v="-77800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1D"/>
    <s v="GI00F10200001D PRESUPUESTOS PARTICIPATIVOS"/>
    <s v="73 BIENES Y SERVICIOS PARA INVERSIÓN"/>
    <s v="730606 Honorarios por Contratos Civiles de Servici"/>
    <s v="G/730606/1FF102"/>
    <s v="001"/>
    <n v="0"/>
    <n v="19397.12"/>
    <n v="-19397.12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1D"/>
    <s v="GI00F10200001D PRESUPUESTOS PARTICIPATIVOS"/>
    <s v="73 BIENES Y SERVICIOS PARA INVERSIÓN"/>
    <s v="730606 Honorarios por Contratos Civiles de Servici"/>
    <s v="G/730606/1FF102"/>
    <s v="001"/>
    <n v="11309.76"/>
    <n v="0"/>
    <n v="-11309.76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1D"/>
    <s v="GI00F10200001D PRESUPUESTOS PARTICIPATIVOS"/>
    <s v="73 BIENES Y SERVICIOS PARA INVERSIÓN"/>
    <s v="730613 Capacitación para la Ciudadanía en Gener"/>
    <s v="G/730613/1FF102"/>
    <s v="001"/>
    <n v="11520"/>
    <n v="0"/>
    <n v="-3680"/>
    <n v="7840"/>
    <n v="0"/>
    <n v="7840"/>
    <n v="7840"/>
    <n v="0"/>
    <n v="0"/>
    <n v="0"/>
  </r>
  <r>
    <s v="73"/>
    <x v="2"/>
    <x v="7"/>
    <s v="ZD07F070"/>
    <x v="43"/>
    <s v="F102"/>
    <s v="PARTICIPACION CIUDADANA"/>
    <s v="GI00F10200001D"/>
    <s v="GI00F10200001D PRESUPUESTOS PARTICIPATIVOS"/>
    <s v="73 BIENES Y SERVICIOS PARA INVERSIÓN"/>
    <s v="730613 Capacitación para la Ciudadanía en Gener"/>
    <s v="G/730613/1FF102"/>
    <s v="001"/>
    <n v="16557.95"/>
    <n v="0"/>
    <n v="-16557.95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1D"/>
    <s v="GI00F10200001D PRESUPUESTOS PARTICIPATIVOS"/>
    <s v="73 BIENES Y SERVICIOS PARA INVERSIÓN"/>
    <s v="730613 Capacitación para la Ciudadanía en Gener"/>
    <s v="G/730613/1FF102"/>
    <s v="001"/>
    <n v="46895.199999999997"/>
    <n v="2240"/>
    <n v="-49135.199999999997"/>
    <n v="0"/>
    <n v="0"/>
    <n v="0"/>
    <n v="0"/>
    <n v="0"/>
    <n v="0"/>
    <n v="0"/>
  </r>
  <r>
    <s v="73"/>
    <x v="2"/>
    <x v="7"/>
    <s v="ZM04F040"/>
    <x v="41"/>
    <s v="F102"/>
    <s v="PARTICIPACION CIUDADANA"/>
    <s v="GI00F10200001D"/>
    <s v="GI00F10200001D PRESUPUESTOS PARTICIPATIVOS"/>
    <s v="73 BIENES Y SERVICIOS PARA INVERSIÓN"/>
    <s v="730613 Capacitación para la Ciudadanía en Gener"/>
    <s v="G/730613/1FF102"/>
    <s v="001"/>
    <n v="5000"/>
    <n v="0"/>
    <n v="-50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1D"/>
    <s v="GI00F10200001D PRESUPUESTOS PARTICIPATIVOS"/>
    <s v="73 BIENES Y SERVICIOS PARA INVERSIÓN"/>
    <s v="730613 Capacitación para la Ciudadanía en Gener"/>
    <s v="G/730613/1FF102"/>
    <s v="001"/>
    <n v="9500"/>
    <n v="-5000"/>
    <n v="-1500"/>
    <n v="3000"/>
    <n v="0"/>
    <n v="3000"/>
    <n v="0"/>
    <n v="0"/>
    <n v="3000"/>
    <n v="0"/>
  </r>
  <r>
    <s v="73"/>
    <x v="2"/>
    <x v="7"/>
    <s v="ZN02F020"/>
    <x v="46"/>
    <s v="F102"/>
    <s v="PARTICIPACION CIUDADANA"/>
    <s v="GI00F10200001D"/>
    <s v="GI00F10200001D PRESUPUESTOS PARTICIPATIVOS"/>
    <s v="73 BIENES Y SERVICIOS PARA INVERSIÓN"/>
    <s v="730802 Vestuario, Lencería, Prendas de Protecci"/>
    <s v="G/730802/1FF102"/>
    <s v="001"/>
    <n v="1000"/>
    <n v="0"/>
    <n v="-100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1D"/>
    <s v="GI00F10200001D PRESUPUESTOS PARTICIPATIVOS"/>
    <s v="73 BIENES Y SERVICIOS PARA INVERSIÓN"/>
    <s v="730802 Vestuario, Lencería, Prendas de Protecci"/>
    <s v="G/730802/1FF102"/>
    <s v="001"/>
    <n v="1580.8"/>
    <n v="0"/>
    <n v="-1580.8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1D"/>
    <s v="GI00F10200001D PRESUPUESTOS PARTICIPATIVOS"/>
    <s v="73 BIENES Y SERVICIOS PARA INVERSIÓN"/>
    <s v="730804 Materiales de Oficina"/>
    <s v="G/730804/1FF102"/>
    <s v="001"/>
    <n v="2860"/>
    <n v="0"/>
    <n v="-2860"/>
    <n v="0"/>
    <n v="0"/>
    <n v="0"/>
    <n v="0"/>
    <n v="0"/>
    <n v="0"/>
    <n v="0"/>
  </r>
  <r>
    <s v="73"/>
    <x v="2"/>
    <x v="7"/>
    <s v="ZV05F050"/>
    <x v="39"/>
    <s v="F102"/>
    <s v="PARTICIPACION CIUDADANA"/>
    <s v="GI00F10200001D"/>
    <s v="GI00F10200001D PRESUPUESTOS PARTICIPATIVOS"/>
    <s v="73 BIENES Y SERVICIOS PARA INVERSIÓN"/>
    <s v="730811 Insumos, Materiales y Suministros para Cons"/>
    <s v="G/730811/1FF102"/>
    <s v="001"/>
    <n v="316988.88"/>
    <n v="-19518"/>
    <n v="0"/>
    <n v="297470.88"/>
    <n v="28587.62"/>
    <n v="268883.26"/>
    <n v="125403.39"/>
    <n v="28587.62"/>
    <n v="172067.49"/>
    <n v="0"/>
  </r>
  <r>
    <s v="73"/>
    <x v="2"/>
    <x v="7"/>
    <s v="ZN02F020"/>
    <x v="46"/>
    <s v="F102"/>
    <s v="PARTICIPACION CIUDADANA"/>
    <s v="GI00F10200001D"/>
    <s v="GI00F10200001D PRESUPUESTOS PARTICIPATIVOS"/>
    <s v="73 BIENES Y SERVICIOS PARA INVERSIÓN"/>
    <s v="730811 Insumos, Materiales y Suministros para Cons"/>
    <s v="G/730811/1FF102"/>
    <s v="001"/>
    <n v="3000"/>
    <n v="-299.81"/>
    <n v="0"/>
    <n v="2700.19"/>
    <n v="40.44"/>
    <n v="2659.75"/>
    <n v="0"/>
    <n v="40.44"/>
    <n v="2700.19"/>
    <n v="0"/>
  </r>
  <r>
    <s v="73"/>
    <x v="2"/>
    <x v="7"/>
    <s v="ZT06F060"/>
    <x v="40"/>
    <s v="F102"/>
    <s v="PARTICIPACION CIUDADANA"/>
    <s v="GI00F10200001D"/>
    <s v="GI00F10200001D PRESUPUESTOS PARTICIPATIVOS"/>
    <s v="73 BIENES Y SERVICIOS PARA INVERSIÓN"/>
    <s v="730811 Insumos, Materiales y Suministros para Cons"/>
    <s v="G/730811/1FF102"/>
    <s v="001"/>
    <n v="100000"/>
    <n v="0"/>
    <n v="-0.34"/>
    <n v="99999.66"/>
    <n v="138.19"/>
    <n v="99861.47"/>
    <n v="80401.33"/>
    <n v="138.19"/>
    <n v="19598.330000000002"/>
    <n v="0"/>
  </r>
  <r>
    <s v="73"/>
    <x v="2"/>
    <x v="7"/>
    <s v="ZQ08F080"/>
    <x v="44"/>
    <s v="F102"/>
    <s v="PARTICIPACION CIUDADANA"/>
    <s v="GI00F10200001D"/>
    <s v="GI00F10200001D PRESUPUESTOS PARTICIPATIVOS"/>
    <s v="73 BIENES Y SERVICIOS PARA INVERSIÓN"/>
    <s v="730811 Insumos, Materiales y Suministros para Cons"/>
    <s v="G/730811/1FF102"/>
    <s v="001"/>
    <n v="12308.8"/>
    <n v="0"/>
    <n v="-12308.8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1D"/>
    <s v="GI00F10200001D PRESUPUESTOS PARTICIPATIVOS"/>
    <s v="73 BIENES Y SERVICIOS PARA INVERSIÓN"/>
    <s v="730811 Insumos, Materiales y Suministros para Cons"/>
    <s v="G/730811/1FF102"/>
    <s v="001"/>
    <n v="201873"/>
    <n v="21627"/>
    <n v="-223500"/>
    <n v="0"/>
    <n v="0"/>
    <n v="0"/>
    <n v="0"/>
    <n v="0"/>
    <n v="0"/>
    <n v="0"/>
  </r>
  <r>
    <s v="73"/>
    <x v="2"/>
    <x v="7"/>
    <s v="ZM04F040"/>
    <x v="41"/>
    <s v="F102"/>
    <s v="PARTICIPACION CIUDADANA"/>
    <s v="GI00F10200001D"/>
    <s v="GI00F10200001D PRESUPUESTOS PARTICIPATIVOS"/>
    <s v="73 BIENES Y SERVICIOS PARA INVERSIÓN"/>
    <s v="730812 Materiales Didácticos"/>
    <s v="G/730812/1FF102"/>
    <s v="001"/>
    <n v="3440"/>
    <n v="0"/>
    <n v="-344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1D"/>
    <s v="GI00F10200001D PRESUPUESTOS PARTICIPATIVOS"/>
    <s v="73 BIENES Y SERVICIOS PARA INVERSIÓN"/>
    <s v="730812 Materiales Didácticos"/>
    <s v="G/730812/1FF102"/>
    <s v="001"/>
    <n v="8260"/>
    <n v="0"/>
    <n v="-8260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1D"/>
    <s v="GI00F10200001D PRESUPUESTOS PARTICIPATIVOS"/>
    <s v="73 BIENES Y SERVICIOS PARA INVERSIÓN"/>
    <s v="730814 Suministros para Actividades Agropecuarias,"/>
    <s v="G/730814/1FF102"/>
    <s v="001"/>
    <n v="3000"/>
    <n v="0"/>
    <n v="-300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2D"/>
    <s v="GI00F10200002D SISTEMA DE PARTICIPACION CIUDADANA"/>
    <s v="73 BIENES Y SERVICIOS PARA INVERSIÓN"/>
    <s v="730204 Edición, Impresión, Reproducción, Public"/>
    <s v="G/730204/1FF102"/>
    <s v="001"/>
    <n v="3500"/>
    <n v="0"/>
    <n v="-350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2D"/>
    <s v="GI00F10200002D SISTEMA DE PARTICIPACION CIUDADANA"/>
    <s v="73 BIENES Y SERVICIOS PARA INVERSIÓN"/>
    <s v="730204 Edición, Impresión, Reproducción, Public"/>
    <s v="G/730204/1FF102"/>
    <s v="001"/>
    <n v="2800"/>
    <n v="0"/>
    <n v="-2800"/>
    <n v="0"/>
    <n v="0"/>
    <n v="0"/>
    <n v="0"/>
    <n v="0"/>
    <n v="0"/>
    <n v="0"/>
  </r>
  <r>
    <s v="73"/>
    <x v="2"/>
    <x v="7"/>
    <s v="ZV05F050"/>
    <x v="39"/>
    <s v="F102"/>
    <s v="PARTICIPACION CIUDADANA"/>
    <s v="GI00F10200002D"/>
    <s v="GI00F10200002D SISTEMA DE PARTICIPACION CIUDADANA"/>
    <s v="73 BIENES Y SERVICIOS PARA INVERSIÓN"/>
    <s v="730204 Edición, Impresión, Reproducción, Public"/>
    <s v="G/730204/1FF102"/>
    <s v="001"/>
    <n v="2500"/>
    <n v="0"/>
    <n v="-2500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2D"/>
    <s v="GI00F10200002D SISTEMA DE PARTICIPACION CIUDADANA"/>
    <s v="73 BIENES Y SERVICIOS PARA INVERSIÓN"/>
    <s v="730204 Edición, Impresión, Reproducción, Public"/>
    <s v="G/730204/1FF102"/>
    <s v="001"/>
    <n v="3000"/>
    <n v="0"/>
    <n v="-3000"/>
    <n v="0"/>
    <n v="0"/>
    <n v="0"/>
    <n v="0"/>
    <n v="0"/>
    <n v="0"/>
    <n v="0"/>
  </r>
  <r>
    <s v="73"/>
    <x v="2"/>
    <x v="7"/>
    <s v="ZT06F060"/>
    <x v="40"/>
    <s v="F102"/>
    <s v="PARTICIPACION CIUDADANA"/>
    <s v="GI00F10200002D"/>
    <s v="GI00F10200002D SISTEMA DE PARTICIPACION CIUDADANA"/>
    <s v="73 BIENES Y SERVICIOS PARA INVERSIÓN"/>
    <s v="730204 Edición, Impresión, Reproducción, Public"/>
    <s v="G/730204/1FF102"/>
    <s v="001"/>
    <n v="2000"/>
    <n v="0"/>
    <n v="-20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2D"/>
    <s v="GI00F10200002D SISTEMA DE PARTICIPACION CIUDADANA"/>
    <s v="73 BIENES Y SERVICIOS PARA INVERSIÓN"/>
    <s v="730204 Edición, Impresión, Reproducción, Public"/>
    <s v="G/730204/1FF102"/>
    <s v="001"/>
    <n v="1308.05"/>
    <n v="0"/>
    <n v="-1308.05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2D"/>
    <s v="GI00F10200002D SISTEMA DE PARTICIPACION CIUDADANA"/>
    <s v="73 BIENES Y SERVICIOS PARA INVERSIÓN"/>
    <s v="730204 Edición, Impresión, Reproducción, Public"/>
    <s v="G/730204/1FF102"/>
    <s v="001"/>
    <n v="1400"/>
    <n v="0"/>
    <n v="-1400"/>
    <n v="0"/>
    <n v="0"/>
    <n v="0"/>
    <n v="0"/>
    <n v="0"/>
    <n v="0"/>
    <n v="0"/>
  </r>
  <r>
    <s v="73"/>
    <x v="2"/>
    <x v="7"/>
    <s v="ZA01F000"/>
    <x v="25"/>
    <s v="F102"/>
    <s v="PARTICIPACION CIUDADANA"/>
    <s v="GI00F10200002D"/>
    <s v="GI00F10200002D SISTEMA DE PARTICIPACION CIUDADANA"/>
    <s v="73 BIENES Y SERVICIOS PARA INVERSIÓN"/>
    <s v="730205 Espectáculos Culturales y Sociales"/>
    <s v="G/730205/1FF102"/>
    <s v="001"/>
    <n v="4772.79"/>
    <n v="0"/>
    <n v="-4772.79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2D"/>
    <s v="GI00F10200002D SISTEMA DE PARTICIPACION CIUDADANA"/>
    <s v="73 BIENES Y SERVICIOS PARA INVERSIÓN"/>
    <s v="730205 Espectáculos Culturales y Sociales"/>
    <s v="G/730205/1FF102"/>
    <s v="001"/>
    <n v="7500"/>
    <n v="0"/>
    <n v="-750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2D"/>
    <s v="GI00F10200002D SISTEMA DE PARTICIPACION CIUDADANA"/>
    <s v="73 BIENES Y SERVICIOS PARA INVERSIÓN"/>
    <s v="730205 Espectáculos Culturales y Sociales"/>
    <s v="G/730205/1FF102"/>
    <s v="001"/>
    <n v="13000"/>
    <n v="0"/>
    <n v="-13000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2D"/>
    <s v="GI00F10200002D SISTEMA DE PARTICIPACION CIUDADANA"/>
    <s v="73 BIENES Y SERVICIOS PARA INVERSIÓN"/>
    <s v="730205 Espectáculos Culturales y Sociales"/>
    <s v="G/730205/1FF102"/>
    <s v="001"/>
    <n v="16395.41"/>
    <n v="0"/>
    <n v="-16395.41"/>
    <n v="0"/>
    <n v="0"/>
    <n v="0"/>
    <n v="0"/>
    <n v="0"/>
    <n v="0"/>
    <n v="0"/>
  </r>
  <r>
    <s v="73"/>
    <x v="2"/>
    <x v="7"/>
    <s v="ZV05F050"/>
    <x v="39"/>
    <s v="F102"/>
    <s v="PARTICIPACION CIUDADANA"/>
    <s v="GI00F10200002D"/>
    <s v="GI00F10200002D SISTEMA DE PARTICIPACION CIUDADANA"/>
    <s v="73 BIENES Y SERVICIOS PARA INVERSIÓN"/>
    <s v="730205 Espectáculos Culturales y Sociales"/>
    <s v="G/730205/1FF102"/>
    <s v="001"/>
    <n v="2477.34"/>
    <n v="0"/>
    <n v="-2477.34"/>
    <n v="0"/>
    <n v="0"/>
    <n v="0"/>
    <n v="0"/>
    <n v="0"/>
    <n v="0"/>
    <n v="0"/>
  </r>
  <r>
    <s v="73"/>
    <x v="2"/>
    <x v="7"/>
    <s v="ZM04F040"/>
    <x v="41"/>
    <s v="F102"/>
    <s v="PARTICIPACION CIUDADANA"/>
    <s v="GI00F10200002D"/>
    <s v="GI00F10200002D SISTEMA DE PARTICIPACION CIUDADANA"/>
    <s v="73 BIENES Y SERVICIOS PARA INVERSIÓN"/>
    <s v="730205 Espectáculos Culturales y Sociales"/>
    <s v="G/730205/1FF102"/>
    <s v="001"/>
    <n v="46491.57"/>
    <n v="0"/>
    <n v="-46491.57"/>
    <n v="0"/>
    <n v="0"/>
    <n v="0"/>
    <n v="0"/>
    <n v="0"/>
    <n v="0"/>
    <n v="0"/>
  </r>
  <r>
    <s v="73"/>
    <x v="2"/>
    <x v="7"/>
    <s v="ZT06F060"/>
    <x v="40"/>
    <s v="F102"/>
    <s v="PARTICIPACION CIUDADANA"/>
    <s v="GI00F10200002D"/>
    <s v="GI00F10200002D SISTEMA DE PARTICIPACION CIUDADANA"/>
    <s v="73 BIENES Y SERVICIOS PARA INVERSIÓN"/>
    <s v="730205 Espectáculos Culturales y Sociales"/>
    <s v="G/730205/1FF102"/>
    <s v="001"/>
    <n v="4000"/>
    <n v="0"/>
    <n v="-40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2D"/>
    <s v="GI00F10200002D SISTEMA DE PARTICIPACION CIUDADANA"/>
    <s v="73 BIENES Y SERVICIOS PARA INVERSIÓN"/>
    <s v="730205 Espectáculos Culturales y Sociales"/>
    <s v="G/730205/1FF102"/>
    <s v="001"/>
    <n v="2000"/>
    <n v="0"/>
    <n v="-2000"/>
    <n v="0"/>
    <n v="0"/>
    <n v="0"/>
    <n v="0"/>
    <n v="0"/>
    <n v="0"/>
    <n v="0"/>
  </r>
  <r>
    <s v="73"/>
    <x v="2"/>
    <x v="7"/>
    <s v="TM68F100"/>
    <x v="36"/>
    <s v="F102"/>
    <s v="PARTICIPACION CIUDADANA"/>
    <s v="GI00F10200002D"/>
    <s v="GI00F10200002D SISTEMA DE PARTICIPACION CIUDADANA"/>
    <s v="73 BIENES Y SERVICIOS PARA INVERSIÓN"/>
    <s v="730205 Espectáculos Culturales y Sociales"/>
    <s v="G/730205/1FF102"/>
    <s v="001"/>
    <n v="348.47"/>
    <n v="0"/>
    <n v="-348.47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2D"/>
    <s v="GI00F10200002D SISTEMA DE PARTICIPACION CIUDADANA"/>
    <s v="73 BIENES Y SERVICIOS PARA INVERSIÓN"/>
    <s v="730205 Espectáculos Culturales y Sociales"/>
    <s v="G/730205/1FF102"/>
    <s v="001"/>
    <n v="1906.48"/>
    <n v="0"/>
    <n v="-1906.48"/>
    <n v="0"/>
    <n v="0"/>
    <n v="0"/>
    <n v="0"/>
    <n v="0"/>
    <n v="0"/>
    <n v="0"/>
  </r>
  <r>
    <s v="73"/>
    <x v="2"/>
    <x v="7"/>
    <s v="ZA01F000"/>
    <x v="25"/>
    <s v="F102"/>
    <s v="PARTICIPACION CIUDADANA"/>
    <s v="GI00F10200002D"/>
    <s v="GI00F10200002D SISTEMA DE PARTICIPACION CIUDADANA"/>
    <s v="73 BIENES Y SERVICIOS PARA INVERSIÓN"/>
    <s v="730207 Difusión, Información y Publicidad"/>
    <s v="G/730207/1FF102"/>
    <s v="001"/>
    <n v="7500"/>
    <n v="0"/>
    <n v="-750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2D"/>
    <s v="GI00F10200002D SISTEMA DE PARTICIPACION CIUDADANA"/>
    <s v="73 BIENES Y SERVICIOS PARA INVERSIÓN"/>
    <s v="730235 Servicio de Alimentación"/>
    <s v="G/730235/1FF102"/>
    <s v="001"/>
    <n v="6172.82"/>
    <n v="0"/>
    <n v="-6172.82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2D"/>
    <s v="GI00F10200002D SISTEMA DE PARTICIPACION CIUDADANA"/>
    <s v="73 BIENES Y SERVICIOS PARA INVERSIÓN"/>
    <s v="730235 Servicio de Alimentación"/>
    <s v="G/730235/1FF102"/>
    <s v="001"/>
    <n v="4500"/>
    <n v="0"/>
    <n v="-4500"/>
    <n v="0"/>
    <n v="0"/>
    <n v="0"/>
    <n v="0"/>
    <n v="0"/>
    <n v="0"/>
    <n v="0"/>
  </r>
  <r>
    <s v="73"/>
    <x v="2"/>
    <x v="7"/>
    <s v="ZV05F050"/>
    <x v="39"/>
    <s v="F102"/>
    <s v="PARTICIPACION CIUDADANA"/>
    <s v="GI00F10200002D"/>
    <s v="GI00F10200002D SISTEMA DE PARTICIPACION CIUDADANA"/>
    <s v="73 BIENES Y SERVICIOS PARA INVERSIÓN"/>
    <s v="730235 Servicio de Alimentación"/>
    <s v="G/730235/1FF102"/>
    <s v="001"/>
    <n v="7000"/>
    <n v="0"/>
    <n v="-70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2D"/>
    <s v="GI00F10200002D SISTEMA DE PARTICIPACION CIUDADANA"/>
    <s v="73 BIENES Y SERVICIOS PARA INVERSIÓN"/>
    <s v="730235 Servicio de Alimentación"/>
    <s v="G/730235/1FF102"/>
    <s v="001"/>
    <n v="2000"/>
    <n v="0"/>
    <n v="-2000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2D"/>
    <s v="GI00F10200002D SISTEMA DE PARTICIPACION CIUDADANA"/>
    <s v="73 BIENES Y SERVICIOS PARA INVERSIÓN"/>
    <s v="730235 Servicio de Alimentación"/>
    <s v="G/730235/1FF102"/>
    <s v="001"/>
    <n v="4000"/>
    <n v="0"/>
    <n v="-4000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2D"/>
    <s v="GI00F10200002D SISTEMA DE PARTICIPACION CIUDADANA"/>
    <s v="73 BIENES Y SERVICIOS PARA INVERSIÓN"/>
    <s v="730235 Servicio de Alimentación"/>
    <s v="G/730235/1FF102"/>
    <s v="001"/>
    <n v="1845"/>
    <n v="0"/>
    <n v="-1845"/>
    <n v="0"/>
    <n v="0"/>
    <n v="0"/>
    <n v="0"/>
    <n v="0"/>
    <n v="0"/>
    <n v="0"/>
  </r>
  <r>
    <s v="73"/>
    <x v="2"/>
    <x v="7"/>
    <s v="ZT06F060"/>
    <x v="40"/>
    <s v="F102"/>
    <s v="PARTICIPACION CIUDADANA"/>
    <s v="GI00F10200002D"/>
    <s v="GI00F10200002D SISTEMA DE PARTICIPACION CIUDADANA"/>
    <s v="73 BIENES Y SERVICIOS PARA INVERSIÓN"/>
    <s v="730235 Servicio de Alimentación"/>
    <s v="G/730235/1FF102"/>
    <s v="001"/>
    <n v="1000"/>
    <n v="0"/>
    <n v="-1000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2D"/>
    <s v="GI00F10200002D SISTEMA DE PARTICIPACION CIUDADANA"/>
    <s v="73 BIENES Y SERVICIOS PARA INVERSIÓN"/>
    <s v="730248 Eventos Oficiales"/>
    <s v="G/730248/1FF102"/>
    <s v="001"/>
    <n v="7152.23"/>
    <n v="0"/>
    <n v="-7152.23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2D"/>
    <s v="GI00F10200002D SISTEMA DE PARTICIPACION CIUDADANA"/>
    <s v="73 BIENES Y SERVICIOS PARA INVERSIÓN"/>
    <s v="730249 Eventos Públicos Promocionales"/>
    <s v="G/730249/1FF102"/>
    <s v="001"/>
    <n v="0"/>
    <n v="7900"/>
    <n v="0"/>
    <n v="7900"/>
    <n v="0"/>
    <n v="7896"/>
    <n v="0"/>
    <n v="4"/>
    <n v="7900"/>
    <n v="4"/>
  </r>
  <r>
    <s v="73"/>
    <x v="2"/>
    <x v="7"/>
    <s v="ZS03F030"/>
    <x v="45"/>
    <s v="F102"/>
    <s v="PARTICIPACION CIUDADANA"/>
    <s v="GI00F10200002D"/>
    <s v="GI00F10200002D SISTEMA DE PARTICIPACION CIUDADANA"/>
    <s v="73 BIENES Y SERVICIOS PARA INVERSIÓN"/>
    <s v="730504 Maquinarias y Equipos (Arrendamiento)"/>
    <s v="G/730504/1FF102"/>
    <s v="001"/>
    <n v="10900.35"/>
    <n v="0"/>
    <n v="0"/>
    <n v="10900.35"/>
    <n v="439.72"/>
    <n v="10460.629999999999"/>
    <n v="0"/>
    <n v="439.72"/>
    <n v="10900.35"/>
    <n v="0"/>
  </r>
  <r>
    <s v="73"/>
    <x v="2"/>
    <x v="7"/>
    <s v="ZD07F070"/>
    <x v="43"/>
    <s v="F102"/>
    <s v="PARTICIPACION CIUDADANA"/>
    <s v="GI00F10200002D"/>
    <s v="GI00F10200002D SISTEMA DE PARTICIPACION CIUDADANA"/>
    <s v="73 BIENES Y SERVICIOS PARA INVERSIÓN"/>
    <s v="730504 Maquinarias y Equipos (Arrendamiento)"/>
    <s v="G/730504/1FF102"/>
    <s v="001"/>
    <n v="16739.79"/>
    <n v="0"/>
    <n v="-16739.79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2D"/>
    <s v="GI00F10200002D SISTEMA DE PARTICIPACION CIUDADANA"/>
    <s v="73 BIENES Y SERVICIOS PARA INVERSIÓN"/>
    <s v="730505 Vehículos (Arrendamiento)"/>
    <s v="G/730505/1FF102"/>
    <s v="001"/>
    <n v="3400"/>
    <n v="0"/>
    <n v="-3400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2D"/>
    <s v="GI00F10200002D SISTEMA DE PARTICIPACION CIUDADANA"/>
    <s v="73 BIENES Y SERVICIOS PARA INVERSIÓN"/>
    <s v="730505 Vehículos (Arrendamiento)"/>
    <s v="G/730505/1FF102"/>
    <s v="001"/>
    <n v="1300"/>
    <n v="0"/>
    <n v="-1300"/>
    <n v="0"/>
    <n v="0"/>
    <n v="0"/>
    <n v="0"/>
    <n v="0"/>
    <n v="0"/>
    <n v="0"/>
  </r>
  <r>
    <s v="73"/>
    <x v="2"/>
    <x v="7"/>
    <s v="ZT06F060"/>
    <x v="40"/>
    <s v="F102"/>
    <s v="PARTICIPACION CIUDADANA"/>
    <s v="GI00F10200002D"/>
    <s v="GI00F10200002D SISTEMA DE PARTICIPACION CIUDADANA"/>
    <s v="73 BIENES Y SERVICIOS PARA INVERSIÓN"/>
    <s v="730505 Vehículos (Arrendamiento)"/>
    <s v="G/730505/1FF102"/>
    <s v="001"/>
    <n v="9353.44"/>
    <n v="0"/>
    <n v="-9353.44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2D"/>
    <s v="GI00F10200002D SISTEMA DE PARTICIPACION CIUDADANA"/>
    <s v="73 BIENES Y SERVICIOS PARA INVERSIÓN"/>
    <s v="730505 Vehículos (Arrendamiento)"/>
    <s v="G/730505/1FF102"/>
    <s v="001"/>
    <n v="5500"/>
    <n v="0"/>
    <n v="-5500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2D"/>
    <s v="GI00F10200002D SISTEMA DE PARTICIPACION CIUDADANA"/>
    <s v="73 BIENES Y SERVICIOS PARA INVERSIÓN"/>
    <s v="730505 Vehículos (Arrendamiento)"/>
    <s v="G/730505/1FF102"/>
    <s v="001"/>
    <n v="1800"/>
    <n v="0"/>
    <n v="-18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2D"/>
    <s v="GI00F10200002D SISTEMA DE PARTICIPACION CIUDADANA"/>
    <s v="73 BIENES Y SERVICIOS PARA INVERSIÓN"/>
    <s v="730505 Vehículos (Arrendamiento)"/>
    <s v="G/730505/1FF102"/>
    <s v="001"/>
    <n v="14124.51"/>
    <n v="0"/>
    <n v="-14124.51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2D"/>
    <s v="GI00F10200002D SISTEMA DE PARTICIPACION CIUDADANA"/>
    <s v="73 BIENES Y SERVICIOS PARA INVERSIÓN"/>
    <s v="730606 Honorarios por Contratos Civiles de Servici"/>
    <s v="G/730606/1FF102"/>
    <s v="001"/>
    <n v="11200"/>
    <n v="0"/>
    <n v="-112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2D"/>
    <s v="GI00F10200002D SISTEMA DE PARTICIPACION CIUDADANA"/>
    <s v="73 BIENES Y SERVICIOS PARA INVERSIÓN"/>
    <s v="730606 Honorarios por Contratos Civiles de Servici"/>
    <s v="G/730606/1FF102"/>
    <s v="001"/>
    <n v="11500"/>
    <n v="0"/>
    <n v="-11500"/>
    <n v="0"/>
    <n v="0"/>
    <n v="0"/>
    <n v="0"/>
    <n v="0"/>
    <n v="0"/>
    <n v="0"/>
  </r>
  <r>
    <s v="73"/>
    <x v="2"/>
    <x v="7"/>
    <s v="ZA01F000"/>
    <x v="25"/>
    <s v="F102"/>
    <s v="PARTICIPACION CIUDADANA"/>
    <s v="GI00F10200002D"/>
    <s v="GI00F10200002D SISTEMA DE PARTICIPACION CIUDADANA"/>
    <s v="73 BIENES Y SERVICIOS PARA INVERSIÓN"/>
    <s v="730606 Honorarios por Contratos Civiles de Servici"/>
    <s v="G/730606/1FF102"/>
    <s v="001"/>
    <n v="15360"/>
    <n v="0"/>
    <n v="-5360"/>
    <n v="10000"/>
    <n v="0"/>
    <n v="0"/>
    <n v="0"/>
    <n v="10000"/>
    <n v="10000"/>
    <n v="10000"/>
  </r>
  <r>
    <s v="73"/>
    <x v="2"/>
    <x v="7"/>
    <s v="TM68F100"/>
    <x v="36"/>
    <s v="F102"/>
    <s v="PARTICIPACION CIUDADANA"/>
    <s v="GI00F10200002D"/>
    <s v="GI00F10200002D SISTEMA DE PARTICIPACION CIUDADANA"/>
    <s v="73 BIENES Y SERVICIOS PARA INVERSIÓN"/>
    <s v="730613 Capacitación para la Ciudadanía en Gener"/>
    <s v="G/730613/1FF102"/>
    <s v="001"/>
    <n v="1400"/>
    <n v="0"/>
    <n v="-1400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2D"/>
    <s v="GI00F10200002D SISTEMA DE PARTICIPACION CIUDADANA"/>
    <s v="73 BIENES Y SERVICIOS PARA INVERSIÓN"/>
    <s v="730613 Capacitación para la Ciudadanía en Gener"/>
    <s v="G/730613/1FF102"/>
    <s v="001"/>
    <n v="2000"/>
    <n v="0"/>
    <n v="-200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2D"/>
    <s v="GI00F10200002D SISTEMA DE PARTICIPACION CIUDADANA"/>
    <s v="73 BIENES Y SERVICIOS PARA INVERSIÓN"/>
    <s v="730613 Capacitación para la Ciudadanía en Gener"/>
    <s v="G/730613/1FF102"/>
    <s v="001"/>
    <n v="6500"/>
    <n v="0"/>
    <n v="-6500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2D"/>
    <s v="GI00F10200002D SISTEMA DE PARTICIPACION CIUDADANA"/>
    <s v="73 BIENES Y SERVICIOS PARA INVERSIÓN"/>
    <s v="730613 Capacitación para la Ciudadanía en Gener"/>
    <s v="G/730613/1FF102"/>
    <s v="001"/>
    <n v="3000"/>
    <n v="0"/>
    <n v="-3000"/>
    <n v="0"/>
    <n v="0"/>
    <n v="0"/>
    <n v="0"/>
    <n v="0"/>
    <n v="0"/>
    <n v="0"/>
  </r>
  <r>
    <s v="73"/>
    <x v="2"/>
    <x v="7"/>
    <s v="ZM04F040"/>
    <x v="41"/>
    <s v="F102"/>
    <s v="PARTICIPACION CIUDADANA"/>
    <s v="GI00F10200002D"/>
    <s v="GI00F10200002D SISTEMA DE PARTICIPACION CIUDADANA"/>
    <s v="73 BIENES Y SERVICIOS PARA INVERSIÓN"/>
    <s v="730613 Capacitación para la Ciudadanía en Gener"/>
    <s v="G/730613/1FF102"/>
    <s v="001"/>
    <n v="15000"/>
    <n v="0"/>
    <n v="-15000"/>
    <n v="0"/>
    <n v="0"/>
    <n v="0"/>
    <n v="0"/>
    <n v="0"/>
    <n v="0"/>
    <n v="0"/>
  </r>
  <r>
    <s v="73"/>
    <x v="2"/>
    <x v="7"/>
    <s v="ZV05F050"/>
    <x v="39"/>
    <s v="F102"/>
    <s v="PARTICIPACION CIUDADANA"/>
    <s v="GI00F10200002D"/>
    <s v="GI00F10200002D SISTEMA DE PARTICIPACION CIUDADANA"/>
    <s v="73 BIENES Y SERVICIOS PARA INVERSIÓN"/>
    <s v="730613 Capacitación para la Ciudadanía en Gener"/>
    <s v="G/730613/1FF102"/>
    <s v="001"/>
    <n v="3000"/>
    <n v="0"/>
    <n v="-3000"/>
    <n v="0"/>
    <n v="0"/>
    <n v="0"/>
    <n v="0"/>
    <n v="0"/>
    <n v="0"/>
    <n v="0"/>
  </r>
  <r>
    <s v="73"/>
    <x v="2"/>
    <x v="7"/>
    <s v="ZT06F060"/>
    <x v="40"/>
    <s v="F102"/>
    <s v="PARTICIPACION CIUDADANA"/>
    <s v="GI00F10200002D"/>
    <s v="GI00F10200002D SISTEMA DE PARTICIPACION CIUDADANA"/>
    <s v="73 BIENES Y SERVICIOS PARA INVERSIÓN"/>
    <s v="730613 Capacitación para la Ciudadanía en Gener"/>
    <s v="G/730613/1FF102"/>
    <s v="001"/>
    <n v="21015.599999999999"/>
    <n v="0"/>
    <n v="-21015.599999999999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2D"/>
    <s v="GI00F10200002D SISTEMA DE PARTICIPACION CIUDADANA"/>
    <s v="73 BIENES Y SERVICIOS PARA INVERSIÓN"/>
    <s v="730613 Capacitación para la Ciudadanía en Gener"/>
    <s v="G/730613/1FF102"/>
    <s v="001"/>
    <n v="4500"/>
    <n v="0"/>
    <n v="-45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2D"/>
    <s v="GI00F10200002D SISTEMA DE PARTICIPACION CIUDADANA"/>
    <s v="73 BIENES Y SERVICIOS PARA INVERSIÓN"/>
    <s v="730613 Capacitación para la Ciudadanía en Gener"/>
    <s v="G/730613/1FF102"/>
    <s v="001"/>
    <n v="3000"/>
    <n v="0"/>
    <n v="-3000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2D"/>
    <s v="GI00F10200002D SISTEMA DE PARTICIPACION CIUDADANA"/>
    <s v="73 BIENES Y SERVICIOS PARA INVERSIÓN"/>
    <s v="730802 Vestuario, Lencería, Prendas de Protecci"/>
    <s v="G/730802/1FF102"/>
    <s v="001"/>
    <n v="4000"/>
    <n v="0"/>
    <n v="-4000"/>
    <n v="0"/>
    <n v="0"/>
    <n v="0"/>
    <n v="0"/>
    <n v="0"/>
    <n v="0"/>
    <n v="0"/>
  </r>
  <r>
    <s v="73"/>
    <x v="2"/>
    <x v="7"/>
    <s v="ZM04F040"/>
    <x v="41"/>
    <s v="F102"/>
    <s v="PARTICIPACION CIUDADANA"/>
    <s v="GI00F10200002D"/>
    <s v="GI00F10200002D SISTEMA DE PARTICIPACION CIUDADANA"/>
    <s v="73 BIENES Y SERVICIOS PARA INVERSIÓN"/>
    <s v="730802 Vestuario, Lencería, Prendas de Protecci"/>
    <s v="G/730802/1FF102"/>
    <s v="001"/>
    <n v="10000"/>
    <n v="0"/>
    <n v="-1000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2D"/>
    <s v="GI00F10200002D SISTEMA DE PARTICIPACION CIUDADANA"/>
    <s v="73 BIENES Y SERVICIOS PARA INVERSIÓN"/>
    <s v="730804 Materiales de Oficina"/>
    <s v="G/730804/1FF102"/>
    <s v="001"/>
    <n v="2000"/>
    <n v="0"/>
    <n v="-200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2D"/>
    <s v="GI00F10200002D SISTEMA DE PARTICIPACION CIUDADANA"/>
    <s v="73 BIENES Y SERVICIOS PARA INVERSIÓN"/>
    <s v="730807 Materiales de Impresión, Fotografía, Rep"/>
    <s v="G/730807/1FF102"/>
    <s v="001"/>
    <n v="3000"/>
    <n v="0"/>
    <n v="-30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2D"/>
    <s v="GI00F10200002D SISTEMA DE PARTICIPACION CIUDADANA"/>
    <s v="73 BIENES Y SERVICIOS PARA INVERSIÓN"/>
    <s v="730811 Insumos, Materiales y Suministros para Cons"/>
    <s v="G/730811/1FF102"/>
    <s v="001"/>
    <n v="3000"/>
    <n v="0"/>
    <n v="-3000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2D"/>
    <s v="GI00F10200002D SISTEMA DE PARTICIPACION CIUDADANA"/>
    <s v="73 BIENES Y SERVICIOS PARA INVERSIÓN"/>
    <s v="730811 Insumos, Materiales y Suministros para Cons"/>
    <s v="G/730811/1FF102"/>
    <s v="001"/>
    <n v="1500"/>
    <n v="0"/>
    <n v="-150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2D"/>
    <s v="GI00F10200002D SISTEMA DE PARTICIPACION CIUDADANA"/>
    <s v="73 BIENES Y SERVICIOS PARA INVERSIÓN"/>
    <s v="730811 Insumos, Materiales y Suministros para Cons"/>
    <s v="G/730811/1FF102"/>
    <s v="001"/>
    <n v="8500"/>
    <n v="0"/>
    <n v="0"/>
    <n v="8500"/>
    <n v="1778.27"/>
    <n v="6721.73"/>
    <n v="0"/>
    <n v="1778.27"/>
    <n v="8500"/>
    <n v="0"/>
  </r>
  <r>
    <s v="73"/>
    <x v="2"/>
    <x v="7"/>
    <s v="ZM04F040"/>
    <x v="41"/>
    <s v="F102"/>
    <s v="PARTICIPACION CIUDADANA"/>
    <s v="GI00F10200002D"/>
    <s v="GI00F10200002D SISTEMA DE PARTICIPACION CIUDADANA"/>
    <s v="73 BIENES Y SERVICIOS PARA INVERSIÓN"/>
    <s v="730812 Materiales Didácticos"/>
    <s v="G/730812/1FF102"/>
    <s v="001"/>
    <n v="5000"/>
    <n v="0"/>
    <n v="-50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3D"/>
    <s v="GI00F10200003D &quot;VOLUNTARIADO &quot;&quot;QUITO ACCION&quot;&quot;&quot;"/>
    <s v="73 BIENES Y SERVICIOS PARA INVERSIÓN"/>
    <s v="730204 Edición, Impresión, Reproducción, Public"/>
    <s v="G/730204/1FF102"/>
    <s v="001"/>
    <n v="2000"/>
    <n v="0"/>
    <n v="-200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3D"/>
    <s v="GI00F10200003D &quot;VOLUNTARIADO &quot;&quot;QUITO ACCION&quot;&quot;&quot;"/>
    <s v="73 BIENES Y SERVICIOS PARA INVERSIÓN"/>
    <s v="730205 Espectáculos Culturales y Sociales"/>
    <s v="G/730205/1FF102"/>
    <s v="001"/>
    <n v="5600"/>
    <n v="0"/>
    <n v="-5600"/>
    <n v="0"/>
    <n v="0"/>
    <n v="0"/>
    <n v="0"/>
    <n v="0"/>
    <n v="0"/>
    <n v="0"/>
  </r>
  <r>
    <s v="73"/>
    <x v="2"/>
    <x v="7"/>
    <s v="ZA01F000"/>
    <x v="25"/>
    <s v="F102"/>
    <s v="PARTICIPACION CIUDADANA"/>
    <s v="GI00F10200003D"/>
    <s v="GI00F10200003D &quot;VOLUNTARIADO &quot;&quot;QUITO ACCION&quot;&quot;&quot;"/>
    <s v="73 BIENES Y SERVICIOS PARA INVERSIÓN"/>
    <s v="730205 Espectáculos Culturales y Sociales"/>
    <s v="G/730205/1FF102"/>
    <s v="001"/>
    <n v="1800"/>
    <n v="0"/>
    <n v="-18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3D"/>
    <s v="GI00F10200003D &quot;VOLUNTARIADO &quot;&quot;QUITO ACCION&quot;&quot;&quot;"/>
    <s v="73 BIENES Y SERVICIOS PARA INVERSIÓN"/>
    <s v="730205 Espectáculos Culturales y Sociales"/>
    <s v="G/730205/1FF102"/>
    <s v="001"/>
    <n v="4500"/>
    <n v="0"/>
    <n v="-450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3D"/>
    <s v="GI00F10200003D &quot;VOLUNTARIADO &quot;&quot;QUITO ACCION&quot;&quot;&quot;"/>
    <s v="73 BIENES Y SERVICIOS PARA INVERSIÓN"/>
    <s v="730205 Espectáculos Culturales y Sociales"/>
    <s v="G/730205/1FF102"/>
    <s v="001"/>
    <n v="4775"/>
    <n v="0"/>
    <n v="-4775"/>
    <n v="0"/>
    <n v="0"/>
    <n v="0"/>
    <n v="0"/>
    <n v="0"/>
    <n v="0"/>
    <n v="0"/>
  </r>
  <r>
    <s v="73"/>
    <x v="2"/>
    <x v="7"/>
    <s v="TM68F100"/>
    <x v="36"/>
    <s v="F102"/>
    <s v="PARTICIPACION CIUDADANA"/>
    <s v="GI00F10200003D"/>
    <s v="GI00F10200003D &quot;VOLUNTARIADO &quot;&quot;QUITO ACCION&quot;&quot;&quot;"/>
    <s v="73 BIENES Y SERVICIOS PARA INVERSIÓN"/>
    <s v="730205 Espectáculos Culturales y Sociales"/>
    <s v="G/730205/1FF102"/>
    <s v="001"/>
    <n v="9000"/>
    <n v="0"/>
    <n v="-9000"/>
    <n v="0"/>
    <n v="0"/>
    <n v="0"/>
    <n v="0"/>
    <n v="0"/>
    <n v="0"/>
    <n v="0"/>
  </r>
  <r>
    <s v="73"/>
    <x v="2"/>
    <x v="7"/>
    <s v="ZT06F060"/>
    <x v="40"/>
    <s v="F102"/>
    <s v="PARTICIPACION CIUDADANA"/>
    <s v="GI00F10200003D"/>
    <s v="GI00F10200003D &quot;VOLUNTARIADO &quot;&quot;QUITO ACCION&quot;&quot;&quot;"/>
    <s v="73 BIENES Y SERVICIOS PARA INVERSIÓN"/>
    <s v="730205 Espectáculos Culturales y Sociales"/>
    <s v="G/730205/1FF102"/>
    <s v="001"/>
    <n v="3000"/>
    <n v="0"/>
    <n v="-3000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3D"/>
    <s v="GI00F10200003D &quot;VOLUNTARIADO &quot;&quot;QUITO ACCION&quot;&quot;&quot;"/>
    <s v="73 BIENES Y SERVICIOS PARA INVERSIÓN"/>
    <s v="730205 Espectáculos Culturales y Sociales"/>
    <s v="G/730205/1FF102"/>
    <s v="001"/>
    <n v="7894.24"/>
    <n v="0"/>
    <n v="-7894.24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3D"/>
    <s v="GI00F10200003D &quot;VOLUNTARIADO &quot;&quot;QUITO ACCION&quot;&quot;&quot;"/>
    <s v="73 BIENES Y SERVICIOS PARA INVERSIÓN"/>
    <s v="730205 Espectáculos Culturales y Sociales"/>
    <s v="G/730205/1FF102"/>
    <s v="001"/>
    <n v="5000"/>
    <n v="0"/>
    <n v="-500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3D"/>
    <s v="GI00F10200003D &quot;VOLUNTARIADO &quot;&quot;QUITO ACCION&quot;&quot;&quot;"/>
    <s v="73 BIENES Y SERVICIOS PARA INVERSIÓN"/>
    <s v="730235 Servicio de Alimentación"/>
    <s v="G/730235/1FF102"/>
    <s v="001"/>
    <n v="1000"/>
    <n v="0"/>
    <n v="-1000"/>
    <n v="0"/>
    <n v="0"/>
    <n v="0"/>
    <n v="0"/>
    <n v="0"/>
    <n v="0"/>
    <n v="0"/>
  </r>
  <r>
    <s v="73"/>
    <x v="2"/>
    <x v="7"/>
    <s v="ZT06F060"/>
    <x v="40"/>
    <s v="F102"/>
    <s v="PARTICIPACION CIUDADANA"/>
    <s v="GI00F10200003D"/>
    <s v="GI00F10200003D &quot;VOLUNTARIADO &quot;&quot;QUITO ACCION&quot;&quot;&quot;"/>
    <s v="73 BIENES Y SERVICIOS PARA INVERSIÓN"/>
    <s v="730235 Servicio de Alimentación"/>
    <s v="G/730235/1FF102"/>
    <s v="001"/>
    <n v="500"/>
    <n v="0"/>
    <n v="-500"/>
    <n v="0"/>
    <n v="0"/>
    <n v="0"/>
    <n v="0"/>
    <n v="0"/>
    <n v="0"/>
    <n v="0"/>
  </r>
  <r>
    <s v="73"/>
    <x v="2"/>
    <x v="7"/>
    <s v="ZA01F000"/>
    <x v="25"/>
    <s v="F102"/>
    <s v="PARTICIPACION CIUDADANA"/>
    <s v="GI00F10200003D"/>
    <s v="GI00F10200003D &quot;VOLUNTARIADO &quot;&quot;QUITO ACCION&quot;&quot;&quot;"/>
    <s v="73 BIENES Y SERVICIOS PARA INVERSIÓN"/>
    <s v="730235 Servicio de Alimentación"/>
    <s v="G/730235/1FF102"/>
    <s v="001"/>
    <n v="4000"/>
    <n v="0"/>
    <n v="-400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3D"/>
    <s v="GI00F10200003D &quot;VOLUNTARIADO &quot;&quot;QUITO ACCION&quot;&quot;&quot;"/>
    <s v="73 BIENES Y SERVICIOS PARA INVERSIÓN"/>
    <s v="730235 Servicio de Alimentación"/>
    <s v="G/730235/1FF102"/>
    <s v="001"/>
    <n v="3700"/>
    <n v="0"/>
    <n v="-3700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3D"/>
    <s v="GI00F10200003D &quot;VOLUNTARIADO &quot;&quot;QUITO ACCION&quot;&quot;&quot;"/>
    <s v="73 BIENES Y SERVICIOS PARA INVERSIÓN"/>
    <s v="730235 Servicio de Alimentación"/>
    <s v="G/730235/1FF102"/>
    <s v="001"/>
    <n v="1600"/>
    <n v="0"/>
    <n v="-1600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3D"/>
    <s v="GI00F10200003D &quot;VOLUNTARIADO &quot;&quot;QUITO ACCION&quot;&quot;&quot;"/>
    <s v="73 BIENES Y SERVICIOS PARA INVERSIÓN"/>
    <s v="730505 Vehículos (Arrendamiento)"/>
    <s v="G/730505/1FF102"/>
    <s v="001"/>
    <n v="1000"/>
    <n v="0"/>
    <n v="-10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3D"/>
    <s v="GI00F10200003D &quot;VOLUNTARIADO &quot;&quot;QUITO ACCION&quot;&quot;&quot;"/>
    <s v="73 BIENES Y SERVICIOS PARA INVERSIÓN"/>
    <s v="730505 Vehículos (Arrendamiento)"/>
    <s v="G/730505/1FF102"/>
    <s v="001"/>
    <n v="1500"/>
    <n v="0"/>
    <n v="-150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3D"/>
    <s v="GI00F10200003D &quot;VOLUNTARIADO &quot;&quot;QUITO ACCION&quot;&quot;&quot;"/>
    <s v="73 BIENES Y SERVICIOS PARA INVERSIÓN"/>
    <s v="730505 Vehículos (Arrendamiento)"/>
    <s v="G/730505/1FF102"/>
    <s v="001"/>
    <n v="1000"/>
    <n v="0"/>
    <n v="-1000"/>
    <n v="0"/>
    <n v="0"/>
    <n v="0"/>
    <n v="0"/>
    <n v="0"/>
    <n v="0"/>
    <n v="0"/>
  </r>
  <r>
    <s v="73"/>
    <x v="2"/>
    <x v="7"/>
    <s v="ZT06F060"/>
    <x v="40"/>
    <s v="F102"/>
    <s v="PARTICIPACION CIUDADANA"/>
    <s v="GI00F10200003D"/>
    <s v="GI00F10200003D &quot;VOLUNTARIADO &quot;&quot;QUITO ACCION&quot;&quot;&quot;"/>
    <s v="73 BIENES Y SERVICIOS PARA INVERSIÓN"/>
    <s v="730505 Vehículos (Arrendamiento)"/>
    <s v="G/730505/1FF102"/>
    <s v="001"/>
    <n v="4400"/>
    <n v="0"/>
    <n v="-440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3D"/>
    <s v="GI00F10200003D &quot;VOLUNTARIADO &quot;&quot;QUITO ACCION&quot;&quot;&quot;"/>
    <s v="73 BIENES Y SERVICIOS PARA INVERSIÓN"/>
    <s v="730505 Vehículos (Arrendamiento)"/>
    <s v="G/730505/1FF102"/>
    <s v="001"/>
    <n v="2799"/>
    <n v="0"/>
    <n v="-2799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3D"/>
    <s v="GI00F10200003D &quot;VOLUNTARIADO &quot;&quot;QUITO ACCION&quot;&quot;&quot;"/>
    <s v="73 BIENES Y SERVICIOS PARA INVERSIÓN"/>
    <s v="730505 Vehículos (Arrendamiento)"/>
    <s v="G/730505/1FF102"/>
    <s v="001"/>
    <n v="1000"/>
    <n v="0"/>
    <n v="-10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3D"/>
    <s v="GI00F10200003D &quot;VOLUNTARIADO &quot;&quot;QUITO ACCION&quot;&quot;&quot;"/>
    <s v="73 BIENES Y SERVICIOS PARA INVERSIÓN"/>
    <s v="730606 Honorarios por Contratos Civiles de Servici"/>
    <s v="G/730606/1FF102"/>
    <s v="001"/>
    <n v="11500"/>
    <n v="0"/>
    <n v="-1150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3D"/>
    <s v="GI00F10200003D &quot;VOLUNTARIADO &quot;&quot;QUITO ACCION&quot;&quot;&quot;"/>
    <s v="73 BIENES Y SERVICIOS PARA INVERSIÓN"/>
    <s v="730613 Capacitación para la Ciudadanía en Gener"/>
    <s v="G/730613/1FF102"/>
    <s v="001"/>
    <n v="1000"/>
    <n v="0"/>
    <n v="-1000"/>
    <n v="0"/>
    <n v="0"/>
    <n v="0"/>
    <n v="0"/>
    <n v="0"/>
    <n v="0"/>
    <n v="0"/>
  </r>
  <r>
    <s v="73"/>
    <x v="2"/>
    <x v="7"/>
    <s v="ZA01F000"/>
    <x v="25"/>
    <s v="F102"/>
    <s v="PARTICIPACION CIUDADANA"/>
    <s v="GI00F10200003D"/>
    <s v="GI00F10200003D &quot;VOLUNTARIADO &quot;&quot;QUITO ACCION&quot;&quot;&quot;"/>
    <s v="73 BIENES Y SERVICIOS PARA INVERSIÓN"/>
    <s v="730613 Capacitación para la Ciudadanía en Gener"/>
    <s v="G/730613/1FF102"/>
    <s v="001"/>
    <n v="11694.5"/>
    <n v="0"/>
    <n v="-11694.5"/>
    <n v="0"/>
    <n v="0"/>
    <n v="0"/>
    <n v="0"/>
    <n v="0"/>
    <n v="0"/>
    <n v="0"/>
  </r>
  <r>
    <s v="73"/>
    <x v="2"/>
    <x v="7"/>
    <s v="ZV05F050"/>
    <x v="39"/>
    <s v="F102"/>
    <s v="PARTICIPACION CIUDADANA"/>
    <s v="GI00F10200003D"/>
    <s v="GI00F10200003D &quot;VOLUNTARIADO &quot;&quot;QUITO ACCION&quot;&quot;&quot;"/>
    <s v="73 BIENES Y SERVICIOS PARA INVERSIÓN"/>
    <s v="730613 Capacitación para la Ciudadanía en Gener"/>
    <s v="G/730613/1FF102"/>
    <s v="001"/>
    <n v="4000"/>
    <n v="0"/>
    <n v="-4000"/>
    <n v="0"/>
    <n v="0"/>
    <n v="0"/>
    <n v="0"/>
    <n v="0"/>
    <n v="0"/>
    <n v="0"/>
  </r>
  <r>
    <s v="73"/>
    <x v="2"/>
    <x v="7"/>
    <s v="ZM04F040"/>
    <x v="41"/>
    <s v="F102"/>
    <s v="PARTICIPACION CIUDADANA"/>
    <s v="GI00F10200003D"/>
    <s v="GI00F10200003D &quot;VOLUNTARIADO &quot;&quot;QUITO ACCION&quot;&quot;&quot;"/>
    <s v="73 BIENES Y SERVICIOS PARA INVERSIÓN"/>
    <s v="730613 Capacitación para la Ciudadanía en Gener"/>
    <s v="G/730613/1FF102"/>
    <s v="001"/>
    <n v="4000"/>
    <n v="0"/>
    <n v="-4000"/>
    <n v="0"/>
    <n v="0"/>
    <n v="0"/>
    <n v="0"/>
    <n v="0"/>
    <n v="0"/>
    <n v="0"/>
  </r>
  <r>
    <s v="73"/>
    <x v="2"/>
    <x v="7"/>
    <s v="ZT06F060"/>
    <x v="40"/>
    <s v="F102"/>
    <s v="PARTICIPACION CIUDADANA"/>
    <s v="GI00F10200003D"/>
    <s v="GI00F10200003D &quot;VOLUNTARIADO &quot;&quot;QUITO ACCION&quot;&quot;&quot;"/>
    <s v="73 BIENES Y SERVICIOS PARA INVERSIÓN"/>
    <s v="730613 Capacitación para la Ciudadanía en Gener"/>
    <s v="G/730613/1FF102"/>
    <s v="001"/>
    <n v="3000"/>
    <n v="0"/>
    <n v="-3000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3D"/>
    <s v="GI00F10200003D &quot;VOLUNTARIADO &quot;&quot;QUITO ACCION&quot;&quot;&quot;"/>
    <s v="73 BIENES Y SERVICIOS PARA INVERSIÓN"/>
    <s v="730613 Capacitación para la Ciudadanía en Gener"/>
    <s v="G/730613/1FF102"/>
    <s v="001"/>
    <n v="2500"/>
    <n v="0"/>
    <n v="-2500"/>
    <n v="0"/>
    <n v="0"/>
    <n v="0"/>
    <n v="0"/>
    <n v="0"/>
    <n v="0"/>
    <n v="0"/>
  </r>
  <r>
    <s v="73"/>
    <x v="2"/>
    <x v="7"/>
    <s v="ZV05F050"/>
    <x v="39"/>
    <s v="F102"/>
    <s v="PARTICIPACION CIUDADANA"/>
    <s v="GI00F10200003D"/>
    <s v="GI00F10200003D &quot;VOLUNTARIADO &quot;&quot;QUITO ACCION&quot;&quot;&quot;"/>
    <s v="73 BIENES Y SERVICIOS PARA INVERSIÓN"/>
    <s v="730802 Vestuario, Lencería, Prendas de Protecci"/>
    <s v="G/730802/1FF102"/>
    <s v="001"/>
    <n v="7900"/>
    <n v="0"/>
    <n v="-790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3D"/>
    <s v="GI00F10200003D &quot;VOLUNTARIADO &quot;&quot;QUITO ACCION&quot;&quot;&quot;"/>
    <s v="73 BIENES Y SERVICIOS PARA INVERSIÓN"/>
    <s v="730802 Vestuario, Lencería, Prendas de Protecci"/>
    <s v="G/730802/1FF102"/>
    <s v="001"/>
    <n v="1000"/>
    <n v="0"/>
    <n v="-100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3D"/>
    <s v="GI00F10200003D &quot;VOLUNTARIADO &quot;&quot;QUITO ACCION&quot;&quot;&quot;"/>
    <s v="73 BIENES Y SERVICIOS PARA INVERSIÓN"/>
    <s v="730802 Vestuario, Lencería, Prendas de Protecci"/>
    <s v="G/730802/1FF102"/>
    <s v="001"/>
    <n v="2000"/>
    <n v="0"/>
    <n v="-200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3D"/>
    <s v="GI00F10200003D &quot;VOLUNTARIADO &quot;&quot;QUITO ACCION&quot;&quot;&quot;"/>
    <s v="73 BIENES Y SERVICIOS PARA INVERSIÓN"/>
    <s v="730804 Materiales de Oficina"/>
    <s v="G/730804/1FF102"/>
    <s v="001"/>
    <n v="400"/>
    <n v="0"/>
    <n v="-40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3D"/>
    <s v="GI00F10200003D &quot;VOLUNTARIADO &quot;&quot;QUITO ACCION&quot;&quot;&quot;"/>
    <s v="73 BIENES Y SERVICIOS PARA INVERSIÓN"/>
    <s v="730811 Insumos, Materiales y Suministros para Cons"/>
    <s v="G/730811/1FF102"/>
    <s v="001"/>
    <n v="3000"/>
    <n v="0"/>
    <n v="-3000"/>
    <n v="0"/>
    <n v="0"/>
    <n v="0"/>
    <n v="0"/>
    <n v="0"/>
    <n v="0"/>
    <n v="0"/>
  </r>
  <r>
    <s v="73"/>
    <x v="2"/>
    <x v="7"/>
    <s v="ZT06F060"/>
    <x v="40"/>
    <s v="F102"/>
    <s v="PARTICIPACION CIUDADANA"/>
    <s v="GI00F10200003D"/>
    <s v="GI00F10200003D &quot;VOLUNTARIADO &quot;&quot;QUITO ACCION&quot;&quot;&quot;"/>
    <s v="73 BIENES Y SERVICIOS PARA INVERSIÓN"/>
    <s v="730811 Insumos, Materiales y Suministros para Cons"/>
    <s v="G/730811/1FF102"/>
    <s v="001"/>
    <n v="1000"/>
    <n v="0"/>
    <n v="-1000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3D"/>
    <s v="GI00F10200003D &quot;VOLUNTARIADO &quot;&quot;QUITO ACCION&quot;&quot;&quot;"/>
    <s v="73 BIENES Y SERVICIOS PARA INVERSIÓN"/>
    <s v="730811 Insumos, Materiales y Suministros para Cons"/>
    <s v="G/730811/1FF102"/>
    <s v="001"/>
    <n v="2000"/>
    <n v="0"/>
    <n v="-20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3D"/>
    <s v="GI00F10200003D &quot;VOLUNTARIADO &quot;&quot;QUITO ACCION&quot;&quot;&quot;"/>
    <s v="73 BIENES Y SERVICIOS PARA INVERSIÓN"/>
    <s v="730811 Insumos, Materiales y Suministros para Cons"/>
    <s v="G/730811/1FF102"/>
    <s v="001"/>
    <n v="2000"/>
    <n v="0"/>
    <n v="-200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3D"/>
    <s v="GI00F10200003D &quot;VOLUNTARIADO &quot;&quot;QUITO ACCION&quot;&quot;&quot;"/>
    <s v="73 BIENES Y SERVICIOS PARA INVERSIÓN"/>
    <s v="730811 Insumos, Materiales y Suministros para Cons"/>
    <s v="G/730811/1FF102"/>
    <s v="001"/>
    <n v="2000"/>
    <n v="0"/>
    <n v="-200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3D"/>
    <s v="GI00F10200003D &quot;VOLUNTARIADO &quot;&quot;QUITO ACCION&quot;&quot;&quot;"/>
    <s v="73 BIENES Y SERVICIOS PARA INVERSIÓN"/>
    <s v="730812 Materiales Didácticos"/>
    <s v="G/730812/1FF102"/>
    <s v="001"/>
    <n v="800"/>
    <n v="0"/>
    <n v="-800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3D"/>
    <s v="GI00F10200003D &quot;VOLUNTARIADO &quot;&quot;QUITO ACCION&quot;&quot;&quot;"/>
    <s v="73 BIENES Y SERVICIOS PARA INVERSIÓN"/>
    <s v="730812 Materiales Didácticos"/>
    <s v="G/730812/1FF102"/>
    <s v="001"/>
    <n v="300"/>
    <n v="0"/>
    <n v="-300"/>
    <n v="0"/>
    <n v="0"/>
    <n v="0"/>
    <n v="0"/>
    <n v="0"/>
    <n v="0"/>
    <n v="0"/>
  </r>
  <r>
    <s v="73"/>
    <x v="2"/>
    <x v="7"/>
    <s v="ZA01F000"/>
    <x v="25"/>
    <s v="F102"/>
    <s v="PARTICIPACION CIUDADANA"/>
    <s v="GI00F10200003D"/>
    <s v="GI00F10200003D &quot;VOLUNTARIADO &quot;&quot;QUITO ACCION&quot;&quot;&quot;"/>
    <s v="73 BIENES Y SERVICIOS PARA INVERSIÓN"/>
    <s v="730824 Insumos, Bienes y Materiales para la Produc"/>
    <s v="G/730824/1FF102"/>
    <s v="001"/>
    <n v="800"/>
    <n v="1397.36"/>
    <n v="-800"/>
    <n v="1397.36"/>
    <n v="0"/>
    <n v="0"/>
    <n v="0"/>
    <n v="1397.36"/>
    <n v="1397.36"/>
    <n v="1397.36"/>
  </r>
  <r>
    <s v="73"/>
    <x v="2"/>
    <x v="7"/>
    <s v="ZC09F090"/>
    <x v="10"/>
    <s v="F102"/>
    <s v="PARTICIPACION CIUDADANA"/>
    <s v="GI00F10200003D"/>
    <s v="GI00F10200003D &quot;VOLUNTARIADO &quot;&quot;QUITO ACCION&quot;&quot;&quot;"/>
    <s v="73 BIENES Y SERVICIOS PARA INVERSIÓN"/>
    <s v="730827 Uniformes Deportivos"/>
    <s v="G/730827/1FF102"/>
    <s v="001"/>
    <n v="500"/>
    <n v="0"/>
    <n v="-50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5D"/>
    <s v="GI00F10200005D CASAS SOMOS QUITO"/>
    <s v="73 BIENES Y SERVICIOS PARA INVERSIÓN"/>
    <s v="730101 Agua Potable"/>
    <s v="G/730101/1FF102"/>
    <s v="001"/>
    <n v="5200"/>
    <n v="0"/>
    <n v="0"/>
    <n v="5200"/>
    <n v="0"/>
    <n v="5200"/>
    <n v="1200.23"/>
    <n v="0"/>
    <n v="3999.77"/>
    <n v="0"/>
  </r>
  <r>
    <s v="73"/>
    <x v="2"/>
    <x v="7"/>
    <s v="ZS03F030"/>
    <x v="45"/>
    <s v="F102"/>
    <s v="PARTICIPACION CIUDADANA"/>
    <s v="GI00F10200005D"/>
    <s v="GI00F10200005D CASAS SOMOS QUITO"/>
    <s v="73 BIENES Y SERVICIOS PARA INVERSIÓN"/>
    <s v="730104 Energía Eléctrica"/>
    <s v="G/730104/1FF102"/>
    <s v="001"/>
    <n v="13119.1"/>
    <n v="0"/>
    <n v="0"/>
    <n v="13119.1"/>
    <n v="0"/>
    <n v="13119.1"/>
    <n v="8012.76"/>
    <n v="0"/>
    <n v="5106.34"/>
    <n v="0"/>
  </r>
  <r>
    <s v="73"/>
    <x v="2"/>
    <x v="7"/>
    <s v="ZS03F030"/>
    <x v="45"/>
    <s v="F102"/>
    <s v="PARTICIPACION CIUDADANA"/>
    <s v="GI00F10200005D"/>
    <s v="GI00F10200005D CASAS SOMOS QUITO"/>
    <s v="73 BIENES Y SERVICIOS PARA INVERSIÓN"/>
    <s v="730105 Telecomunicaciones"/>
    <s v="G/730105/1FF102"/>
    <s v="001"/>
    <n v="400"/>
    <n v="0"/>
    <n v="0"/>
    <n v="400"/>
    <n v="0"/>
    <n v="400"/>
    <n v="194.1"/>
    <n v="0"/>
    <n v="205.9"/>
    <n v="0"/>
  </r>
  <r>
    <s v="73"/>
    <x v="2"/>
    <x v="7"/>
    <s v="ZS03F030"/>
    <x v="45"/>
    <s v="F102"/>
    <s v="PARTICIPACION CIUDADANA"/>
    <s v="GI00F10200005D"/>
    <s v="GI00F10200005D CASAS SOMOS QUITO"/>
    <s v="73 BIENES Y SERVICIOS PARA INVERSIÓN"/>
    <s v="730203 Almacenamiento, Embalaje, Desembalaje, E"/>
    <s v="G/730203/1FF102"/>
    <s v="001"/>
    <n v="1000"/>
    <n v="0"/>
    <n v="0"/>
    <n v="1000"/>
    <n v="718.32"/>
    <n v="281.68"/>
    <n v="0"/>
    <n v="718.32"/>
    <n v="1000"/>
    <n v="0"/>
  </r>
  <r>
    <s v="73"/>
    <x v="2"/>
    <x v="7"/>
    <s v="ZD07F070"/>
    <x v="43"/>
    <s v="F102"/>
    <s v="PARTICIPACION CIUDADANA"/>
    <s v="GI00F10200005D"/>
    <s v="GI00F10200005D CASAS SOMOS QUITO"/>
    <s v="73 BIENES Y SERVICIOS PARA INVERSIÓN"/>
    <s v="730203 Almacenamiento, Embalaje, Desembalaje, E"/>
    <s v="G/730203/1FF102"/>
    <s v="001"/>
    <n v="1878.64"/>
    <n v="0"/>
    <n v="0"/>
    <n v="1878.64"/>
    <n v="0"/>
    <n v="658.84"/>
    <n v="0"/>
    <n v="1219.8"/>
    <n v="1878.64"/>
    <n v="1219.8"/>
  </r>
  <r>
    <s v="73"/>
    <x v="2"/>
    <x v="7"/>
    <s v="ZM04F040"/>
    <x v="41"/>
    <s v="F102"/>
    <s v="PARTICIPACION CIUDADANA"/>
    <s v="GI00F10200005D"/>
    <s v="GI00F10200005D CASAS SOMOS QUITO"/>
    <s v="73 BIENES Y SERVICIOS PARA INVERSIÓN"/>
    <s v="730204 Edición, Impresión, Reproducción, Public"/>
    <s v="G/730204/1FF102"/>
    <s v="001"/>
    <n v="1000"/>
    <n v="3000"/>
    <n v="-400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5D"/>
    <s v="GI00F10200005D CASAS SOMOS QUITO"/>
    <s v="73 BIENES Y SERVICIOS PARA INVERSIÓN"/>
    <s v="730204 Edición, Impresión, Reproducción, Public"/>
    <s v="G/730204/1FF102"/>
    <s v="001"/>
    <n v="2500"/>
    <n v="0"/>
    <n v="-25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5D"/>
    <s v="GI00F10200005D CASAS SOMOS QUITO"/>
    <s v="73 BIENES Y SERVICIOS PARA INVERSIÓN"/>
    <s v="730204 Edición, Impresión, Reproducción, Public"/>
    <s v="G/730204/1FF102"/>
    <s v="001"/>
    <n v="8500"/>
    <n v="0"/>
    <n v="-8500"/>
    <n v="0"/>
    <n v="0"/>
    <n v="0"/>
    <n v="0"/>
    <n v="0"/>
    <n v="0"/>
    <n v="0"/>
  </r>
  <r>
    <s v="73"/>
    <x v="2"/>
    <x v="7"/>
    <s v="ZV05F050"/>
    <x v="39"/>
    <s v="F102"/>
    <s v="PARTICIPACION CIUDADANA"/>
    <s v="GI00F10200005D"/>
    <s v="GI00F10200005D CASAS SOMOS QUITO"/>
    <s v="73 BIENES Y SERVICIOS PARA INVERSIÓN"/>
    <s v="730204 Edición, Impresión, Reproducción, Public"/>
    <s v="G/730204/1FF102"/>
    <s v="001"/>
    <n v="6500"/>
    <n v="0"/>
    <n v="-6500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5D"/>
    <s v="GI00F10200005D CASAS SOMOS QUITO"/>
    <s v="73 BIENES Y SERVICIOS PARA INVERSIÓN"/>
    <s v="730204 Edición, Impresión, Reproducción, Public"/>
    <s v="G/730204/1FF102"/>
    <s v="001"/>
    <n v="1000"/>
    <n v="-1000"/>
    <n v="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5D"/>
    <s v="GI00F10200005D CASAS SOMOS QUITO"/>
    <s v="73 BIENES Y SERVICIOS PARA INVERSIÓN"/>
    <s v="730204 Edición, Impresión, Reproducción, Public"/>
    <s v="G/730204/1FF102"/>
    <s v="001"/>
    <n v="3000"/>
    <n v="0"/>
    <n v="-3000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5D"/>
    <s v="GI00F10200005D CASAS SOMOS QUITO"/>
    <s v="73 BIENES Y SERVICIOS PARA INVERSIÓN"/>
    <s v="730204 Edición, Impresión, Reproducción, Public"/>
    <s v="G/730204/1FF102"/>
    <s v="001"/>
    <n v="1500"/>
    <n v="0"/>
    <n v="-1500"/>
    <n v="0"/>
    <n v="0"/>
    <n v="0"/>
    <n v="0"/>
    <n v="0"/>
    <n v="0"/>
    <n v="0"/>
  </r>
  <r>
    <s v="73"/>
    <x v="2"/>
    <x v="7"/>
    <s v="ZT06F060"/>
    <x v="40"/>
    <s v="F102"/>
    <s v="PARTICIPACION CIUDADANA"/>
    <s v="GI00F10200005D"/>
    <s v="GI00F10200005D CASAS SOMOS QUITO"/>
    <s v="73 BIENES Y SERVICIOS PARA INVERSIÓN"/>
    <s v="730204 Edición, Impresión, Reproducción, Public"/>
    <s v="G/730204/1FF102"/>
    <s v="001"/>
    <n v="2000"/>
    <n v="0"/>
    <n v="-200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5D"/>
    <s v="GI00F10200005D CASAS SOMOS QUITO"/>
    <s v="73 BIENES Y SERVICIOS PARA INVERSIÓN"/>
    <s v="730205 Espectáculos Culturales y Sociales"/>
    <s v="G/730205/1FF102"/>
    <s v="001"/>
    <n v="1500"/>
    <n v="0"/>
    <n v="-15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5D"/>
    <s v="GI00F10200005D CASAS SOMOS QUITO"/>
    <s v="73 BIENES Y SERVICIOS PARA INVERSIÓN"/>
    <s v="730205 Espectáculos Culturales y Sociales"/>
    <s v="G/730205/1FF102"/>
    <s v="001"/>
    <n v="7000"/>
    <n v="0"/>
    <n v="-700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5D"/>
    <s v="GI00F10200005D CASAS SOMOS QUITO"/>
    <s v="73 BIENES Y SERVICIOS PARA INVERSIÓN"/>
    <s v="730205 Espectáculos Culturales y Sociales"/>
    <s v="G/730205/1FF102"/>
    <s v="001"/>
    <n v="6000"/>
    <n v="0"/>
    <n v="-6000"/>
    <n v="0"/>
    <n v="0"/>
    <n v="0"/>
    <n v="0"/>
    <n v="0"/>
    <n v="0"/>
    <n v="0"/>
  </r>
  <r>
    <s v="73"/>
    <x v="2"/>
    <x v="7"/>
    <s v="ZT06F060"/>
    <x v="40"/>
    <s v="F102"/>
    <s v="PARTICIPACION CIUDADANA"/>
    <s v="GI00F10200005D"/>
    <s v="GI00F10200005D CASAS SOMOS QUITO"/>
    <s v="73 BIENES Y SERVICIOS PARA INVERSIÓN"/>
    <s v="730205 Espectáculos Culturales y Sociales"/>
    <s v="G/730205/1FF102"/>
    <s v="001"/>
    <n v="2000"/>
    <n v="0"/>
    <n v="-2000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5D"/>
    <s v="GI00F10200005D CASAS SOMOS QUITO"/>
    <s v="73 BIENES Y SERVICIOS PARA INVERSIÓN"/>
    <s v="730205 Espectáculos Culturales y Sociales"/>
    <s v="G/730205/1FF102"/>
    <s v="001"/>
    <n v="1000"/>
    <n v="0"/>
    <n v="-1000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5D"/>
    <s v="GI00F10200005D CASAS SOMOS QUITO"/>
    <s v="73 BIENES Y SERVICIOS PARA INVERSIÓN"/>
    <s v="730205 Espectáculos Culturales y Sociales"/>
    <s v="G/730205/1FF102"/>
    <s v="001"/>
    <n v="28000"/>
    <n v="-8553"/>
    <n v="0"/>
    <n v="19447"/>
    <n v="0"/>
    <n v="19447"/>
    <n v="19447"/>
    <n v="0"/>
    <n v="0"/>
    <n v="0"/>
  </r>
  <r>
    <s v="73"/>
    <x v="2"/>
    <x v="7"/>
    <s v="TM68F100"/>
    <x v="36"/>
    <s v="F102"/>
    <s v="PARTICIPACION CIUDADANA"/>
    <s v="GI00F10200005D"/>
    <s v="GI00F10200005D CASAS SOMOS QUITO"/>
    <s v="73 BIENES Y SERVICIOS PARA INVERSIÓN"/>
    <s v="730208 Servicio de Seguridad y Vigilancia"/>
    <s v="G/730208/1FF102"/>
    <s v="001"/>
    <n v="25000"/>
    <n v="0"/>
    <n v="-1493.44"/>
    <n v="23506.560000000001"/>
    <n v="0"/>
    <n v="14091.3"/>
    <n v="9794.4"/>
    <n v="9415.26"/>
    <n v="13712.16"/>
    <n v="9415.26"/>
  </r>
  <r>
    <s v="73"/>
    <x v="2"/>
    <x v="7"/>
    <s v="ZD07F070"/>
    <x v="43"/>
    <s v="F102"/>
    <s v="PARTICIPACION CIUDADANA"/>
    <s v="GI00F10200005D"/>
    <s v="GI00F10200005D CASAS SOMOS QUITO"/>
    <s v="73 BIENES Y SERVICIOS PARA INVERSIÓN"/>
    <s v="730208 Servicio de Seguridad y Vigilancia"/>
    <s v="G/730208/1FF102"/>
    <s v="001"/>
    <n v="0"/>
    <n v="129191.76"/>
    <n v="0"/>
    <n v="129191.76"/>
    <n v="0"/>
    <n v="128910.6"/>
    <n v="42970.2"/>
    <n v="281.16000000000003"/>
    <n v="86221.56"/>
    <n v="281.16000000000003"/>
  </r>
  <r>
    <s v="73"/>
    <x v="2"/>
    <x v="7"/>
    <s v="TM68F100"/>
    <x v="36"/>
    <s v="F102"/>
    <s v="PARTICIPACION CIUDADANA"/>
    <s v="GI00F10200005D"/>
    <s v="GI00F10200005D CASAS SOMOS QUITO"/>
    <s v="73 BIENES Y SERVICIOS PARA INVERSIÓN"/>
    <s v="730209 Servicios de Aseo, Lavado de Vestimenta"/>
    <s v="G/730209/1FF102"/>
    <s v="001"/>
    <n v="5000"/>
    <n v="-140.1"/>
    <n v="0"/>
    <n v="4859.8999999999996"/>
    <n v="92.38"/>
    <n v="2794.82"/>
    <n v="1619.96"/>
    <n v="2065.08"/>
    <n v="3239.94"/>
    <n v="1972.7"/>
  </r>
  <r>
    <s v="73"/>
    <x v="2"/>
    <x v="7"/>
    <s v="ZV05F050"/>
    <x v="39"/>
    <s v="F102"/>
    <s v="PARTICIPACION CIUDADANA"/>
    <s v="GI00F10200005D"/>
    <s v="GI00F10200005D CASAS SOMOS QUITO"/>
    <s v="73 BIENES Y SERVICIOS PARA INVERSIÓN"/>
    <s v="730235 Servicio de Alimentación"/>
    <s v="G/730235/1FF102"/>
    <s v="001"/>
    <n v="500"/>
    <n v="0"/>
    <n v="-500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5D"/>
    <s v="GI00F10200005D CASAS SOMOS QUITO"/>
    <s v="73 BIENES Y SERVICIOS PARA INVERSIÓN"/>
    <s v="730402 Edificios, Locales, Residencias y Cablea"/>
    <s v="G/730402/1FF102"/>
    <s v="001"/>
    <n v="80000"/>
    <n v="-41572"/>
    <n v="0"/>
    <n v="38428"/>
    <n v="0"/>
    <n v="38113.120000000003"/>
    <n v="30455.81"/>
    <n v="314.88"/>
    <n v="7972.19"/>
    <n v="314.88"/>
  </r>
  <r>
    <s v="73"/>
    <x v="2"/>
    <x v="7"/>
    <s v="ZQ08F080"/>
    <x v="44"/>
    <s v="F102"/>
    <s v="PARTICIPACION CIUDADANA"/>
    <s v="GI00F10200005D"/>
    <s v="GI00F10200005D CASAS SOMOS QUITO"/>
    <s v="73 BIENES Y SERVICIOS PARA INVERSIÓN"/>
    <s v="730402 Edificios, Locales, Residencias y Cablea"/>
    <s v="G/730402/1FF102"/>
    <s v="001"/>
    <n v="7500"/>
    <n v="0"/>
    <n v="-7500"/>
    <n v="0"/>
    <n v="0"/>
    <n v="0"/>
    <n v="0"/>
    <n v="0"/>
    <n v="0"/>
    <n v="0"/>
  </r>
  <r>
    <s v="73"/>
    <x v="2"/>
    <x v="7"/>
    <s v="ZV05F050"/>
    <x v="39"/>
    <s v="F102"/>
    <s v="PARTICIPACION CIUDADANA"/>
    <s v="GI00F10200005D"/>
    <s v="GI00F10200005D CASAS SOMOS QUITO"/>
    <s v="73 BIENES Y SERVICIOS PARA INVERSIÓN"/>
    <s v="730402 Edificios, Locales, Residencias y Cablea"/>
    <s v="G/730402/1FF102"/>
    <s v="001"/>
    <n v="3000"/>
    <n v="0"/>
    <n v="-30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5D"/>
    <s v="GI00F10200005D CASAS SOMOS QUITO"/>
    <s v="73 BIENES Y SERVICIOS PARA INVERSIÓN"/>
    <s v="730402 Edificios, Locales, Residencias y Cablea"/>
    <s v="G/730402/1FF102"/>
    <s v="001"/>
    <n v="10000"/>
    <n v="0"/>
    <n v="-10000"/>
    <n v="0"/>
    <n v="0"/>
    <n v="0"/>
    <n v="0"/>
    <n v="0"/>
    <n v="0"/>
    <n v="0"/>
  </r>
  <r>
    <s v="73"/>
    <x v="2"/>
    <x v="7"/>
    <s v="ZT06F060"/>
    <x v="40"/>
    <s v="F102"/>
    <s v="PARTICIPACION CIUDADANA"/>
    <s v="GI00F10200005D"/>
    <s v="GI00F10200005D CASAS SOMOS QUITO"/>
    <s v="73 BIENES Y SERVICIOS PARA INVERSIÓN"/>
    <s v="730402 Edificios, Locales, Residencias y Cablea"/>
    <s v="G/730402/1FF102"/>
    <s v="001"/>
    <n v="2000"/>
    <n v="0"/>
    <n v="-2000"/>
    <n v="0"/>
    <n v="0"/>
    <n v="0"/>
    <n v="0"/>
    <n v="0"/>
    <n v="0"/>
    <n v="0"/>
  </r>
  <r>
    <s v="73"/>
    <x v="2"/>
    <x v="7"/>
    <s v="TM68F100"/>
    <x v="36"/>
    <s v="F102"/>
    <s v="PARTICIPACION CIUDADANA"/>
    <s v="GI00F10200005D"/>
    <s v="GI00F10200005D CASAS SOMOS QUITO"/>
    <s v="73 BIENES Y SERVICIOS PARA INVERSIÓN"/>
    <s v="730402 Edificios, Locales, Residencias y Cablea"/>
    <s v="G/730402/1FF102"/>
    <s v="001"/>
    <n v="3000"/>
    <n v="14000"/>
    <n v="0"/>
    <n v="17000"/>
    <n v="2456.8000000000002"/>
    <n v="14543.2"/>
    <n v="0"/>
    <n v="2456.8000000000002"/>
    <n v="17000"/>
    <n v="0"/>
  </r>
  <r>
    <s v="73"/>
    <x v="2"/>
    <x v="7"/>
    <s v="ZM04F040"/>
    <x v="41"/>
    <s v="F102"/>
    <s v="PARTICIPACION CIUDADANA"/>
    <s v="GI00F10200005D"/>
    <s v="GI00F10200005D CASAS SOMOS QUITO"/>
    <s v="73 BIENES Y SERVICIOS PARA INVERSIÓN"/>
    <s v="730402 Edificios, Locales, Residencias y Cablea"/>
    <s v="G/730402/1FF102"/>
    <s v="001"/>
    <n v="52000"/>
    <n v="0"/>
    <n v="-52000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5D"/>
    <s v="GI00F10200005D CASAS SOMOS QUITO"/>
    <s v="73 BIENES Y SERVICIOS PARA INVERSIÓN"/>
    <s v="730402 Edificios, Locales, Residencias y Cablea"/>
    <s v="G/730402/1FF102"/>
    <s v="001"/>
    <n v="6400"/>
    <n v="0"/>
    <n v="-640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5D"/>
    <s v="GI00F10200005D CASAS SOMOS QUITO"/>
    <s v="73 BIENES Y SERVICIOS PARA INVERSIÓN"/>
    <s v="730402 Edificios, Locales, Residencias y Cablea"/>
    <s v="G/730402/1FF102"/>
    <s v="001"/>
    <n v="6000"/>
    <n v="13080.9"/>
    <n v="0"/>
    <n v="19080.900000000001"/>
    <n v="19080.900000000001"/>
    <n v="0"/>
    <n v="0"/>
    <n v="19080.900000000001"/>
    <n v="19080.900000000001"/>
    <n v="0"/>
  </r>
  <r>
    <s v="73"/>
    <x v="2"/>
    <x v="7"/>
    <s v="ZD07F070"/>
    <x v="43"/>
    <s v="F102"/>
    <s v="PARTICIPACION CIUDADANA"/>
    <s v="GI00F10200005D"/>
    <s v="GI00F10200005D CASAS SOMOS QUITO"/>
    <s v="73 BIENES Y SERVICIOS PARA INVERSIÓN"/>
    <s v="730403 Mobiliarios (Instalación, Mantenimiento"/>
    <s v="G/730403/1FF102"/>
    <s v="001"/>
    <n v="20000"/>
    <n v="-20000"/>
    <n v="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5D"/>
    <s v="GI00F10200005D CASAS SOMOS QUITO"/>
    <s v="73 BIENES Y SERVICIOS PARA INVERSIÓN"/>
    <s v="730404 Maquinarias y Equipos (Instalación, Mant"/>
    <s v="G/730404/1FF102"/>
    <s v="001"/>
    <n v="1500"/>
    <n v="0"/>
    <n v="-1500"/>
    <n v="0"/>
    <n v="0"/>
    <n v="0"/>
    <n v="0"/>
    <n v="0"/>
    <n v="0"/>
    <n v="0"/>
  </r>
  <r>
    <s v="73"/>
    <x v="2"/>
    <x v="7"/>
    <s v="ZT06F060"/>
    <x v="40"/>
    <s v="F102"/>
    <s v="PARTICIPACION CIUDADANA"/>
    <s v="GI00F10200005D"/>
    <s v="GI00F10200005D CASAS SOMOS QUITO"/>
    <s v="73 BIENES Y SERVICIOS PARA INVERSIÓN"/>
    <s v="730404 Maquinarias y Equipos (Instalación, Mant"/>
    <s v="G/730404/1FF102"/>
    <s v="001"/>
    <n v="2000"/>
    <n v="0"/>
    <n v="-20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5D"/>
    <s v="GI00F10200005D CASAS SOMOS QUITO"/>
    <s v="73 BIENES Y SERVICIOS PARA INVERSIÓN"/>
    <s v="730404 Maquinarias y Equipos (Instalación, Mant"/>
    <s v="G/730404/1FF102"/>
    <s v="001"/>
    <n v="844"/>
    <n v="0"/>
    <n v="-844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5D"/>
    <s v="GI00F10200005D CASAS SOMOS QUITO"/>
    <s v="73 BIENES Y SERVICIOS PARA INVERSIÓN"/>
    <s v="730505 Vehículos (Arrendamiento)"/>
    <s v="G/730505/1FF102"/>
    <s v="001"/>
    <n v="800"/>
    <n v="0"/>
    <n v="-800"/>
    <n v="0"/>
    <n v="0"/>
    <n v="0"/>
    <n v="0"/>
    <n v="0"/>
    <n v="0"/>
    <n v="0"/>
  </r>
  <r>
    <s v="73"/>
    <x v="2"/>
    <x v="7"/>
    <s v="ZV05F050"/>
    <x v="39"/>
    <s v="F102"/>
    <s v="PARTICIPACION CIUDADANA"/>
    <s v="GI00F10200005D"/>
    <s v="GI00F10200005D CASAS SOMOS QUITO"/>
    <s v="73 BIENES Y SERVICIOS PARA INVERSIÓN"/>
    <s v="730606 Honorarios por Contratos Civiles de Servici"/>
    <s v="G/730606/1FF102"/>
    <s v="001"/>
    <n v="100845.48"/>
    <n v="0"/>
    <n v="-100845.48"/>
    <n v="0"/>
    <n v="0"/>
    <n v="0"/>
    <n v="0"/>
    <n v="0"/>
    <n v="0"/>
    <n v="0"/>
  </r>
  <r>
    <s v="73"/>
    <x v="2"/>
    <x v="7"/>
    <s v="ZA01F000"/>
    <x v="25"/>
    <s v="F102"/>
    <s v="PARTICIPACION CIUDADANA"/>
    <s v="GI00F10200005D"/>
    <s v="GI00F10200005D CASAS SOMOS QUITO"/>
    <s v="73 BIENES Y SERVICIOS PARA INVERSIÓN"/>
    <s v="730606 Honorarios por Contratos Civiles de Servici"/>
    <s v="G/730606/1FF102"/>
    <s v="001"/>
    <n v="38845.800000000003"/>
    <n v="-9237.36"/>
    <n v="-29608.44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5D"/>
    <s v="GI00F10200005D CASAS SOMOS QUITO"/>
    <s v="73 BIENES Y SERVICIOS PARA INVERSIÓN"/>
    <s v="730613 Capacitación para la Ciudadanía en Gener"/>
    <s v="G/730613/1FF102"/>
    <s v="001"/>
    <n v="17000"/>
    <n v="-17000"/>
    <n v="0"/>
    <n v="0"/>
    <n v="0"/>
    <n v="0"/>
    <n v="0"/>
    <n v="0"/>
    <n v="0"/>
    <n v="0"/>
  </r>
  <r>
    <s v="73"/>
    <x v="2"/>
    <x v="7"/>
    <s v="ZV05F050"/>
    <x v="39"/>
    <s v="F102"/>
    <s v="PARTICIPACION CIUDADANA"/>
    <s v="GI00F10200005D"/>
    <s v="GI00F10200005D CASAS SOMOS QUITO"/>
    <s v="73 BIENES Y SERVICIOS PARA INVERSIÓN"/>
    <s v="730613 Capacitación para la Ciudadanía en Gener"/>
    <s v="G/730613/1FF102"/>
    <s v="001"/>
    <n v="25000"/>
    <n v="0"/>
    <n v="-2500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5D"/>
    <s v="GI00F10200005D CASAS SOMOS QUITO"/>
    <s v="73 BIENES Y SERVICIOS PARA INVERSIÓN"/>
    <s v="730613 Capacitación para la Ciudadanía en Gener"/>
    <s v="G/730613/1FF102"/>
    <s v="001"/>
    <n v="40000"/>
    <n v="0"/>
    <n v="-32160"/>
    <n v="7840"/>
    <n v="0"/>
    <n v="7840"/>
    <n v="7840"/>
    <n v="0"/>
    <n v="0"/>
    <n v="0"/>
  </r>
  <r>
    <s v="73"/>
    <x v="2"/>
    <x v="7"/>
    <s v="ZA01F000"/>
    <x v="25"/>
    <s v="F102"/>
    <s v="PARTICIPACION CIUDADANA"/>
    <s v="GI00F10200005D"/>
    <s v="GI00F10200005D CASAS SOMOS QUITO"/>
    <s v="73 BIENES Y SERVICIOS PARA INVERSIÓN"/>
    <s v="730613 Capacitación para la Ciudadanía en Gener"/>
    <s v="G/730613/1FF102"/>
    <s v="001"/>
    <n v="3456"/>
    <n v="0"/>
    <n v="0"/>
    <n v="3456"/>
    <n v="0"/>
    <n v="0"/>
    <n v="0"/>
    <n v="3456"/>
    <n v="3456"/>
    <n v="3456"/>
  </r>
  <r>
    <s v="73"/>
    <x v="2"/>
    <x v="7"/>
    <s v="ZQ08F080"/>
    <x v="44"/>
    <s v="F102"/>
    <s v="PARTICIPACION CIUDADANA"/>
    <s v="GI00F10200005D"/>
    <s v="GI00F10200005D CASAS SOMOS QUITO"/>
    <s v="73 BIENES Y SERVICIOS PARA INVERSIÓN"/>
    <s v="730613 Capacitación para la Ciudadanía en Gener"/>
    <s v="G/730613/1FF102"/>
    <s v="001"/>
    <n v="11100"/>
    <n v="0"/>
    <n v="-11100"/>
    <n v="0"/>
    <n v="0"/>
    <n v="0"/>
    <n v="0"/>
    <n v="0"/>
    <n v="0"/>
    <n v="0"/>
  </r>
  <r>
    <s v="73"/>
    <x v="2"/>
    <x v="7"/>
    <s v="ZT06F060"/>
    <x v="40"/>
    <s v="F102"/>
    <s v="PARTICIPACION CIUDADANA"/>
    <s v="GI00F10200005D"/>
    <s v="GI00F10200005D CASAS SOMOS QUITO"/>
    <s v="73 BIENES Y SERVICIOS PARA INVERSIÓN"/>
    <s v="730613 Capacitación para la Ciudadanía en Gener"/>
    <s v="G/730613/1FF102"/>
    <s v="001"/>
    <n v="16000"/>
    <n v="0"/>
    <n v="-160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5D"/>
    <s v="GI00F10200005D CASAS SOMOS QUITO"/>
    <s v="73 BIENES Y SERVICIOS PARA INVERSIÓN"/>
    <s v="730613 Capacitación para la Ciudadanía en Gener"/>
    <s v="G/730613/1FF102"/>
    <s v="001"/>
    <n v="27000"/>
    <n v="0"/>
    <n v="-27000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5D"/>
    <s v="GI00F10200005D CASAS SOMOS QUITO"/>
    <s v="73 BIENES Y SERVICIOS PARA INVERSIÓN"/>
    <s v="730613 Capacitación para la Ciudadanía en Gener"/>
    <s v="G/730613/1FF102"/>
    <s v="001"/>
    <n v="9000"/>
    <n v="0"/>
    <n v="-9000"/>
    <n v="0"/>
    <n v="0"/>
    <n v="0"/>
    <n v="0"/>
    <n v="0"/>
    <n v="0"/>
    <n v="0"/>
  </r>
  <r>
    <s v="73"/>
    <x v="2"/>
    <x v="7"/>
    <s v="TM68F100"/>
    <x v="36"/>
    <s v="F102"/>
    <s v="PARTICIPACION CIUDADANA"/>
    <s v="GI00F10200005D"/>
    <s v="GI00F10200005D CASAS SOMOS QUITO"/>
    <s v="73 BIENES Y SERVICIOS PARA INVERSIÓN"/>
    <s v="730613 Capacitación para la Ciudadanía en Gener"/>
    <s v="G/730613/1FF102"/>
    <s v="001"/>
    <n v="7500"/>
    <n v="-2090.4"/>
    <n v="0"/>
    <n v="5409.6"/>
    <n v="0"/>
    <n v="5409.6"/>
    <n v="0"/>
    <n v="0"/>
    <n v="5409.6"/>
    <n v="0"/>
  </r>
  <r>
    <s v="73"/>
    <x v="2"/>
    <x v="7"/>
    <s v="ZM04F040"/>
    <x v="41"/>
    <s v="F102"/>
    <s v="PARTICIPACION CIUDADANA"/>
    <s v="GI00F10200005D"/>
    <s v="GI00F10200005D CASAS SOMOS QUITO"/>
    <s v="73 BIENES Y SERVICIOS PARA INVERSIÓN"/>
    <s v="730613 Capacitación para la Ciudadanía en Gener"/>
    <s v="G/730613/1FF102"/>
    <s v="001"/>
    <n v="4000"/>
    <n v="0"/>
    <n v="-400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5D"/>
    <s v="GI00F10200005D CASAS SOMOS QUITO"/>
    <s v="73 BIENES Y SERVICIOS PARA INVERSIÓN"/>
    <s v="730704 Mantenimiento y Reparación de Equipos y"/>
    <s v="G/730704/1FF102"/>
    <s v="001"/>
    <n v="2000"/>
    <n v="0"/>
    <n v="-2000"/>
    <n v="0"/>
    <n v="0"/>
    <n v="0"/>
    <n v="0"/>
    <n v="0"/>
    <n v="0"/>
    <n v="0"/>
  </r>
  <r>
    <s v="73"/>
    <x v="2"/>
    <x v="7"/>
    <s v="ZT06F060"/>
    <x v="40"/>
    <s v="F102"/>
    <s v="PARTICIPACION CIUDADANA"/>
    <s v="GI00F10200005D"/>
    <s v="GI00F10200005D CASAS SOMOS QUITO"/>
    <s v="73 BIENES Y SERVICIOS PARA INVERSIÓN"/>
    <s v="730804 Materiales de Oficina"/>
    <s v="G/730804/1FF102"/>
    <s v="001"/>
    <n v="1000"/>
    <n v="0"/>
    <n v="-1000"/>
    <n v="0"/>
    <n v="0"/>
    <n v="0"/>
    <n v="0"/>
    <n v="0"/>
    <n v="0"/>
    <n v="0"/>
  </r>
  <r>
    <s v="73"/>
    <x v="2"/>
    <x v="7"/>
    <s v="ZM04F040"/>
    <x v="41"/>
    <s v="F102"/>
    <s v="PARTICIPACION CIUDADANA"/>
    <s v="GI00F10200005D"/>
    <s v="GI00F10200005D CASAS SOMOS QUITO"/>
    <s v="73 BIENES Y SERVICIOS PARA INVERSIÓN"/>
    <s v="730804 Materiales de Oficina"/>
    <s v="G/730804/1FF102"/>
    <s v="001"/>
    <n v="500"/>
    <n v="-500"/>
    <n v="0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5D"/>
    <s v="GI00F10200005D CASAS SOMOS QUITO"/>
    <s v="73 BIENES Y SERVICIOS PARA INVERSIÓN"/>
    <s v="730804 Materiales de Oficina"/>
    <s v="G/730804/1FF102"/>
    <s v="001"/>
    <n v="300"/>
    <n v="0"/>
    <n v="-300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5D"/>
    <s v="GI00F10200005D CASAS SOMOS QUITO"/>
    <s v="73 BIENES Y SERVICIOS PARA INVERSIÓN"/>
    <s v="730804 Materiales de Oficina"/>
    <s v="G/730804/1FF102"/>
    <s v="001"/>
    <n v="626.88"/>
    <n v="-626.88"/>
    <n v="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5D"/>
    <s v="GI00F10200005D CASAS SOMOS QUITO"/>
    <s v="73 BIENES Y SERVICIOS PARA INVERSIÓN"/>
    <s v="730804 Materiales de Oficina"/>
    <s v="G/730804/1FF102"/>
    <s v="001"/>
    <n v="600"/>
    <n v="0"/>
    <n v="-600"/>
    <n v="0"/>
    <n v="0"/>
    <n v="0"/>
    <n v="0"/>
    <n v="0"/>
    <n v="0"/>
    <n v="0"/>
  </r>
  <r>
    <s v="73"/>
    <x v="2"/>
    <x v="7"/>
    <s v="TM68F100"/>
    <x v="36"/>
    <s v="F102"/>
    <s v="PARTICIPACION CIUDADANA"/>
    <s v="GI00F10200005D"/>
    <s v="GI00F10200005D CASAS SOMOS QUITO"/>
    <s v="73 BIENES Y SERVICIOS PARA INVERSIÓN"/>
    <s v="730804 Materiales de Oficina"/>
    <s v="G/730804/1FF102"/>
    <s v="001"/>
    <n v="639.20000000000005"/>
    <n v="-295.27999999999997"/>
    <n v="0"/>
    <n v="343.92"/>
    <n v="81.010000000000005"/>
    <n v="262.91000000000003"/>
    <n v="77.67"/>
    <n v="81.010000000000005"/>
    <n v="266.25"/>
    <n v="0"/>
  </r>
  <r>
    <s v="73"/>
    <x v="2"/>
    <x v="7"/>
    <s v="ZS03F030"/>
    <x v="45"/>
    <s v="F102"/>
    <s v="PARTICIPACION CIUDADANA"/>
    <s v="GI00F10200005D"/>
    <s v="GI00F10200005D CASAS SOMOS QUITO"/>
    <s v="73 BIENES Y SERVICIOS PARA INVERSIÓN"/>
    <s v="730804 Materiales de Oficina"/>
    <s v="G/730804/1FF102"/>
    <s v="001"/>
    <n v="2000"/>
    <n v="0"/>
    <n v="0"/>
    <n v="2000"/>
    <n v="498.48"/>
    <n v="1501.52"/>
    <n v="1501.52"/>
    <n v="498.48"/>
    <n v="498.48"/>
    <n v="0"/>
  </r>
  <r>
    <s v="73"/>
    <x v="2"/>
    <x v="7"/>
    <s v="ZV05F050"/>
    <x v="39"/>
    <s v="F102"/>
    <s v="PARTICIPACION CIUDADANA"/>
    <s v="GI00F10200005D"/>
    <s v="GI00F10200005D CASAS SOMOS QUITO"/>
    <s v="73 BIENES Y SERVICIOS PARA INVERSIÓN"/>
    <s v="730804 Materiales de Oficina"/>
    <s v="G/730804/1FF102"/>
    <s v="001"/>
    <n v="1000"/>
    <n v="0"/>
    <n v="-1000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5D"/>
    <s v="GI00F10200005D CASAS SOMOS QUITO"/>
    <s v="73 BIENES Y SERVICIOS PARA INVERSIÓN"/>
    <s v="730807 Materiales de Impresión, Fotografía, Rep"/>
    <s v="G/730807/1FF102"/>
    <s v="001"/>
    <n v="300"/>
    <n v="0"/>
    <n v="-30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5D"/>
    <s v="GI00F10200005D CASAS SOMOS QUITO"/>
    <s v="73 BIENES Y SERVICIOS PARA INVERSIÓN"/>
    <s v="730807 Materiales de Impresión, Fotografía, Rep"/>
    <s v="G/730807/1FF102"/>
    <s v="001"/>
    <n v="3000"/>
    <n v="0"/>
    <n v="-3000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5D"/>
    <s v="GI00F10200005D CASAS SOMOS QUITO"/>
    <s v="73 BIENES Y SERVICIOS PARA INVERSIÓN"/>
    <s v="730807 Materiales de Impresión, Fotografía, Rep"/>
    <s v="G/730807/1FF102"/>
    <s v="001"/>
    <n v="10000"/>
    <n v="-10000"/>
    <n v="0"/>
    <n v="0"/>
    <n v="0"/>
    <n v="0"/>
    <n v="0"/>
    <n v="0"/>
    <n v="0"/>
    <n v="0"/>
  </r>
  <r>
    <s v="73"/>
    <x v="2"/>
    <x v="7"/>
    <s v="ZT06F060"/>
    <x v="40"/>
    <s v="F102"/>
    <s v="PARTICIPACION CIUDADANA"/>
    <s v="GI00F10200005D"/>
    <s v="GI00F10200005D CASAS SOMOS QUITO"/>
    <s v="73 BIENES Y SERVICIOS PARA INVERSIÓN"/>
    <s v="730807 Materiales de Impresión, Fotografía, Rep"/>
    <s v="G/730807/1FF102"/>
    <s v="001"/>
    <n v="4000"/>
    <n v="0"/>
    <n v="-400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5D"/>
    <s v="GI00F10200005D CASAS SOMOS QUITO"/>
    <s v="73 BIENES Y SERVICIOS PARA INVERSIÓN"/>
    <s v="730811 Insumos, Materiales y Suministros para Cons"/>
    <s v="G/730811/1FF102"/>
    <s v="001"/>
    <n v="2000"/>
    <n v="0"/>
    <n v="0"/>
    <n v="2000"/>
    <n v="19.82"/>
    <n v="1980.18"/>
    <n v="0"/>
    <n v="19.82"/>
    <n v="2000"/>
    <n v="0"/>
  </r>
  <r>
    <s v="73"/>
    <x v="2"/>
    <x v="7"/>
    <s v="ZS03F030"/>
    <x v="45"/>
    <s v="F102"/>
    <s v="PARTICIPACION CIUDADANA"/>
    <s v="GI00F10200005D"/>
    <s v="GI00F10200005D CASAS SOMOS QUITO"/>
    <s v="73 BIENES Y SERVICIOS PARA INVERSIÓN"/>
    <s v="730812 Materiales Didácticos"/>
    <s v="G/730812/1FF102"/>
    <s v="001"/>
    <n v="400"/>
    <n v="0"/>
    <n v="-400"/>
    <n v="0"/>
    <n v="0"/>
    <n v="0"/>
    <n v="0"/>
    <n v="0"/>
    <n v="0"/>
    <n v="0"/>
  </r>
  <r>
    <s v="73"/>
    <x v="2"/>
    <x v="7"/>
    <s v="ZM04F040"/>
    <x v="41"/>
    <s v="F102"/>
    <s v="PARTICIPACION CIUDADANA"/>
    <s v="GI00F10200005D"/>
    <s v="GI00F10200005D CASAS SOMOS QUITO"/>
    <s v="73 BIENES Y SERVICIOS PARA INVERSIÓN"/>
    <s v="730812 Materiales Didácticos"/>
    <s v="G/730812/1FF102"/>
    <s v="001"/>
    <n v="1000"/>
    <n v="-1000"/>
    <n v="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5D"/>
    <s v="GI00F10200005D CASAS SOMOS QUITO"/>
    <s v="73 BIENES Y SERVICIOS PARA INVERSIÓN"/>
    <s v="730812 Materiales Didácticos"/>
    <s v="G/730812/1FF102"/>
    <s v="001"/>
    <n v="1000"/>
    <n v="0"/>
    <n v="-10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5D"/>
    <s v="GI00F10200005D CASAS SOMOS QUITO"/>
    <s v="73 BIENES Y SERVICIOS PARA INVERSIÓN"/>
    <s v="730812 Materiales Didácticos"/>
    <s v="G/730812/1FF102"/>
    <s v="001"/>
    <n v="15000"/>
    <n v="0"/>
    <n v="-1500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5D"/>
    <s v="GI00F10200005D CASAS SOMOS QUITO"/>
    <s v="73 BIENES Y SERVICIOS PARA INVERSIÓN"/>
    <s v="730820 Menaje y Accesorios Descartables"/>
    <s v="G/730820/1FF102"/>
    <s v="001"/>
    <n v="2000"/>
    <n v="-2000"/>
    <n v="0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5D"/>
    <s v="GI00F10200005D CASAS SOMOS QUITO"/>
    <s v="73 BIENES Y SERVICIOS PARA INVERSIÓN"/>
    <s v="730820 Menaje y Accesorios Descartables"/>
    <s v="G/730820/1FF102"/>
    <s v="001"/>
    <n v="1000"/>
    <n v="-1000"/>
    <n v="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5D"/>
    <s v="GI00F10200005D CASAS SOMOS QUITO"/>
    <s v="73 BIENES Y SERVICIOS PARA INVERSIÓN"/>
    <s v="730820 Menaje y Accesorios Descartables"/>
    <s v="G/730820/1FF102"/>
    <s v="001"/>
    <n v="1500"/>
    <n v="0"/>
    <n v="-150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5D"/>
    <s v="GI00F10200005D CASAS SOMOS QUITO"/>
    <s v="73 BIENES Y SERVICIOS PARA INVERSIÓN"/>
    <s v="731403 Mobiliarios"/>
    <s v="G/731403/1FF102"/>
    <s v="001"/>
    <n v="2000"/>
    <n v="0"/>
    <n v="-2000"/>
    <n v="0"/>
    <n v="0"/>
    <n v="0"/>
    <n v="0"/>
    <n v="0"/>
    <n v="0"/>
    <n v="0"/>
  </r>
  <r>
    <s v="73"/>
    <x v="2"/>
    <x v="7"/>
    <s v="TM68F100"/>
    <x v="36"/>
    <s v="F102"/>
    <s v="PARTICIPACION CIUDADANA"/>
    <s v="GI00F10200005D"/>
    <s v="GI00F10200005D CASAS SOMOS QUITO"/>
    <s v="73 BIENES Y SERVICIOS PARA INVERSIÓN"/>
    <s v="731403 Mobiliarios"/>
    <s v="G/731403/1FF102"/>
    <s v="001"/>
    <n v="0"/>
    <n v="295.27999999999997"/>
    <n v="0"/>
    <n v="295.27999999999997"/>
    <n v="0"/>
    <n v="295.27999999999997"/>
    <n v="295.27999999999997"/>
    <n v="0"/>
    <n v="0"/>
    <n v="0"/>
  </r>
  <r>
    <s v="73"/>
    <x v="2"/>
    <x v="7"/>
    <s v="ZM04F040"/>
    <x v="41"/>
    <s v="F102"/>
    <s v="PARTICIPACION CIUDADANA"/>
    <s v="GI00F10200005D"/>
    <s v="GI00F10200005D CASAS SOMOS QUITO"/>
    <s v="73 BIENES Y SERVICIOS PARA INVERSIÓN"/>
    <s v="731406 Herramientas y equipos menores"/>
    <s v="G/731406/1FF102"/>
    <s v="001"/>
    <n v="300"/>
    <n v="-300"/>
    <n v="0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5D"/>
    <s v="GI00F10200005D CASAS SOMOS QUITO"/>
    <s v="73 BIENES Y SERVICIOS PARA INVERSIÓN"/>
    <s v="731408 Bienes Artísticos, Culturales, Bienes De"/>
    <s v="G/731408/1FF102"/>
    <s v="001"/>
    <n v="2000"/>
    <n v="-2000"/>
    <n v="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6D"/>
    <s v="GI00F10200006D INFRAESTRUCTURA COMUNITARIA"/>
    <s v="73 BIENES Y SERVICIOS PARA INVERSIÓN"/>
    <s v="730205 Espectáculos Culturales y Sociales"/>
    <s v="G/730205/1FF102"/>
    <s v="001"/>
    <n v="45000"/>
    <n v="-44978.11"/>
    <n v="-21.89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6D"/>
    <s v="GI00F10200006D INFRAESTRUCTURA COMUNITARIA"/>
    <s v="73 BIENES Y SERVICIOS PARA INVERSIÓN"/>
    <s v="730237 Remediación, Restauración y Descontaminació"/>
    <s v="G/730237/1FF102"/>
    <s v="001"/>
    <n v="65719.990000000005"/>
    <n v="0"/>
    <n v="-65719.990000000005"/>
    <n v="0"/>
    <n v="0"/>
    <n v="0"/>
    <n v="0"/>
    <n v="0"/>
    <n v="0"/>
    <n v="0"/>
  </r>
  <r>
    <s v="73"/>
    <x v="2"/>
    <x v="7"/>
    <s v="ZV05F050"/>
    <x v="39"/>
    <s v="F102"/>
    <s v="PARTICIPACION CIUDADANA"/>
    <s v="GI00F10200006D"/>
    <s v="GI00F10200006D INFRAESTRUCTURA COMUNITARIA"/>
    <s v="73 BIENES Y SERVICIOS PARA INVERSIÓN"/>
    <s v="730417 Infraestructura"/>
    <s v="G/730417/1FF102"/>
    <s v="001"/>
    <n v="100000"/>
    <n v="-100000"/>
    <n v="0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6D"/>
    <s v="GI00F10200006D INFRAESTRUCTURA COMUNITARIA"/>
    <s v="73 BIENES Y SERVICIOS PARA INVERSIÓN"/>
    <s v="730418 Mantenimiento de Áreas Verdes y Arreglo"/>
    <s v="G/730418/1FF102"/>
    <s v="001"/>
    <n v="55000"/>
    <n v="0"/>
    <n v="-39117.279999999999"/>
    <n v="15882.72"/>
    <n v="5421.17"/>
    <n v="7930.72"/>
    <n v="7930.72"/>
    <n v="7952"/>
    <n v="7952"/>
    <n v="2530.83"/>
  </r>
  <r>
    <s v="73"/>
    <x v="2"/>
    <x v="7"/>
    <s v="ZQ08F080"/>
    <x v="44"/>
    <s v="F102"/>
    <s v="PARTICIPACION CIUDADANA"/>
    <s v="GI00F10200006D"/>
    <s v="GI00F10200006D INFRAESTRUCTURA COMUNITARIA"/>
    <s v="73 BIENES Y SERVICIOS PARA INVERSIÓN"/>
    <s v="730418 Mantenimiento de Áreas Verdes y Arreglo"/>
    <s v="G/730418/1FF102"/>
    <s v="001"/>
    <n v="60000"/>
    <n v="0"/>
    <n v="-6000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6D"/>
    <s v="GI00F10200006D INFRAESTRUCTURA COMUNITARIA"/>
    <s v="73 BIENES Y SERVICIOS PARA INVERSIÓN"/>
    <s v="730504 Maquinarias y Equipos (Arrendamiento)"/>
    <s v="G/730504/1FF102"/>
    <s v="001"/>
    <n v="100000"/>
    <n v="0"/>
    <n v="0"/>
    <n v="100000"/>
    <n v="4034"/>
    <n v="95966"/>
    <n v="0"/>
    <n v="4034"/>
    <n v="100000"/>
    <n v="0"/>
  </r>
  <r>
    <s v="73"/>
    <x v="2"/>
    <x v="7"/>
    <s v="ZS03F030"/>
    <x v="45"/>
    <s v="F102"/>
    <s v="PARTICIPACION CIUDADANA"/>
    <s v="GI00F10200006D"/>
    <s v="GI00F10200006D INFRAESTRUCTURA COMUNITARIA"/>
    <s v="73 BIENES Y SERVICIOS PARA INVERSIÓN"/>
    <s v="730601 Consultoría, Asesoría e Investigación Es"/>
    <s v="G/730601/1FF102"/>
    <s v="001"/>
    <n v="20000"/>
    <n v="4757.49"/>
    <n v="-20000"/>
    <n v="4757.49"/>
    <n v="0"/>
    <n v="4757.49"/>
    <n v="4757.49"/>
    <n v="0"/>
    <n v="0"/>
    <n v="0"/>
  </r>
  <r>
    <s v="73"/>
    <x v="2"/>
    <x v="7"/>
    <s v="ZS03F030"/>
    <x v="45"/>
    <s v="F102"/>
    <s v="PARTICIPACION CIUDADANA"/>
    <s v="GI00F10200006D"/>
    <s v="GI00F10200006D INFRAESTRUCTURA COMUNITARIA"/>
    <s v="73 BIENES Y SERVICIOS PARA INVERSIÓN"/>
    <s v="730604 Fiscalización e Inspecciones Técnicas"/>
    <s v="G/730604/1FF102"/>
    <s v="001"/>
    <n v="0"/>
    <n v="11500"/>
    <n v="-115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6D"/>
    <s v="GI00F10200006D INFRAESTRUCTURA COMUNITARIA"/>
    <s v="73 BIENES Y SERVICIOS PARA INVERSIÓN"/>
    <s v="730605 Estudio y Diseño de Proyectos"/>
    <s v="G/730605/1FF102"/>
    <s v="001"/>
    <n v="25300"/>
    <n v="-8678.08"/>
    <n v="-16621.919999999998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6D"/>
    <s v="GI00F10200006D INFRAESTRUCTURA COMUNITARIA"/>
    <s v="73 BIENES Y SERVICIOS PARA INVERSIÓN"/>
    <s v="730605 Estudio y Diseño de Proyectos"/>
    <s v="G/730605/1FF102"/>
    <s v="001"/>
    <n v="20000"/>
    <n v="10371.459999999999"/>
    <n v="-30371.46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6D"/>
    <s v="GI00F10200006D INFRAESTRUCTURA COMUNITARIA"/>
    <s v="73 BIENES Y SERVICIOS PARA INVERSIÓN"/>
    <s v="730606 Honorarios por Contratos Civiles de Servici"/>
    <s v="G/730606/1FF102"/>
    <s v="001"/>
    <n v="47100"/>
    <n v="0"/>
    <n v="-28260"/>
    <n v="18840"/>
    <n v="0"/>
    <n v="0"/>
    <n v="0"/>
    <n v="18840"/>
    <n v="18840"/>
    <n v="18840"/>
  </r>
  <r>
    <s v="73"/>
    <x v="2"/>
    <x v="7"/>
    <s v="ZV05F050"/>
    <x v="39"/>
    <s v="F102"/>
    <s v="PARTICIPACION CIUDADANA"/>
    <s v="GI00F10200006D"/>
    <s v="GI00F10200006D INFRAESTRUCTURA COMUNITARIA"/>
    <s v="73 BIENES Y SERVICIOS PARA INVERSIÓN"/>
    <s v="730811 Insumos, Materiales y Suministros para Cons"/>
    <s v="G/730811/1FF102"/>
    <s v="001"/>
    <n v="11000"/>
    <n v="35000"/>
    <n v="0"/>
    <n v="46000"/>
    <n v="6977.81"/>
    <n v="32716"/>
    <n v="32716"/>
    <n v="13284"/>
    <n v="13284"/>
    <n v="6306.19"/>
  </r>
  <r>
    <s v="73"/>
    <x v="2"/>
    <x v="7"/>
    <s v="ZS03F030"/>
    <x v="45"/>
    <s v="F102"/>
    <s v="PARTICIPACION CIUDADANA"/>
    <s v="GI00F10200006D"/>
    <s v="GI00F10200006D INFRAESTRUCTURA COMUNITARIA"/>
    <s v="73 BIENES Y SERVICIOS PARA INVERSIÓN"/>
    <s v="730811 Insumos, Materiales y Suministros para Cons"/>
    <s v="G/730811/1FF102"/>
    <s v="001"/>
    <n v="30000"/>
    <n v="0"/>
    <n v="0"/>
    <n v="30000"/>
    <n v="8938.6299999999992"/>
    <n v="21061.37"/>
    <n v="0"/>
    <n v="8938.6299999999992"/>
    <n v="30000"/>
    <n v="0"/>
  </r>
  <r>
    <s v="73"/>
    <x v="2"/>
    <x v="7"/>
    <s v="ZD07F070"/>
    <x v="43"/>
    <s v="F102"/>
    <s v="PARTICIPACION CIUDADANA"/>
    <s v="GI00F10200006D"/>
    <s v="GI00F10200006D INFRAESTRUCTURA COMUNITARIA"/>
    <s v="73 BIENES Y SERVICIOS PARA INVERSIÓN"/>
    <s v="730811 Insumos, Materiales y Suministros para Cons"/>
    <s v="G/730811/1FF102"/>
    <s v="001"/>
    <n v="20000"/>
    <n v="0"/>
    <n v="-200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7D"/>
    <s v="GI00F10200007D COLONIAS VACACIONALES RECREANDO QUITO"/>
    <s v="73 BIENES Y SERVICIOS PARA INVERSIÓN"/>
    <s v="730204 Edición, Impresión, Reproducción, Public"/>
    <s v="G/730204/1FF102"/>
    <s v="001"/>
    <n v="3500"/>
    <n v="0"/>
    <n v="-3500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7D"/>
    <s v="GI00F10200007D COLONIAS VACACIONALES RECREANDO QUITO"/>
    <s v="73 BIENES Y SERVICIOS PARA INVERSIÓN"/>
    <s v="730204 Edición, Impresión, Reproducción, Public"/>
    <s v="G/730204/1FF102"/>
    <s v="001"/>
    <n v="2500"/>
    <n v="0"/>
    <n v="-250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7D"/>
    <s v="GI00F10200007D COLONIAS VACACIONALES RECREANDO QUITO"/>
    <s v="73 BIENES Y SERVICIOS PARA INVERSIÓN"/>
    <s v="730205 Espectáculos Culturales y Sociales"/>
    <s v="G/730205/1FF102"/>
    <s v="001"/>
    <n v="5000"/>
    <n v="0"/>
    <n v="-5000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7D"/>
    <s v="GI00F10200007D COLONIAS VACACIONALES RECREANDO QUITO"/>
    <s v="73 BIENES Y SERVICIOS PARA INVERSIÓN"/>
    <s v="730205 Espectáculos Culturales y Sociales"/>
    <s v="G/730205/1FF102"/>
    <s v="001"/>
    <n v="1360"/>
    <n v="0"/>
    <n v="-136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7D"/>
    <s v="GI00F10200007D COLONIAS VACACIONALES RECREANDO QUITO"/>
    <s v="73 BIENES Y SERVICIOS PARA INVERSIÓN"/>
    <s v="730205 Espectáculos Culturales y Sociales"/>
    <s v="G/730205/1FF102"/>
    <s v="001"/>
    <n v="10000"/>
    <n v="0"/>
    <n v="-10000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7D"/>
    <s v="GI00F10200007D COLONIAS VACACIONALES RECREANDO QUITO"/>
    <s v="73 BIENES Y SERVICIOS PARA INVERSIÓN"/>
    <s v="730205 Espectáculos Culturales y Sociales"/>
    <s v="G/730205/1FF102"/>
    <s v="001"/>
    <n v="8159"/>
    <n v="0"/>
    <n v="-8159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7D"/>
    <s v="GI00F10200007D COLONIAS VACACIONALES RECREANDO QUITO"/>
    <s v="73 BIENES Y SERVICIOS PARA INVERSIÓN"/>
    <s v="730205 Espectáculos Culturales y Sociales"/>
    <s v="G/730205/1FF102"/>
    <s v="001"/>
    <n v="5582.81"/>
    <n v="0"/>
    <n v="-5582.81"/>
    <n v="0"/>
    <n v="0"/>
    <n v="0"/>
    <n v="0"/>
    <n v="0"/>
    <n v="0"/>
    <n v="0"/>
  </r>
  <r>
    <s v="73"/>
    <x v="2"/>
    <x v="7"/>
    <s v="ZV05F050"/>
    <x v="39"/>
    <s v="F102"/>
    <s v="PARTICIPACION CIUDADANA"/>
    <s v="GI00F10200007D"/>
    <s v="GI00F10200007D COLONIAS VACACIONALES RECREANDO QUITO"/>
    <s v="73 BIENES Y SERVICIOS PARA INVERSIÓN"/>
    <s v="730205 Espectáculos Culturales y Sociales"/>
    <s v="G/730205/1FF102"/>
    <s v="001"/>
    <n v="3000"/>
    <n v="0"/>
    <n v="-3000"/>
    <n v="0"/>
    <n v="0"/>
    <n v="0"/>
    <n v="0"/>
    <n v="0"/>
    <n v="0"/>
    <n v="0"/>
  </r>
  <r>
    <s v="73"/>
    <x v="2"/>
    <x v="7"/>
    <s v="ZT06F060"/>
    <x v="40"/>
    <s v="F102"/>
    <s v="PARTICIPACION CIUDADANA"/>
    <s v="GI00F10200007D"/>
    <s v="GI00F10200007D COLONIAS VACACIONALES RECREANDO QUITO"/>
    <s v="73 BIENES Y SERVICIOS PARA INVERSIÓN"/>
    <s v="730205 Espectáculos Culturales y Sociales"/>
    <s v="G/730205/1FF102"/>
    <s v="001"/>
    <n v="3750"/>
    <n v="0"/>
    <n v="-3750"/>
    <n v="0"/>
    <n v="0"/>
    <n v="0"/>
    <n v="0"/>
    <n v="0"/>
    <n v="0"/>
    <n v="0"/>
  </r>
  <r>
    <s v="73"/>
    <x v="2"/>
    <x v="7"/>
    <s v="ZA01F000"/>
    <x v="25"/>
    <s v="F102"/>
    <s v="PARTICIPACION CIUDADANA"/>
    <s v="GI00F10200007D"/>
    <s v="GI00F10200007D COLONIAS VACACIONALES RECREANDO QUITO"/>
    <s v="73 BIENES Y SERVICIOS PARA INVERSIÓN"/>
    <s v="730205 Espectáculos Culturales y Sociales"/>
    <s v="G/730205/1FF102"/>
    <s v="001"/>
    <n v="6322.42"/>
    <n v="0"/>
    <n v="-6322.42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7D"/>
    <s v="GI00F10200007D COLONIAS VACACIONALES RECREANDO QUITO"/>
    <s v="73 BIENES Y SERVICIOS PARA INVERSIÓN"/>
    <s v="730235 Servicio de Alimentación"/>
    <s v="G/730235/1FF102"/>
    <s v="001"/>
    <n v="39000"/>
    <n v="0"/>
    <n v="-3900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7D"/>
    <s v="GI00F10200007D COLONIAS VACACIONALES RECREANDO QUITO"/>
    <s v="73 BIENES Y SERVICIOS PARA INVERSIÓN"/>
    <s v="730235 Servicio de Alimentación"/>
    <s v="G/730235/1FF102"/>
    <s v="001"/>
    <n v="67633.84"/>
    <n v="0"/>
    <n v="-67633.84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7D"/>
    <s v="GI00F10200007D COLONIAS VACACIONALES RECREANDO QUITO"/>
    <s v="73 BIENES Y SERVICIOS PARA INVERSIÓN"/>
    <s v="730235 Servicio de Alimentación"/>
    <s v="G/730235/1FF102"/>
    <s v="001"/>
    <n v="17287.98"/>
    <n v="0"/>
    <n v="-17287.98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7D"/>
    <s v="GI00F10200007D COLONIAS VACACIONALES RECREANDO QUITO"/>
    <s v="73 BIENES Y SERVICIOS PARA INVERSIÓN"/>
    <s v="730235 Servicio de Alimentación"/>
    <s v="G/730235/1FF102"/>
    <s v="001"/>
    <n v="38473.71"/>
    <n v="0"/>
    <n v="-38473.71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7D"/>
    <s v="GI00F10200007D COLONIAS VACACIONALES RECREANDO QUITO"/>
    <s v="73 BIENES Y SERVICIOS PARA INVERSIÓN"/>
    <s v="730235 Servicio de Alimentación"/>
    <s v="G/730235/1FF102"/>
    <s v="001"/>
    <n v="46000"/>
    <n v="0"/>
    <n v="-46000"/>
    <n v="0"/>
    <n v="0"/>
    <n v="0"/>
    <n v="0"/>
    <n v="0"/>
    <n v="0"/>
    <n v="0"/>
  </r>
  <r>
    <s v="73"/>
    <x v="2"/>
    <x v="7"/>
    <s v="ZT06F060"/>
    <x v="40"/>
    <s v="F102"/>
    <s v="PARTICIPACION CIUDADANA"/>
    <s v="GI00F10200007D"/>
    <s v="GI00F10200007D COLONIAS VACACIONALES RECREANDO QUITO"/>
    <s v="73 BIENES Y SERVICIOS PARA INVERSIÓN"/>
    <s v="730235 Servicio de Alimentación"/>
    <s v="G/730235/1FF102"/>
    <s v="001"/>
    <n v="37000"/>
    <n v="0"/>
    <n v="-37000"/>
    <n v="0"/>
    <n v="0"/>
    <n v="0"/>
    <n v="0"/>
    <n v="0"/>
    <n v="0"/>
    <n v="0"/>
  </r>
  <r>
    <s v="73"/>
    <x v="2"/>
    <x v="7"/>
    <s v="ZM04F040"/>
    <x v="41"/>
    <s v="F102"/>
    <s v="PARTICIPACION CIUDADANA"/>
    <s v="GI00F10200007D"/>
    <s v="GI00F10200007D COLONIAS VACACIONALES RECREANDO QUITO"/>
    <s v="73 BIENES Y SERVICIOS PARA INVERSIÓN"/>
    <s v="730235 Servicio de Alimentación"/>
    <s v="G/730235/1FF102"/>
    <s v="001"/>
    <n v="48000"/>
    <n v="0"/>
    <n v="-48000"/>
    <n v="0"/>
    <n v="0"/>
    <n v="0"/>
    <n v="0"/>
    <n v="0"/>
    <n v="0"/>
    <n v="0"/>
  </r>
  <r>
    <s v="73"/>
    <x v="2"/>
    <x v="7"/>
    <s v="ZV05F050"/>
    <x v="39"/>
    <s v="F102"/>
    <s v="PARTICIPACION CIUDADANA"/>
    <s v="GI00F10200007D"/>
    <s v="GI00F10200007D COLONIAS VACACIONALES RECREANDO QUITO"/>
    <s v="73 BIENES Y SERVICIOS PARA INVERSIÓN"/>
    <s v="730235 Servicio de Alimentación"/>
    <s v="G/730235/1FF102"/>
    <s v="001"/>
    <n v="52900"/>
    <n v="0"/>
    <n v="-52900"/>
    <n v="0"/>
    <n v="0"/>
    <n v="0"/>
    <n v="0"/>
    <n v="0"/>
    <n v="0"/>
    <n v="0"/>
  </r>
  <r>
    <s v="73"/>
    <x v="2"/>
    <x v="7"/>
    <s v="ZA01F000"/>
    <x v="25"/>
    <s v="F102"/>
    <s v="PARTICIPACION CIUDADANA"/>
    <s v="GI00F10200007D"/>
    <s v="GI00F10200007D COLONIAS VACACIONALES RECREANDO QUITO"/>
    <s v="73 BIENES Y SERVICIOS PARA INVERSIÓN"/>
    <s v="730235 Servicio de Alimentación"/>
    <s v="G/730235/1FF102"/>
    <s v="001"/>
    <n v="6160"/>
    <n v="0"/>
    <n v="-6160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7D"/>
    <s v="GI00F10200007D COLONIAS VACACIONALES RECREANDO QUITO"/>
    <s v="73 BIENES Y SERVICIOS PARA INVERSIÓN"/>
    <s v="730505 Vehículos (Arrendamiento)"/>
    <s v="G/730505/1FF102"/>
    <s v="001"/>
    <n v="14000"/>
    <n v="0"/>
    <n v="-14000"/>
    <n v="0"/>
    <n v="0"/>
    <n v="0"/>
    <n v="0"/>
    <n v="0"/>
    <n v="0"/>
    <n v="0"/>
  </r>
  <r>
    <s v="73"/>
    <x v="2"/>
    <x v="7"/>
    <s v="ZV05F050"/>
    <x v="39"/>
    <s v="F102"/>
    <s v="PARTICIPACION CIUDADANA"/>
    <s v="GI00F10200007D"/>
    <s v="GI00F10200007D COLONIAS VACACIONALES RECREANDO QUITO"/>
    <s v="73 BIENES Y SERVICIOS PARA INVERSIÓN"/>
    <s v="730505 Vehículos (Arrendamiento)"/>
    <s v="G/730505/1FF102"/>
    <s v="001"/>
    <n v="13500"/>
    <n v="0"/>
    <n v="-1350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7D"/>
    <s v="GI00F10200007D COLONIAS VACACIONALES RECREANDO QUITO"/>
    <s v="73 BIENES Y SERVICIOS PARA INVERSIÓN"/>
    <s v="730505 Vehículos (Arrendamiento)"/>
    <s v="G/730505/1FF102"/>
    <s v="001"/>
    <n v="15000"/>
    <n v="0"/>
    <n v="-15000"/>
    <n v="0"/>
    <n v="0"/>
    <n v="0"/>
    <n v="0"/>
    <n v="0"/>
    <n v="0"/>
    <n v="0"/>
  </r>
  <r>
    <s v="73"/>
    <x v="2"/>
    <x v="7"/>
    <s v="ZM04F040"/>
    <x v="41"/>
    <s v="F102"/>
    <s v="PARTICIPACION CIUDADANA"/>
    <s v="GI00F10200007D"/>
    <s v="GI00F10200007D COLONIAS VACACIONALES RECREANDO QUITO"/>
    <s v="73 BIENES Y SERVICIOS PARA INVERSIÓN"/>
    <s v="730505 Vehículos (Arrendamiento)"/>
    <s v="G/730505/1FF102"/>
    <s v="001"/>
    <n v="13000"/>
    <n v="0"/>
    <n v="-13000"/>
    <n v="0"/>
    <n v="0"/>
    <n v="0"/>
    <n v="0"/>
    <n v="0"/>
    <n v="0"/>
    <n v="0"/>
  </r>
  <r>
    <s v="73"/>
    <x v="2"/>
    <x v="7"/>
    <s v="ZT06F060"/>
    <x v="40"/>
    <s v="F102"/>
    <s v="PARTICIPACION CIUDADANA"/>
    <s v="GI00F10200007D"/>
    <s v="GI00F10200007D COLONIAS VACACIONALES RECREANDO QUITO"/>
    <s v="73 BIENES Y SERVICIOS PARA INVERSIÓN"/>
    <s v="730505 Vehículos (Arrendamiento)"/>
    <s v="G/730505/1FF102"/>
    <s v="001"/>
    <n v="14000"/>
    <n v="0"/>
    <n v="-14000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7D"/>
    <s v="GI00F10200007D COLONIAS VACACIONALES RECREANDO QUITO"/>
    <s v="73 BIENES Y SERVICIOS PARA INVERSIÓN"/>
    <s v="730505 Vehículos (Arrendamiento)"/>
    <s v="G/730505/1FF102"/>
    <s v="001"/>
    <n v="14000"/>
    <n v="0"/>
    <n v="-140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7D"/>
    <s v="GI00F10200007D COLONIAS VACACIONALES RECREANDO QUITO"/>
    <s v="73 BIENES Y SERVICIOS PARA INVERSIÓN"/>
    <s v="730505 Vehículos (Arrendamiento)"/>
    <s v="G/730505/1FF102"/>
    <s v="001"/>
    <n v="13000"/>
    <n v="0"/>
    <n v="-1300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7D"/>
    <s v="GI00F10200007D COLONIAS VACACIONALES RECREANDO QUITO"/>
    <s v="73 BIENES Y SERVICIOS PARA INVERSIÓN"/>
    <s v="730505 Vehículos (Arrendamiento)"/>
    <s v="G/730505/1FF102"/>
    <s v="001"/>
    <n v="8000"/>
    <n v="0"/>
    <n v="-8000"/>
    <n v="0"/>
    <n v="0"/>
    <n v="0"/>
    <n v="0"/>
    <n v="0"/>
    <n v="0"/>
    <n v="0"/>
  </r>
  <r>
    <s v="73"/>
    <x v="2"/>
    <x v="7"/>
    <s v="ZM04F040"/>
    <x v="41"/>
    <s v="F102"/>
    <s v="PARTICIPACION CIUDADANA"/>
    <s v="GI00F10200007D"/>
    <s v="GI00F10200007D COLONIAS VACACIONALES RECREANDO QUITO"/>
    <s v="73 BIENES Y SERVICIOS PARA INVERSIÓN"/>
    <s v="730613 Capacitación para la Ciudadanía en Gener"/>
    <s v="G/730613/1FF102"/>
    <s v="001"/>
    <n v="7000"/>
    <n v="0"/>
    <n v="-7000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7D"/>
    <s v="GI00F10200007D COLONIAS VACACIONALES RECREANDO QUITO"/>
    <s v="73 BIENES Y SERVICIOS PARA INVERSIÓN"/>
    <s v="730613 Capacitación para la Ciudadanía en Gener"/>
    <s v="G/730613/1FF102"/>
    <s v="001"/>
    <n v="2000"/>
    <n v="0"/>
    <n v="-200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7D"/>
    <s v="GI00F10200007D COLONIAS VACACIONALES RECREANDO QUITO"/>
    <s v="73 BIENES Y SERVICIOS PARA INVERSIÓN"/>
    <s v="730613 Capacitación para la Ciudadanía en Gener"/>
    <s v="G/730613/1FF102"/>
    <s v="001"/>
    <n v="5000"/>
    <n v="0"/>
    <n v="-50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7D"/>
    <s v="GI00F10200007D COLONIAS VACACIONALES RECREANDO QUITO"/>
    <s v="73 BIENES Y SERVICIOS PARA INVERSIÓN"/>
    <s v="730613 Capacitación para la Ciudadanía en Gener"/>
    <s v="G/730613/1FF102"/>
    <s v="001"/>
    <n v="2000"/>
    <n v="0"/>
    <n v="-2000"/>
    <n v="0"/>
    <n v="0"/>
    <n v="0"/>
    <n v="0"/>
    <n v="0"/>
    <n v="0"/>
    <n v="0"/>
  </r>
  <r>
    <s v="73"/>
    <x v="2"/>
    <x v="7"/>
    <s v="ZT06F060"/>
    <x v="40"/>
    <s v="F102"/>
    <s v="PARTICIPACION CIUDADANA"/>
    <s v="GI00F10200007D"/>
    <s v="GI00F10200007D COLONIAS VACACIONALES RECREANDO QUITO"/>
    <s v="73 BIENES Y SERVICIOS PARA INVERSIÓN"/>
    <s v="730613 Capacitación para la Ciudadanía en Gener"/>
    <s v="G/730613/1FF102"/>
    <s v="001"/>
    <n v="1700"/>
    <n v="0"/>
    <n v="-170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7D"/>
    <s v="GI00F10200007D COLONIAS VACACIONALES RECREANDO QUITO"/>
    <s v="73 BIENES Y SERVICIOS PARA INVERSIÓN"/>
    <s v="730613 Capacitación para la Ciudadanía en Gener"/>
    <s v="G/730613/1FF102"/>
    <s v="001"/>
    <n v="4500"/>
    <n v="0"/>
    <n v="-4500"/>
    <n v="0"/>
    <n v="0"/>
    <n v="0"/>
    <n v="0"/>
    <n v="0"/>
    <n v="0"/>
    <n v="0"/>
  </r>
  <r>
    <s v="73"/>
    <x v="2"/>
    <x v="7"/>
    <s v="ZA01F000"/>
    <x v="25"/>
    <s v="F102"/>
    <s v="PARTICIPACION CIUDADANA"/>
    <s v="GI00F10200007D"/>
    <s v="GI00F10200007D COLONIAS VACACIONALES RECREANDO QUITO"/>
    <s v="73 BIENES Y SERVICIOS PARA INVERSIÓN"/>
    <s v="730613 Capacitación para la Ciudadanía en Gener"/>
    <s v="G/730613/1FF102"/>
    <s v="001"/>
    <n v="12343.34"/>
    <n v="7840"/>
    <n v="-12343.34"/>
    <n v="7840"/>
    <n v="0"/>
    <n v="7840"/>
    <n v="0"/>
    <n v="0"/>
    <n v="7840"/>
    <n v="0"/>
  </r>
  <r>
    <s v="73"/>
    <x v="2"/>
    <x v="7"/>
    <s v="ZV05F050"/>
    <x v="39"/>
    <s v="F102"/>
    <s v="PARTICIPACION CIUDADANA"/>
    <s v="GI00F10200007D"/>
    <s v="GI00F10200007D COLONIAS VACACIONALES RECREANDO QUITO"/>
    <s v="73 BIENES Y SERVICIOS PARA INVERSIÓN"/>
    <s v="730613 Capacitación para la Ciudadanía en Gener"/>
    <s v="G/730613/1FF102"/>
    <s v="001"/>
    <n v="9860.5"/>
    <n v="0"/>
    <n v="-9860.5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7D"/>
    <s v="GI00F10200007D COLONIAS VACACIONALES RECREANDO QUITO"/>
    <s v="73 BIENES Y SERVICIOS PARA INVERSIÓN"/>
    <s v="730802 Vestuario, Lencería, Prendas de Protecci"/>
    <s v="G/730802/1FF102"/>
    <s v="001"/>
    <n v="15125.03"/>
    <n v="0"/>
    <n v="-3.6"/>
    <n v="15121.43"/>
    <n v="81.540000000000006"/>
    <n v="15039.89"/>
    <n v="15039.89"/>
    <n v="81.540000000000006"/>
    <n v="81.540000000000006"/>
    <n v="0"/>
  </r>
  <r>
    <s v="73"/>
    <x v="2"/>
    <x v="7"/>
    <s v="ZS03F030"/>
    <x v="45"/>
    <s v="F102"/>
    <s v="PARTICIPACION CIUDADANA"/>
    <s v="GI00F10200007D"/>
    <s v="GI00F10200007D COLONIAS VACACIONALES RECREANDO QUITO"/>
    <s v="73 BIENES Y SERVICIOS PARA INVERSIÓN"/>
    <s v="730802 Vestuario, Lencería, Prendas de Protecci"/>
    <s v="G/730802/1FF102"/>
    <s v="001"/>
    <n v="15000"/>
    <n v="0"/>
    <n v="-1500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7D"/>
    <s v="GI00F10200007D COLONIAS VACACIONALES RECREANDO QUITO"/>
    <s v="73 BIENES Y SERVICIOS PARA INVERSIÓN"/>
    <s v="730802 Vestuario, Lencería, Prendas de Protecci"/>
    <s v="G/730802/1FF102"/>
    <s v="001"/>
    <n v="30000"/>
    <n v="0"/>
    <n v="-30000"/>
    <n v="0"/>
    <n v="0"/>
    <n v="0"/>
    <n v="0"/>
    <n v="0"/>
    <n v="0"/>
    <n v="0"/>
  </r>
  <r>
    <s v="73"/>
    <x v="2"/>
    <x v="7"/>
    <s v="ZT06F060"/>
    <x v="40"/>
    <s v="F102"/>
    <s v="PARTICIPACION CIUDADANA"/>
    <s v="GI00F10200007D"/>
    <s v="GI00F10200007D COLONIAS VACACIONALES RECREANDO QUITO"/>
    <s v="73 BIENES Y SERVICIOS PARA INVERSIÓN"/>
    <s v="730802 Vestuario, Lencería, Prendas de Protecci"/>
    <s v="G/730802/1FF102"/>
    <s v="001"/>
    <n v="9675"/>
    <n v="0"/>
    <n v="-9675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7D"/>
    <s v="GI00F10200007D COLONIAS VACACIONALES RECREANDO QUITO"/>
    <s v="73 BIENES Y SERVICIOS PARA INVERSIÓN"/>
    <s v="730802 Vestuario, Lencería, Prendas de Protecci"/>
    <s v="G/730802/1FF102"/>
    <s v="001"/>
    <n v="16058"/>
    <n v="0"/>
    <n v="-16058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7D"/>
    <s v="GI00F10200007D COLONIAS VACACIONALES RECREANDO QUITO"/>
    <s v="73 BIENES Y SERVICIOS PARA INVERSIÓN"/>
    <s v="730802 Vestuario, Lencería, Prendas de Protecci"/>
    <s v="G/730802/1FF102"/>
    <s v="001"/>
    <n v="18000"/>
    <n v="0"/>
    <n v="-18000"/>
    <n v="0"/>
    <n v="0"/>
    <n v="0"/>
    <n v="0"/>
    <n v="0"/>
    <n v="0"/>
    <n v="0"/>
  </r>
  <r>
    <s v="73"/>
    <x v="2"/>
    <x v="7"/>
    <s v="ZM04F040"/>
    <x v="41"/>
    <s v="F102"/>
    <s v="PARTICIPACION CIUDADANA"/>
    <s v="GI00F10200007D"/>
    <s v="GI00F10200007D COLONIAS VACACIONALES RECREANDO QUITO"/>
    <s v="73 BIENES Y SERVICIOS PARA INVERSIÓN"/>
    <s v="730802 Vestuario, Lencería, Prendas de Protecci"/>
    <s v="G/730802/1FF102"/>
    <s v="001"/>
    <n v="25331.05"/>
    <n v="0"/>
    <n v="-25331.05"/>
    <n v="0"/>
    <n v="0"/>
    <n v="0"/>
    <n v="0"/>
    <n v="0"/>
    <n v="0"/>
    <n v="0"/>
  </r>
  <r>
    <s v="73"/>
    <x v="2"/>
    <x v="7"/>
    <s v="ZV05F050"/>
    <x v="39"/>
    <s v="F102"/>
    <s v="PARTICIPACION CIUDADANA"/>
    <s v="GI00F10200007D"/>
    <s v="GI00F10200007D COLONIAS VACACIONALES RECREANDO QUITO"/>
    <s v="73 BIENES Y SERVICIOS PARA INVERSIÓN"/>
    <s v="730802 Vestuario, Lencería, Prendas de Protecci"/>
    <s v="G/730802/1FF102"/>
    <s v="001"/>
    <n v="12100"/>
    <n v="0"/>
    <n v="-1210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7D"/>
    <s v="GI00F10200007D COLONIAS VACACIONALES RECREANDO QUITO"/>
    <s v="73 BIENES Y SERVICIOS PARA INVERSIÓN"/>
    <s v="730804 Materiales de Oficina"/>
    <s v="G/730804/1FF102"/>
    <s v="001"/>
    <n v="1000"/>
    <n v="0"/>
    <n v="-1000"/>
    <n v="0"/>
    <n v="0"/>
    <n v="0"/>
    <n v="0"/>
    <n v="0"/>
    <n v="0"/>
    <n v="0"/>
  </r>
  <r>
    <s v="73"/>
    <x v="2"/>
    <x v="7"/>
    <s v="ZV05F050"/>
    <x v="39"/>
    <s v="F102"/>
    <s v="PARTICIPACION CIUDADANA"/>
    <s v="GI00F10200007D"/>
    <s v="GI00F10200007D COLONIAS VACACIONALES RECREANDO QUITO"/>
    <s v="73 BIENES Y SERVICIOS PARA INVERSIÓN"/>
    <s v="730811 Insumos, Materiales y Suministros para Cons"/>
    <s v="G/730811/1FF102"/>
    <s v="001"/>
    <n v="600"/>
    <n v="0"/>
    <n v="-600"/>
    <n v="0"/>
    <n v="0"/>
    <n v="0"/>
    <n v="0"/>
    <n v="0"/>
    <n v="0"/>
    <n v="0"/>
  </r>
  <r>
    <s v="73"/>
    <x v="2"/>
    <x v="7"/>
    <s v="ZM04F040"/>
    <x v="41"/>
    <s v="F102"/>
    <s v="PARTICIPACION CIUDADANA"/>
    <s v="GI00F10200007D"/>
    <s v="GI00F10200007D COLONIAS VACACIONALES RECREANDO QUITO"/>
    <s v="73 BIENES Y SERVICIOS PARA INVERSIÓN"/>
    <s v="730812 Materiales Didácticos"/>
    <s v="G/730812/1FF102"/>
    <s v="001"/>
    <n v="6000"/>
    <n v="0"/>
    <n v="-6000"/>
    <n v="0"/>
    <n v="0"/>
    <n v="0"/>
    <n v="0"/>
    <n v="0"/>
    <n v="0"/>
    <n v="0"/>
  </r>
  <r>
    <s v="73"/>
    <x v="2"/>
    <x v="7"/>
    <s v="ZC09F090"/>
    <x v="10"/>
    <s v="F102"/>
    <s v="PARTICIPACION CIUDADANA"/>
    <s v="GI00F10200007D"/>
    <s v="GI00F10200007D COLONIAS VACACIONALES RECREANDO QUITO"/>
    <s v="73 BIENES Y SERVICIOS PARA INVERSIÓN"/>
    <s v="730812 Materiales Didácticos"/>
    <s v="G/730812/1FF102"/>
    <s v="001"/>
    <n v="8000"/>
    <n v="0"/>
    <n v="-8000"/>
    <n v="0"/>
    <n v="0"/>
    <n v="0"/>
    <n v="0"/>
    <n v="0"/>
    <n v="0"/>
    <n v="0"/>
  </r>
  <r>
    <s v="73"/>
    <x v="2"/>
    <x v="7"/>
    <s v="ZN02F020"/>
    <x v="46"/>
    <s v="F102"/>
    <s v="PARTICIPACION CIUDADANA"/>
    <s v="GI00F10200007D"/>
    <s v="GI00F10200007D COLONIAS VACACIONALES RECREANDO QUITO"/>
    <s v="73 BIENES Y SERVICIOS PARA INVERSIÓN"/>
    <s v="730812 Materiales Didácticos"/>
    <s v="G/730812/1FF102"/>
    <s v="001"/>
    <n v="15000"/>
    <n v="0"/>
    <n v="-15000"/>
    <n v="0"/>
    <n v="0"/>
    <n v="0"/>
    <n v="0"/>
    <n v="0"/>
    <n v="0"/>
    <n v="0"/>
  </r>
  <r>
    <s v="73"/>
    <x v="2"/>
    <x v="7"/>
    <s v="ZD07F070"/>
    <x v="43"/>
    <s v="F102"/>
    <s v="PARTICIPACION CIUDADANA"/>
    <s v="GI00F10200007D"/>
    <s v="GI00F10200007D COLONIAS VACACIONALES RECREANDO QUITO"/>
    <s v="73 BIENES Y SERVICIOS PARA INVERSIÓN"/>
    <s v="730812 Materiales Didácticos"/>
    <s v="G/730812/1FF102"/>
    <s v="001"/>
    <n v="8000"/>
    <n v="0"/>
    <n v="-4516.0200000000004"/>
    <n v="3483.98"/>
    <n v="0"/>
    <n v="3483.98"/>
    <n v="3483.98"/>
    <n v="0"/>
    <n v="0"/>
    <n v="0"/>
  </r>
  <r>
    <s v="73"/>
    <x v="2"/>
    <x v="7"/>
    <s v="ZV05F050"/>
    <x v="39"/>
    <s v="F102"/>
    <s v="PARTICIPACION CIUDADANA"/>
    <s v="GI00F10200007D"/>
    <s v="GI00F10200007D COLONIAS VACACIONALES RECREANDO QUITO"/>
    <s v="73 BIENES Y SERVICIOS PARA INVERSIÓN"/>
    <s v="730812 Materiales Didácticos"/>
    <s v="G/730812/1FF102"/>
    <s v="001"/>
    <n v="5500"/>
    <n v="0"/>
    <n v="-5500"/>
    <n v="0"/>
    <n v="0"/>
    <n v="0"/>
    <n v="0"/>
    <n v="0"/>
    <n v="0"/>
    <n v="0"/>
  </r>
  <r>
    <s v="73"/>
    <x v="2"/>
    <x v="7"/>
    <s v="ZQ08F080"/>
    <x v="44"/>
    <s v="F102"/>
    <s v="PARTICIPACION CIUDADANA"/>
    <s v="GI00F10200007D"/>
    <s v="GI00F10200007D COLONIAS VACACIONALES RECREANDO QUITO"/>
    <s v="73 BIENES Y SERVICIOS PARA INVERSIÓN"/>
    <s v="730812 Materiales Didácticos"/>
    <s v="G/730812/1FF102"/>
    <s v="001"/>
    <n v="7000"/>
    <n v="0"/>
    <n v="-7000"/>
    <n v="0"/>
    <n v="0"/>
    <n v="0"/>
    <n v="0"/>
    <n v="0"/>
    <n v="0"/>
    <n v="0"/>
  </r>
  <r>
    <s v="73"/>
    <x v="2"/>
    <x v="7"/>
    <s v="ZS03F030"/>
    <x v="45"/>
    <s v="F102"/>
    <s v="PARTICIPACION CIUDADANA"/>
    <s v="GI00F10200007D"/>
    <s v="GI00F10200007D COLONIAS VACACIONALES RECREANDO QUITO"/>
    <s v="73 BIENES Y SERVICIOS PARA INVERSIÓN"/>
    <s v="730812 Materiales Didácticos"/>
    <s v="G/730812/1FF102"/>
    <s v="001"/>
    <n v="3500"/>
    <n v="0"/>
    <n v="-3500"/>
    <n v="0"/>
    <n v="0"/>
    <n v="0"/>
    <n v="0"/>
    <n v="0"/>
    <n v="0"/>
    <n v="0"/>
  </r>
  <r>
    <s v="73"/>
    <x v="2"/>
    <x v="7"/>
    <s v="ZT06F060"/>
    <x v="40"/>
    <s v="F102"/>
    <s v="PARTICIPACION CIUDADANA"/>
    <s v="GI00F10200007D"/>
    <s v="GI00F10200007D COLONIAS VACACIONALES RECREANDO QUITO"/>
    <s v="73 BIENES Y SERVICIOS PARA INVERSIÓN"/>
    <s v="730812 Materiales Didácticos"/>
    <s v="G/730812/1FF102"/>
    <s v="001"/>
    <n v="7897.2"/>
    <n v="0"/>
    <n v="-7897.2"/>
    <n v="0"/>
    <n v="0"/>
    <n v="0"/>
    <n v="0"/>
    <n v="0"/>
    <n v="0"/>
    <n v="0"/>
  </r>
  <r>
    <s v="73"/>
    <x v="2"/>
    <x v="7"/>
    <s v="ZA01F000"/>
    <x v="25"/>
    <s v="F102"/>
    <s v="PARTICIPACION CIUDADANA"/>
    <s v="GI00F10200008D"/>
    <s v="GI00F10200008D FORTALECIMIENTO A PARROQUIAS RURALES Y C"/>
    <s v="73 BIENES Y SERVICIOS PARA INVERSIÓN"/>
    <s v="730205 Espectáculos Culturales y Sociales"/>
    <s v="G/730205/1FF102"/>
    <s v="001"/>
    <n v="1346248.22"/>
    <n v="-995500"/>
    <n v="-346248.22"/>
    <n v="4500"/>
    <n v="0"/>
    <n v="4500"/>
    <n v="4499.99"/>
    <n v="0"/>
    <n v="0.01"/>
    <n v="0"/>
  </r>
  <r>
    <s v="73"/>
    <x v="2"/>
    <x v="7"/>
    <s v="ZA01F000"/>
    <x v="25"/>
    <s v="F102"/>
    <s v="PARTICIPACION CIUDADANA"/>
    <s v="GI00F10200008D"/>
    <s v="GI00F10200008D FORTALECIMIENTO A PARROQUIAS RURALES Y C"/>
    <s v="73 BIENES Y SERVICIOS PARA INVERSIÓN"/>
    <s v="730249 Eventos Públicos Promocionales"/>
    <s v="G/730249/1FF102"/>
    <s v="001"/>
    <n v="5000"/>
    <n v="0"/>
    <n v="-5000"/>
    <n v="0"/>
    <n v="0"/>
    <n v="0"/>
    <n v="0"/>
    <n v="0"/>
    <n v="0"/>
    <n v="0"/>
  </r>
  <r>
    <s v="73"/>
    <x v="2"/>
    <x v="7"/>
    <s v="ZA01F000"/>
    <x v="25"/>
    <s v="F102"/>
    <s v="PARTICIPACION CIUDADANA"/>
    <s v="GI00F10200008D"/>
    <s v="GI00F10200008D FORTALECIMIENTO A PARROQUIAS RURALES Y C"/>
    <s v="73 BIENES Y SERVICIOS PARA INVERSIÓN"/>
    <s v="730505 Vehículos (Arrendamiento)"/>
    <s v="G/730505/1FF102"/>
    <s v="001"/>
    <n v="1300"/>
    <n v="0"/>
    <n v="-1300"/>
    <n v="0"/>
    <n v="0"/>
    <n v="0"/>
    <n v="0"/>
    <n v="0"/>
    <n v="0"/>
    <n v="0"/>
  </r>
  <r>
    <s v="73"/>
    <x v="2"/>
    <x v="7"/>
    <s v="ZA01F000"/>
    <x v="25"/>
    <s v="F102"/>
    <s v="PARTICIPACION CIUDADANA"/>
    <s v="GI00F10200008D"/>
    <s v="GI00F10200008D FORTALECIMIENTO A PARROQUIAS RURALES Y C"/>
    <s v="73 BIENES Y SERVICIOS PARA INVERSIÓN"/>
    <s v="730613 Capacitación para la Ciudadanía en Gener"/>
    <s v="G/730613/1FF102"/>
    <s v="001"/>
    <n v="8000"/>
    <n v="-4500"/>
    <n v="-3500"/>
    <n v="0"/>
    <n v="0"/>
    <n v="0"/>
    <n v="0"/>
    <n v="0"/>
    <n v="0"/>
    <n v="0"/>
  </r>
  <r>
    <s v="73"/>
    <x v="2"/>
    <x v="7"/>
    <s v="ZA01F000"/>
    <x v="25"/>
    <s v="F102"/>
    <s v="PARTICIPACION CIUDADANA"/>
    <s v="GI00F10200009D"/>
    <s v="GI00F10200009D MEGAMINGAS EN BARRIOS DEL DMQ"/>
    <s v="73 BIENES Y SERVICIOS PARA INVERSIÓN"/>
    <s v="730811 Insumos, Materiales y Suministros para Cons"/>
    <s v="G/730811/1FF102"/>
    <s v="001"/>
    <n v="10000"/>
    <n v="0"/>
    <n v="-10000"/>
    <n v="0"/>
    <n v="0"/>
    <n v="0"/>
    <n v="0"/>
    <n v="0"/>
    <n v="0"/>
    <n v="0"/>
  </r>
  <r>
    <s v="73"/>
    <x v="2"/>
    <x v="7"/>
    <s v="ZS03F030"/>
    <x v="45"/>
    <s v="G101"/>
    <s v="ARTE, CULTURA Y PATRIMONIO"/>
    <s v="GI00G10100001D"/>
    <s v="GI00G10100001D AGENDA CULTURAL METROPOLITANA"/>
    <s v="73 BIENES Y SERVICIOS PARA INVERSIÓN"/>
    <s v="730204 Edición, Impresión, Reproducción, Public"/>
    <s v="G/730204/1FG101"/>
    <s v="001"/>
    <n v="1800"/>
    <n v="0"/>
    <n v="-1800"/>
    <n v="0"/>
    <n v="0"/>
    <n v="0"/>
    <n v="0"/>
    <n v="0"/>
    <n v="0"/>
    <n v="0"/>
  </r>
  <r>
    <s v="73"/>
    <x v="2"/>
    <x v="7"/>
    <s v="ZM04F040"/>
    <x v="41"/>
    <s v="G101"/>
    <s v="ARTE, CULTURA Y PATRIMONIO"/>
    <s v="GI00G10100001D"/>
    <s v="GI00G10100001D AGENDA CULTURAL METROPOLITANA"/>
    <s v="73 BIENES Y SERVICIOS PARA INVERSIÓN"/>
    <s v="730205 Espectáculos Culturales y Sociales"/>
    <s v="G/730205/1FG101"/>
    <s v="001"/>
    <n v="40000"/>
    <n v="31224.46"/>
    <n v="-40000"/>
    <n v="31224.46"/>
    <n v="0"/>
    <n v="0"/>
    <n v="0"/>
    <n v="31224.46"/>
    <n v="31224.46"/>
    <n v="31224.46"/>
  </r>
  <r>
    <s v="73"/>
    <x v="2"/>
    <x v="7"/>
    <s v="ZQ08F080"/>
    <x v="44"/>
    <s v="G101"/>
    <s v="ARTE, CULTURA Y PATRIMONIO"/>
    <s v="GI00G10100001D"/>
    <s v="GI00G10100001D AGENDA CULTURAL METROPOLITANA"/>
    <s v="73 BIENES Y SERVICIOS PARA INVERSIÓN"/>
    <s v="730205 Espectáculos Culturales y Sociales"/>
    <s v="G/730205/1FG101"/>
    <s v="001"/>
    <n v="40000"/>
    <n v="0"/>
    <n v="-40000"/>
    <n v="0"/>
    <n v="0"/>
    <n v="0"/>
    <n v="0"/>
    <n v="0"/>
    <n v="0"/>
    <n v="0"/>
  </r>
  <r>
    <s v="73"/>
    <x v="2"/>
    <x v="7"/>
    <s v="TM68F100"/>
    <x v="36"/>
    <s v="G101"/>
    <s v="ARTE, CULTURA Y PATRIMONIO"/>
    <s v="GI00G10100001D"/>
    <s v="GI00G10100001D AGENDA CULTURAL METROPOLITANA"/>
    <s v="73 BIENES Y SERVICIOS PARA INVERSIÓN"/>
    <s v="730205 Espectáculos Culturales y Sociales"/>
    <s v="G/730205/1FG101"/>
    <s v="001"/>
    <n v="69318.759999999995"/>
    <n v="33282.14"/>
    <n v="-69318.759999999995"/>
    <n v="33282.14"/>
    <n v="0"/>
    <n v="0"/>
    <n v="0"/>
    <n v="33282.14"/>
    <n v="33282.14"/>
    <n v="33282.14"/>
  </r>
  <r>
    <s v="73"/>
    <x v="2"/>
    <x v="7"/>
    <s v="ZV05F050"/>
    <x v="39"/>
    <s v="G101"/>
    <s v="ARTE, CULTURA Y PATRIMONIO"/>
    <s v="GI00G10100001D"/>
    <s v="GI00G10100001D AGENDA CULTURAL METROPOLITANA"/>
    <s v="73 BIENES Y SERVICIOS PARA INVERSIÓN"/>
    <s v="730205 Espectáculos Culturales y Sociales"/>
    <s v="G/730205/1FG101"/>
    <s v="001"/>
    <n v="120000"/>
    <n v="92623.96"/>
    <n v="-50000"/>
    <n v="162623.96"/>
    <n v="92623.96"/>
    <n v="70000"/>
    <n v="70000"/>
    <n v="92623.96"/>
    <n v="92623.96"/>
    <n v="0"/>
  </r>
  <r>
    <s v="73"/>
    <x v="2"/>
    <x v="7"/>
    <s v="ZN02F020"/>
    <x v="46"/>
    <s v="G101"/>
    <s v="ARTE, CULTURA Y PATRIMONIO"/>
    <s v="GI00G10100001D"/>
    <s v="GI00G10100001D AGENDA CULTURAL METROPOLITANA"/>
    <s v="73 BIENES Y SERVICIOS PARA INVERSIÓN"/>
    <s v="730205 Espectáculos Culturales y Sociales"/>
    <s v="G/730205/1FG101"/>
    <s v="001"/>
    <n v="45000"/>
    <n v="136200"/>
    <n v="-45000"/>
    <n v="136200"/>
    <n v="136200"/>
    <n v="0"/>
    <n v="0"/>
    <n v="136200"/>
    <n v="136200"/>
    <n v="0"/>
  </r>
  <r>
    <s v="73"/>
    <x v="2"/>
    <x v="7"/>
    <s v="ZD07F070"/>
    <x v="43"/>
    <s v="G101"/>
    <s v="ARTE, CULTURA Y PATRIMONIO"/>
    <s v="GI00G10100001D"/>
    <s v="GI00G10100001D AGENDA CULTURAL METROPOLITANA"/>
    <s v="73 BIENES Y SERVICIOS PARA INVERSIÓN"/>
    <s v="730205 Espectáculos Culturales y Sociales"/>
    <s v="G/730205/1FG101"/>
    <s v="001"/>
    <n v="45000"/>
    <n v="0"/>
    <n v="-41510"/>
    <n v="3490"/>
    <n v="0"/>
    <n v="3490"/>
    <n v="0"/>
    <n v="0"/>
    <n v="3490"/>
    <n v="0"/>
  </r>
  <r>
    <s v="73"/>
    <x v="2"/>
    <x v="7"/>
    <s v="ZS03F030"/>
    <x v="45"/>
    <s v="G101"/>
    <s v="ARTE, CULTURA Y PATRIMONIO"/>
    <s v="GI00G10100001D"/>
    <s v="GI00G10100001D AGENDA CULTURAL METROPOLITANA"/>
    <s v="73 BIENES Y SERVICIOS PARA INVERSIÓN"/>
    <s v="730205 Espectáculos Culturales y Sociales"/>
    <s v="G/730205/1FG101"/>
    <s v="001"/>
    <n v="38200"/>
    <n v="0"/>
    <n v="-38200"/>
    <n v="0"/>
    <n v="0"/>
    <n v="0"/>
    <n v="0"/>
    <n v="0"/>
    <n v="0"/>
    <n v="0"/>
  </r>
  <r>
    <s v="73"/>
    <x v="2"/>
    <x v="7"/>
    <s v="ZC09F090"/>
    <x v="10"/>
    <s v="G101"/>
    <s v="ARTE, CULTURA Y PATRIMONIO"/>
    <s v="GI00G10100001D"/>
    <s v="GI00G10100001D AGENDA CULTURAL METROPOLITANA"/>
    <s v="73 BIENES Y SERVICIOS PARA INVERSIÓN"/>
    <s v="730205 Espectáculos Culturales y Sociales"/>
    <s v="G/730205/1FG101"/>
    <s v="001"/>
    <n v="45000"/>
    <n v="-8300"/>
    <n v="-3700"/>
    <n v="33000"/>
    <n v="0"/>
    <n v="33000"/>
    <n v="0"/>
    <n v="0"/>
    <n v="33000"/>
    <n v="0"/>
  </r>
  <r>
    <s v="73"/>
    <x v="2"/>
    <x v="7"/>
    <s v="ZT06F060"/>
    <x v="40"/>
    <s v="G101"/>
    <s v="ARTE, CULTURA Y PATRIMONIO"/>
    <s v="GI00G10100001D"/>
    <s v="GI00G10100001D AGENDA CULTURAL METROPOLITANA"/>
    <s v="73 BIENES Y SERVICIOS PARA INVERSIÓN"/>
    <s v="730205 Espectáculos Culturales y Sociales"/>
    <s v="G/730205/1FG101"/>
    <s v="001"/>
    <n v="45000"/>
    <n v="0"/>
    <n v="-45000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01D"/>
    <s v="GI00G10100001D AGENDA CULTURAL METROPOLITANA"/>
    <s v="73 BIENES Y SERVICIOS PARA INVERSIÓN"/>
    <s v="730205 Espectáculos Culturales y Sociales"/>
    <s v="G/730205/1GG101"/>
    <s v="001"/>
    <n v="2492000"/>
    <n v="-632150"/>
    <n v="81400"/>
    <n v="1941250"/>
    <n v="300000"/>
    <n v="1506350"/>
    <n v="1263250"/>
    <n v="434900"/>
    <n v="678000"/>
    <n v="134900"/>
  </r>
  <r>
    <s v="73"/>
    <x v="2"/>
    <x v="7"/>
    <s v="ZD07F070"/>
    <x v="43"/>
    <s v="G101"/>
    <s v="ARTE, CULTURA Y PATRIMONIO"/>
    <s v="GI00G10100001D"/>
    <s v="GI00G10100001D AGENDA CULTURAL METROPOLITANA"/>
    <s v="73 BIENES Y SERVICIOS PARA INVERSIÓN"/>
    <s v="730249 Eventos Públicos Promocionales"/>
    <s v="G/730249/1FG101"/>
    <s v="001"/>
    <n v="0"/>
    <n v="7100"/>
    <n v="0"/>
    <n v="7100"/>
    <n v="0"/>
    <n v="6850"/>
    <n v="0"/>
    <n v="250"/>
    <n v="7100"/>
    <n v="250"/>
  </r>
  <r>
    <s v="73"/>
    <x v="1"/>
    <x v="15"/>
    <s v="ZA01G000"/>
    <x v="26"/>
    <s v="G101"/>
    <s v="ARTE, CULTURA Y PATRIMONIO"/>
    <s v="GI00G10100001D"/>
    <s v="GI00G10100001D AGENDA CULTURAL METROPOLITANA"/>
    <s v="73 BIENES Y SERVICIOS PARA INVERSIÓN"/>
    <s v="730504 Maquinarias y Equipos (Arrendamiento)"/>
    <s v="G/730504/1GG101"/>
    <s v="001"/>
    <n v="1068000"/>
    <n v="-1056000"/>
    <n v="0"/>
    <n v="12000"/>
    <n v="0"/>
    <n v="0"/>
    <n v="0"/>
    <n v="12000"/>
    <n v="12000"/>
    <n v="12000"/>
  </r>
  <r>
    <s v="73"/>
    <x v="1"/>
    <x v="15"/>
    <s v="ZA01G000"/>
    <x v="26"/>
    <s v="G101"/>
    <s v="ARTE, CULTURA Y PATRIMONIO"/>
    <s v="GI00G10100002D"/>
    <s v="GI00G10100002D PROMOCION DE DERECHOS CULTURALES"/>
    <s v="73 BIENES Y SERVICIOS PARA INVERSIÓN"/>
    <s v="730204 Edición, Impresión, Reproducción, Public"/>
    <s v="G/730204/1GG101"/>
    <s v="001"/>
    <n v="28000"/>
    <n v="-28000"/>
    <n v="0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02D"/>
    <s v="GI00G10100002D PROMOCION DE DERECHOS CULTURALES"/>
    <s v="73 BIENES Y SERVICIOS PARA INVERSIÓN"/>
    <s v="730205 Espectáculos Culturales y Sociales"/>
    <s v="G/730205/1GG101"/>
    <s v="001"/>
    <n v="292500"/>
    <n v="-125856"/>
    <n v="-49500"/>
    <n v="117144"/>
    <n v="117144"/>
    <n v="0"/>
    <n v="0"/>
    <n v="117144"/>
    <n v="117144"/>
    <n v="0"/>
  </r>
  <r>
    <s v="73"/>
    <x v="1"/>
    <x v="15"/>
    <s v="ZA01G000"/>
    <x v="26"/>
    <s v="G101"/>
    <s v="ARTE, CULTURA Y PATRIMONIO"/>
    <s v="GI00G10100002D"/>
    <s v="GI00G10100002D PROMOCION DE DERECHOS CULTURALES"/>
    <s v="73 BIENES Y SERVICIOS PARA INVERSIÓN"/>
    <s v="730207 Difusión, Información y Publicidad"/>
    <s v="G/730207/1GG101"/>
    <s v="001"/>
    <n v="7000"/>
    <n v="-4144"/>
    <n v="0"/>
    <n v="2856"/>
    <n v="0"/>
    <n v="2744"/>
    <n v="0"/>
    <n v="112"/>
    <n v="2856"/>
    <n v="112"/>
  </r>
  <r>
    <s v="73"/>
    <x v="1"/>
    <x v="15"/>
    <s v="ZA01G000"/>
    <x v="26"/>
    <s v="G101"/>
    <s v="ARTE, CULTURA Y PATRIMONIO"/>
    <s v="GI00G10100002D"/>
    <s v="GI00G10100002D PROMOCION DE DERECHOS CULTURALES"/>
    <s v="73 BIENES Y SERVICIOS PARA INVERSIÓN"/>
    <s v="730235 Servicio de Alimentación"/>
    <s v="G/730235/1GG101"/>
    <s v="001"/>
    <n v="1000"/>
    <n v="-1000"/>
    <n v="0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02D"/>
    <s v="GI00G10100002D PROMOCION DE DERECHOS CULTURALES"/>
    <s v="73 BIENES Y SERVICIOS PARA INVERSIÓN"/>
    <s v="730402 Edificios, Locales, Residencias y Cablea"/>
    <s v="G/730402/1GG101"/>
    <s v="001"/>
    <n v="20000"/>
    <n v="0"/>
    <n v="-20000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02D"/>
    <s v="GI00G10100002D PROMOCION DE DERECHOS CULTURALES"/>
    <s v="73 BIENES Y SERVICIOS PARA INVERSIÓN"/>
    <s v="730425 Instalación, Readecuación, Montaje de Expos"/>
    <s v="G/730425/1GG101"/>
    <s v="001"/>
    <n v="15000"/>
    <n v="0"/>
    <n v="-15000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02D"/>
    <s v="GI00G10100002D PROMOCION DE DERECHOS CULTURALES"/>
    <s v="73 BIENES Y SERVICIOS PARA INVERSIÓN"/>
    <s v="730606 Honorarios por Contratos Civiles de Servici"/>
    <s v="G/730606/1GG101"/>
    <s v="001"/>
    <n v="65000"/>
    <n v="-60000"/>
    <n v="-5000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02D"/>
    <s v="GI00G10100002D PROMOCION DE DERECHOS CULTURALES"/>
    <s v="73 BIENES Y SERVICIOS PARA INVERSIÓN"/>
    <s v="730613 Capacitación para la Ciudadanía en Gener"/>
    <s v="G/730613/1GG101"/>
    <s v="001"/>
    <n v="95000"/>
    <n v="-95000"/>
    <n v="0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02D"/>
    <s v="GI00G10100002D PROMOCION DE DERECHOS CULTURALES"/>
    <s v="73 BIENES Y SERVICIOS PARA INVERSIÓN"/>
    <s v="730812 Materiales Didácticos"/>
    <s v="G/730812/1GG101"/>
    <s v="001"/>
    <n v="1500"/>
    <n v="-1000"/>
    <n v="-500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03D"/>
    <s v="GI00G10100003D SERVICIOS CULTURALES COMUNITARIOS Y DEPO"/>
    <s v="73 BIENES Y SERVICIOS PARA INVERSIÓN"/>
    <s v="730204 Edición, Impresión, Reproducción, Public"/>
    <s v="G/730204/1GG101"/>
    <s v="001"/>
    <n v="7000"/>
    <n v="0"/>
    <n v="-7000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03D"/>
    <s v="GI00G10100003D SERVICIOS CULTURALES COMUNITARIOS Y DEPO"/>
    <s v="73 BIENES Y SERVICIOS PARA INVERSIÓN"/>
    <s v="730205 Espectáculos Culturales y Sociales"/>
    <s v="G/730205/1GG101"/>
    <s v="001"/>
    <n v="211700"/>
    <n v="-7492.56"/>
    <n v="-100260"/>
    <n v="103947.44"/>
    <n v="103947.44"/>
    <n v="0"/>
    <n v="0"/>
    <n v="103947.44"/>
    <n v="103947.44"/>
    <n v="0"/>
  </r>
  <r>
    <s v="73"/>
    <x v="1"/>
    <x v="15"/>
    <s v="ZA01G000"/>
    <x v="26"/>
    <s v="G101"/>
    <s v="ARTE, CULTURA Y PATRIMONIO"/>
    <s v="GI00G10100003D"/>
    <s v="GI00G10100003D SERVICIOS CULTURALES COMUNITARIOS Y DEPO"/>
    <s v="73 BIENES Y SERVICIOS PARA INVERSIÓN"/>
    <s v="730207 Difusión, Información y Publicidad"/>
    <s v="G/730207/1GG101"/>
    <s v="001"/>
    <n v="7500"/>
    <n v="0"/>
    <n v="-7500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03D"/>
    <s v="GI00G10100003D SERVICIOS CULTURALES COMUNITARIOS Y DEPO"/>
    <s v="73 BIENES Y SERVICIOS PARA INVERSIÓN"/>
    <s v="730209 Servicios de Aseo, Lavado de Vestimenta"/>
    <s v="G/730209/1GG101"/>
    <s v="001"/>
    <n v="51570.400000000001"/>
    <n v="-12229.81"/>
    <n v="-29000"/>
    <n v="10340.59"/>
    <n v="0"/>
    <n v="10340.59"/>
    <n v="10340.59"/>
    <n v="0"/>
    <n v="0"/>
    <n v="0"/>
  </r>
  <r>
    <s v="73"/>
    <x v="1"/>
    <x v="15"/>
    <s v="ZA01G000"/>
    <x v="26"/>
    <s v="G101"/>
    <s v="ARTE, CULTURA Y PATRIMONIO"/>
    <s v="GI00G10100003D"/>
    <s v="GI00G10100003D SERVICIOS CULTURALES COMUNITARIOS Y DEPO"/>
    <s v="73 BIENES Y SERVICIOS PARA INVERSIÓN"/>
    <s v="730402 Edificios, Locales, Residencias y Cablea"/>
    <s v="G/730402/1GG101"/>
    <s v="001"/>
    <n v="184154.4"/>
    <n v="-76032.960000000006"/>
    <n v="-87500"/>
    <n v="20621.439999999999"/>
    <n v="0"/>
    <n v="19477.919999999998"/>
    <n v="4996.32"/>
    <n v="1143.52"/>
    <n v="15625.12"/>
    <n v="1143.52"/>
  </r>
  <r>
    <s v="73"/>
    <x v="1"/>
    <x v="15"/>
    <s v="ZA01G000"/>
    <x v="26"/>
    <s v="G101"/>
    <s v="ARTE, CULTURA Y PATRIMONIO"/>
    <s v="GI00G10100003D"/>
    <s v="GI00G10100003D SERVICIOS CULTURALES COMUNITARIOS Y DEPO"/>
    <s v="73 BIENES Y SERVICIOS PARA INVERSIÓN"/>
    <s v="730403 Mobiliarios (Instalación, Mantenimiento"/>
    <s v="G/730403/1GG101"/>
    <s v="001"/>
    <n v="12804.62"/>
    <n v="0"/>
    <n v="-12804.62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03D"/>
    <s v="GI00G10100003D SERVICIOS CULTURALES COMUNITARIOS Y DEPO"/>
    <s v="73 BIENES Y SERVICIOS PARA INVERSIÓN"/>
    <s v="730404 Maquinarias y Equipos (Instalación, Mant"/>
    <s v="G/730404/1GG101"/>
    <s v="001"/>
    <n v="48352.3"/>
    <n v="-2024.67"/>
    <n v="-29800"/>
    <n v="16527.63"/>
    <n v="0"/>
    <n v="16527.63"/>
    <n v="10911.22"/>
    <n v="0"/>
    <n v="5616.41"/>
    <n v="0"/>
  </r>
  <r>
    <s v="73"/>
    <x v="1"/>
    <x v="15"/>
    <s v="ZA01G000"/>
    <x v="26"/>
    <s v="G101"/>
    <s v="ARTE, CULTURA Y PATRIMONIO"/>
    <s v="GI00G10100003D"/>
    <s v="GI00G10100003D SERVICIOS CULTURALES COMUNITARIOS Y DEPO"/>
    <s v="73 BIENES Y SERVICIOS PARA INVERSIÓN"/>
    <s v="730418 Mantenimiento de Áreas Verdes y Arreglo"/>
    <s v="G/730418/1GG101"/>
    <s v="001"/>
    <n v="20913.28"/>
    <n v="-5000"/>
    <n v="-15913.28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03D"/>
    <s v="GI00G10100003D SERVICIOS CULTURALES COMUNITARIOS Y DEPO"/>
    <s v="73 BIENES Y SERVICIOS PARA INVERSIÓN"/>
    <s v="730606 Honorarios por Contratos Civiles de Servici"/>
    <s v="G/730606/1GG101"/>
    <s v="001"/>
    <n v="2240"/>
    <n v="-2240"/>
    <n v="0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03D"/>
    <s v="GI00G10100003D SERVICIOS CULTURALES COMUNITARIOS Y DEPO"/>
    <s v="73 BIENES Y SERVICIOS PARA INVERSIÓN"/>
    <s v="730613 Capacitación para la Ciudadanía en Gener"/>
    <s v="G/730613/1GG101"/>
    <s v="001"/>
    <n v="95870"/>
    <n v="-61870"/>
    <n v="-34000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03D"/>
    <s v="GI00G10100003D SERVICIOS CULTURALES COMUNITARIOS Y DEPO"/>
    <s v="73 BIENES Y SERVICIOS PARA INVERSIÓN"/>
    <s v="730704 Mantenimiento y Reparación de Equipos y"/>
    <s v="G/730704/1GG101"/>
    <s v="001"/>
    <n v="2500"/>
    <n v="-2500"/>
    <n v="0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03D"/>
    <s v="GI00G10100003D SERVICIOS CULTURALES COMUNITARIOS Y DEPO"/>
    <s v="73 BIENES Y SERVICIOS PARA INVERSIÓN"/>
    <s v="730811 Insumos, Materiales y Suministros para Cons"/>
    <s v="G/730811/1GG101"/>
    <s v="001"/>
    <n v="5340"/>
    <n v="0"/>
    <n v="-5340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03D"/>
    <s v="GI00G10100003D SERVICIOS CULTURALES COMUNITARIOS Y DEPO"/>
    <s v="73 BIENES Y SERVICIOS PARA INVERSIÓN"/>
    <s v="730812 Materiales Didácticos"/>
    <s v="G/730812/1GG101"/>
    <s v="001"/>
    <n v="7000"/>
    <n v="0"/>
    <n v="-7000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03D"/>
    <s v="GI00G10100003D SERVICIOS CULTURALES COMUNITARIOS Y DEPO"/>
    <s v="73 BIENES Y SERVICIOS PARA INVERSIÓN"/>
    <s v="731409 Libros y Colecciones"/>
    <s v="G/731409/1GG101"/>
    <s v="001"/>
    <n v="2000"/>
    <n v="0"/>
    <n v="-2000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03D"/>
    <s v="GI00G10100003D SERVICIOS CULTURALES COMUNITARIOS Y DEPO"/>
    <s v="73 BIENES Y SERVICIOS PARA INVERSIÓN"/>
    <s v="731411 Partes y Repuestos"/>
    <s v="G/731411/1GG101"/>
    <s v="001"/>
    <n v="6160"/>
    <n v="-6160"/>
    <n v="0"/>
    <n v="0"/>
    <n v="0"/>
    <n v="0"/>
    <n v="0"/>
    <n v="0"/>
    <n v="0"/>
    <n v="0"/>
  </r>
  <r>
    <s v="73"/>
    <x v="1"/>
    <x v="15"/>
    <s v="ZA01G040"/>
    <x v="57"/>
    <s v="G101"/>
    <s v="ARTE, CULTURA Y PATRIMONIO"/>
    <s v="GI00G10100004D"/>
    <s v="GI00G10100004D SISTEMA DE CENTROS CULTURALES"/>
    <s v="73 BIENES Y SERVICIOS PARA INVERSIÓN"/>
    <s v="730204 Edición, Impresión, Reproducción, Public"/>
    <s v="G/730204/1GG101"/>
    <s v="001"/>
    <n v="40000"/>
    <n v="0"/>
    <n v="-40000"/>
    <n v="0"/>
    <n v="0"/>
    <n v="0"/>
    <n v="0"/>
    <n v="0"/>
    <n v="0"/>
    <n v="0"/>
  </r>
  <r>
    <s v="73"/>
    <x v="1"/>
    <x v="15"/>
    <s v="ZA01G040"/>
    <x v="57"/>
    <s v="G101"/>
    <s v="ARTE, CULTURA Y PATRIMONIO"/>
    <s v="GI00G10100004D"/>
    <s v="GI00G10100004D SISTEMA DE CENTROS CULTURALES"/>
    <s v="73 BIENES Y SERVICIOS PARA INVERSIÓN"/>
    <s v="730205 Espectáculos Culturales y Sociales"/>
    <s v="G/730205/1GG101"/>
    <s v="001"/>
    <n v="75000"/>
    <n v="-10000"/>
    <n v="-65000"/>
    <n v="0"/>
    <n v="0"/>
    <n v="0"/>
    <n v="0"/>
    <n v="0"/>
    <n v="0"/>
    <n v="0"/>
  </r>
  <r>
    <s v="73"/>
    <x v="1"/>
    <x v="15"/>
    <s v="ZA01G030"/>
    <x v="58"/>
    <s v="G101"/>
    <s v="ARTE, CULTURA Y PATRIMONIO"/>
    <s v="GI00G10100004D"/>
    <s v="GI00G10100004D SISTEMA DE CENTROS CULTURALES"/>
    <s v="73 BIENES Y SERVICIOS PARA INVERSIÓN"/>
    <s v="730205 Espectáculos Culturales y Sociales"/>
    <s v="G/730205/1GG101"/>
    <s v="001"/>
    <n v="196000"/>
    <n v="-23730"/>
    <n v="-168770"/>
    <n v="3500"/>
    <n v="0"/>
    <n v="3500"/>
    <n v="3500"/>
    <n v="0"/>
    <n v="0"/>
    <n v="0"/>
  </r>
  <r>
    <s v="73"/>
    <x v="1"/>
    <x v="15"/>
    <s v="ZA01G030"/>
    <x v="58"/>
    <s v="G101"/>
    <s v="ARTE, CULTURA Y PATRIMONIO"/>
    <s v="GI00G10100004D"/>
    <s v="GI00G10100004D SISTEMA DE CENTROS CULTURALES"/>
    <s v="73 BIENES Y SERVICIOS PARA INVERSIÓN"/>
    <s v="730402 Edificios, Locales, Residencias y Cablea"/>
    <s v="G/730402/1GG101"/>
    <s v="001"/>
    <n v="20000"/>
    <n v="-20000"/>
    <n v="0"/>
    <n v="0"/>
    <n v="0"/>
    <n v="0"/>
    <n v="0"/>
    <n v="0"/>
    <n v="0"/>
    <n v="0"/>
  </r>
  <r>
    <s v="73"/>
    <x v="1"/>
    <x v="15"/>
    <s v="ZA01G030"/>
    <x v="58"/>
    <s v="G101"/>
    <s v="ARTE, CULTURA Y PATRIMONIO"/>
    <s v="GI00G10100004D"/>
    <s v="GI00G10100004D SISTEMA DE CENTROS CULTURALES"/>
    <s v="73 BIENES Y SERVICIOS PARA INVERSIÓN"/>
    <s v="730425 Instalación, Readecuación, Montaje de Expos"/>
    <s v="G/730425/1GG101"/>
    <s v="001"/>
    <n v="14000"/>
    <n v="0"/>
    <n v="-14000"/>
    <n v="0"/>
    <n v="0"/>
    <n v="0"/>
    <n v="0"/>
    <n v="0"/>
    <n v="0"/>
    <n v="0"/>
  </r>
  <r>
    <s v="73"/>
    <x v="1"/>
    <x v="15"/>
    <s v="ZA01G040"/>
    <x v="57"/>
    <s v="G101"/>
    <s v="ARTE, CULTURA Y PATRIMONIO"/>
    <s v="GI00G10100004D"/>
    <s v="GI00G10100004D SISTEMA DE CENTROS CULTURALES"/>
    <s v="73 BIENES Y SERVICIOS PARA INVERSIÓN"/>
    <s v="730613 Capacitación para la Ciudadanía en Gener"/>
    <s v="G/730613/1GG101"/>
    <s v="001"/>
    <n v="15000"/>
    <n v="0"/>
    <n v="-15000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07D"/>
    <s v="GI00G10100007D AMPLIACION DE LA OFERTA CULTURAL A TRAVE"/>
    <s v="73 BIENES Y SERVICIOS PARA INVERSIÓN"/>
    <s v="730605 Estudio y Diseño de Proyectos"/>
    <s v="G/730605/1GG101"/>
    <s v="001"/>
    <n v="50000"/>
    <n v="-50000"/>
    <n v="0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07D"/>
    <s v="GI00G10100007D AMPLIACION DE LA OFERTA CULTURAL A TRAVE"/>
    <s v="73 BIENES Y SERVICIOS PARA INVERSIÓN"/>
    <s v="730606 Honorarios por Contratos Civiles de Servici"/>
    <s v="G/730606/1GG101"/>
    <s v="001"/>
    <n v="50000"/>
    <n v="-50000"/>
    <n v="0"/>
    <n v="0"/>
    <n v="0"/>
    <n v="0"/>
    <n v="0"/>
    <n v="0"/>
    <n v="0"/>
    <n v="0"/>
  </r>
  <r>
    <s v="73"/>
    <x v="1"/>
    <x v="15"/>
    <s v="ZA01G030"/>
    <x v="58"/>
    <s v="G101"/>
    <s v="ARTE, CULTURA Y PATRIMONIO"/>
    <s v="GI00G10100008D"/>
    <s v="GI00G10100008D FORTALECIMIENTO DE LA RED METROPOLITANA"/>
    <s v="73 BIENES Y SERVICIOS PARA INVERSIÓN"/>
    <s v="730204 Edición, Impresión, Reproducción, Public"/>
    <s v="G/730204/1GG101"/>
    <s v="001"/>
    <n v="15000"/>
    <n v="0"/>
    <n v="-15000"/>
    <n v="0"/>
    <n v="0"/>
    <n v="0"/>
    <n v="0"/>
    <n v="0"/>
    <n v="0"/>
    <n v="0"/>
  </r>
  <r>
    <s v="73"/>
    <x v="1"/>
    <x v="15"/>
    <s v="ZA01G030"/>
    <x v="58"/>
    <s v="G101"/>
    <s v="ARTE, CULTURA Y PATRIMONIO"/>
    <s v="GI00G10100008D"/>
    <s v="GI00G10100008D FORTALECIMIENTO DE LA RED METROPOLITANA"/>
    <s v="73 BIENES Y SERVICIOS PARA INVERSIÓN"/>
    <s v="730239 Membrecías"/>
    <s v="G/730239/1GG101"/>
    <s v="001"/>
    <n v="5080"/>
    <n v="0"/>
    <n v="0"/>
    <n v="5080"/>
    <n v="0"/>
    <n v="0"/>
    <n v="0"/>
    <n v="5080"/>
    <n v="5080"/>
    <n v="5080"/>
  </r>
  <r>
    <s v="73"/>
    <x v="1"/>
    <x v="15"/>
    <s v="ZA01G030"/>
    <x v="58"/>
    <s v="G101"/>
    <s v="ARTE, CULTURA Y PATRIMONIO"/>
    <s v="GI00G10100008D"/>
    <s v="GI00G10100008D FORTALECIMIENTO DE LA RED METROPOLITANA"/>
    <s v="73 BIENES Y SERVICIOS PARA INVERSIÓN"/>
    <s v="730302 Pasajes al Exterior"/>
    <s v="G/730302/1GG101"/>
    <s v="001"/>
    <n v="2500"/>
    <n v="-2500"/>
    <n v="0"/>
    <n v="0"/>
    <n v="0"/>
    <n v="0"/>
    <n v="0"/>
    <n v="0"/>
    <n v="0"/>
    <n v="0"/>
  </r>
  <r>
    <s v="73"/>
    <x v="1"/>
    <x v="15"/>
    <s v="ZA01G030"/>
    <x v="58"/>
    <s v="G101"/>
    <s v="ARTE, CULTURA Y PATRIMONIO"/>
    <s v="GI00G10100008D"/>
    <s v="GI00G10100008D FORTALECIMIENTO DE LA RED METROPOLITANA"/>
    <s v="73 BIENES Y SERVICIOS PARA INVERSIÓN"/>
    <s v="730402 Edificios, Locales, Residencias y Cablea"/>
    <s v="G/730402/1GG101"/>
    <s v="001"/>
    <n v="10000"/>
    <n v="0"/>
    <n v="-10000"/>
    <n v="0"/>
    <n v="0"/>
    <n v="0"/>
    <n v="0"/>
    <n v="0"/>
    <n v="0"/>
    <n v="0"/>
  </r>
  <r>
    <s v="73"/>
    <x v="1"/>
    <x v="15"/>
    <s v="ZA01G030"/>
    <x v="58"/>
    <s v="G101"/>
    <s v="ARTE, CULTURA Y PATRIMONIO"/>
    <s v="GI00G10100008D"/>
    <s v="GI00G10100008D FORTALECIMIENTO DE LA RED METROPOLITANA"/>
    <s v="73 BIENES Y SERVICIOS PARA INVERSIÓN"/>
    <s v="730602 Servicio de Auditoría"/>
    <s v="G/730602/1GG101"/>
    <s v="001"/>
    <n v="5000"/>
    <n v="-5000"/>
    <n v="0"/>
    <n v="0"/>
    <n v="0"/>
    <n v="0"/>
    <n v="0"/>
    <n v="0"/>
    <n v="0"/>
    <n v="0"/>
  </r>
  <r>
    <s v="73"/>
    <x v="1"/>
    <x v="15"/>
    <s v="ZA01G030"/>
    <x v="58"/>
    <s v="G101"/>
    <s v="ARTE, CULTURA Y PATRIMONIO"/>
    <s v="GI00G10100008D"/>
    <s v="GI00G10100008D FORTALECIMIENTO DE LA RED METROPOLITANA"/>
    <s v="73 BIENES Y SERVICIOS PARA INVERSIÓN"/>
    <s v="730605 Estudio y Diseño de Proyectos"/>
    <s v="G/730605/1GG101"/>
    <s v="001"/>
    <n v="15000"/>
    <n v="0"/>
    <n v="-15000"/>
    <n v="0"/>
    <n v="0"/>
    <n v="0"/>
    <n v="0"/>
    <n v="0"/>
    <n v="0"/>
    <n v="0"/>
  </r>
  <r>
    <s v="73"/>
    <x v="1"/>
    <x v="15"/>
    <s v="ZA01G030"/>
    <x v="58"/>
    <s v="G101"/>
    <s v="ARTE, CULTURA Y PATRIMONIO"/>
    <s v="GI00G10100008D"/>
    <s v="GI00G10100008D FORTALECIMIENTO DE LA RED METROPOLITANA"/>
    <s v="73 BIENES Y SERVICIOS PARA INVERSIÓN"/>
    <s v="730804 Materiales de Oficina"/>
    <s v="G/730804/1GG101"/>
    <s v="001"/>
    <n v="2500"/>
    <n v="0"/>
    <n v="-2500"/>
    <n v="0"/>
    <n v="0"/>
    <n v="0"/>
    <n v="0"/>
    <n v="0"/>
    <n v="0"/>
    <n v="0"/>
  </r>
  <r>
    <s v="73"/>
    <x v="1"/>
    <x v="15"/>
    <s v="ZA01G030"/>
    <x v="58"/>
    <s v="G101"/>
    <s v="ARTE, CULTURA Y PATRIMONIO"/>
    <s v="GI00G10100008D"/>
    <s v="GI00G10100008D FORTALECIMIENTO DE LA RED METROPOLITANA"/>
    <s v="73 BIENES Y SERVICIOS PARA INVERSIÓN"/>
    <s v="730812 Materiales Didácticos"/>
    <s v="G/730812/1GG101"/>
    <s v="001"/>
    <n v="30000"/>
    <n v="0"/>
    <n v="-30000"/>
    <n v="0"/>
    <n v="0"/>
    <n v="0"/>
    <n v="0"/>
    <n v="0"/>
    <n v="0"/>
    <n v="0"/>
  </r>
  <r>
    <s v="73"/>
    <x v="1"/>
    <x v="15"/>
    <s v="ZA01G030"/>
    <x v="58"/>
    <s v="G101"/>
    <s v="ARTE, CULTURA Y PATRIMONIO"/>
    <s v="GI00G10100008D"/>
    <s v="GI00G10100008D FORTALECIMIENTO DE LA RED METROPOLITANA"/>
    <s v="73 BIENES Y SERVICIOS PARA INVERSIÓN"/>
    <s v="731403 Mobiliarios"/>
    <s v="G/731403/1GG101"/>
    <s v="001"/>
    <n v="25000"/>
    <n v="-5000"/>
    <n v="-20000"/>
    <n v="0"/>
    <n v="0"/>
    <n v="0"/>
    <n v="0"/>
    <n v="0"/>
    <n v="0"/>
    <n v="0"/>
  </r>
  <r>
    <s v="73"/>
    <x v="1"/>
    <x v="15"/>
    <s v="ZA01G030"/>
    <x v="58"/>
    <s v="G101"/>
    <s v="ARTE, CULTURA Y PATRIMONIO"/>
    <s v="GI00G10100008D"/>
    <s v="GI00G10100008D FORTALECIMIENTO DE LA RED METROPOLITANA"/>
    <s v="73 BIENES Y SERVICIOS PARA INVERSIÓN"/>
    <s v="731404 Maquinarias y Equipos"/>
    <s v="G/731404/1GG101"/>
    <s v="001"/>
    <n v="10200"/>
    <n v="-10200"/>
    <n v="0"/>
    <n v="0"/>
    <n v="0"/>
    <n v="0"/>
    <n v="0"/>
    <n v="0"/>
    <n v="0"/>
    <n v="0"/>
  </r>
  <r>
    <s v="73"/>
    <x v="1"/>
    <x v="15"/>
    <s v="ZA01G030"/>
    <x v="58"/>
    <s v="G101"/>
    <s v="ARTE, CULTURA Y PATRIMONIO"/>
    <s v="GI00G10100008D"/>
    <s v="GI00G10100008D FORTALECIMIENTO DE LA RED METROPOLITANA"/>
    <s v="73 BIENES Y SERVICIOS PARA INVERSIÓN"/>
    <s v="731407 Equipos, Sistemas y Paquetes Informáticos"/>
    <s v="G/731407/1GG101"/>
    <s v="001"/>
    <n v="18650"/>
    <n v="0"/>
    <n v="-18650"/>
    <n v="0"/>
    <n v="0"/>
    <n v="0"/>
    <n v="0"/>
    <n v="0"/>
    <n v="0"/>
    <n v="0"/>
  </r>
  <r>
    <s v="73"/>
    <x v="1"/>
    <x v="15"/>
    <s v="ZA01G030"/>
    <x v="58"/>
    <s v="G101"/>
    <s v="ARTE, CULTURA Y PATRIMONIO"/>
    <s v="GI00G10100008D"/>
    <s v="GI00G10100008D FORTALECIMIENTO DE LA RED METROPOLITANA"/>
    <s v="73 BIENES Y SERVICIOS PARA INVERSIÓN"/>
    <s v="731409 Libros y Colecciones"/>
    <s v="G/731409/1GG101"/>
    <s v="001"/>
    <n v="7000"/>
    <n v="0"/>
    <n v="-7000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11D"/>
    <s v="GI00G10100011D TERRITORIO Y CULTURA"/>
    <s v="73 BIENES Y SERVICIOS PARA INVERSIÓN"/>
    <s v="730204 Edición, Impresión, Reproducción, Public"/>
    <s v="G/730204/1GG101"/>
    <s v="001"/>
    <n v="33700"/>
    <n v="-17700"/>
    <n v="-16000"/>
    <n v="0"/>
    <n v="0"/>
    <n v="0"/>
    <n v="0"/>
    <n v="0"/>
    <n v="0"/>
    <n v="0"/>
  </r>
  <r>
    <s v="73"/>
    <x v="2"/>
    <x v="7"/>
    <s v="ZS03F030"/>
    <x v="45"/>
    <s v="G101"/>
    <s v="ARTE, CULTURA Y PATRIMONIO"/>
    <s v="GI00G10100011D"/>
    <s v="GI00G10100011D TERRITORIO Y CULTURA"/>
    <s v="73 BIENES Y SERVICIOS PARA INVERSIÓN"/>
    <s v="730204 Edición, Impresión, Reproducción, Public"/>
    <s v="G/730204/1FG101"/>
    <s v="001"/>
    <n v="3000"/>
    <n v="0"/>
    <n v="-3000"/>
    <n v="0"/>
    <n v="0"/>
    <n v="0"/>
    <n v="0"/>
    <n v="0"/>
    <n v="0"/>
    <n v="0"/>
  </r>
  <r>
    <s v="73"/>
    <x v="2"/>
    <x v="7"/>
    <s v="ZC09F090"/>
    <x v="10"/>
    <s v="G101"/>
    <s v="ARTE, CULTURA Y PATRIMONIO"/>
    <s v="GI00G10100011D"/>
    <s v="GI00G10100011D TERRITORIO Y CULTURA"/>
    <s v="73 BIENES Y SERVICIOS PARA INVERSIÓN"/>
    <s v="730204 Edición, Impresión, Reproducción, Public"/>
    <s v="G/730204/1FG101"/>
    <s v="001"/>
    <n v="3000"/>
    <n v="0"/>
    <n v="-3000"/>
    <n v="0"/>
    <n v="0"/>
    <n v="0"/>
    <n v="0"/>
    <n v="0"/>
    <n v="0"/>
    <n v="0"/>
  </r>
  <r>
    <s v="73"/>
    <x v="2"/>
    <x v="7"/>
    <s v="ZT06F060"/>
    <x v="40"/>
    <s v="G101"/>
    <s v="ARTE, CULTURA Y PATRIMONIO"/>
    <s v="GI00G10100011D"/>
    <s v="GI00G10100011D TERRITORIO Y CULTURA"/>
    <s v="73 BIENES Y SERVICIOS PARA INVERSIÓN"/>
    <s v="730205 Espectáculos Culturales y Sociales"/>
    <s v="G/730205/1FG101"/>
    <s v="001"/>
    <n v="62000"/>
    <n v="122775.43"/>
    <n v="-59000"/>
    <n v="125775.43"/>
    <n v="0"/>
    <n v="3000"/>
    <n v="0"/>
    <n v="122775.43"/>
    <n v="125775.43"/>
    <n v="122775.43"/>
  </r>
  <r>
    <s v="73"/>
    <x v="2"/>
    <x v="7"/>
    <s v="ZQ08F080"/>
    <x v="44"/>
    <s v="G101"/>
    <s v="ARTE, CULTURA Y PATRIMONIO"/>
    <s v="GI00G10100011D"/>
    <s v="GI00G10100011D TERRITORIO Y CULTURA"/>
    <s v="73 BIENES Y SERVICIOS PARA INVERSIÓN"/>
    <s v="730205 Espectáculos Culturales y Sociales"/>
    <s v="G/730205/1FG101"/>
    <s v="001"/>
    <n v="66000"/>
    <n v="0"/>
    <n v="-66000"/>
    <n v="0"/>
    <n v="0"/>
    <n v="0"/>
    <n v="0"/>
    <n v="0"/>
    <n v="0"/>
    <n v="0"/>
  </r>
  <r>
    <s v="73"/>
    <x v="2"/>
    <x v="7"/>
    <s v="ZN02F020"/>
    <x v="46"/>
    <s v="G101"/>
    <s v="ARTE, CULTURA Y PATRIMONIO"/>
    <s v="GI00G10100011D"/>
    <s v="GI00G10100011D TERRITORIO Y CULTURA"/>
    <s v="73 BIENES Y SERVICIOS PARA INVERSIÓN"/>
    <s v="730205 Espectáculos Culturales y Sociales"/>
    <s v="G/730205/1FG101"/>
    <s v="001"/>
    <n v="67000"/>
    <n v="0"/>
    <n v="-67000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11D"/>
    <s v="GI00G10100011D TERRITORIO Y CULTURA"/>
    <s v="73 BIENES Y SERVICIOS PARA INVERSIÓN"/>
    <s v="730205 Espectáculos Culturales y Sociales"/>
    <s v="G/730205/1GG101"/>
    <s v="001"/>
    <n v="505200"/>
    <n v="-365000"/>
    <n v="-140200"/>
    <n v="0"/>
    <n v="0"/>
    <n v="0"/>
    <n v="0"/>
    <n v="0"/>
    <n v="0"/>
    <n v="0"/>
  </r>
  <r>
    <s v="73"/>
    <x v="2"/>
    <x v="7"/>
    <s v="ZV05F050"/>
    <x v="39"/>
    <s v="G101"/>
    <s v="ARTE, CULTURA Y PATRIMONIO"/>
    <s v="GI00G10100011D"/>
    <s v="GI00G10100011D TERRITORIO Y CULTURA"/>
    <s v="73 BIENES Y SERVICIOS PARA INVERSIÓN"/>
    <s v="730205 Espectáculos Culturales y Sociales"/>
    <s v="G/730205/1FG101"/>
    <s v="001"/>
    <n v="62000"/>
    <n v="0"/>
    <n v="-62000"/>
    <n v="0"/>
    <n v="0"/>
    <n v="0"/>
    <n v="0"/>
    <n v="0"/>
    <n v="0"/>
    <n v="0"/>
  </r>
  <r>
    <s v="73"/>
    <x v="2"/>
    <x v="7"/>
    <s v="TM68F100"/>
    <x v="36"/>
    <s v="G101"/>
    <s v="ARTE, CULTURA Y PATRIMONIO"/>
    <s v="GI00G10100011D"/>
    <s v="GI00G10100011D TERRITORIO Y CULTURA"/>
    <s v="73 BIENES Y SERVICIOS PARA INVERSIÓN"/>
    <s v="730205 Espectáculos Culturales y Sociales"/>
    <s v="G/730205/1FG101"/>
    <s v="001"/>
    <n v="30000"/>
    <n v="0"/>
    <n v="-30000"/>
    <n v="0"/>
    <n v="0"/>
    <n v="0"/>
    <n v="0"/>
    <n v="0"/>
    <n v="0"/>
    <n v="0"/>
  </r>
  <r>
    <s v="73"/>
    <x v="2"/>
    <x v="7"/>
    <s v="ZS03F030"/>
    <x v="45"/>
    <s v="G101"/>
    <s v="ARTE, CULTURA Y PATRIMONIO"/>
    <s v="GI00G10100011D"/>
    <s v="GI00G10100011D TERRITORIO Y CULTURA"/>
    <s v="73 BIENES Y SERVICIOS PARA INVERSIÓN"/>
    <s v="730205 Espectáculos Culturales y Sociales"/>
    <s v="G/730205/1FG101"/>
    <s v="001"/>
    <n v="77250"/>
    <n v="80108.149999999994"/>
    <n v="-64830"/>
    <n v="92528.15"/>
    <n v="300.24"/>
    <n v="12119.76"/>
    <n v="11656.22"/>
    <n v="80408.39"/>
    <n v="80871.929999999993"/>
    <n v="80108.149999999994"/>
  </r>
  <r>
    <s v="73"/>
    <x v="2"/>
    <x v="7"/>
    <s v="ZC09F090"/>
    <x v="10"/>
    <s v="G101"/>
    <s v="ARTE, CULTURA Y PATRIMONIO"/>
    <s v="GI00G10100011D"/>
    <s v="GI00G10100011D TERRITORIO Y CULTURA"/>
    <s v="73 BIENES Y SERVICIOS PARA INVERSIÓN"/>
    <s v="730205 Espectáculos Culturales y Sociales"/>
    <s v="G/730205/1FG101"/>
    <s v="001"/>
    <n v="50000"/>
    <n v="0"/>
    <n v="-10000"/>
    <n v="40000"/>
    <n v="0"/>
    <n v="40000"/>
    <n v="18750"/>
    <n v="0"/>
    <n v="21250"/>
    <n v="0"/>
  </r>
  <r>
    <s v="73"/>
    <x v="2"/>
    <x v="7"/>
    <s v="ZD07F070"/>
    <x v="43"/>
    <s v="G101"/>
    <s v="ARTE, CULTURA Y PATRIMONIO"/>
    <s v="GI00G10100011D"/>
    <s v="GI00G10100011D TERRITORIO Y CULTURA"/>
    <s v="73 BIENES Y SERVICIOS PARA INVERSIÓN"/>
    <s v="730205 Espectáculos Culturales y Sociales"/>
    <s v="G/730205/1FG101"/>
    <s v="001"/>
    <n v="67000"/>
    <n v="0"/>
    <n v="-59905"/>
    <n v="7095"/>
    <n v="0"/>
    <n v="7095"/>
    <n v="7095"/>
    <n v="0"/>
    <n v="0"/>
    <n v="0"/>
  </r>
  <r>
    <s v="73"/>
    <x v="2"/>
    <x v="7"/>
    <s v="ZM04F040"/>
    <x v="41"/>
    <s v="G101"/>
    <s v="ARTE, CULTURA Y PATRIMONIO"/>
    <s v="GI00G10100011D"/>
    <s v="GI00G10100011D TERRITORIO Y CULTURA"/>
    <s v="73 BIENES Y SERVICIOS PARA INVERSIÓN"/>
    <s v="730205 Espectáculos Culturales y Sociales"/>
    <s v="G/730205/1FG101"/>
    <s v="001"/>
    <n v="62000"/>
    <n v="0"/>
    <n v="-62000"/>
    <n v="0"/>
    <n v="0"/>
    <n v="0"/>
    <n v="0"/>
    <n v="0"/>
    <n v="0"/>
    <n v="0"/>
  </r>
  <r>
    <s v="73"/>
    <x v="2"/>
    <x v="7"/>
    <s v="ZC09F090"/>
    <x v="10"/>
    <s v="G101"/>
    <s v="ARTE, CULTURA Y PATRIMONIO"/>
    <s v="GI00G10100011D"/>
    <s v="GI00G10100011D TERRITORIO Y CULTURA"/>
    <s v="73 BIENES Y SERVICIOS PARA INVERSIÓN"/>
    <s v="730235 Servicio de Alimentación"/>
    <s v="G/730235/1FG101"/>
    <s v="001"/>
    <n v="2000"/>
    <n v="0"/>
    <n v="-2000"/>
    <n v="0"/>
    <n v="0"/>
    <n v="0"/>
    <n v="0"/>
    <n v="0"/>
    <n v="0"/>
    <n v="0"/>
  </r>
  <r>
    <s v="73"/>
    <x v="2"/>
    <x v="7"/>
    <s v="ZS03F030"/>
    <x v="45"/>
    <s v="G101"/>
    <s v="ARTE, CULTURA Y PATRIMONIO"/>
    <s v="GI00G10100011D"/>
    <s v="GI00G10100011D TERRITORIO Y CULTURA"/>
    <s v="73 BIENES Y SERVICIOS PARA INVERSIÓN"/>
    <s v="730235 Servicio de Alimentación"/>
    <s v="G/730235/1FG101"/>
    <s v="001"/>
    <n v="1750"/>
    <n v="0"/>
    <n v="-1050"/>
    <n v="700"/>
    <n v="204.4"/>
    <n v="495.6"/>
    <n v="495.6"/>
    <n v="204.4"/>
    <n v="204.4"/>
    <n v="0"/>
  </r>
  <r>
    <s v="73"/>
    <x v="2"/>
    <x v="7"/>
    <s v="TM68F100"/>
    <x v="36"/>
    <s v="G101"/>
    <s v="ARTE, CULTURA Y PATRIMONIO"/>
    <s v="GI00G10100011D"/>
    <s v="GI00G10100011D TERRITORIO Y CULTURA"/>
    <s v="73 BIENES Y SERVICIOS PARA INVERSIÓN"/>
    <s v="730249 Eventos Públicos Promocionales"/>
    <s v="G/730249/1FG101"/>
    <s v="001"/>
    <n v="10000"/>
    <n v="0"/>
    <n v="0"/>
    <n v="10000"/>
    <n v="0"/>
    <n v="9998.7199999999993"/>
    <n v="5415.2"/>
    <n v="1.28"/>
    <n v="4584.8"/>
    <n v="1.28"/>
  </r>
  <r>
    <s v="73"/>
    <x v="2"/>
    <x v="7"/>
    <s v="ZD07F070"/>
    <x v="43"/>
    <s v="G101"/>
    <s v="ARTE, CULTURA Y PATRIMONIO"/>
    <s v="GI00G10100011D"/>
    <s v="GI00G10100011D TERRITORIO Y CULTURA"/>
    <s v="73 BIENES Y SERVICIOS PARA INVERSIÓN"/>
    <s v="730249 Eventos Públicos Promocionales"/>
    <s v="G/730249/1FG101"/>
    <s v="001"/>
    <n v="0"/>
    <n v="7900"/>
    <n v="0"/>
    <n v="7900"/>
    <n v="0"/>
    <n v="7879.2"/>
    <n v="0"/>
    <n v="20.8"/>
    <n v="7900"/>
    <n v="20.8"/>
  </r>
  <r>
    <s v="73"/>
    <x v="1"/>
    <x v="15"/>
    <s v="ZA01G000"/>
    <x v="26"/>
    <s v="G101"/>
    <s v="ARTE, CULTURA Y PATRIMONIO"/>
    <s v="GI00G10100011D"/>
    <s v="GI00G10100011D TERRITORIO Y CULTURA"/>
    <s v="73 BIENES Y SERVICIOS PARA INVERSIÓN"/>
    <s v="730402 Edificios, Locales, Residencias y Cablea"/>
    <s v="G/730402/1GG101"/>
    <s v="001"/>
    <n v="60000"/>
    <n v="-7000"/>
    <n v="-48000"/>
    <n v="5000"/>
    <n v="0"/>
    <n v="0"/>
    <n v="0"/>
    <n v="5000"/>
    <n v="5000"/>
    <n v="5000"/>
  </r>
  <r>
    <s v="73"/>
    <x v="1"/>
    <x v="15"/>
    <s v="ZA01G000"/>
    <x v="26"/>
    <s v="G101"/>
    <s v="ARTE, CULTURA Y PATRIMONIO"/>
    <s v="GI00G10100011D"/>
    <s v="GI00G10100011D TERRITORIO Y CULTURA"/>
    <s v="73 BIENES Y SERVICIOS PARA INVERSIÓN"/>
    <s v="730404 Maquinarias y Equipos (Instalación, Mant"/>
    <s v="G/730404/1GG101"/>
    <s v="001"/>
    <n v="8000"/>
    <n v="0"/>
    <n v="-7000"/>
    <n v="1000"/>
    <n v="0"/>
    <n v="0"/>
    <n v="0"/>
    <n v="1000"/>
    <n v="1000"/>
    <n v="1000"/>
  </r>
  <r>
    <s v="73"/>
    <x v="1"/>
    <x v="15"/>
    <s v="ZA01G000"/>
    <x v="26"/>
    <s v="G101"/>
    <s v="ARTE, CULTURA Y PATRIMONIO"/>
    <s v="GI00G10100011D"/>
    <s v="GI00G10100011D TERRITORIO Y CULTURA"/>
    <s v="73 BIENES Y SERVICIOS PARA INVERSIÓN"/>
    <s v="730504 Maquinarias y Equipos (Arrendamiento)"/>
    <s v="G/730504/1GG101"/>
    <s v="001"/>
    <n v="113000"/>
    <n v="-89000"/>
    <n v="-24000"/>
    <n v="0"/>
    <n v="0"/>
    <n v="0"/>
    <n v="0"/>
    <n v="0"/>
    <n v="0"/>
    <n v="0"/>
  </r>
  <r>
    <s v="73"/>
    <x v="2"/>
    <x v="7"/>
    <s v="ZC09F090"/>
    <x v="10"/>
    <s v="G101"/>
    <s v="ARTE, CULTURA Y PATRIMONIO"/>
    <s v="GI00G10100011D"/>
    <s v="GI00G10100011D TERRITORIO Y CULTURA"/>
    <s v="73 BIENES Y SERVICIOS PARA INVERSIÓN"/>
    <s v="730505 Vehículos (Arrendamiento)"/>
    <s v="G/730505/1FG101"/>
    <s v="001"/>
    <n v="2000"/>
    <n v="0"/>
    <n v="-2000"/>
    <n v="0"/>
    <n v="0"/>
    <n v="0"/>
    <n v="0"/>
    <n v="0"/>
    <n v="0"/>
    <n v="0"/>
  </r>
  <r>
    <s v="73"/>
    <x v="2"/>
    <x v="7"/>
    <s v="ZC09F090"/>
    <x v="10"/>
    <s v="G101"/>
    <s v="ARTE, CULTURA Y PATRIMONIO"/>
    <s v="GI00G10100011D"/>
    <s v="GI00G10100011D TERRITORIO Y CULTURA"/>
    <s v="73 BIENES Y SERVICIOS PARA INVERSIÓN"/>
    <s v="730606 Honorarios por Contratos Civiles de Servici"/>
    <s v="G/730606/1FG101"/>
    <s v="001"/>
    <n v="0"/>
    <n v="8300"/>
    <n v="-8300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11D"/>
    <s v="GI00G10100011D TERRITORIO Y CULTURA"/>
    <s v="73 BIENES Y SERVICIOS PARA INVERSIÓN"/>
    <s v="730606 Honorarios por Contratos Civiles de Servici"/>
    <s v="G/730606/1GG101"/>
    <s v="001"/>
    <n v="24000"/>
    <n v="-14000"/>
    <n v="-10000"/>
    <n v="0"/>
    <n v="0"/>
    <n v="0"/>
    <n v="0"/>
    <n v="0"/>
    <n v="0"/>
    <n v="0"/>
  </r>
  <r>
    <s v="73"/>
    <x v="2"/>
    <x v="7"/>
    <s v="ZQ08F080"/>
    <x v="44"/>
    <s v="G101"/>
    <s v="ARTE, CULTURA Y PATRIMONIO"/>
    <s v="GI00G10100011D"/>
    <s v="GI00G10100011D TERRITORIO Y CULTURA"/>
    <s v="73 BIENES Y SERVICIOS PARA INVERSIÓN"/>
    <s v="730613 Capacitación para la Ciudadanía en Gener"/>
    <s v="G/730613/1FG101"/>
    <s v="001"/>
    <n v="6000"/>
    <n v="0"/>
    <n v="-6000"/>
    <n v="0"/>
    <n v="0"/>
    <n v="0"/>
    <n v="0"/>
    <n v="0"/>
    <n v="0"/>
    <n v="0"/>
  </r>
  <r>
    <s v="73"/>
    <x v="2"/>
    <x v="7"/>
    <s v="ZC09F090"/>
    <x v="10"/>
    <s v="G101"/>
    <s v="ARTE, CULTURA Y PATRIMONIO"/>
    <s v="GI00G10100011D"/>
    <s v="GI00G10100011D TERRITORIO Y CULTURA"/>
    <s v="73 BIENES Y SERVICIOS PARA INVERSIÓN"/>
    <s v="730613 Capacitación para la Ciudadanía en Gener"/>
    <s v="G/730613/1FG101"/>
    <s v="001"/>
    <n v="2000"/>
    <n v="0"/>
    <n v="-2000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11D"/>
    <s v="GI00G10100011D TERRITORIO Y CULTURA"/>
    <s v="73 BIENES Y SERVICIOS PARA INVERSIÓN"/>
    <s v="730811 Insumos, Materiales y Suministros para Cons"/>
    <s v="G/730811/1GG101"/>
    <s v="001"/>
    <n v="3000"/>
    <n v="0"/>
    <n v="0"/>
    <n v="3000"/>
    <n v="0"/>
    <n v="0"/>
    <n v="0"/>
    <n v="3000"/>
    <n v="3000"/>
    <n v="3000"/>
  </r>
  <r>
    <s v="73"/>
    <x v="2"/>
    <x v="7"/>
    <s v="ZC09F090"/>
    <x v="10"/>
    <s v="G101"/>
    <s v="ARTE, CULTURA Y PATRIMONIO"/>
    <s v="GI00G10100011D"/>
    <s v="GI00G10100011D TERRITORIO Y CULTURA"/>
    <s v="73 BIENES Y SERVICIOS PARA INVERSIÓN"/>
    <s v="730812 Materiales Didácticos"/>
    <s v="G/730812/1FG101"/>
    <s v="001"/>
    <n v="3000"/>
    <n v="0"/>
    <n v="-3000"/>
    <n v="0"/>
    <n v="0"/>
    <n v="0"/>
    <n v="0"/>
    <n v="0"/>
    <n v="0"/>
    <n v="0"/>
  </r>
  <r>
    <s v="73"/>
    <x v="1"/>
    <x v="15"/>
    <s v="ZA01G000"/>
    <x v="26"/>
    <s v="G101"/>
    <s v="ARTE, CULTURA Y PATRIMONIO"/>
    <s v="GI00G10100011D"/>
    <s v="GI00G10100011D TERRITORIO Y CULTURA"/>
    <s v="73 BIENES Y SERVICIOS PARA INVERSIÓN"/>
    <s v="730813 Repuestos y Accesorios"/>
    <s v="G/730813/1GG101"/>
    <s v="001"/>
    <n v="10000"/>
    <n v="0"/>
    <n v="0"/>
    <n v="10000"/>
    <n v="0.43"/>
    <n v="7799.56"/>
    <n v="7799.56"/>
    <n v="2200.44"/>
    <n v="2200.44"/>
    <n v="2200.0100000000002"/>
  </r>
  <r>
    <s v="73"/>
    <x v="1"/>
    <x v="15"/>
    <s v="ZA01G000"/>
    <x v="26"/>
    <s v="G101"/>
    <s v="ARTE, CULTURA Y PATRIMONIO"/>
    <s v="GI00G10100011D"/>
    <s v="GI00G10100011D TERRITORIO Y CULTURA"/>
    <s v="73 BIENES Y SERVICIOS PARA INVERSIÓN"/>
    <s v="731403 Mobiliarios"/>
    <s v="G/731403/1GG101"/>
    <s v="001"/>
    <n v="2000"/>
    <n v="0"/>
    <n v="-2000"/>
    <n v="0"/>
    <n v="0"/>
    <n v="0"/>
    <n v="0"/>
    <n v="0"/>
    <n v="0"/>
    <n v="0"/>
  </r>
  <r>
    <s v="73"/>
    <x v="3"/>
    <x v="6"/>
    <s v="AC67Q000"/>
    <x v="9"/>
    <s v="H209"/>
    <s v="FOMENTO DEL DESARROLLO ECONÓMICO LOCAL"/>
    <s v="GI00H20900001D"/>
    <s v="GI00H20900001D REPOTENCIACION DE INFRAESTRUCTURA DE MER"/>
    <s v="73 BIENES Y SERVICIOS PARA INVERSIÓN"/>
    <s v="730402 Edificios, Locales, Residencias y Cablea"/>
    <s v="G/730402/2QH209"/>
    <s v="001"/>
    <n v="0"/>
    <n v="9533.74"/>
    <n v="0"/>
    <n v="9533.74"/>
    <n v="0"/>
    <n v="8471.75"/>
    <n v="0"/>
    <n v="1061.99"/>
    <n v="9533.74"/>
    <n v="1061.99"/>
  </r>
  <r>
    <s v="73"/>
    <x v="3"/>
    <x v="6"/>
    <s v="AC67Q000"/>
    <x v="9"/>
    <s v="H209"/>
    <s v="FOMENTO DEL DESARROLLO ECONÓMICO LOCAL"/>
    <s v="GI00H20900001D"/>
    <s v="GI00H20900001D REPOTENCIACION DE INFRAESTRUCTURA DE MER"/>
    <s v="73 BIENES Y SERVICIOS PARA INVERSIÓN"/>
    <s v="730601 Consultoría, Asesoría e Investigación Es"/>
    <s v="G/730601/2QH209"/>
    <s v="001"/>
    <n v="0"/>
    <n v="0"/>
    <n v="4188"/>
    <n v="4188"/>
    <n v="0"/>
    <n v="2688"/>
    <n v="0"/>
    <n v="1500"/>
    <n v="4188"/>
    <n v="1500"/>
  </r>
  <r>
    <s v="73"/>
    <x v="3"/>
    <x v="6"/>
    <s v="AC67Q000"/>
    <x v="9"/>
    <s v="H209"/>
    <s v="FOMENTO DEL DESARROLLO ECONÓMICO LOCAL"/>
    <s v="GI00H20900002D"/>
    <s v="GI00H20900002D MEJORAMIENTO DEL SERVICIO DEL SISTEMA DE"/>
    <s v="73 BIENES Y SERVICIOS PARA INVERSIÓN"/>
    <s v="730105 Telecomunicaciones"/>
    <s v="G/730105/2QH209"/>
    <s v="001"/>
    <n v="0"/>
    <n v="4977.49"/>
    <n v="4032"/>
    <n v="9009.49"/>
    <n v="0"/>
    <n v="7901.6"/>
    <n v="4057.02"/>
    <n v="1107.8900000000001"/>
    <n v="4952.47"/>
    <n v="1107.8900000000001"/>
  </r>
  <r>
    <s v="73"/>
    <x v="3"/>
    <x v="6"/>
    <s v="AC67Q000"/>
    <x v="9"/>
    <s v="H209"/>
    <s v="FOMENTO DEL DESARROLLO ECONÓMICO LOCAL"/>
    <s v="GI00H20900002D"/>
    <s v="GI00H20900002D MEJORAMIENTO DEL SERVICIO DEL SISTEMA DE"/>
    <s v="73 BIENES Y SERVICIOS PARA INVERSIÓN"/>
    <s v="730207 Difusión, Información y Publicidad"/>
    <s v="G/730207/2QH209"/>
    <s v="001"/>
    <n v="255000"/>
    <n v="-25632"/>
    <n v="-79368"/>
    <n v="150000"/>
    <n v="0"/>
    <n v="0"/>
    <n v="0"/>
    <n v="150000"/>
    <n v="150000"/>
    <n v="150000"/>
  </r>
  <r>
    <s v="73"/>
    <x v="3"/>
    <x v="6"/>
    <s v="AC67Q000"/>
    <x v="9"/>
    <s v="H209"/>
    <s v="FOMENTO DEL DESARROLLO ECONÓMICO LOCAL"/>
    <s v="GI00H20900002D"/>
    <s v="GI00H20900002D MEJORAMIENTO DEL SERVICIO DEL SISTEMA DE"/>
    <s v="73 BIENES Y SERVICIOS PARA INVERSIÓN"/>
    <s v="730224 Servicio de Implementación de Bancos de Inf"/>
    <s v="G/730224/2QH209"/>
    <s v="001"/>
    <n v="15000"/>
    <n v="0"/>
    <n v="-15000"/>
    <n v="0"/>
    <n v="0"/>
    <n v="0"/>
    <n v="0"/>
    <n v="0"/>
    <n v="0"/>
    <n v="0"/>
  </r>
  <r>
    <s v="73"/>
    <x v="3"/>
    <x v="6"/>
    <s v="AC67Q000"/>
    <x v="9"/>
    <s v="H209"/>
    <s v="FOMENTO DEL DESARROLLO ECONÓMICO LOCAL"/>
    <s v="GI00H20900002D"/>
    <s v="GI00H20900002D MEJORAMIENTO DEL SERVICIO DEL SISTEMA DE"/>
    <s v="73 BIENES Y SERVICIOS PARA INVERSIÓN"/>
    <s v="730249 Eventos Públicos Promocionales"/>
    <s v="G/730249/2QH209"/>
    <s v="001"/>
    <n v="100000"/>
    <n v="-100000"/>
    <n v="0"/>
    <n v="0"/>
    <n v="0"/>
    <n v="0"/>
    <n v="0"/>
    <n v="0"/>
    <n v="0"/>
    <n v="0"/>
  </r>
  <r>
    <s v="73"/>
    <x v="3"/>
    <x v="6"/>
    <s v="AC67Q000"/>
    <x v="9"/>
    <s v="H209"/>
    <s v="FOMENTO DEL DESARROLLO ECONÓMICO LOCAL"/>
    <s v="GI00H20900002D"/>
    <s v="GI00H20900002D MEJORAMIENTO DEL SERVICIO DEL SISTEMA DE"/>
    <s v="73 BIENES Y SERVICIOS PARA INVERSIÓN"/>
    <s v="730402 Edificios, Locales, Residencias y Cablea"/>
    <s v="G/730402/2QH209"/>
    <s v="001"/>
    <n v="50000"/>
    <n v="10754.28"/>
    <n v="0"/>
    <n v="60754.28"/>
    <n v="31793.43"/>
    <n v="0"/>
    <n v="0"/>
    <n v="60754.28"/>
    <n v="60754.28"/>
    <n v="28960.85"/>
  </r>
  <r>
    <s v="73"/>
    <x v="3"/>
    <x v="6"/>
    <s v="AC67Q000"/>
    <x v="9"/>
    <s v="H209"/>
    <s v="FOMENTO DEL DESARROLLO ECONÓMICO LOCAL"/>
    <s v="GI00H20900002D"/>
    <s v="GI00H20900002D MEJORAMIENTO DEL SERVICIO DEL SISTEMA DE"/>
    <s v="73 BIENES Y SERVICIOS PARA INVERSIÓN"/>
    <s v="730404 Maquinarias y Equipos (Instalación, Mant"/>
    <s v="G/730404/2QH209"/>
    <s v="001"/>
    <n v="5000"/>
    <n v="17663"/>
    <n v="0"/>
    <n v="22663"/>
    <n v="0"/>
    <n v="22632.44"/>
    <n v="0"/>
    <n v="30.56"/>
    <n v="22663"/>
    <n v="30.56"/>
  </r>
  <r>
    <s v="73"/>
    <x v="3"/>
    <x v="6"/>
    <s v="AC67Q000"/>
    <x v="9"/>
    <s v="H209"/>
    <s v="FOMENTO DEL DESARROLLO ECONÓMICO LOCAL"/>
    <s v="GI00H20900002D"/>
    <s v="GI00H20900002D MEJORAMIENTO DEL SERVICIO DEL SISTEMA DE"/>
    <s v="73 BIENES Y SERVICIOS PARA INVERSIÓN"/>
    <s v="730601 Consultoría, Asesoría e Investigación Es"/>
    <s v="G/730601/2QH209"/>
    <s v="001"/>
    <n v="134000"/>
    <n v="0"/>
    <n v="-134000"/>
    <n v="0"/>
    <n v="0"/>
    <n v="0"/>
    <n v="0"/>
    <n v="0"/>
    <n v="0"/>
    <n v="0"/>
  </r>
  <r>
    <s v="73"/>
    <x v="3"/>
    <x v="6"/>
    <s v="AC67Q000"/>
    <x v="9"/>
    <s v="H209"/>
    <s v="FOMENTO DEL DESARROLLO ECONÓMICO LOCAL"/>
    <s v="GI00H20900002D"/>
    <s v="GI00H20900002D MEJORAMIENTO DEL SERVICIO DEL SISTEMA DE"/>
    <s v="73 BIENES Y SERVICIOS PARA INVERSIÓN"/>
    <s v="730613 Capacitación para la Ciudadanía en Gener"/>
    <s v="G/730613/2QH209"/>
    <s v="001"/>
    <n v="30000"/>
    <n v="0"/>
    <n v="-30000"/>
    <n v="0"/>
    <n v="0"/>
    <n v="0"/>
    <n v="0"/>
    <n v="0"/>
    <n v="0"/>
    <n v="0"/>
  </r>
  <r>
    <s v="73"/>
    <x v="3"/>
    <x v="6"/>
    <s v="AC67Q000"/>
    <x v="9"/>
    <s v="H209"/>
    <s v="FOMENTO DEL DESARROLLO ECONÓMICO LOCAL"/>
    <s v="GI00H20900002D"/>
    <s v="GI00H20900002D MEJORAMIENTO DEL SERVICIO DEL SISTEMA DE"/>
    <s v="73 BIENES Y SERVICIOS PARA INVERSIÓN"/>
    <s v="730702 Arrendamiento y Licencias de Uso de Paquete"/>
    <s v="G/730702/2QH209"/>
    <s v="001"/>
    <n v="0"/>
    <n v="22.51"/>
    <n v="336"/>
    <n v="358.51"/>
    <n v="0"/>
    <n v="358.51"/>
    <n v="0"/>
    <n v="0"/>
    <n v="358.51"/>
    <n v="0"/>
  </r>
  <r>
    <s v="73"/>
    <x v="3"/>
    <x v="6"/>
    <s v="AC67Q000"/>
    <x v="9"/>
    <s v="H209"/>
    <s v="FOMENTO DEL DESARROLLO ECONÓMICO LOCAL"/>
    <s v="GI00H20900002D"/>
    <s v="GI00H20900002D MEJORAMIENTO DEL SERVICIO DEL SISTEMA DE"/>
    <s v="73 BIENES Y SERVICIOS PARA INVERSIÓN"/>
    <s v="730802 Vestuario, Lencería, Prendas de Protecci"/>
    <s v="G/730802/2QH209"/>
    <s v="001"/>
    <n v="0"/>
    <n v="50000"/>
    <n v="-32000"/>
    <n v="18000"/>
    <n v="10574.51"/>
    <n v="7425.49"/>
    <n v="4241.8900000000003"/>
    <n v="10574.51"/>
    <n v="13758.11"/>
    <n v="0"/>
  </r>
  <r>
    <s v="73"/>
    <x v="3"/>
    <x v="6"/>
    <s v="AC67Q000"/>
    <x v="9"/>
    <s v="H209"/>
    <s v="FOMENTO DEL DESARROLLO ECONÓMICO LOCAL"/>
    <s v="GI00H20900002D"/>
    <s v="GI00H20900002D MEJORAMIENTO DEL SERVICIO DEL SISTEMA DE"/>
    <s v="73 BIENES Y SERVICIOS PARA INVERSIÓN"/>
    <s v="730804 Materiales de Oficina"/>
    <s v="G/730804/2QH209"/>
    <s v="001"/>
    <n v="0"/>
    <n v="3248"/>
    <n v="0"/>
    <n v="3248"/>
    <n v="0"/>
    <n v="0"/>
    <n v="0"/>
    <n v="3248"/>
    <n v="3248"/>
    <n v="3248"/>
  </r>
  <r>
    <s v="73"/>
    <x v="3"/>
    <x v="6"/>
    <s v="AC67Q000"/>
    <x v="9"/>
    <s v="H209"/>
    <s v="FOMENTO DEL DESARROLLO ECONÓMICO LOCAL"/>
    <s v="GI00H20900002D"/>
    <s v="GI00H20900002D MEJORAMIENTO DEL SERVICIO DEL SISTEMA DE"/>
    <s v="73 BIENES Y SERVICIOS PARA INVERSIÓN"/>
    <s v="730807 Materiales de Impresión, Fotografía, Rep"/>
    <s v="G/730807/2QH209"/>
    <s v="001"/>
    <n v="0"/>
    <n v="1418.64"/>
    <n v="0"/>
    <n v="1418.64"/>
    <n v="0"/>
    <n v="0"/>
    <n v="0"/>
    <n v="1418.64"/>
    <n v="1418.64"/>
    <n v="1418.64"/>
  </r>
  <r>
    <s v="73"/>
    <x v="3"/>
    <x v="11"/>
    <s v="ZA01H000"/>
    <x v="19"/>
    <s v="H210"/>
    <s v="CLÚSTER PRODUCTIVOS"/>
    <s v="GI00H21000001D"/>
    <s v="GI00H21000001D CADENAS PRODUCTIVAS DE VALOR"/>
    <s v="73 BIENES Y SERVICIOS PARA INVERSIÓN"/>
    <s v="730606 Honorarios por Contratos Civiles de Servici"/>
    <s v="G/730606/2HH210"/>
    <s v="001"/>
    <n v="6000"/>
    <n v="-6000"/>
    <n v="0"/>
    <n v="0"/>
    <n v="0"/>
    <n v="0"/>
    <n v="0"/>
    <n v="0"/>
    <n v="0"/>
    <n v="0"/>
  </r>
  <r>
    <s v="73"/>
    <x v="2"/>
    <x v="7"/>
    <s v="ZC09F090"/>
    <x v="10"/>
    <s v="H211"/>
    <s v="DESARROLLO TERRITORIAL"/>
    <s v="GI00H21100002D"/>
    <s v="GI00H21100002D PROMOCIÓN DE VOCACIONES PRODUCTIVAS TERR"/>
    <s v="73 BIENES Y SERVICIOS PARA INVERSIÓN"/>
    <s v="730204 Edición, Impresión, Reproducción, Public"/>
    <s v="G/730204/2FH211"/>
    <s v="001"/>
    <n v="1000"/>
    <n v="0"/>
    <n v="-1000"/>
    <n v="0"/>
    <n v="0"/>
    <n v="0"/>
    <n v="0"/>
    <n v="0"/>
    <n v="0"/>
    <n v="0"/>
  </r>
  <r>
    <s v="73"/>
    <x v="2"/>
    <x v="7"/>
    <s v="TM68F100"/>
    <x v="36"/>
    <s v="H211"/>
    <s v="DESARROLLO TERRITORIAL"/>
    <s v="GI00H21100002D"/>
    <s v="GI00H21100002D PROMOCIÓN DE VOCACIONES PRODUCTIVAS TERR"/>
    <s v="73 BIENES Y SERVICIOS PARA INVERSIÓN"/>
    <s v="730204 Edición, Impresión, Reproducción, Public"/>
    <s v="G/730204/2FH211"/>
    <s v="001"/>
    <n v="2450"/>
    <n v="0"/>
    <n v="0"/>
    <n v="2450"/>
    <n v="0"/>
    <n v="2450"/>
    <n v="2450"/>
    <n v="0"/>
    <n v="0"/>
    <n v="0"/>
  </r>
  <r>
    <s v="73"/>
    <x v="2"/>
    <x v="7"/>
    <s v="ZN02F020"/>
    <x v="46"/>
    <s v="H211"/>
    <s v="DESARROLLO TERRITORIAL"/>
    <s v="GI00H21100002D"/>
    <s v="GI00H21100002D PROMOCIÓN DE VOCACIONES PRODUCTIVAS TERR"/>
    <s v="73 BIENES Y SERVICIOS PARA INVERSIÓN"/>
    <s v="730204 Edición, Impresión, Reproducción, Public"/>
    <s v="G/730204/2FH211"/>
    <s v="001"/>
    <n v="1000"/>
    <n v="0"/>
    <n v="-1000"/>
    <n v="0"/>
    <n v="0"/>
    <n v="0"/>
    <n v="0"/>
    <n v="0"/>
    <n v="0"/>
    <n v="0"/>
  </r>
  <r>
    <s v="73"/>
    <x v="2"/>
    <x v="7"/>
    <s v="ZQ08F080"/>
    <x v="44"/>
    <s v="H211"/>
    <s v="DESARROLLO TERRITORIAL"/>
    <s v="GI00H21100002D"/>
    <s v="GI00H21100002D PROMOCIÓN DE VOCACIONES PRODUCTIVAS TERR"/>
    <s v="73 BIENES Y SERVICIOS PARA INVERSIÓN"/>
    <s v="730204 Edición, Impresión, Reproducción, Public"/>
    <s v="G/730204/2FH211"/>
    <s v="001"/>
    <n v="1500"/>
    <n v="0"/>
    <n v="-1500"/>
    <n v="0"/>
    <n v="0"/>
    <n v="0"/>
    <n v="0"/>
    <n v="0"/>
    <n v="0"/>
    <n v="0"/>
  </r>
  <r>
    <s v="73"/>
    <x v="2"/>
    <x v="7"/>
    <s v="ZD07F070"/>
    <x v="43"/>
    <s v="H211"/>
    <s v="DESARROLLO TERRITORIAL"/>
    <s v="GI00H21100002D"/>
    <s v="GI00H21100002D PROMOCIÓN DE VOCACIONES PRODUCTIVAS TERR"/>
    <s v="73 BIENES Y SERVICIOS PARA INVERSIÓN"/>
    <s v="730204 Edición, Impresión, Reproducción, Public"/>
    <s v="G/730204/2FH211"/>
    <s v="001"/>
    <n v="4255"/>
    <n v="0"/>
    <n v="-4255"/>
    <n v="0"/>
    <n v="0"/>
    <n v="0"/>
    <n v="0"/>
    <n v="0"/>
    <n v="0"/>
    <n v="0"/>
  </r>
  <r>
    <s v="73"/>
    <x v="2"/>
    <x v="7"/>
    <s v="ZV05F050"/>
    <x v="39"/>
    <s v="H211"/>
    <s v="DESARROLLO TERRITORIAL"/>
    <s v="GI00H21100002D"/>
    <s v="GI00H21100002D PROMOCIÓN DE VOCACIONES PRODUCTIVAS TERR"/>
    <s v="73 BIENES Y SERVICIOS PARA INVERSIÓN"/>
    <s v="730204 Edición, Impresión, Reproducción, Public"/>
    <s v="G/730204/2FH211"/>
    <s v="001"/>
    <n v="2014.23"/>
    <n v="0"/>
    <n v="-2014.23"/>
    <n v="0"/>
    <n v="0"/>
    <n v="0"/>
    <n v="0"/>
    <n v="0"/>
    <n v="0"/>
    <n v="0"/>
  </r>
  <r>
    <s v="73"/>
    <x v="2"/>
    <x v="7"/>
    <s v="ZS03F030"/>
    <x v="45"/>
    <s v="H211"/>
    <s v="DESARROLLO TERRITORIAL"/>
    <s v="GI00H21100002D"/>
    <s v="GI00H21100002D PROMOCIÓN DE VOCACIONES PRODUCTIVAS TERR"/>
    <s v="73 BIENES Y SERVICIOS PARA INVERSIÓN"/>
    <s v="730204 Edición, Impresión, Reproducción, Public"/>
    <s v="G/730204/2FH211"/>
    <s v="001"/>
    <n v="2000"/>
    <n v="0"/>
    <n v="-2000"/>
    <n v="0"/>
    <n v="0"/>
    <n v="0"/>
    <n v="0"/>
    <n v="0"/>
    <n v="0"/>
    <n v="0"/>
  </r>
  <r>
    <s v="73"/>
    <x v="2"/>
    <x v="7"/>
    <s v="ZS03F030"/>
    <x v="45"/>
    <s v="H211"/>
    <s v="DESARROLLO TERRITORIAL"/>
    <s v="GI00H21100002D"/>
    <s v="GI00H21100002D PROMOCIÓN DE VOCACIONES PRODUCTIVAS TERR"/>
    <s v="73 BIENES Y SERVICIOS PARA INVERSIÓN"/>
    <s v="730205 Espectáculos Culturales y Sociales"/>
    <s v="G/730205/2FH211"/>
    <s v="001"/>
    <n v="12000"/>
    <n v="0"/>
    <n v="-12000"/>
    <n v="0"/>
    <n v="0"/>
    <n v="0"/>
    <n v="0"/>
    <n v="0"/>
    <n v="0"/>
    <n v="0"/>
  </r>
  <r>
    <s v="73"/>
    <x v="2"/>
    <x v="7"/>
    <s v="ZQ08F080"/>
    <x v="44"/>
    <s v="H211"/>
    <s v="DESARROLLO TERRITORIAL"/>
    <s v="GI00H21100002D"/>
    <s v="GI00H21100002D PROMOCIÓN DE VOCACIONES PRODUCTIVAS TERR"/>
    <s v="73 BIENES Y SERVICIOS PARA INVERSIÓN"/>
    <s v="730205 Espectáculos Culturales y Sociales"/>
    <s v="G/730205/2FH211"/>
    <s v="001"/>
    <n v="15500"/>
    <n v="0"/>
    <n v="-15500"/>
    <n v="0"/>
    <n v="0"/>
    <n v="0"/>
    <n v="0"/>
    <n v="0"/>
    <n v="0"/>
    <n v="0"/>
  </r>
  <r>
    <s v="73"/>
    <x v="2"/>
    <x v="7"/>
    <s v="ZM04F040"/>
    <x v="41"/>
    <s v="H211"/>
    <s v="DESARROLLO TERRITORIAL"/>
    <s v="GI00H21100002D"/>
    <s v="GI00H21100002D PROMOCIÓN DE VOCACIONES PRODUCTIVAS TERR"/>
    <s v="73 BIENES Y SERVICIOS PARA INVERSIÓN"/>
    <s v="730205 Espectáculos Culturales y Sociales"/>
    <s v="G/730205/2FH211"/>
    <s v="001"/>
    <n v="12500"/>
    <n v="0"/>
    <n v="-12500"/>
    <n v="0"/>
    <n v="0"/>
    <n v="0"/>
    <n v="0"/>
    <n v="0"/>
    <n v="0"/>
    <n v="0"/>
  </r>
  <r>
    <s v="73"/>
    <x v="2"/>
    <x v="7"/>
    <s v="ZN02F020"/>
    <x v="46"/>
    <s v="H211"/>
    <s v="DESARROLLO TERRITORIAL"/>
    <s v="GI00H21100002D"/>
    <s v="GI00H21100002D PROMOCIÓN DE VOCACIONES PRODUCTIVAS TERR"/>
    <s v="73 BIENES Y SERVICIOS PARA INVERSIÓN"/>
    <s v="730205 Espectáculos Culturales y Sociales"/>
    <s v="G/730205/2FH211"/>
    <s v="001"/>
    <n v="2000"/>
    <n v="0"/>
    <n v="-2000"/>
    <n v="0"/>
    <n v="0"/>
    <n v="0"/>
    <n v="0"/>
    <n v="0"/>
    <n v="0"/>
    <n v="0"/>
  </r>
  <r>
    <s v="73"/>
    <x v="2"/>
    <x v="7"/>
    <s v="ZD07F070"/>
    <x v="43"/>
    <s v="H211"/>
    <s v="DESARROLLO TERRITORIAL"/>
    <s v="GI00H21100002D"/>
    <s v="GI00H21100002D PROMOCIÓN DE VOCACIONES PRODUCTIVAS TERR"/>
    <s v="73 BIENES Y SERVICIOS PARA INVERSIÓN"/>
    <s v="730235 Servicio de Alimentación"/>
    <s v="G/730235/2FH211"/>
    <s v="001"/>
    <n v="2300"/>
    <n v="0"/>
    <n v="-2300"/>
    <n v="0"/>
    <n v="0"/>
    <n v="0"/>
    <n v="0"/>
    <n v="0"/>
    <n v="0"/>
    <n v="0"/>
  </r>
  <r>
    <s v="73"/>
    <x v="2"/>
    <x v="7"/>
    <s v="ZC09F090"/>
    <x v="10"/>
    <s v="H211"/>
    <s v="DESARROLLO TERRITORIAL"/>
    <s v="GI00H21100002D"/>
    <s v="GI00H21100002D PROMOCIÓN DE VOCACIONES PRODUCTIVAS TERR"/>
    <s v="73 BIENES Y SERVICIOS PARA INVERSIÓN"/>
    <s v="730249 Eventos Públicos Promocionales"/>
    <s v="G/730249/2FH211"/>
    <s v="001"/>
    <n v="14000"/>
    <n v="0"/>
    <n v="-14000"/>
    <n v="0"/>
    <n v="0"/>
    <n v="0"/>
    <n v="0"/>
    <n v="0"/>
    <n v="0"/>
    <n v="0"/>
  </r>
  <r>
    <s v="73"/>
    <x v="2"/>
    <x v="7"/>
    <s v="ZD07F070"/>
    <x v="43"/>
    <s v="H211"/>
    <s v="DESARROLLO TERRITORIAL"/>
    <s v="GI00H21100002D"/>
    <s v="GI00H21100002D PROMOCIÓN DE VOCACIONES PRODUCTIVAS TERR"/>
    <s v="73 BIENES Y SERVICIOS PARA INVERSIÓN"/>
    <s v="730249 Eventos Públicos Promocionales"/>
    <s v="G/730249/2FH211"/>
    <s v="001"/>
    <n v="0"/>
    <n v="5943.53"/>
    <n v="0"/>
    <n v="5943.53"/>
    <n v="0"/>
    <n v="5600"/>
    <n v="0"/>
    <n v="343.53"/>
    <n v="5943.53"/>
    <n v="343.53"/>
  </r>
  <r>
    <s v="73"/>
    <x v="2"/>
    <x v="7"/>
    <s v="TM68F100"/>
    <x v="36"/>
    <s v="H211"/>
    <s v="DESARROLLO TERRITORIAL"/>
    <s v="GI00H21100002D"/>
    <s v="GI00H21100002D PROMOCIÓN DE VOCACIONES PRODUCTIVAS TERR"/>
    <s v="73 BIENES Y SERVICIOS PARA INVERSIÓN"/>
    <s v="730249 Eventos Públicos Promocionales"/>
    <s v="G/730249/2FH211"/>
    <s v="001"/>
    <n v="18000"/>
    <n v="0"/>
    <n v="-4500"/>
    <n v="13500"/>
    <n v="0"/>
    <n v="13500"/>
    <n v="5300.96"/>
    <n v="0"/>
    <n v="8199.0400000000009"/>
    <n v="0"/>
  </r>
  <r>
    <s v="73"/>
    <x v="2"/>
    <x v="7"/>
    <s v="ZD07F070"/>
    <x v="43"/>
    <s v="H211"/>
    <s v="DESARROLLO TERRITORIAL"/>
    <s v="GI00H21100002D"/>
    <s v="GI00H21100002D PROMOCIÓN DE VOCACIONES PRODUCTIVAS TERR"/>
    <s v="73 BIENES Y SERVICIOS PARA INVERSIÓN"/>
    <s v="730503 Mobiliario (Arrendamiento)"/>
    <s v="G/730503/2FH211"/>
    <s v="001"/>
    <n v="6745"/>
    <n v="0"/>
    <n v="-6745"/>
    <n v="0"/>
    <n v="0"/>
    <n v="0"/>
    <n v="0"/>
    <n v="0"/>
    <n v="0"/>
    <n v="0"/>
  </r>
  <r>
    <s v="73"/>
    <x v="2"/>
    <x v="7"/>
    <s v="ZV05F050"/>
    <x v="39"/>
    <s v="H211"/>
    <s v="DESARROLLO TERRITORIAL"/>
    <s v="GI00H21100002D"/>
    <s v="GI00H21100002D PROMOCIÓN DE VOCACIONES PRODUCTIVAS TERR"/>
    <s v="73 BIENES Y SERVICIOS PARA INVERSIÓN"/>
    <s v="730505 Vehículos (Arrendamiento)"/>
    <s v="G/730505/2FH211"/>
    <s v="001"/>
    <n v="1040"/>
    <n v="0"/>
    <n v="-1040"/>
    <n v="0"/>
    <n v="0"/>
    <n v="0"/>
    <n v="0"/>
    <n v="0"/>
    <n v="0"/>
    <n v="0"/>
  </r>
  <r>
    <s v="73"/>
    <x v="2"/>
    <x v="7"/>
    <s v="ZD07F070"/>
    <x v="43"/>
    <s v="H211"/>
    <s v="DESARROLLO TERRITORIAL"/>
    <s v="GI00H21100002D"/>
    <s v="GI00H21100002D PROMOCIÓN DE VOCACIONES PRODUCTIVAS TERR"/>
    <s v="73 BIENES Y SERVICIOS PARA INVERSIÓN"/>
    <s v="730505 Vehículos (Arrendamiento)"/>
    <s v="G/730505/2FH211"/>
    <s v="001"/>
    <n v="2700"/>
    <n v="0"/>
    <n v="-2700"/>
    <n v="0"/>
    <n v="0"/>
    <n v="0"/>
    <n v="0"/>
    <n v="0"/>
    <n v="0"/>
    <n v="0"/>
  </r>
  <r>
    <s v="73"/>
    <x v="2"/>
    <x v="7"/>
    <s v="ZN02F020"/>
    <x v="46"/>
    <s v="H211"/>
    <s v="DESARROLLO TERRITORIAL"/>
    <s v="GI00H21100002D"/>
    <s v="GI00H21100002D PROMOCIÓN DE VOCACIONES PRODUCTIVAS TERR"/>
    <s v="73 BIENES Y SERVICIOS PARA INVERSIÓN"/>
    <s v="730505 Vehículos (Arrendamiento)"/>
    <s v="G/730505/2FH211"/>
    <s v="001"/>
    <n v="5000"/>
    <n v="0"/>
    <n v="-5000"/>
    <n v="0"/>
    <n v="0"/>
    <n v="0"/>
    <n v="0"/>
    <n v="0"/>
    <n v="0"/>
    <n v="0"/>
  </r>
  <r>
    <s v="73"/>
    <x v="2"/>
    <x v="7"/>
    <s v="ZT06F060"/>
    <x v="40"/>
    <s v="H211"/>
    <s v="DESARROLLO TERRITORIAL"/>
    <s v="GI00H21100002D"/>
    <s v="GI00H21100002D PROMOCIÓN DE VOCACIONES PRODUCTIVAS TERR"/>
    <s v="73 BIENES Y SERVICIOS PARA INVERSIÓN"/>
    <s v="730606 Honorarios por Contratos Civiles de Servici"/>
    <s v="G/730606/2FH211"/>
    <s v="001"/>
    <n v="12500"/>
    <n v="-4500"/>
    <n v="-8000"/>
    <n v="0"/>
    <n v="0"/>
    <n v="0"/>
    <n v="0"/>
    <n v="0"/>
    <n v="0"/>
    <n v="0"/>
  </r>
  <r>
    <s v="73"/>
    <x v="2"/>
    <x v="7"/>
    <s v="ZM04F040"/>
    <x v="41"/>
    <s v="H211"/>
    <s v="DESARROLLO TERRITORIAL"/>
    <s v="GI00H21100002D"/>
    <s v="GI00H21100002D PROMOCIÓN DE VOCACIONES PRODUCTIVAS TERR"/>
    <s v="73 BIENES Y SERVICIOS PARA INVERSIÓN"/>
    <s v="730613 Capacitación para la Ciudadanía en Gener"/>
    <s v="G/730613/2FH211"/>
    <s v="001"/>
    <n v="15700"/>
    <n v="0"/>
    <n v="-15700"/>
    <n v="0"/>
    <n v="0"/>
    <n v="0"/>
    <n v="0"/>
    <n v="0"/>
    <n v="0"/>
    <n v="0"/>
  </r>
  <r>
    <s v="73"/>
    <x v="2"/>
    <x v="7"/>
    <s v="ZV05F050"/>
    <x v="39"/>
    <s v="H211"/>
    <s v="DESARROLLO TERRITORIAL"/>
    <s v="GI00H21100002D"/>
    <s v="GI00H21100002D PROMOCIÓN DE VOCACIONES PRODUCTIVAS TERR"/>
    <s v="73 BIENES Y SERVICIOS PARA INVERSIÓN"/>
    <s v="730613 Capacitación para la Ciudadanía en Gener"/>
    <s v="G/730613/2FH211"/>
    <s v="001"/>
    <n v="5000"/>
    <n v="0"/>
    <n v="-5000"/>
    <n v="0"/>
    <n v="0"/>
    <n v="0"/>
    <n v="0"/>
    <n v="0"/>
    <n v="0"/>
    <n v="0"/>
  </r>
  <r>
    <s v="73"/>
    <x v="2"/>
    <x v="7"/>
    <s v="ZD07F070"/>
    <x v="43"/>
    <s v="H211"/>
    <s v="DESARROLLO TERRITORIAL"/>
    <s v="GI00H21100002D"/>
    <s v="GI00H21100002D PROMOCIÓN DE VOCACIONES PRODUCTIVAS TERR"/>
    <s v="73 BIENES Y SERVICIOS PARA INVERSIÓN"/>
    <s v="730613 Capacitación para la Ciudadanía en Gener"/>
    <s v="G/730613/2FH211"/>
    <s v="001"/>
    <n v="7000"/>
    <n v="0"/>
    <n v="-7000"/>
    <n v="0"/>
    <n v="0"/>
    <n v="0"/>
    <n v="0"/>
    <n v="0"/>
    <n v="0"/>
    <n v="0"/>
  </r>
  <r>
    <s v="73"/>
    <x v="2"/>
    <x v="7"/>
    <s v="ZQ08F080"/>
    <x v="44"/>
    <s v="H211"/>
    <s v="DESARROLLO TERRITORIAL"/>
    <s v="GI00H21100002D"/>
    <s v="GI00H21100002D PROMOCIÓN DE VOCACIONES PRODUCTIVAS TERR"/>
    <s v="73 BIENES Y SERVICIOS PARA INVERSIÓN"/>
    <s v="730613 Capacitación para la Ciudadanía en Gener"/>
    <s v="G/730613/2FH211"/>
    <s v="001"/>
    <n v="5000"/>
    <n v="0"/>
    <n v="-5000"/>
    <n v="0"/>
    <n v="0"/>
    <n v="0"/>
    <n v="0"/>
    <n v="0"/>
    <n v="0"/>
    <n v="0"/>
  </r>
  <r>
    <s v="73"/>
    <x v="2"/>
    <x v="7"/>
    <s v="ZN02F020"/>
    <x v="46"/>
    <s v="H211"/>
    <s v="DESARROLLO TERRITORIAL"/>
    <s v="GI00H21100002D"/>
    <s v="GI00H21100002D PROMOCIÓN DE VOCACIONES PRODUCTIVAS TERR"/>
    <s v="73 BIENES Y SERVICIOS PARA INVERSIÓN"/>
    <s v="730613 Capacitación para la Ciudadanía en Gener"/>
    <s v="G/730613/2FH211"/>
    <s v="001"/>
    <n v="11000"/>
    <n v="0"/>
    <n v="-11000"/>
    <n v="0"/>
    <n v="0"/>
    <n v="0"/>
    <n v="0"/>
    <n v="0"/>
    <n v="0"/>
    <n v="0"/>
  </r>
  <r>
    <s v="73"/>
    <x v="2"/>
    <x v="7"/>
    <s v="ZC09F090"/>
    <x v="10"/>
    <s v="H211"/>
    <s v="DESARROLLO TERRITORIAL"/>
    <s v="GI00H21100002D"/>
    <s v="GI00H21100002D PROMOCIÓN DE VOCACIONES PRODUCTIVAS TERR"/>
    <s v="73 BIENES Y SERVICIOS PARA INVERSIÓN"/>
    <s v="730613 Capacitación para la Ciudadanía en Gener"/>
    <s v="G/730613/2FH211"/>
    <s v="001"/>
    <n v="8000"/>
    <n v="0"/>
    <n v="-8000"/>
    <n v="0"/>
    <n v="0"/>
    <n v="0"/>
    <n v="0"/>
    <n v="0"/>
    <n v="0"/>
    <n v="0"/>
  </r>
  <r>
    <s v="73"/>
    <x v="2"/>
    <x v="7"/>
    <s v="ZS03F030"/>
    <x v="45"/>
    <s v="H211"/>
    <s v="DESARROLLO TERRITORIAL"/>
    <s v="GI00H21100002D"/>
    <s v="GI00H21100002D PROMOCIÓN DE VOCACIONES PRODUCTIVAS TERR"/>
    <s v="73 BIENES Y SERVICIOS PARA INVERSIÓN"/>
    <s v="730613 Capacitación para la Ciudadanía en Gener"/>
    <s v="G/730613/2FH211"/>
    <s v="001"/>
    <n v="5000"/>
    <n v="0"/>
    <n v="-5000"/>
    <n v="0"/>
    <n v="0"/>
    <n v="0"/>
    <n v="0"/>
    <n v="0"/>
    <n v="0"/>
    <n v="0"/>
  </r>
  <r>
    <s v="73"/>
    <x v="2"/>
    <x v="7"/>
    <s v="TM68F100"/>
    <x v="36"/>
    <s v="H211"/>
    <s v="DESARROLLO TERRITORIAL"/>
    <s v="GI00H21100002D"/>
    <s v="GI00H21100002D PROMOCIÓN DE VOCACIONES PRODUCTIVAS TERR"/>
    <s v="73 BIENES Y SERVICIOS PARA INVERSIÓN"/>
    <s v="730613 Capacitación para la Ciudadanía en Gener"/>
    <s v="G/730613/2FH211"/>
    <s v="001"/>
    <n v="20000"/>
    <n v="0"/>
    <n v="-20000"/>
    <n v="0"/>
    <n v="0"/>
    <n v="0"/>
    <n v="0"/>
    <n v="0"/>
    <n v="0"/>
    <n v="0"/>
  </r>
  <r>
    <s v="73"/>
    <x v="2"/>
    <x v="7"/>
    <s v="ZM04F040"/>
    <x v="41"/>
    <s v="H211"/>
    <s v="DESARROLLO TERRITORIAL"/>
    <s v="GI00H21100002D"/>
    <s v="GI00H21100002D PROMOCIÓN DE VOCACIONES PRODUCTIVAS TERR"/>
    <s v="73 BIENES Y SERVICIOS PARA INVERSIÓN"/>
    <s v="730804 Materiales de Oficina"/>
    <s v="G/730804/2FH211"/>
    <s v="001"/>
    <n v="1000"/>
    <n v="0"/>
    <n v="-1000"/>
    <n v="0"/>
    <n v="0"/>
    <n v="0"/>
    <n v="0"/>
    <n v="0"/>
    <n v="0"/>
    <n v="0"/>
  </r>
  <r>
    <s v="73"/>
    <x v="2"/>
    <x v="7"/>
    <s v="ZT06F060"/>
    <x v="40"/>
    <s v="H211"/>
    <s v="DESARROLLO TERRITORIAL"/>
    <s v="GI00H21100002D"/>
    <s v="GI00H21100002D PROMOCIÓN DE VOCACIONES PRODUCTIVAS TERR"/>
    <s v="73 BIENES Y SERVICIOS PARA INVERSIÓN"/>
    <s v="730811 Insumos, Materiales y Suministros para Cons"/>
    <s v="G/730811/2FH211"/>
    <s v="001"/>
    <n v="1000"/>
    <n v="2500"/>
    <n v="-3500"/>
    <n v="0"/>
    <n v="0"/>
    <n v="0"/>
    <n v="0"/>
    <n v="0"/>
    <n v="0"/>
    <n v="0"/>
  </r>
  <r>
    <s v="73"/>
    <x v="2"/>
    <x v="7"/>
    <s v="ZT06F060"/>
    <x v="40"/>
    <s v="H211"/>
    <s v="DESARROLLO TERRITORIAL"/>
    <s v="GI00H21100002D"/>
    <s v="GI00H21100002D PROMOCIÓN DE VOCACIONES PRODUCTIVAS TERR"/>
    <s v="73 BIENES Y SERVICIOS PARA INVERSIÓN"/>
    <s v="730814 Suministros para Actividades Agropecuarias,"/>
    <s v="G/730814/2FH211"/>
    <s v="001"/>
    <n v="1500"/>
    <n v="2000"/>
    <n v="-3500"/>
    <n v="0"/>
    <n v="0"/>
    <n v="0"/>
    <n v="0"/>
    <n v="0"/>
    <n v="0"/>
    <n v="0"/>
  </r>
  <r>
    <s v="73"/>
    <x v="2"/>
    <x v="7"/>
    <s v="ZQ08F080"/>
    <x v="44"/>
    <s v="H211"/>
    <s v="DESARROLLO TERRITORIAL"/>
    <s v="GI00H21100002D"/>
    <s v="GI00H21100002D PROMOCIÓN DE VOCACIONES PRODUCTIVAS TERR"/>
    <s v="73 BIENES Y SERVICIOS PARA INVERSIÓN"/>
    <s v="730814 Suministros para Actividades Agropecuarias,"/>
    <s v="G/730814/2FH211"/>
    <s v="001"/>
    <n v="8050"/>
    <n v="0"/>
    <n v="0"/>
    <n v="8050"/>
    <n v="0"/>
    <n v="7050.5"/>
    <n v="7050.5"/>
    <n v="999.5"/>
    <n v="999.5"/>
    <n v="999.5"/>
  </r>
  <r>
    <s v="73"/>
    <x v="2"/>
    <x v="7"/>
    <s v="ZV05F050"/>
    <x v="39"/>
    <s v="H211"/>
    <s v="DESARROLLO TERRITORIAL"/>
    <s v="GI00H21100002D"/>
    <s v="GI00H21100002D PROMOCIÓN DE VOCACIONES PRODUCTIVAS TERR"/>
    <s v="73 BIENES Y SERVICIOS PARA INVERSIÓN"/>
    <s v="730814 Suministros para Actividades Agropecuarias,"/>
    <s v="G/730814/2FH211"/>
    <s v="001"/>
    <n v="9000"/>
    <n v="0"/>
    <n v="-9000"/>
    <n v="0"/>
    <n v="0"/>
    <n v="0"/>
    <n v="0"/>
    <n v="0"/>
    <n v="0"/>
    <n v="0"/>
  </r>
  <r>
    <s v="73"/>
    <x v="2"/>
    <x v="7"/>
    <s v="ZM04F040"/>
    <x v="41"/>
    <s v="H211"/>
    <s v="DESARROLLO TERRITORIAL"/>
    <s v="GI00H21100002D"/>
    <s v="GI00H21100002D PROMOCIÓN DE VOCACIONES PRODUCTIVAS TERR"/>
    <s v="73 BIENES Y SERVICIOS PARA INVERSIÓN"/>
    <s v="730814 Suministros para Actividades Agropecuarias,"/>
    <s v="G/730814/2FH211"/>
    <s v="001"/>
    <n v="5000"/>
    <n v="0"/>
    <n v="0"/>
    <n v="5000"/>
    <n v="0"/>
    <n v="5000"/>
    <n v="0"/>
    <n v="0"/>
    <n v="5000"/>
    <n v="0"/>
  </r>
  <r>
    <s v="73"/>
    <x v="2"/>
    <x v="7"/>
    <s v="ZD07F070"/>
    <x v="43"/>
    <s v="H211"/>
    <s v="DESARROLLO TERRITORIAL"/>
    <s v="GI00H21100002D"/>
    <s v="GI00H21100002D PROMOCIÓN DE VOCACIONES PRODUCTIVAS TERR"/>
    <s v="73 BIENES Y SERVICIOS PARA INVERSIÓN"/>
    <s v="730814 Suministros para Actividades Agropecuarias,"/>
    <s v="G/730814/2FH211"/>
    <s v="001"/>
    <n v="1500"/>
    <n v="5000"/>
    <n v="0"/>
    <n v="6500"/>
    <n v="0"/>
    <n v="6495.3"/>
    <n v="1498.5"/>
    <n v="4.7"/>
    <n v="5001.5"/>
    <n v="4.7"/>
  </r>
  <r>
    <s v="73"/>
    <x v="2"/>
    <x v="7"/>
    <s v="ZN02F020"/>
    <x v="46"/>
    <s v="H211"/>
    <s v="DESARROLLO TERRITORIAL"/>
    <s v="GI00H21100002D"/>
    <s v="GI00H21100002D PROMOCIÓN DE VOCACIONES PRODUCTIVAS TERR"/>
    <s v="73 BIENES Y SERVICIOS PARA INVERSIÓN"/>
    <s v="730814 Suministros para Actividades Agropecuarias,"/>
    <s v="G/730814/2FH211"/>
    <s v="001"/>
    <n v="3000"/>
    <n v="0"/>
    <n v="-495.45"/>
    <n v="2504.5500000000002"/>
    <n v="0"/>
    <n v="2504.5500000000002"/>
    <n v="2504.5500000000002"/>
    <n v="0"/>
    <n v="0"/>
    <n v="0"/>
  </r>
  <r>
    <s v="73"/>
    <x v="2"/>
    <x v="7"/>
    <s v="ZC09F090"/>
    <x v="10"/>
    <s v="H211"/>
    <s v="DESARROLLO TERRITORIAL"/>
    <s v="GI00H21100002D"/>
    <s v="GI00H21100002D PROMOCIÓN DE VOCACIONES PRODUCTIVAS TERR"/>
    <s v="73 BIENES Y SERVICIOS PARA INVERSIÓN"/>
    <s v="730814 Suministros para Actividades Agropecuarias,"/>
    <s v="G/730814/2FH211"/>
    <s v="001"/>
    <n v="2000"/>
    <n v="0"/>
    <n v="0"/>
    <n v="2000"/>
    <n v="0.25"/>
    <n v="1999.75"/>
    <n v="0"/>
    <n v="0.25"/>
    <n v="2000"/>
    <n v="0"/>
  </r>
  <r>
    <s v="73"/>
    <x v="3"/>
    <x v="11"/>
    <s v="ZA01H000"/>
    <x v="19"/>
    <s v="H212"/>
    <s v="FORTALECIMIENTO DE LA COMPETITIVIDAD"/>
    <s v="GI00H21200002D"/>
    <s v="GI00H21200002D QUITO COMPETITIVA Y DE INVERSIONES"/>
    <s v="73 BIENES Y SERVICIOS PARA INVERSIÓN"/>
    <s v="730249 Eventos Públicos Promocionales"/>
    <s v="G/730249/2HH212"/>
    <s v="001"/>
    <n v="6000"/>
    <n v="0"/>
    <n v="-4478.66"/>
    <n v="1521.34"/>
    <n v="0"/>
    <n v="1521.34"/>
    <n v="0"/>
    <n v="0"/>
    <n v="1521.34"/>
    <n v="0"/>
  </r>
  <r>
    <s v="73"/>
    <x v="3"/>
    <x v="11"/>
    <s v="ZA01H000"/>
    <x v="19"/>
    <s v="H212"/>
    <s v="FORTALECIMIENTO DE LA COMPETITIVIDAD"/>
    <s v="GI00H21200002D"/>
    <s v="GI00H21200002D QUITO COMPETITIVA Y DE INVERSIONES"/>
    <s v="73 BIENES Y SERVICIOS PARA INVERSIÓN"/>
    <s v="730601 Consultoría, Asesoría e Investigación Es"/>
    <s v="G/730601/2HH212"/>
    <s v="001"/>
    <n v="83000"/>
    <n v="0"/>
    <n v="-83000"/>
    <n v="0"/>
    <n v="0"/>
    <n v="0"/>
    <n v="0"/>
    <n v="0"/>
    <n v="0"/>
    <n v="0"/>
  </r>
  <r>
    <s v="73"/>
    <x v="3"/>
    <x v="11"/>
    <s v="ZA01H000"/>
    <x v="19"/>
    <s v="H212"/>
    <s v="FORTALECIMIENTO DE LA COMPETITIVIDAD"/>
    <s v="GI00H21200002D"/>
    <s v="GI00H21200002D QUITO COMPETITIVA Y DE INVERSIONES"/>
    <s v="73 BIENES Y SERVICIOS PARA INVERSIÓN"/>
    <s v="730606 Honorarios por Contratos Civiles de Servici"/>
    <s v="G/730606/2HH212"/>
    <s v="001"/>
    <n v="4574"/>
    <n v="0"/>
    <n v="-4574"/>
    <n v="0"/>
    <n v="0"/>
    <n v="0"/>
    <n v="0"/>
    <n v="0"/>
    <n v="0"/>
    <n v="0"/>
  </r>
  <r>
    <s v="73"/>
    <x v="3"/>
    <x v="11"/>
    <s v="ZA01H000"/>
    <x v="19"/>
    <s v="H213"/>
    <s v="LOGÍSTICA EFICIENTE"/>
    <s v="GI00H21300002D"/>
    <s v="GI00H21300002D SISTEMAS AGROALIMENTARIOS SOSTENIBLES"/>
    <s v="73 BIENES Y SERVICIOS PARA INVERSIÓN"/>
    <s v="730249 Eventos Públicos Promocionales"/>
    <s v="G/730249/2HH213"/>
    <s v="001"/>
    <n v="1000"/>
    <n v="0"/>
    <n v="-1000"/>
    <n v="0"/>
    <n v="0"/>
    <n v="0"/>
    <n v="0"/>
    <n v="0"/>
    <n v="0"/>
    <n v="0"/>
  </r>
  <r>
    <s v="73"/>
    <x v="3"/>
    <x v="11"/>
    <s v="ZA01H000"/>
    <x v="19"/>
    <s v="H213"/>
    <s v="LOGÍSTICA EFICIENTE"/>
    <s v="GI00H21300002D"/>
    <s v="GI00H21300002D SISTEMAS AGROALIMENTARIOS SOSTENIBLES"/>
    <s v="73 BIENES Y SERVICIOS PARA INVERSIÓN"/>
    <s v="730601 Consultoría, Asesoría e Investigación Es"/>
    <s v="G/730601/2HH213"/>
    <s v="001"/>
    <n v="44000"/>
    <n v="17000"/>
    <n v="-61000"/>
    <n v="0"/>
    <n v="0"/>
    <n v="0"/>
    <n v="0"/>
    <n v="0"/>
    <n v="0"/>
    <n v="0"/>
  </r>
  <r>
    <s v="73"/>
    <x v="1"/>
    <x v="10"/>
    <s v="ZA01I000"/>
    <x v="18"/>
    <s v="I101"/>
    <s v="PRACTICAS SALUDABLES"/>
    <s v="GI00I10100003D"/>
    <s v="GI00I10100003D QUITO SI LA MUEVE"/>
    <s v="73 BIENES Y SERVICIOS PARA INVERSIÓN"/>
    <s v="730205 Espectáculos Culturales y Sociales"/>
    <s v="G/730205/1II101"/>
    <s v="001"/>
    <n v="2647786.7799999998"/>
    <n v="-2095235.6"/>
    <n v="-253029.36"/>
    <n v="299521.82"/>
    <n v="0"/>
    <n v="299521.82"/>
    <n v="23215.58"/>
    <n v="0"/>
    <n v="276306.24"/>
    <n v="0"/>
  </r>
  <r>
    <s v="73"/>
    <x v="1"/>
    <x v="10"/>
    <s v="ZA01I000"/>
    <x v="18"/>
    <s v="I101"/>
    <s v="PRACTICAS SALUDABLES"/>
    <s v="GI00I10100003D"/>
    <s v="GI00I10100003D QUITO SI LA MUEVE"/>
    <s v="73 BIENES Y SERVICIOS PARA INVERSIÓN"/>
    <s v="730606 Honorarios por Contratos Civiles de Servici"/>
    <s v="G/730606/1II101"/>
    <s v="001"/>
    <n v="92213.22"/>
    <n v="0"/>
    <n v="-92213.22"/>
    <n v="0"/>
    <n v="0"/>
    <n v="0"/>
    <n v="0"/>
    <n v="0"/>
    <n v="0"/>
    <n v="0"/>
  </r>
  <r>
    <s v="73"/>
    <x v="1"/>
    <x v="10"/>
    <s v="ZA01I000"/>
    <x v="18"/>
    <s v="I101"/>
    <s v="PRACTICAS SALUDABLES"/>
    <s v="GI00I10100004D"/>
    <s v="GI00I10100004D QUITO A LA CANCHA"/>
    <s v="73 BIENES Y SERVICIOS PARA INVERSIÓN"/>
    <s v="730604 Fiscalización e Inspecciones Técnicas"/>
    <s v="G/730604/1II101"/>
    <s v="001"/>
    <n v="627328"/>
    <n v="-239086.56"/>
    <n v="-388241.44"/>
    <n v="0"/>
    <n v="0"/>
    <n v="0"/>
    <n v="0"/>
    <n v="0"/>
    <n v="0"/>
    <n v="0"/>
  </r>
  <r>
    <s v="73"/>
    <x v="1"/>
    <x v="10"/>
    <s v="ZA01I000"/>
    <x v="18"/>
    <s v="I101"/>
    <s v="PRACTICAS SALUDABLES"/>
    <s v="GI00I10100004D"/>
    <s v="GI00I10100004D QUITO A LA CANCHA"/>
    <s v="73 BIENES Y SERVICIOS PARA INVERSIÓN"/>
    <s v="730606 Honorarios por Contratos Civiles de Servici"/>
    <s v="G/730606/1II101"/>
    <s v="001"/>
    <n v="230000"/>
    <n v="0"/>
    <n v="0"/>
    <n v="230000"/>
    <n v="89328"/>
    <n v="140672"/>
    <n v="48384"/>
    <n v="89328"/>
    <n v="181616"/>
    <n v="0"/>
  </r>
  <r>
    <s v="73"/>
    <x v="1"/>
    <x v="10"/>
    <s v="ZA01I000"/>
    <x v="18"/>
    <s v="I101"/>
    <s v="PRACTICAS SALUDABLES"/>
    <s v="GI00I10100004D"/>
    <s v="GI00I10100004D QUITO A LA CANCHA"/>
    <s v="73 BIENES Y SERVICIOS PARA INVERSIÓN"/>
    <s v="730702 Arrendamiento y Licencias de Uso de Paquete"/>
    <s v="G/730702/1II101"/>
    <s v="001"/>
    <n v="2000"/>
    <n v="-2000"/>
    <n v="0"/>
    <n v="0"/>
    <n v="0"/>
    <n v="0"/>
    <n v="0"/>
    <n v="0"/>
    <n v="0"/>
    <n v="0"/>
  </r>
  <r>
    <s v="73"/>
    <x v="1"/>
    <x v="10"/>
    <s v="CB21I040"/>
    <x v="17"/>
    <s v="I102"/>
    <s v="SISTEMA EDUCATIVO MUNICIPAL"/>
    <s v="GI00I10200004D"/>
    <s v="GI00I10200004D FORTALECIMIENTO PEDAGOGICO"/>
    <s v="73 BIENES Y SERVICIOS PARA INVERSIÓN"/>
    <s v="730106 Servicio de Correo"/>
    <s v="G/730106/1II102"/>
    <s v="001"/>
    <n v="3500"/>
    <n v="0"/>
    <n v="-3500"/>
    <n v="0"/>
    <n v="0"/>
    <n v="0"/>
    <n v="0"/>
    <n v="0"/>
    <n v="0"/>
    <n v="0"/>
  </r>
  <r>
    <s v="73"/>
    <x v="1"/>
    <x v="10"/>
    <s v="CB21I040"/>
    <x v="17"/>
    <s v="I102"/>
    <s v="SISTEMA EDUCATIVO MUNICIPAL"/>
    <s v="GI00I10200004D"/>
    <s v="GI00I10200004D FORTALECIMIENTO PEDAGOGICO"/>
    <s v="73 BIENES Y SERVICIOS PARA INVERSIÓN"/>
    <s v="730204 Edición, Impresión, Reproducción, Public"/>
    <s v="G/730204/1II102"/>
    <s v="001"/>
    <n v="7000"/>
    <n v="0"/>
    <n v="-7000"/>
    <n v="0"/>
    <n v="0"/>
    <n v="0"/>
    <n v="0"/>
    <n v="0"/>
    <n v="0"/>
    <n v="0"/>
  </r>
  <r>
    <s v="73"/>
    <x v="1"/>
    <x v="10"/>
    <s v="CB21I040"/>
    <x v="17"/>
    <s v="I102"/>
    <s v="SISTEMA EDUCATIVO MUNICIPAL"/>
    <s v="GI00I10200004D"/>
    <s v="GI00I10200004D FORTALECIMIENTO PEDAGOGICO"/>
    <s v="73 BIENES Y SERVICIOS PARA INVERSIÓN"/>
    <s v="730239 Membrecías"/>
    <s v="G/730239/1II102"/>
    <s v="001"/>
    <n v="63500"/>
    <n v="0"/>
    <n v="0"/>
    <n v="63500"/>
    <n v="0"/>
    <n v="46715"/>
    <n v="46115"/>
    <n v="16785"/>
    <n v="17385"/>
    <n v="16785"/>
  </r>
  <r>
    <s v="73"/>
    <x v="1"/>
    <x v="10"/>
    <s v="CB21I040"/>
    <x v="17"/>
    <s v="I102"/>
    <s v="SISTEMA EDUCATIVO MUNICIPAL"/>
    <s v="GI00I10200004D"/>
    <s v="GI00I10200004D FORTALECIMIENTO PEDAGOGICO"/>
    <s v="73 BIENES Y SERVICIOS PARA INVERSIÓN"/>
    <s v="730301 Pasajes al Interior"/>
    <s v="G/730301/1II102"/>
    <s v="001"/>
    <n v="10000"/>
    <n v="0"/>
    <n v="-10000"/>
    <n v="0"/>
    <n v="0"/>
    <n v="0"/>
    <n v="0"/>
    <n v="0"/>
    <n v="0"/>
    <n v="0"/>
  </r>
  <r>
    <s v="73"/>
    <x v="1"/>
    <x v="10"/>
    <s v="CB21I040"/>
    <x v="17"/>
    <s v="I102"/>
    <s v="SISTEMA EDUCATIVO MUNICIPAL"/>
    <s v="GI00I10200004D"/>
    <s v="GI00I10200004D FORTALECIMIENTO PEDAGOGICO"/>
    <s v="73 BIENES Y SERVICIOS PARA INVERSIÓN"/>
    <s v="730303 Viáticos y Subsistencias en el Interior"/>
    <s v="G/730303/1II102"/>
    <s v="001"/>
    <n v="10000"/>
    <n v="0"/>
    <n v="-10000"/>
    <n v="0"/>
    <n v="0"/>
    <n v="0"/>
    <n v="0"/>
    <n v="0"/>
    <n v="0"/>
    <n v="0"/>
  </r>
  <r>
    <s v="73"/>
    <x v="1"/>
    <x v="10"/>
    <s v="SF43I080"/>
    <x v="34"/>
    <s v="I102"/>
    <s v="SISTEMA EDUCATIVO MUNICIPAL"/>
    <s v="GI00I10200004D"/>
    <s v="GI00I10200004D FORTALECIMIENTO PEDAGOGICO"/>
    <s v="73 BIENES Y SERVICIOS PARA INVERSIÓN"/>
    <s v="730402 Edificios, Locales, Residencias y Cablea"/>
    <s v="G/730402/1II102"/>
    <s v="001"/>
    <n v="502708.47"/>
    <n v="0"/>
    <n v="-502708.47"/>
    <n v="0"/>
    <n v="0"/>
    <n v="0"/>
    <n v="0"/>
    <n v="0"/>
    <n v="0"/>
    <n v="0"/>
  </r>
  <r>
    <s v="73"/>
    <x v="1"/>
    <x v="10"/>
    <s v="EQ13I030"/>
    <x v="35"/>
    <s v="I102"/>
    <s v="SISTEMA EDUCATIVO MUNICIPAL"/>
    <s v="GI00I10200004D"/>
    <s v="GI00I10200004D FORTALECIMIENTO PEDAGOGICO"/>
    <s v="73 BIENES Y SERVICIOS PARA INVERSIÓN"/>
    <s v="730402 Edificios, Locales, Residencias y Cablea"/>
    <s v="G/730402/1II102"/>
    <s v="001"/>
    <n v="0"/>
    <n v="50400"/>
    <n v="0"/>
    <n v="50400"/>
    <n v="11200"/>
    <n v="39200"/>
    <n v="0"/>
    <n v="11200"/>
    <n v="50400"/>
    <n v="0"/>
  </r>
  <r>
    <s v="73"/>
    <x v="1"/>
    <x v="10"/>
    <s v="OL41I060"/>
    <x v="29"/>
    <s v="I102"/>
    <s v="SISTEMA EDUCATIVO MUNICIPAL"/>
    <s v="GI00I10200004D"/>
    <s v="GI00I10200004D FORTALECIMIENTO PEDAGOGICO"/>
    <s v="73 BIENES Y SERVICIOS PARA INVERSIÓN"/>
    <s v="730404 Maquinarias y Equipos (Instalación, Mant"/>
    <s v="G/730404/1II102"/>
    <s v="001"/>
    <n v="800"/>
    <n v="0"/>
    <n v="-800"/>
    <n v="0"/>
    <n v="0"/>
    <n v="0"/>
    <n v="0"/>
    <n v="0"/>
    <n v="0"/>
    <n v="0"/>
  </r>
  <r>
    <s v="73"/>
    <x v="1"/>
    <x v="10"/>
    <s v="CF22I050"/>
    <x v="38"/>
    <s v="I102"/>
    <s v="SISTEMA EDUCATIVO MUNICIPAL"/>
    <s v="GI00I10200004D"/>
    <s v="GI00I10200004D FORTALECIMIENTO PEDAGOGICO"/>
    <s v="73 BIENES Y SERVICIOS PARA INVERSIÓN"/>
    <s v="730606 Honorarios por Contratos Civiles de Servici"/>
    <s v="G/730606/1II102"/>
    <s v="001"/>
    <n v="6000"/>
    <n v="0"/>
    <n v="-6000"/>
    <n v="0"/>
    <n v="0"/>
    <n v="0"/>
    <n v="0"/>
    <n v="0"/>
    <n v="0"/>
    <n v="0"/>
  </r>
  <r>
    <s v="73"/>
    <x v="1"/>
    <x v="10"/>
    <s v="CB21I040"/>
    <x v="17"/>
    <s v="I102"/>
    <s v="SISTEMA EDUCATIVO MUNICIPAL"/>
    <s v="GI00I10200004D"/>
    <s v="GI00I10200004D FORTALECIMIENTO PEDAGOGICO"/>
    <s v="73 BIENES Y SERVICIOS PARA INVERSIÓN"/>
    <s v="730612 Capacitación a Servidores Públicos"/>
    <s v="G/730612/1II102"/>
    <s v="001"/>
    <n v="40000"/>
    <n v="0"/>
    <n v="-20000"/>
    <n v="20000"/>
    <n v="0"/>
    <n v="20000"/>
    <n v="14560"/>
    <n v="0"/>
    <n v="5440"/>
    <n v="0"/>
  </r>
  <r>
    <s v="73"/>
    <x v="1"/>
    <x v="10"/>
    <s v="JM40I070"/>
    <x v="27"/>
    <s v="I102"/>
    <s v="SISTEMA EDUCATIVO MUNICIPAL"/>
    <s v="GI00I10200004D"/>
    <s v="GI00I10200004D FORTALECIMIENTO PEDAGOGICO"/>
    <s v="73 BIENES Y SERVICIOS PARA INVERSIÓN"/>
    <s v="730612 Capacitación a Servidores Públicos"/>
    <s v="G/730612/1II102"/>
    <s v="001"/>
    <n v="10260"/>
    <n v="0"/>
    <n v="-10260"/>
    <n v="0"/>
    <n v="0"/>
    <n v="0"/>
    <n v="0"/>
    <n v="0"/>
    <n v="0"/>
    <n v="0"/>
  </r>
  <r>
    <s v="73"/>
    <x v="1"/>
    <x v="10"/>
    <s v="MB42I090"/>
    <x v="28"/>
    <s v="I102"/>
    <s v="SISTEMA EDUCATIVO MUNICIPAL"/>
    <s v="GI00I10200004D"/>
    <s v="GI00I10200004D FORTALECIMIENTO PEDAGOGICO"/>
    <s v="73 BIENES Y SERVICIOS PARA INVERSIÓN"/>
    <s v="730612 Capacitación a Servidores Públicos"/>
    <s v="G/730612/1II102"/>
    <s v="001"/>
    <n v="30000"/>
    <n v="0"/>
    <n v="-12000"/>
    <n v="18000"/>
    <n v="5"/>
    <n v="5130"/>
    <n v="5130"/>
    <n v="12870"/>
    <n v="12870"/>
    <n v="12865"/>
  </r>
  <r>
    <s v="73"/>
    <x v="1"/>
    <x v="10"/>
    <s v="CB21I040"/>
    <x v="17"/>
    <s v="I102"/>
    <s v="SISTEMA EDUCATIVO MUNICIPAL"/>
    <s v="GI00I10200004D"/>
    <s v="GI00I10200004D FORTALECIMIENTO PEDAGOGICO"/>
    <s v="73 BIENES Y SERVICIOS PARA INVERSIÓN"/>
    <s v="730702 Arrendamiento y Licencias de Uso de Paquete"/>
    <s v="G/730702/1II102"/>
    <s v="001"/>
    <n v="0"/>
    <n v="2800"/>
    <n v="0"/>
    <n v="2800"/>
    <n v="0"/>
    <n v="2216.65"/>
    <n v="0"/>
    <n v="583.35"/>
    <n v="2800"/>
    <n v="583.35"/>
  </r>
  <r>
    <s v="73"/>
    <x v="1"/>
    <x v="10"/>
    <s v="OL41I060"/>
    <x v="29"/>
    <s v="I102"/>
    <s v="SISTEMA EDUCATIVO MUNICIPAL"/>
    <s v="GI00I10200004D"/>
    <s v="GI00I10200004D FORTALECIMIENTO PEDAGOGICO"/>
    <s v="73 BIENES Y SERVICIOS PARA INVERSIÓN"/>
    <s v="730802 Vestuario, Lencería, Prendas de Protecci"/>
    <s v="G/730802/1II102"/>
    <s v="001"/>
    <n v="6475"/>
    <n v="0"/>
    <n v="-6475"/>
    <n v="0"/>
    <n v="0"/>
    <n v="0"/>
    <n v="0"/>
    <n v="0"/>
    <n v="0"/>
    <n v="0"/>
  </r>
  <r>
    <s v="73"/>
    <x v="1"/>
    <x v="10"/>
    <s v="OL41I060"/>
    <x v="29"/>
    <s v="I102"/>
    <s v="SISTEMA EDUCATIVO MUNICIPAL"/>
    <s v="GI00I10200004D"/>
    <s v="GI00I10200004D FORTALECIMIENTO PEDAGOGICO"/>
    <s v="73 BIENES Y SERVICIOS PARA INVERSIÓN"/>
    <s v="730813 Repuestos y Accesorios"/>
    <s v="G/730813/1II102"/>
    <s v="001"/>
    <n v="425"/>
    <n v="0"/>
    <n v="-425"/>
    <n v="0"/>
    <n v="0"/>
    <n v="0"/>
    <n v="0"/>
    <n v="0"/>
    <n v="0"/>
    <n v="0"/>
  </r>
  <r>
    <s v="73"/>
    <x v="1"/>
    <x v="10"/>
    <s v="OL41I060"/>
    <x v="29"/>
    <s v="I102"/>
    <s v="SISTEMA EDUCATIVO MUNICIPAL"/>
    <s v="GI00I10200004D"/>
    <s v="GI00I10200004D FORTALECIMIENTO PEDAGOGICO"/>
    <s v="73 BIENES Y SERVICIOS PARA INVERSIÓN"/>
    <s v="731404 Maquinarias y Equipos"/>
    <s v="G/731404/1II102"/>
    <s v="001"/>
    <n v="1260"/>
    <n v="0"/>
    <n v="-1260"/>
    <n v="0"/>
    <n v="0"/>
    <n v="0"/>
    <n v="0"/>
    <n v="0"/>
    <n v="0"/>
    <n v="0"/>
  </r>
  <r>
    <s v="73"/>
    <x v="1"/>
    <x v="10"/>
    <s v="CB21I040"/>
    <x v="17"/>
    <s v="I102"/>
    <s v="SISTEMA EDUCATIVO MUNICIPAL"/>
    <s v="GI00I10200004D"/>
    <s v="GI00I10200004D FORTALECIMIENTO PEDAGOGICO"/>
    <s v="73 BIENES Y SERVICIOS PARA INVERSIÓN"/>
    <s v="731409 Libros y Colecciones"/>
    <s v="G/731409/1II102"/>
    <s v="001"/>
    <n v="3000"/>
    <n v="0"/>
    <n v="-300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07D"/>
    <s v="GI00I10200007D AMPLIACIÓN DE LA OFERTA DE ATENCIÓN PSIC"/>
    <s v="73 BIENES Y SERVICIOS PARA INVERSIÓN"/>
    <s v="730804 Materiales de Oficina"/>
    <s v="G/730804/1II102"/>
    <s v="001"/>
    <n v="25000"/>
    <n v="0"/>
    <n v="-2500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07D"/>
    <s v="GI00I10200007D AMPLIACIÓN DE LA OFERTA DE ATENCIÓN PSIC"/>
    <s v="73 BIENES Y SERVICIOS PARA INVERSIÓN"/>
    <s v="730812 Materiales Didácticos"/>
    <s v="G/730812/1II102"/>
    <s v="001"/>
    <n v="30000"/>
    <n v="0"/>
    <n v="-3000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08D"/>
    <s v="GI00I10200008D AMPLIACIÓN DE LA OFERTA EDUCATIVA VIRTUA"/>
    <s v="73 BIENES Y SERVICIOS PARA INVERSIÓN"/>
    <s v="730204 Edición, Impresión, Reproducción, Public"/>
    <s v="G/730204/1II102"/>
    <s v="001"/>
    <n v="5000"/>
    <n v="0"/>
    <n v="-500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08D"/>
    <s v="GI00I10200008D AMPLIACIÓN DE LA OFERTA EDUCATIVA VIRTUA"/>
    <s v="73 BIENES Y SERVICIOS PARA INVERSIÓN"/>
    <s v="730205 Espectáculos Culturales y Sociales"/>
    <s v="G/730205/1II102"/>
    <s v="001"/>
    <n v="16000"/>
    <n v="0"/>
    <n v="-1600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08D"/>
    <s v="GI00I10200008D AMPLIACIÓN DE LA OFERTA EDUCATIVA VIRTUA"/>
    <s v="73 BIENES Y SERVICIOS PARA INVERSIÓN"/>
    <s v="730207 Difusión, Información y Publicidad"/>
    <s v="G/730207/1II102"/>
    <s v="001"/>
    <n v="10000"/>
    <n v="0"/>
    <n v="-1000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08D"/>
    <s v="GI00I10200008D AMPLIACIÓN DE LA OFERTA EDUCATIVA VIRTUA"/>
    <s v="73 BIENES Y SERVICIOS PARA INVERSIÓN"/>
    <s v="730606 Honorarios por Contratos Civiles de Servici"/>
    <s v="G/730606/1II102"/>
    <s v="001"/>
    <n v="1430013.75"/>
    <n v="-400000"/>
    <n v="-1030013.75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08D"/>
    <s v="GI00I10200008D AMPLIACIÓN DE LA OFERTA EDUCATIVA VIRTUA"/>
    <s v="73 BIENES Y SERVICIOS PARA INVERSIÓN"/>
    <s v="730612 Capacitación a Servidores Públicos"/>
    <s v="G/730612/1II102"/>
    <s v="001"/>
    <n v="21000"/>
    <n v="0"/>
    <n v="-2100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08D"/>
    <s v="GI00I10200008D AMPLIACIÓN DE LA OFERTA EDUCATIVA VIRTUA"/>
    <s v="73 BIENES Y SERVICIOS PARA INVERSIÓN"/>
    <s v="730701 Desarrollo, Actualización, Asistencia Té"/>
    <s v="G/730701/1II102"/>
    <s v="001"/>
    <n v="176986.25"/>
    <n v="0"/>
    <n v="-176986.25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08D"/>
    <s v="GI00I10200008D AMPLIACIÓN DE LA OFERTA EDUCATIVA VIRTUA"/>
    <s v="73 BIENES Y SERVICIOS PARA INVERSIÓN"/>
    <s v="730802 Vestuario, Lencería, Prendas de Protecci"/>
    <s v="G/730802/1II102"/>
    <s v="001"/>
    <n v="16500"/>
    <n v="0"/>
    <n v="-1650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08D"/>
    <s v="GI00I10200008D AMPLIACIÓN DE LA OFERTA EDUCATIVA VIRTUA"/>
    <s v="73 BIENES Y SERVICIOS PARA INVERSIÓN"/>
    <s v="730804 Materiales de Oficina"/>
    <s v="G/730804/1II102"/>
    <s v="001"/>
    <n v="14000"/>
    <n v="0"/>
    <n v="-1400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08D"/>
    <s v="GI00I10200008D AMPLIACIÓN DE LA OFERTA EDUCATIVA VIRTUA"/>
    <s v="73 BIENES Y SERVICIOS PARA INVERSIÓN"/>
    <s v="731407 Equipos, Sistemas y Paquetes Informáticos"/>
    <s v="G/731407/1II102"/>
    <s v="001"/>
    <n v="18500"/>
    <n v="0"/>
    <n v="-1850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09D"/>
    <s v="GI00I10200009D EDUCACIÓN EXTRAORDINARIA PRESENCIAL Y SE"/>
    <s v="73 BIENES Y SERVICIOS PARA INVERSIÓN"/>
    <s v="730205 Espectáculos Culturales y Sociales"/>
    <s v="G/730205/1II102"/>
    <s v="001"/>
    <n v="15000"/>
    <n v="0"/>
    <n v="-1500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09D"/>
    <s v="GI00I10200009D EDUCACIÓN EXTRAORDINARIA PRESENCIAL Y SE"/>
    <s v="73 BIENES Y SERVICIOS PARA INVERSIÓN"/>
    <s v="730207 Difusión, Información y Publicidad"/>
    <s v="G/730207/1II102"/>
    <s v="001"/>
    <n v="10000"/>
    <n v="0"/>
    <n v="-1000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09D"/>
    <s v="GI00I10200009D EDUCACIÓN EXTRAORDINARIA PRESENCIAL Y SE"/>
    <s v="73 BIENES Y SERVICIOS PARA INVERSIÓN"/>
    <s v="730613 Capacitación para la Ciudadanía en Gener"/>
    <s v="G/730613/1II102"/>
    <s v="001"/>
    <n v="8600"/>
    <n v="0"/>
    <n v="-860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09D"/>
    <s v="GI00I10200009D EDUCACIÓN EXTRAORDINARIA PRESENCIAL Y SE"/>
    <s v="73 BIENES Y SERVICIOS PARA INVERSIÓN"/>
    <s v="730802 Vestuario, Lencería, Prendas de Protecci"/>
    <s v="G/730802/1II102"/>
    <s v="001"/>
    <n v="86800"/>
    <n v="0"/>
    <n v="-8680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09D"/>
    <s v="GI00I10200009D EDUCACIÓN EXTRAORDINARIA PRESENCIAL Y SE"/>
    <s v="73 BIENES Y SERVICIOS PARA INVERSIÓN"/>
    <s v="730804 Materiales de Oficina"/>
    <s v="G/730804/1II102"/>
    <s v="001"/>
    <n v="23360"/>
    <n v="0"/>
    <n v="-2336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09D"/>
    <s v="GI00I10200009D EDUCACIÓN EXTRAORDINARIA PRESENCIAL Y SE"/>
    <s v="73 BIENES Y SERVICIOS PARA INVERSIÓN"/>
    <s v="730807 Materiales de Impresión, Fotografía, Rep"/>
    <s v="G/730807/1II102"/>
    <s v="001"/>
    <n v="2000"/>
    <n v="0"/>
    <n v="-200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09D"/>
    <s v="GI00I10200009D EDUCACIÓN EXTRAORDINARIA PRESENCIAL Y SE"/>
    <s v="73 BIENES Y SERVICIOS PARA INVERSIÓN"/>
    <s v="730812 Materiales Didácticos"/>
    <s v="G/730812/1II102"/>
    <s v="001"/>
    <n v="7000"/>
    <n v="0"/>
    <n v="-700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10D"/>
    <s v="GI00I10200010D FORTALECIMIENTO DE LA CALIDAD DEL SERVIC"/>
    <s v="73 BIENES Y SERVICIOS PARA INVERSIÓN"/>
    <s v="730105 Telecomunicaciones"/>
    <s v="G/730105/1II102"/>
    <s v="001"/>
    <n v="1000"/>
    <n v="0"/>
    <n v="-100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10D"/>
    <s v="GI00I10200010D FORTALECIMIENTO DE LA CALIDAD DEL SERVIC"/>
    <s v="73 BIENES Y SERVICIOS PARA INVERSIÓN"/>
    <s v="730204 Edición, Impresión, Reproducción, Public"/>
    <s v="G/730204/1II102"/>
    <s v="001"/>
    <n v="206770.83"/>
    <n v="0"/>
    <n v="-206770.83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10D"/>
    <s v="GI00I10200010D FORTALECIMIENTO DE LA CALIDAD DEL SERVIC"/>
    <s v="73 BIENES Y SERVICIOS PARA INVERSIÓN"/>
    <s v="730205 Espectáculos Culturales y Sociales"/>
    <s v="G/730205/1II102"/>
    <s v="001"/>
    <n v="186500"/>
    <n v="0"/>
    <n v="-18650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10D"/>
    <s v="GI00I10200010D FORTALECIMIENTO DE LA CALIDAD DEL SERVIC"/>
    <s v="73 BIENES Y SERVICIOS PARA INVERSIÓN"/>
    <s v="730402 Edificios, Locales, Residencias y Cablea"/>
    <s v="G/730402/1II102"/>
    <s v="001"/>
    <n v="374273.69"/>
    <n v="0"/>
    <n v="-374273.69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10D"/>
    <s v="GI00I10200010D FORTALECIMIENTO DE LA CALIDAD DEL SERVIC"/>
    <s v="73 BIENES Y SERVICIOS PARA INVERSIÓN"/>
    <s v="730609 Investigaciones Profesionales y Análisis de"/>
    <s v="G/730609/1II102"/>
    <s v="001"/>
    <n v="150000"/>
    <n v="0"/>
    <n v="-15000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10D"/>
    <s v="GI00I10200010D FORTALECIMIENTO DE LA CALIDAD DEL SERVIC"/>
    <s v="73 BIENES Y SERVICIOS PARA INVERSIÓN"/>
    <s v="730612 Capacitación a Servidores Públicos"/>
    <s v="G/730612/1II102"/>
    <s v="001"/>
    <n v="584209.28"/>
    <n v="-15000"/>
    <n v="-549209.28"/>
    <n v="20000"/>
    <n v="0"/>
    <n v="0"/>
    <n v="0"/>
    <n v="20000"/>
    <n v="20000"/>
    <n v="20000"/>
  </r>
  <r>
    <s v="73"/>
    <x v="1"/>
    <x v="10"/>
    <s v="ZA01I000"/>
    <x v="18"/>
    <s v="I102"/>
    <s v="SISTEMA EDUCATIVO MUNICIPAL"/>
    <s v="GI00I10200010D"/>
    <s v="GI00I10200010D FORTALECIMIENTO DE LA CALIDAD DEL SERVIC"/>
    <s v="73 BIENES Y SERVICIOS PARA INVERSIÓN"/>
    <s v="730701 Desarrollo, Actualización, Asistencia Té"/>
    <s v="G/730701/1II102"/>
    <s v="001"/>
    <n v="300000"/>
    <n v="0"/>
    <n v="-30000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10D"/>
    <s v="GI00I10200010D FORTALECIMIENTO DE LA CALIDAD DEL SERVIC"/>
    <s v="73 BIENES Y SERVICIOS PARA INVERSIÓN"/>
    <s v="730704 Mantenimiento y Reparación de Equipos y"/>
    <s v="G/730704/1II102"/>
    <s v="001"/>
    <n v="127680"/>
    <n v="0"/>
    <n v="-12768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10D"/>
    <s v="GI00I10200010D FORTALECIMIENTO DE LA CALIDAD DEL SERVIC"/>
    <s v="73 BIENES Y SERVICIOS PARA INVERSIÓN"/>
    <s v="730812 Materiales Didácticos"/>
    <s v="G/730812/1II102"/>
    <s v="001"/>
    <n v="463565.65"/>
    <n v="0"/>
    <n v="-463565.65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10D"/>
    <s v="GI00I10200010D FORTALECIMIENTO DE LA CALIDAD DEL SERVIC"/>
    <s v="73 BIENES Y SERVICIOS PARA INVERSIÓN"/>
    <s v="731408 Bienes Artísticos, Culturales, Bienes De"/>
    <s v="G/731408/1II102"/>
    <s v="001"/>
    <n v="3240"/>
    <n v="0"/>
    <n v="0"/>
    <n v="3240"/>
    <n v="0"/>
    <n v="0"/>
    <n v="0"/>
    <n v="3240"/>
    <n v="3240"/>
    <n v="3240"/>
  </r>
  <r>
    <s v="73"/>
    <x v="1"/>
    <x v="10"/>
    <s v="ZA01I000"/>
    <x v="18"/>
    <s v="I102"/>
    <s v="SISTEMA EDUCATIVO MUNICIPAL"/>
    <s v="GI00I10200012D"/>
    <s v="GI00I10200012D REPOTENCIACIÓN DE LA INFRAESTRUCTURA EDU"/>
    <s v="73 BIENES Y SERVICIOS PARA INVERSIÓN"/>
    <s v="730402 Edificios, Locales, Residencias y Cablea"/>
    <s v="G/730402/1II102"/>
    <s v="001"/>
    <n v="1308464.8400000001"/>
    <n v="0"/>
    <n v="-680000"/>
    <n v="628464.84"/>
    <n v="0"/>
    <n v="255000"/>
    <n v="0"/>
    <n v="373464.84"/>
    <n v="628464.84"/>
    <n v="373464.84"/>
  </r>
  <r>
    <s v="73"/>
    <x v="1"/>
    <x v="10"/>
    <s v="ZA01I000"/>
    <x v="18"/>
    <s v="I102"/>
    <s v="SISTEMA EDUCATIVO MUNICIPAL"/>
    <s v="GI00I10200012D"/>
    <s v="GI00I10200012D REPOTENCIACIÓN DE LA INFRAESTRUCTURA EDU"/>
    <s v="73 BIENES Y SERVICIOS PARA INVERSIÓN"/>
    <s v="730605 Estudio y Diseño de Proyectos"/>
    <s v="G/730605/1II102"/>
    <s v="001"/>
    <n v="471065.16"/>
    <n v="0"/>
    <n v="-236065.16"/>
    <n v="235000"/>
    <n v="0"/>
    <n v="15726.51"/>
    <n v="15726.51"/>
    <n v="219273.49"/>
    <n v="219273.49"/>
    <n v="219273.49"/>
  </r>
  <r>
    <s v="73"/>
    <x v="1"/>
    <x v="10"/>
    <s v="ZA01I000"/>
    <x v="18"/>
    <s v="I102"/>
    <s v="SISTEMA EDUCATIVO MUNICIPAL"/>
    <s v="GI00I10200012D"/>
    <s v="GI00I10200012D REPOTENCIACIÓN DE LA INFRAESTRUCTURA EDU"/>
    <s v="73 BIENES Y SERVICIOS PARA INVERSIÓN"/>
    <s v="730606 Honorarios por Contratos Civiles de Servici"/>
    <s v="G/730606/1II102"/>
    <s v="001"/>
    <n v="150000"/>
    <n v="0"/>
    <n v="-15000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12D"/>
    <s v="GI00I10200012D REPOTENCIACIÓN DE LA INFRAESTRUCTURA EDU"/>
    <s v="73 BIENES Y SERVICIOS PARA INVERSIÓN"/>
    <s v="730702 Arrendamiento y Licencias de Uso de Paquete"/>
    <s v="G/730702/1II102"/>
    <s v="001"/>
    <n v="8500"/>
    <n v="0"/>
    <n v="0"/>
    <n v="8500"/>
    <n v="0"/>
    <n v="0"/>
    <n v="0"/>
    <n v="8500"/>
    <n v="8500"/>
    <n v="8500"/>
  </r>
  <r>
    <s v="73"/>
    <x v="1"/>
    <x v="10"/>
    <s v="ZA01I000"/>
    <x v="18"/>
    <s v="I102"/>
    <s v="SISTEMA EDUCATIVO MUNICIPAL"/>
    <s v="GI00I10200013D"/>
    <s v="GI00I10200013D MODELO  PSICOPEDAGÓGICO  INTEGRAL PARA I"/>
    <s v="73 BIENES Y SERVICIOS PARA INVERSIÓN"/>
    <s v="730201 Transporte de Personal"/>
    <s v="G/730201/1II102"/>
    <s v="001"/>
    <n v="5000"/>
    <n v="0"/>
    <n v="-500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13D"/>
    <s v="GI00I10200013D MODELO  PSICOPEDAGÓGICO  INTEGRAL PARA I"/>
    <s v="73 BIENES Y SERVICIOS PARA INVERSIÓN"/>
    <s v="730613 Capacitación para la Ciudadanía en Gener"/>
    <s v="G/730613/1II102"/>
    <s v="001"/>
    <n v="10000"/>
    <n v="0"/>
    <n v="-10000"/>
    <n v="0"/>
    <n v="0"/>
    <n v="0"/>
    <n v="0"/>
    <n v="0"/>
    <n v="0"/>
    <n v="0"/>
  </r>
  <r>
    <s v="73"/>
    <x v="1"/>
    <x v="10"/>
    <s v="ZA01I000"/>
    <x v="18"/>
    <s v="I102"/>
    <s v="SISTEMA EDUCATIVO MUNICIPAL"/>
    <s v="GI00I10200013D"/>
    <s v="GI00I10200013D MODELO  PSICOPEDAGÓGICO  INTEGRAL PARA I"/>
    <s v="73 BIENES Y SERVICIOS PARA INVERSIÓN"/>
    <s v="730812 Materiales Didácticos"/>
    <s v="G/730812/1II102"/>
    <s v="001"/>
    <n v="20000"/>
    <n v="0"/>
    <n v="-20000"/>
    <n v="0"/>
    <n v="0"/>
    <n v="0"/>
    <n v="0"/>
    <n v="0"/>
    <n v="0"/>
    <n v="0"/>
  </r>
  <r>
    <s v="73"/>
    <x v="1"/>
    <x v="2"/>
    <s v="ZA01M000"/>
    <x v="42"/>
    <s v="J102"/>
    <s v="POLÍTICA SOCIAL INTEGRAL"/>
    <s v="GI00J10200001D"/>
    <s v="GI00J10200001D POLÍTICAS  PÚBLICAS  DE SALUD EN EL DMQ"/>
    <s v="73 BIENES Y SERVICIOS PARA INVERSIÓN"/>
    <s v="730248 Eventos Oficiales"/>
    <s v="G/730248/1MJ102"/>
    <s v="001"/>
    <n v="3500"/>
    <n v="-3500"/>
    <n v="0"/>
    <n v="0"/>
    <n v="0"/>
    <n v="0"/>
    <n v="0"/>
    <n v="0"/>
    <n v="0"/>
    <n v="0"/>
  </r>
  <r>
    <s v="73"/>
    <x v="1"/>
    <x v="2"/>
    <s v="ZA01M000"/>
    <x v="42"/>
    <s v="J102"/>
    <s v="POLÍTICA SOCIAL INTEGRAL"/>
    <s v="GI00J10200001D"/>
    <s v="GI00J10200001D POLÍTICAS  PÚBLICAS  DE SALUD EN EL DMQ"/>
    <s v="73 BIENES Y SERVICIOS PARA INVERSIÓN"/>
    <s v="730249 Eventos Públicos Promocionales"/>
    <s v="G/730249/1MJ102"/>
    <s v="001"/>
    <n v="3500"/>
    <n v="-3500"/>
    <n v="0"/>
    <n v="0"/>
    <n v="0"/>
    <n v="0"/>
    <n v="0"/>
    <n v="0"/>
    <n v="0"/>
    <n v="0"/>
  </r>
  <r>
    <s v="73"/>
    <x v="1"/>
    <x v="2"/>
    <s v="ZA01M000"/>
    <x v="42"/>
    <s v="J102"/>
    <s v="POLÍTICA SOCIAL INTEGRAL"/>
    <s v="GI00J10200001D"/>
    <s v="GI00J10200001D POLÍTICAS  PÚBLICAS  DE SALUD EN EL DMQ"/>
    <s v="73 BIENES Y SERVICIOS PARA INVERSIÓN"/>
    <s v="730605 Estudio y Diseño de Proyectos"/>
    <s v="G/730605/1MJ102"/>
    <s v="001"/>
    <n v="65000"/>
    <n v="-65000"/>
    <n v="0"/>
    <n v="0"/>
    <n v="0"/>
    <n v="0"/>
    <n v="0"/>
    <n v="0"/>
    <n v="0"/>
    <n v="0"/>
  </r>
  <r>
    <s v="73"/>
    <x v="1"/>
    <x v="5"/>
    <s v="ZA01J000"/>
    <x v="8"/>
    <s v="J103"/>
    <s v="PROMOCIÓN Y PROTECCIÓN DE DERECHOS"/>
    <s v="GI00J10300001D"/>
    <s v="GI00J10300001D GARANTÍA DE PROTECCIÓN DE DERECHOS"/>
    <s v="73 BIENES Y SERVICIOS PARA INVERSIÓN"/>
    <s v="730204 Edición, Impresión, Reproducción, Public"/>
    <s v="G/730204/1JJ103"/>
    <s v="001"/>
    <n v="0"/>
    <n v="0"/>
    <n v="28000"/>
    <n v="28000"/>
    <n v="811.04"/>
    <n v="5620"/>
    <n v="0"/>
    <n v="22380"/>
    <n v="28000"/>
    <n v="21568.959999999999"/>
  </r>
  <r>
    <s v="73"/>
    <x v="1"/>
    <x v="5"/>
    <s v="ZA01J000"/>
    <x v="8"/>
    <s v="J103"/>
    <s v="PROMOCIÓN Y PROTECCIÓN DE DERECHOS"/>
    <s v="GI00J10300001D"/>
    <s v="GI00J10300001D GARANTÍA DE PROTECCIÓN DE DERECHOS"/>
    <s v="73 BIENES Y SERVICIOS PARA INVERSIÓN"/>
    <s v="730205 Espectáculos Culturales y Sociales"/>
    <s v="G/730205/1JJ103"/>
    <s v="001"/>
    <n v="7000"/>
    <n v="0"/>
    <n v="38080.480000000003"/>
    <n v="45080.480000000003"/>
    <n v="7000"/>
    <n v="0"/>
    <n v="0"/>
    <n v="45080.480000000003"/>
    <n v="45080.480000000003"/>
    <n v="38080.480000000003"/>
  </r>
  <r>
    <s v="73"/>
    <x v="1"/>
    <x v="5"/>
    <s v="ZA01J000"/>
    <x v="8"/>
    <s v="J103"/>
    <s v="PROMOCIÓN Y PROTECCIÓN DE DERECHOS"/>
    <s v="GI00J10300001D"/>
    <s v="GI00J10300001D GARANTÍA DE PROTECCIÓN DE DERECHOS"/>
    <s v="73 BIENES Y SERVICIOS PARA INVERSIÓN"/>
    <s v="730235 Servicio de Alimentación"/>
    <s v="G/730235/1JJ103"/>
    <s v="001"/>
    <n v="172000"/>
    <n v="-929.6"/>
    <n v="-5000"/>
    <n v="166070.39999999999"/>
    <n v="0"/>
    <n v="0"/>
    <n v="0"/>
    <n v="166070.39999999999"/>
    <n v="166070.39999999999"/>
    <n v="166070.39999999999"/>
  </r>
  <r>
    <s v="73"/>
    <x v="1"/>
    <x v="5"/>
    <s v="ZA01J000"/>
    <x v="8"/>
    <s v="J103"/>
    <s v="PROMOCIÓN Y PROTECCIÓN DE DERECHOS"/>
    <s v="GI00J10300001D"/>
    <s v="GI00J10300001D GARANTÍA DE PROTECCIÓN DE DERECHOS"/>
    <s v="73 BIENES Y SERVICIOS PARA INVERSIÓN"/>
    <s v="730402 Edificios, Locales, Residencias y Cablea"/>
    <s v="G/730402/1JJ103"/>
    <s v="001"/>
    <n v="2500"/>
    <n v="0"/>
    <n v="37500"/>
    <n v="40000"/>
    <n v="5040"/>
    <n v="0"/>
    <n v="0"/>
    <n v="40000"/>
    <n v="40000"/>
    <n v="34960"/>
  </r>
  <r>
    <s v="73"/>
    <x v="1"/>
    <x v="5"/>
    <s v="ZA01J000"/>
    <x v="8"/>
    <s v="J103"/>
    <s v="PROMOCIÓN Y PROTECCIÓN DE DERECHOS"/>
    <s v="GI00J10300001D"/>
    <s v="GI00J10300001D GARANTÍA DE PROTECCIÓN DE DERECHOS"/>
    <s v="73 BIENES Y SERVICIOS PARA INVERSIÓN"/>
    <s v="730606 Honorarios por Contratos Civiles de Servici"/>
    <s v="G/730606/1JJ103"/>
    <s v="001"/>
    <n v="30000"/>
    <n v="0"/>
    <n v="-30000"/>
    <n v="0"/>
    <n v="0"/>
    <n v="0"/>
    <n v="0"/>
    <n v="0"/>
    <n v="0"/>
    <n v="0"/>
  </r>
  <r>
    <s v="73"/>
    <x v="1"/>
    <x v="5"/>
    <s v="ZA01J000"/>
    <x v="8"/>
    <s v="J103"/>
    <s v="PROMOCIÓN Y PROTECCIÓN DE DERECHOS"/>
    <s v="GI00J10300001D"/>
    <s v="GI00J10300001D GARANTÍA DE PROTECCIÓN DE DERECHOS"/>
    <s v="73 BIENES Y SERVICIOS PARA INVERSIÓN"/>
    <s v="730613 Capacitación para la Ciudadanía en Gener"/>
    <s v="G/730613/1JJ103"/>
    <s v="001"/>
    <n v="8000"/>
    <n v="0"/>
    <n v="-6902.4"/>
    <n v="1097.5999999999999"/>
    <n v="0"/>
    <n v="1097.5999999999999"/>
    <n v="1097.5999999999999"/>
    <n v="0"/>
    <n v="0"/>
    <n v="0"/>
  </r>
  <r>
    <s v="73"/>
    <x v="1"/>
    <x v="5"/>
    <s v="ZA01J000"/>
    <x v="8"/>
    <s v="J103"/>
    <s v="PROMOCIÓN Y PROTECCIÓN DE DERECHOS"/>
    <s v="GI00J10300001D"/>
    <s v="GI00J10300001D GARANTÍA DE PROTECCIÓN DE DERECHOS"/>
    <s v="73 BIENES Y SERVICIOS PARA INVERSIÓN"/>
    <s v="730805 Materiales de Aseo"/>
    <s v="G/730805/1JJ103"/>
    <s v="001"/>
    <n v="0"/>
    <n v="818.72"/>
    <n v="850"/>
    <n v="1668.72"/>
    <n v="0"/>
    <n v="818.72"/>
    <n v="0"/>
    <n v="850"/>
    <n v="1668.72"/>
    <n v="850"/>
  </r>
  <r>
    <s v="73"/>
    <x v="1"/>
    <x v="5"/>
    <s v="ZA01J000"/>
    <x v="8"/>
    <s v="J103"/>
    <s v="PROMOCIÓN Y PROTECCIÓN DE DERECHOS"/>
    <s v="GI00J10300001D"/>
    <s v="GI00J10300001D GARANTÍA DE PROTECCIÓN DE DERECHOS"/>
    <s v="73 BIENES Y SERVICIOS PARA INVERSIÓN"/>
    <s v="730811 Insumos,MaterialesySuministrosparaConstrucc"/>
    <s v="G/730811/1JJ103"/>
    <s v="001"/>
    <n v="0"/>
    <n v="110.88"/>
    <n v="115"/>
    <n v="225.88"/>
    <n v="0"/>
    <n v="110.88"/>
    <n v="0"/>
    <n v="115"/>
    <n v="225.88"/>
    <n v="115"/>
  </r>
  <r>
    <s v="73"/>
    <x v="1"/>
    <x v="5"/>
    <s v="ZA01J000"/>
    <x v="8"/>
    <s v="J103"/>
    <s v="PROMOCIÓN Y PROTECCIÓN DE DERECHOS"/>
    <s v="GI00J10300001D"/>
    <s v="GI00J10300001D GARANTÍA DE PROTECCIÓN DE DERECHOS"/>
    <s v="73 BIENES Y SERVICIOS PARA INVERSIÓN"/>
    <s v="730812 Materiales Didácticos"/>
    <s v="G/730812/1JJ103"/>
    <s v="001"/>
    <n v="0"/>
    <n v="0"/>
    <n v="7000"/>
    <n v="7000"/>
    <n v="7000"/>
    <n v="0"/>
    <n v="0"/>
    <n v="7000"/>
    <n v="7000"/>
    <n v="0"/>
  </r>
  <r>
    <s v="73"/>
    <x v="1"/>
    <x v="5"/>
    <s v="ZA01J000"/>
    <x v="8"/>
    <s v="J103"/>
    <s v="PROMOCIÓN Y PROTECCIÓN DE DERECHOS"/>
    <s v="GI00J10300001D"/>
    <s v="GI00J10300001D GARANTÍA DE PROTECCIÓN DE DERECHOS"/>
    <s v="73 BIENES Y SERVICIOS PARA INVERSIÓN"/>
    <s v="730820 Menaje y Accesorios Descartables"/>
    <s v="G/730820/1JJ103"/>
    <s v="001"/>
    <n v="4000"/>
    <n v="0"/>
    <n v="-2965"/>
    <n v="1035"/>
    <n v="0"/>
    <n v="680.96"/>
    <n v="0"/>
    <n v="354.04"/>
    <n v="1035"/>
    <n v="354.04"/>
  </r>
  <r>
    <s v="73"/>
    <x v="1"/>
    <x v="5"/>
    <s v="ZA01J000"/>
    <x v="8"/>
    <s v="J103"/>
    <s v="PROMOCIÓN Y PROTECCIÓN DE DERECHOS"/>
    <s v="GI00J10300001D"/>
    <s v="GI00J10300001D GARANTÍA DE PROTECCIÓN DE DERECHOS"/>
    <s v="73 BIENES Y SERVICIOS PARA INVERSIÓN"/>
    <s v="731404 Maquinarias y Equipos"/>
    <s v="G/731404/1JJ103"/>
    <s v="001"/>
    <n v="500"/>
    <n v="0"/>
    <n v="0"/>
    <n v="500"/>
    <n v="500"/>
    <n v="0"/>
    <n v="0"/>
    <n v="500"/>
    <n v="500"/>
    <n v="0"/>
  </r>
  <r>
    <s v="73"/>
    <x v="2"/>
    <x v="7"/>
    <s v="ZV05F050"/>
    <x v="39"/>
    <s v="J103"/>
    <s v="PROMOCIÓN Y PROTECCIÓN DE DERECHOS"/>
    <s v="GI00J10300002D"/>
    <s v="GI00J10300002D PROMOCIÓN DE DERECHOS DE GRUPOS DE ATENC"/>
    <s v="73 BIENES Y SERVICIOS PARA INVERSIÓN"/>
    <s v="730204 Edición, Impresión, Reproducción, Public"/>
    <s v="G/730204/1FJ103"/>
    <s v="001"/>
    <n v="10000"/>
    <n v="0"/>
    <n v="-10000"/>
    <n v="0"/>
    <n v="0"/>
    <n v="0"/>
    <n v="0"/>
    <n v="0"/>
    <n v="0"/>
    <n v="0"/>
  </r>
  <r>
    <s v="73"/>
    <x v="2"/>
    <x v="7"/>
    <s v="TM68F100"/>
    <x v="36"/>
    <s v="J103"/>
    <s v="PROMOCIÓN Y PROTECCIÓN DE DERECHOS"/>
    <s v="GI00J10300002D"/>
    <s v="GI00J10300002D PROMOCIÓN DE DERECHOS DE GRUPOS DE ATENC"/>
    <s v="73 BIENES Y SERVICIOS PARA INVERSIÓN"/>
    <s v="730204 Edición, Impresión, Reproducción, Public"/>
    <s v="G/730204/1FJ103"/>
    <s v="001"/>
    <n v="3000"/>
    <n v="0"/>
    <n v="-3000"/>
    <n v="0"/>
    <n v="0"/>
    <n v="0"/>
    <n v="0"/>
    <n v="0"/>
    <n v="0"/>
    <n v="0"/>
  </r>
  <r>
    <s v="73"/>
    <x v="1"/>
    <x v="5"/>
    <s v="ZA01J000"/>
    <x v="8"/>
    <s v="J103"/>
    <s v="PROMOCIÓN Y PROTECCIÓN DE DERECHOS"/>
    <s v="GI00J10300002D"/>
    <s v="GI00J10300002D PROMOCIÓN DE DERECHOS DE GRUPOS DE ATENC"/>
    <s v="73 BIENES Y SERVICIOS PARA INVERSIÓN"/>
    <s v="730204 Edición, Impresión, Reproducción, Public"/>
    <s v="G/730204/1JJ103"/>
    <s v="001"/>
    <n v="50000"/>
    <n v="0"/>
    <n v="-50000"/>
    <n v="0"/>
    <n v="0"/>
    <n v="0"/>
    <n v="0"/>
    <n v="0"/>
    <n v="0"/>
    <n v="0"/>
  </r>
  <r>
    <s v="73"/>
    <x v="2"/>
    <x v="7"/>
    <s v="ZM04F040"/>
    <x v="41"/>
    <s v="J103"/>
    <s v="PROMOCIÓN Y PROTECCIÓN DE DERECHOS"/>
    <s v="GI00J10300002D"/>
    <s v="GI00J10300002D PROMOCIÓN DE DERECHOS DE GRUPOS DE ATENC"/>
    <s v="73 BIENES Y SERVICIOS PARA INVERSIÓN"/>
    <s v="730204 Edición, Impresión, Reproducción, Public"/>
    <s v="G/730204/1FJ103"/>
    <s v="001"/>
    <n v="8000"/>
    <n v="0"/>
    <n v="-8000"/>
    <n v="0"/>
    <n v="0"/>
    <n v="0"/>
    <n v="0"/>
    <n v="0"/>
    <n v="0"/>
    <n v="0"/>
  </r>
  <r>
    <s v="73"/>
    <x v="2"/>
    <x v="7"/>
    <s v="ZT06F060"/>
    <x v="40"/>
    <s v="J103"/>
    <s v="PROMOCIÓN Y PROTECCIÓN DE DERECHOS"/>
    <s v="GI00J10300002D"/>
    <s v="GI00J10300002D PROMOCIÓN DE DERECHOS DE GRUPOS DE ATENC"/>
    <s v="73 BIENES Y SERVICIOS PARA INVERSIÓN"/>
    <s v="730204 Edición, Impresión, Reproducción, Public"/>
    <s v="G/730204/1FJ103"/>
    <s v="001"/>
    <n v="2000"/>
    <n v="0"/>
    <n v="-2000"/>
    <n v="0"/>
    <n v="0"/>
    <n v="0"/>
    <n v="0"/>
    <n v="0"/>
    <n v="0"/>
    <n v="0"/>
  </r>
  <r>
    <s v="73"/>
    <x v="2"/>
    <x v="7"/>
    <s v="ZQ08F080"/>
    <x v="44"/>
    <s v="J103"/>
    <s v="PROMOCIÓN Y PROTECCIÓN DE DERECHOS"/>
    <s v="GI00J10300002D"/>
    <s v="GI00J10300002D PROMOCIÓN DE DERECHOS DE GRUPOS DE ATENC"/>
    <s v="73 BIENES Y SERVICIOS PARA INVERSIÓN"/>
    <s v="730205 Espectáculos Culturales y Sociales"/>
    <s v="G/730205/1FJ103"/>
    <s v="001"/>
    <n v="26000"/>
    <n v="0"/>
    <n v="-26000"/>
    <n v="0"/>
    <n v="0"/>
    <n v="0"/>
    <n v="0"/>
    <n v="0"/>
    <n v="0"/>
    <n v="0"/>
  </r>
  <r>
    <s v="73"/>
    <x v="1"/>
    <x v="5"/>
    <s v="ZA01J000"/>
    <x v="8"/>
    <s v="J103"/>
    <s v="PROMOCIÓN Y PROTECCIÓN DE DERECHOS"/>
    <s v="GI00J10300002D"/>
    <s v="GI00J10300002D PROMOCIÓN DE DERECHOS DE GRUPOS DE ATENC"/>
    <s v="73 BIENES Y SERVICIOS PARA INVERSIÓN"/>
    <s v="730205 Espectáculos Culturales y Sociales"/>
    <s v="G/730205/1JJ103"/>
    <s v="001"/>
    <n v="476600"/>
    <n v="-240000"/>
    <n v="-217724.3"/>
    <n v="18875.7"/>
    <n v="22.4"/>
    <n v="18853.3"/>
    <n v="18277.28"/>
    <n v="22.4"/>
    <n v="598.41999999999996"/>
    <n v="0"/>
  </r>
  <r>
    <s v="73"/>
    <x v="2"/>
    <x v="7"/>
    <s v="ZM04F040"/>
    <x v="41"/>
    <s v="J103"/>
    <s v="PROMOCIÓN Y PROTECCIÓN DE DERECHOS"/>
    <s v="GI00J10300002D"/>
    <s v="GI00J10300002D PROMOCIÓN DE DERECHOS DE GRUPOS DE ATENC"/>
    <s v="73 BIENES Y SERVICIOS PARA INVERSIÓN"/>
    <s v="730205 Espectáculos Culturales y Sociales"/>
    <s v="G/730205/1FJ103"/>
    <s v="001"/>
    <n v="10000"/>
    <n v="0"/>
    <n v="-10000"/>
    <n v="0"/>
    <n v="0"/>
    <n v="0"/>
    <n v="0"/>
    <n v="0"/>
    <n v="0"/>
    <n v="0"/>
  </r>
  <r>
    <s v="73"/>
    <x v="2"/>
    <x v="7"/>
    <s v="ZT06F060"/>
    <x v="40"/>
    <s v="J103"/>
    <s v="PROMOCIÓN Y PROTECCIÓN DE DERECHOS"/>
    <s v="GI00J10300002D"/>
    <s v="GI00J10300002D PROMOCIÓN DE DERECHOS DE GRUPOS DE ATENC"/>
    <s v="73 BIENES Y SERVICIOS PARA INVERSIÓN"/>
    <s v="730205 Espectáculos Culturales y Sociales"/>
    <s v="G/730205/1FJ103"/>
    <s v="001"/>
    <n v="11360"/>
    <n v="0"/>
    <n v="-11360"/>
    <n v="0"/>
    <n v="0"/>
    <n v="0"/>
    <n v="0"/>
    <n v="0"/>
    <n v="0"/>
    <n v="0"/>
  </r>
  <r>
    <s v="73"/>
    <x v="2"/>
    <x v="7"/>
    <s v="ZD07F070"/>
    <x v="43"/>
    <s v="J103"/>
    <s v="PROMOCIÓN Y PROTECCIÓN DE DERECHOS"/>
    <s v="GI00J10300002D"/>
    <s v="GI00J10300002D PROMOCIÓN DE DERECHOS DE GRUPOS DE ATENC"/>
    <s v="73 BIENES Y SERVICIOS PARA INVERSIÓN"/>
    <s v="730205 Espectáculos Culturales y Sociales"/>
    <s v="G/730205/1FJ103"/>
    <s v="001"/>
    <n v="31800"/>
    <n v="0"/>
    <n v="-24800"/>
    <n v="7000"/>
    <n v="0"/>
    <n v="7000"/>
    <n v="7000"/>
    <n v="0"/>
    <n v="0"/>
    <n v="0"/>
  </r>
  <r>
    <s v="73"/>
    <x v="2"/>
    <x v="7"/>
    <s v="ZV05F050"/>
    <x v="39"/>
    <s v="J103"/>
    <s v="PROMOCIÓN Y PROTECCIÓN DE DERECHOS"/>
    <s v="GI00J10300002D"/>
    <s v="GI00J10300002D PROMOCIÓN DE DERECHOS DE GRUPOS DE ATENC"/>
    <s v="73 BIENES Y SERVICIOS PARA INVERSIÓN"/>
    <s v="730205 Espectáculos Culturales y Sociales"/>
    <s v="G/730205/1FJ103"/>
    <s v="001"/>
    <n v="23000"/>
    <n v="0"/>
    <n v="-23000"/>
    <n v="0"/>
    <n v="0"/>
    <n v="0"/>
    <n v="0"/>
    <n v="0"/>
    <n v="0"/>
    <n v="0"/>
  </r>
  <r>
    <s v="73"/>
    <x v="2"/>
    <x v="7"/>
    <s v="ZC09F090"/>
    <x v="10"/>
    <s v="J103"/>
    <s v="PROMOCIÓN Y PROTECCIÓN DE DERECHOS"/>
    <s v="GI00J10300002D"/>
    <s v="GI00J10300002D PROMOCIÓN DE DERECHOS DE GRUPOS DE ATENC"/>
    <s v="73 BIENES Y SERVICIOS PARA INVERSIÓN"/>
    <s v="730205 Espectáculos Culturales y Sociales"/>
    <s v="G/730205/1FJ103"/>
    <s v="001"/>
    <n v="20000"/>
    <n v="0"/>
    <n v="-20000"/>
    <n v="0"/>
    <n v="0"/>
    <n v="0"/>
    <n v="0"/>
    <n v="0"/>
    <n v="0"/>
    <n v="0"/>
  </r>
  <r>
    <s v="73"/>
    <x v="1"/>
    <x v="5"/>
    <s v="ZA01J000"/>
    <x v="8"/>
    <s v="J103"/>
    <s v="PROMOCIÓN Y PROTECCIÓN DE DERECHOS"/>
    <s v="GI00J10300002D"/>
    <s v="GI00J10300002D PROMOCIÓN DE DERECHOS DE GRUPOS DE ATENC"/>
    <s v="73 BIENES Y SERVICIOS PARA INVERSIÓN"/>
    <s v="730207 Difusión, Información y Publicidad"/>
    <s v="G/730207/1JJ103"/>
    <s v="001"/>
    <n v="30000"/>
    <n v="0"/>
    <n v="-30000"/>
    <n v="0"/>
    <n v="0"/>
    <n v="0"/>
    <n v="0"/>
    <n v="0"/>
    <n v="0"/>
    <n v="0"/>
  </r>
  <r>
    <s v="73"/>
    <x v="2"/>
    <x v="7"/>
    <s v="ZT06F060"/>
    <x v="40"/>
    <s v="J103"/>
    <s v="PROMOCIÓN Y PROTECCIÓN DE DERECHOS"/>
    <s v="GI00J10300002D"/>
    <s v="GI00J10300002D PROMOCIÓN DE DERECHOS DE GRUPOS DE ATENC"/>
    <s v="73 BIENES Y SERVICIOS PARA INVERSIÓN"/>
    <s v="730235 Servicio de Alimentación"/>
    <s v="G/730235/1FJ103"/>
    <s v="001"/>
    <n v="1500"/>
    <n v="0"/>
    <n v="-1500"/>
    <n v="0"/>
    <n v="0"/>
    <n v="0"/>
    <n v="0"/>
    <n v="0"/>
    <n v="0"/>
    <n v="0"/>
  </r>
  <r>
    <s v="73"/>
    <x v="2"/>
    <x v="7"/>
    <s v="ZQ08F080"/>
    <x v="44"/>
    <s v="J103"/>
    <s v="PROMOCIÓN Y PROTECCIÓN DE DERECHOS"/>
    <s v="GI00J10300002D"/>
    <s v="GI00J10300002D PROMOCIÓN DE DERECHOS DE GRUPOS DE ATENC"/>
    <s v="73 BIENES Y SERVICIOS PARA INVERSIÓN"/>
    <s v="730235 Servicio de Alimentación"/>
    <s v="G/730235/1FJ103"/>
    <s v="001"/>
    <n v="3000"/>
    <n v="0"/>
    <n v="-3000"/>
    <n v="0"/>
    <n v="0"/>
    <n v="0"/>
    <n v="0"/>
    <n v="0"/>
    <n v="0"/>
    <n v="0"/>
  </r>
  <r>
    <s v="73"/>
    <x v="1"/>
    <x v="5"/>
    <s v="ZA01J000"/>
    <x v="8"/>
    <s v="J103"/>
    <s v="PROMOCIÓN Y PROTECCIÓN DE DERECHOS"/>
    <s v="GI00J10300002D"/>
    <s v="GI00J10300002D PROMOCIÓN DE DERECHOS DE GRUPOS DE ATENC"/>
    <s v="73 BIENES Y SERVICIOS PARA INVERSIÓN"/>
    <s v="730235 Servicio de Alimentación"/>
    <s v="G/730235/1JJ103"/>
    <s v="001"/>
    <n v="20000"/>
    <n v="-944.16"/>
    <n v="-950"/>
    <n v="18105.84"/>
    <n v="4284"/>
    <n v="504"/>
    <n v="504"/>
    <n v="17601.84"/>
    <n v="17601.84"/>
    <n v="13317.84"/>
  </r>
  <r>
    <s v="73"/>
    <x v="2"/>
    <x v="7"/>
    <s v="ZM04F040"/>
    <x v="41"/>
    <s v="J103"/>
    <s v="PROMOCIÓN Y PROTECCIÓN DE DERECHOS"/>
    <s v="GI00J10300002D"/>
    <s v="GI00J10300002D PROMOCIÓN DE DERECHOS DE GRUPOS DE ATENC"/>
    <s v="73 BIENES Y SERVICIOS PARA INVERSIÓN"/>
    <s v="730235 Servicio de Alimentación"/>
    <s v="G/730235/1FJ103"/>
    <s v="001"/>
    <n v="4900"/>
    <n v="0"/>
    <n v="-4900"/>
    <n v="0"/>
    <n v="0"/>
    <n v="0"/>
    <n v="0"/>
    <n v="0"/>
    <n v="0"/>
    <n v="0"/>
  </r>
  <r>
    <s v="73"/>
    <x v="2"/>
    <x v="7"/>
    <s v="ZC09F090"/>
    <x v="10"/>
    <s v="J103"/>
    <s v="PROMOCIÓN Y PROTECCIÓN DE DERECHOS"/>
    <s v="GI00J10300002D"/>
    <s v="GI00J10300002D PROMOCIÓN DE DERECHOS DE GRUPOS DE ATENC"/>
    <s v="73 BIENES Y SERVICIOS PARA INVERSIÓN"/>
    <s v="730235 Servicio de Alimentación"/>
    <s v="G/730235/1FJ103"/>
    <s v="001"/>
    <n v="700"/>
    <n v="0"/>
    <n v="-700"/>
    <n v="0"/>
    <n v="0"/>
    <n v="0"/>
    <n v="0"/>
    <n v="0"/>
    <n v="0"/>
    <n v="0"/>
  </r>
  <r>
    <s v="73"/>
    <x v="2"/>
    <x v="7"/>
    <s v="TM68F100"/>
    <x v="36"/>
    <s v="J103"/>
    <s v="PROMOCIÓN Y PROTECCIÓN DE DERECHOS"/>
    <s v="GI00J10300002D"/>
    <s v="GI00J10300002D PROMOCIÓN DE DERECHOS DE GRUPOS DE ATENC"/>
    <s v="73 BIENES Y SERVICIOS PARA INVERSIÓN"/>
    <s v="730249 Eventos Públicos Promocionales"/>
    <s v="G/730249/1FJ103"/>
    <s v="001"/>
    <n v="23000"/>
    <n v="-338.24"/>
    <n v="-10400"/>
    <n v="12261.76"/>
    <n v="0"/>
    <n v="12261.76"/>
    <n v="0"/>
    <n v="0"/>
    <n v="12261.76"/>
    <n v="0"/>
  </r>
  <r>
    <s v="73"/>
    <x v="2"/>
    <x v="7"/>
    <s v="ZN02F020"/>
    <x v="46"/>
    <s v="J103"/>
    <s v="PROMOCIÓN Y PROTECCIÓN DE DERECHOS"/>
    <s v="GI00J10300002D"/>
    <s v="GI00J10300002D PROMOCIÓN DE DERECHOS DE GRUPOS DE ATENC"/>
    <s v="73 BIENES Y SERVICIOS PARA INVERSIÓN"/>
    <s v="730249 Eventos Públicos Promocionales"/>
    <s v="G/730249/1FJ103"/>
    <s v="001"/>
    <n v="18000"/>
    <n v="0"/>
    <n v="-18000"/>
    <n v="0"/>
    <n v="0"/>
    <n v="0"/>
    <n v="0"/>
    <n v="0"/>
    <n v="0"/>
    <n v="0"/>
  </r>
  <r>
    <s v="73"/>
    <x v="2"/>
    <x v="7"/>
    <s v="ZT06F060"/>
    <x v="40"/>
    <s v="J103"/>
    <s v="PROMOCIÓN Y PROTECCIÓN DE DERECHOS"/>
    <s v="GI00J10300002D"/>
    <s v="GI00J10300002D PROMOCIÓN DE DERECHOS DE GRUPOS DE ATENC"/>
    <s v="73 BIENES Y SERVICIOS PARA INVERSIÓN"/>
    <s v="730505 Vehículos (Arrendamiento)"/>
    <s v="G/730505/1FJ103"/>
    <s v="001"/>
    <n v="15540"/>
    <n v="0"/>
    <n v="-15540"/>
    <n v="0"/>
    <n v="0"/>
    <n v="0"/>
    <n v="0"/>
    <n v="0"/>
    <n v="0"/>
    <n v="0"/>
  </r>
  <r>
    <s v="73"/>
    <x v="2"/>
    <x v="7"/>
    <s v="TM68F100"/>
    <x v="36"/>
    <s v="J103"/>
    <s v="PROMOCIÓN Y PROTECCIÓN DE DERECHOS"/>
    <s v="GI00J10300002D"/>
    <s v="GI00J10300002D PROMOCIÓN DE DERECHOS DE GRUPOS DE ATENC"/>
    <s v="73 BIENES Y SERVICIOS PARA INVERSIÓN"/>
    <s v="730505 Vehículos (Arrendamiento)"/>
    <s v="G/730505/1FJ103"/>
    <s v="001"/>
    <n v="6000"/>
    <n v="-57.6"/>
    <n v="-2000"/>
    <n v="3942.4"/>
    <n v="0"/>
    <n v="3942.4"/>
    <n v="1689.61"/>
    <n v="0"/>
    <n v="2252.79"/>
    <n v="0"/>
  </r>
  <r>
    <s v="73"/>
    <x v="2"/>
    <x v="7"/>
    <s v="ZQ08F080"/>
    <x v="44"/>
    <s v="J103"/>
    <s v="PROMOCIÓN Y PROTECCIÓN DE DERECHOS"/>
    <s v="GI00J10300002D"/>
    <s v="GI00J10300002D PROMOCIÓN DE DERECHOS DE GRUPOS DE ATENC"/>
    <s v="73 BIENES Y SERVICIOS PARA INVERSIÓN"/>
    <s v="730505 Vehículos (Arrendamiento)"/>
    <s v="G/730505/1FJ103"/>
    <s v="001"/>
    <n v="4000"/>
    <n v="0"/>
    <n v="-4000"/>
    <n v="0"/>
    <n v="0"/>
    <n v="0"/>
    <n v="0"/>
    <n v="0"/>
    <n v="0"/>
    <n v="0"/>
  </r>
  <r>
    <s v="73"/>
    <x v="2"/>
    <x v="7"/>
    <s v="ZC09F090"/>
    <x v="10"/>
    <s v="J103"/>
    <s v="PROMOCIÓN Y PROTECCIÓN DE DERECHOS"/>
    <s v="GI00J10300002D"/>
    <s v="GI00J10300002D PROMOCIÓN DE DERECHOS DE GRUPOS DE ATENC"/>
    <s v="73 BIENES Y SERVICIOS PARA INVERSIÓN"/>
    <s v="730505 Vehículos (Arrendamiento)"/>
    <s v="G/730505/1FJ103"/>
    <s v="001"/>
    <n v="14200"/>
    <n v="0"/>
    <n v="-14200"/>
    <n v="0"/>
    <n v="0"/>
    <n v="0"/>
    <n v="0"/>
    <n v="0"/>
    <n v="0"/>
    <n v="0"/>
  </r>
  <r>
    <s v="73"/>
    <x v="2"/>
    <x v="7"/>
    <s v="ZV05F050"/>
    <x v="39"/>
    <s v="J103"/>
    <s v="PROMOCIÓN Y PROTECCIÓN DE DERECHOS"/>
    <s v="GI00J10300002D"/>
    <s v="GI00J10300002D PROMOCIÓN DE DERECHOS DE GRUPOS DE ATENC"/>
    <s v="73 BIENES Y SERVICIOS PARA INVERSIÓN"/>
    <s v="730505 Vehículos (Arrendamiento)"/>
    <s v="G/730505/1FJ103"/>
    <s v="001"/>
    <n v="3000"/>
    <n v="0"/>
    <n v="-3000"/>
    <n v="0"/>
    <n v="0"/>
    <n v="0"/>
    <n v="0"/>
    <n v="0"/>
    <n v="0"/>
    <n v="0"/>
  </r>
  <r>
    <s v="73"/>
    <x v="2"/>
    <x v="7"/>
    <s v="ZS03F030"/>
    <x v="45"/>
    <s v="J103"/>
    <s v="PROMOCIÓN Y PROTECCIÓN DE DERECHOS"/>
    <s v="GI00J10300002D"/>
    <s v="GI00J10300002D PROMOCIÓN DE DERECHOS DE GRUPOS DE ATENC"/>
    <s v="73 BIENES Y SERVICIOS PARA INVERSIÓN"/>
    <s v="730505 Vehículos (Arrendamiento)"/>
    <s v="G/730505/1FJ103"/>
    <s v="001"/>
    <n v="10000"/>
    <n v="0"/>
    <n v="-10000"/>
    <n v="0"/>
    <n v="0"/>
    <n v="0"/>
    <n v="0"/>
    <n v="0"/>
    <n v="0"/>
    <n v="0"/>
  </r>
  <r>
    <s v="73"/>
    <x v="2"/>
    <x v="7"/>
    <s v="ZT06F060"/>
    <x v="40"/>
    <s v="J103"/>
    <s v="PROMOCIÓN Y PROTECCIÓN DE DERECHOS"/>
    <s v="GI00J10300002D"/>
    <s v="GI00J10300002D PROMOCIÓN DE DERECHOS DE GRUPOS DE ATENC"/>
    <s v="73 BIENES Y SERVICIOS PARA INVERSIÓN"/>
    <s v="730606 Honorarios por Contratos Civiles de Servici"/>
    <s v="G/730606/1FJ103"/>
    <s v="001"/>
    <n v="14400"/>
    <n v="0"/>
    <n v="-14400"/>
    <n v="0"/>
    <n v="0"/>
    <n v="0"/>
    <n v="0"/>
    <n v="0"/>
    <n v="0"/>
    <n v="0"/>
  </r>
  <r>
    <s v="73"/>
    <x v="2"/>
    <x v="7"/>
    <s v="ZS03F030"/>
    <x v="45"/>
    <s v="J103"/>
    <s v="PROMOCIÓN Y PROTECCIÓN DE DERECHOS"/>
    <s v="GI00J10300002D"/>
    <s v="GI00J10300002D PROMOCIÓN DE DERECHOS DE GRUPOS DE ATENC"/>
    <s v="73 BIENES Y SERVICIOS PARA INVERSIÓN"/>
    <s v="730606 Honorarios por Contratos Civiles de Servici"/>
    <s v="G/730606/1FJ103"/>
    <s v="001"/>
    <n v="30000"/>
    <n v="0"/>
    <n v="-30000"/>
    <n v="0"/>
    <n v="0"/>
    <n v="0"/>
    <n v="0"/>
    <n v="0"/>
    <n v="0"/>
    <n v="0"/>
  </r>
  <r>
    <s v="73"/>
    <x v="2"/>
    <x v="7"/>
    <s v="ZM04F040"/>
    <x v="41"/>
    <s v="J103"/>
    <s v="PROMOCIÓN Y PROTECCIÓN DE DERECHOS"/>
    <s v="GI00J10300002D"/>
    <s v="GI00J10300002D PROMOCIÓN DE DERECHOS DE GRUPOS DE ATENC"/>
    <s v="73 BIENES Y SERVICIOS PARA INVERSIÓN"/>
    <s v="730606 Honorarios por Contratos Civiles de Servici"/>
    <s v="G/730606/1FJ103"/>
    <s v="001"/>
    <n v="14400"/>
    <n v="0"/>
    <n v="-14400"/>
    <n v="0"/>
    <n v="0"/>
    <n v="0"/>
    <n v="0"/>
    <n v="0"/>
    <n v="0"/>
    <n v="0"/>
  </r>
  <r>
    <s v="73"/>
    <x v="2"/>
    <x v="7"/>
    <s v="ZC09F090"/>
    <x v="10"/>
    <s v="J103"/>
    <s v="PROMOCIÓN Y PROTECCIÓN DE DERECHOS"/>
    <s v="GI00J10300002D"/>
    <s v="GI00J10300002D PROMOCIÓN DE DERECHOS DE GRUPOS DE ATENC"/>
    <s v="73 BIENES Y SERVICIOS PARA INVERSIÓN"/>
    <s v="730606 Honorarios por Contratos Civiles de Servici"/>
    <s v="G/730606/1FJ103"/>
    <s v="001"/>
    <n v="28800"/>
    <n v="0"/>
    <n v="-28800"/>
    <n v="0"/>
    <n v="0"/>
    <n v="0"/>
    <n v="0"/>
    <n v="0"/>
    <n v="0"/>
    <n v="0"/>
  </r>
  <r>
    <s v="73"/>
    <x v="2"/>
    <x v="7"/>
    <s v="ZQ08F080"/>
    <x v="44"/>
    <s v="J103"/>
    <s v="PROMOCIÓN Y PROTECCIÓN DE DERECHOS"/>
    <s v="GI00J10300002D"/>
    <s v="GI00J10300002D PROMOCIÓN DE DERECHOS DE GRUPOS DE ATENC"/>
    <s v="73 BIENES Y SERVICIOS PARA INVERSIÓN"/>
    <s v="730606 Honorarios por Contratos Civiles de Servici"/>
    <s v="G/730606/1FJ103"/>
    <s v="001"/>
    <n v="28700"/>
    <n v="0"/>
    <n v="-28700"/>
    <n v="0"/>
    <n v="0"/>
    <n v="0"/>
    <n v="0"/>
    <n v="0"/>
    <n v="0"/>
    <n v="0"/>
  </r>
  <r>
    <s v="73"/>
    <x v="2"/>
    <x v="7"/>
    <s v="TM68F100"/>
    <x v="36"/>
    <s v="J103"/>
    <s v="PROMOCIÓN Y PROTECCIÓN DE DERECHOS"/>
    <s v="GI00J10300002D"/>
    <s v="GI00J10300002D PROMOCIÓN DE DERECHOS DE GRUPOS DE ATENC"/>
    <s v="73 BIENES Y SERVICIOS PARA INVERSIÓN"/>
    <s v="730606 Honorarios por Contratos Civiles de Servici"/>
    <s v="G/730606/1FJ103"/>
    <s v="001"/>
    <n v="14000"/>
    <n v="-6215.22"/>
    <n v="-2732.8"/>
    <n v="5051.9799999999996"/>
    <n v="0"/>
    <n v="5051.9799999999996"/>
    <n v="5051.9799999999996"/>
    <n v="0"/>
    <n v="0"/>
    <n v="0"/>
  </r>
  <r>
    <s v="73"/>
    <x v="1"/>
    <x v="5"/>
    <s v="ZA01J000"/>
    <x v="8"/>
    <s v="J103"/>
    <s v="PROMOCIÓN Y PROTECCIÓN DE DERECHOS"/>
    <s v="GI00J10300002D"/>
    <s v="GI00J10300002D PROMOCIÓN DE DERECHOS DE GRUPOS DE ATENC"/>
    <s v="73 BIENES Y SERVICIOS PARA INVERSIÓN"/>
    <s v="730607 Servicios Técnicos Especializados"/>
    <s v="G/730607/1JJ103"/>
    <s v="001"/>
    <n v="91500"/>
    <n v="-35000"/>
    <n v="-56500"/>
    <n v="0"/>
    <n v="0"/>
    <n v="0"/>
    <n v="0"/>
    <n v="0"/>
    <n v="0"/>
    <n v="0"/>
  </r>
  <r>
    <s v="73"/>
    <x v="2"/>
    <x v="7"/>
    <s v="ZD07F070"/>
    <x v="43"/>
    <s v="J103"/>
    <s v="PROMOCIÓN Y PROTECCIÓN DE DERECHOS"/>
    <s v="GI00J10300002D"/>
    <s v="GI00J10300002D PROMOCIÓN DE DERECHOS DE GRUPOS DE ATENC"/>
    <s v="73 BIENES Y SERVICIOS PARA INVERSIÓN"/>
    <s v="730613 Capacitación para la Ciudadanía en Gener"/>
    <s v="G/730613/1FJ103"/>
    <s v="001"/>
    <n v="14200"/>
    <n v="0"/>
    <n v="-14200"/>
    <n v="0"/>
    <n v="0"/>
    <n v="0"/>
    <n v="0"/>
    <n v="0"/>
    <n v="0"/>
    <n v="0"/>
  </r>
  <r>
    <s v="73"/>
    <x v="2"/>
    <x v="7"/>
    <s v="ZN02F020"/>
    <x v="46"/>
    <s v="J103"/>
    <s v="PROMOCIÓN Y PROTECCIÓN DE DERECHOS"/>
    <s v="GI00J10300002D"/>
    <s v="GI00J10300002D PROMOCIÓN DE DERECHOS DE GRUPOS DE ATENC"/>
    <s v="73 BIENES Y SERVICIOS PARA INVERSIÓN"/>
    <s v="730613 Capacitación para la Ciudadanía en Gener"/>
    <s v="G/730613/1FJ103"/>
    <s v="001"/>
    <n v="10000"/>
    <n v="0"/>
    <n v="-10000"/>
    <n v="0"/>
    <n v="0"/>
    <n v="0"/>
    <n v="0"/>
    <n v="0"/>
    <n v="0"/>
    <n v="0"/>
  </r>
  <r>
    <s v="73"/>
    <x v="2"/>
    <x v="7"/>
    <s v="ZM04F040"/>
    <x v="41"/>
    <s v="J103"/>
    <s v="PROMOCIÓN Y PROTECCIÓN DE DERECHOS"/>
    <s v="GI00J10300002D"/>
    <s v="GI00J10300002D PROMOCIÓN DE DERECHOS DE GRUPOS DE ATENC"/>
    <s v="73 BIENES Y SERVICIOS PARA INVERSIÓN"/>
    <s v="730613 Capacitación para la Ciudadanía en Gener"/>
    <s v="G/730613/1FJ103"/>
    <s v="001"/>
    <n v="5000"/>
    <n v="0"/>
    <n v="-5000"/>
    <n v="0"/>
    <n v="0"/>
    <n v="0"/>
    <n v="0"/>
    <n v="0"/>
    <n v="0"/>
    <n v="0"/>
  </r>
  <r>
    <s v="73"/>
    <x v="1"/>
    <x v="5"/>
    <s v="ZA01J000"/>
    <x v="8"/>
    <s v="J103"/>
    <s v="PROMOCIÓN Y PROTECCIÓN DE DERECHOS"/>
    <s v="GI00J10300002D"/>
    <s v="GI00J10300002D PROMOCIÓN DE DERECHOS DE GRUPOS DE ATENC"/>
    <s v="73 BIENES Y SERVICIOS PARA INVERSIÓN"/>
    <s v="730613 Capacitación para la Ciudadanía en Gener"/>
    <s v="G/730613/1JJ103"/>
    <s v="001"/>
    <n v="71000"/>
    <n v="-6500"/>
    <n v="-60272"/>
    <n v="4228"/>
    <n v="0"/>
    <n v="4228"/>
    <n v="4228"/>
    <n v="0"/>
    <n v="0"/>
    <n v="0"/>
  </r>
  <r>
    <s v="73"/>
    <x v="2"/>
    <x v="7"/>
    <s v="ZQ08F080"/>
    <x v="44"/>
    <s v="J103"/>
    <s v="PROMOCIÓN Y PROTECCIÓN DE DERECHOS"/>
    <s v="GI00J10300002D"/>
    <s v="GI00J10300002D PROMOCIÓN DE DERECHOS DE GRUPOS DE ATENC"/>
    <s v="73 BIENES Y SERVICIOS PARA INVERSIÓN"/>
    <s v="730613 Capacitación para la Ciudadanía en Gener"/>
    <s v="G/730613/1FJ103"/>
    <s v="001"/>
    <n v="7000"/>
    <n v="0"/>
    <n v="-7000"/>
    <n v="0"/>
    <n v="0"/>
    <n v="0"/>
    <n v="0"/>
    <n v="0"/>
    <n v="0"/>
    <n v="0"/>
  </r>
  <r>
    <s v="73"/>
    <x v="2"/>
    <x v="7"/>
    <s v="ZS03F030"/>
    <x v="45"/>
    <s v="J103"/>
    <s v="PROMOCIÓN Y PROTECCIÓN DE DERECHOS"/>
    <s v="GI00J10300002D"/>
    <s v="GI00J10300002D PROMOCIÓN DE DERECHOS DE GRUPOS DE ATENC"/>
    <s v="73 BIENES Y SERVICIOS PARA INVERSIÓN"/>
    <s v="730613 Capacitación para la Ciudadanía en Gener"/>
    <s v="G/730613/1FJ103"/>
    <s v="001"/>
    <n v="6000"/>
    <n v="0"/>
    <n v="-6000"/>
    <n v="0"/>
    <n v="0"/>
    <n v="0"/>
    <n v="0"/>
    <n v="0"/>
    <n v="0"/>
    <n v="0"/>
  </r>
  <r>
    <s v="73"/>
    <x v="2"/>
    <x v="7"/>
    <s v="ZC09F090"/>
    <x v="10"/>
    <s v="J103"/>
    <s v="PROMOCIÓN Y PROTECCIÓN DE DERECHOS"/>
    <s v="GI00J10300002D"/>
    <s v="GI00J10300002D PROMOCIÓN DE DERECHOS DE GRUPOS DE ATENC"/>
    <s v="73 BIENES Y SERVICIOS PARA INVERSIÓN"/>
    <s v="730613 Capacitación para la Ciudadanía en Gener"/>
    <s v="G/730613/1FJ103"/>
    <s v="001"/>
    <n v="11000"/>
    <n v="0"/>
    <n v="-11000"/>
    <n v="0"/>
    <n v="0"/>
    <n v="0"/>
    <n v="0"/>
    <n v="0"/>
    <n v="0"/>
    <n v="0"/>
  </r>
  <r>
    <s v="73"/>
    <x v="2"/>
    <x v="7"/>
    <s v="ZV05F050"/>
    <x v="39"/>
    <s v="J103"/>
    <s v="PROMOCIÓN Y PROTECCIÓN DE DERECHOS"/>
    <s v="GI00J10300002D"/>
    <s v="GI00J10300002D PROMOCIÓN DE DERECHOS DE GRUPOS DE ATENC"/>
    <s v="73 BIENES Y SERVICIOS PARA INVERSIÓN"/>
    <s v="730613 Capacitación para la Ciudadanía en Gener"/>
    <s v="G/730613/1FJ103"/>
    <s v="001"/>
    <n v="10000"/>
    <n v="0"/>
    <n v="-10000"/>
    <n v="0"/>
    <n v="0"/>
    <n v="0"/>
    <n v="0"/>
    <n v="0"/>
    <n v="0"/>
    <n v="0"/>
  </r>
  <r>
    <s v="73"/>
    <x v="2"/>
    <x v="7"/>
    <s v="ZT06F060"/>
    <x v="40"/>
    <s v="J103"/>
    <s v="PROMOCIÓN Y PROTECCIÓN DE DERECHOS"/>
    <s v="GI00J10300002D"/>
    <s v="GI00J10300002D PROMOCIÓN DE DERECHOS DE GRUPOS DE ATENC"/>
    <s v="73 BIENES Y SERVICIOS PARA INVERSIÓN"/>
    <s v="730613 Capacitación para la Ciudadanía en Gener"/>
    <s v="G/730613/1FJ103"/>
    <s v="001"/>
    <n v="8000"/>
    <n v="0"/>
    <n v="-8000"/>
    <n v="0"/>
    <n v="0"/>
    <n v="0"/>
    <n v="0"/>
    <n v="0"/>
    <n v="0"/>
    <n v="0"/>
  </r>
  <r>
    <s v="73"/>
    <x v="1"/>
    <x v="5"/>
    <s v="ZA01J000"/>
    <x v="8"/>
    <s v="J103"/>
    <s v="PROMOCIÓN Y PROTECCIÓN DE DERECHOS"/>
    <s v="GI00J10300002D"/>
    <s v="GI00J10300002D PROMOCIÓN DE DERECHOS DE GRUPOS DE ATENC"/>
    <s v="73 BIENES Y SERVICIOS PARA INVERSIÓN"/>
    <s v="730702 Arrendamiento y Licencias de Uso de Paquete"/>
    <s v="G/730702/1JJ103"/>
    <s v="001"/>
    <n v="0"/>
    <n v="0"/>
    <n v="3000"/>
    <n v="3000"/>
    <n v="0"/>
    <n v="0"/>
    <n v="0"/>
    <n v="3000"/>
    <n v="3000"/>
    <n v="3000"/>
  </r>
  <r>
    <s v="73"/>
    <x v="1"/>
    <x v="5"/>
    <s v="ZA01J000"/>
    <x v="8"/>
    <s v="J103"/>
    <s v="PROMOCIÓN Y PROTECCIÓN DE DERECHOS"/>
    <s v="GI00J10300002D"/>
    <s v="GI00J10300002D PROMOCIÓN DE DERECHOS DE GRUPOS DE ATENC"/>
    <s v="73 BIENES Y SERVICIOS PARA INVERSIÓN"/>
    <s v="730801 Alimentos y Bebidas"/>
    <s v="G/730801/1JJ103"/>
    <s v="001"/>
    <n v="0"/>
    <n v="32000"/>
    <n v="0"/>
    <n v="32000"/>
    <n v="2997"/>
    <n v="24975"/>
    <n v="24975"/>
    <n v="7025"/>
    <n v="7025"/>
    <n v="4028"/>
  </r>
  <r>
    <s v="73"/>
    <x v="1"/>
    <x v="5"/>
    <s v="ZA01J000"/>
    <x v="8"/>
    <s v="J103"/>
    <s v="PROMOCIÓN Y PROTECCIÓN DE DERECHOS"/>
    <s v="GI00J10300002D"/>
    <s v="GI00J10300002D PROMOCIÓN DE DERECHOS DE GRUPOS DE ATENC"/>
    <s v="73 BIENES Y SERVICIOS PARA INVERSIÓN"/>
    <s v="730802 Vestuario, Lencería, Prendas de Protecci"/>
    <s v="G/730802/1JJ103"/>
    <s v="001"/>
    <n v="0"/>
    <n v="12700"/>
    <n v="20000"/>
    <n v="32700"/>
    <n v="8651.25"/>
    <n v="23093.75"/>
    <n v="11745.16"/>
    <n v="9606.25"/>
    <n v="20954.84"/>
    <n v="955"/>
  </r>
  <r>
    <s v="73"/>
    <x v="2"/>
    <x v="7"/>
    <s v="ZM04F040"/>
    <x v="41"/>
    <s v="J103"/>
    <s v="PROMOCIÓN Y PROTECCIÓN DE DERECHOS"/>
    <s v="GI00J10300002D"/>
    <s v="GI00J10300002D PROMOCIÓN DE DERECHOS DE GRUPOS DE ATENC"/>
    <s v="73 BIENES Y SERVICIOS PARA INVERSIÓN"/>
    <s v="730802 Vestuario, Lencería, Prendas de Protecci"/>
    <s v="G/730802/1FJ103"/>
    <s v="001"/>
    <n v="15000"/>
    <n v="0"/>
    <n v="-15000"/>
    <n v="0"/>
    <n v="0"/>
    <n v="0"/>
    <n v="0"/>
    <n v="0"/>
    <n v="0"/>
    <n v="0"/>
  </r>
  <r>
    <s v="73"/>
    <x v="2"/>
    <x v="7"/>
    <s v="ZQ08F080"/>
    <x v="44"/>
    <s v="J103"/>
    <s v="PROMOCIÓN Y PROTECCIÓN DE DERECHOS"/>
    <s v="GI00J10300002D"/>
    <s v="GI00J10300002D PROMOCIÓN DE DERECHOS DE GRUPOS DE ATENC"/>
    <s v="73 BIENES Y SERVICIOS PARA INVERSIÓN"/>
    <s v="730802 Vestuario, Lencería, Prendas de Protecci"/>
    <s v="G/730802/1FJ103"/>
    <s v="001"/>
    <n v="2500"/>
    <n v="0"/>
    <n v="-2500"/>
    <n v="0"/>
    <n v="0"/>
    <n v="0"/>
    <n v="0"/>
    <n v="0"/>
    <n v="0"/>
    <n v="0"/>
  </r>
  <r>
    <s v="73"/>
    <x v="2"/>
    <x v="7"/>
    <s v="ZQ08F080"/>
    <x v="44"/>
    <s v="J103"/>
    <s v="PROMOCIÓN Y PROTECCIÓN DE DERECHOS"/>
    <s v="GI00J10300002D"/>
    <s v="GI00J10300002D PROMOCIÓN DE DERECHOS DE GRUPOS DE ATENC"/>
    <s v="73 BIENES Y SERVICIOS PARA INVERSIÓN"/>
    <s v="730804 Materiales de Oficina"/>
    <s v="G/730804/1FJ103"/>
    <s v="001"/>
    <n v="1000"/>
    <n v="0"/>
    <n v="-1000"/>
    <n v="0"/>
    <n v="0"/>
    <n v="0"/>
    <n v="0"/>
    <n v="0"/>
    <n v="0"/>
    <n v="0"/>
  </r>
  <r>
    <s v="73"/>
    <x v="1"/>
    <x v="5"/>
    <s v="ZA01J000"/>
    <x v="8"/>
    <s v="J103"/>
    <s v="PROMOCIÓN Y PROTECCIÓN DE DERECHOS"/>
    <s v="GI00J10300002D"/>
    <s v="GI00J10300002D PROMOCIÓN DE DERECHOS DE GRUPOS DE ATENC"/>
    <s v="73 BIENES Y SERVICIOS PARA INVERSIÓN"/>
    <s v="730805 Materiales de Aseo"/>
    <s v="G/730805/1JJ103"/>
    <s v="001"/>
    <n v="0"/>
    <n v="1200"/>
    <n v="0"/>
    <n v="1200"/>
    <n v="0"/>
    <n v="1075.2"/>
    <n v="1075.2"/>
    <n v="124.8"/>
    <n v="124.8"/>
    <n v="124.8"/>
  </r>
  <r>
    <s v="73"/>
    <x v="2"/>
    <x v="7"/>
    <s v="ZT06F060"/>
    <x v="40"/>
    <s v="J103"/>
    <s v="PROMOCIÓN Y PROTECCIÓN DE DERECHOS"/>
    <s v="GI00J10300002D"/>
    <s v="GI00J10300002D PROMOCIÓN DE DERECHOS DE GRUPOS DE ATENC"/>
    <s v="73 BIENES Y SERVICIOS PARA INVERSIÓN"/>
    <s v="730811 Insumos, Materiales y Suministros para Cons"/>
    <s v="G/730811/1FJ103"/>
    <s v="001"/>
    <n v="3000"/>
    <n v="0"/>
    <n v="-3000"/>
    <n v="0"/>
    <n v="0"/>
    <n v="0"/>
    <n v="0"/>
    <n v="0"/>
    <n v="0"/>
    <n v="0"/>
  </r>
  <r>
    <s v="73"/>
    <x v="2"/>
    <x v="7"/>
    <s v="ZM04F040"/>
    <x v="41"/>
    <s v="J103"/>
    <s v="PROMOCIÓN Y PROTECCIÓN DE DERECHOS"/>
    <s v="GI00J10300002D"/>
    <s v="GI00J10300002D PROMOCIÓN DE DERECHOS DE GRUPOS DE ATENC"/>
    <s v="73 BIENES Y SERVICIOS PARA INVERSIÓN"/>
    <s v="730812 Materiales Didácticos"/>
    <s v="G/730812/1FJ103"/>
    <s v="001"/>
    <n v="3000"/>
    <n v="0"/>
    <n v="-3000"/>
    <n v="0"/>
    <n v="0"/>
    <n v="0"/>
    <n v="0"/>
    <n v="0"/>
    <n v="0"/>
    <n v="0"/>
  </r>
  <r>
    <s v="73"/>
    <x v="1"/>
    <x v="5"/>
    <s v="ZA01J000"/>
    <x v="8"/>
    <s v="J103"/>
    <s v="PROMOCIÓN Y PROTECCIÓN DE DERECHOS"/>
    <s v="GI00J10300002D"/>
    <s v="GI00J10300002D PROMOCIÓN DE DERECHOS DE GRUPOS DE ATENC"/>
    <s v="73 BIENES Y SERVICIOS PARA INVERSIÓN"/>
    <s v="730812 Materiales Didácticos"/>
    <s v="G/730812/1JJ103"/>
    <s v="001"/>
    <n v="0"/>
    <n v="337.12"/>
    <n v="0"/>
    <n v="337.12"/>
    <n v="337.12"/>
    <n v="0"/>
    <n v="0"/>
    <n v="337.12"/>
    <n v="337.12"/>
    <n v="0"/>
  </r>
  <r>
    <s v="73"/>
    <x v="2"/>
    <x v="7"/>
    <s v="ZT06F060"/>
    <x v="40"/>
    <s v="J103"/>
    <s v="PROMOCIÓN Y PROTECCIÓN DE DERECHOS"/>
    <s v="GI00J10300002D"/>
    <s v="GI00J10300002D PROMOCIÓN DE DERECHOS DE GRUPOS DE ATENC"/>
    <s v="73 BIENES Y SERVICIOS PARA INVERSIÓN"/>
    <s v="730812 Materiales Didácticos"/>
    <s v="G/730812/1FJ103"/>
    <s v="001"/>
    <n v="4000"/>
    <n v="0"/>
    <n v="-4000"/>
    <n v="0"/>
    <n v="0"/>
    <n v="0"/>
    <n v="0"/>
    <n v="0"/>
    <n v="0"/>
    <n v="0"/>
  </r>
  <r>
    <s v="73"/>
    <x v="2"/>
    <x v="7"/>
    <s v="ZN02F020"/>
    <x v="46"/>
    <s v="J103"/>
    <s v="PROMOCIÓN Y PROTECCIÓN DE DERECHOS"/>
    <s v="GI00J10300002D"/>
    <s v="GI00J10300002D PROMOCIÓN DE DERECHOS DE GRUPOS DE ATENC"/>
    <s v="73 BIENES Y SERVICIOS PARA INVERSIÓN"/>
    <s v="730812 Materiales Didácticos"/>
    <s v="G/730812/1FJ103"/>
    <s v="001"/>
    <n v="6000"/>
    <n v="0"/>
    <n v="-6000"/>
    <n v="0"/>
    <n v="0"/>
    <n v="0"/>
    <n v="0"/>
    <n v="0"/>
    <n v="0"/>
    <n v="0"/>
  </r>
  <r>
    <s v="73"/>
    <x v="2"/>
    <x v="7"/>
    <s v="ZQ08F080"/>
    <x v="44"/>
    <s v="J103"/>
    <s v="PROMOCIÓN Y PROTECCIÓN DE DERECHOS"/>
    <s v="GI00J10300002D"/>
    <s v="GI00J10300002D PROMOCIÓN DE DERECHOS DE GRUPOS DE ATENC"/>
    <s v="73 BIENES Y SERVICIOS PARA INVERSIÓN"/>
    <s v="730812 Materiales Didácticos"/>
    <s v="G/730812/1FJ103"/>
    <s v="001"/>
    <n v="2500"/>
    <n v="0"/>
    <n v="-2500"/>
    <n v="0"/>
    <n v="0"/>
    <n v="0"/>
    <n v="0"/>
    <n v="0"/>
    <n v="0"/>
    <n v="0"/>
  </r>
  <r>
    <s v="73"/>
    <x v="1"/>
    <x v="5"/>
    <s v="ZA01J000"/>
    <x v="8"/>
    <s v="J103"/>
    <s v="PROMOCIÓN Y PROTECCIÓN DE DERECHOS"/>
    <s v="GI00J10300002D"/>
    <s v="GI00J10300002D PROMOCIÓN DE DERECHOS DE GRUPOS DE ATENC"/>
    <s v="73 BIENES Y SERVICIOS PARA INVERSIÓN"/>
    <s v="730820 Menaje y Accesorios Descartables"/>
    <s v="G/730820/1JJ103"/>
    <s v="001"/>
    <n v="0"/>
    <n v="100"/>
    <n v="0"/>
    <n v="100"/>
    <n v="0"/>
    <n v="67.2"/>
    <n v="67.2"/>
    <n v="32.799999999999997"/>
    <n v="32.799999999999997"/>
    <n v="32.799999999999997"/>
  </r>
  <r>
    <s v="73"/>
    <x v="2"/>
    <x v="7"/>
    <s v="ZT06F060"/>
    <x v="40"/>
    <s v="J103"/>
    <s v="PROMOCIÓN Y PROTECCIÓN DE DERECHOS"/>
    <s v="GI00J10300002D"/>
    <s v="GI00J10300002D PROMOCIÓN DE DERECHOS DE GRUPOS DE ATENC"/>
    <s v="73 BIENES Y SERVICIOS PARA INVERSIÓN"/>
    <s v="730820 Menaje y Accesorios Descartables"/>
    <s v="G/730820/1FJ103"/>
    <s v="001"/>
    <n v="500"/>
    <n v="0"/>
    <n v="-500"/>
    <n v="0"/>
    <n v="0"/>
    <n v="0"/>
    <n v="0"/>
    <n v="0"/>
    <n v="0"/>
    <n v="0"/>
  </r>
  <r>
    <s v="73"/>
    <x v="2"/>
    <x v="7"/>
    <s v="ZN02F020"/>
    <x v="46"/>
    <s v="J103"/>
    <s v="PROMOCIÓN Y PROTECCIÓN DE DERECHOS"/>
    <s v="GI00J10300002D"/>
    <s v="GI00J10300002D PROMOCIÓN DE DERECHOS DE GRUPOS DE ATENC"/>
    <s v="73 BIENES Y SERVICIOS PARA INVERSIÓN"/>
    <s v="730820 Menaje y Accesorios Descartables"/>
    <s v="G/730820/1FJ103"/>
    <s v="001"/>
    <n v="6000"/>
    <n v="0"/>
    <n v="-6000"/>
    <n v="0"/>
    <n v="0"/>
    <n v="0"/>
    <n v="0"/>
    <n v="0"/>
    <n v="0"/>
    <n v="0"/>
  </r>
  <r>
    <s v="73"/>
    <x v="1"/>
    <x v="5"/>
    <s v="ZA01J000"/>
    <x v="8"/>
    <s v="J103"/>
    <s v="PROMOCIÓN Y PROTECCIÓN DE DERECHOS"/>
    <s v="GI00J10300002D"/>
    <s v="GI00J10300002D PROMOCIÓN DE DERECHOS DE GRUPOS DE ATENC"/>
    <s v="73 BIENES Y SERVICIOS PARA INVERSIÓN"/>
    <s v="730824 Insumos,BienesyMaterialesparalaProducciónde"/>
    <s v="G/730824/1JJ103"/>
    <s v="001"/>
    <n v="0"/>
    <n v="481.6"/>
    <n v="950"/>
    <n v="1431.6"/>
    <n v="481.6"/>
    <n v="0"/>
    <n v="0"/>
    <n v="1431.6"/>
    <n v="1431.6"/>
    <n v="950"/>
  </r>
  <r>
    <s v="73"/>
    <x v="1"/>
    <x v="5"/>
    <s v="ZA01J000"/>
    <x v="8"/>
    <s v="J103"/>
    <s v="PROMOCIÓN Y PROTECCIÓN DE DERECHOS"/>
    <s v="GI00J10300002D"/>
    <s v="GI00J10300002D PROMOCIÓN DE DERECHOS DE GRUPOS DE ATENC"/>
    <s v="73 BIENES Y SERVICIOS PARA INVERSIÓN"/>
    <s v="730825 Ayudas Técnicas para Compensar Discapacidad"/>
    <s v="G/730825/1JJ103"/>
    <s v="001"/>
    <n v="0"/>
    <n v="125.44"/>
    <n v="0"/>
    <n v="125.44"/>
    <n v="125.44"/>
    <n v="0"/>
    <n v="0"/>
    <n v="125.44"/>
    <n v="125.44"/>
    <n v="0"/>
  </r>
  <r>
    <s v="73"/>
    <x v="1"/>
    <x v="5"/>
    <s v="ZA01J000"/>
    <x v="8"/>
    <s v="J103"/>
    <s v="PROMOCIÓN Y PROTECCIÓN DE DERECHOS"/>
    <s v="GI00J10300002D"/>
    <s v="GI00J10300002D PROMOCIÓN DE DERECHOS DE GRUPOS DE ATENC"/>
    <s v="73 BIENES Y SERVICIOS PARA INVERSIÓN"/>
    <s v="730826 Dispositivos Médicos de Uso General"/>
    <s v="G/730826/1JJ103"/>
    <s v="001"/>
    <n v="0"/>
    <n v="250"/>
    <n v="0"/>
    <n v="250"/>
    <n v="0"/>
    <n v="235.2"/>
    <n v="235.2"/>
    <n v="14.8"/>
    <n v="14.8"/>
    <n v="14.8"/>
  </r>
  <r>
    <s v="73"/>
    <x v="1"/>
    <x v="5"/>
    <s v="ZA01J000"/>
    <x v="8"/>
    <s v="J103"/>
    <s v="PROMOCIÓN Y PROTECCIÓN DE DERECHOS"/>
    <s v="GI00J10300002D"/>
    <s v="GI00J10300002D PROMOCIÓN DE DERECHOS DE GRUPOS DE ATENC"/>
    <s v="73 BIENES Y SERVICIOS PARA INVERSIÓN"/>
    <s v="731404 Maquinarias y Equipos"/>
    <s v="G/731404/1JJ103"/>
    <s v="001"/>
    <n v="0"/>
    <n v="250"/>
    <n v="0"/>
    <n v="250"/>
    <n v="0"/>
    <n v="219.52"/>
    <n v="219.52"/>
    <n v="30.48"/>
    <n v="30.48"/>
    <n v="30.48"/>
  </r>
  <r>
    <s v="73"/>
    <x v="2"/>
    <x v="7"/>
    <s v="ZN02F020"/>
    <x v="46"/>
    <s v="J103"/>
    <s v="PROMOCIÓN Y PROTECCIÓN DE DERECHOS"/>
    <s v="GI00J10300002D"/>
    <s v="GI00J10300002D PROMOCIÓN DE DERECHOS DE GRUPOS DE ATENC"/>
    <s v="73 BIENES Y SERVICIOS PARA INVERSIÓN"/>
    <s v="731407 Equipos, Sistemas y Paquetes Informáticos"/>
    <s v="G/731407/1FJ103"/>
    <s v="001"/>
    <n v="6000"/>
    <n v="0"/>
    <n v="-6000"/>
    <n v="0"/>
    <n v="0"/>
    <n v="0"/>
    <n v="0"/>
    <n v="0"/>
    <n v="0"/>
    <n v="0"/>
  </r>
  <r>
    <s v="73"/>
    <x v="1"/>
    <x v="5"/>
    <s v="ZA01J000"/>
    <x v="8"/>
    <s v="J103"/>
    <s v="PROMOCIÓN Y PROTECCIÓN DE DERECHOS"/>
    <s v="GI00J10300004D"/>
    <s v="GI00J10300004D IMPLEMENTACIÓN CASA DE LA INCLUSIÓN A FA"/>
    <s v="73 BIENES Y SERVICIOS PARA INVERSIÓN"/>
    <s v="730101 Agua Potable"/>
    <s v="G/730101/1JJ103"/>
    <s v="001"/>
    <n v="1000"/>
    <n v="-1000"/>
    <n v="0"/>
    <n v="0"/>
    <n v="0"/>
    <n v="0"/>
    <n v="0"/>
    <n v="0"/>
    <n v="0"/>
    <n v="0"/>
  </r>
  <r>
    <s v="73"/>
    <x v="1"/>
    <x v="5"/>
    <s v="ZA01J000"/>
    <x v="8"/>
    <s v="J103"/>
    <s v="PROMOCIÓN Y PROTECCIÓN DE DERECHOS"/>
    <s v="GI00J10300004D"/>
    <s v="GI00J10300004D IMPLEMENTACIÓN CASA DE LA INCLUSIÓN A FA"/>
    <s v="73 BIENES Y SERVICIOS PARA INVERSIÓN"/>
    <s v="730104 Energía Eléctrica"/>
    <s v="G/730104/1JJ103"/>
    <s v="001"/>
    <n v="3000"/>
    <n v="-3000"/>
    <n v="0"/>
    <n v="0"/>
    <n v="0"/>
    <n v="0"/>
    <n v="0"/>
    <n v="0"/>
    <n v="0"/>
    <n v="0"/>
  </r>
  <r>
    <s v="73"/>
    <x v="1"/>
    <x v="5"/>
    <s v="ZA01J000"/>
    <x v="8"/>
    <s v="J103"/>
    <s v="PROMOCIÓN Y PROTECCIÓN DE DERECHOS"/>
    <s v="GI00J10300004D"/>
    <s v="GI00J10300004D IMPLEMENTACIÓN CASA DE LA INCLUSIÓN A FA"/>
    <s v="73 BIENES Y SERVICIOS PARA INVERSIÓN"/>
    <s v="730105 Telecomunicaciones"/>
    <s v="G/730105/1JJ103"/>
    <s v="001"/>
    <n v="7000"/>
    <n v="-7000"/>
    <n v="0"/>
    <n v="0"/>
    <n v="0"/>
    <n v="0"/>
    <n v="0"/>
    <n v="0"/>
    <n v="0"/>
    <n v="0"/>
  </r>
  <r>
    <s v="73"/>
    <x v="1"/>
    <x v="5"/>
    <s v="ZA01J000"/>
    <x v="8"/>
    <s v="J103"/>
    <s v="PROMOCIÓN Y PROTECCIÓN DE DERECHOS"/>
    <s v="GI00J10300004D"/>
    <s v="GI00J10300004D IMPLEMENTACIÓN CASA DE LA INCLUSIÓN A FA"/>
    <s v="73 BIENES Y SERVICIOS PARA INVERSIÓN"/>
    <s v="730208 Servicio de Seguridad y Vigilancia"/>
    <s v="G/730208/1JJ103"/>
    <s v="001"/>
    <n v="30000"/>
    <n v="-30000"/>
    <n v="0"/>
    <n v="0"/>
    <n v="0"/>
    <n v="0"/>
    <n v="0"/>
    <n v="0"/>
    <n v="0"/>
    <n v="0"/>
  </r>
  <r>
    <s v="73"/>
    <x v="1"/>
    <x v="5"/>
    <s v="ZA01J000"/>
    <x v="8"/>
    <s v="J103"/>
    <s v="PROMOCIÓN Y PROTECCIÓN DE DERECHOS"/>
    <s v="GI00J10300004D"/>
    <s v="GI00J10300004D IMPLEMENTACIÓN CASA DE LA INCLUSIÓN A FA"/>
    <s v="73 BIENES Y SERVICIOS PARA INVERSIÓN"/>
    <s v="730224 Servicio de Implementación de Bancos de Inf"/>
    <s v="G/730224/1JJ103"/>
    <s v="001"/>
    <n v="7400"/>
    <n v="600"/>
    <n v="0"/>
    <n v="8000"/>
    <n v="7840"/>
    <n v="0"/>
    <n v="0"/>
    <n v="8000"/>
    <n v="8000"/>
    <n v="160"/>
  </r>
  <r>
    <s v="73"/>
    <x v="1"/>
    <x v="5"/>
    <s v="ZA01J000"/>
    <x v="8"/>
    <s v="J103"/>
    <s v="PROMOCIÓN Y PROTECCIÓN DE DERECHOS"/>
    <s v="GI00J10300004D"/>
    <s v="GI00J10300004D IMPLEMENTACIÓN CASA DE LA INCLUSIÓN A FA"/>
    <s v="73 BIENES Y SERVICIOS PARA INVERSIÓN"/>
    <s v="730235 Servicio de Alimentación"/>
    <s v="G/730235/1JJ103"/>
    <s v="001"/>
    <n v="3000"/>
    <n v="-3000"/>
    <n v="0"/>
    <n v="0"/>
    <n v="0"/>
    <n v="0"/>
    <n v="0"/>
    <n v="0"/>
    <n v="0"/>
    <n v="0"/>
  </r>
  <r>
    <s v="73"/>
    <x v="1"/>
    <x v="5"/>
    <s v="ZA01J000"/>
    <x v="8"/>
    <s v="J103"/>
    <s v="PROMOCIÓN Y PROTECCIÓN DE DERECHOS"/>
    <s v="GI00J10300004D"/>
    <s v="GI00J10300004D IMPLEMENTACIÓN CASA DE LA INCLUSIÓN A FA"/>
    <s v="73 BIENES Y SERVICIOS PARA INVERSIÓN"/>
    <s v="730402 Edificios, Locales, Residencias y Cablea"/>
    <s v="G/730402/1JJ103"/>
    <s v="001"/>
    <n v="340000"/>
    <n v="-340000"/>
    <n v="0"/>
    <n v="0"/>
    <n v="0"/>
    <n v="0"/>
    <n v="0"/>
    <n v="0"/>
    <n v="0"/>
    <n v="0"/>
  </r>
  <r>
    <s v="73"/>
    <x v="1"/>
    <x v="5"/>
    <s v="ZA01J000"/>
    <x v="8"/>
    <s v="J103"/>
    <s v="PROMOCIÓN Y PROTECCIÓN DE DERECHOS"/>
    <s v="GI00J10300004D"/>
    <s v="GI00J10300004D IMPLEMENTACIÓN CASA DE LA INCLUSIÓN A FA"/>
    <s v="73 BIENES Y SERVICIOS PARA INVERSIÓN"/>
    <s v="730606 Honorarios por Contratos Civiles de Servici"/>
    <s v="G/730606/1JJ103"/>
    <s v="001"/>
    <n v="154916.70000000001"/>
    <n v="-11324.58"/>
    <n v="-73000"/>
    <n v="70592.12"/>
    <n v="0"/>
    <n v="0"/>
    <n v="0"/>
    <n v="70592.12"/>
    <n v="70592.12"/>
    <n v="70592.12"/>
  </r>
  <r>
    <s v="73"/>
    <x v="1"/>
    <x v="5"/>
    <s v="ZA01J000"/>
    <x v="8"/>
    <s v="J103"/>
    <s v="PROMOCIÓN Y PROTECCIÓN DE DERECHOS"/>
    <s v="GI00J10300004D"/>
    <s v="GI00J10300004D IMPLEMENTACIÓN CASA DE LA INCLUSIÓN A FA"/>
    <s v="73 BIENES Y SERVICIOS PARA INVERSIÓN"/>
    <s v="730613 Capacitación para la Ciudadanía en Gener"/>
    <s v="G/730613/1JJ103"/>
    <s v="001"/>
    <n v="35000"/>
    <n v="-35000"/>
    <n v="0"/>
    <n v="0"/>
    <n v="0"/>
    <n v="0"/>
    <n v="0"/>
    <n v="0"/>
    <n v="0"/>
    <n v="0"/>
  </r>
  <r>
    <s v="73"/>
    <x v="1"/>
    <x v="5"/>
    <s v="ZA01J000"/>
    <x v="8"/>
    <s v="J103"/>
    <s v="PROMOCIÓN Y PROTECCIÓN DE DERECHOS"/>
    <s v="GI00J10300004D"/>
    <s v="GI00J10300004D IMPLEMENTACIÓN CASA DE LA INCLUSIÓN A FA"/>
    <s v="73 BIENES Y SERVICIOS PARA INVERSIÓN"/>
    <s v="730820 Menaje y Accesorios Descartables"/>
    <s v="G/730820/1JJ103"/>
    <s v="001"/>
    <n v="1000"/>
    <n v="-1000"/>
    <n v="0"/>
    <n v="0"/>
    <n v="0"/>
    <n v="0"/>
    <n v="0"/>
    <n v="0"/>
    <n v="0"/>
    <n v="0"/>
  </r>
  <r>
    <s v="73"/>
    <x v="1"/>
    <x v="5"/>
    <s v="ZA01J000"/>
    <x v="8"/>
    <s v="J103"/>
    <s v="PROMOCIÓN Y PROTECCIÓN DE DERECHOS"/>
    <s v="GI00J10300004D"/>
    <s v="GI00J10300004D IMPLEMENTACIÓN CASA DE LA INCLUSIÓN A FA"/>
    <s v="73 BIENES Y SERVICIOS PARA INVERSIÓN"/>
    <s v="731403 Mobiliarios"/>
    <s v="G/731403/1JJ103"/>
    <s v="001"/>
    <n v="4083.3"/>
    <n v="-4083.3"/>
    <n v="0"/>
    <n v="0"/>
    <n v="0"/>
    <n v="0"/>
    <n v="0"/>
    <n v="0"/>
    <n v="0"/>
    <n v="0"/>
  </r>
  <r>
    <s v="73"/>
    <x v="1"/>
    <x v="5"/>
    <s v="ZA01J000"/>
    <x v="8"/>
    <s v="J103"/>
    <s v="PROMOCIÓN Y PROTECCIÓN DE DERECHOS"/>
    <s v="GI00J10300004D"/>
    <s v="GI00J10300004D IMPLEMENTACIÓN CASA DE LA INCLUSIÓN A FA"/>
    <s v="73 BIENES Y SERVICIOS PARA INVERSIÓN"/>
    <s v="731404 Maquinarias y Equipos"/>
    <s v="G/731404/1JJ103"/>
    <s v="001"/>
    <n v="1000"/>
    <n v="-1000"/>
    <n v="0"/>
    <n v="0"/>
    <n v="0"/>
    <n v="0"/>
    <n v="0"/>
    <n v="0"/>
    <n v="0"/>
    <n v="0"/>
  </r>
  <r>
    <s v="73"/>
    <x v="2"/>
    <x v="3"/>
    <s v="AT69K040"/>
    <x v="16"/>
    <s v="K305"/>
    <s v="MOVILIDAD SEGURA"/>
    <s v="GI00K30500003D"/>
    <s v="GI00K30500003D AUDITORÍA DE SEGURIDAD VIAL"/>
    <s v="73 BIENES Y SERVICIOS PARA INVERSIÓN"/>
    <s v="730612 Capacitación a Servidores Públicos"/>
    <s v="G/730612/3KK305"/>
    <s v="001"/>
    <n v="16573.349999999999"/>
    <n v="0"/>
    <n v="-16573.349999999999"/>
    <n v="0"/>
    <n v="0"/>
    <n v="0"/>
    <n v="0"/>
    <n v="0"/>
    <n v="0"/>
    <n v="0"/>
  </r>
  <r>
    <s v="73"/>
    <x v="2"/>
    <x v="3"/>
    <s v="ZA01K000"/>
    <x v="6"/>
    <s v="K305"/>
    <s v="MOVILIDAD SEGURA"/>
    <s v="GI00K30500004D"/>
    <s v="GI00K30500004D EDUCACIÓN VIAL"/>
    <s v="73 BIENES Y SERVICIOS PARA INVERSIÓN"/>
    <s v="730207 Difusión, Información y Publicidad"/>
    <s v="G/730207/3KK305"/>
    <s v="001"/>
    <n v="600000"/>
    <n v="0"/>
    <n v="0"/>
    <n v="600000"/>
    <n v="89600"/>
    <n v="78400"/>
    <n v="78400"/>
    <n v="521600"/>
    <n v="521600"/>
    <n v="432000"/>
  </r>
  <r>
    <s v="73"/>
    <x v="2"/>
    <x v="3"/>
    <s v="AT69K040"/>
    <x v="16"/>
    <s v="K305"/>
    <s v="MOVILIDAD SEGURA"/>
    <s v="GI00K30500005D"/>
    <s v="GI00K30500005D EDUCACIÓN Y SEGURIDAD VIAL"/>
    <s v="73 BIENES Y SERVICIOS PARA INVERSIÓN"/>
    <s v="730204 Edición, Impresión, Reproducción, Public"/>
    <s v="G/730204/3KK305"/>
    <s v="001"/>
    <n v="3571.36"/>
    <n v="0"/>
    <n v="-3571.36"/>
    <n v="0"/>
    <n v="0"/>
    <n v="0"/>
    <n v="0"/>
    <n v="0"/>
    <n v="0"/>
    <n v="0"/>
  </r>
  <r>
    <s v="73"/>
    <x v="2"/>
    <x v="3"/>
    <s v="AT69K040"/>
    <x v="16"/>
    <s v="K305"/>
    <s v="MOVILIDAD SEGURA"/>
    <s v="GI00K30500005D"/>
    <s v="GI00K30500005D EDUCACIÓN Y SEGURIDAD VIAL"/>
    <s v="73 BIENES Y SERVICIOS PARA INVERSIÓN"/>
    <s v="730612 Capacitación a Servidores Públicos"/>
    <s v="G/730612/3KK305"/>
    <s v="001"/>
    <n v="5600"/>
    <n v="0"/>
    <n v="-5600"/>
    <n v="0"/>
    <n v="0"/>
    <n v="0"/>
    <n v="0"/>
    <n v="0"/>
    <n v="0"/>
    <n v="0"/>
  </r>
  <r>
    <s v="73"/>
    <x v="2"/>
    <x v="3"/>
    <s v="AT69K040"/>
    <x v="16"/>
    <s v="K305"/>
    <s v="MOVILIDAD SEGURA"/>
    <s v="GI00K30500005D"/>
    <s v="GI00K30500005D EDUCACIÓN Y SEGURIDAD VIAL"/>
    <s v="73 BIENES Y SERVICIOS PARA INVERSIÓN"/>
    <s v="730802 Vestuario, Lencería, Prendas de Protecci"/>
    <s v="G/730802/3KK305"/>
    <s v="001"/>
    <n v="640"/>
    <n v="0"/>
    <n v="-10"/>
    <n v="630"/>
    <n v="0"/>
    <n v="630"/>
    <n v="630"/>
    <n v="0"/>
    <n v="0"/>
    <n v="0"/>
  </r>
  <r>
    <s v="73"/>
    <x v="2"/>
    <x v="3"/>
    <s v="AT69K040"/>
    <x v="16"/>
    <s v="K305"/>
    <s v="MOVILIDAD SEGURA"/>
    <s v="GI00K30500005D"/>
    <s v="GI00K30500005D EDUCACIÓN Y SEGURIDAD VIAL"/>
    <s v="73 BIENES Y SERVICIOS PARA INVERSIÓN"/>
    <s v="730811 Insumos, Materiales y Suministros para Cons"/>
    <s v="G/730811/3KK305"/>
    <s v="001"/>
    <n v="2150"/>
    <n v="0"/>
    <n v="-2150"/>
    <n v="0"/>
    <n v="0"/>
    <n v="0"/>
    <n v="0"/>
    <n v="0"/>
    <n v="0"/>
    <n v="0"/>
  </r>
  <r>
    <s v="73"/>
    <x v="2"/>
    <x v="3"/>
    <s v="AT69K040"/>
    <x v="16"/>
    <s v="K305"/>
    <s v="MOVILIDAD SEGURA"/>
    <s v="GI00K30500005D"/>
    <s v="GI00K30500005D EDUCACIÓN Y SEGURIDAD VIAL"/>
    <s v="73 BIENES Y SERVICIOS PARA INVERSIÓN"/>
    <s v="730812 Materiales Didácticos"/>
    <s v="G/730812/3KK305"/>
    <s v="001"/>
    <n v="8862.4500000000007"/>
    <n v="0"/>
    <n v="-8862.4500000000007"/>
    <n v="0"/>
    <n v="0"/>
    <n v="0"/>
    <n v="0"/>
    <n v="0"/>
    <n v="0"/>
    <n v="0"/>
  </r>
  <r>
    <s v="73"/>
    <x v="2"/>
    <x v="3"/>
    <s v="AT69K040"/>
    <x v="16"/>
    <s v="K305"/>
    <s v="MOVILIDAD SEGURA"/>
    <s v="GI00K30500005D"/>
    <s v="GI00K30500005D EDUCACIÓN Y SEGURIDAD VIAL"/>
    <s v="73 BIENES Y SERVICIOS PARA INVERSIÓN"/>
    <s v="731403 Mobiliarios"/>
    <s v="G/731403/3KK305"/>
    <s v="001"/>
    <n v="408"/>
    <n v="0"/>
    <n v="-0.1"/>
    <n v="407.9"/>
    <n v="0"/>
    <n v="407.9"/>
    <n v="407.9"/>
    <n v="0"/>
    <n v="0"/>
    <n v="0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105 Telecomunicaciones"/>
    <s v="G/730105/3KK305"/>
    <s v="001"/>
    <n v="68000"/>
    <n v="0"/>
    <n v="-28000"/>
    <n v="40000"/>
    <n v="0"/>
    <n v="6635.23"/>
    <n v="0"/>
    <n v="33364.769999999997"/>
    <n v="40000"/>
    <n v="33364.769999999997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204 Edición, Impresión, Reproducción, Public"/>
    <s v="G/730204/3KK305"/>
    <s v="001"/>
    <n v="568799.62"/>
    <n v="160872.6"/>
    <n v="-89666.23"/>
    <n v="640005.99"/>
    <n v="1055"/>
    <n v="399930.52"/>
    <n v="76080.11"/>
    <n v="240075.47"/>
    <n v="563925.88"/>
    <n v="239020.47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205 Espectáculos Culturales y Sociales"/>
    <s v="G/730205/3KK305"/>
    <s v="001"/>
    <n v="0"/>
    <n v="112000"/>
    <n v="-32483.64"/>
    <n v="79516.36"/>
    <n v="1282.8399999999999"/>
    <n v="78233.52"/>
    <n v="78233.52"/>
    <n v="1282.8399999999999"/>
    <n v="1282.8399999999999"/>
    <n v="0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207 Difusión, Información y Publicidad"/>
    <s v="G/730207/3KK305"/>
    <s v="001"/>
    <n v="0"/>
    <n v="213267.66"/>
    <n v="0"/>
    <n v="213267.66"/>
    <n v="33373.89"/>
    <n v="174220.37"/>
    <n v="174220.37"/>
    <n v="39047.29"/>
    <n v="39047.29"/>
    <n v="5673.4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208 Servicio de Seguridad y Vigilancia"/>
    <s v="G/730208/3KK305"/>
    <s v="001"/>
    <n v="454826.78"/>
    <n v="1460752.74"/>
    <n v="-243368.38"/>
    <n v="1672211.14"/>
    <n v="0"/>
    <n v="1622237.62"/>
    <n v="1230434.45"/>
    <n v="49973.52"/>
    <n v="441776.69"/>
    <n v="49973.52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235 Servicio de Alimentación"/>
    <s v="G/730235/3KK305"/>
    <s v="001"/>
    <n v="3500"/>
    <n v="0"/>
    <n v="0"/>
    <n v="3500"/>
    <n v="0"/>
    <n v="0"/>
    <n v="0"/>
    <n v="3500"/>
    <n v="3500"/>
    <n v="3500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404 Maquinarias y Equipos (Instalación, Mant"/>
    <s v="G/730404/3KK305"/>
    <s v="001"/>
    <n v="267847.34000000003"/>
    <n v="14000"/>
    <n v="-75354.080000000002"/>
    <n v="206493.26"/>
    <n v="392"/>
    <n v="139300.98000000001"/>
    <n v="33584.550000000003"/>
    <n v="67192.28"/>
    <n v="172908.71"/>
    <n v="66800.28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405 Vehículos (Servicio para Mantenimiento y"/>
    <s v="G/730405/3KK305"/>
    <s v="001"/>
    <n v="751887.45"/>
    <n v="322342.14"/>
    <n v="-332230.33"/>
    <n v="741999.26"/>
    <n v="24401.1"/>
    <n v="698587.04"/>
    <n v="356280"/>
    <n v="43412.22"/>
    <n v="385719.26"/>
    <n v="19011.12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505 Vehículos (Arrendamiento)"/>
    <s v="G/730505/3KK305"/>
    <s v="001"/>
    <n v="11082"/>
    <n v="0"/>
    <n v="-6585.28"/>
    <n v="4496.72"/>
    <n v="0.05"/>
    <n v="4496.67"/>
    <n v="4496.67"/>
    <n v="0.05"/>
    <n v="0.05"/>
    <n v="0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601 Consultoría, Asesoría e Investigación Es"/>
    <s v="G/730601/3KK305"/>
    <s v="001"/>
    <n v="56754.51"/>
    <n v="0"/>
    <n v="0"/>
    <n v="56754.51"/>
    <n v="0"/>
    <n v="0"/>
    <n v="0"/>
    <n v="56754.51"/>
    <n v="56754.51"/>
    <n v="56754.51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612 Capacitación a Servidores Públicos"/>
    <s v="G/730612/3KK305"/>
    <s v="001"/>
    <n v="16000"/>
    <n v="0"/>
    <n v="-13000"/>
    <n v="3000"/>
    <n v="0"/>
    <n v="0"/>
    <n v="0"/>
    <n v="3000"/>
    <n v="3000"/>
    <n v="3000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702 Arrendamiento y Licencias de Uso de Paquete"/>
    <s v="G/730702/3KK305"/>
    <s v="001"/>
    <n v="80355.929999999993"/>
    <n v="11707.14"/>
    <n v="0"/>
    <n v="92063.07"/>
    <n v="0.01"/>
    <n v="58574.74"/>
    <n v="58574.73"/>
    <n v="33488.33"/>
    <n v="33488.339999999997"/>
    <n v="33488.32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802 Vestuario, Lencería, Prendas de Protecci"/>
    <s v="G/730802/3KK305"/>
    <s v="001"/>
    <n v="1787832.17"/>
    <n v="116819.89"/>
    <n v="-91815.89"/>
    <n v="1812836.17"/>
    <n v="0.03"/>
    <n v="1812836.14"/>
    <n v="25004"/>
    <n v="0.03"/>
    <n v="1787832.17"/>
    <n v="0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803 Combustibles y Lubricantes"/>
    <s v="G/730803/3KK305"/>
    <s v="001"/>
    <n v="76552.070000000007"/>
    <n v="390970.61"/>
    <n v="-39573.129999999997"/>
    <n v="427949.55"/>
    <n v="3519.65"/>
    <n v="387314.37"/>
    <n v="262035.99"/>
    <n v="40635.18"/>
    <n v="165913.56"/>
    <n v="37115.53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804 Materiales de Oficina"/>
    <s v="G/730804/3KK305"/>
    <s v="001"/>
    <n v="53600"/>
    <n v="64000"/>
    <n v="-42257.83"/>
    <n v="75342.17"/>
    <n v="0"/>
    <n v="13869.61"/>
    <n v="6394.75"/>
    <n v="61472.56"/>
    <n v="68947.42"/>
    <n v="61472.56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805 Materiales de Aseo"/>
    <s v="G/730805/3KK305"/>
    <s v="001"/>
    <n v="0"/>
    <n v="112.19"/>
    <n v="0"/>
    <n v="112.19"/>
    <n v="0"/>
    <n v="0"/>
    <n v="0"/>
    <n v="112.19"/>
    <n v="112.19"/>
    <n v="112.19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807 Materiales de Impresión, Fotografía, Rep"/>
    <s v="G/730807/3KK305"/>
    <s v="001"/>
    <n v="0"/>
    <n v="6000"/>
    <n v="-171.52"/>
    <n v="5828.48"/>
    <n v="0"/>
    <n v="5828.48"/>
    <n v="0"/>
    <n v="0"/>
    <n v="5828.48"/>
    <n v="0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808 Instrumental Médico Quirúrgico"/>
    <s v="G/730808/3KK305"/>
    <s v="001"/>
    <n v="0"/>
    <n v="78.400000000000006"/>
    <n v="0"/>
    <n v="78.400000000000006"/>
    <n v="0"/>
    <n v="0"/>
    <n v="0"/>
    <n v="78.400000000000006"/>
    <n v="78.400000000000006"/>
    <n v="78.400000000000006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809 Medicamentos"/>
    <s v="G/730809/3KK305"/>
    <s v="001"/>
    <n v="0"/>
    <n v="2564.8000000000002"/>
    <n v="0"/>
    <n v="2564.8000000000002"/>
    <n v="0"/>
    <n v="0"/>
    <n v="0"/>
    <n v="2564.8000000000002"/>
    <n v="2564.8000000000002"/>
    <n v="2564.8000000000002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810 Dispositivos Médicos para Laboratorio Cl"/>
    <s v="G/730810/3KK305"/>
    <s v="001"/>
    <n v="0"/>
    <n v="65.709999999999994"/>
    <n v="0"/>
    <n v="65.709999999999994"/>
    <n v="0"/>
    <n v="0"/>
    <n v="0"/>
    <n v="65.709999999999994"/>
    <n v="65.709999999999994"/>
    <n v="65.709999999999994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811 Insumos, Materiales y Suministros para Cons"/>
    <s v="G/730811/3KK305"/>
    <s v="001"/>
    <n v="97428.4"/>
    <n v="27744.71"/>
    <n v="0"/>
    <n v="125173.11"/>
    <n v="1722.83"/>
    <n v="88667.91"/>
    <n v="88667.91"/>
    <n v="36505.199999999997"/>
    <n v="36505.199999999997"/>
    <n v="34782.370000000003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813 Repuestos y Accesorios"/>
    <s v="G/730813/3KK305"/>
    <s v="001"/>
    <n v="2154545"/>
    <n v="289980.45"/>
    <n v="-573046.85"/>
    <n v="1871478.6"/>
    <n v="266.51"/>
    <n v="1556499.35"/>
    <n v="860528.73"/>
    <n v="314979.25"/>
    <n v="1010949.87"/>
    <n v="314712.74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826 Dispositivos Médicos de Uso General"/>
    <s v="G/730826/3KK305"/>
    <s v="001"/>
    <n v="0"/>
    <n v="280060.09999999998"/>
    <n v="-99998.21"/>
    <n v="180061.89"/>
    <n v="14.56"/>
    <n v="164821.44"/>
    <n v="164821.44"/>
    <n v="15240.45"/>
    <n v="15240.45"/>
    <n v="15225.89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0832 Dispositivos Médicos para Odontología"/>
    <s v="G/730832/3KK305"/>
    <s v="001"/>
    <n v="0"/>
    <n v="3387.44"/>
    <n v="0"/>
    <n v="3387.44"/>
    <n v="0"/>
    <n v="0"/>
    <n v="0"/>
    <n v="3387.44"/>
    <n v="3387.44"/>
    <n v="3387.44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1404 Maquinarias y Equipos"/>
    <s v="G/731404/3KK305"/>
    <s v="001"/>
    <n v="5000"/>
    <n v="0"/>
    <n v="-5000"/>
    <n v="0"/>
    <n v="0"/>
    <n v="0"/>
    <n v="0"/>
    <n v="0"/>
    <n v="0"/>
    <n v="0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1406 Herramientas y equipos menores"/>
    <s v="G/731406/3KK305"/>
    <s v="001"/>
    <n v="0"/>
    <n v="5767.34"/>
    <n v="0"/>
    <n v="5767.34"/>
    <n v="0"/>
    <n v="0"/>
    <n v="0"/>
    <n v="5767.34"/>
    <n v="5767.34"/>
    <n v="5767.34"/>
  </r>
  <r>
    <s v="73"/>
    <x v="2"/>
    <x v="3"/>
    <s v="AT69K040"/>
    <x v="16"/>
    <s v="K305"/>
    <s v="MOVILIDAD SEGURA"/>
    <s v="GI00K30500006D"/>
    <s v="GI00K30500006D FORTALECIMIENTO DEL CONTROL DEL TRÁNSITO"/>
    <s v="73 BIENES Y SERVICIOS PARA INVERSIÓN"/>
    <s v="731407 Equipos, Sistemas y Paquetes Informáticos"/>
    <s v="G/731407/3KK305"/>
    <s v="001"/>
    <n v="0"/>
    <n v="1769.6"/>
    <n v="0"/>
    <n v="1769.6"/>
    <n v="0"/>
    <n v="1769.6"/>
    <n v="1769.6"/>
    <n v="0"/>
    <n v="0"/>
    <n v="0"/>
  </r>
  <r>
    <s v="73"/>
    <x v="2"/>
    <x v="3"/>
    <s v="AT69K040"/>
    <x v="16"/>
    <s v="K305"/>
    <s v="MOVILIDAD SEGURA"/>
    <s v="GI00K30500007D"/>
    <s v="GI00K30500007D MODERNIZACIÓN DE LOS SERVICIOS DE LA AGE"/>
    <s v="73 BIENES Y SERVICIOS PARA INVERSIÓN"/>
    <s v="730105 Telecomunicaciones"/>
    <s v="G/730105/3KK305"/>
    <s v="001"/>
    <n v="552503.43999999994"/>
    <n v="0"/>
    <n v="-27444.41"/>
    <n v="525059.03"/>
    <n v="10768.76"/>
    <n v="502530.27"/>
    <n v="293390.01"/>
    <n v="22528.76"/>
    <n v="231669.02"/>
    <n v="11760"/>
  </r>
  <r>
    <s v="73"/>
    <x v="2"/>
    <x v="3"/>
    <s v="AT69K040"/>
    <x v="16"/>
    <s v="K305"/>
    <s v="MOVILIDAD SEGURA"/>
    <s v="GI00K30500007D"/>
    <s v="GI00K30500007D MODERNIZACIÓN DE LOS SERVICIOS DE LA AGE"/>
    <s v="73 BIENES Y SERVICIOS PARA INVERSIÓN"/>
    <s v="730204 Edición, Impresión, Reproducción, Public"/>
    <s v="G/730204/3KK305"/>
    <s v="001"/>
    <n v="317500"/>
    <n v="0"/>
    <n v="-2033.33"/>
    <n v="315466.67"/>
    <n v="0"/>
    <n v="186742.93"/>
    <n v="78565.850000000006"/>
    <n v="128723.74"/>
    <n v="236900.82"/>
    <n v="128723.74"/>
  </r>
  <r>
    <s v="73"/>
    <x v="2"/>
    <x v="3"/>
    <s v="AT69K040"/>
    <x v="16"/>
    <s v="K305"/>
    <s v="MOVILIDAD SEGURA"/>
    <s v="GI00K30500007D"/>
    <s v="GI00K30500007D MODERNIZACIÓN DE LOS SERVICIOS DE LA AGE"/>
    <s v="73 BIENES Y SERVICIOS PARA INVERSIÓN"/>
    <s v="730404 Maquinarias y Equipos (Instalación, Mant"/>
    <s v="G/730404/3KK305"/>
    <s v="001"/>
    <n v="97969.33"/>
    <n v="0"/>
    <n v="-27135.41"/>
    <n v="70833.919999999998"/>
    <n v="0"/>
    <n v="4060"/>
    <n v="0"/>
    <n v="66773.919999999998"/>
    <n v="70833.919999999998"/>
    <n v="66773.919999999998"/>
  </r>
  <r>
    <s v="73"/>
    <x v="2"/>
    <x v="3"/>
    <s v="AT69K040"/>
    <x v="16"/>
    <s v="K305"/>
    <s v="MOVILIDAD SEGURA"/>
    <s v="GI00K30500007D"/>
    <s v="GI00K30500007D MODERNIZACIÓN DE LOS SERVICIOS DE LA AGE"/>
    <s v="73 BIENES Y SERVICIOS PARA INVERSIÓN"/>
    <s v="730405 Vehículos (Servicio para Mantenimiento y"/>
    <s v="G/730405/3KK305"/>
    <s v="001"/>
    <n v="43306.67"/>
    <n v="0"/>
    <n v="-43306.67"/>
    <n v="0"/>
    <n v="0"/>
    <n v="0"/>
    <n v="0"/>
    <n v="0"/>
    <n v="0"/>
    <n v="0"/>
  </r>
  <r>
    <s v="73"/>
    <x v="2"/>
    <x v="3"/>
    <s v="AT69K040"/>
    <x v="16"/>
    <s v="K305"/>
    <s v="MOVILIDAD SEGURA"/>
    <s v="GI00K30500007D"/>
    <s v="GI00K30500007D MODERNIZACIÓN DE LOS SERVICIOS DE LA AGE"/>
    <s v="73 BIENES Y SERVICIOS PARA INVERSIÓN"/>
    <s v="730701 Desarrollo, Actualización, Asistencia Té"/>
    <s v="G/730701/3KK305"/>
    <s v="001"/>
    <n v="298200"/>
    <n v="0"/>
    <n v="-155512"/>
    <n v="142688"/>
    <n v="0"/>
    <n v="6944"/>
    <n v="6944"/>
    <n v="135744"/>
    <n v="135744"/>
    <n v="135744"/>
  </r>
  <r>
    <s v="73"/>
    <x v="2"/>
    <x v="3"/>
    <s v="AT69K040"/>
    <x v="16"/>
    <s v="K305"/>
    <s v="MOVILIDAD SEGURA"/>
    <s v="GI00K30500007D"/>
    <s v="GI00K30500007D MODERNIZACIÓN DE LOS SERVICIOS DE LA AGE"/>
    <s v="73 BIENES Y SERVICIOS PARA INVERSIÓN"/>
    <s v="730702 Arrendamiento y Licencias de Uso de Paquete"/>
    <s v="G/730702/3KK305"/>
    <s v="001"/>
    <n v="300805.33"/>
    <n v="0"/>
    <n v="-130250.03"/>
    <n v="170555.3"/>
    <n v="0"/>
    <n v="107328.16"/>
    <n v="89035.79"/>
    <n v="63227.14"/>
    <n v="81519.509999999995"/>
    <n v="63227.14"/>
  </r>
  <r>
    <s v="73"/>
    <x v="2"/>
    <x v="3"/>
    <s v="AT69K040"/>
    <x v="16"/>
    <s v="K305"/>
    <s v="MOVILIDAD SEGURA"/>
    <s v="GI00K30500007D"/>
    <s v="GI00K30500007D MODERNIZACIÓN DE LOS SERVICIOS DE LA AGE"/>
    <s v="73 BIENES Y SERVICIOS PARA INVERSIÓN"/>
    <s v="730704 Mantenimiento y Reparación de Equipos y"/>
    <s v="G/730704/3KK305"/>
    <s v="001"/>
    <n v="189097.81"/>
    <n v="0"/>
    <n v="-1242.45"/>
    <n v="187855.35999999999"/>
    <n v="50624"/>
    <n v="117600"/>
    <n v="117600"/>
    <n v="70255.360000000001"/>
    <n v="70255.360000000001"/>
    <n v="19631.36"/>
  </r>
  <r>
    <s v="73"/>
    <x v="2"/>
    <x v="3"/>
    <s v="AT69K040"/>
    <x v="16"/>
    <s v="K305"/>
    <s v="MOVILIDAD SEGURA"/>
    <s v="GI00K30500007D"/>
    <s v="GI00K30500007D MODERNIZACIÓN DE LOS SERVICIOS DE LA AGE"/>
    <s v="73 BIENES Y SERVICIOS PARA INVERSIÓN"/>
    <s v="730804 Materiales de Oficina"/>
    <s v="G/730804/3KK305"/>
    <s v="001"/>
    <n v="14374.83"/>
    <n v="0"/>
    <n v="-14374.83"/>
    <n v="0"/>
    <n v="0"/>
    <n v="0"/>
    <n v="0"/>
    <n v="0"/>
    <n v="0"/>
    <n v="0"/>
  </r>
  <r>
    <s v="73"/>
    <x v="2"/>
    <x v="3"/>
    <s v="AT69K040"/>
    <x v="16"/>
    <s v="K305"/>
    <s v="MOVILIDAD SEGURA"/>
    <s v="GI00K30500007D"/>
    <s v="GI00K30500007D MODERNIZACIÓN DE LOS SERVICIOS DE LA AGE"/>
    <s v="73 BIENES Y SERVICIOS PARA INVERSIÓN"/>
    <s v="730813 Repuestos y Accesorios"/>
    <s v="G/730813/3KK305"/>
    <s v="001"/>
    <n v="45912"/>
    <n v="0"/>
    <n v="-33368"/>
    <n v="12544"/>
    <n v="0"/>
    <n v="638.4"/>
    <n v="0"/>
    <n v="11905.6"/>
    <n v="12544"/>
    <n v="11905.6"/>
  </r>
  <r>
    <s v="73"/>
    <x v="2"/>
    <x v="3"/>
    <s v="AT69K040"/>
    <x v="16"/>
    <s v="K305"/>
    <s v="MOVILIDAD SEGURA"/>
    <s v="GI00K30500007D"/>
    <s v="GI00K30500007D MODERNIZACIÓN DE LOS SERVICIOS DE LA AGE"/>
    <s v="73 BIENES Y SERVICIOS PARA INVERSIÓN"/>
    <s v="731403 Mobiliarios"/>
    <s v="G/731403/3KK305"/>
    <s v="001"/>
    <n v="15000"/>
    <n v="0"/>
    <n v="0"/>
    <n v="15000"/>
    <n v="0"/>
    <n v="0"/>
    <n v="0"/>
    <n v="15000"/>
    <n v="15000"/>
    <n v="15000"/>
  </r>
  <r>
    <s v="73"/>
    <x v="2"/>
    <x v="3"/>
    <s v="ZA01K000"/>
    <x v="6"/>
    <s v="K308"/>
    <s v="MOVILIDAD SOSTENIBLE"/>
    <s v="GI00K30800002D"/>
    <s v="GI00K30800002D MEJORAMIENTO DE LA CIRCULACIÓN DEL TRÁFI"/>
    <s v="73 BIENES Y SERVICIOS PARA INVERSIÓN"/>
    <s v="730207 Difusión, Información y Publicidad"/>
    <s v="G/730207/3KK308"/>
    <s v="001"/>
    <n v="0"/>
    <n v="37464"/>
    <n v="0"/>
    <n v="37464"/>
    <n v="0"/>
    <n v="37464"/>
    <n v="37464"/>
    <n v="0"/>
    <n v="0"/>
    <n v="0"/>
  </r>
  <r>
    <s v="73"/>
    <x v="2"/>
    <x v="3"/>
    <s v="ZA01K000"/>
    <x v="6"/>
    <s v="K308"/>
    <s v="MOVILIDAD SOSTENIBLE"/>
    <s v="GI00K30800002D"/>
    <s v="GI00K30800002D MEJORAMIENTO DE LA CIRCULACIÓN DEL TRÁFI"/>
    <s v="73 BIENES Y SERVICIOS PARA INVERSIÓN"/>
    <s v="730404 Maquinarias y Equipos (Instalación, Mant"/>
    <s v="G/730404/3KK308"/>
    <s v="001"/>
    <n v="0"/>
    <n v="2288.16"/>
    <n v="0"/>
    <n v="2288.16"/>
    <n v="0"/>
    <n v="2288.16"/>
    <n v="2288.16"/>
    <n v="0"/>
    <n v="0"/>
    <n v="0"/>
  </r>
  <r>
    <s v="73"/>
    <x v="2"/>
    <x v="3"/>
    <s v="ZA01K000"/>
    <x v="6"/>
    <s v="K308"/>
    <s v="MOVILIDAD SOSTENIBLE"/>
    <s v="GI00K30800002D"/>
    <s v="GI00K30800002D MEJORAMIENTO DE LA CIRCULACIÓN DEL TRÁFI"/>
    <s v="73 BIENES Y SERVICIOS PARA INVERSIÓN"/>
    <s v="730601 Consultoría, Asesoría e Investigación Es"/>
    <s v="G/730601/3KK308"/>
    <s v="001"/>
    <n v="640000"/>
    <n v="-276203.2"/>
    <n v="-350356.8"/>
    <n v="13440"/>
    <n v="0"/>
    <n v="13440"/>
    <n v="9408"/>
    <n v="0"/>
    <n v="4032"/>
    <n v="0"/>
  </r>
  <r>
    <s v="73"/>
    <x v="2"/>
    <x v="3"/>
    <s v="ZA01K000"/>
    <x v="6"/>
    <s v="K308"/>
    <s v="MOVILIDAD SOSTENIBLE"/>
    <s v="GI00K30800002D"/>
    <s v="GI00K30800002D MEJORAMIENTO DE LA CIRCULACIÓN DEL TRÁFI"/>
    <s v="73 BIENES Y SERVICIOS PARA INVERSIÓN"/>
    <s v="730605 Estudio y Diseño de Proyectos"/>
    <s v="G/730605/3KK308"/>
    <s v="001"/>
    <n v="420000"/>
    <n v="0"/>
    <n v="-420000"/>
    <n v="0"/>
    <n v="0"/>
    <n v="0"/>
    <n v="0"/>
    <n v="0"/>
    <n v="0"/>
    <n v="0"/>
  </r>
  <r>
    <s v="73"/>
    <x v="2"/>
    <x v="3"/>
    <s v="ZA01K000"/>
    <x v="6"/>
    <s v="K308"/>
    <s v="MOVILIDAD SOSTENIBLE"/>
    <s v="GI00K30800002D"/>
    <s v="GI00K30800002D MEJORAMIENTO DE LA CIRCULACIÓN DEL TRÁFI"/>
    <s v="73 BIENES Y SERVICIOS PARA INVERSIÓN"/>
    <s v="730606 Honorarios por Contratos Civiles de Servici"/>
    <s v="G/730606/3KK308"/>
    <s v="001"/>
    <n v="23520"/>
    <n v="0"/>
    <n v="-1529"/>
    <n v="21991"/>
    <n v="7792.2"/>
    <n v="10588.48"/>
    <n v="10588.48"/>
    <n v="11402.52"/>
    <n v="11402.52"/>
    <n v="3610.32"/>
  </r>
  <r>
    <s v="73"/>
    <x v="2"/>
    <x v="3"/>
    <s v="ZA01K000"/>
    <x v="6"/>
    <s v="K308"/>
    <s v="MOVILIDAD SOSTENIBLE"/>
    <s v="GI00K30800003D"/>
    <s v="GI00K30800003D MEJORAMIENTO DEL SERVICIO DE TRANSPORTE"/>
    <s v="73 BIENES Y SERVICIOS PARA INVERSIÓN"/>
    <s v="730601 Consultoría, Asesoría e Investigación Es"/>
    <s v="G/730601/3KK308"/>
    <s v="001"/>
    <n v="60000"/>
    <n v="154560"/>
    <n v="-25760"/>
    <n v="188800"/>
    <n v="128801.60000000001"/>
    <n v="59998.400000000001"/>
    <n v="59998.400000000001"/>
    <n v="128801.60000000001"/>
    <n v="128801.60000000001"/>
    <n v="0"/>
  </r>
  <r>
    <s v="73"/>
    <x v="2"/>
    <x v="3"/>
    <s v="AT69K040"/>
    <x v="16"/>
    <s v="K308"/>
    <s v="MOVILIDAD SOSTENIBLE"/>
    <s v="GI00K30800004D"/>
    <s v="GI00K30800004D PASEO DOMINICAL"/>
    <s v="73 BIENES Y SERVICIOS PARA INVERSIÓN"/>
    <s v="730402 Edificios, Locales, Residencias y Cablea"/>
    <s v="G/730402/3KK308"/>
    <s v="001"/>
    <n v="5400"/>
    <n v="0"/>
    <n v="0"/>
    <n v="5400"/>
    <n v="0"/>
    <n v="0"/>
    <n v="0"/>
    <n v="5400"/>
    <n v="5400"/>
    <n v="5400"/>
  </r>
  <r>
    <s v="73"/>
    <x v="2"/>
    <x v="3"/>
    <s v="AT69K040"/>
    <x v="16"/>
    <s v="K308"/>
    <s v="MOVILIDAD SOSTENIBLE"/>
    <s v="GI00K30800004D"/>
    <s v="GI00K30800004D PASEO DOMINICAL"/>
    <s v="73 BIENES Y SERVICIOS PARA INVERSIÓN"/>
    <s v="730505 Vehículos (Arrendamiento)"/>
    <s v="G/730505/3KK308"/>
    <s v="001"/>
    <n v="14840.08"/>
    <n v="0"/>
    <n v="-14840.08"/>
    <n v="0"/>
    <n v="0"/>
    <n v="0"/>
    <n v="0"/>
    <n v="0"/>
    <n v="0"/>
    <n v="0"/>
  </r>
  <r>
    <s v="73"/>
    <x v="2"/>
    <x v="3"/>
    <s v="AT69K040"/>
    <x v="16"/>
    <s v="K308"/>
    <s v="MOVILIDAD SOSTENIBLE"/>
    <s v="GI00K30800004D"/>
    <s v="GI00K30800004D PASEO DOMINICAL"/>
    <s v="73 BIENES Y SERVICIOS PARA INVERSIÓN"/>
    <s v="730811 Insumos, Materiales y Suministros para Cons"/>
    <s v="G/730811/3KK308"/>
    <s v="001"/>
    <n v="2304"/>
    <n v="0"/>
    <n v="-2304"/>
    <n v="0"/>
    <n v="0"/>
    <n v="0"/>
    <n v="0"/>
    <n v="0"/>
    <n v="0"/>
    <n v="0"/>
  </r>
  <r>
    <s v="73"/>
    <x v="2"/>
    <x v="3"/>
    <s v="AT69K040"/>
    <x v="16"/>
    <s v="K308"/>
    <s v="MOVILIDAD SOSTENIBLE"/>
    <s v="GI00K30800004D"/>
    <s v="GI00K30800004D PASEO DOMINICAL"/>
    <s v="73 BIENES Y SERVICIOS PARA INVERSIÓN"/>
    <s v="731404 Maquinarias y Equipos"/>
    <s v="G/731404/3KK308"/>
    <s v="001"/>
    <n v="3200"/>
    <n v="-3200"/>
    <n v="0"/>
    <n v="0"/>
    <n v="0"/>
    <n v="0"/>
    <n v="0"/>
    <n v="0"/>
    <n v="0"/>
    <n v="0"/>
  </r>
  <r>
    <s v="73"/>
    <x v="2"/>
    <x v="3"/>
    <s v="ZA01K000"/>
    <x v="6"/>
    <s v="K308"/>
    <s v="MOVILIDAD SOSTENIBLE"/>
    <s v="GI00K30800005D"/>
    <s v="GI00K30800005D PROMOCIÓN DE LOS MODOS DE TRANSPORTE NO"/>
    <s v="73 BIENES Y SERVICIOS PARA INVERSIÓN"/>
    <s v="730207 Difusión, Información y Publicidad"/>
    <s v="G/730207/3KK308"/>
    <s v="001"/>
    <n v="200000"/>
    <n v="0"/>
    <n v="-146000"/>
    <n v="54000"/>
    <n v="822.4"/>
    <n v="53177.599999999999"/>
    <n v="0"/>
    <n v="822.4"/>
    <n v="54000"/>
    <n v="0"/>
  </r>
  <r>
    <s v="73"/>
    <x v="2"/>
    <x v="3"/>
    <s v="ZA01K000"/>
    <x v="6"/>
    <s v="K308"/>
    <s v="MOVILIDAD SOSTENIBLE"/>
    <s v="GI00K30800005D"/>
    <s v="GI00K30800005D PROMOCIÓN DE LOS MODOS DE TRANSPORTE NO"/>
    <s v="73 BIENES Y SERVICIOS PARA INVERSIÓN"/>
    <s v="730601 Consultoría, Asesoría e Investigación Es"/>
    <s v="G/730601/3KK308"/>
    <s v="001"/>
    <n v="800000"/>
    <n v="0"/>
    <n v="-575478.68000000005"/>
    <n v="224521.32"/>
    <n v="66504.45"/>
    <n v="102049.95"/>
    <n v="69716.89"/>
    <n v="122471.37"/>
    <n v="154804.43"/>
    <n v="55966.92"/>
  </r>
  <r>
    <s v="73"/>
    <x v="2"/>
    <x v="3"/>
    <s v="ZA01K000"/>
    <x v="6"/>
    <s v="K310"/>
    <s v="SISTEMA  DE TRANSPORTE PÚBLICO EFICIENTE"/>
    <s v="GI00K31000001D"/>
    <s v="GI00K31000001D MEJORAMIENTO DEL SERVICIO DEL SISTEMA ME"/>
    <s v="73 BIENES Y SERVICIOS PARA INVERSIÓN"/>
    <s v="730249 Eventos Públicos Promocionales"/>
    <s v="G/730249/3KK310"/>
    <s v="001"/>
    <n v="0"/>
    <n v="1276.8"/>
    <n v="0"/>
    <n v="1276.8"/>
    <n v="0"/>
    <n v="1276.8"/>
    <n v="1276.8"/>
    <n v="0"/>
    <n v="0"/>
    <n v="0"/>
  </r>
  <r>
    <s v="73"/>
    <x v="2"/>
    <x v="3"/>
    <s v="ZA01K000"/>
    <x v="6"/>
    <s v="K310"/>
    <s v="SISTEMA  DE TRANSPORTE PÚBLICO EFICIENTE"/>
    <s v="GI00K31000001D"/>
    <s v="GI00K31000001D MEJORAMIENTO DEL SERVICIO DEL SISTEMA ME"/>
    <s v="73 BIENES Y SERVICIOS PARA INVERSIÓN"/>
    <s v="730601 Consultoría, Asesoría e Investigación Es"/>
    <s v="G/730601/3KK310"/>
    <s v="001"/>
    <n v="740000"/>
    <n v="78506.399999999994"/>
    <n v="-598723"/>
    <n v="219783.4"/>
    <n v="626.02"/>
    <n v="197420.38"/>
    <n v="193907.22"/>
    <n v="22363.02"/>
    <n v="25876.18"/>
    <n v="21737"/>
  </r>
  <r>
    <s v="73"/>
    <x v="2"/>
    <x v="3"/>
    <s v="ZA01K000"/>
    <x v="6"/>
    <s v="K310"/>
    <s v="SISTEMA  DE TRANSPORTE PÚBLICO EFICIENTE"/>
    <s v="GI00K31000001D"/>
    <s v="GI00K31000001D MEJORAMIENTO DEL SERVICIO DEL SISTEMA ME"/>
    <s v="73 BIENES Y SERVICIOS PARA INVERSIÓN"/>
    <s v="730605 Estudio y Diseño de Proyectos"/>
    <s v="G/730605/3KK310"/>
    <s v="001"/>
    <n v="1100000"/>
    <n v="0"/>
    <n v="-1064305.26"/>
    <n v="35694.74"/>
    <n v="0"/>
    <n v="0"/>
    <n v="0"/>
    <n v="35694.74"/>
    <n v="35694.74"/>
    <n v="35694.74"/>
  </r>
  <r>
    <s v="73"/>
    <x v="2"/>
    <x v="3"/>
    <s v="ZA01K000"/>
    <x v="6"/>
    <s v="K310"/>
    <s v="SISTEMA  DE TRANSPORTE PÚBLICO EFICIENTE"/>
    <s v="GI00K31000001D"/>
    <s v="GI00K31000001D MEJORAMIENTO DEL SERVICIO DEL SISTEMA ME"/>
    <s v="73 BIENES Y SERVICIOS PARA INVERSIÓN"/>
    <s v="730606 Honorarios por Contratos Civiles de Servici"/>
    <s v="G/730606/3KK310"/>
    <s v="001"/>
    <n v="300000"/>
    <n v="0"/>
    <n v="0"/>
    <n v="300000"/>
    <n v="288198.40000000002"/>
    <n v="0"/>
    <n v="0"/>
    <n v="300000"/>
    <n v="300000"/>
    <n v="11801.6"/>
  </r>
  <r>
    <s v="73"/>
    <x v="0"/>
    <x v="0"/>
    <s v="ZA01A005"/>
    <x v="48"/>
    <s v="L101"/>
    <s v="GESTION INSTITUCIONAL EFICIENTE E INNOVADORA"/>
    <s v="GI00L10100001D"/>
    <s v="GI00L10100001D GESTION CATASTRAL"/>
    <s v="73 BIENES Y SERVICIOS PARA INVERSIÓN"/>
    <s v="730505 Vehículos (Arrendamiento)"/>
    <s v="G/730505/1AL101"/>
    <s v="002"/>
    <n v="32957.19"/>
    <n v="0"/>
    <n v="-32957.19"/>
    <n v="0"/>
    <n v="0"/>
    <n v="0"/>
    <n v="0"/>
    <n v="0"/>
    <n v="0"/>
    <n v="0"/>
  </r>
  <r>
    <s v="73"/>
    <x v="0"/>
    <x v="0"/>
    <s v="ZA01A005"/>
    <x v="48"/>
    <s v="L101"/>
    <s v="GESTION INSTITUCIONAL EFICIENTE E INNOVADORA"/>
    <s v="GI00L10100001D"/>
    <s v="GI00L10100001D GESTION CATASTRAL"/>
    <s v="73 BIENES Y SERVICIOS PARA INVERSIÓN"/>
    <s v="730505 Vehículos (Arrendamiento)"/>
    <s v="G/730505/1AL101"/>
    <s v="001"/>
    <n v="0"/>
    <n v="0"/>
    <n v="28123.52"/>
    <n v="28123.52"/>
    <n v="0"/>
    <n v="0"/>
    <n v="0"/>
    <n v="28123.52"/>
    <n v="28123.52"/>
    <n v="28123.52"/>
  </r>
  <r>
    <s v="73"/>
    <x v="0"/>
    <x v="0"/>
    <s v="ZA01A005"/>
    <x v="48"/>
    <s v="L101"/>
    <s v="GESTION INSTITUCIONAL EFICIENTE E INNOVADORA"/>
    <s v="GI00L10100001D"/>
    <s v="GI00L10100001D GESTION CATASTRAL"/>
    <s v="73 BIENES Y SERVICIOS PARA INVERSIÓN"/>
    <s v="730601 Consultoría, Asesoría e Investigación Es"/>
    <s v="G/730601/1AL101"/>
    <s v="002"/>
    <n v="34669.69"/>
    <n v="0"/>
    <n v="-34669.69"/>
    <n v="0"/>
    <n v="0"/>
    <n v="0"/>
    <n v="0"/>
    <n v="0"/>
    <n v="0"/>
    <n v="0"/>
  </r>
  <r>
    <s v="73"/>
    <x v="0"/>
    <x v="0"/>
    <s v="ZA01A005"/>
    <x v="48"/>
    <s v="L101"/>
    <s v="GESTION INSTITUCIONAL EFICIENTE E INNOVADORA"/>
    <s v="GI00L10100001D"/>
    <s v="GI00L10100001D GESTION CATASTRAL"/>
    <s v="73 BIENES Y SERVICIOS PARA INVERSIÓN"/>
    <s v="730606 Honorarios por Contratos Civiles de Servici"/>
    <s v="G/730606/1AL101"/>
    <s v="001"/>
    <n v="0"/>
    <n v="0"/>
    <n v="35829.96"/>
    <n v="35829.96"/>
    <n v="0"/>
    <n v="0"/>
    <n v="0"/>
    <n v="35829.96"/>
    <n v="35829.96"/>
    <n v="35829.96"/>
  </r>
  <r>
    <s v="73"/>
    <x v="0"/>
    <x v="0"/>
    <s v="ZA01A005"/>
    <x v="48"/>
    <s v="L101"/>
    <s v="GESTION INSTITUCIONAL EFICIENTE E INNOVADORA"/>
    <s v="GI00L10100001D"/>
    <s v="GI00L10100001D GESTION CATASTRAL"/>
    <s v="73 BIENES Y SERVICIOS PARA INVERSIÓN"/>
    <s v="730606 Honorarios por Contratos Civiles de Servici"/>
    <s v="G/730606/1AL101"/>
    <s v="002"/>
    <n v="629836.48"/>
    <n v="0"/>
    <n v="-35829.96"/>
    <n v="594006.52"/>
    <n v="0"/>
    <n v="594006.52"/>
    <n v="569218.59"/>
    <n v="0"/>
    <n v="24787.93"/>
    <n v="0"/>
  </r>
  <r>
    <s v="73"/>
    <x v="0"/>
    <x v="0"/>
    <s v="ZA01A005"/>
    <x v="48"/>
    <s v="L101"/>
    <s v="GESTION INSTITUCIONAL EFICIENTE E INNOVADORA"/>
    <s v="GI00L10100001D"/>
    <s v="GI00L10100001D GESTION CATASTRAL"/>
    <s v="73 BIENES Y SERVICIOS PARA INVERSIÓN"/>
    <s v="730610 Servicios de Cartografía"/>
    <s v="G/730610/1AL101"/>
    <s v="001"/>
    <n v="0"/>
    <n v="0"/>
    <n v="64941.54"/>
    <n v="64941.54"/>
    <n v="0"/>
    <n v="0"/>
    <n v="0"/>
    <n v="64941.54"/>
    <n v="64941.54"/>
    <n v="64941.54"/>
  </r>
  <r>
    <s v="73"/>
    <x v="0"/>
    <x v="0"/>
    <s v="ZA01A005"/>
    <x v="48"/>
    <s v="L101"/>
    <s v="GESTION INSTITUCIONAL EFICIENTE E INNOVADORA"/>
    <s v="GI00L10100001D"/>
    <s v="GI00L10100001D GESTION CATASTRAL"/>
    <s v="73 BIENES Y SERVICIOS PARA INVERSIÓN"/>
    <s v="730610 Servicios de Cartografía"/>
    <s v="G/730610/1AL101"/>
    <s v="002"/>
    <n v="1000000"/>
    <n v="250621.74"/>
    <n v="-1250621.74"/>
    <n v="0"/>
    <n v="0"/>
    <n v="0"/>
    <n v="0"/>
    <n v="0"/>
    <n v="0"/>
    <n v="0"/>
  </r>
  <r>
    <s v="73"/>
    <x v="0"/>
    <x v="0"/>
    <s v="ZA01A003"/>
    <x v="49"/>
    <s v="L101"/>
    <s v="GESTION INSTITUCIONAL EFICIENTE E INNOVADORA"/>
    <s v="GI00L10100005D"/>
    <s v="GI00L10100005D GESTIÓN FINANCIERA"/>
    <s v="73 BIENES Y SERVICIOS PARA INVERSIÓN"/>
    <s v="730701 Desarrollo, Actualización, Asistencia Té"/>
    <s v="G/730701/1AL101"/>
    <s v="002"/>
    <n v="500000"/>
    <n v="0"/>
    <n v="-500000"/>
    <n v="0"/>
    <n v="0"/>
    <n v="0"/>
    <n v="0"/>
    <n v="0"/>
    <n v="0"/>
    <n v="0"/>
  </r>
  <r>
    <s v="73"/>
    <x v="0"/>
    <x v="0"/>
    <s v="RP36A010"/>
    <x v="0"/>
    <s v="L101"/>
    <s v="GESTION INSTITUCIONAL EFICIENTE E INNOVADORA"/>
    <s v="GI00L10100009D"/>
    <s v="GI00L10100009D MODERNIZACION INTEGRAL DEL REGISTRO DE L"/>
    <s v="73 BIENES Y SERVICIOS PARA INVERSIÓN"/>
    <s v="730204 Edición, Impresión, Reproducción, Public"/>
    <s v="G/730204/1AL101"/>
    <s v="002"/>
    <n v="13000"/>
    <n v="-1000"/>
    <n v="-12000"/>
    <n v="0"/>
    <n v="0"/>
    <n v="0"/>
    <n v="0"/>
    <n v="0"/>
    <n v="0"/>
    <n v="0"/>
  </r>
  <r>
    <s v="73"/>
    <x v="0"/>
    <x v="0"/>
    <s v="RP36A010"/>
    <x v="0"/>
    <s v="L101"/>
    <s v="GESTION INSTITUCIONAL EFICIENTE E INNOVADORA"/>
    <s v="GI00L10100009D"/>
    <s v="GI00L10100009D MODERNIZACION INTEGRAL DEL REGISTRO DE L"/>
    <s v="73 BIENES Y SERVICIOS PARA INVERSIÓN"/>
    <s v="730207 Difusión, Información y Publicidad"/>
    <s v="G/730207/1AL101"/>
    <s v="002"/>
    <n v="8000"/>
    <n v="-1000"/>
    <n v="-7000"/>
    <n v="0"/>
    <n v="0"/>
    <n v="0"/>
    <n v="0"/>
    <n v="0"/>
    <n v="0"/>
    <n v="0"/>
  </r>
  <r>
    <s v="73"/>
    <x v="0"/>
    <x v="0"/>
    <s v="RP36A010"/>
    <x v="0"/>
    <s v="L101"/>
    <s v="GESTION INSTITUCIONAL EFICIENTE E INNOVADORA"/>
    <s v="GI00L10100009D"/>
    <s v="GI00L10100009D MODERNIZACION INTEGRAL DEL REGISTRO DE L"/>
    <s v="73 BIENES Y SERVICIOS PARA INVERSIÓN"/>
    <s v="730222 Servicios y Derechos en Producción y Progra"/>
    <s v="G/730222/1AL101"/>
    <s v="002"/>
    <n v="48000"/>
    <n v="0"/>
    <n v="-24000"/>
    <n v="24000"/>
    <n v="24000"/>
    <n v="0"/>
    <n v="0"/>
    <n v="24000"/>
    <n v="24000"/>
    <n v="0"/>
  </r>
  <r>
    <s v="73"/>
    <x v="0"/>
    <x v="0"/>
    <s v="RP36A010"/>
    <x v="0"/>
    <s v="L101"/>
    <s v="GESTION INSTITUCIONAL EFICIENTE E INNOVADORA"/>
    <s v="GI00L10100009D"/>
    <s v="GI00L10100009D MODERNIZACION INTEGRAL DEL REGISTRO DE L"/>
    <s v="73 BIENES Y SERVICIOS PARA INVERSIÓN"/>
    <s v="730230 Digitalización de Información y Datos Públi"/>
    <s v="G/730230/1AL101"/>
    <s v="002"/>
    <n v="0"/>
    <n v="62655.22"/>
    <n v="0"/>
    <n v="62655.22"/>
    <n v="0"/>
    <n v="62655.22"/>
    <n v="24554.77"/>
    <n v="0"/>
    <n v="38100.449999999997"/>
    <n v="0"/>
  </r>
  <r>
    <s v="73"/>
    <x v="0"/>
    <x v="0"/>
    <s v="RP36A010"/>
    <x v="0"/>
    <s v="L101"/>
    <s v="GESTION INSTITUCIONAL EFICIENTE E INNOVADORA"/>
    <s v="GI00L10100009D"/>
    <s v="GI00L10100009D MODERNIZACION INTEGRAL DEL REGISTRO DE L"/>
    <s v="73 BIENES Y SERVICIOS PARA INVERSIÓN"/>
    <s v="730404 Maquinarias y Equipos (Instalación, Mant"/>
    <s v="G/730404/1AL101"/>
    <s v="002"/>
    <n v="200"/>
    <n v="0"/>
    <n v="-200"/>
    <n v="0"/>
    <n v="0"/>
    <n v="0"/>
    <n v="0"/>
    <n v="0"/>
    <n v="0"/>
    <n v="0"/>
  </r>
  <r>
    <s v="73"/>
    <x v="0"/>
    <x v="0"/>
    <s v="RP36A010"/>
    <x v="0"/>
    <s v="L101"/>
    <s v="GESTION INSTITUCIONAL EFICIENTE E INNOVADORA"/>
    <s v="GI00L10100009D"/>
    <s v="GI00L10100009D MODERNIZACION INTEGRAL DEL REGISTRO DE L"/>
    <s v="73 BIENES Y SERVICIOS PARA INVERSIÓN"/>
    <s v="730601 Consultoría, Asesoría e Investigación Es"/>
    <s v="G/730601/1AL101"/>
    <s v="002"/>
    <n v="0"/>
    <n v="17598.03"/>
    <n v="-17598.03"/>
    <n v="0"/>
    <n v="0"/>
    <n v="0"/>
    <n v="0"/>
    <n v="0"/>
    <n v="0"/>
    <n v="0"/>
  </r>
  <r>
    <s v="73"/>
    <x v="0"/>
    <x v="0"/>
    <s v="RP36A010"/>
    <x v="0"/>
    <s v="L101"/>
    <s v="GESTION INSTITUCIONAL EFICIENTE E INNOVADORA"/>
    <s v="GI00L10100009D"/>
    <s v="GI00L10100009D MODERNIZACION INTEGRAL DEL REGISTRO DE L"/>
    <s v="73 BIENES Y SERVICIOS PARA INVERSIÓN"/>
    <s v="730602 Servicio de Auditoría"/>
    <s v="G/730602/1AL101"/>
    <s v="002"/>
    <n v="10000"/>
    <n v="30000"/>
    <n v="-40000"/>
    <n v="0"/>
    <n v="0"/>
    <n v="0"/>
    <n v="0"/>
    <n v="0"/>
    <n v="0"/>
    <n v="0"/>
  </r>
  <r>
    <s v="73"/>
    <x v="0"/>
    <x v="0"/>
    <s v="RP36A010"/>
    <x v="0"/>
    <s v="L101"/>
    <s v="GESTION INSTITUCIONAL EFICIENTE E INNOVADORA"/>
    <s v="GI00L10100009D"/>
    <s v="GI00L10100009D MODERNIZACION INTEGRAL DEL REGISTRO DE L"/>
    <s v="73 BIENES Y SERVICIOS PARA INVERSIÓN"/>
    <s v="730701 Desarrollo, Actualización, Asistencia Té"/>
    <s v="G/730701/1AL101"/>
    <s v="002"/>
    <n v="202800"/>
    <n v="-196472"/>
    <n v="0"/>
    <n v="6328"/>
    <n v="6328"/>
    <n v="0"/>
    <n v="0"/>
    <n v="6328"/>
    <n v="6328"/>
    <n v="0"/>
  </r>
  <r>
    <s v="73"/>
    <x v="0"/>
    <x v="0"/>
    <s v="RP36A010"/>
    <x v="0"/>
    <s v="A101"/>
    <s v="FORTALECIMIENTO INSTITUCIONAL"/>
    <s v="GI00L10100009D"/>
    <s v="GI00L10100009D MODERNIZACION INTEGRAL DEL REGISTRO DE L"/>
    <s v="73 BIENES Y SERVICIOS PARA INVERSIÓN"/>
    <s v="730702 Arrendamiento y Licencias de Uso de Paquete"/>
    <s v="G/730702/1AA101"/>
    <s v="002"/>
    <n v="0"/>
    <n v="6036.8"/>
    <n v="-6036.8"/>
    <n v="0"/>
    <n v="0"/>
    <n v="0"/>
    <n v="0"/>
    <n v="0"/>
    <n v="0"/>
    <n v="0"/>
  </r>
  <r>
    <s v="73"/>
    <x v="0"/>
    <x v="0"/>
    <s v="RP36A010"/>
    <x v="0"/>
    <s v="A101"/>
    <s v="FORTALECIMIENTO INSTITUCIONAL"/>
    <s v="GI00L10100009D"/>
    <s v="GI00L10100009D MODERNIZACION INTEGRAL DEL REGISTRO DE L"/>
    <s v="73 BIENES Y SERVICIOS PARA INVERSIÓN"/>
    <s v="730702 Arrendamiento y Licencias de Uso de Paquete"/>
    <s v="G/730702/1AA101"/>
    <s v="001"/>
    <n v="0"/>
    <n v="-6036.8"/>
    <n v="6036.8"/>
    <n v="0"/>
    <n v="0"/>
    <n v="0"/>
    <n v="0"/>
    <n v="0"/>
    <n v="0"/>
    <n v="0"/>
  </r>
  <r>
    <s v="73"/>
    <x v="0"/>
    <x v="0"/>
    <s v="RP36A010"/>
    <x v="0"/>
    <s v="L101"/>
    <s v="GESTION INSTITUCIONAL EFICIENTE E INNOVADORA"/>
    <s v="GI00L10100009D"/>
    <s v="GI00L10100009D MODERNIZACION INTEGRAL DEL REGISTRO DE L"/>
    <s v="73 BIENES Y SERVICIOS PARA INVERSIÓN"/>
    <s v="730702 Arrendamiento y Licencias de Uso de Paquete"/>
    <s v="G/730702/1AL101"/>
    <s v="002"/>
    <n v="0"/>
    <n v="7033.6"/>
    <n v="0"/>
    <n v="7033.6"/>
    <n v="0"/>
    <n v="0"/>
    <n v="0"/>
    <n v="7033.6"/>
    <n v="7033.6"/>
    <n v="7033.6"/>
  </r>
  <r>
    <s v="73"/>
    <x v="0"/>
    <x v="0"/>
    <s v="RP36A010"/>
    <x v="0"/>
    <s v="L101"/>
    <s v="GESTION INSTITUCIONAL EFICIENTE E INNOVADORA"/>
    <s v="GI00L10100009D"/>
    <s v="GI00L10100009D MODERNIZACION INTEGRAL DEL REGISTRO DE L"/>
    <s v="73 BIENES Y SERVICIOS PARA INVERSIÓN"/>
    <s v="730704 Mantenimiento y Reparación de Equipos y"/>
    <s v="G/730704/1AL101"/>
    <s v="002"/>
    <n v="28125"/>
    <n v="0"/>
    <n v="-28125"/>
    <n v="0"/>
    <n v="0"/>
    <n v="0"/>
    <n v="0"/>
    <n v="0"/>
    <n v="0"/>
    <n v="0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105 Telecomunicaciones"/>
    <s v="G/730105/1BL101"/>
    <s v="002"/>
    <n v="24000"/>
    <n v="-16000"/>
    <n v="-8000"/>
    <n v="0"/>
    <n v="0"/>
    <n v="0"/>
    <n v="0"/>
    <n v="0"/>
    <n v="0"/>
    <n v="0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105 Telecomunicaciones"/>
    <s v="G/730105/1BL101"/>
    <s v="001"/>
    <n v="0"/>
    <n v="0"/>
    <n v="8000"/>
    <n v="8000"/>
    <n v="0"/>
    <n v="0"/>
    <n v="0"/>
    <n v="8000"/>
    <n v="8000"/>
    <n v="8000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106 Servicio de Correo"/>
    <s v="G/730106/1BL101"/>
    <s v="002"/>
    <n v="500000"/>
    <n v="-500000"/>
    <n v="0"/>
    <n v="0"/>
    <n v="0"/>
    <n v="0"/>
    <n v="0"/>
    <n v="0"/>
    <n v="0"/>
    <n v="0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204 Edición, Impresión, Reproducción, Public"/>
    <s v="G/730204/1BL101"/>
    <s v="002"/>
    <n v="17000"/>
    <n v="-2000"/>
    <n v="-260.8"/>
    <n v="14739.2"/>
    <n v="0"/>
    <n v="14739.2"/>
    <n v="6899.2"/>
    <n v="0"/>
    <n v="7840"/>
    <n v="0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204 Edición, Impresión, Reproducción, Public"/>
    <s v="G/730204/1BL101"/>
    <s v="001"/>
    <n v="0"/>
    <n v="0"/>
    <n v="260.8"/>
    <n v="260.8"/>
    <n v="0"/>
    <n v="0"/>
    <n v="0"/>
    <n v="260.8"/>
    <n v="260.8"/>
    <n v="260.8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207 Difusión, Información y Publicidad"/>
    <s v="G/730207/1BL101"/>
    <s v="002"/>
    <n v="399519.96"/>
    <n v="-351359.96"/>
    <n v="0"/>
    <n v="48160"/>
    <n v="0"/>
    <n v="48160"/>
    <n v="48160"/>
    <n v="0"/>
    <n v="0"/>
    <n v="0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208 Servicio de Seguridad y Vigilancia"/>
    <s v="G/730208/1BL101"/>
    <s v="002"/>
    <n v="0"/>
    <n v="17984.82"/>
    <n v="-17984.82"/>
    <n v="0"/>
    <n v="0"/>
    <n v="0"/>
    <n v="0"/>
    <n v="0"/>
    <n v="0"/>
    <n v="0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208 Servicio de Seguridad y Vigilancia"/>
    <s v="G/730208/1BL101"/>
    <s v="001"/>
    <n v="0"/>
    <n v="0"/>
    <n v="17984.82"/>
    <n v="17984.82"/>
    <n v="0"/>
    <n v="0"/>
    <n v="0"/>
    <n v="17984.82"/>
    <n v="17984.82"/>
    <n v="17984.82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230 Digitalización de Información y Datos Públi"/>
    <s v="G/730230/1BL101"/>
    <s v="002"/>
    <n v="173752.32000000001"/>
    <n v="-173752.32000000001"/>
    <n v="0"/>
    <n v="0"/>
    <n v="0"/>
    <n v="0"/>
    <n v="0"/>
    <n v="0"/>
    <n v="0"/>
    <n v="0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249 Eventos Públicos Promocionales"/>
    <s v="G/730249/1BL101"/>
    <s v="002"/>
    <n v="40000"/>
    <n v="-40000"/>
    <n v="0"/>
    <n v="0"/>
    <n v="0"/>
    <n v="0"/>
    <n v="0"/>
    <n v="0"/>
    <n v="0"/>
    <n v="0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303 Viáticos y Subsistencias en el Interior"/>
    <s v="G/730303/1BL101"/>
    <s v="001"/>
    <n v="0"/>
    <n v="0"/>
    <n v="8000"/>
    <n v="8000"/>
    <n v="0"/>
    <n v="0"/>
    <n v="0"/>
    <n v="8000"/>
    <n v="8000"/>
    <n v="8000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303 Viáticos y Subsistencias en el Interior"/>
    <s v="G/730303/1BL101"/>
    <s v="002"/>
    <n v="8000"/>
    <n v="0"/>
    <n v="-8000"/>
    <n v="0"/>
    <n v="0"/>
    <n v="0"/>
    <n v="0"/>
    <n v="0"/>
    <n v="0"/>
    <n v="0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505 Vehículos (Arrendamiento)"/>
    <s v="G/730505/1BL101"/>
    <s v="001"/>
    <n v="0"/>
    <n v="0"/>
    <n v="70000"/>
    <n v="70000"/>
    <n v="0"/>
    <n v="0"/>
    <n v="0"/>
    <n v="70000"/>
    <n v="70000"/>
    <n v="70000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505 Vehículos (Arrendamiento)"/>
    <s v="G/730505/1BL101"/>
    <s v="002"/>
    <n v="1923400.16"/>
    <n v="-1170468.73"/>
    <n v="-70000"/>
    <n v="682931.43"/>
    <n v="0"/>
    <n v="682931.43"/>
    <n v="511702.12"/>
    <n v="0"/>
    <n v="171229.31"/>
    <n v="0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601 Consultoría, Asesoría e Investigación Es"/>
    <s v="G/730601/1BL101"/>
    <s v="002"/>
    <n v="146689"/>
    <n v="-146689"/>
    <n v="0"/>
    <n v="0"/>
    <n v="0"/>
    <n v="0"/>
    <n v="0"/>
    <n v="0"/>
    <n v="0"/>
    <n v="0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606 Honorarios por Contratos Civiles de Servici"/>
    <s v="G/730606/1BL101"/>
    <s v="002"/>
    <n v="27157.15"/>
    <n v="-27157.15"/>
    <n v="0"/>
    <n v="0"/>
    <n v="0"/>
    <n v="0"/>
    <n v="0"/>
    <n v="0"/>
    <n v="0"/>
    <n v="0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701 Desarrollo, Actualización, Asistencia Té"/>
    <s v="G/730701/1BL101"/>
    <s v="002"/>
    <n v="30000"/>
    <n v="576585.35"/>
    <n v="-606585.35"/>
    <n v="0"/>
    <n v="0"/>
    <n v="0"/>
    <n v="0"/>
    <n v="0"/>
    <n v="0"/>
    <n v="0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702 Arrendamiento y Licencias de Uso de Paquete"/>
    <s v="G/730702/1BL101"/>
    <s v="002"/>
    <n v="5000"/>
    <n v="-3499.2"/>
    <n v="0"/>
    <n v="1500.8"/>
    <n v="0"/>
    <n v="1500.8"/>
    <n v="1500.8"/>
    <n v="0"/>
    <n v="0"/>
    <n v="0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802 Vestuario, Lencería, Prendas de Protecci"/>
    <s v="G/730802/1BL101"/>
    <s v="001"/>
    <n v="0"/>
    <n v="0"/>
    <n v="10928.63"/>
    <n v="10928.63"/>
    <n v="0"/>
    <n v="0"/>
    <n v="0"/>
    <n v="10928.63"/>
    <n v="10928.63"/>
    <n v="10928.63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802 Vestuario, Lencería, Prendas de Protecci"/>
    <s v="G/730802/1BL101"/>
    <s v="002"/>
    <n v="52955"/>
    <n v="15000"/>
    <n v="-10928.63"/>
    <n v="57026.37"/>
    <n v="44352"/>
    <n v="12674.37"/>
    <n v="7815.36"/>
    <n v="44352"/>
    <n v="49211.01"/>
    <n v="0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805 Materiales de Aseo"/>
    <s v="G/730805/1BL101"/>
    <s v="002"/>
    <n v="0"/>
    <n v="7000"/>
    <n v="-4957"/>
    <n v="2043"/>
    <n v="0"/>
    <n v="2043"/>
    <n v="2043"/>
    <n v="0"/>
    <n v="0"/>
    <n v="0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805 Materiales de Aseo"/>
    <s v="G/730805/1BL101"/>
    <s v="001"/>
    <n v="0"/>
    <n v="0"/>
    <n v="4957"/>
    <n v="4957"/>
    <n v="0"/>
    <n v="0"/>
    <n v="0"/>
    <n v="4957"/>
    <n v="4957"/>
    <n v="4957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820 Menaje y Accesorios Descartables"/>
    <s v="G/730820/1BL101"/>
    <s v="001"/>
    <n v="0"/>
    <n v="0"/>
    <n v="2195.5300000000002"/>
    <n v="2195.5300000000002"/>
    <n v="0"/>
    <n v="0"/>
    <n v="0"/>
    <n v="2195.5300000000002"/>
    <n v="2195.5300000000002"/>
    <n v="2195.5300000000002"/>
  </r>
  <r>
    <s v="73"/>
    <x v="0"/>
    <x v="12"/>
    <s v="MC37B000"/>
    <x v="21"/>
    <s v="L101"/>
    <s v="GESTION INSTITUCIONAL EFICIENTE E INNOVADORA"/>
    <s v="GI00L10100010D"/>
    <s v="GI00L10100010D CONTROL DE CUMPLIMIENTO DE LA NORMATIVA"/>
    <s v="73 BIENES Y SERVICIOS PARA INVERSIÓN"/>
    <s v="730820 Menaje y Accesorios Descartables"/>
    <s v="G/730820/1BL101"/>
    <s v="002"/>
    <n v="0"/>
    <n v="2195.5300000000002"/>
    <n v="-2195.5300000000002"/>
    <n v="0"/>
    <n v="0"/>
    <n v="0"/>
    <n v="0"/>
    <n v="0"/>
    <n v="0"/>
    <n v="0"/>
  </r>
  <r>
    <s v="73"/>
    <x v="0"/>
    <x v="14"/>
    <s v="ZA01E000"/>
    <x v="23"/>
    <s v="L101"/>
    <s v="GESTION INSTITUCIONAL EFICIENTE E INNOVADORA"/>
    <s v="GI00L10100011D"/>
    <s v="GI00L10100011D DIFUSION DE LA GESTION INSTITUCIONAL"/>
    <s v="73 BIENES Y SERVICIOS PARA INVERSIÓN"/>
    <s v="730105 Telecomunicaciones"/>
    <s v="G/730105/1EL101"/>
    <s v="002"/>
    <n v="0"/>
    <n v="1344"/>
    <n v="0"/>
    <n v="1344"/>
    <n v="0"/>
    <n v="1344"/>
    <n v="0"/>
    <n v="0"/>
    <n v="1344"/>
    <n v="0"/>
  </r>
  <r>
    <s v="73"/>
    <x v="0"/>
    <x v="14"/>
    <s v="ZA01E000"/>
    <x v="23"/>
    <s v="L101"/>
    <s v="GESTION INSTITUCIONAL EFICIENTE E INNOVADORA"/>
    <s v="GI00L10100011D"/>
    <s v="GI00L10100011D DIFUSION DE LA GESTION INSTITUCIONAL"/>
    <s v="73 BIENES Y SERVICIOS PARA INVERSIÓN"/>
    <s v="730207 Difusión, Información y Publicidad"/>
    <s v="G/730207/1EL101"/>
    <s v="002"/>
    <n v="2843600"/>
    <n v="35600"/>
    <n v="-410124.14"/>
    <n v="2469075.86"/>
    <n v="16032.18"/>
    <n v="2453043.6800000002"/>
    <n v="1200125.05"/>
    <n v="16032.18"/>
    <n v="1268950.81"/>
    <n v="0"/>
  </r>
  <r>
    <s v="73"/>
    <x v="0"/>
    <x v="14"/>
    <s v="ZA01E000"/>
    <x v="23"/>
    <s v="L101"/>
    <s v="GESTION INSTITUCIONAL EFICIENTE E INNOVADORA"/>
    <s v="GI00L10100011D"/>
    <s v="GI00L10100011D DIFUSION DE LA GESTION INSTITUCIONAL"/>
    <s v="73 BIENES Y SERVICIOS PARA INVERSIÓN"/>
    <s v="730207 Difusión, Información y Publicidad"/>
    <s v="G/730207/1EL101"/>
    <s v="001"/>
    <n v="0"/>
    <n v="0"/>
    <n v="204988.14"/>
    <n v="204988.14"/>
    <n v="0"/>
    <n v="0"/>
    <n v="0"/>
    <n v="204988.14"/>
    <n v="204988.14"/>
    <n v="204988.14"/>
  </r>
  <r>
    <s v="73"/>
    <x v="0"/>
    <x v="14"/>
    <s v="ZA01E000"/>
    <x v="23"/>
    <s v="L101"/>
    <s v="GESTION INSTITUCIONAL EFICIENTE E INNOVADORA"/>
    <s v="GI00L10100011D"/>
    <s v="GI00L10100011D DIFUSION DE LA GESTION INSTITUCIONAL"/>
    <s v="73 BIENES Y SERVICIOS PARA INVERSIÓN"/>
    <s v="730222 Servicios y Derechos en Producción y Progra"/>
    <s v="G/730222/1EL101"/>
    <s v="001"/>
    <n v="0"/>
    <n v="0"/>
    <n v="68"/>
    <n v="68"/>
    <n v="0"/>
    <n v="0"/>
    <n v="0"/>
    <n v="68"/>
    <n v="68"/>
    <n v="68"/>
  </r>
  <r>
    <s v="73"/>
    <x v="0"/>
    <x v="14"/>
    <s v="ZA01E000"/>
    <x v="23"/>
    <s v="L101"/>
    <s v="GESTION INSTITUCIONAL EFICIENTE E INNOVADORA"/>
    <s v="GI00L10100011D"/>
    <s v="GI00L10100011D DIFUSION DE LA GESTION INSTITUCIONAL"/>
    <s v="73 BIENES Y SERVICIOS PARA INVERSIÓN"/>
    <s v="730222 Servicios y Derechos en Producción y Progra"/>
    <s v="G/730222/1EL101"/>
    <s v="002"/>
    <n v="600480"/>
    <n v="200000"/>
    <n v="-11995.04"/>
    <n v="788484.96"/>
    <n v="47.99"/>
    <n v="788436.97"/>
    <n v="514411.51"/>
    <n v="47.99"/>
    <n v="274073.45"/>
    <n v="0"/>
  </r>
  <r>
    <s v="73"/>
    <x v="0"/>
    <x v="14"/>
    <s v="ZA01E000"/>
    <x v="23"/>
    <s v="L101"/>
    <s v="GESTION INSTITUCIONAL EFICIENTE E INNOVADORA"/>
    <s v="GI00L10100011D"/>
    <s v="GI00L10100011D DIFUSION DE LA GESTION INSTITUCIONAL"/>
    <s v="73 BIENES Y SERVICIOS PARA INVERSIÓN"/>
    <s v="730241 Servicios de Monitoreo de la Información en"/>
    <s v="G/730241/1EL101"/>
    <s v="002"/>
    <n v="40064"/>
    <n v="0"/>
    <n v="-2688"/>
    <n v="37376"/>
    <n v="12.8"/>
    <n v="37363.199999999997"/>
    <n v="28083.23"/>
    <n v="12.8"/>
    <n v="9292.77"/>
    <n v="0"/>
  </r>
  <r>
    <s v="73"/>
    <x v="0"/>
    <x v="14"/>
    <s v="ZA01E000"/>
    <x v="23"/>
    <s v="L101"/>
    <s v="GESTION INSTITUCIONAL EFICIENTE E INNOVADORA"/>
    <s v="GI00L10100011D"/>
    <s v="GI00L10100011D DIFUSION DE LA GESTION INSTITUCIONAL"/>
    <s v="73 BIENES Y SERVICIOS PARA INVERSIÓN"/>
    <s v="730248 Eventos Oficiales"/>
    <s v="G/730248/1EL101"/>
    <s v="002"/>
    <n v="370000"/>
    <n v="-235600"/>
    <n v="0"/>
    <n v="134400"/>
    <n v="0"/>
    <n v="134400"/>
    <n v="16803.36"/>
    <n v="0"/>
    <n v="117596.64"/>
    <n v="0"/>
  </r>
  <r>
    <s v="73"/>
    <x v="0"/>
    <x v="14"/>
    <s v="ZA01E000"/>
    <x v="23"/>
    <s v="L101"/>
    <s v="GESTION INSTITUCIONAL EFICIENTE E INNOVADORA"/>
    <s v="GI00L10100011D"/>
    <s v="GI00L10100011D DIFUSION DE LA GESTION INSTITUCIONAL"/>
    <s v="73 BIENES Y SERVICIOS PARA INVERSIÓN"/>
    <s v="730404 Maquinarias y Equipos (Instalación, Mant"/>
    <s v="G/730404/1EL101"/>
    <s v="001"/>
    <n v="0"/>
    <n v="0"/>
    <n v="11200"/>
    <n v="11200"/>
    <n v="0"/>
    <n v="0"/>
    <n v="0"/>
    <n v="11200"/>
    <n v="11200"/>
    <n v="11200"/>
  </r>
  <r>
    <s v="73"/>
    <x v="0"/>
    <x v="14"/>
    <s v="ZA01E000"/>
    <x v="23"/>
    <s v="L101"/>
    <s v="GESTION INSTITUCIONAL EFICIENTE E INNOVADORA"/>
    <s v="GI00L10100011D"/>
    <s v="GI00L10100011D DIFUSION DE LA GESTION INSTITUCIONAL"/>
    <s v="73 BIENES Y SERVICIOS PARA INVERSIÓN"/>
    <s v="730404 Maquinarias y Equipos (Instalación, Mant"/>
    <s v="G/730404/1EL101"/>
    <s v="002"/>
    <n v="11200"/>
    <n v="0"/>
    <n v="-11200"/>
    <n v="0"/>
    <n v="0"/>
    <n v="0"/>
    <n v="0"/>
    <n v="0"/>
    <n v="0"/>
    <n v="0"/>
  </r>
  <r>
    <s v="73"/>
    <x v="0"/>
    <x v="14"/>
    <s v="ZA01E000"/>
    <x v="23"/>
    <s v="L101"/>
    <s v="GESTION INSTITUCIONAL EFICIENTE E INNOVADORA"/>
    <s v="GI00L10100011D"/>
    <s v="GI00L10100011D DIFUSION DE LA GESTION INSTITUCIONAL"/>
    <s v="73 BIENES Y SERVICIOS PARA INVERSIÓN"/>
    <s v="730701 Desarrollo, Actualización, Asistencia Té"/>
    <s v="G/730701/1EL101"/>
    <s v="002"/>
    <n v="100000"/>
    <n v="0"/>
    <n v="-100000"/>
    <n v="0"/>
    <n v="0"/>
    <n v="0"/>
    <n v="0"/>
    <n v="0"/>
    <n v="0"/>
    <n v="0"/>
  </r>
  <r>
    <s v="73"/>
    <x v="0"/>
    <x v="14"/>
    <s v="ZA01E000"/>
    <x v="23"/>
    <s v="L101"/>
    <s v="GESTION INSTITUCIONAL EFICIENTE E INNOVADORA"/>
    <s v="GI00L10100011D"/>
    <s v="GI00L10100011D DIFUSION DE LA GESTION INSTITUCIONAL"/>
    <s v="73 BIENES Y SERVICIOS PARA INVERSIÓN"/>
    <s v="730701 Desarrollo, Actualización, Asistencia Té"/>
    <s v="G/730701/1EL101"/>
    <s v="001"/>
    <n v="0"/>
    <n v="0"/>
    <n v="36400"/>
    <n v="36400"/>
    <n v="0"/>
    <n v="0"/>
    <n v="0"/>
    <n v="36400"/>
    <n v="36400"/>
    <n v="36400"/>
  </r>
  <r>
    <s v="73"/>
    <x v="0"/>
    <x v="14"/>
    <s v="ZA01E000"/>
    <x v="23"/>
    <s v="L101"/>
    <s v="GESTION INSTITUCIONAL EFICIENTE E INNOVADORA"/>
    <s v="GI00L10100011D"/>
    <s v="GI00L10100011D DIFUSION DE LA GESTION INSTITUCIONAL"/>
    <s v="73 BIENES Y SERVICIOS PARA INVERSIÓN"/>
    <s v="730702 Arrendamiento y Licencias de Uso de Paquete"/>
    <s v="G/730702/1EL101"/>
    <s v="002"/>
    <n v="800"/>
    <n v="0"/>
    <n v="-800"/>
    <n v="0"/>
    <n v="0"/>
    <n v="0"/>
    <n v="0"/>
    <n v="0"/>
    <n v="0"/>
    <n v="0"/>
  </r>
  <r>
    <s v="73"/>
    <x v="0"/>
    <x v="4"/>
    <s v="ZA01L010"/>
    <x v="59"/>
    <s v="L101"/>
    <s v="GESTION INSTITUCIONAL EFICIENTE E INNOVADORA"/>
    <s v="GI00L10100015D"/>
    <s v="GI00L10100015D CAPACITACION, FORMACION Y DESARROLLO DEL"/>
    <s v="73 BIENES Y SERVICIOS PARA INVERSIÓN"/>
    <s v="730612 Capacitación a Servidores Públicos"/>
    <s v="G/730612/1LL101"/>
    <s v="002"/>
    <n v="210528.03"/>
    <n v="0"/>
    <n v="-206478.03"/>
    <n v="4050"/>
    <n v="0"/>
    <n v="4050"/>
    <n v="4050"/>
    <n v="0"/>
    <n v="0"/>
    <n v="0"/>
  </r>
  <r>
    <s v="73"/>
    <x v="0"/>
    <x v="4"/>
    <s v="ZA01L000"/>
    <x v="7"/>
    <s v="L101"/>
    <s v="GESTION INSTITUCIONAL EFICIENTE E INNOVADORA"/>
    <s v="GI00L10100017D"/>
    <s v="GI00L10100017D PLANIFICACION, SEGUIMIENTO Y EVALUACION"/>
    <s v="73 BIENES Y SERVICIOS PARA INVERSIÓN"/>
    <s v="730606 Honorarios por Contratos Civiles de Servici"/>
    <s v="G/730606/1LL101"/>
    <s v="002"/>
    <n v="20000"/>
    <n v="-140"/>
    <n v="-19860"/>
    <n v="0"/>
    <n v="0"/>
    <n v="0"/>
    <n v="0"/>
    <n v="0"/>
    <n v="0"/>
    <n v="0"/>
  </r>
  <r>
    <s v="73"/>
    <x v="0"/>
    <x v="4"/>
    <s v="ZA01L000"/>
    <x v="7"/>
    <s v="L101"/>
    <s v="GESTION INSTITUCIONAL EFICIENTE E INNOVADORA"/>
    <s v="GI00L10100024D"/>
    <s v="GI00L10100024D MEJORA CONTINUA DE PROCESOS"/>
    <s v="73 BIENES Y SERVICIOS PARA INVERSIÓN"/>
    <s v="730601 Consultoría, Asesoría e Investigación Es"/>
    <s v="G/730601/1LL101"/>
    <s v="002"/>
    <n v="60000"/>
    <n v="0"/>
    <n v="-60000"/>
    <n v="0"/>
    <n v="0"/>
    <n v="0"/>
    <n v="0"/>
    <n v="0"/>
    <n v="0"/>
    <n v="0"/>
  </r>
  <r>
    <s v="73"/>
    <x v="0"/>
    <x v="4"/>
    <s v="ZA01L000"/>
    <x v="7"/>
    <s v="L101"/>
    <s v="GESTION INSTITUCIONAL EFICIENTE E INNOVADORA"/>
    <s v="GI00L10100025D"/>
    <s v="GI00L10100025D IMPLEMENTACIÓN DE UN PLAN PARA MEJORAR L"/>
    <s v="73 BIENES Y SERVICIOS PARA INVERSIÓN"/>
    <s v="730601 Consultoría, Asesoría e Investigación Es"/>
    <s v="G/730601/1LL101"/>
    <s v="002"/>
    <n v="40000"/>
    <n v="0"/>
    <n v="-40000"/>
    <n v="0"/>
    <n v="0"/>
    <n v="0"/>
    <n v="0"/>
    <n v="0"/>
    <n v="0"/>
    <n v="0"/>
  </r>
  <r>
    <s v="73"/>
    <x v="0"/>
    <x v="4"/>
    <s v="ZA01L000"/>
    <x v="7"/>
    <s v="L101"/>
    <s v="GESTION INSTITUCIONAL EFICIENTE E INNOVADORA"/>
    <s v="GI00L10100027D"/>
    <s v="GI00L10100027D SISTEMA METROPOLITANO DE INFORMACIÓN DEL"/>
    <s v="73 BIENES Y SERVICIOS PARA INVERSIÓN"/>
    <s v="730702 Arrendamiento y Licencias de Uso de Paquete"/>
    <s v="G/730702/1LL101"/>
    <s v="002"/>
    <n v="0"/>
    <n v="140"/>
    <n v="-16.64"/>
    <n v="123.36"/>
    <n v="0"/>
    <n v="123.36"/>
    <n v="123.36"/>
    <n v="0"/>
    <n v="0"/>
    <n v="0"/>
  </r>
  <r>
    <s v="73"/>
    <x v="0"/>
    <x v="1"/>
    <s v="ZA01C060"/>
    <x v="12"/>
    <s v="L101"/>
    <s v="GESTION INSTITUCIONAL EFICIENTE E INNOVADORA"/>
    <s v="GI00L10100031D"/>
    <s v="GI00L10100031D PLANEACIÓN DE DESARROLLO"/>
    <s v="73 BIENES Y SERVICIOS PARA INVERSIÓN"/>
    <s v="730204 Edición, Impresión, Reproducción, Public"/>
    <s v="G/730204/1CL101"/>
    <s v="002"/>
    <n v="38630.15"/>
    <n v="-22400"/>
    <n v="-16230.15"/>
    <n v="0"/>
    <n v="0"/>
    <n v="0"/>
    <n v="0"/>
    <n v="0"/>
    <n v="0"/>
    <n v="0"/>
  </r>
  <r>
    <s v="73"/>
    <x v="0"/>
    <x v="1"/>
    <s v="ZA01C060"/>
    <x v="12"/>
    <s v="L101"/>
    <s v="GESTION INSTITUCIONAL EFICIENTE E INNOVADORA"/>
    <s v="GI00L10100031D"/>
    <s v="GI00L10100031D PLANEACIÓN DE DESARROLLO"/>
    <s v="73 BIENES Y SERVICIOS PARA INVERSIÓN"/>
    <s v="730605 Estudio y Diseño de Proyectos"/>
    <s v="G/730605/1CL101"/>
    <s v="002"/>
    <n v="0"/>
    <n v="44800"/>
    <n v="-44800"/>
    <n v="0"/>
    <n v="0"/>
    <n v="0"/>
    <n v="0"/>
    <n v="0"/>
    <n v="0"/>
    <n v="0"/>
  </r>
  <r>
    <s v="73"/>
    <x v="0"/>
    <x v="1"/>
    <s v="ZA01C060"/>
    <x v="12"/>
    <s v="L101"/>
    <s v="GESTION INSTITUCIONAL EFICIENTE E INNOVADORA"/>
    <s v="GI00L10100031D"/>
    <s v="GI00L10100031D PLANEACIÓN DE DESARROLLO"/>
    <s v="73 BIENES Y SERVICIOS PARA INVERSIÓN"/>
    <s v="730613 Capacitación para la Ciudadanía en Gener"/>
    <s v="G/730613/1CL101"/>
    <s v="002"/>
    <n v="38630.14"/>
    <n v="-22400"/>
    <n v="-16230.14"/>
    <n v="0"/>
    <n v="0"/>
    <n v="0"/>
    <n v="0"/>
    <n v="0"/>
    <n v="0"/>
    <n v="0"/>
  </r>
  <r>
    <s v="73"/>
    <x v="0"/>
    <x v="1"/>
    <s v="ZA01C002"/>
    <x v="11"/>
    <s v="L101"/>
    <s v="GESTION INSTITUCIONAL EFICIENTE E INNOVADORA"/>
    <s v="GI00L10100032D"/>
    <s v="GI00L10100032D RELACIONES Y COOPERACIÓN INTERNACIONAL P"/>
    <s v="73 BIENES Y SERVICIOS PARA INVERSIÓN"/>
    <s v="730204 Edición, Impresión, Reproducción, Public"/>
    <s v="G/730204/1CL101"/>
    <s v="002"/>
    <n v="14000"/>
    <n v="19600"/>
    <n v="-33600"/>
    <n v="0"/>
    <n v="0"/>
    <n v="0"/>
    <n v="0"/>
    <n v="0"/>
    <n v="0"/>
    <n v="0"/>
  </r>
  <r>
    <s v="73"/>
    <x v="0"/>
    <x v="1"/>
    <s v="ZA01C002"/>
    <x v="11"/>
    <s v="L101"/>
    <s v="GESTION INSTITUCIONAL EFICIENTE E INNOVADORA"/>
    <s v="GI00L10100032D"/>
    <s v="GI00L10100032D RELACIONES Y COOPERACIÓN INTERNACIONAL P"/>
    <s v="73 BIENES Y SERVICIOS PARA INVERSIÓN"/>
    <s v="730207 Difusión, Información y Publicidad"/>
    <s v="G/730207/1CL101"/>
    <s v="002"/>
    <n v="0"/>
    <n v="58240"/>
    <n v="-58240"/>
    <n v="0"/>
    <n v="0"/>
    <n v="0"/>
    <n v="0"/>
    <n v="0"/>
    <n v="0"/>
    <n v="0"/>
  </r>
  <r>
    <s v="73"/>
    <x v="0"/>
    <x v="1"/>
    <s v="ZA01C002"/>
    <x v="11"/>
    <s v="L101"/>
    <s v="GESTION INSTITUCIONAL EFICIENTE E INNOVADORA"/>
    <s v="GI00L10100032D"/>
    <s v="GI00L10100032D RELACIONES Y COOPERACIÓN INTERNACIONAL P"/>
    <s v="73 BIENES Y SERVICIOS PARA INVERSIÓN"/>
    <s v="730239 Membrecías"/>
    <s v="G/730239/1CL101"/>
    <s v="002"/>
    <n v="21000"/>
    <n v="0"/>
    <n v="-21000"/>
    <n v="0"/>
    <n v="0"/>
    <n v="0"/>
    <n v="0"/>
    <n v="0"/>
    <n v="0"/>
    <n v="0"/>
  </r>
  <r>
    <s v="73"/>
    <x v="0"/>
    <x v="1"/>
    <s v="ZA01C002"/>
    <x v="11"/>
    <s v="L101"/>
    <s v="GESTION INSTITUCIONAL EFICIENTE E INNOVADORA"/>
    <s v="GI00L10100032D"/>
    <s v="GI00L10100032D RELACIONES Y COOPERACIÓN INTERNACIONAL P"/>
    <s v="73 BIENES Y SERVICIOS PARA INVERSIÓN"/>
    <s v="730239 Membrecías"/>
    <s v="G/730239/1CL101"/>
    <s v="001"/>
    <n v="0"/>
    <n v="0"/>
    <n v="21000"/>
    <n v="21000"/>
    <n v="0"/>
    <n v="0"/>
    <n v="0"/>
    <n v="21000"/>
    <n v="21000"/>
    <n v="21000"/>
  </r>
  <r>
    <s v="73"/>
    <x v="0"/>
    <x v="1"/>
    <s v="ZA01C002"/>
    <x v="11"/>
    <s v="L101"/>
    <s v="GESTION INSTITUCIONAL EFICIENTE E INNOVADORA"/>
    <s v="GI00L10100032D"/>
    <s v="GI00L10100032D RELACIONES Y COOPERACIÓN INTERNACIONAL P"/>
    <s v="73 BIENES Y SERVICIOS PARA INVERSIÓN"/>
    <s v="730248 Eventos Oficiales"/>
    <s v="G/730248/1CL101"/>
    <s v="002"/>
    <n v="122000"/>
    <n v="-77840"/>
    <n v="-38660"/>
    <n v="5500"/>
    <n v="79.2"/>
    <n v="5420.8"/>
    <n v="5420.8"/>
    <n v="79.2"/>
    <n v="79.2"/>
    <n v="0"/>
  </r>
  <r>
    <s v="73"/>
    <x v="0"/>
    <x v="1"/>
    <s v="ZA01C002"/>
    <x v="11"/>
    <s v="L101"/>
    <s v="GESTION INSTITUCIONAL EFICIENTE E INNOVADORA"/>
    <s v="GI00L10100032D"/>
    <s v="GI00L10100032D RELACIONES Y COOPERACIÓN INTERNACIONAL P"/>
    <s v="73 BIENES Y SERVICIOS PARA INVERSIÓN"/>
    <s v="730248 Eventos Oficiales"/>
    <s v="G/730248/1CL101"/>
    <s v="001"/>
    <n v="0"/>
    <n v="0"/>
    <n v="21280"/>
    <n v="21280"/>
    <n v="0"/>
    <n v="0"/>
    <n v="0"/>
    <n v="21280"/>
    <n v="21280"/>
    <n v="21280"/>
  </r>
  <r>
    <s v="73"/>
    <x v="0"/>
    <x v="1"/>
    <s v="ZA01C002"/>
    <x v="11"/>
    <s v="L101"/>
    <s v="GESTION INSTITUCIONAL EFICIENTE E INNOVADORA"/>
    <s v="GI00L10100032D"/>
    <s v="GI00L10100032D RELACIONES Y COOPERACIÓN INTERNACIONAL P"/>
    <s v="73 BIENES Y SERVICIOS PARA INVERSIÓN"/>
    <s v="730307 Atención a Delegados Extranjeros y Nacional"/>
    <s v="G/730307/1CL101"/>
    <s v="001"/>
    <n v="0"/>
    <n v="0"/>
    <n v="7800"/>
    <n v="7800"/>
    <n v="0"/>
    <n v="0"/>
    <n v="0"/>
    <n v="7800"/>
    <n v="7800"/>
    <n v="7800"/>
  </r>
  <r>
    <s v="73"/>
    <x v="0"/>
    <x v="1"/>
    <s v="ZA01C002"/>
    <x v="11"/>
    <s v="L101"/>
    <s v="GESTION INSTITUCIONAL EFICIENTE E INNOVADORA"/>
    <s v="GI00L10100032D"/>
    <s v="GI00L10100032D RELACIONES Y COOPERACIÓN INTERNACIONAL P"/>
    <s v="73 BIENES Y SERVICIOS PARA INVERSIÓN"/>
    <s v="730307 Atención a Delegados Extranjeros y Nacional"/>
    <s v="G/730307/1CL101"/>
    <s v="002"/>
    <n v="9000"/>
    <n v="0"/>
    <n v="-7800"/>
    <n v="1200"/>
    <n v="93.24"/>
    <n v="506.76"/>
    <n v="0"/>
    <n v="693.24"/>
    <n v="1200"/>
    <n v="600"/>
  </r>
  <r>
    <s v="73"/>
    <x v="0"/>
    <x v="0"/>
    <s v="ZA01A004"/>
    <x v="52"/>
    <s v="L101"/>
    <s v="GESTION INSTITUCIONAL EFICIENTE E INNOVADORA"/>
    <s v="GI00L10100033D"/>
    <s v="GI00L10100033D GESTIÓN TRIBUTARIA EFICIENTE"/>
    <s v="73 BIENES Y SERVICIOS PARA INVERSIÓN"/>
    <s v="730606 Honorarios por Contratos Civiles de Servici"/>
    <s v="G/730606/1AL101"/>
    <s v="001"/>
    <n v="0"/>
    <n v="0"/>
    <n v="85000"/>
    <n v="85000"/>
    <n v="0"/>
    <n v="0"/>
    <n v="0"/>
    <n v="85000"/>
    <n v="85000"/>
    <n v="85000"/>
  </r>
  <r>
    <s v="73"/>
    <x v="0"/>
    <x v="0"/>
    <s v="ZA01A004"/>
    <x v="52"/>
    <s v="L101"/>
    <s v="GESTION INSTITUCIONAL EFICIENTE E INNOVADORA"/>
    <s v="GI00L10100033D"/>
    <s v="GI00L10100033D GESTIÓN TRIBUTARIA EFICIENTE"/>
    <s v="73 BIENES Y SERVICIOS PARA INVERSIÓN"/>
    <s v="730606 Honorarios por Contratos Civiles de Servici"/>
    <s v="G/730606/1AL101"/>
    <s v="002"/>
    <n v="85000"/>
    <n v="0"/>
    <n v="-85000"/>
    <n v="0"/>
    <n v="0"/>
    <n v="0"/>
    <n v="0"/>
    <n v="0"/>
    <n v="0"/>
    <n v="0"/>
  </r>
  <r>
    <s v="73"/>
    <x v="0"/>
    <x v="0"/>
    <s v="ZA01A004"/>
    <x v="52"/>
    <s v="L101"/>
    <s v="GESTION INSTITUCIONAL EFICIENTE E INNOVADORA"/>
    <s v="GI00L10100033D"/>
    <s v="GI00L10100033D GESTIÓN TRIBUTARIA EFICIENTE"/>
    <s v="73 BIENES Y SERVICIOS PARA INVERSIÓN"/>
    <s v="730607 Servicios Técnicos Especializados"/>
    <s v="G/730607/1AL101"/>
    <s v="002"/>
    <n v="10000"/>
    <n v="0"/>
    <n v="-10000"/>
    <n v="0"/>
    <n v="0"/>
    <n v="0"/>
    <n v="0"/>
    <n v="0"/>
    <n v="0"/>
    <n v="0"/>
  </r>
  <r>
    <s v="73"/>
    <x v="0"/>
    <x v="0"/>
    <s v="ZA01A004"/>
    <x v="52"/>
    <s v="L101"/>
    <s v="GESTION INSTITUCIONAL EFICIENTE E INNOVADORA"/>
    <s v="GI00L10100033D"/>
    <s v="GI00L10100033D GESTIÓN TRIBUTARIA EFICIENTE"/>
    <s v="73 BIENES Y SERVICIOS PARA INVERSIÓN"/>
    <s v="730612 Capacitación a Servidores Públicos"/>
    <s v="G/730612/1AL101"/>
    <s v="002"/>
    <n v="20000"/>
    <n v="0"/>
    <n v="-20000"/>
    <n v="0"/>
    <n v="0"/>
    <n v="0"/>
    <n v="0"/>
    <n v="0"/>
    <n v="0"/>
    <n v="0"/>
  </r>
  <r>
    <s v="73"/>
    <x v="0"/>
    <x v="0"/>
    <s v="ZA01A004"/>
    <x v="52"/>
    <s v="L101"/>
    <s v="GESTION INSTITUCIONAL EFICIENTE E INNOVADORA"/>
    <s v="GI00L10100033D"/>
    <s v="GI00L10100033D GESTIÓN TRIBUTARIA EFICIENTE"/>
    <s v="73 BIENES Y SERVICIOS PARA INVERSIÓN"/>
    <s v="730701 Desarrollo, Actualización, Asistencia Té"/>
    <s v="G/730701/1AL101"/>
    <s v="002"/>
    <n v="30000"/>
    <n v="0"/>
    <n v="-30000"/>
    <n v="0"/>
    <n v="0"/>
    <n v="0"/>
    <n v="0"/>
    <n v="0"/>
    <n v="0"/>
    <n v="0"/>
  </r>
  <r>
    <s v="73"/>
    <x v="0"/>
    <x v="0"/>
    <s v="ZA01A009"/>
    <x v="1"/>
    <s v="L101"/>
    <s v="GESTION INSTITUCIONAL EFICIENTE E INNOVADORA"/>
    <s v="GI00L10100034D"/>
    <s v="GI00L10100034D INNOVACIÓN DE LOS SERVICIOS DE ATENCIÓN"/>
    <s v="73 BIENES Y SERVICIOS PARA INVERSIÓN"/>
    <s v="730105 Telecomunicaciones"/>
    <s v="G/730105/1AL101"/>
    <s v="002"/>
    <n v="46709"/>
    <n v="0"/>
    <n v="-32709"/>
    <n v="14000"/>
    <n v="0"/>
    <n v="14000"/>
    <n v="2147.48"/>
    <n v="0"/>
    <n v="11852.52"/>
    <n v="0"/>
  </r>
  <r>
    <s v="73"/>
    <x v="0"/>
    <x v="0"/>
    <s v="ZA01A009"/>
    <x v="1"/>
    <s v="L101"/>
    <s v="GESTION INSTITUCIONAL EFICIENTE E INNOVADORA"/>
    <s v="GI00L10100034D"/>
    <s v="GI00L10100034D INNOVACIÓN DE LOS SERVICIOS DE ATENCIÓN"/>
    <s v="73 BIENES Y SERVICIOS PARA INVERSIÓN"/>
    <s v="730105 Telecomunicaciones"/>
    <s v="G/730105/1AL101"/>
    <s v="001"/>
    <n v="0"/>
    <n v="0"/>
    <n v="32709"/>
    <n v="32709"/>
    <n v="0"/>
    <n v="0"/>
    <n v="0"/>
    <n v="32709"/>
    <n v="32709"/>
    <n v="32709"/>
  </r>
  <r>
    <s v="73"/>
    <x v="0"/>
    <x v="0"/>
    <s v="ZA01A009"/>
    <x v="1"/>
    <s v="L101"/>
    <s v="GESTION INSTITUCIONAL EFICIENTE E INNOVADORA"/>
    <s v="GI00L10100034D"/>
    <s v="GI00L10100034D INNOVACIÓN DE LOS SERVICIOS DE ATENCIÓN"/>
    <s v="73 BIENES Y SERVICIOS PARA INVERSIÓN"/>
    <s v="730201 Transporte de Personal"/>
    <s v="G/730201/1AL101"/>
    <s v="002"/>
    <n v="5000"/>
    <n v="0"/>
    <n v="-5000"/>
    <n v="0"/>
    <n v="0"/>
    <n v="0"/>
    <n v="0"/>
    <n v="0"/>
    <n v="0"/>
    <n v="0"/>
  </r>
  <r>
    <s v="73"/>
    <x v="0"/>
    <x v="0"/>
    <s v="ZA01A009"/>
    <x v="1"/>
    <s v="L101"/>
    <s v="GESTION INSTITUCIONAL EFICIENTE E INNOVADORA"/>
    <s v="GI00L10100034D"/>
    <s v="GI00L10100034D INNOVACIÓN DE LOS SERVICIOS DE ATENCIÓN"/>
    <s v="73 BIENES Y SERVICIOS PARA INVERSIÓN"/>
    <s v="730402 Edificios, Locales, Residencias y Cablea"/>
    <s v="G/730402/1AL101"/>
    <s v="002"/>
    <n v="175322.04"/>
    <n v="0"/>
    <n v="-175322.04"/>
    <n v="0"/>
    <n v="0"/>
    <n v="0"/>
    <n v="0"/>
    <n v="0"/>
    <n v="0"/>
    <n v="0"/>
  </r>
  <r>
    <s v="73"/>
    <x v="0"/>
    <x v="0"/>
    <s v="ZA01A009"/>
    <x v="1"/>
    <s v="L101"/>
    <s v="GESTION INSTITUCIONAL EFICIENTE E INNOVADORA"/>
    <s v="GI00L10100034D"/>
    <s v="GI00L10100034D INNOVACIÓN DE LOS SERVICIOS DE ATENCIÓN"/>
    <s v="73 BIENES Y SERVICIOS PARA INVERSIÓN"/>
    <s v="730402 Edificios, Locales, Residencias y Cablea"/>
    <s v="G/730402/1AL101"/>
    <s v="001"/>
    <n v="0"/>
    <n v="0"/>
    <n v="25322.04"/>
    <n v="25322.04"/>
    <n v="0"/>
    <n v="0"/>
    <n v="0"/>
    <n v="25322.04"/>
    <n v="25322.04"/>
    <n v="25322.04"/>
  </r>
  <r>
    <s v="73"/>
    <x v="0"/>
    <x v="0"/>
    <s v="ZA01A009"/>
    <x v="1"/>
    <s v="L101"/>
    <s v="GESTION INSTITUCIONAL EFICIENTE E INNOVADORA"/>
    <s v="GI00L10100034D"/>
    <s v="GI00L10100034D INNOVACIÓN DE LOS SERVICIOS DE ATENCIÓN"/>
    <s v="73 BIENES Y SERVICIOS PARA INVERSIÓN"/>
    <s v="730503 Mobiliario (Arrendamiento)"/>
    <s v="G/730503/1AL101"/>
    <s v="002"/>
    <n v="20000"/>
    <n v="0"/>
    <n v="-20000"/>
    <n v="0"/>
    <n v="0"/>
    <n v="0"/>
    <n v="0"/>
    <n v="0"/>
    <n v="0"/>
    <n v="0"/>
  </r>
  <r>
    <s v="73"/>
    <x v="0"/>
    <x v="0"/>
    <s v="ZA01A009"/>
    <x v="1"/>
    <s v="L101"/>
    <s v="GESTION INSTITUCIONAL EFICIENTE E INNOVADORA"/>
    <s v="GI00L10100034D"/>
    <s v="GI00L10100034D INNOVACIÓN DE LOS SERVICIOS DE ATENCIÓN"/>
    <s v="73 BIENES Y SERVICIOS PARA INVERSIÓN"/>
    <s v="730704 Mantenimiento y Reparación de Equipos y"/>
    <s v="G/730704/1AL101"/>
    <s v="001"/>
    <n v="0"/>
    <n v="0"/>
    <n v="6443.58"/>
    <n v="6443.58"/>
    <n v="0"/>
    <n v="0"/>
    <n v="0"/>
    <n v="6443.58"/>
    <n v="6443.58"/>
    <n v="6443.58"/>
  </r>
  <r>
    <s v="73"/>
    <x v="0"/>
    <x v="0"/>
    <s v="ZA01A009"/>
    <x v="1"/>
    <s v="L101"/>
    <s v="GESTION INSTITUCIONAL EFICIENTE E INNOVADORA"/>
    <s v="GI00L10100034D"/>
    <s v="GI00L10100034D INNOVACIÓN DE LOS SERVICIOS DE ATENCIÓN"/>
    <s v="73 BIENES Y SERVICIOS PARA INVERSIÓN"/>
    <s v="730704 Mantenimiento y Reparación de Equipos y"/>
    <s v="G/730704/1AL101"/>
    <s v="002"/>
    <n v="12000"/>
    <n v="0"/>
    <n v="-6443.58"/>
    <n v="5556.42"/>
    <n v="0.01"/>
    <n v="5556.41"/>
    <n v="0"/>
    <n v="0.01"/>
    <n v="5556.42"/>
    <n v="0"/>
  </r>
  <r>
    <s v="73"/>
    <x v="0"/>
    <x v="0"/>
    <s v="ZA01A009"/>
    <x v="1"/>
    <s v="L101"/>
    <s v="GESTION INSTITUCIONAL EFICIENTE E INNOVADORA"/>
    <s v="GI00L10100034D"/>
    <s v="GI00L10100034D INNOVACIÓN DE LOS SERVICIOS DE ATENCIÓN"/>
    <s v="73 BIENES Y SERVICIOS PARA INVERSIÓN"/>
    <s v="731403 Mobiliarios"/>
    <s v="G/731403/1AL101"/>
    <s v="002"/>
    <n v="2900"/>
    <n v="0"/>
    <n v="-2900"/>
    <n v="0"/>
    <n v="0"/>
    <n v="0"/>
    <n v="0"/>
    <n v="0"/>
    <n v="0"/>
    <n v="0"/>
  </r>
  <r>
    <s v="73"/>
    <x v="0"/>
    <x v="0"/>
    <s v="ZA01A000"/>
    <x v="3"/>
    <s v="L101"/>
    <s v="GESTION INSTITUCIONAL EFICIENTE E INNOVADORA"/>
    <s v="GI00L10100035D"/>
    <s v="GI00L10100035D MODERNIZACIÓN DE LA ADMINISTRACIÓN"/>
    <s v="73 BIENES Y SERVICIOS PARA INVERSIÓN"/>
    <s v="730606 Honorarios por Contratos Civiles de Servici"/>
    <s v="G/730606/1AL101"/>
    <s v="002"/>
    <n v="170000"/>
    <n v="0"/>
    <n v="-170000"/>
    <n v="0"/>
    <n v="0"/>
    <n v="0"/>
    <n v="0"/>
    <n v="0"/>
    <n v="0"/>
    <n v="0"/>
  </r>
  <r>
    <s v="73"/>
    <x v="0"/>
    <x v="0"/>
    <s v="ZA01A000"/>
    <x v="3"/>
    <s v="L101"/>
    <s v="GESTION INSTITUCIONAL EFICIENTE E INNOVADORA"/>
    <s v="GI00L10100035D"/>
    <s v="GI00L10100035D MODERNIZACIÓN DE LA ADMINISTRACIÓN"/>
    <s v="73 BIENES Y SERVICIOS PARA INVERSIÓN"/>
    <s v="730612 Capacitación a Servidores Públicos"/>
    <s v="G/730612/1AL101"/>
    <s v="002"/>
    <n v="120000"/>
    <n v="0"/>
    <n v="-120000"/>
    <n v="0"/>
    <n v="0"/>
    <n v="0"/>
    <n v="0"/>
    <n v="0"/>
    <n v="0"/>
    <n v="0"/>
  </r>
  <r>
    <s v="73"/>
    <x v="0"/>
    <x v="0"/>
    <s v="ZA01A008"/>
    <x v="51"/>
    <s v="L101"/>
    <s v="GESTION INSTITUCIONAL EFICIENTE E INNOVADORA"/>
    <s v="GI00L10100036D"/>
    <s v="GI00L10100036D MODERNIZACIÓN DE LA GESTIÓN DE BIENES IN"/>
    <s v="73 BIENES Y SERVICIOS PARA INVERSIÓN"/>
    <s v="730207 Difusión, Información y Publicidad"/>
    <s v="G/730207/1AL101"/>
    <s v="002"/>
    <n v="0"/>
    <n v="20000"/>
    <n v="-20000"/>
    <n v="0"/>
    <n v="0"/>
    <n v="0"/>
    <n v="0"/>
    <n v="0"/>
    <n v="0"/>
    <n v="0"/>
  </r>
  <r>
    <s v="73"/>
    <x v="0"/>
    <x v="0"/>
    <s v="ZA01A008"/>
    <x v="51"/>
    <s v="L101"/>
    <s v="GESTION INSTITUCIONAL EFICIENTE E INNOVADORA"/>
    <s v="GI00L10100036D"/>
    <s v="GI00L10100036D MODERNIZACIÓN DE LA GESTIÓN DE BIENES IN"/>
    <s v="73 BIENES Y SERVICIOS PARA INVERSIÓN"/>
    <s v="730207 Difusión, Información y Publicidad"/>
    <s v="G/730207/1AL101"/>
    <s v="001"/>
    <n v="0"/>
    <n v="0"/>
    <n v="12000"/>
    <n v="12000"/>
    <n v="0"/>
    <n v="0"/>
    <n v="0"/>
    <n v="12000"/>
    <n v="12000"/>
    <n v="12000"/>
  </r>
  <r>
    <s v="73"/>
    <x v="0"/>
    <x v="0"/>
    <s v="ZA01A008"/>
    <x v="51"/>
    <s v="L101"/>
    <s v="GESTION INSTITUCIONAL EFICIENTE E INNOVADORA"/>
    <s v="GI00L10100036D"/>
    <s v="GI00L10100036D MODERNIZACIÓN DE LA GESTIÓN DE BIENES IN"/>
    <s v="73 BIENES Y SERVICIOS PARA INVERSIÓN"/>
    <s v="730402 Edificios, Locales, Residencias y Cablea"/>
    <s v="G/730402/1AL101"/>
    <s v="002"/>
    <n v="0"/>
    <n v="354323.6"/>
    <n v="-354323.6"/>
    <n v="0"/>
    <n v="0"/>
    <n v="0"/>
    <n v="0"/>
    <n v="0"/>
    <n v="0"/>
    <n v="0"/>
  </r>
  <r>
    <s v="73"/>
    <x v="0"/>
    <x v="0"/>
    <s v="ZA01A008"/>
    <x v="51"/>
    <s v="L101"/>
    <s v="GESTION INSTITUCIONAL EFICIENTE E INNOVADORA"/>
    <s v="GI00L10100036D"/>
    <s v="GI00L10100036D MODERNIZACIÓN DE LA GESTIÓN DE BIENES IN"/>
    <s v="73 BIENES Y SERVICIOS PARA INVERSIÓN"/>
    <s v="730701 Desarrollo, Actualización, Asistencia Té"/>
    <s v="G/730701/1AL101"/>
    <s v="002"/>
    <n v="427694"/>
    <n v="-427693.96"/>
    <n v="-0.04"/>
    <n v="0"/>
    <n v="0"/>
    <n v="0"/>
    <n v="0"/>
    <n v="0"/>
    <n v="0"/>
    <n v="0"/>
  </r>
  <r>
    <s v="73"/>
    <x v="0"/>
    <x v="0"/>
    <s v="ZA01A006"/>
    <x v="50"/>
    <s v="L101"/>
    <s v="GESTION INSTITUCIONAL EFICIENTE E INNOVADORA"/>
    <s v="GI00L10100037D"/>
    <s v="GI00L10100037D MODERNIZACIÓN DE LA GESTIÓN DOCUMENTAL Y"/>
    <s v="73 BIENES Y SERVICIOS PARA INVERSIÓN"/>
    <s v="730202 Fletes y Maniobras"/>
    <s v="G/730202/1AL101"/>
    <s v="002"/>
    <n v="20000"/>
    <n v="-8000"/>
    <n v="-12000"/>
    <n v="0"/>
    <n v="0"/>
    <n v="0"/>
    <n v="0"/>
    <n v="0"/>
    <n v="0"/>
    <n v="0"/>
  </r>
  <r>
    <s v="73"/>
    <x v="0"/>
    <x v="0"/>
    <s v="ZA01A006"/>
    <x v="50"/>
    <s v="L101"/>
    <s v="GESTION INSTITUCIONAL EFICIENTE E INNOVADORA"/>
    <s v="GI00L10100037D"/>
    <s v="GI00L10100037D MODERNIZACIÓN DE LA GESTIÓN DOCUMENTAL Y"/>
    <s v="73 BIENES Y SERVICIOS PARA INVERSIÓN"/>
    <s v="730202 Fletes y Maniobras"/>
    <s v="G/730202/1AL101"/>
    <s v="001"/>
    <n v="0"/>
    <n v="0"/>
    <n v="4000"/>
    <n v="4000"/>
    <n v="0"/>
    <n v="0"/>
    <n v="0"/>
    <n v="4000"/>
    <n v="4000"/>
    <n v="4000"/>
  </r>
  <r>
    <s v="73"/>
    <x v="0"/>
    <x v="0"/>
    <s v="ZA01A006"/>
    <x v="50"/>
    <s v="L101"/>
    <s v="GESTION INSTITUCIONAL EFICIENTE E INNOVADORA"/>
    <s v="GI00L10100037D"/>
    <s v="GI00L10100037D MODERNIZACIÓN DE LA GESTIÓN DOCUMENTAL Y"/>
    <s v="73 BIENES Y SERVICIOS PARA INVERSIÓN"/>
    <s v="730402 Edificios, Locales, Residencias y Cablea"/>
    <s v="G/730402/1AL101"/>
    <s v="002"/>
    <n v="186317"/>
    <n v="-101092.75"/>
    <n v="-85224.25"/>
    <n v="0"/>
    <n v="0"/>
    <n v="0"/>
    <n v="0"/>
    <n v="0"/>
    <n v="0"/>
    <n v="0"/>
  </r>
  <r>
    <s v="73"/>
    <x v="0"/>
    <x v="0"/>
    <s v="ZA01A006"/>
    <x v="50"/>
    <s v="L101"/>
    <s v="GESTION INSTITUCIONAL EFICIENTE E INNOVADORA"/>
    <s v="GI00L10100037D"/>
    <s v="GI00L10100037D MODERNIZACIÓN DE LA GESTIÓN DOCUMENTAL Y"/>
    <s v="73 BIENES Y SERVICIOS PARA INVERSIÓN"/>
    <s v="730402 Edificios, Locales, Residencias y Cablea"/>
    <s v="G/730402/1AL101"/>
    <s v="001"/>
    <n v="0"/>
    <n v="0"/>
    <n v="69145"/>
    <n v="69145"/>
    <n v="0"/>
    <n v="0"/>
    <n v="0"/>
    <n v="69145"/>
    <n v="69145"/>
    <n v="69145"/>
  </r>
  <r>
    <s v="73"/>
    <x v="0"/>
    <x v="0"/>
    <s v="ZA01A006"/>
    <x v="50"/>
    <s v="L101"/>
    <s v="GESTION INSTITUCIONAL EFICIENTE E INNOVADORA"/>
    <s v="GI00L10100037D"/>
    <s v="GI00L10100037D MODERNIZACIÓN DE LA GESTIÓN DOCUMENTAL Y"/>
    <s v="73 BIENES Y SERVICIOS PARA INVERSIÓN"/>
    <s v="730601 Consultoría, Asesoría e Investigación Es"/>
    <s v="G/730601/1AL101"/>
    <s v="002"/>
    <n v="100000"/>
    <n v="-3000"/>
    <n v="-97000"/>
    <n v="0"/>
    <n v="0"/>
    <n v="0"/>
    <n v="0"/>
    <n v="0"/>
    <n v="0"/>
    <n v="0"/>
  </r>
  <r>
    <s v="73"/>
    <x v="0"/>
    <x v="0"/>
    <s v="ZA01A006"/>
    <x v="50"/>
    <s v="L101"/>
    <s v="GESTION INSTITUCIONAL EFICIENTE E INNOVADORA"/>
    <s v="GI00L10100037D"/>
    <s v="GI00L10100037D MODERNIZACIÓN DE LA GESTIÓN DOCUMENTAL Y"/>
    <s v="73 BIENES Y SERVICIOS PARA INVERSIÓN"/>
    <s v="730701 Desarrollo, Actualización, Asistencia Té"/>
    <s v="G/730701/1AL101"/>
    <s v="001"/>
    <n v="0"/>
    <n v="0"/>
    <n v="1960"/>
    <n v="1960"/>
    <n v="0"/>
    <n v="0"/>
    <n v="0"/>
    <n v="1960"/>
    <n v="1960"/>
    <n v="1960"/>
  </r>
  <r>
    <s v="73"/>
    <x v="0"/>
    <x v="0"/>
    <s v="ZA01A006"/>
    <x v="50"/>
    <s v="L101"/>
    <s v="GESTION INSTITUCIONAL EFICIENTE E INNOVADORA"/>
    <s v="GI00L10100037D"/>
    <s v="GI00L10100037D MODERNIZACIÓN DE LA GESTIÓN DOCUMENTAL Y"/>
    <s v="73 BIENES Y SERVICIOS PARA INVERSIÓN"/>
    <s v="730701 Desarrollo, Actualización, Asistencia Té"/>
    <s v="G/730701/1AL101"/>
    <s v="002"/>
    <n v="0"/>
    <n v="7840"/>
    <n v="-1960"/>
    <n v="5880"/>
    <n v="0"/>
    <n v="5880"/>
    <n v="224"/>
    <n v="0"/>
    <n v="5656"/>
    <n v="0"/>
  </r>
  <r>
    <s v="73"/>
    <x v="0"/>
    <x v="0"/>
    <s v="ZA01A006"/>
    <x v="50"/>
    <s v="L101"/>
    <s v="GESTION INSTITUCIONAL EFICIENTE E INNOVADORA"/>
    <s v="GI00L10100037D"/>
    <s v="GI00L10100037D MODERNIZACIÓN DE LA GESTIÓN DOCUMENTAL Y"/>
    <s v="73 BIENES Y SERVICIOS PARA INVERSIÓN"/>
    <s v="730811 Insumos, Materiales y Suministros para Cons"/>
    <s v="G/730811/1AL101"/>
    <s v="002"/>
    <n v="10000"/>
    <n v="-5000"/>
    <n v="-683"/>
    <n v="4317"/>
    <n v="4317"/>
    <n v="0"/>
    <n v="0"/>
    <n v="4317"/>
    <n v="4317"/>
    <n v="0"/>
  </r>
  <r>
    <s v="73"/>
    <x v="0"/>
    <x v="0"/>
    <s v="ZA01A006"/>
    <x v="50"/>
    <s v="L101"/>
    <s v="GESTION INSTITUCIONAL EFICIENTE E INNOVADORA"/>
    <s v="GI00L10100037D"/>
    <s v="GI00L10100037D MODERNIZACIÓN DE LA GESTIÓN DOCUMENTAL Y"/>
    <s v="73 BIENES Y SERVICIOS PARA INVERSIÓN"/>
    <s v="730811 Insumos, Materiales y Suministros para Cons"/>
    <s v="G/730811/1AL101"/>
    <s v="001"/>
    <n v="0"/>
    <n v="0"/>
    <n v="683"/>
    <n v="683"/>
    <n v="0"/>
    <n v="0"/>
    <n v="0"/>
    <n v="683"/>
    <n v="683"/>
    <n v="683"/>
  </r>
  <r>
    <s v="73"/>
    <x v="0"/>
    <x v="0"/>
    <s v="ZA01A006"/>
    <x v="50"/>
    <s v="L101"/>
    <s v="GESTION INSTITUCIONAL EFICIENTE E INNOVADORA"/>
    <s v="GI00L10100037D"/>
    <s v="GI00L10100037D MODERNIZACIÓN DE LA GESTIÓN DOCUMENTAL Y"/>
    <s v="73 BIENES Y SERVICIOS PARA INVERSIÓN"/>
    <s v="731403 Mobiliarios"/>
    <s v="G/731403/1AL101"/>
    <s v="002"/>
    <n v="154000"/>
    <n v="-154000"/>
    <n v="0"/>
    <n v="0"/>
    <n v="0"/>
    <n v="0"/>
    <n v="0"/>
    <n v="0"/>
    <n v="0"/>
    <n v="0"/>
  </r>
  <r>
    <s v="73"/>
    <x v="0"/>
    <x v="0"/>
    <s v="ZA01A000"/>
    <x v="3"/>
    <s v="L101"/>
    <s v="GESTION INSTITUCIONAL EFICIENTE E INNOVADORA"/>
    <s v="GI00L10100038D"/>
    <s v="GI00L10100038D PROYECTOS ESPECIALES DE EJECUCIÓN DEL NU"/>
    <s v="73 BIENES Y SERVICIOS PARA INVERSIÓN"/>
    <s v="730606 Honorarios por Contratos Civiles de Servici"/>
    <s v="G/730606/1AL101"/>
    <s v="002"/>
    <n v="50000"/>
    <n v="0"/>
    <n v="-50000"/>
    <n v="0"/>
    <n v="0"/>
    <n v="0"/>
    <n v="0"/>
    <n v="0"/>
    <n v="0"/>
    <n v="0"/>
  </r>
  <r>
    <s v="73"/>
    <x v="0"/>
    <x v="0"/>
    <s v="ZA01A000"/>
    <x v="3"/>
    <s v="L101"/>
    <s v="GESTION INSTITUCIONAL EFICIENTE E INNOVADORA"/>
    <s v="GI00L10100038D"/>
    <s v="GI00L10100038D PROYECTOS ESPECIALES DE EJECUCIÓN DEL NU"/>
    <s v="73 BIENES Y SERVICIOS PARA INVERSIÓN"/>
    <s v="730701 Desarrollo, Actualización, Asistencia Té"/>
    <s v="G/730701/1AL101"/>
    <s v="002"/>
    <n v="250000"/>
    <n v="0"/>
    <n v="-250000"/>
    <n v="0"/>
    <n v="0"/>
    <n v="0"/>
    <n v="0"/>
    <n v="0"/>
    <n v="0"/>
    <n v="0"/>
  </r>
  <r>
    <s v="73"/>
    <x v="0"/>
    <x v="12"/>
    <s v="MC37B000"/>
    <x v="21"/>
    <s v="L101"/>
    <s v="GESTION INSTITUCIONAL EFICIENTE E INNOVADORA"/>
    <s v="GI00L10100039D"/>
    <s v="GI00L10100039D CONTROL Y BUEN USO DEL ESPACIO PÚBLICO &quot;"/>
    <s v="73 BIENES Y SERVICIOS PARA INVERSIÓN"/>
    <s v="730105 Telecomunicaciones"/>
    <s v="G/730105/1BL101"/>
    <s v="002"/>
    <n v="29200"/>
    <n v="-29200"/>
    <n v="0"/>
    <n v="0"/>
    <n v="0"/>
    <n v="0"/>
    <n v="0"/>
    <n v="0"/>
    <n v="0"/>
    <n v="0"/>
  </r>
  <r>
    <s v="73"/>
    <x v="0"/>
    <x v="12"/>
    <s v="MC37B000"/>
    <x v="21"/>
    <s v="L101"/>
    <s v="GESTION INSTITUCIONAL EFICIENTE E INNOVADORA"/>
    <s v="GI00L10100039D"/>
    <s v="GI00L10100039D CONTROL Y BUEN USO DEL ESPACIO PÚBLICO &quot;"/>
    <s v="73 BIENES Y SERVICIOS PARA INVERSIÓN"/>
    <s v="730601 Consultoría, Asesoría e Investigación Es"/>
    <s v="G/730601/1BL101"/>
    <s v="002"/>
    <n v="25000"/>
    <n v="0"/>
    <n v="-25000"/>
    <n v="0"/>
    <n v="0"/>
    <n v="0"/>
    <n v="0"/>
    <n v="0"/>
    <n v="0"/>
    <n v="0"/>
  </r>
  <r>
    <s v="73"/>
    <x v="0"/>
    <x v="12"/>
    <s v="MC37B000"/>
    <x v="21"/>
    <s v="L101"/>
    <s v="GESTION INSTITUCIONAL EFICIENTE E INNOVADORA"/>
    <s v="GI00L10100039D"/>
    <s v="GI00L10100039D CONTROL Y BUEN USO DEL ESPACIO PÚBLICO &quot;"/>
    <s v="73 BIENES Y SERVICIOS PARA INVERSIÓN"/>
    <s v="730606 Honorarios por Contratos Civiles de Servici"/>
    <s v="G/730606/1BL101"/>
    <s v="002"/>
    <n v="107142.86"/>
    <n v="-107142.86"/>
    <n v="0"/>
    <n v="0"/>
    <n v="0"/>
    <n v="0"/>
    <n v="0"/>
    <n v="0"/>
    <n v="0"/>
    <n v="0"/>
  </r>
  <r>
    <s v="73"/>
    <x v="0"/>
    <x v="12"/>
    <s v="MC37B000"/>
    <x v="21"/>
    <s v="L101"/>
    <s v="GESTION INSTITUCIONAL EFICIENTE E INNOVADORA"/>
    <s v="GI00L10100039D"/>
    <s v="GI00L10100039D CONTROL Y BUEN USO DEL ESPACIO PÚBLICO &quot;"/>
    <s v="73 BIENES Y SERVICIOS PARA INVERSIÓN"/>
    <s v="730704 Mantenimiento y Reparación de Equipos y"/>
    <s v="G/730704/1BL101"/>
    <s v="002"/>
    <n v="40300"/>
    <n v="-40300"/>
    <n v="0"/>
    <n v="0"/>
    <n v="0"/>
    <n v="0"/>
    <n v="0"/>
    <n v="0"/>
    <n v="0"/>
    <n v="0"/>
  </r>
  <r>
    <s v="73"/>
    <x v="0"/>
    <x v="12"/>
    <s v="MC37B000"/>
    <x v="21"/>
    <s v="L101"/>
    <s v="GESTION INSTITUCIONAL EFICIENTE E INNOVADORA"/>
    <s v="GI00L10100039D"/>
    <s v="GI00L10100039D CONTROL Y BUEN USO DEL ESPACIO PÚBLICO &quot;"/>
    <s v="73 BIENES Y SERVICIOS PARA INVERSIÓN"/>
    <s v="730802 Vestuario, Lencería, Prendas de Protecci"/>
    <s v="G/730802/1BL101"/>
    <s v="002"/>
    <n v="6002.85"/>
    <n v="0"/>
    <n v="-6002.85"/>
    <n v="0"/>
    <n v="0"/>
    <n v="0"/>
    <n v="0"/>
    <n v="0"/>
    <n v="0"/>
    <n v="0"/>
  </r>
  <r>
    <s v="73"/>
    <x v="0"/>
    <x v="12"/>
    <s v="MC37B000"/>
    <x v="21"/>
    <s v="L101"/>
    <s v="GESTION INSTITUCIONAL EFICIENTE E INNOVADORA"/>
    <s v="GI00L10100039D"/>
    <s v="GI00L10100039D CONTROL Y BUEN USO DEL ESPACIO PÚBLICO &quot;"/>
    <s v="73 BIENES Y SERVICIOS PARA INVERSIÓN"/>
    <s v="730802 Vestuario, Lencería, Prendas de Protecci"/>
    <s v="G/730802/1BL101"/>
    <s v="001"/>
    <n v="0"/>
    <n v="0"/>
    <n v="2695.18"/>
    <n v="2695.18"/>
    <n v="0"/>
    <n v="0"/>
    <n v="0"/>
    <n v="2695.18"/>
    <n v="2695.18"/>
    <n v="2695.18"/>
  </r>
  <r>
    <s v="73"/>
    <x v="0"/>
    <x v="12"/>
    <s v="MC37B000"/>
    <x v="21"/>
    <s v="L101"/>
    <s v="GESTION INSTITUCIONAL EFICIENTE E INNOVADORA"/>
    <s v="GI00L10100039D"/>
    <s v="GI00L10100039D CONTROL Y BUEN USO DEL ESPACIO PÚBLICO &quot;"/>
    <s v="73 BIENES Y SERVICIOS PARA INVERSIÓN"/>
    <s v="731403 Mobiliarios"/>
    <s v="G/731403/1BL101"/>
    <s v="002"/>
    <n v="2000"/>
    <n v="-2000"/>
    <n v="0"/>
    <n v="0"/>
    <n v="0"/>
    <n v="0"/>
    <n v="0"/>
    <n v="0"/>
    <n v="0"/>
    <n v="0"/>
  </r>
  <r>
    <s v="73"/>
    <x v="0"/>
    <x v="0"/>
    <s v="ZA01A007"/>
    <x v="60"/>
    <s v="L101"/>
    <s v="GESTION INSTITUCIONAL EFICIENTE E INNOVADORA"/>
    <s v="GI00L10100040D"/>
    <s v="GI00L10100040D CIUDAD INTELIGENTE"/>
    <s v="73 BIENES Y SERVICIOS PARA INVERSIÓN"/>
    <s v="730105 Telecomunicaciones"/>
    <s v="G/730105/1AL101"/>
    <s v="001"/>
    <n v="0"/>
    <n v="0"/>
    <n v="108000.01"/>
    <n v="108000.01"/>
    <n v="0"/>
    <n v="0"/>
    <n v="0"/>
    <n v="108000.01"/>
    <n v="108000.01"/>
    <n v="108000.01"/>
  </r>
  <r>
    <s v="73"/>
    <x v="0"/>
    <x v="0"/>
    <s v="ZA01A007"/>
    <x v="60"/>
    <s v="L101"/>
    <s v="GESTION INSTITUCIONAL EFICIENTE E INNOVADORA"/>
    <s v="GI00L10100040D"/>
    <s v="GI00L10100040D CIUDAD INTELIGENTE"/>
    <s v="73 BIENES Y SERVICIOS PARA INVERSIÓN"/>
    <s v="730105 Telecomunicaciones"/>
    <s v="G/730105/1AL101"/>
    <s v="002"/>
    <n v="43200"/>
    <n v="64800.01"/>
    <n v="-108000.01"/>
    <n v="0"/>
    <n v="0"/>
    <n v="0"/>
    <n v="0"/>
    <n v="0"/>
    <n v="0"/>
    <n v="0"/>
  </r>
  <r>
    <s v="73"/>
    <x v="0"/>
    <x v="0"/>
    <s v="ZA01A007"/>
    <x v="60"/>
    <s v="L101"/>
    <s v="GESTION INSTITUCIONAL EFICIENTE E INNOVADORA"/>
    <s v="GI00L10100040D"/>
    <s v="GI00L10100040D CIUDAD INTELIGENTE"/>
    <s v="73 BIENES Y SERVICIOS PARA INVERSIÓN"/>
    <s v="730402 Edificios, Locales, Residencias y Cablea"/>
    <s v="G/730402/1AL101"/>
    <s v="002"/>
    <n v="50000"/>
    <n v="196360"/>
    <n v="-246360"/>
    <n v="0"/>
    <n v="0"/>
    <n v="0"/>
    <n v="0"/>
    <n v="0"/>
    <n v="0"/>
    <n v="0"/>
  </r>
  <r>
    <s v="73"/>
    <x v="0"/>
    <x v="0"/>
    <s v="ZA01A007"/>
    <x v="60"/>
    <s v="L101"/>
    <s v="GESTION INSTITUCIONAL EFICIENTE E INNOVADORA"/>
    <s v="GI00L10100040D"/>
    <s v="GI00L10100040D CIUDAD INTELIGENTE"/>
    <s v="73 BIENES Y SERVICIOS PARA INVERSIÓN"/>
    <s v="730701 Desarrollo, Actualización, Asistencia Té"/>
    <s v="G/730701/1AL101"/>
    <s v="002"/>
    <n v="0"/>
    <n v="65000"/>
    <n v="-65000"/>
    <n v="0"/>
    <n v="0"/>
    <n v="0"/>
    <n v="0"/>
    <n v="0"/>
    <n v="0"/>
    <n v="0"/>
  </r>
  <r>
    <s v="73"/>
    <x v="0"/>
    <x v="0"/>
    <s v="ZA01A007"/>
    <x v="60"/>
    <s v="L101"/>
    <s v="GESTION INSTITUCIONAL EFICIENTE E INNOVADORA"/>
    <s v="GI00L10100040D"/>
    <s v="GI00L10100040D CIUDAD INTELIGENTE"/>
    <s v="73 BIENES Y SERVICIOS PARA INVERSIÓN"/>
    <s v="730702 Arrendamiento y Licencias de Uso de Paquete"/>
    <s v="G/730702/1AL101"/>
    <s v="002"/>
    <n v="545000"/>
    <n v="31794.78"/>
    <n v="-576794.78"/>
    <n v="0"/>
    <n v="0"/>
    <n v="0"/>
    <n v="0"/>
    <n v="0"/>
    <n v="0"/>
    <n v="0"/>
  </r>
  <r>
    <s v="73"/>
    <x v="0"/>
    <x v="0"/>
    <s v="ZA01A007"/>
    <x v="60"/>
    <s v="L101"/>
    <s v="GESTION INSTITUCIONAL EFICIENTE E INNOVADORA"/>
    <s v="GI00L10100040D"/>
    <s v="GI00L10100040D CIUDAD INTELIGENTE"/>
    <s v="73 BIENES Y SERVICIOS PARA INVERSIÓN"/>
    <s v="730704 Mantenimiento y Reparación de Equipos y"/>
    <s v="G/730704/1AL101"/>
    <s v="002"/>
    <n v="300000"/>
    <n v="44677.85"/>
    <n v="-118623.21"/>
    <n v="226054.64"/>
    <n v="125400.8"/>
    <n v="100653.84"/>
    <n v="0"/>
    <n v="125400.8"/>
    <n v="226054.64"/>
    <n v="0"/>
  </r>
  <r>
    <s v="73"/>
    <x v="0"/>
    <x v="0"/>
    <s v="ZA01A007"/>
    <x v="60"/>
    <s v="L101"/>
    <s v="GESTION INSTITUCIONAL EFICIENTE E INNOVADORA"/>
    <s v="GI00L10100041D"/>
    <s v="GI00L10100041D INNOVACION Y FORTALECIMIENTO DE LA INFRA"/>
    <s v="73 BIENES Y SERVICIOS PARA INVERSIÓN"/>
    <s v="730105 Telecomunicaciones"/>
    <s v="G/730105/1AL101"/>
    <s v="001"/>
    <n v="0"/>
    <n v="0"/>
    <n v="7372.48"/>
    <n v="7372.48"/>
    <n v="0"/>
    <n v="0"/>
    <n v="0"/>
    <n v="7372.48"/>
    <n v="7372.48"/>
    <n v="7372.48"/>
  </r>
  <r>
    <s v="73"/>
    <x v="0"/>
    <x v="0"/>
    <s v="ZA01A007"/>
    <x v="60"/>
    <s v="L101"/>
    <s v="GESTION INSTITUCIONAL EFICIENTE E INNOVADORA"/>
    <s v="GI00L10100041D"/>
    <s v="GI00L10100041D INNOVACION Y FORTALECIMIENTO DE LA INFRA"/>
    <s v="73 BIENES Y SERVICIOS PARA INVERSIÓN"/>
    <s v="730105 Telecomunicaciones"/>
    <s v="G/730105/1AL101"/>
    <s v="002"/>
    <n v="1138288.02"/>
    <n v="0"/>
    <n v="-310756.03000000003"/>
    <n v="827531.99"/>
    <n v="13838.83"/>
    <n v="813693.16"/>
    <n v="581679.42000000004"/>
    <n v="13838.83"/>
    <n v="245852.57"/>
    <n v="0"/>
  </r>
  <r>
    <s v="73"/>
    <x v="0"/>
    <x v="0"/>
    <s v="ZA01A007"/>
    <x v="60"/>
    <s v="L101"/>
    <s v="GESTION INSTITUCIONAL EFICIENTE E INNOVADORA"/>
    <s v="GI00L10100041D"/>
    <s v="GI00L10100041D INNOVACION Y FORTALECIMIENTO DE LA INFRA"/>
    <s v="73 BIENES Y SERVICIOS PARA INVERSIÓN"/>
    <s v="730402 Edificios, Locales, Residencias y Cablea"/>
    <s v="G/730402/1AL101"/>
    <s v="002"/>
    <n v="112000"/>
    <n v="-39264.959999999999"/>
    <n v="0"/>
    <n v="72735.039999999994"/>
    <n v="0"/>
    <n v="72735.039999999994"/>
    <n v="0"/>
    <n v="0"/>
    <n v="72735.039999999994"/>
    <n v="0"/>
  </r>
  <r>
    <s v="73"/>
    <x v="0"/>
    <x v="0"/>
    <s v="ZA01A007"/>
    <x v="60"/>
    <s v="L101"/>
    <s v="GESTION INSTITUCIONAL EFICIENTE E INNOVADORA"/>
    <s v="GI00L10100041D"/>
    <s v="GI00L10100041D INNOVACION Y FORTALECIMIENTO DE LA INFRA"/>
    <s v="73 BIENES Y SERVICIOS PARA INVERSIÓN"/>
    <s v="730502 Edificios, Locales, Residencias, Parquea"/>
    <s v="G/730502/1AL101"/>
    <s v="002"/>
    <n v="12600"/>
    <n v="-12600"/>
    <n v="0"/>
    <n v="0"/>
    <n v="0"/>
    <n v="0"/>
    <n v="0"/>
    <n v="0"/>
    <n v="0"/>
    <n v="0"/>
  </r>
  <r>
    <s v="73"/>
    <x v="0"/>
    <x v="0"/>
    <s v="ZA01A007"/>
    <x v="60"/>
    <s v="L101"/>
    <s v="GESTION INSTITUCIONAL EFICIENTE E INNOVADORA"/>
    <s v="GI00L10100041D"/>
    <s v="GI00L10100041D INNOVACION Y FORTALECIMIENTO DE LA INFRA"/>
    <s v="73 BIENES Y SERVICIOS PARA INVERSIÓN"/>
    <s v="730701 Desarrollo, Actualización, Asistencia Té"/>
    <s v="G/730701/1AL101"/>
    <s v="002"/>
    <n v="25088"/>
    <n v="-10976"/>
    <n v="-14112"/>
    <n v="0"/>
    <n v="0"/>
    <n v="0"/>
    <n v="0"/>
    <n v="0"/>
    <n v="0"/>
    <n v="0"/>
  </r>
  <r>
    <s v="73"/>
    <x v="0"/>
    <x v="0"/>
    <s v="ZA01A007"/>
    <x v="60"/>
    <s v="L101"/>
    <s v="GESTION INSTITUCIONAL EFICIENTE E INNOVADORA"/>
    <s v="GI00L10100041D"/>
    <s v="GI00L10100041D INNOVACION Y FORTALECIMIENTO DE LA INFRA"/>
    <s v="73 BIENES Y SERVICIOS PARA INVERSIÓN"/>
    <s v="730701 Desarrollo, Actualización, Asistencia Té"/>
    <s v="G/730701/1AL101"/>
    <s v="001"/>
    <n v="0"/>
    <n v="0"/>
    <n v="14112"/>
    <n v="14112"/>
    <n v="0"/>
    <n v="0"/>
    <n v="0"/>
    <n v="14112"/>
    <n v="14112"/>
    <n v="14112"/>
  </r>
  <r>
    <s v="73"/>
    <x v="0"/>
    <x v="0"/>
    <s v="ZA01A007"/>
    <x v="60"/>
    <s v="L101"/>
    <s v="GESTION INSTITUCIONAL EFICIENTE E INNOVADORA"/>
    <s v="GI00L10100041D"/>
    <s v="GI00L10100041D INNOVACION Y FORTALECIMIENTO DE LA INFRA"/>
    <s v="73 BIENES Y SERVICIOS PARA INVERSIÓN"/>
    <s v="730702 Arrendamiento y Licencias de Uso de Paquete"/>
    <s v="G/730702/1AL101"/>
    <s v="002"/>
    <n v="512008.35"/>
    <n v="382362.23"/>
    <n v="-269237.39"/>
    <n v="625133.18999999994"/>
    <n v="92233.14"/>
    <n v="532900.05000000005"/>
    <n v="529136.85"/>
    <n v="92233.14"/>
    <n v="95996.34"/>
    <n v="0"/>
  </r>
  <r>
    <s v="73"/>
    <x v="0"/>
    <x v="0"/>
    <s v="ZA01A007"/>
    <x v="60"/>
    <s v="L101"/>
    <s v="GESTION INSTITUCIONAL EFICIENTE E INNOVADORA"/>
    <s v="GI00L10100041D"/>
    <s v="GI00L10100041D INNOVACION Y FORTALECIMIENTO DE LA INFRA"/>
    <s v="73 BIENES Y SERVICIOS PARA INVERSIÓN"/>
    <s v="730702 Arrendamiento y Licencias de Uso de Paquete"/>
    <s v="G/730702/1AL101"/>
    <s v="001"/>
    <n v="0"/>
    <n v="0"/>
    <n v="92400.01"/>
    <n v="92400.01"/>
    <n v="0"/>
    <n v="0"/>
    <n v="0"/>
    <n v="92400.01"/>
    <n v="92400.01"/>
    <n v="92400.01"/>
  </r>
  <r>
    <s v="73"/>
    <x v="0"/>
    <x v="0"/>
    <s v="ZA01A007"/>
    <x v="60"/>
    <s v="L101"/>
    <s v="GESTION INSTITUCIONAL EFICIENTE E INNOVADORA"/>
    <s v="GI00L10100041D"/>
    <s v="GI00L10100041D INNOVACION Y FORTALECIMIENTO DE LA INFRA"/>
    <s v="73 BIENES Y SERVICIOS PARA INVERSIÓN"/>
    <s v="730704 Mantenimiento y Reparación de Equipos y"/>
    <s v="G/730704/1AL101"/>
    <s v="001"/>
    <n v="0"/>
    <n v="0"/>
    <n v="77101.240000000005"/>
    <n v="77101.240000000005"/>
    <n v="0"/>
    <n v="0"/>
    <n v="0"/>
    <n v="77101.240000000005"/>
    <n v="77101.240000000005"/>
    <n v="77101.240000000005"/>
  </r>
  <r>
    <s v="73"/>
    <x v="0"/>
    <x v="0"/>
    <s v="ZA01A007"/>
    <x v="60"/>
    <s v="L101"/>
    <s v="GESTION INSTITUCIONAL EFICIENTE E INNOVADORA"/>
    <s v="GI00L10100041D"/>
    <s v="GI00L10100041D INNOVACION Y FORTALECIMIENTO DE LA INFRA"/>
    <s v="73 BIENES Y SERVICIOS PARA INVERSIÓN"/>
    <s v="730704 Mantenimiento y Reparación de Equipos y"/>
    <s v="G/730704/1AL101"/>
    <s v="002"/>
    <n v="725470.62"/>
    <n v="-65962.97"/>
    <n v="-196663.97"/>
    <n v="462843.68"/>
    <n v="171331.62"/>
    <n v="291512.06"/>
    <n v="249256.76"/>
    <n v="171331.62"/>
    <n v="213586.92"/>
    <n v="0"/>
  </r>
  <r>
    <s v="73"/>
    <x v="0"/>
    <x v="0"/>
    <s v="ZA01A007"/>
    <x v="60"/>
    <s v="L101"/>
    <s v="GESTION INSTITUCIONAL EFICIENTE E INNOVADORA"/>
    <s v="GI00L10100041D"/>
    <s v="GI00L10100041D INNOVACION Y FORTALECIMIENTO DE LA INFRA"/>
    <s v="73 BIENES Y SERVICIOS PARA INVERSIÓN"/>
    <s v="730804 Materiales de Oficina"/>
    <s v="G/730804/1AL101"/>
    <s v="002"/>
    <n v="42086.28"/>
    <n v="-42086.28"/>
    <n v="0"/>
    <n v="0"/>
    <n v="0"/>
    <n v="0"/>
    <n v="0"/>
    <n v="0"/>
    <n v="0"/>
    <n v="0"/>
  </r>
  <r>
    <s v="73"/>
    <x v="0"/>
    <x v="0"/>
    <s v="ZA01A007"/>
    <x v="60"/>
    <s v="L101"/>
    <s v="GESTION INSTITUCIONAL EFICIENTE E INNOVADORA"/>
    <s v="GI00L10100041D"/>
    <s v="GI00L10100041D INNOVACION Y FORTALECIMIENTO DE LA INFRA"/>
    <s v="73 BIENES Y SERVICIOS PARA INVERSIÓN"/>
    <s v="730811 Insumos, Materiales y Suministros para Cons"/>
    <s v="G/730811/1AL101"/>
    <s v="002"/>
    <n v="0"/>
    <n v="10000"/>
    <n v="-2259"/>
    <n v="7741"/>
    <n v="1612.36"/>
    <n v="6128.64"/>
    <n v="6128.64"/>
    <n v="1612.36"/>
    <n v="1612.36"/>
    <n v="0"/>
  </r>
  <r>
    <s v="73"/>
    <x v="0"/>
    <x v="0"/>
    <s v="ZA01A007"/>
    <x v="60"/>
    <s v="L101"/>
    <s v="GESTION INSTITUCIONAL EFICIENTE E INNOVADORA"/>
    <s v="GI00L10100041D"/>
    <s v="GI00L10100041D INNOVACION Y FORTALECIMIENTO DE LA INFRA"/>
    <s v="73 BIENES Y SERVICIOS PARA INVERSIÓN"/>
    <s v="730813 Repuestos y Accesorios"/>
    <s v="G/730813/1AL101"/>
    <s v="002"/>
    <n v="28659.56"/>
    <n v="11819.16"/>
    <n v="-16000"/>
    <n v="24478.720000000001"/>
    <n v="0"/>
    <n v="24478.720000000001"/>
    <n v="17700.86"/>
    <n v="0"/>
    <n v="6777.86"/>
    <n v="0"/>
  </r>
  <r>
    <s v="73"/>
    <x v="0"/>
    <x v="1"/>
    <s v="ZA01C002"/>
    <x v="11"/>
    <s v="L101"/>
    <s v="GESTION INSTITUCIONAL EFICIENTE E INNOVADORA"/>
    <s v="GI00L10100042D"/>
    <s v="GI00L10100042D GEOPARQUE QUITO"/>
    <s v="73 BIENES Y SERVICIOS PARA INVERSIÓN"/>
    <s v="730204 Edición, Impresión, Reproducción, Public"/>
    <s v="G/730204/1CL101"/>
    <s v="002"/>
    <n v="5000"/>
    <n v="0"/>
    <n v="-5000"/>
    <n v="0"/>
    <n v="0"/>
    <n v="0"/>
    <n v="0"/>
    <n v="0"/>
    <n v="0"/>
    <n v="0"/>
  </r>
  <r>
    <s v="73"/>
    <x v="0"/>
    <x v="1"/>
    <s v="ZA01C002"/>
    <x v="11"/>
    <s v="L101"/>
    <s v="GESTION INSTITUCIONAL EFICIENTE E INNOVADORA"/>
    <s v="GI00L10100042D"/>
    <s v="GI00L10100042D GEOPARQUE QUITO"/>
    <s v="73 BIENES Y SERVICIOS PARA INVERSIÓN"/>
    <s v="730207 Difusión, Información y Publicidad"/>
    <s v="G/730207/1CL101"/>
    <s v="002"/>
    <n v="65000"/>
    <n v="0"/>
    <n v="-65000"/>
    <n v="0"/>
    <n v="0"/>
    <n v="0"/>
    <n v="0"/>
    <n v="0"/>
    <n v="0"/>
    <n v="0"/>
  </r>
  <r>
    <s v="73"/>
    <x v="0"/>
    <x v="1"/>
    <s v="ZA01C002"/>
    <x v="11"/>
    <s v="L101"/>
    <s v="GESTION INSTITUCIONAL EFICIENTE E INNOVADORA"/>
    <s v="GI00L10100042D"/>
    <s v="GI00L10100042D GEOPARQUE QUITO"/>
    <s v="73 BIENES Y SERVICIOS PARA INVERSIÓN"/>
    <s v="730248 Eventos Oficiales"/>
    <s v="G/730248/1CL101"/>
    <s v="001"/>
    <n v="0"/>
    <n v="0"/>
    <n v="35000"/>
    <n v="35000"/>
    <n v="0"/>
    <n v="0"/>
    <n v="0"/>
    <n v="35000"/>
    <n v="35000"/>
    <n v="35000"/>
  </r>
  <r>
    <s v="73"/>
    <x v="0"/>
    <x v="1"/>
    <s v="ZA01C002"/>
    <x v="11"/>
    <s v="L101"/>
    <s v="GESTION INSTITUCIONAL EFICIENTE E INNOVADORA"/>
    <s v="GI00L10100042D"/>
    <s v="GI00L10100042D GEOPARQUE QUITO"/>
    <s v="73 BIENES Y SERVICIOS PARA INVERSIÓN"/>
    <s v="730248 Eventos Oficiales"/>
    <s v="G/730248/1CL101"/>
    <s v="002"/>
    <n v="65000"/>
    <n v="0"/>
    <n v="-65000"/>
    <n v="0"/>
    <n v="0"/>
    <n v="0"/>
    <n v="0"/>
    <n v="0"/>
    <n v="0"/>
    <n v="0"/>
  </r>
  <r>
    <s v="73"/>
    <x v="0"/>
    <x v="1"/>
    <s v="ZA01C002"/>
    <x v="11"/>
    <s v="L101"/>
    <s v="GESTION INSTITUCIONAL EFICIENTE E INNOVADORA"/>
    <s v="GI00L10100042D"/>
    <s v="GI00L10100042D GEOPARQUE QUITO"/>
    <s v="73 BIENES Y SERVICIOS PARA INVERSIÓN"/>
    <s v="730307 Atención a Delegados Extranjeros y Nacional"/>
    <s v="G/730307/1CL101"/>
    <s v="002"/>
    <n v="15000"/>
    <n v="0"/>
    <n v="-15000"/>
    <n v="0"/>
    <n v="0"/>
    <n v="0"/>
    <n v="0"/>
    <n v="0"/>
    <n v="0"/>
    <n v="0"/>
  </r>
  <r>
    <s v="73"/>
    <x v="1"/>
    <x v="2"/>
    <s v="ZA01M000"/>
    <x v="42"/>
    <s v="M103"/>
    <s v="SALUD AL DIA"/>
    <s v="GI00M10300001D"/>
    <s v="GI00M10300001D MEJORAMIENTO DEL MODELO DE GESTIÓN DE SA"/>
    <s v="73 BIENES Y SERVICIOS PARA INVERSIÓN"/>
    <s v="730201 Transporte de Personal"/>
    <s v="G/730201/1MM103"/>
    <s v="001"/>
    <n v="0"/>
    <n v="110080"/>
    <n v="-100080"/>
    <n v="10000"/>
    <n v="0"/>
    <n v="0"/>
    <n v="0"/>
    <n v="10000"/>
    <n v="10000"/>
    <n v="10000"/>
  </r>
  <r>
    <s v="73"/>
    <x v="1"/>
    <x v="2"/>
    <s v="ZA01M000"/>
    <x v="42"/>
    <s v="M103"/>
    <s v="SALUD AL DIA"/>
    <s v="GI00M10300001D"/>
    <s v="GI00M10300001D MEJORAMIENTO DEL MODELO DE GESTIÓN DE SA"/>
    <s v="73 BIENES Y SERVICIOS PARA INVERSIÓN"/>
    <s v="730204 Edición, Impresión, Reproducción, Public"/>
    <s v="G/730204/1MM103"/>
    <s v="001"/>
    <n v="0"/>
    <n v="9498.7199999999993"/>
    <n v="0"/>
    <n v="9498.7199999999993"/>
    <n v="0"/>
    <n v="3949.58"/>
    <n v="3949.58"/>
    <n v="5549.14"/>
    <n v="5549.14"/>
    <n v="5549.14"/>
  </r>
  <r>
    <s v="73"/>
    <x v="1"/>
    <x v="2"/>
    <s v="ZA01M000"/>
    <x v="42"/>
    <s v="M103"/>
    <s v="SALUD AL DIA"/>
    <s v="GI00M10300001D"/>
    <s v="GI00M10300001D MEJORAMIENTO DEL MODELO DE GESTIÓN DE SA"/>
    <s v="73 BIENES Y SERVICIOS PARA INVERSIÓN"/>
    <s v="730226 Servicios Médicos Hospitalarios y Complemen"/>
    <s v="G/730226/1MM103"/>
    <s v="001"/>
    <n v="0"/>
    <n v="3528000"/>
    <n v="0"/>
    <n v="3528000"/>
    <n v="78000"/>
    <n v="650000"/>
    <n v="371475"/>
    <n v="2878000"/>
    <n v="3156525"/>
    <n v="2800000"/>
  </r>
  <r>
    <s v="73"/>
    <x v="1"/>
    <x v="2"/>
    <s v="ZA01M000"/>
    <x v="42"/>
    <s v="M103"/>
    <s v="SALUD AL DIA"/>
    <s v="GI00M10300001D"/>
    <s v="GI00M10300001D MEJORAMIENTO DEL MODELO DE GESTIÓN DE SA"/>
    <s v="73 BIENES Y SERVICIOS PARA INVERSIÓN"/>
    <s v="730242 Servicios de Almacenamiento,Control,Custodi"/>
    <s v="G/730242/1MM103"/>
    <s v="001"/>
    <n v="0"/>
    <n v="7840"/>
    <n v="0"/>
    <n v="7840"/>
    <n v="0"/>
    <n v="2400"/>
    <n v="800"/>
    <n v="5440"/>
    <n v="7040"/>
    <n v="5440"/>
  </r>
  <r>
    <s v="73"/>
    <x v="1"/>
    <x v="2"/>
    <s v="ZA01M000"/>
    <x v="42"/>
    <s v="M103"/>
    <s v="SALUD AL DIA"/>
    <s v="GI00M10300001D"/>
    <s v="GI00M10300001D MEJORAMIENTO DEL MODELO DE GESTIÓN DE SA"/>
    <s v="73 BIENES Y SERVICIOS PARA INVERSIÓN"/>
    <s v="730402 Edificios, Locales, Residencias y Cablea"/>
    <s v="G/730402/1MM103"/>
    <s v="001"/>
    <n v="0"/>
    <n v="7001.12"/>
    <n v="0"/>
    <n v="7001.12"/>
    <n v="0"/>
    <n v="0"/>
    <n v="0"/>
    <n v="7001.12"/>
    <n v="7001.12"/>
    <n v="7001.12"/>
  </r>
  <r>
    <s v="73"/>
    <x v="1"/>
    <x v="2"/>
    <s v="ZA01M000"/>
    <x v="42"/>
    <s v="M103"/>
    <s v="SALUD AL DIA"/>
    <s v="GI00M10300001D"/>
    <s v="GI00M10300001D MEJORAMIENTO DEL MODELO DE GESTIÓN DE SA"/>
    <s v="73 BIENES Y SERVICIOS PARA INVERSIÓN"/>
    <s v="730802 Vestuario, Lencería, Prendas de Protecci"/>
    <s v="G/730802/1MM103"/>
    <s v="001"/>
    <n v="0"/>
    <n v="7050"/>
    <n v="0"/>
    <n v="7050"/>
    <n v="0"/>
    <n v="7050"/>
    <n v="7050"/>
    <n v="0"/>
    <n v="0"/>
    <n v="0"/>
  </r>
  <r>
    <s v="73"/>
    <x v="1"/>
    <x v="2"/>
    <s v="ZA01M000"/>
    <x v="42"/>
    <s v="M103"/>
    <s v="SALUD AL DIA"/>
    <s v="GI00M10300001D"/>
    <s v="GI00M10300001D MEJORAMIENTO DEL MODELO DE GESTIÓN DE SA"/>
    <s v="73 BIENES Y SERVICIOS PARA INVERSIÓN"/>
    <s v="730804 Materiales de Oficina"/>
    <s v="G/730804/1MM103"/>
    <s v="001"/>
    <n v="0"/>
    <n v="1020.88"/>
    <n v="0"/>
    <n v="1020.88"/>
    <n v="0"/>
    <n v="873.6"/>
    <n v="873.6"/>
    <n v="147.28"/>
    <n v="147.28"/>
    <n v="147.28"/>
  </r>
  <r>
    <s v="73"/>
    <x v="1"/>
    <x v="2"/>
    <s v="ZA01M000"/>
    <x v="42"/>
    <s v="M103"/>
    <s v="SALUD AL DIA"/>
    <s v="GI00M10300001D"/>
    <s v="GI00M10300001D MEJORAMIENTO DEL MODELO DE GESTIÓN DE SA"/>
    <s v="73 BIENES Y SERVICIOS PARA INVERSIÓN"/>
    <s v="730805 Materiales de Aseo"/>
    <s v="G/730805/1MM103"/>
    <s v="001"/>
    <n v="0"/>
    <n v="21248.32"/>
    <n v="0"/>
    <n v="21248.32"/>
    <n v="0.01"/>
    <n v="9772.86"/>
    <n v="7940.8"/>
    <n v="11475.46"/>
    <n v="13307.52"/>
    <n v="11475.45"/>
  </r>
  <r>
    <s v="73"/>
    <x v="1"/>
    <x v="2"/>
    <s v="ZA01M000"/>
    <x v="42"/>
    <s v="M103"/>
    <s v="SALUD AL DIA"/>
    <s v="GI00M10300001D"/>
    <s v="GI00M10300001D MEJORAMIENTO DEL MODELO DE GESTIÓN DE SA"/>
    <s v="73 BIENES Y SERVICIOS PARA INVERSIÓN"/>
    <s v="730810 Dispositivos Médicos para Laboratorio Cl"/>
    <s v="G/730810/1MM103"/>
    <s v="001"/>
    <n v="0"/>
    <n v="4271007.62"/>
    <n v="0"/>
    <n v="4271007.62"/>
    <n v="0"/>
    <n v="4242544.57"/>
    <n v="7797.57"/>
    <n v="28463.05"/>
    <n v="4263210.05"/>
    <n v="28463.05"/>
  </r>
  <r>
    <s v="73"/>
    <x v="1"/>
    <x v="2"/>
    <s v="ZA01M000"/>
    <x v="42"/>
    <s v="M103"/>
    <s v="SALUD AL DIA"/>
    <s v="GI00M10300001D"/>
    <s v="GI00M10300001D MEJORAMIENTO DEL MODELO DE GESTIÓN DE SA"/>
    <s v="73 BIENES Y SERVICIOS PARA INVERSIÓN"/>
    <s v="730811 Insumos, Materiales y Suministros para Cons"/>
    <s v="G/730811/1MM103"/>
    <s v="001"/>
    <n v="0"/>
    <n v="590.02"/>
    <n v="0"/>
    <n v="590.02"/>
    <n v="0"/>
    <n v="590.02"/>
    <n v="0"/>
    <n v="0"/>
    <n v="590.02"/>
    <n v="0"/>
  </r>
  <r>
    <s v="73"/>
    <x v="1"/>
    <x v="2"/>
    <s v="ZA01M000"/>
    <x v="42"/>
    <s v="M103"/>
    <s v="SALUD AL DIA"/>
    <s v="GI00M10300001D"/>
    <s v="GI00M10300001D MEJORAMIENTO DEL MODELO DE GESTIÓN DE SA"/>
    <s v="73 BIENES Y SERVICIOS PARA INVERSIÓN"/>
    <s v="730819 Accesorios e Insumos Químicos y Orgánicos"/>
    <s v="G/730819/1MM103"/>
    <s v="001"/>
    <n v="0"/>
    <n v="4760"/>
    <n v="0"/>
    <n v="4760"/>
    <n v="0"/>
    <n v="4760"/>
    <n v="0"/>
    <n v="0"/>
    <n v="4760"/>
    <n v="0"/>
  </r>
  <r>
    <s v="73"/>
    <x v="1"/>
    <x v="2"/>
    <s v="ZA01M000"/>
    <x v="42"/>
    <s v="M103"/>
    <s v="SALUD AL DIA"/>
    <s v="GI00M10300001D"/>
    <s v="GI00M10300001D MEJORAMIENTO DEL MODELO DE GESTIÓN DE SA"/>
    <s v="73 BIENES Y SERVICIOS PARA INVERSIÓN"/>
    <s v="730820 Menaje y Accesorios Descartables"/>
    <s v="G/730820/1MM103"/>
    <s v="001"/>
    <n v="0"/>
    <n v="2266.3200000000002"/>
    <n v="0"/>
    <n v="2266.3200000000002"/>
    <n v="0"/>
    <n v="2266.3200000000002"/>
    <n v="0"/>
    <n v="0"/>
    <n v="2266.3200000000002"/>
    <n v="0"/>
  </r>
  <r>
    <s v="73"/>
    <x v="1"/>
    <x v="2"/>
    <s v="ZA01M000"/>
    <x v="42"/>
    <s v="M103"/>
    <s v="SALUD AL DIA"/>
    <s v="GI00M10300001D"/>
    <s v="GI00M10300001D MEJORAMIENTO DEL MODELO DE GESTIÓN DE SA"/>
    <s v="73 BIENES Y SERVICIOS PARA INVERSIÓN"/>
    <s v="730826 Dispositivos Médicos de Uso General"/>
    <s v="G/730826/1MM103"/>
    <s v="001"/>
    <n v="0"/>
    <n v="40367.360000000001"/>
    <n v="0"/>
    <n v="40367.360000000001"/>
    <n v="0"/>
    <n v="8080.24"/>
    <n v="7932.4"/>
    <n v="32287.119999999999"/>
    <n v="32434.959999999999"/>
    <n v="32287.119999999999"/>
  </r>
  <r>
    <s v="73"/>
    <x v="1"/>
    <x v="2"/>
    <s v="ZA01M000"/>
    <x v="42"/>
    <s v="M103"/>
    <s v="SALUD AL DIA"/>
    <s v="GI00M10300001D"/>
    <s v="GI00M10300001D MEJORAMIENTO DEL MODELO DE GESTIÓN DE SA"/>
    <s v="73 BIENES Y SERVICIOS PARA INVERSIÓN"/>
    <s v="731404 Maquinarias y Equipos"/>
    <s v="G/731404/1MM103"/>
    <s v="001"/>
    <n v="0"/>
    <n v="2265.7600000000002"/>
    <n v="0"/>
    <n v="2265.7600000000002"/>
    <n v="0"/>
    <n v="732.48"/>
    <n v="732.48"/>
    <n v="1533.28"/>
    <n v="1533.28"/>
    <n v="1533.28"/>
  </r>
  <r>
    <s v="73"/>
    <x v="2"/>
    <x v="7"/>
    <s v="ZV05F050"/>
    <x v="39"/>
    <s v="M103"/>
    <s v="SALUD AL DIA"/>
    <s v="GI00M10300003D"/>
    <s v="GI00M10300003D SEGURIDAD ALIMENTARIA Y DE CALIDAD"/>
    <s v="73 BIENES Y SERVICIOS PARA INVERSIÓN"/>
    <s v="730204 Edición, Impresión, Reproducción, Public"/>
    <s v="G/730204/1FM103"/>
    <s v="001"/>
    <n v="6000"/>
    <n v="0"/>
    <n v="-6000"/>
    <n v="0"/>
    <n v="0"/>
    <n v="0"/>
    <n v="0"/>
    <n v="0"/>
    <n v="0"/>
    <n v="0"/>
  </r>
  <r>
    <s v="73"/>
    <x v="2"/>
    <x v="7"/>
    <s v="ZT06F060"/>
    <x v="40"/>
    <s v="M103"/>
    <s v="SALUD AL DIA"/>
    <s v="GI00M10300003D"/>
    <s v="GI00M10300003D SEGURIDAD ALIMENTARIA Y DE CALIDAD"/>
    <s v="73 BIENES Y SERVICIOS PARA INVERSIÓN"/>
    <s v="730204 Edición, Impresión, Reproducción, Public"/>
    <s v="G/730204/1FM103"/>
    <s v="001"/>
    <n v="1000"/>
    <n v="-1000"/>
    <n v="0"/>
    <n v="0"/>
    <n v="0"/>
    <n v="0"/>
    <n v="0"/>
    <n v="0"/>
    <n v="0"/>
    <n v="0"/>
  </r>
  <r>
    <s v="73"/>
    <x v="2"/>
    <x v="7"/>
    <s v="ZM04F040"/>
    <x v="41"/>
    <s v="M103"/>
    <s v="SALUD AL DIA"/>
    <s v="GI00M10300003D"/>
    <s v="GI00M10300003D SEGURIDAD ALIMENTARIA Y DE CALIDAD"/>
    <s v="73 BIENES Y SERVICIOS PARA INVERSIÓN"/>
    <s v="730204 Edición, Impresión, Reproducción, Public"/>
    <s v="G/730204/1FM103"/>
    <s v="001"/>
    <n v="2000"/>
    <n v="0"/>
    <n v="-2000"/>
    <n v="0"/>
    <n v="0"/>
    <n v="0"/>
    <n v="0"/>
    <n v="0"/>
    <n v="0"/>
    <n v="0"/>
  </r>
  <r>
    <s v="73"/>
    <x v="2"/>
    <x v="7"/>
    <s v="ZS03F030"/>
    <x v="45"/>
    <s v="M103"/>
    <s v="SALUD AL DIA"/>
    <s v="GI00M10300003D"/>
    <s v="GI00M10300003D SEGURIDAD ALIMENTARIA Y DE CALIDAD"/>
    <s v="73 BIENES Y SERVICIOS PARA INVERSIÓN"/>
    <s v="730204 Edición, Impresión, Reproducción, Public"/>
    <s v="G/730204/1FM103"/>
    <s v="001"/>
    <n v="1000"/>
    <n v="0"/>
    <n v="-1000"/>
    <n v="0"/>
    <n v="0"/>
    <n v="0"/>
    <n v="0"/>
    <n v="0"/>
    <n v="0"/>
    <n v="0"/>
  </r>
  <r>
    <s v="73"/>
    <x v="2"/>
    <x v="7"/>
    <s v="ZD07F070"/>
    <x v="43"/>
    <s v="M103"/>
    <s v="SALUD AL DIA"/>
    <s v="GI00M10300003D"/>
    <s v="GI00M10300003D SEGURIDAD ALIMENTARIA Y DE CALIDAD"/>
    <s v="73 BIENES Y SERVICIOS PARA INVERSIÓN"/>
    <s v="730204 Edición, Impresión, Reproducción, Public"/>
    <s v="G/730204/1FM103"/>
    <s v="001"/>
    <n v="5000"/>
    <n v="0"/>
    <n v="-5000"/>
    <n v="0"/>
    <n v="0"/>
    <n v="0"/>
    <n v="0"/>
    <n v="0"/>
    <n v="0"/>
    <n v="0"/>
  </r>
  <r>
    <s v="73"/>
    <x v="2"/>
    <x v="7"/>
    <s v="ZQ08F080"/>
    <x v="44"/>
    <s v="M103"/>
    <s v="SALUD AL DIA"/>
    <s v="GI00M10300003D"/>
    <s v="GI00M10300003D SEGURIDAD ALIMENTARIA Y DE CALIDAD"/>
    <s v="73 BIENES Y SERVICIOS PARA INVERSIÓN"/>
    <s v="730204 Edición, Impresión, Reproducción, Public"/>
    <s v="G/730204/1FM103"/>
    <s v="001"/>
    <n v="10000"/>
    <n v="0"/>
    <n v="-10000"/>
    <n v="0"/>
    <n v="0"/>
    <n v="0"/>
    <n v="0"/>
    <n v="0"/>
    <n v="0"/>
    <n v="0"/>
  </r>
  <r>
    <s v="73"/>
    <x v="2"/>
    <x v="7"/>
    <s v="ZN02F020"/>
    <x v="46"/>
    <s v="M103"/>
    <s v="SALUD AL DIA"/>
    <s v="GI00M10300003D"/>
    <s v="GI00M10300003D SEGURIDAD ALIMENTARIA Y DE CALIDAD"/>
    <s v="73 BIENES Y SERVICIOS PARA INVERSIÓN"/>
    <s v="730204 Edición, Impresión, Reproducción, Public"/>
    <s v="G/730204/1FM103"/>
    <s v="001"/>
    <n v="4000"/>
    <n v="0"/>
    <n v="-4000"/>
    <n v="0"/>
    <n v="0"/>
    <n v="0"/>
    <n v="0"/>
    <n v="0"/>
    <n v="0"/>
    <n v="0"/>
  </r>
  <r>
    <s v="73"/>
    <x v="2"/>
    <x v="7"/>
    <s v="ZT06F060"/>
    <x v="40"/>
    <s v="M103"/>
    <s v="SALUD AL DIA"/>
    <s v="GI00M10300003D"/>
    <s v="GI00M10300003D SEGURIDAD ALIMENTARIA Y DE CALIDAD"/>
    <s v="73 BIENES Y SERVICIOS PARA INVERSIÓN"/>
    <s v="730205 Espectáculos Culturales y Sociales"/>
    <s v="G/730205/1FM103"/>
    <s v="001"/>
    <n v="3000"/>
    <n v="-3000"/>
    <n v="0"/>
    <n v="0"/>
    <n v="0"/>
    <n v="0"/>
    <n v="0"/>
    <n v="0"/>
    <n v="0"/>
    <n v="0"/>
  </r>
  <r>
    <s v="73"/>
    <x v="2"/>
    <x v="7"/>
    <s v="ZS03F030"/>
    <x v="45"/>
    <s v="M103"/>
    <s v="SALUD AL DIA"/>
    <s v="GI00M10300003D"/>
    <s v="GI00M10300003D SEGURIDAD ALIMENTARIA Y DE CALIDAD"/>
    <s v="73 BIENES Y SERVICIOS PARA INVERSIÓN"/>
    <s v="730205 Espectáculos Culturales y Sociales"/>
    <s v="G/730205/1FM103"/>
    <s v="001"/>
    <n v="6000"/>
    <n v="0"/>
    <n v="-6000"/>
    <n v="0"/>
    <n v="0"/>
    <n v="0"/>
    <n v="0"/>
    <n v="0"/>
    <n v="0"/>
    <n v="0"/>
  </r>
  <r>
    <s v="73"/>
    <x v="2"/>
    <x v="7"/>
    <s v="ZV05F050"/>
    <x v="39"/>
    <s v="M103"/>
    <s v="SALUD AL DIA"/>
    <s v="GI00M10300003D"/>
    <s v="GI00M10300003D SEGURIDAD ALIMENTARIA Y DE CALIDAD"/>
    <s v="73 BIENES Y SERVICIOS PARA INVERSIÓN"/>
    <s v="730205 Espectáculos Culturales y Sociales"/>
    <s v="G/730205/1FM103"/>
    <s v="001"/>
    <n v="3000"/>
    <n v="0"/>
    <n v="-3000"/>
    <n v="0"/>
    <n v="0"/>
    <n v="0"/>
    <n v="0"/>
    <n v="0"/>
    <n v="0"/>
    <n v="0"/>
  </r>
  <r>
    <s v="73"/>
    <x v="2"/>
    <x v="7"/>
    <s v="ZM04F040"/>
    <x v="41"/>
    <s v="M103"/>
    <s v="SALUD AL DIA"/>
    <s v="GI00M10300003D"/>
    <s v="GI00M10300003D SEGURIDAD ALIMENTARIA Y DE CALIDAD"/>
    <s v="73 BIENES Y SERVICIOS PARA INVERSIÓN"/>
    <s v="730205 Espectáculos Culturales y Sociales"/>
    <s v="G/730205/1FM103"/>
    <s v="001"/>
    <n v="6000"/>
    <n v="0"/>
    <n v="-6000"/>
    <n v="0"/>
    <n v="0"/>
    <n v="0"/>
    <n v="0"/>
    <n v="0"/>
    <n v="0"/>
    <n v="0"/>
  </r>
  <r>
    <s v="73"/>
    <x v="2"/>
    <x v="7"/>
    <s v="ZC09F090"/>
    <x v="10"/>
    <s v="M103"/>
    <s v="SALUD AL DIA"/>
    <s v="GI00M10300003D"/>
    <s v="GI00M10300003D SEGURIDAD ALIMENTARIA Y DE CALIDAD"/>
    <s v="73 BIENES Y SERVICIOS PARA INVERSIÓN"/>
    <s v="730205 Espectáculos Culturales y Sociales"/>
    <s v="G/730205/1FM103"/>
    <s v="001"/>
    <n v="3000"/>
    <n v="0"/>
    <n v="-3000"/>
    <n v="0"/>
    <n v="0"/>
    <n v="0"/>
    <n v="0"/>
    <n v="0"/>
    <n v="0"/>
    <n v="0"/>
  </r>
  <r>
    <s v="73"/>
    <x v="2"/>
    <x v="7"/>
    <s v="ZQ08F080"/>
    <x v="44"/>
    <s v="M103"/>
    <s v="SALUD AL DIA"/>
    <s v="GI00M10300003D"/>
    <s v="GI00M10300003D SEGURIDAD ALIMENTARIA Y DE CALIDAD"/>
    <s v="73 BIENES Y SERVICIOS PARA INVERSIÓN"/>
    <s v="730205 Espectáculos Culturales y Sociales"/>
    <s v="G/730205/1FM103"/>
    <s v="001"/>
    <n v="3000"/>
    <n v="0"/>
    <n v="-3000"/>
    <n v="0"/>
    <n v="0"/>
    <n v="0"/>
    <n v="0"/>
    <n v="0"/>
    <n v="0"/>
    <n v="0"/>
  </r>
  <r>
    <s v="73"/>
    <x v="2"/>
    <x v="7"/>
    <s v="ZN02F020"/>
    <x v="46"/>
    <s v="M103"/>
    <s v="SALUD AL DIA"/>
    <s v="GI00M10300003D"/>
    <s v="GI00M10300003D SEGURIDAD ALIMENTARIA Y DE CALIDAD"/>
    <s v="73 BIENES Y SERVICIOS PARA INVERSIÓN"/>
    <s v="730205 Espectáculos Culturales y Sociales"/>
    <s v="G/730205/1FM103"/>
    <s v="001"/>
    <n v="9000"/>
    <n v="0"/>
    <n v="-9000"/>
    <n v="0"/>
    <n v="0"/>
    <n v="0"/>
    <n v="0"/>
    <n v="0"/>
    <n v="0"/>
    <n v="0"/>
  </r>
  <r>
    <s v="73"/>
    <x v="2"/>
    <x v="7"/>
    <s v="ZD07F070"/>
    <x v="43"/>
    <s v="M103"/>
    <s v="SALUD AL DIA"/>
    <s v="GI00M10300003D"/>
    <s v="GI00M10300003D SEGURIDAD ALIMENTARIA Y DE CALIDAD"/>
    <s v="73 BIENES Y SERVICIOS PARA INVERSIÓN"/>
    <s v="730205 Espectáculos Culturales y Sociales"/>
    <s v="G/730205/1FM103"/>
    <s v="001"/>
    <n v="3000"/>
    <n v="-3000"/>
    <n v="0"/>
    <n v="0"/>
    <n v="0"/>
    <n v="0"/>
    <n v="0"/>
    <n v="0"/>
    <n v="0"/>
    <n v="0"/>
  </r>
  <r>
    <s v="73"/>
    <x v="1"/>
    <x v="2"/>
    <s v="ZA01M000"/>
    <x v="42"/>
    <s v="M103"/>
    <s v="SALUD AL DIA"/>
    <s v="GI00M10300003D"/>
    <s v="GI00M10300003D SEGURIDAD ALIMENTARIA Y DE CALIDAD"/>
    <s v="73 BIENES Y SERVICIOS PARA INVERSIÓN"/>
    <s v="730404 Maquinarias y Equipos (Instalación, Mant"/>
    <s v="G/730404/1MM103"/>
    <s v="001"/>
    <n v="2500"/>
    <n v="0"/>
    <n v="0"/>
    <n v="2500"/>
    <n v="0"/>
    <n v="0"/>
    <n v="0"/>
    <n v="2500"/>
    <n v="2500"/>
    <n v="2500"/>
  </r>
  <r>
    <s v="73"/>
    <x v="2"/>
    <x v="7"/>
    <s v="ZN02F020"/>
    <x v="46"/>
    <s v="M103"/>
    <s v="SALUD AL DIA"/>
    <s v="GI00M10300003D"/>
    <s v="GI00M10300003D SEGURIDAD ALIMENTARIA Y DE CALIDAD"/>
    <s v="73 BIENES Y SERVICIOS PARA INVERSIÓN"/>
    <s v="730505 Vehículos (Arrendamiento)"/>
    <s v="G/730505/1FM103"/>
    <s v="001"/>
    <n v="21090.240000000002"/>
    <n v="0"/>
    <n v="-21090.240000000002"/>
    <n v="0"/>
    <n v="0"/>
    <n v="0"/>
    <n v="0"/>
    <n v="0"/>
    <n v="0"/>
    <n v="0"/>
  </r>
  <r>
    <s v="73"/>
    <x v="2"/>
    <x v="7"/>
    <s v="ZQ08F080"/>
    <x v="44"/>
    <s v="M103"/>
    <s v="SALUD AL DIA"/>
    <s v="GI00M10300003D"/>
    <s v="GI00M10300003D SEGURIDAD ALIMENTARIA Y DE CALIDAD"/>
    <s v="73 BIENES Y SERVICIOS PARA INVERSIÓN"/>
    <s v="730505 Vehículos (Arrendamiento)"/>
    <s v="G/730505/1FM103"/>
    <s v="001"/>
    <n v="21090.240000000002"/>
    <n v="0"/>
    <n v="-14059.96"/>
    <n v="7030.28"/>
    <n v="0"/>
    <n v="7030.28"/>
    <n v="3515.14"/>
    <n v="0"/>
    <n v="3515.14"/>
    <n v="0"/>
  </r>
  <r>
    <s v="73"/>
    <x v="2"/>
    <x v="7"/>
    <s v="ZM04F040"/>
    <x v="41"/>
    <s v="M103"/>
    <s v="SALUD AL DIA"/>
    <s v="GI00M10300003D"/>
    <s v="GI00M10300003D SEGURIDAD ALIMENTARIA Y DE CALIDAD"/>
    <s v="73 BIENES Y SERVICIOS PARA INVERSIÓN"/>
    <s v="730505 Vehículos (Arrendamiento)"/>
    <s v="G/730505/1FM103"/>
    <s v="001"/>
    <n v="21090.240000000002"/>
    <n v="-5000"/>
    <n v="-16090.24"/>
    <n v="0"/>
    <n v="0"/>
    <n v="0"/>
    <n v="0"/>
    <n v="0"/>
    <n v="0"/>
    <n v="0"/>
  </r>
  <r>
    <s v="73"/>
    <x v="2"/>
    <x v="7"/>
    <s v="ZD07F070"/>
    <x v="43"/>
    <s v="M103"/>
    <s v="SALUD AL DIA"/>
    <s v="GI00M10300003D"/>
    <s v="GI00M10300003D SEGURIDAD ALIMENTARIA Y DE CALIDAD"/>
    <s v="73 BIENES Y SERVICIOS PARA INVERSIÓN"/>
    <s v="730505 Vehículos (Arrendamiento)"/>
    <s v="G/730505/1FM103"/>
    <s v="001"/>
    <n v="21090.240000000002"/>
    <n v="-8103.53"/>
    <n v="-3238.32"/>
    <n v="9748.39"/>
    <n v="0"/>
    <n v="9748.39"/>
    <n v="3685.37"/>
    <n v="0"/>
    <n v="6063.02"/>
    <n v="0"/>
  </r>
  <r>
    <s v="73"/>
    <x v="2"/>
    <x v="7"/>
    <s v="ZS03F030"/>
    <x v="45"/>
    <s v="M103"/>
    <s v="SALUD AL DIA"/>
    <s v="GI00M10300003D"/>
    <s v="GI00M10300003D SEGURIDAD ALIMENTARIA Y DE CALIDAD"/>
    <s v="73 BIENES Y SERVICIOS PARA INVERSIÓN"/>
    <s v="730505 Vehículos (Arrendamiento)"/>
    <s v="G/730505/1FM103"/>
    <s v="001"/>
    <n v="21090.240000000002"/>
    <n v="0"/>
    <n v="-21090.240000000002"/>
    <n v="0"/>
    <n v="0"/>
    <n v="0"/>
    <n v="0"/>
    <n v="0"/>
    <n v="0"/>
    <n v="0"/>
  </r>
  <r>
    <s v="73"/>
    <x v="2"/>
    <x v="7"/>
    <s v="ZC09F090"/>
    <x v="10"/>
    <s v="M103"/>
    <s v="SALUD AL DIA"/>
    <s v="GI00M10300003D"/>
    <s v="GI00M10300003D SEGURIDAD ALIMENTARIA Y DE CALIDAD"/>
    <s v="73 BIENES Y SERVICIOS PARA INVERSIÓN"/>
    <s v="730505 Vehículos (Arrendamiento)"/>
    <s v="G/730505/1FM103"/>
    <s v="001"/>
    <n v="21090.240000000002"/>
    <n v="0"/>
    <n v="-13243.29"/>
    <n v="7846.95"/>
    <n v="0"/>
    <n v="1569.39"/>
    <n v="1569.39"/>
    <n v="6277.56"/>
    <n v="6277.56"/>
    <n v="6277.56"/>
  </r>
  <r>
    <s v="73"/>
    <x v="2"/>
    <x v="7"/>
    <s v="ZV05F050"/>
    <x v="39"/>
    <s v="M103"/>
    <s v="SALUD AL DIA"/>
    <s v="GI00M10300003D"/>
    <s v="GI00M10300003D SEGURIDAD ALIMENTARIA Y DE CALIDAD"/>
    <s v="73 BIENES Y SERVICIOS PARA INVERSIÓN"/>
    <s v="730505 Vehículos (Arrendamiento)"/>
    <s v="G/730505/1FM103"/>
    <s v="001"/>
    <n v="21090.240000000002"/>
    <n v="0"/>
    <n v="-21090.240000000002"/>
    <n v="0"/>
    <n v="0"/>
    <n v="0"/>
    <n v="0"/>
    <n v="0"/>
    <n v="0"/>
    <n v="0"/>
  </r>
  <r>
    <s v="73"/>
    <x v="2"/>
    <x v="7"/>
    <s v="ZT06F060"/>
    <x v="40"/>
    <s v="M103"/>
    <s v="SALUD AL DIA"/>
    <s v="GI00M10300003D"/>
    <s v="GI00M10300003D SEGURIDAD ALIMENTARIA Y DE CALIDAD"/>
    <s v="73 BIENES Y SERVICIOS PARA INVERSIÓN"/>
    <s v="730505 Vehículos (Arrendamiento)"/>
    <s v="G/730505/1FM103"/>
    <s v="001"/>
    <n v="21090.240000000002"/>
    <n v="-5000"/>
    <n v="-16090.24"/>
    <n v="0"/>
    <n v="0"/>
    <n v="0"/>
    <n v="0"/>
    <n v="0"/>
    <n v="0"/>
    <n v="0"/>
  </r>
  <r>
    <s v="73"/>
    <x v="2"/>
    <x v="7"/>
    <s v="ZQ08F080"/>
    <x v="44"/>
    <s v="M103"/>
    <s v="SALUD AL DIA"/>
    <s v="GI00M10300003D"/>
    <s v="GI00M10300003D SEGURIDAD ALIMENTARIA Y DE CALIDAD"/>
    <s v="73 BIENES Y SERVICIOS PARA INVERSIÓN"/>
    <s v="730606 Honorarios por Contratos Civiles de Servici"/>
    <s v="G/730606/1FM103"/>
    <s v="001"/>
    <n v="56830.68"/>
    <n v="0"/>
    <n v="-44734.68"/>
    <n v="12096"/>
    <n v="0"/>
    <n v="0"/>
    <n v="0"/>
    <n v="12096"/>
    <n v="12096"/>
    <n v="12096"/>
  </r>
  <r>
    <s v="73"/>
    <x v="1"/>
    <x v="2"/>
    <s v="ZA01M000"/>
    <x v="42"/>
    <s v="M103"/>
    <s v="SALUD AL DIA"/>
    <s v="GI00M10300003D"/>
    <s v="GI00M10300003D SEGURIDAD ALIMENTARIA Y DE CALIDAD"/>
    <s v="73 BIENES Y SERVICIOS PARA INVERSIÓN"/>
    <s v="730606 Honorarios por Contratos Civiles de Servici"/>
    <s v="G/730606/1MM103"/>
    <s v="001"/>
    <n v="7799.89"/>
    <n v="0"/>
    <n v="0"/>
    <n v="7799.89"/>
    <n v="0"/>
    <n v="0"/>
    <n v="0"/>
    <n v="7799.89"/>
    <n v="7799.89"/>
    <n v="7799.89"/>
  </r>
  <r>
    <s v="73"/>
    <x v="2"/>
    <x v="7"/>
    <s v="ZN02F020"/>
    <x v="46"/>
    <s v="M103"/>
    <s v="SALUD AL DIA"/>
    <s v="GI00M10300003D"/>
    <s v="GI00M10300003D SEGURIDAD ALIMENTARIA Y DE CALIDAD"/>
    <s v="73 BIENES Y SERVICIOS PARA INVERSIÓN"/>
    <s v="730606 Honorarios por Contratos Civiles de Servici"/>
    <s v="G/730606/1FM103"/>
    <s v="001"/>
    <n v="56830.68"/>
    <n v="0"/>
    <n v="-56830.68"/>
    <n v="0"/>
    <n v="0"/>
    <n v="0"/>
    <n v="0"/>
    <n v="0"/>
    <n v="0"/>
    <n v="0"/>
  </r>
  <r>
    <s v="73"/>
    <x v="2"/>
    <x v="7"/>
    <s v="ZS03F030"/>
    <x v="45"/>
    <s v="M103"/>
    <s v="SALUD AL DIA"/>
    <s v="GI00M10300003D"/>
    <s v="GI00M10300003D SEGURIDAD ALIMENTARIA Y DE CALIDAD"/>
    <s v="73 BIENES Y SERVICIOS PARA INVERSIÓN"/>
    <s v="730606 Honorarios por Contratos Civiles de Servici"/>
    <s v="G/730606/1FM103"/>
    <s v="001"/>
    <n v="18943.560000000001"/>
    <n v="0"/>
    <n v="-18943.560000000001"/>
    <n v="0"/>
    <n v="0"/>
    <n v="0"/>
    <n v="0"/>
    <n v="0"/>
    <n v="0"/>
    <n v="0"/>
  </r>
  <r>
    <s v="73"/>
    <x v="2"/>
    <x v="7"/>
    <s v="TM68F100"/>
    <x v="36"/>
    <s v="M103"/>
    <s v="SALUD AL DIA"/>
    <s v="GI00M10300003D"/>
    <s v="GI00M10300003D SEGURIDAD ALIMENTARIA Y DE CALIDAD"/>
    <s v="73 BIENES Y SERVICIOS PARA INVERSIÓN"/>
    <s v="730606 Honorarios por Contratos Civiles de Servici"/>
    <s v="G/730606/1FM103"/>
    <s v="001"/>
    <n v="18943.560000000001"/>
    <n v="-8048"/>
    <n v="-10895.56"/>
    <n v="0"/>
    <n v="0"/>
    <n v="0"/>
    <n v="0"/>
    <n v="0"/>
    <n v="0"/>
    <n v="0"/>
  </r>
  <r>
    <s v="73"/>
    <x v="2"/>
    <x v="7"/>
    <s v="ZV05F050"/>
    <x v="39"/>
    <s v="M103"/>
    <s v="SALUD AL DIA"/>
    <s v="GI00M10300003D"/>
    <s v="GI00M10300003D SEGURIDAD ALIMENTARIA Y DE CALIDAD"/>
    <s v="73 BIENES Y SERVICIOS PARA INVERSIÓN"/>
    <s v="730606 Honorarios por Contratos Civiles de Servici"/>
    <s v="G/730606/1FM103"/>
    <s v="001"/>
    <n v="56830.7"/>
    <n v="0"/>
    <n v="-56830.7"/>
    <n v="0"/>
    <n v="0"/>
    <n v="0"/>
    <n v="0"/>
    <n v="0"/>
    <n v="0"/>
    <n v="0"/>
  </r>
  <r>
    <s v="73"/>
    <x v="2"/>
    <x v="7"/>
    <s v="ZT06F060"/>
    <x v="40"/>
    <s v="M103"/>
    <s v="SALUD AL DIA"/>
    <s v="GI00M10300003D"/>
    <s v="GI00M10300003D SEGURIDAD ALIMENTARIA Y DE CALIDAD"/>
    <s v="73 BIENES Y SERVICIOS PARA INVERSIÓN"/>
    <s v="730606 Honorarios por Contratos Civiles de Servici"/>
    <s v="G/730606/1FM103"/>
    <s v="001"/>
    <n v="37887.120000000003"/>
    <n v="0"/>
    <n v="-37887.120000000003"/>
    <n v="0"/>
    <n v="0"/>
    <n v="0"/>
    <n v="0"/>
    <n v="0"/>
    <n v="0"/>
    <n v="0"/>
  </r>
  <r>
    <s v="73"/>
    <x v="2"/>
    <x v="7"/>
    <s v="ZC09F090"/>
    <x v="10"/>
    <s v="M103"/>
    <s v="SALUD AL DIA"/>
    <s v="GI00M10300003D"/>
    <s v="GI00M10300003D SEGURIDAD ALIMENTARIA Y DE CALIDAD"/>
    <s v="73 BIENES Y SERVICIOS PARA INVERSIÓN"/>
    <s v="730606 Honorarios por Contratos Civiles de Servici"/>
    <s v="G/730606/1FM103"/>
    <s v="001"/>
    <n v="37887.120000000003"/>
    <n v="0"/>
    <n v="-15786.3"/>
    <n v="22100.82"/>
    <n v="0"/>
    <n v="0"/>
    <n v="0"/>
    <n v="22100.82"/>
    <n v="22100.82"/>
    <n v="22100.82"/>
  </r>
  <r>
    <s v="73"/>
    <x v="2"/>
    <x v="7"/>
    <s v="ZM04F040"/>
    <x v="41"/>
    <s v="M103"/>
    <s v="SALUD AL DIA"/>
    <s v="GI00M10300003D"/>
    <s v="GI00M10300003D SEGURIDAD ALIMENTARIA Y DE CALIDAD"/>
    <s v="73 BIENES Y SERVICIOS PARA INVERSIÓN"/>
    <s v="730606 Honorarios por Contratos Civiles de Servici"/>
    <s v="G/730606/1FM103"/>
    <s v="001"/>
    <n v="37887.120000000003"/>
    <n v="-13269.15"/>
    <n v="-24617.97"/>
    <n v="0"/>
    <n v="0"/>
    <n v="0"/>
    <n v="0"/>
    <n v="0"/>
    <n v="0"/>
    <n v="0"/>
  </r>
  <r>
    <s v="73"/>
    <x v="2"/>
    <x v="7"/>
    <s v="ZD07F070"/>
    <x v="43"/>
    <s v="M103"/>
    <s v="SALUD AL DIA"/>
    <s v="GI00M10300003D"/>
    <s v="GI00M10300003D SEGURIDAD ALIMENTARIA Y DE CALIDAD"/>
    <s v="73 BIENES Y SERVICIOS PARA INVERSIÓN"/>
    <s v="730606 Honorarios por Contratos Civiles de Servici"/>
    <s v="G/730606/1FM103"/>
    <s v="001"/>
    <n v="56830.68"/>
    <n v="-13440"/>
    <n v="-43390.68"/>
    <n v="0"/>
    <n v="0"/>
    <n v="0"/>
    <n v="0"/>
    <n v="0"/>
    <n v="0"/>
    <n v="0"/>
  </r>
  <r>
    <s v="73"/>
    <x v="2"/>
    <x v="7"/>
    <s v="ZM04F040"/>
    <x v="41"/>
    <s v="M103"/>
    <s v="SALUD AL DIA"/>
    <s v="GI00M10300003D"/>
    <s v="GI00M10300003D SEGURIDAD ALIMENTARIA Y DE CALIDAD"/>
    <s v="73 BIENES Y SERVICIOS PARA INVERSIÓN"/>
    <s v="730802 Vestuario, Lencería, Prendas de Protecci"/>
    <s v="G/730802/1FM103"/>
    <s v="001"/>
    <n v="0"/>
    <n v="5893.15"/>
    <n v="-5893.15"/>
    <n v="0"/>
    <n v="0"/>
    <n v="0"/>
    <n v="0"/>
    <n v="0"/>
    <n v="0"/>
    <n v="0"/>
  </r>
  <r>
    <s v="73"/>
    <x v="1"/>
    <x v="2"/>
    <s v="ZA01M000"/>
    <x v="42"/>
    <s v="M103"/>
    <s v="SALUD AL DIA"/>
    <s v="GI00M10300003D"/>
    <s v="GI00M10300003D SEGURIDAD ALIMENTARIA Y DE CALIDAD"/>
    <s v="73 BIENES Y SERVICIOS PARA INVERSIÓN"/>
    <s v="730804 Materiales de Oficina"/>
    <s v="G/730804/1MM103"/>
    <s v="001"/>
    <n v="1000"/>
    <n v="0"/>
    <n v="0"/>
    <n v="1000"/>
    <n v="0"/>
    <n v="0"/>
    <n v="0"/>
    <n v="1000"/>
    <n v="1000"/>
    <n v="1000"/>
  </r>
  <r>
    <s v="73"/>
    <x v="1"/>
    <x v="2"/>
    <s v="ZA01M000"/>
    <x v="42"/>
    <s v="M103"/>
    <s v="SALUD AL DIA"/>
    <s v="GI00M10300003D"/>
    <s v="GI00M10300003D SEGURIDAD ALIMENTARIA Y DE CALIDAD"/>
    <s v="73 BIENES Y SERVICIOS PARA INVERSIÓN"/>
    <s v="730810 Dispositivos Médicos para Laboratorio Cl"/>
    <s v="G/730810/1MM103"/>
    <s v="001"/>
    <n v="55000"/>
    <n v="0"/>
    <n v="0"/>
    <n v="55000"/>
    <n v="6992.01"/>
    <n v="30215.07"/>
    <n v="27896.05"/>
    <n v="24784.93"/>
    <n v="27103.95"/>
    <n v="17792.919999999998"/>
  </r>
  <r>
    <s v="73"/>
    <x v="2"/>
    <x v="7"/>
    <s v="ZT06F060"/>
    <x v="40"/>
    <s v="M103"/>
    <s v="SALUD AL DIA"/>
    <s v="GI00M10300003D"/>
    <s v="GI00M10300003D SEGURIDAD ALIMENTARIA Y DE CALIDAD"/>
    <s v="73 BIENES Y SERVICIOS PARA INVERSIÓN"/>
    <s v="730810 Dispositivos Médicos para Laboratorio Cl"/>
    <s v="G/730810/1FM103"/>
    <s v="001"/>
    <n v="0"/>
    <n v="1000"/>
    <n v="0"/>
    <n v="1000"/>
    <n v="0"/>
    <n v="0"/>
    <n v="0"/>
    <n v="1000"/>
    <n v="1000"/>
    <n v="1000"/>
  </r>
  <r>
    <s v="73"/>
    <x v="2"/>
    <x v="7"/>
    <s v="ZT06F060"/>
    <x v="40"/>
    <s v="M103"/>
    <s v="SALUD AL DIA"/>
    <s v="GI00M10300003D"/>
    <s v="GI00M10300003D SEGURIDAD ALIMENTARIA Y DE CALIDAD"/>
    <s v="73 BIENES Y SERVICIOS PARA INVERSIÓN"/>
    <s v="730812 Materiales Didácticos"/>
    <s v="G/730812/1FM103"/>
    <s v="001"/>
    <n v="0"/>
    <n v="4000"/>
    <n v="-4000"/>
    <n v="0"/>
    <n v="0"/>
    <n v="0"/>
    <n v="0"/>
    <n v="0"/>
    <n v="0"/>
    <n v="0"/>
  </r>
  <r>
    <s v="73"/>
    <x v="2"/>
    <x v="7"/>
    <s v="ZD07F070"/>
    <x v="43"/>
    <s v="M103"/>
    <s v="SALUD AL DIA"/>
    <s v="GI00M10300003D"/>
    <s v="GI00M10300003D SEGURIDAD ALIMENTARIA Y DE CALIDAD"/>
    <s v="73 BIENES Y SERVICIOS PARA INVERSIÓN"/>
    <s v="730812 Materiales Didácticos"/>
    <s v="G/730812/1FM103"/>
    <s v="001"/>
    <n v="0"/>
    <n v="3000"/>
    <n v="-3000"/>
    <n v="0"/>
    <n v="0"/>
    <n v="0"/>
    <n v="0"/>
    <n v="0"/>
    <n v="0"/>
    <n v="0"/>
  </r>
  <r>
    <s v="73"/>
    <x v="2"/>
    <x v="7"/>
    <s v="ZT06F060"/>
    <x v="40"/>
    <s v="M103"/>
    <s v="SALUD AL DIA"/>
    <s v="GI00M10300004D"/>
    <s v="GI00M10300004D SISTEMA INTEGRAL DE PROMOCIÓN DE LA SALU"/>
    <s v="73 BIENES Y SERVICIOS PARA INVERSIÓN"/>
    <s v="730105 Telecomunicaciones"/>
    <s v="G/730105/1FM103"/>
    <s v="001"/>
    <n v="0"/>
    <n v="1000"/>
    <n v="-1000"/>
    <n v="0"/>
    <n v="0"/>
    <n v="0"/>
    <n v="0"/>
    <n v="0"/>
    <n v="0"/>
    <n v="0"/>
  </r>
  <r>
    <s v="73"/>
    <x v="2"/>
    <x v="7"/>
    <s v="ZC09F090"/>
    <x v="10"/>
    <s v="M103"/>
    <s v="SALUD AL DIA"/>
    <s v="GI00M10300004D"/>
    <s v="GI00M10300004D SISTEMA INTEGRAL DE PROMOCIÓN DE LA SALU"/>
    <s v="73 BIENES Y SERVICIOS PARA INVERSIÓN"/>
    <s v="730205 Espectáculos Culturales y Sociales"/>
    <s v="G/730205/1FM103"/>
    <s v="001"/>
    <n v="3908"/>
    <n v="0"/>
    <n v="-3908"/>
    <n v="0"/>
    <n v="0"/>
    <n v="0"/>
    <n v="0"/>
    <n v="0"/>
    <n v="0"/>
    <n v="0"/>
  </r>
  <r>
    <s v="73"/>
    <x v="2"/>
    <x v="7"/>
    <s v="ZM04F040"/>
    <x v="41"/>
    <s v="M103"/>
    <s v="SALUD AL DIA"/>
    <s v="GI00M10300004D"/>
    <s v="GI00M10300004D SISTEMA INTEGRAL DE PROMOCIÓN DE LA SALU"/>
    <s v="73 BIENES Y SERVICIOS PARA INVERSIÓN"/>
    <s v="730205 Espectáculos Culturales y Sociales"/>
    <s v="G/730205/1FM103"/>
    <s v="001"/>
    <n v="9400"/>
    <n v="-4000"/>
    <n v="-5400"/>
    <n v="0"/>
    <n v="0"/>
    <n v="0"/>
    <n v="0"/>
    <n v="0"/>
    <n v="0"/>
    <n v="0"/>
  </r>
  <r>
    <s v="73"/>
    <x v="2"/>
    <x v="7"/>
    <s v="ZN02F020"/>
    <x v="46"/>
    <s v="M103"/>
    <s v="SALUD AL DIA"/>
    <s v="GI00M10300004D"/>
    <s v="GI00M10300004D SISTEMA INTEGRAL DE PROMOCIÓN DE LA SALU"/>
    <s v="73 BIENES Y SERVICIOS PARA INVERSIÓN"/>
    <s v="730205 Espectáculos Culturales y Sociales"/>
    <s v="G/730205/1FM103"/>
    <s v="001"/>
    <n v="9938"/>
    <n v="0"/>
    <n v="-9938"/>
    <n v="0"/>
    <n v="0"/>
    <n v="0"/>
    <n v="0"/>
    <n v="0"/>
    <n v="0"/>
    <n v="0"/>
  </r>
  <r>
    <s v="73"/>
    <x v="2"/>
    <x v="7"/>
    <s v="ZS03F030"/>
    <x v="45"/>
    <s v="M103"/>
    <s v="SALUD AL DIA"/>
    <s v="GI00M10300004D"/>
    <s v="GI00M10300004D SISTEMA INTEGRAL DE PROMOCIÓN DE LA SALU"/>
    <s v="73 BIENES Y SERVICIOS PARA INVERSIÓN"/>
    <s v="730205 Espectáculos Culturales y Sociales"/>
    <s v="G/730205/1FM103"/>
    <s v="001"/>
    <n v="6030"/>
    <n v="0"/>
    <n v="-6030"/>
    <n v="0"/>
    <n v="0"/>
    <n v="0"/>
    <n v="0"/>
    <n v="0"/>
    <n v="0"/>
    <n v="0"/>
  </r>
  <r>
    <s v="73"/>
    <x v="2"/>
    <x v="7"/>
    <s v="ZQ08F080"/>
    <x v="44"/>
    <s v="M103"/>
    <s v="SALUD AL DIA"/>
    <s v="GI00M10300004D"/>
    <s v="GI00M10300004D SISTEMA INTEGRAL DE PROMOCIÓN DE LA SALU"/>
    <s v="73 BIENES Y SERVICIOS PARA INVERSIÓN"/>
    <s v="730205 Espectáculos Culturales y Sociales"/>
    <s v="G/730205/1FM103"/>
    <s v="001"/>
    <n v="8730"/>
    <n v="0"/>
    <n v="-8730"/>
    <n v="0"/>
    <n v="0"/>
    <n v="0"/>
    <n v="0"/>
    <n v="0"/>
    <n v="0"/>
    <n v="0"/>
  </r>
  <r>
    <s v="73"/>
    <x v="2"/>
    <x v="7"/>
    <s v="ZV05F050"/>
    <x v="39"/>
    <s v="M103"/>
    <s v="SALUD AL DIA"/>
    <s v="GI00M10300004D"/>
    <s v="GI00M10300004D SISTEMA INTEGRAL DE PROMOCIÓN DE LA SALU"/>
    <s v="73 BIENES Y SERVICIOS PARA INVERSIÓN"/>
    <s v="730205 Espectáculos Culturales y Sociales"/>
    <s v="G/730205/1FM103"/>
    <s v="001"/>
    <n v="5352"/>
    <n v="0"/>
    <n v="-5352"/>
    <n v="0"/>
    <n v="0"/>
    <n v="0"/>
    <n v="0"/>
    <n v="0"/>
    <n v="0"/>
    <n v="0"/>
  </r>
  <r>
    <s v="73"/>
    <x v="2"/>
    <x v="7"/>
    <s v="ZT06F060"/>
    <x v="40"/>
    <s v="M103"/>
    <s v="SALUD AL DIA"/>
    <s v="GI00M10300004D"/>
    <s v="GI00M10300004D SISTEMA INTEGRAL DE PROMOCIÓN DE LA SALU"/>
    <s v="73 BIENES Y SERVICIOS PARA INVERSIÓN"/>
    <s v="730205 Espectáculos Culturales y Sociales"/>
    <s v="G/730205/1FM103"/>
    <s v="001"/>
    <n v="3908"/>
    <n v="-3908"/>
    <n v="0"/>
    <n v="0"/>
    <n v="0"/>
    <n v="0"/>
    <n v="0"/>
    <n v="0"/>
    <n v="0"/>
    <n v="0"/>
  </r>
  <r>
    <s v="73"/>
    <x v="2"/>
    <x v="7"/>
    <s v="ZD07F070"/>
    <x v="43"/>
    <s v="M103"/>
    <s v="SALUD AL DIA"/>
    <s v="GI00M10300004D"/>
    <s v="GI00M10300004D SISTEMA INTEGRAL DE PROMOCIÓN DE LA SALU"/>
    <s v="73 BIENES Y SERVICIOS PARA INVERSIÓN"/>
    <s v="730205 Espectáculos Culturales y Sociales"/>
    <s v="G/730205/1FM103"/>
    <s v="001"/>
    <n v="5424"/>
    <n v="-4000"/>
    <n v="-1424"/>
    <n v="0"/>
    <n v="0"/>
    <n v="0"/>
    <n v="0"/>
    <n v="0"/>
    <n v="0"/>
    <n v="0"/>
  </r>
  <r>
    <s v="73"/>
    <x v="2"/>
    <x v="7"/>
    <s v="ZD07F070"/>
    <x v="43"/>
    <s v="M103"/>
    <s v="SALUD AL DIA"/>
    <s v="GI00M10300004D"/>
    <s v="GI00M10300004D SISTEMA INTEGRAL DE PROMOCIÓN DE LA SALU"/>
    <s v="73 BIENES Y SERVICIOS PARA INVERSIÓN"/>
    <s v="730249 Eventos Públicos Promocionales"/>
    <s v="G/730249/1FM103"/>
    <s v="001"/>
    <n v="0"/>
    <n v="6720"/>
    <n v="0"/>
    <n v="6720"/>
    <n v="0"/>
    <n v="6711.12"/>
    <n v="0"/>
    <n v="8.8800000000000008"/>
    <n v="6720"/>
    <n v="8.8800000000000008"/>
  </r>
  <r>
    <s v="73"/>
    <x v="2"/>
    <x v="7"/>
    <s v="ZM04F040"/>
    <x v="41"/>
    <s v="M103"/>
    <s v="SALUD AL DIA"/>
    <s v="GI00M10300004D"/>
    <s v="GI00M10300004D SISTEMA INTEGRAL DE PROMOCIÓN DE LA SALU"/>
    <s v="73 BIENES Y SERVICIOS PARA INVERSIÓN"/>
    <s v="730606 Honorarios por Contratos Civiles de Servici"/>
    <s v="G/730606/1FM103"/>
    <s v="001"/>
    <n v="37887.120000000003"/>
    <n v="-7376"/>
    <n v="-30511.119999999999"/>
    <n v="0"/>
    <n v="0"/>
    <n v="0"/>
    <n v="0"/>
    <n v="0"/>
    <n v="0"/>
    <n v="0"/>
  </r>
  <r>
    <s v="73"/>
    <x v="2"/>
    <x v="7"/>
    <s v="ZQ08F080"/>
    <x v="44"/>
    <s v="M103"/>
    <s v="SALUD AL DIA"/>
    <s v="GI00M10300004D"/>
    <s v="GI00M10300004D SISTEMA INTEGRAL DE PROMOCIÓN DE LA SALU"/>
    <s v="73 BIENES Y SERVICIOS PARA INVERSIÓN"/>
    <s v="730606 Honorarios por Contratos Civiles de Servici"/>
    <s v="G/730606/1FM103"/>
    <s v="001"/>
    <n v="37887.120000000003"/>
    <n v="0"/>
    <n v="-31839.119999999999"/>
    <n v="6048"/>
    <n v="0"/>
    <n v="0"/>
    <n v="0"/>
    <n v="6048"/>
    <n v="6048"/>
    <n v="6048"/>
  </r>
  <r>
    <s v="73"/>
    <x v="2"/>
    <x v="7"/>
    <s v="ZC09F090"/>
    <x v="10"/>
    <s v="M103"/>
    <s v="SALUD AL DIA"/>
    <s v="GI00M10300004D"/>
    <s v="GI00M10300004D SISTEMA INTEGRAL DE PROMOCIÓN DE LA SALU"/>
    <s v="73 BIENES Y SERVICIOS PARA INVERSIÓN"/>
    <s v="730606 Honorarios por Contratos Civiles de Servici"/>
    <s v="G/730606/1FM103"/>
    <s v="001"/>
    <n v="37887.120000000003"/>
    <n v="0"/>
    <n v="-15786.3"/>
    <n v="22100.82"/>
    <n v="0"/>
    <n v="0"/>
    <n v="0"/>
    <n v="22100.82"/>
    <n v="22100.82"/>
    <n v="22100.82"/>
  </r>
  <r>
    <s v="73"/>
    <x v="2"/>
    <x v="7"/>
    <s v="ZD07F070"/>
    <x v="43"/>
    <s v="M103"/>
    <s v="SALUD AL DIA"/>
    <s v="GI00M10300004D"/>
    <s v="GI00M10300004D SISTEMA INTEGRAL DE PROMOCIÓN DE LA SALU"/>
    <s v="73 BIENES Y SERVICIOS PARA INVERSIÓN"/>
    <s v="730606 Honorarios por Contratos Civiles de Servici"/>
    <s v="G/730606/1FM103"/>
    <s v="001"/>
    <n v="37887.120000000003"/>
    <n v="-8720"/>
    <n v="-29167.119999999999"/>
    <n v="0"/>
    <n v="0"/>
    <n v="0"/>
    <n v="0"/>
    <n v="0"/>
    <n v="0"/>
    <n v="0"/>
  </r>
  <r>
    <s v="73"/>
    <x v="2"/>
    <x v="7"/>
    <s v="ZN02F020"/>
    <x v="46"/>
    <s v="M103"/>
    <s v="SALUD AL DIA"/>
    <s v="GI00M10300004D"/>
    <s v="GI00M10300004D SISTEMA INTEGRAL DE PROMOCIÓN DE LA SALU"/>
    <s v="73 BIENES Y SERVICIOS PARA INVERSIÓN"/>
    <s v="730606 Honorarios por Contratos Civiles de Servici"/>
    <s v="G/730606/1FM103"/>
    <s v="001"/>
    <n v="56830.58"/>
    <n v="0"/>
    <n v="-56830.58"/>
    <n v="0"/>
    <n v="0"/>
    <n v="0"/>
    <n v="0"/>
    <n v="0"/>
    <n v="0"/>
    <n v="0"/>
  </r>
  <r>
    <s v="73"/>
    <x v="2"/>
    <x v="7"/>
    <s v="ZS03F030"/>
    <x v="45"/>
    <s v="M103"/>
    <s v="SALUD AL DIA"/>
    <s v="GI00M10300004D"/>
    <s v="GI00M10300004D SISTEMA INTEGRAL DE PROMOCIÓN DE LA SALU"/>
    <s v="73 BIENES Y SERVICIOS PARA INVERSIÓN"/>
    <s v="730606 Honorarios por Contratos Civiles de Servici"/>
    <s v="G/730606/1FM103"/>
    <s v="001"/>
    <n v="37887.120000000003"/>
    <n v="0"/>
    <n v="-31572.12"/>
    <n v="6315"/>
    <n v="6315"/>
    <n v="0"/>
    <n v="0"/>
    <n v="6315"/>
    <n v="6315"/>
    <n v="0"/>
  </r>
  <r>
    <s v="73"/>
    <x v="2"/>
    <x v="7"/>
    <s v="ZV05F050"/>
    <x v="39"/>
    <s v="M103"/>
    <s v="SALUD AL DIA"/>
    <s v="GI00M10300004D"/>
    <s v="GI00M10300004D SISTEMA INTEGRAL DE PROMOCIÓN DE LA SALU"/>
    <s v="73 BIENES Y SERVICIOS PARA INVERSIÓN"/>
    <s v="730606 Honorarios por Contratos Civiles de Servici"/>
    <s v="G/730606/1FM103"/>
    <s v="001"/>
    <n v="37887.120000000003"/>
    <n v="0"/>
    <n v="-37887.120000000003"/>
    <n v="0"/>
    <n v="0"/>
    <n v="0"/>
    <n v="0"/>
    <n v="0"/>
    <n v="0"/>
    <n v="0"/>
  </r>
  <r>
    <s v="73"/>
    <x v="2"/>
    <x v="7"/>
    <s v="ZT06F060"/>
    <x v="40"/>
    <s v="M103"/>
    <s v="SALUD AL DIA"/>
    <s v="GI00M10300004D"/>
    <s v="GI00M10300004D SISTEMA INTEGRAL DE PROMOCIÓN DE LA SALU"/>
    <s v="73 BIENES Y SERVICIOS PARA INVERSIÓN"/>
    <s v="730606 Honorarios por Contratos Civiles de Servici"/>
    <s v="G/730606/1FM103"/>
    <s v="001"/>
    <n v="37887.120000000003"/>
    <n v="-1300"/>
    <n v="-36587.120000000003"/>
    <n v="0"/>
    <n v="0"/>
    <n v="0"/>
    <n v="0"/>
    <n v="0"/>
    <n v="0"/>
    <n v="0"/>
  </r>
  <r>
    <s v="73"/>
    <x v="1"/>
    <x v="2"/>
    <s v="ZA01M000"/>
    <x v="42"/>
    <s v="M103"/>
    <s v="SALUD AL DIA"/>
    <s v="GI00M10300004D"/>
    <s v="GI00M10300004D SISTEMA INTEGRAL DE PROMOCIÓN DE LA SALU"/>
    <s v="73 BIENES Y SERVICIOS PARA INVERSIÓN"/>
    <s v="730612 Capacitación a Servidores Públicos"/>
    <s v="G/730612/1MM103"/>
    <s v="001"/>
    <n v="0"/>
    <n v="8000"/>
    <n v="0"/>
    <n v="8000"/>
    <n v="0"/>
    <n v="2968"/>
    <n v="0"/>
    <n v="5032"/>
    <n v="8000"/>
    <n v="5032"/>
  </r>
  <r>
    <s v="73"/>
    <x v="2"/>
    <x v="7"/>
    <s v="ZD07F070"/>
    <x v="43"/>
    <s v="M103"/>
    <s v="SALUD AL DIA"/>
    <s v="GI00M10300004D"/>
    <s v="GI00M10300004D SISTEMA INTEGRAL DE PROMOCIÓN DE LA SALU"/>
    <s v="73 BIENES Y SERVICIOS PARA INVERSIÓN"/>
    <s v="730812 Materiales Didácticos"/>
    <s v="G/730812/1FM103"/>
    <s v="001"/>
    <n v="4242"/>
    <n v="0"/>
    <n v="-4242"/>
    <n v="0"/>
    <n v="0"/>
    <n v="0"/>
    <n v="0"/>
    <n v="0"/>
    <n v="0"/>
    <n v="0"/>
  </r>
  <r>
    <s v="73"/>
    <x v="2"/>
    <x v="7"/>
    <s v="ZN02F020"/>
    <x v="46"/>
    <s v="M103"/>
    <s v="SALUD AL DIA"/>
    <s v="GI00M10300004D"/>
    <s v="GI00M10300004D SISTEMA INTEGRAL DE PROMOCIÓN DE LA SALU"/>
    <s v="73 BIENES Y SERVICIOS PARA INVERSIÓN"/>
    <s v="730812 Materiales Didácticos"/>
    <s v="G/730812/1FM103"/>
    <s v="001"/>
    <n v="6891"/>
    <n v="0"/>
    <n v="-6891"/>
    <n v="0"/>
    <n v="0"/>
    <n v="0"/>
    <n v="0"/>
    <n v="0"/>
    <n v="0"/>
    <n v="0"/>
  </r>
  <r>
    <s v="73"/>
    <x v="2"/>
    <x v="7"/>
    <s v="ZM04F040"/>
    <x v="41"/>
    <s v="M103"/>
    <s v="SALUD AL DIA"/>
    <s v="GI00M10300004D"/>
    <s v="GI00M10300004D SISTEMA INTEGRAL DE PROMOCIÓN DE LA SALU"/>
    <s v="73 BIENES Y SERVICIOS PARA INVERSIÓN"/>
    <s v="730812 Materiales Didácticos"/>
    <s v="G/730812/1FM103"/>
    <s v="001"/>
    <n v="5950"/>
    <n v="0"/>
    <n v="-5950"/>
    <n v="0"/>
    <n v="0"/>
    <n v="0"/>
    <n v="0"/>
    <n v="0"/>
    <n v="0"/>
    <n v="0"/>
  </r>
  <r>
    <s v="73"/>
    <x v="2"/>
    <x v="7"/>
    <s v="ZS03F030"/>
    <x v="45"/>
    <s v="M103"/>
    <s v="SALUD AL DIA"/>
    <s v="GI00M10300004D"/>
    <s v="GI00M10300004D SISTEMA INTEGRAL DE PROMOCIÓN DE LA SALU"/>
    <s v="73 BIENES Y SERVICIOS PARA INVERSIÓN"/>
    <s v="730812 Materiales Didácticos"/>
    <s v="G/730812/1FM103"/>
    <s v="001"/>
    <n v="5302"/>
    <n v="0"/>
    <n v="-5302"/>
    <n v="0"/>
    <n v="0"/>
    <n v="0"/>
    <n v="0"/>
    <n v="0"/>
    <n v="0"/>
    <n v="0"/>
  </r>
  <r>
    <s v="73"/>
    <x v="2"/>
    <x v="7"/>
    <s v="ZQ08F080"/>
    <x v="44"/>
    <s v="M103"/>
    <s v="SALUD AL DIA"/>
    <s v="GI00M10300004D"/>
    <s v="GI00M10300004D SISTEMA INTEGRAL DE PROMOCIÓN DE LA SALU"/>
    <s v="73 BIENES Y SERVICIOS PARA INVERSIÓN"/>
    <s v="730812 Materiales Didácticos"/>
    <s v="G/730812/1FM103"/>
    <s v="001"/>
    <n v="4777"/>
    <n v="0"/>
    <n v="-4777"/>
    <n v="0"/>
    <n v="0"/>
    <n v="0"/>
    <n v="0"/>
    <n v="0"/>
    <n v="0"/>
    <n v="0"/>
  </r>
  <r>
    <s v="73"/>
    <x v="2"/>
    <x v="7"/>
    <s v="ZC09F090"/>
    <x v="10"/>
    <s v="M103"/>
    <s v="SALUD AL DIA"/>
    <s v="GI00M10300004D"/>
    <s v="GI00M10300004D SISTEMA INTEGRAL DE PROMOCIÓN DE LA SALU"/>
    <s v="73 BIENES Y SERVICIOS PARA INVERSIÓN"/>
    <s v="730812 Materiales Didácticos"/>
    <s v="G/730812/1FM103"/>
    <s v="001"/>
    <n v="1589"/>
    <n v="0"/>
    <n v="-1589"/>
    <n v="0"/>
    <n v="0"/>
    <n v="0"/>
    <n v="0"/>
    <n v="0"/>
    <n v="0"/>
    <n v="0"/>
  </r>
  <r>
    <s v="73"/>
    <x v="2"/>
    <x v="7"/>
    <s v="ZV05F050"/>
    <x v="39"/>
    <s v="M103"/>
    <s v="SALUD AL DIA"/>
    <s v="GI00M10300004D"/>
    <s v="GI00M10300004D SISTEMA INTEGRAL DE PROMOCIÓN DE LA SALU"/>
    <s v="73 BIENES Y SERVICIOS PARA INVERSIÓN"/>
    <s v="730812 Materiales Didácticos"/>
    <s v="G/730812/1FM103"/>
    <s v="001"/>
    <n v="4116"/>
    <n v="0"/>
    <n v="-4116"/>
    <n v="0"/>
    <n v="0"/>
    <n v="0"/>
    <n v="0"/>
    <n v="0"/>
    <n v="0"/>
    <n v="0"/>
  </r>
  <r>
    <s v="73"/>
    <x v="2"/>
    <x v="7"/>
    <s v="ZT06F060"/>
    <x v="40"/>
    <s v="M103"/>
    <s v="SALUD AL DIA"/>
    <s v="GI00M10300004D"/>
    <s v="GI00M10300004D SISTEMA INTEGRAL DE PROMOCIÓN DE LA SALU"/>
    <s v="73 BIENES Y SERVICIOS PARA INVERSIÓN"/>
    <s v="730812 Materiales Didácticos"/>
    <s v="G/730812/1FM103"/>
    <s v="001"/>
    <n v="1589"/>
    <n v="0"/>
    <n v="-1589"/>
    <n v="0"/>
    <n v="0"/>
    <n v="0"/>
    <n v="0"/>
    <n v="0"/>
    <n v="0"/>
    <n v="0"/>
  </r>
  <r>
    <s v="73"/>
    <x v="1"/>
    <x v="2"/>
    <s v="ZA01M000"/>
    <x v="42"/>
    <s v="M103"/>
    <s v="SALUD AL DIA"/>
    <s v="GI00M10300005D"/>
    <s v="GI00M10300005D MANEJO DE FAUNA URBANA EN EL DMQ"/>
    <s v="73 BIENES Y SERVICIOS PARA INVERSIÓN"/>
    <s v="730105 Telecomunicaciones"/>
    <s v="G/730105/1MM103"/>
    <s v="001"/>
    <n v="0"/>
    <n v="5000"/>
    <n v="0"/>
    <n v="5000"/>
    <n v="0"/>
    <n v="0"/>
    <n v="0"/>
    <n v="5000"/>
    <n v="5000"/>
    <n v="5000"/>
  </r>
  <r>
    <s v="73"/>
    <x v="1"/>
    <x v="2"/>
    <s v="ZA01M000"/>
    <x v="42"/>
    <s v="M103"/>
    <s v="SALUD AL DIA"/>
    <s v="GI00M10300005D"/>
    <s v="GI00M10300005D MANEJO DE FAUNA URBANA EN EL DMQ"/>
    <s v="73 BIENES Y SERVICIOS PARA INVERSIÓN"/>
    <s v="730204 Edición, Impresión, Reproducción, Public"/>
    <s v="G/730204/1MM103"/>
    <s v="001"/>
    <n v="12000"/>
    <n v="-6000"/>
    <n v="-1264"/>
    <n v="4736"/>
    <n v="0"/>
    <n v="2399.04"/>
    <n v="0"/>
    <n v="2336.96"/>
    <n v="4736"/>
    <n v="2336.96"/>
  </r>
  <r>
    <s v="73"/>
    <x v="2"/>
    <x v="7"/>
    <s v="ZV05F050"/>
    <x v="39"/>
    <s v="M103"/>
    <s v="SALUD AL DIA"/>
    <s v="GI00M10300005D"/>
    <s v="GI00M10300005D MANEJO DE FAUNA URBANA EN EL DMQ"/>
    <s v="73 BIENES Y SERVICIOS PARA INVERSIÓN"/>
    <s v="730204 Edición, Impresión, Reproducción, Public"/>
    <s v="G/730204/1FM103"/>
    <s v="001"/>
    <n v="2000"/>
    <n v="0"/>
    <n v="-2000"/>
    <n v="0"/>
    <n v="0"/>
    <n v="0"/>
    <n v="0"/>
    <n v="0"/>
    <n v="0"/>
    <n v="0"/>
  </r>
  <r>
    <s v="73"/>
    <x v="2"/>
    <x v="7"/>
    <s v="ZT06F060"/>
    <x v="40"/>
    <s v="M103"/>
    <s v="SALUD AL DIA"/>
    <s v="GI00M10300005D"/>
    <s v="GI00M10300005D MANEJO DE FAUNA URBANA EN EL DMQ"/>
    <s v="73 BIENES Y SERVICIOS PARA INVERSIÓN"/>
    <s v="730204 Edición, Impresión, Reproducción, Public"/>
    <s v="G/730204/1FM103"/>
    <s v="001"/>
    <n v="2000"/>
    <n v="0"/>
    <n v="-2000"/>
    <n v="0"/>
    <n v="0"/>
    <n v="0"/>
    <n v="0"/>
    <n v="0"/>
    <n v="0"/>
    <n v="0"/>
  </r>
  <r>
    <s v="73"/>
    <x v="2"/>
    <x v="7"/>
    <s v="ZC09F090"/>
    <x v="10"/>
    <s v="M103"/>
    <s v="SALUD AL DIA"/>
    <s v="GI00M10300005D"/>
    <s v="GI00M10300005D MANEJO DE FAUNA URBANA EN EL DMQ"/>
    <s v="73 BIENES Y SERVICIOS PARA INVERSIÓN"/>
    <s v="730204 Edición, Impresión, Reproducción, Public"/>
    <s v="G/730204/1FM103"/>
    <s v="001"/>
    <n v="2000"/>
    <n v="0"/>
    <n v="-2000"/>
    <n v="0"/>
    <n v="0"/>
    <n v="0"/>
    <n v="0"/>
    <n v="0"/>
    <n v="0"/>
    <n v="0"/>
  </r>
  <r>
    <s v="73"/>
    <x v="2"/>
    <x v="7"/>
    <s v="ZM04F040"/>
    <x v="41"/>
    <s v="M103"/>
    <s v="SALUD AL DIA"/>
    <s v="GI00M10300005D"/>
    <s v="GI00M10300005D MANEJO DE FAUNA URBANA EN EL DMQ"/>
    <s v="73 BIENES Y SERVICIOS PARA INVERSIÓN"/>
    <s v="730204 Edición, Impresión, Reproducción, Public"/>
    <s v="G/730204/1FM103"/>
    <s v="001"/>
    <n v="2000"/>
    <n v="0"/>
    <n v="-2000"/>
    <n v="0"/>
    <n v="0"/>
    <n v="0"/>
    <n v="0"/>
    <n v="0"/>
    <n v="0"/>
    <n v="0"/>
  </r>
  <r>
    <s v="73"/>
    <x v="2"/>
    <x v="7"/>
    <s v="ZS03F030"/>
    <x v="45"/>
    <s v="M103"/>
    <s v="SALUD AL DIA"/>
    <s v="GI00M10300005D"/>
    <s v="GI00M10300005D MANEJO DE FAUNA URBANA EN EL DMQ"/>
    <s v="73 BIENES Y SERVICIOS PARA INVERSIÓN"/>
    <s v="730204 Edición, Impresión, Reproducción, Public"/>
    <s v="G/730204/1FM103"/>
    <s v="001"/>
    <n v="1472.46"/>
    <n v="0"/>
    <n v="-1472.46"/>
    <n v="0"/>
    <n v="0"/>
    <n v="0"/>
    <n v="0"/>
    <n v="0"/>
    <n v="0"/>
    <n v="0"/>
  </r>
  <r>
    <s v="73"/>
    <x v="2"/>
    <x v="7"/>
    <s v="ZD07F070"/>
    <x v="43"/>
    <s v="M103"/>
    <s v="SALUD AL DIA"/>
    <s v="GI00M10300005D"/>
    <s v="GI00M10300005D MANEJO DE FAUNA URBANA EN EL DMQ"/>
    <s v="73 BIENES Y SERVICIOS PARA INVERSIÓN"/>
    <s v="730204 Edición, Impresión, Reproducción, Public"/>
    <s v="G/730204/1FM103"/>
    <s v="001"/>
    <n v="2000"/>
    <n v="0"/>
    <n v="-2000"/>
    <n v="0"/>
    <n v="0"/>
    <n v="0"/>
    <n v="0"/>
    <n v="0"/>
    <n v="0"/>
    <n v="0"/>
  </r>
  <r>
    <s v="73"/>
    <x v="2"/>
    <x v="7"/>
    <s v="ZQ08F080"/>
    <x v="44"/>
    <s v="M103"/>
    <s v="SALUD AL DIA"/>
    <s v="GI00M10300005D"/>
    <s v="GI00M10300005D MANEJO DE FAUNA URBANA EN EL DMQ"/>
    <s v="73 BIENES Y SERVICIOS PARA INVERSIÓN"/>
    <s v="730204 Edición, Impresión, Reproducción, Public"/>
    <s v="G/730204/1FM103"/>
    <s v="001"/>
    <n v="2000"/>
    <n v="0"/>
    <n v="-2000"/>
    <n v="0"/>
    <n v="0"/>
    <n v="0"/>
    <n v="0"/>
    <n v="0"/>
    <n v="0"/>
    <n v="0"/>
  </r>
  <r>
    <s v="73"/>
    <x v="2"/>
    <x v="7"/>
    <s v="ZN02F020"/>
    <x v="46"/>
    <s v="M103"/>
    <s v="SALUD AL DIA"/>
    <s v="GI00M10300005D"/>
    <s v="GI00M10300005D MANEJO DE FAUNA URBANA EN EL DMQ"/>
    <s v="73 BIENES Y SERVICIOS PARA INVERSIÓN"/>
    <s v="730204 Edición, Impresión, Reproducción, Public"/>
    <s v="G/730204/1FM103"/>
    <s v="001"/>
    <n v="2000"/>
    <n v="0"/>
    <n v="-2000"/>
    <n v="0"/>
    <n v="0"/>
    <n v="0"/>
    <n v="0"/>
    <n v="0"/>
    <n v="0"/>
    <n v="0"/>
  </r>
  <r>
    <s v="73"/>
    <x v="2"/>
    <x v="7"/>
    <s v="ZV05F050"/>
    <x v="39"/>
    <s v="M103"/>
    <s v="SALUD AL DIA"/>
    <s v="GI00M10300005D"/>
    <s v="GI00M10300005D MANEJO DE FAUNA URBANA EN EL DMQ"/>
    <s v="73 BIENES Y SERVICIOS PARA INVERSIÓN"/>
    <s v="730205 Espectáculos Culturales y Sociales"/>
    <s v="G/730205/1FM103"/>
    <s v="001"/>
    <n v="3000"/>
    <n v="0"/>
    <n v="-3000"/>
    <n v="0"/>
    <n v="0"/>
    <n v="0"/>
    <n v="0"/>
    <n v="0"/>
    <n v="0"/>
    <n v="0"/>
  </r>
  <r>
    <s v="73"/>
    <x v="2"/>
    <x v="7"/>
    <s v="ZT06F060"/>
    <x v="40"/>
    <s v="M103"/>
    <s v="SALUD AL DIA"/>
    <s v="GI00M10300005D"/>
    <s v="GI00M10300005D MANEJO DE FAUNA URBANA EN EL DMQ"/>
    <s v="73 BIENES Y SERVICIOS PARA INVERSIÓN"/>
    <s v="730205 Espectáculos Culturales y Sociales"/>
    <s v="G/730205/1FM103"/>
    <s v="001"/>
    <n v="3000"/>
    <n v="0"/>
    <n v="-3000"/>
    <n v="0"/>
    <n v="0"/>
    <n v="0"/>
    <n v="0"/>
    <n v="0"/>
    <n v="0"/>
    <n v="0"/>
  </r>
  <r>
    <s v="73"/>
    <x v="2"/>
    <x v="7"/>
    <s v="ZQ08F080"/>
    <x v="44"/>
    <s v="M103"/>
    <s v="SALUD AL DIA"/>
    <s v="GI00M10300005D"/>
    <s v="GI00M10300005D MANEJO DE FAUNA URBANA EN EL DMQ"/>
    <s v="73 BIENES Y SERVICIOS PARA INVERSIÓN"/>
    <s v="730205 Espectáculos Culturales y Sociales"/>
    <s v="G/730205/1FM103"/>
    <s v="001"/>
    <n v="3000"/>
    <n v="0"/>
    <n v="-3000"/>
    <n v="0"/>
    <n v="0"/>
    <n v="0"/>
    <n v="0"/>
    <n v="0"/>
    <n v="0"/>
    <n v="0"/>
  </r>
  <r>
    <s v="73"/>
    <x v="2"/>
    <x v="7"/>
    <s v="ZM04F040"/>
    <x v="41"/>
    <s v="M103"/>
    <s v="SALUD AL DIA"/>
    <s v="GI00M10300005D"/>
    <s v="GI00M10300005D MANEJO DE FAUNA URBANA EN EL DMQ"/>
    <s v="73 BIENES Y SERVICIOS PARA INVERSIÓN"/>
    <s v="730205 Espectáculos Culturales y Sociales"/>
    <s v="G/730205/1FM103"/>
    <s v="001"/>
    <n v="3000"/>
    <n v="0"/>
    <n v="-3000"/>
    <n v="0"/>
    <n v="0"/>
    <n v="0"/>
    <n v="0"/>
    <n v="0"/>
    <n v="0"/>
    <n v="0"/>
  </r>
  <r>
    <s v="73"/>
    <x v="2"/>
    <x v="7"/>
    <s v="ZD07F070"/>
    <x v="43"/>
    <s v="M103"/>
    <s v="SALUD AL DIA"/>
    <s v="GI00M10300005D"/>
    <s v="GI00M10300005D MANEJO DE FAUNA URBANA EN EL DMQ"/>
    <s v="73 BIENES Y SERVICIOS PARA INVERSIÓN"/>
    <s v="730205 Espectáculos Culturales y Sociales"/>
    <s v="G/730205/1FM103"/>
    <s v="001"/>
    <n v="3000"/>
    <n v="0"/>
    <n v="-3000"/>
    <n v="0"/>
    <n v="0"/>
    <n v="0"/>
    <n v="0"/>
    <n v="0"/>
    <n v="0"/>
    <n v="0"/>
  </r>
  <r>
    <s v="73"/>
    <x v="2"/>
    <x v="7"/>
    <s v="ZN02F020"/>
    <x v="46"/>
    <s v="M103"/>
    <s v="SALUD AL DIA"/>
    <s v="GI00M10300005D"/>
    <s v="GI00M10300005D MANEJO DE FAUNA URBANA EN EL DMQ"/>
    <s v="73 BIENES Y SERVICIOS PARA INVERSIÓN"/>
    <s v="730205 Espectáculos Culturales y Sociales"/>
    <s v="G/730205/1FM103"/>
    <s v="001"/>
    <n v="3000"/>
    <n v="0"/>
    <n v="-3000"/>
    <n v="0"/>
    <n v="0"/>
    <n v="0"/>
    <n v="0"/>
    <n v="0"/>
    <n v="0"/>
    <n v="0"/>
  </r>
  <r>
    <s v="73"/>
    <x v="2"/>
    <x v="7"/>
    <s v="ZC09F090"/>
    <x v="10"/>
    <s v="M103"/>
    <s v="SALUD AL DIA"/>
    <s v="GI00M10300005D"/>
    <s v="GI00M10300005D MANEJO DE FAUNA URBANA EN EL DMQ"/>
    <s v="73 BIENES Y SERVICIOS PARA INVERSIÓN"/>
    <s v="730205 Espectáculos Culturales y Sociales"/>
    <s v="G/730205/1FM103"/>
    <s v="001"/>
    <n v="3000"/>
    <n v="0"/>
    <n v="-3000"/>
    <n v="0"/>
    <n v="0"/>
    <n v="0"/>
    <n v="0"/>
    <n v="0"/>
    <n v="0"/>
    <n v="0"/>
  </r>
  <r>
    <s v="73"/>
    <x v="1"/>
    <x v="2"/>
    <s v="ZA01M000"/>
    <x v="42"/>
    <s v="M103"/>
    <s v="SALUD AL DIA"/>
    <s v="GI00M10300005D"/>
    <s v="GI00M10300005D MANEJO DE FAUNA URBANA EN EL DMQ"/>
    <s v="73 BIENES Y SERVICIOS PARA INVERSIÓN"/>
    <s v="730209 Servicios de Aseo, Lavado de Vestimenta"/>
    <s v="G/730209/1MM103"/>
    <s v="001"/>
    <n v="16680"/>
    <n v="0"/>
    <n v="-12200"/>
    <n v="4480"/>
    <n v="0"/>
    <n v="0"/>
    <n v="0"/>
    <n v="4480"/>
    <n v="4480"/>
    <n v="4480"/>
  </r>
  <r>
    <s v="73"/>
    <x v="1"/>
    <x v="2"/>
    <s v="ZA01M000"/>
    <x v="42"/>
    <s v="M103"/>
    <s v="SALUD AL DIA"/>
    <s v="GI00M10300005D"/>
    <s v="GI00M10300005D MANEJO DE FAUNA URBANA EN EL DMQ"/>
    <s v="73 BIENES Y SERVICIOS PARA INVERSIÓN"/>
    <s v="730225 Servicio de Incineración de Documentos Públ"/>
    <s v="G/730225/1MM103"/>
    <s v="001"/>
    <n v="15150"/>
    <n v="0"/>
    <n v="-14814"/>
    <n v="336"/>
    <n v="0"/>
    <n v="0"/>
    <n v="0"/>
    <n v="336"/>
    <n v="336"/>
    <n v="336"/>
  </r>
  <r>
    <s v="73"/>
    <x v="1"/>
    <x v="2"/>
    <s v="ZA01M000"/>
    <x v="42"/>
    <s v="M103"/>
    <s v="SALUD AL DIA"/>
    <s v="GI00M10300005D"/>
    <s v="GI00M10300005D MANEJO DE FAUNA URBANA EN EL DMQ"/>
    <s v="73 BIENES Y SERVICIOS PARA INVERSIÓN"/>
    <s v="730402 Edificios, Locales, Residencias y Cablea"/>
    <s v="G/730402/1MM103"/>
    <s v="001"/>
    <n v="0"/>
    <n v="207500"/>
    <n v="0"/>
    <n v="207500"/>
    <n v="0"/>
    <n v="0"/>
    <n v="0"/>
    <n v="207500"/>
    <n v="207500"/>
    <n v="207500"/>
  </r>
  <r>
    <s v="73"/>
    <x v="1"/>
    <x v="2"/>
    <s v="ZA01M000"/>
    <x v="42"/>
    <s v="M103"/>
    <s v="SALUD AL DIA"/>
    <s v="GI00M10300005D"/>
    <s v="GI00M10300005D MANEJO DE FAUNA URBANA EN EL DMQ"/>
    <s v="73 BIENES Y SERVICIOS PARA INVERSIÓN"/>
    <s v="730404 Maquinarias y Equipos (Instalación, Mant"/>
    <s v="G/730404/1MM103"/>
    <s v="001"/>
    <n v="3930.01"/>
    <n v="0"/>
    <n v="-3930.01"/>
    <n v="0"/>
    <n v="0"/>
    <n v="0"/>
    <n v="0"/>
    <n v="0"/>
    <n v="0"/>
    <n v="0"/>
  </r>
  <r>
    <s v="73"/>
    <x v="1"/>
    <x v="2"/>
    <s v="ZA01M000"/>
    <x v="42"/>
    <s v="M103"/>
    <s v="SALUD AL DIA"/>
    <s v="GI00M10300005D"/>
    <s v="GI00M10300005D MANEJO DE FAUNA URBANA EN EL DMQ"/>
    <s v="73 BIENES Y SERVICIOS PARA INVERSIÓN"/>
    <s v="730405 Vehículos (Servicio para Mantenimiento y"/>
    <s v="G/730405/1MM103"/>
    <s v="001"/>
    <n v="0"/>
    <n v="1000"/>
    <n v="0"/>
    <n v="1000"/>
    <n v="0"/>
    <n v="0"/>
    <n v="0"/>
    <n v="1000"/>
    <n v="1000"/>
    <n v="1000"/>
  </r>
  <r>
    <s v="73"/>
    <x v="1"/>
    <x v="2"/>
    <s v="ZA01M000"/>
    <x v="42"/>
    <s v="M103"/>
    <s v="SALUD AL DIA"/>
    <s v="GI00M10300005D"/>
    <s v="GI00M10300005D MANEJO DE FAUNA URBANA EN EL DMQ"/>
    <s v="73 BIENES Y SERVICIOS PARA INVERSIÓN"/>
    <s v="730505 Vehículos (Arrendamiento)"/>
    <s v="G/730505/1MM103"/>
    <s v="001"/>
    <n v="0"/>
    <n v="15000"/>
    <n v="0"/>
    <n v="15000"/>
    <n v="0"/>
    <n v="0"/>
    <n v="0"/>
    <n v="15000"/>
    <n v="15000"/>
    <n v="15000"/>
  </r>
  <r>
    <s v="73"/>
    <x v="2"/>
    <x v="7"/>
    <s v="ZQ08F080"/>
    <x v="44"/>
    <s v="M103"/>
    <s v="SALUD AL DIA"/>
    <s v="GI00M10300005D"/>
    <s v="GI00M10300005D MANEJO DE FAUNA URBANA EN EL DMQ"/>
    <s v="73 BIENES Y SERVICIOS PARA INVERSIÓN"/>
    <s v="730606 Honorarios por Contratos Civiles de Servici"/>
    <s v="G/730606/1FM103"/>
    <s v="001"/>
    <n v="18943.560000000001"/>
    <n v="-12299.87"/>
    <n v="-6643.69"/>
    <n v="0"/>
    <n v="0"/>
    <n v="0"/>
    <n v="0"/>
    <n v="0"/>
    <n v="0"/>
    <n v="0"/>
  </r>
  <r>
    <s v="73"/>
    <x v="2"/>
    <x v="7"/>
    <s v="ZM04F040"/>
    <x v="41"/>
    <s v="M103"/>
    <s v="SALUD AL DIA"/>
    <s v="GI00M10300005D"/>
    <s v="GI00M10300005D MANEJO DE FAUNA URBANA EN EL DMQ"/>
    <s v="73 BIENES Y SERVICIOS PARA INVERSIÓN"/>
    <s v="730606 Honorarios por Contratos Civiles de Servici"/>
    <s v="G/730606/1FM103"/>
    <s v="001"/>
    <n v="18943.560000000001"/>
    <n v="-12299.87"/>
    <n v="-6643.69"/>
    <n v="0"/>
    <n v="0"/>
    <n v="0"/>
    <n v="0"/>
    <n v="0"/>
    <n v="0"/>
    <n v="0"/>
  </r>
  <r>
    <s v="73"/>
    <x v="2"/>
    <x v="7"/>
    <s v="ZC09F090"/>
    <x v="10"/>
    <s v="M103"/>
    <s v="SALUD AL DIA"/>
    <s v="GI00M10300005D"/>
    <s v="GI00M10300005D MANEJO DE FAUNA URBANA EN EL DMQ"/>
    <s v="73 BIENES Y SERVICIOS PARA INVERSIÓN"/>
    <s v="730606 Honorarios por Contratos Civiles de Servici"/>
    <s v="G/730606/1FM103"/>
    <s v="001"/>
    <n v="18943.560000000001"/>
    <n v="-12299.87"/>
    <n v="0"/>
    <n v="6643.69"/>
    <n v="0"/>
    <n v="0"/>
    <n v="0"/>
    <n v="6643.69"/>
    <n v="6643.69"/>
    <n v="6643.69"/>
  </r>
  <r>
    <s v="73"/>
    <x v="2"/>
    <x v="7"/>
    <s v="ZN02F020"/>
    <x v="46"/>
    <s v="M103"/>
    <s v="SALUD AL DIA"/>
    <s v="GI00M10300005D"/>
    <s v="GI00M10300005D MANEJO DE FAUNA URBANA EN EL DMQ"/>
    <s v="73 BIENES Y SERVICIOS PARA INVERSIÓN"/>
    <s v="730606 Honorarios por Contratos Civiles de Servici"/>
    <s v="G/730606/1FM103"/>
    <s v="001"/>
    <n v="18943.560000000001"/>
    <n v="-12299.87"/>
    <n v="-6643.69"/>
    <n v="0"/>
    <n v="0"/>
    <n v="0"/>
    <n v="0"/>
    <n v="0"/>
    <n v="0"/>
    <n v="0"/>
  </r>
  <r>
    <s v="73"/>
    <x v="2"/>
    <x v="7"/>
    <s v="ZS03F030"/>
    <x v="45"/>
    <s v="M103"/>
    <s v="SALUD AL DIA"/>
    <s v="GI00M10300005D"/>
    <s v="GI00M10300005D MANEJO DE FAUNA URBANA EN EL DMQ"/>
    <s v="73 BIENES Y SERVICIOS PARA INVERSIÓN"/>
    <s v="730606 Honorarios por Contratos Civiles de Servici"/>
    <s v="G/730606/1FM103"/>
    <s v="001"/>
    <n v="18943.560000000001"/>
    <n v="-12299.87"/>
    <n v="-6643.69"/>
    <n v="0"/>
    <n v="0"/>
    <n v="0"/>
    <n v="0"/>
    <n v="0"/>
    <n v="0"/>
    <n v="0"/>
  </r>
  <r>
    <s v="73"/>
    <x v="2"/>
    <x v="7"/>
    <s v="ZD07F070"/>
    <x v="43"/>
    <s v="M103"/>
    <s v="SALUD AL DIA"/>
    <s v="GI00M10300005D"/>
    <s v="GI00M10300005D MANEJO DE FAUNA URBANA EN EL DMQ"/>
    <s v="73 BIENES Y SERVICIOS PARA INVERSIÓN"/>
    <s v="730606 Honorarios por Contratos Civiles de Servici"/>
    <s v="G/730606/1FM103"/>
    <s v="001"/>
    <n v="18943.560000000001"/>
    <n v="-12299.87"/>
    <n v="-6643.69"/>
    <n v="0"/>
    <n v="0"/>
    <n v="0"/>
    <n v="0"/>
    <n v="0"/>
    <n v="0"/>
    <n v="0"/>
  </r>
  <r>
    <s v="73"/>
    <x v="1"/>
    <x v="2"/>
    <s v="ZA01M000"/>
    <x v="42"/>
    <s v="M103"/>
    <s v="SALUD AL DIA"/>
    <s v="GI00M10300005D"/>
    <s v="GI00M10300005D MANEJO DE FAUNA URBANA EN EL DMQ"/>
    <s v="73 BIENES Y SERVICIOS PARA INVERSIÓN"/>
    <s v="730606 Honorarios por Contratos Civiles de Servici"/>
    <s v="G/730606/1MM103"/>
    <s v="001"/>
    <n v="870996"/>
    <n v="-847122.09"/>
    <n v="0"/>
    <n v="23873.91"/>
    <n v="0"/>
    <n v="5873.91"/>
    <n v="5622.15"/>
    <n v="18000"/>
    <n v="18251.759999999998"/>
    <n v="18000"/>
  </r>
  <r>
    <s v="73"/>
    <x v="2"/>
    <x v="7"/>
    <s v="ZV05F050"/>
    <x v="39"/>
    <s v="M103"/>
    <s v="SALUD AL DIA"/>
    <s v="GI00M10300005D"/>
    <s v="GI00M10300005D MANEJO DE FAUNA URBANA EN EL DMQ"/>
    <s v="73 BIENES Y SERVICIOS PARA INVERSIÓN"/>
    <s v="730606 Honorarios por Contratos Civiles de Servici"/>
    <s v="G/730606/1FM103"/>
    <s v="001"/>
    <n v="18943.560000000001"/>
    <n v="-12299.87"/>
    <n v="-6643.69"/>
    <n v="0"/>
    <n v="0"/>
    <n v="0"/>
    <n v="0"/>
    <n v="0"/>
    <n v="0"/>
    <n v="0"/>
  </r>
  <r>
    <s v="73"/>
    <x v="2"/>
    <x v="7"/>
    <s v="ZT06F060"/>
    <x v="40"/>
    <s v="M103"/>
    <s v="SALUD AL DIA"/>
    <s v="GI00M10300005D"/>
    <s v="GI00M10300005D MANEJO DE FAUNA URBANA EN EL DMQ"/>
    <s v="73 BIENES Y SERVICIOS PARA INVERSIÓN"/>
    <s v="730606 Honorarios por Contratos Civiles de Servici"/>
    <s v="G/730606/1FM103"/>
    <s v="001"/>
    <n v="18943.560000000001"/>
    <n v="-12299.87"/>
    <n v="-6643.69"/>
    <n v="0"/>
    <n v="0"/>
    <n v="0"/>
    <n v="0"/>
    <n v="0"/>
    <n v="0"/>
    <n v="0"/>
  </r>
  <r>
    <s v="73"/>
    <x v="1"/>
    <x v="2"/>
    <s v="ZA01M000"/>
    <x v="42"/>
    <s v="M103"/>
    <s v="SALUD AL DIA"/>
    <s v="GI00M10300005D"/>
    <s v="GI00M10300005D MANEJO DE FAUNA URBANA EN EL DMQ"/>
    <s v="73 BIENES Y SERVICIOS PARA INVERSIÓN"/>
    <s v="730701 Desarrollo, Actualización, Asistencia Té"/>
    <s v="G/730701/1MM103"/>
    <s v="001"/>
    <n v="20000"/>
    <n v="-18000"/>
    <n v="-2000"/>
    <n v="0"/>
    <n v="0"/>
    <n v="0"/>
    <n v="0"/>
    <n v="0"/>
    <n v="0"/>
    <n v="0"/>
  </r>
  <r>
    <s v="73"/>
    <x v="1"/>
    <x v="2"/>
    <s v="ZA01M000"/>
    <x v="42"/>
    <s v="M103"/>
    <s v="SALUD AL DIA"/>
    <s v="GI00M10300005D"/>
    <s v="GI00M10300005D MANEJO DE FAUNA URBANA EN EL DMQ"/>
    <s v="73 BIENES Y SERVICIOS PARA INVERSIÓN"/>
    <s v="730704 Mantenimiento y Reparación de Equipos y"/>
    <s v="G/730704/1MM103"/>
    <s v="001"/>
    <n v="312.5"/>
    <n v="0"/>
    <n v="0"/>
    <n v="312.5"/>
    <n v="0"/>
    <n v="0"/>
    <n v="0"/>
    <n v="312.5"/>
    <n v="312.5"/>
    <n v="312.5"/>
  </r>
  <r>
    <s v="73"/>
    <x v="1"/>
    <x v="2"/>
    <s v="ZA01M000"/>
    <x v="42"/>
    <s v="M103"/>
    <s v="SALUD AL DIA"/>
    <s v="GI00M10300005D"/>
    <s v="GI00M10300005D MANEJO DE FAUNA URBANA EN EL DMQ"/>
    <s v="73 BIENES Y SERVICIOS PARA INVERSIÓN"/>
    <s v="730802 Vestuario, Lencería, Prendas de Protecci"/>
    <s v="G/730802/1MM103"/>
    <s v="001"/>
    <n v="13500"/>
    <n v="7736"/>
    <n v="0"/>
    <n v="21236"/>
    <n v="26.04"/>
    <n v="345.44"/>
    <n v="0"/>
    <n v="20890.560000000001"/>
    <n v="21236"/>
    <n v="20864.52"/>
  </r>
  <r>
    <s v="73"/>
    <x v="1"/>
    <x v="2"/>
    <s v="ZA01M000"/>
    <x v="42"/>
    <s v="M103"/>
    <s v="SALUD AL DIA"/>
    <s v="GI00M10300005D"/>
    <s v="GI00M10300005D MANEJO DE FAUNA URBANA EN EL DMQ"/>
    <s v="73 BIENES Y SERVICIOS PARA INVERSIÓN"/>
    <s v="730804 Materiales de Oficina"/>
    <s v="G/730804/1MM103"/>
    <s v="001"/>
    <n v="1000"/>
    <n v="0"/>
    <n v="0"/>
    <n v="1000"/>
    <n v="0"/>
    <n v="0"/>
    <n v="0"/>
    <n v="1000"/>
    <n v="1000"/>
    <n v="1000"/>
  </r>
  <r>
    <s v="73"/>
    <x v="1"/>
    <x v="2"/>
    <s v="ZA01M000"/>
    <x v="42"/>
    <s v="M103"/>
    <s v="SALUD AL DIA"/>
    <s v="GI00M10300005D"/>
    <s v="GI00M10300005D MANEJO DE FAUNA URBANA EN EL DMQ"/>
    <s v="73 BIENES Y SERVICIOS PARA INVERSIÓN"/>
    <s v="730805 Materiales de Aseo"/>
    <s v="G/730805/1MM103"/>
    <s v="001"/>
    <n v="11654"/>
    <n v="5000"/>
    <n v="-4001"/>
    <n v="12653"/>
    <n v="1218.08"/>
    <n v="557.63"/>
    <n v="474.9"/>
    <n v="12095.37"/>
    <n v="12178.1"/>
    <n v="10877.29"/>
  </r>
  <r>
    <s v="73"/>
    <x v="1"/>
    <x v="2"/>
    <s v="ZA01M000"/>
    <x v="42"/>
    <s v="M103"/>
    <s v="SALUD AL DIA"/>
    <s v="GI00M10300005D"/>
    <s v="GI00M10300005D MANEJO DE FAUNA URBANA EN EL DMQ"/>
    <s v="73 BIENES Y SERVICIOS PARA INVERSIÓN"/>
    <s v="730807 Materiales de Impresión, Fotografía, Rep"/>
    <s v="G/730807/1MM103"/>
    <s v="001"/>
    <n v="2000"/>
    <n v="0"/>
    <n v="0"/>
    <n v="2000"/>
    <n v="0"/>
    <n v="0"/>
    <n v="0"/>
    <n v="2000"/>
    <n v="2000"/>
    <n v="2000"/>
  </r>
  <r>
    <s v="73"/>
    <x v="1"/>
    <x v="2"/>
    <s v="ZA01M000"/>
    <x v="42"/>
    <s v="M103"/>
    <s v="SALUD AL DIA"/>
    <s v="GI00M10300005D"/>
    <s v="GI00M10300005D MANEJO DE FAUNA URBANA EN EL DMQ"/>
    <s v="73 BIENES Y SERVICIOS PARA INVERSIÓN"/>
    <s v="730808 Instrumental Médico Quirúrgico"/>
    <s v="G/730808/1MM103"/>
    <s v="001"/>
    <n v="0"/>
    <n v="15500"/>
    <n v="0"/>
    <n v="15500"/>
    <n v="0"/>
    <n v="0"/>
    <n v="0"/>
    <n v="15500"/>
    <n v="15500"/>
    <n v="15500"/>
  </r>
  <r>
    <s v="73"/>
    <x v="1"/>
    <x v="2"/>
    <s v="ZA01M000"/>
    <x v="42"/>
    <s v="M103"/>
    <s v="SALUD AL DIA"/>
    <s v="GI00M10300005D"/>
    <s v="GI00M10300005D MANEJO DE FAUNA URBANA EN EL DMQ"/>
    <s v="73 BIENES Y SERVICIOS PARA INVERSIÓN"/>
    <s v="730809 Medicamentos"/>
    <s v="G/730809/1MM103"/>
    <s v="001"/>
    <n v="28084"/>
    <n v="0"/>
    <n v="-20720"/>
    <n v="7364"/>
    <n v="0"/>
    <n v="1072.8399999999999"/>
    <n v="1072.8399999999999"/>
    <n v="6291.16"/>
    <n v="6291.16"/>
    <n v="6291.16"/>
  </r>
  <r>
    <s v="73"/>
    <x v="1"/>
    <x v="2"/>
    <s v="ZA01M000"/>
    <x v="42"/>
    <s v="M103"/>
    <s v="SALUD AL DIA"/>
    <s v="GI00M10300005D"/>
    <s v="GI00M10300005D MANEJO DE FAUNA URBANA EN EL DMQ"/>
    <s v="73 BIENES Y SERVICIOS PARA INVERSIÓN"/>
    <s v="730810 Dispositivos Médicos para Laboratorio Cl"/>
    <s v="G/730810/1MM103"/>
    <s v="001"/>
    <n v="2000"/>
    <n v="0"/>
    <n v="-2000"/>
    <n v="0"/>
    <n v="0"/>
    <n v="0"/>
    <n v="0"/>
    <n v="0"/>
    <n v="0"/>
    <n v="0"/>
  </r>
  <r>
    <s v="73"/>
    <x v="1"/>
    <x v="2"/>
    <s v="ZA01M000"/>
    <x v="42"/>
    <s v="M103"/>
    <s v="SALUD AL DIA"/>
    <s v="GI00M10300005D"/>
    <s v="GI00M10300005D MANEJO DE FAUNA URBANA EN EL DMQ"/>
    <s v="73 BIENES Y SERVICIOS PARA INVERSIÓN"/>
    <s v="730813 Repuestos y Accesorios"/>
    <s v="G/730813/1MM103"/>
    <s v="001"/>
    <n v="4916"/>
    <n v="0"/>
    <n v="-3572"/>
    <n v="1344"/>
    <n v="0"/>
    <n v="1236.82"/>
    <n v="1236.82"/>
    <n v="107.18"/>
    <n v="107.18"/>
    <n v="107.18"/>
  </r>
  <r>
    <s v="73"/>
    <x v="1"/>
    <x v="2"/>
    <s v="ZA01M000"/>
    <x v="42"/>
    <s v="M103"/>
    <s v="SALUD AL DIA"/>
    <s v="GI00M10300005D"/>
    <s v="GI00M10300005D MANEJO DE FAUNA URBANA EN EL DMQ"/>
    <s v="73 BIENES Y SERVICIOS PARA INVERSIÓN"/>
    <s v="730819 Accesorios e Insumos Químicos y Orgánicos"/>
    <s v="G/730819/1MM103"/>
    <s v="001"/>
    <n v="11340"/>
    <n v="0"/>
    <n v="-3437.28"/>
    <n v="7902.72"/>
    <n v="0"/>
    <n v="0"/>
    <n v="0"/>
    <n v="7902.72"/>
    <n v="7902.72"/>
    <n v="7902.72"/>
  </r>
  <r>
    <s v="73"/>
    <x v="1"/>
    <x v="2"/>
    <s v="ZA01M000"/>
    <x v="42"/>
    <s v="M103"/>
    <s v="SALUD AL DIA"/>
    <s v="GI00M10300005D"/>
    <s v="GI00M10300005D MANEJO DE FAUNA URBANA EN EL DMQ"/>
    <s v="73 BIENES Y SERVICIOS PARA INVERSIÓN"/>
    <s v="730823 Egresos para Sanidad Agropecuaria"/>
    <s v="G/730823/1MM103"/>
    <s v="001"/>
    <n v="293101.99"/>
    <n v="0"/>
    <n v="-140264.07"/>
    <n v="152837.92000000001"/>
    <n v="27871.040000000001"/>
    <n v="93083.89"/>
    <n v="91525.19"/>
    <n v="59754.03"/>
    <n v="61312.73"/>
    <n v="31882.99"/>
  </r>
  <r>
    <s v="73"/>
    <x v="1"/>
    <x v="2"/>
    <s v="ZA01M000"/>
    <x v="42"/>
    <s v="M103"/>
    <s v="SALUD AL DIA"/>
    <s v="GI00M10300005D"/>
    <s v="GI00M10300005D MANEJO DE FAUNA URBANA EN EL DMQ"/>
    <s v="73 BIENES Y SERVICIOS PARA INVERSIÓN"/>
    <s v="730826 Dispositivos Médicos de Uso General"/>
    <s v="G/730826/1MM103"/>
    <s v="001"/>
    <n v="149475"/>
    <n v="-45587.4"/>
    <n v="-39629.1"/>
    <n v="64258.5"/>
    <n v="21170.53"/>
    <n v="38848.94"/>
    <n v="34787.96"/>
    <n v="25409.56"/>
    <n v="29470.54"/>
    <n v="4239.03"/>
  </r>
  <r>
    <s v="73"/>
    <x v="1"/>
    <x v="2"/>
    <s v="ZA01M000"/>
    <x v="42"/>
    <s v="M103"/>
    <s v="SALUD AL DIA"/>
    <s v="GI00M10300005D"/>
    <s v="GI00M10300005D MANEJO DE FAUNA URBANA EN EL DMQ"/>
    <s v="73 BIENES Y SERVICIOS PARA INVERSIÓN"/>
    <s v="731406 Herramientas y equipos menores"/>
    <s v="G/731406/1MM103"/>
    <s v="001"/>
    <n v="0"/>
    <n v="5464"/>
    <n v="0"/>
    <n v="5464"/>
    <n v="0"/>
    <n v="0"/>
    <n v="0"/>
    <n v="5464"/>
    <n v="5464"/>
    <n v="5464"/>
  </r>
  <r>
    <s v="73"/>
    <x v="1"/>
    <x v="2"/>
    <s v="US33M030"/>
    <x v="5"/>
    <s v="M103"/>
    <s v="SALUD AL DIA"/>
    <s v="GI00M10300006D"/>
    <s v="GI00M10300006D ATENCIÓN Y PREVENCIÓN DE LA ENFERMEDAD"/>
    <s v="73 BIENES Y SERVICIOS PARA INVERSIÓN"/>
    <s v="730101 Agua Potable"/>
    <s v="G/730101/1MM103"/>
    <s v="001"/>
    <n v="0"/>
    <n v="2400"/>
    <n v="0"/>
    <n v="2400"/>
    <n v="0"/>
    <n v="2285.65"/>
    <n v="2285.65"/>
    <n v="114.35"/>
    <n v="114.35"/>
    <n v="114.35"/>
  </r>
  <r>
    <s v="73"/>
    <x v="1"/>
    <x v="2"/>
    <s v="US33M030"/>
    <x v="5"/>
    <s v="M103"/>
    <s v="SALUD AL DIA"/>
    <s v="GI00M10300006D"/>
    <s v="GI00M10300006D ATENCIÓN Y PREVENCIÓN DE LA ENFERMEDAD"/>
    <s v="73 BIENES Y SERVICIOS PARA INVERSIÓN"/>
    <s v="730104 Energía Eléctrica"/>
    <s v="G/730104/1MM103"/>
    <s v="001"/>
    <n v="0"/>
    <n v="27800"/>
    <n v="0"/>
    <n v="27800"/>
    <n v="0"/>
    <n v="19745.18"/>
    <n v="19745.18"/>
    <n v="8054.82"/>
    <n v="8054.82"/>
    <n v="8054.82"/>
  </r>
  <r>
    <s v="73"/>
    <x v="1"/>
    <x v="2"/>
    <s v="UC32M020"/>
    <x v="33"/>
    <s v="M103"/>
    <s v="SALUD AL DIA"/>
    <s v="GI00M10300006D"/>
    <s v="GI00M10300006D ATENCIÓN Y PREVENCIÓN DE LA ENFERMEDAD"/>
    <s v="73 BIENES Y SERVICIOS PARA INVERSIÓN"/>
    <s v="730105 Telecomunicaciones"/>
    <s v="G/730105/1MM103"/>
    <s v="001"/>
    <n v="0"/>
    <n v="2033.92"/>
    <n v="0"/>
    <n v="2033.92"/>
    <n v="2033.92"/>
    <n v="0"/>
    <n v="0"/>
    <n v="2033.92"/>
    <n v="2033.92"/>
    <n v="0"/>
  </r>
  <r>
    <s v="73"/>
    <x v="1"/>
    <x v="2"/>
    <s v="US33M030"/>
    <x v="5"/>
    <s v="M103"/>
    <s v="SALUD AL DIA"/>
    <s v="GI00M10300006D"/>
    <s v="GI00M10300006D ATENCIÓN Y PREVENCIÓN DE LA ENFERMEDAD"/>
    <s v="73 BIENES Y SERVICIOS PARA INVERSIÓN"/>
    <s v="730201 Transporte de Personal"/>
    <s v="G/730201/1MM103"/>
    <s v="001"/>
    <n v="0"/>
    <n v="52300"/>
    <n v="0"/>
    <n v="52300"/>
    <n v="180"/>
    <n v="52120"/>
    <n v="40366.660000000003"/>
    <n v="180"/>
    <n v="11933.34"/>
    <n v="0"/>
  </r>
  <r>
    <s v="73"/>
    <x v="1"/>
    <x v="2"/>
    <s v="US33M030"/>
    <x v="5"/>
    <s v="M103"/>
    <s v="SALUD AL DIA"/>
    <s v="GI00M10300006D"/>
    <s v="GI00M10300006D ATENCIÓN Y PREVENCIÓN DE LA ENFERMEDAD"/>
    <s v="73 BIENES Y SERVICIOS PARA INVERSIÓN"/>
    <s v="730202 Fletes y Maniobras"/>
    <s v="G/730202/1MM103"/>
    <s v="001"/>
    <n v="0"/>
    <n v="700"/>
    <n v="0"/>
    <n v="700"/>
    <n v="0"/>
    <n v="681"/>
    <n v="681"/>
    <n v="19"/>
    <n v="19"/>
    <n v="19"/>
  </r>
  <r>
    <s v="73"/>
    <x v="1"/>
    <x v="2"/>
    <s v="UN31M010"/>
    <x v="15"/>
    <s v="M103"/>
    <s v="SALUD AL DIA"/>
    <s v="GI00M10300006D"/>
    <s v="GI00M10300006D ATENCIÓN Y PREVENCIÓN DE LA ENFERMEDAD"/>
    <s v="73 BIENES Y SERVICIOS PARA INVERSIÓN"/>
    <s v="730204 Edición, Impresión, Reproducción, Public"/>
    <s v="G/730204/1MM103"/>
    <s v="001"/>
    <n v="3000"/>
    <n v="33180.639999999999"/>
    <n v="-16180.64"/>
    <n v="20000"/>
    <n v="0"/>
    <n v="3649.7"/>
    <n v="0"/>
    <n v="16350.3"/>
    <n v="20000"/>
    <n v="16350.3"/>
  </r>
  <r>
    <s v="73"/>
    <x v="1"/>
    <x v="2"/>
    <s v="UC32M020"/>
    <x v="33"/>
    <s v="M103"/>
    <s v="SALUD AL DIA"/>
    <s v="GI00M10300006D"/>
    <s v="GI00M10300006D ATENCIÓN Y PREVENCIÓN DE LA ENFERMEDAD"/>
    <s v="73 BIENES Y SERVICIOS PARA INVERSIÓN"/>
    <s v="730204 Edición, Impresión, Reproducción, Public"/>
    <s v="G/730204/1MM103"/>
    <s v="001"/>
    <n v="25000"/>
    <n v="-23300"/>
    <n v="0"/>
    <n v="1700"/>
    <n v="0"/>
    <n v="1657.2"/>
    <n v="1657.2"/>
    <n v="42.8"/>
    <n v="42.8"/>
    <n v="42.8"/>
  </r>
  <r>
    <s v="73"/>
    <x v="1"/>
    <x v="2"/>
    <s v="UN31M010"/>
    <x v="15"/>
    <s v="M103"/>
    <s v="SALUD AL DIA"/>
    <s v="GI00M10300006D"/>
    <s v="GI00M10300006D ATENCIÓN Y PREVENCIÓN DE LA ENFERMEDAD"/>
    <s v="73 BIENES Y SERVICIOS PARA INVERSIÓN"/>
    <s v="730205 Espectáculos Culturales y Sociales"/>
    <s v="G/730205/1MM103"/>
    <s v="001"/>
    <n v="6500"/>
    <n v="0"/>
    <n v="-6500"/>
    <n v="0"/>
    <n v="0"/>
    <n v="0"/>
    <n v="0"/>
    <n v="0"/>
    <n v="0"/>
    <n v="0"/>
  </r>
  <r>
    <s v="73"/>
    <x v="1"/>
    <x v="2"/>
    <s v="US33M030"/>
    <x v="5"/>
    <s v="M103"/>
    <s v="SALUD AL DIA"/>
    <s v="GI00M10300006D"/>
    <s v="GI00M10300006D ATENCIÓN Y PREVENCIÓN DE LA ENFERMEDAD"/>
    <s v="73 BIENES Y SERVICIOS PARA INVERSIÓN"/>
    <s v="730208 Servicio de Seguridad y Vigilancia"/>
    <s v="G/730208/1MM103"/>
    <s v="001"/>
    <n v="0"/>
    <n v="97828"/>
    <n v="0"/>
    <n v="97828"/>
    <n v="20428.8"/>
    <n v="76608"/>
    <n v="71075.199999999997"/>
    <n v="21220"/>
    <n v="26752.799999999999"/>
    <n v="791.2"/>
  </r>
  <r>
    <s v="73"/>
    <x v="1"/>
    <x v="2"/>
    <s v="UN31M010"/>
    <x v="15"/>
    <s v="M103"/>
    <s v="SALUD AL DIA"/>
    <s v="GI00M10300006D"/>
    <s v="GI00M10300006D ATENCIÓN Y PREVENCIÓN DE LA ENFERMEDAD"/>
    <s v="73 BIENES Y SERVICIOS PARA INVERSIÓN"/>
    <s v="730209 Servicios de Aseo, Lavado de Vestimenta"/>
    <s v="G/730209/1MM103"/>
    <s v="001"/>
    <n v="0"/>
    <n v="88842.59"/>
    <n v="0"/>
    <n v="88842.59"/>
    <n v="0"/>
    <n v="88842.59"/>
    <n v="70138.880000000005"/>
    <n v="0"/>
    <n v="18703.71"/>
    <n v="0"/>
  </r>
  <r>
    <s v="73"/>
    <x v="1"/>
    <x v="2"/>
    <s v="US33M030"/>
    <x v="5"/>
    <s v="M103"/>
    <s v="SALUD AL DIA"/>
    <s v="GI00M10300006D"/>
    <s v="GI00M10300006D ATENCIÓN Y PREVENCIÓN DE LA ENFERMEDAD"/>
    <s v="73 BIENES Y SERVICIOS PARA INVERSIÓN"/>
    <s v="730209 Servicios de Aseo, Lavado de Vestimenta"/>
    <s v="G/730209/1MM103"/>
    <s v="001"/>
    <n v="160000"/>
    <n v="573939.96"/>
    <n v="0"/>
    <n v="733939.96"/>
    <n v="118009.3"/>
    <n v="615874.68999999994"/>
    <n v="333524.26"/>
    <n v="118065.27"/>
    <n v="400415.7"/>
    <n v="55.97"/>
  </r>
  <r>
    <s v="73"/>
    <x v="1"/>
    <x v="2"/>
    <s v="UN31M010"/>
    <x v="15"/>
    <s v="M103"/>
    <s v="SALUD AL DIA"/>
    <s v="GI00M10300006D"/>
    <s v="GI00M10300006D ATENCIÓN Y PREVENCIÓN DE LA ENFERMEDAD"/>
    <s v="73 BIENES Y SERVICIOS PARA INVERSIÓN"/>
    <s v="730226 Servicios Médicos Hospitalarios y Complemen"/>
    <s v="G/730226/1MM103"/>
    <s v="001"/>
    <n v="45000"/>
    <n v="-45000"/>
    <n v="0"/>
    <n v="0"/>
    <n v="0"/>
    <n v="0"/>
    <n v="0"/>
    <n v="0"/>
    <n v="0"/>
    <n v="0"/>
  </r>
  <r>
    <s v="73"/>
    <x v="1"/>
    <x v="2"/>
    <s v="UC32M020"/>
    <x v="33"/>
    <s v="M103"/>
    <s v="SALUD AL DIA"/>
    <s v="GI00M10300006D"/>
    <s v="GI00M10300006D ATENCIÓN Y PREVENCIÓN DE LA ENFERMEDAD"/>
    <s v="73 BIENES Y SERVICIOS PARA INVERSIÓN"/>
    <s v="730226 Servicios Médicos Hospitalarios y Complemen"/>
    <s v="G/730226/1MM103"/>
    <s v="001"/>
    <n v="32000"/>
    <n v="13350"/>
    <n v="0"/>
    <n v="45350"/>
    <n v="5600"/>
    <n v="10906.74"/>
    <n v="8231.5"/>
    <n v="34443.26"/>
    <n v="37118.5"/>
    <n v="28843.26"/>
  </r>
  <r>
    <s v="73"/>
    <x v="1"/>
    <x v="2"/>
    <s v="US33M030"/>
    <x v="5"/>
    <s v="M103"/>
    <s v="SALUD AL DIA"/>
    <s v="GI00M10300006D"/>
    <s v="GI00M10300006D ATENCIÓN Y PREVENCIÓN DE LA ENFERMEDAD"/>
    <s v="73 BIENES Y SERVICIOS PARA INVERSIÓN"/>
    <s v="730226 Servicios Médicos Hospitalarios y Complemen"/>
    <s v="G/730226/1MM103"/>
    <s v="001"/>
    <n v="0"/>
    <n v="6400"/>
    <n v="0"/>
    <n v="6400"/>
    <n v="0"/>
    <n v="6400"/>
    <n v="2240"/>
    <n v="0"/>
    <n v="4160"/>
    <n v="0"/>
  </r>
  <r>
    <s v="73"/>
    <x v="1"/>
    <x v="2"/>
    <s v="UC32M020"/>
    <x v="33"/>
    <s v="M103"/>
    <s v="SALUD AL DIA"/>
    <s v="GI00M10300006D"/>
    <s v="GI00M10300006D ATENCIÓN Y PREVENCIÓN DE LA ENFERMEDAD"/>
    <s v="73 BIENES Y SERVICIOS PARA INVERSIÓN"/>
    <s v="730235 Servicio de Alimentación"/>
    <s v="G/730235/1MM103"/>
    <s v="001"/>
    <n v="10000"/>
    <n v="-6220"/>
    <n v="0"/>
    <n v="3780"/>
    <n v="3780"/>
    <n v="0"/>
    <n v="0"/>
    <n v="3780"/>
    <n v="3780"/>
    <n v="0"/>
  </r>
  <r>
    <s v="73"/>
    <x v="1"/>
    <x v="2"/>
    <s v="US33M030"/>
    <x v="5"/>
    <s v="M103"/>
    <s v="SALUD AL DIA"/>
    <s v="GI00M10300006D"/>
    <s v="GI00M10300006D ATENCIÓN Y PREVENCIÓN DE LA ENFERMEDAD"/>
    <s v="73 BIENES Y SERVICIOS PARA INVERSIÓN"/>
    <s v="730235 Servicio de Alimentación"/>
    <s v="G/730235/1MM103"/>
    <s v="001"/>
    <n v="0"/>
    <n v="963791.1"/>
    <n v="0"/>
    <n v="963791.1"/>
    <n v="68653.240000000005"/>
    <n v="886245.49"/>
    <n v="212743.88"/>
    <n v="77545.61"/>
    <n v="751047.22"/>
    <n v="8892.3700000000008"/>
  </r>
  <r>
    <s v="73"/>
    <x v="1"/>
    <x v="2"/>
    <s v="US33M030"/>
    <x v="5"/>
    <s v="M103"/>
    <s v="SALUD AL DIA"/>
    <s v="GI00M10300006D"/>
    <s v="GI00M10300006D ATENCIÓN Y PREVENCIÓN DE LA ENFERMEDAD"/>
    <s v="73 BIENES Y SERVICIOS PARA INVERSIÓN"/>
    <s v="730402 Edificios, Locales, Residencias y Cablea"/>
    <s v="G/730402/1MM103"/>
    <s v="001"/>
    <n v="0"/>
    <n v="457177.4"/>
    <n v="0"/>
    <n v="457177.4"/>
    <n v="0"/>
    <n v="456689.42"/>
    <n v="455262.01"/>
    <n v="487.98"/>
    <n v="1915.39"/>
    <n v="487.98"/>
  </r>
  <r>
    <s v="73"/>
    <x v="1"/>
    <x v="2"/>
    <s v="UC32M020"/>
    <x v="33"/>
    <s v="M103"/>
    <s v="SALUD AL DIA"/>
    <s v="GI00M10300006D"/>
    <s v="GI00M10300006D ATENCIÓN Y PREVENCIÓN DE LA ENFERMEDAD"/>
    <s v="73 BIENES Y SERVICIOS PARA INVERSIÓN"/>
    <s v="730402 Edificios, Locales, Residencias y Cablea"/>
    <s v="G/730402/1MM103"/>
    <s v="001"/>
    <n v="80876.490000000005"/>
    <n v="0"/>
    <n v="0"/>
    <n v="80876.490000000005"/>
    <n v="808.64"/>
    <n v="16668.830000000002"/>
    <n v="16668.830000000002"/>
    <n v="64207.66"/>
    <n v="64207.66"/>
    <n v="63399.02"/>
  </r>
  <r>
    <s v="73"/>
    <x v="1"/>
    <x v="2"/>
    <s v="UN31M010"/>
    <x v="15"/>
    <s v="M103"/>
    <s v="SALUD AL DIA"/>
    <s v="GI00M10300006D"/>
    <s v="GI00M10300006D ATENCIÓN Y PREVENCIÓN DE LA ENFERMEDAD"/>
    <s v="73 BIENES Y SERVICIOS PARA INVERSIÓN"/>
    <s v="730402 Edificios, Locales, Residencias y Cablea"/>
    <s v="G/730402/1MM103"/>
    <s v="001"/>
    <n v="129000"/>
    <n v="137914"/>
    <n v="0"/>
    <n v="266914"/>
    <n v="0.01"/>
    <n v="153397.76999999999"/>
    <n v="139745.4"/>
    <n v="113516.23"/>
    <n v="127168.6"/>
    <n v="113516.22"/>
  </r>
  <r>
    <s v="73"/>
    <x v="1"/>
    <x v="2"/>
    <s v="UC32M020"/>
    <x v="33"/>
    <s v="M103"/>
    <s v="SALUD AL DIA"/>
    <s v="GI00M10300006D"/>
    <s v="GI00M10300006D ATENCIÓN Y PREVENCIÓN DE LA ENFERMEDAD"/>
    <s v="73 BIENES Y SERVICIOS PARA INVERSIÓN"/>
    <s v="730403 Mobiliarios (Instalación, Mantenimiento"/>
    <s v="G/730403/1MM103"/>
    <s v="001"/>
    <n v="5000"/>
    <n v="-2000"/>
    <n v="-3000"/>
    <n v="0"/>
    <n v="0"/>
    <n v="0"/>
    <n v="0"/>
    <n v="0"/>
    <n v="0"/>
    <n v="0"/>
  </r>
  <r>
    <s v="73"/>
    <x v="1"/>
    <x v="2"/>
    <s v="UN31M010"/>
    <x v="15"/>
    <s v="M103"/>
    <s v="SALUD AL DIA"/>
    <s v="GI00M10300006D"/>
    <s v="GI00M10300006D ATENCIÓN Y PREVENCIÓN DE LA ENFERMEDAD"/>
    <s v="73 BIENES Y SERVICIOS PARA INVERSIÓN"/>
    <s v="730404 Maquinarias y Equipos (Instalación, Mant"/>
    <s v="G/730404/1MM103"/>
    <s v="001"/>
    <n v="50000"/>
    <n v="0"/>
    <n v="0"/>
    <n v="50000"/>
    <n v="720"/>
    <n v="28623.84"/>
    <n v="18032"/>
    <n v="21376.16"/>
    <n v="31968"/>
    <n v="20656.16"/>
  </r>
  <r>
    <s v="73"/>
    <x v="1"/>
    <x v="2"/>
    <s v="UC32M020"/>
    <x v="33"/>
    <s v="M103"/>
    <s v="SALUD AL DIA"/>
    <s v="GI00M10300006D"/>
    <s v="GI00M10300006D ATENCIÓN Y PREVENCIÓN DE LA ENFERMEDAD"/>
    <s v="73 BIENES Y SERVICIOS PARA INVERSIÓN"/>
    <s v="730404 Maquinarias y Equipos (Instalación, Mant"/>
    <s v="G/730404/1MM103"/>
    <s v="001"/>
    <n v="50000"/>
    <n v="-20000"/>
    <n v="0"/>
    <n v="30000"/>
    <n v="4794.57"/>
    <n v="20265.5"/>
    <n v="15075.87"/>
    <n v="9734.5"/>
    <n v="14924.13"/>
    <n v="4939.93"/>
  </r>
  <r>
    <s v="73"/>
    <x v="1"/>
    <x v="2"/>
    <s v="UC32M020"/>
    <x v="33"/>
    <s v="M103"/>
    <s v="SALUD AL DIA"/>
    <s v="GI00M10300006D"/>
    <s v="GI00M10300006D ATENCIÓN Y PREVENCIÓN DE LA ENFERMEDAD"/>
    <s v="73 BIENES Y SERVICIOS PARA INVERSIÓN"/>
    <s v="730405 Vehículos (Servicio para Mantenimiento y"/>
    <s v="G/730405/1MM103"/>
    <s v="001"/>
    <n v="25000"/>
    <n v="-9743.92"/>
    <n v="-7000"/>
    <n v="8256.08"/>
    <n v="0"/>
    <n v="7950.88"/>
    <n v="5346.67"/>
    <n v="305.2"/>
    <n v="2909.41"/>
    <n v="305.2"/>
  </r>
  <r>
    <s v="73"/>
    <x v="1"/>
    <x v="2"/>
    <s v="US33M030"/>
    <x v="5"/>
    <s v="M103"/>
    <s v="SALUD AL DIA"/>
    <s v="GI00M10300006D"/>
    <s v="GI00M10300006D ATENCIÓN Y PREVENCIÓN DE LA ENFERMEDAD"/>
    <s v="73 BIENES Y SERVICIOS PARA INVERSIÓN"/>
    <s v="730606 Honorarios por Contratos Civiles de Servici"/>
    <s v="G/730606/1MM103"/>
    <s v="001"/>
    <n v="0"/>
    <n v="89778.4"/>
    <n v="0"/>
    <n v="89778.4"/>
    <n v="0"/>
    <n v="74648"/>
    <n v="44019.79"/>
    <n v="15130.4"/>
    <n v="45758.61"/>
    <n v="15130.4"/>
  </r>
  <r>
    <s v="73"/>
    <x v="1"/>
    <x v="2"/>
    <s v="UN31M010"/>
    <x v="15"/>
    <s v="M103"/>
    <s v="SALUD AL DIA"/>
    <s v="GI00M10300006D"/>
    <s v="GI00M10300006D ATENCIÓN Y PREVENCIÓN DE LA ENFERMEDAD"/>
    <s v="73 BIENES Y SERVICIOS PARA INVERSIÓN"/>
    <s v="730606 Honorarios por Contratos Civiles de Servici"/>
    <s v="G/730606/1MM103"/>
    <s v="001"/>
    <n v="68961"/>
    <n v="-42551"/>
    <n v="-15846"/>
    <n v="10564"/>
    <n v="0"/>
    <n v="0"/>
    <n v="0"/>
    <n v="10564"/>
    <n v="10564"/>
    <n v="10564"/>
  </r>
  <r>
    <s v="73"/>
    <x v="1"/>
    <x v="2"/>
    <s v="UC32M020"/>
    <x v="33"/>
    <s v="M103"/>
    <s v="SALUD AL DIA"/>
    <s v="GI00M10300006D"/>
    <s v="GI00M10300006D ATENCIÓN Y PREVENCIÓN DE LA ENFERMEDAD"/>
    <s v="73 BIENES Y SERVICIOS PARA INVERSIÓN"/>
    <s v="730704 Mantenimiento y Reparación de Equipos y"/>
    <s v="G/730704/1MM103"/>
    <s v="001"/>
    <n v="20000"/>
    <n v="-8200"/>
    <n v="0"/>
    <n v="11800"/>
    <n v="0"/>
    <n v="5952.8"/>
    <n v="5952.79"/>
    <n v="5847.2"/>
    <n v="5847.21"/>
    <n v="5847.2"/>
  </r>
  <r>
    <s v="73"/>
    <x v="1"/>
    <x v="2"/>
    <s v="UN31M010"/>
    <x v="15"/>
    <s v="M103"/>
    <s v="SALUD AL DIA"/>
    <s v="GI00M10300006D"/>
    <s v="GI00M10300006D ATENCIÓN Y PREVENCIÓN DE LA ENFERMEDAD"/>
    <s v="73 BIENES Y SERVICIOS PARA INVERSIÓN"/>
    <s v="730802 Vestuario, Lencería, Prendas de Protecci"/>
    <s v="G/730802/1MM103"/>
    <s v="001"/>
    <n v="18500"/>
    <n v="181880"/>
    <n v="-133000"/>
    <n v="67380"/>
    <n v="2.0699999999999998"/>
    <n v="29173.37"/>
    <n v="29173.37"/>
    <n v="38206.629999999997"/>
    <n v="38206.629999999997"/>
    <n v="38204.559999999998"/>
  </r>
  <r>
    <s v="73"/>
    <x v="1"/>
    <x v="2"/>
    <s v="UC32M020"/>
    <x v="33"/>
    <s v="M103"/>
    <s v="SALUD AL DIA"/>
    <s v="GI00M10300006D"/>
    <s v="GI00M10300006D ATENCIÓN Y PREVENCIÓN DE LA ENFERMEDAD"/>
    <s v="73 BIENES Y SERVICIOS PARA INVERSIÓN"/>
    <s v="730802 Vestuario, Lencería, Prendas de Protecci"/>
    <s v="G/730802/1MM103"/>
    <s v="001"/>
    <n v="4000"/>
    <n v="335996.32"/>
    <n v="-228480"/>
    <n v="111516.32"/>
    <n v="1781.14"/>
    <n v="103370.06"/>
    <n v="38883.82"/>
    <n v="8146.26"/>
    <n v="72632.5"/>
    <n v="6365.12"/>
  </r>
  <r>
    <s v="73"/>
    <x v="1"/>
    <x v="2"/>
    <s v="US33M030"/>
    <x v="5"/>
    <s v="M103"/>
    <s v="SALUD AL DIA"/>
    <s v="GI00M10300006D"/>
    <s v="GI00M10300006D ATENCIÓN Y PREVENCIÓN DE LA ENFERMEDAD"/>
    <s v="73 BIENES Y SERVICIOS PARA INVERSIÓN"/>
    <s v="730802 Vestuario, Lencería, Prendas de Protecci"/>
    <s v="G/730802/1MM103"/>
    <s v="001"/>
    <n v="5000"/>
    <n v="275509.53999999998"/>
    <n v="0"/>
    <n v="280509.53999999998"/>
    <n v="0"/>
    <n v="272739.21999999997"/>
    <n v="262444.31"/>
    <n v="7770.32"/>
    <n v="18065.23"/>
    <n v="7770.32"/>
  </r>
  <r>
    <s v="73"/>
    <x v="1"/>
    <x v="2"/>
    <s v="UC32M020"/>
    <x v="33"/>
    <s v="M103"/>
    <s v="SALUD AL DIA"/>
    <s v="GI00M10300006D"/>
    <s v="GI00M10300006D ATENCIÓN Y PREVENCIÓN DE LA ENFERMEDAD"/>
    <s v="73 BIENES Y SERVICIOS PARA INVERSIÓN"/>
    <s v="730804 Materiales de Oficina"/>
    <s v="G/730804/1MM103"/>
    <s v="001"/>
    <n v="6000"/>
    <n v="4754.17"/>
    <n v="0"/>
    <n v="10754.17"/>
    <n v="2753.03"/>
    <n v="6441.28"/>
    <n v="5513.24"/>
    <n v="4312.8900000000003"/>
    <n v="5240.93"/>
    <n v="1559.86"/>
  </r>
  <r>
    <s v="73"/>
    <x v="1"/>
    <x v="2"/>
    <s v="US33M030"/>
    <x v="5"/>
    <s v="M103"/>
    <s v="SALUD AL DIA"/>
    <s v="GI00M10300006D"/>
    <s v="GI00M10300006D ATENCIÓN Y PREVENCIÓN DE LA ENFERMEDAD"/>
    <s v="73 BIENES Y SERVICIOS PARA INVERSIÓN"/>
    <s v="730805 Materiales de Aseo"/>
    <s v="G/730805/1MM103"/>
    <s v="001"/>
    <n v="0"/>
    <n v="10383.049999999999"/>
    <n v="0"/>
    <n v="10383.049999999999"/>
    <n v="0"/>
    <n v="3959.29"/>
    <n v="3959.29"/>
    <n v="6423.76"/>
    <n v="6423.76"/>
    <n v="6423.76"/>
  </r>
  <r>
    <s v="73"/>
    <x v="1"/>
    <x v="2"/>
    <s v="UC32M020"/>
    <x v="33"/>
    <s v="M103"/>
    <s v="SALUD AL DIA"/>
    <s v="GI00M10300006D"/>
    <s v="GI00M10300006D ATENCIÓN Y PREVENCIÓN DE LA ENFERMEDAD"/>
    <s v="73 BIENES Y SERVICIOS PARA INVERSIÓN"/>
    <s v="730805 Materiales de Aseo"/>
    <s v="G/730805/1MM103"/>
    <s v="001"/>
    <n v="15000"/>
    <n v="7000"/>
    <n v="0"/>
    <n v="22000"/>
    <n v="5231.05"/>
    <n v="14611.49"/>
    <n v="14611.49"/>
    <n v="7388.51"/>
    <n v="7388.51"/>
    <n v="2157.46"/>
  </r>
  <r>
    <s v="73"/>
    <x v="1"/>
    <x v="2"/>
    <s v="UC32M020"/>
    <x v="33"/>
    <s v="M103"/>
    <s v="SALUD AL DIA"/>
    <s v="GI00M10300006D"/>
    <s v="GI00M10300006D ATENCIÓN Y PREVENCIÓN DE LA ENFERMEDAD"/>
    <s v="73 BIENES Y SERVICIOS PARA INVERSIÓN"/>
    <s v="730807 Materiales de Impresión, Fotografía, Rep"/>
    <s v="G/730807/1MM103"/>
    <s v="001"/>
    <n v="20000"/>
    <n v="-9700"/>
    <n v="-10000"/>
    <n v="300"/>
    <n v="0"/>
    <n v="0"/>
    <n v="0"/>
    <n v="300"/>
    <n v="300"/>
    <n v="300"/>
  </r>
  <r>
    <s v="73"/>
    <x v="1"/>
    <x v="2"/>
    <s v="UN31M010"/>
    <x v="15"/>
    <s v="M103"/>
    <s v="SALUD AL DIA"/>
    <s v="GI00M10300006D"/>
    <s v="GI00M10300006D ATENCIÓN Y PREVENCIÓN DE LA ENFERMEDAD"/>
    <s v="73 BIENES Y SERVICIOS PARA INVERSIÓN"/>
    <s v="730807 Materiales de Impresión, Fotografía, Rep"/>
    <s v="G/730807/1MM103"/>
    <s v="001"/>
    <n v="4000"/>
    <n v="0"/>
    <n v="-4000"/>
    <n v="0"/>
    <n v="0"/>
    <n v="0"/>
    <n v="0"/>
    <n v="0"/>
    <n v="0"/>
    <n v="0"/>
  </r>
  <r>
    <s v="73"/>
    <x v="1"/>
    <x v="2"/>
    <s v="US33M030"/>
    <x v="5"/>
    <s v="M103"/>
    <s v="SALUD AL DIA"/>
    <s v="GI00M10300006D"/>
    <s v="GI00M10300006D ATENCIÓN Y PREVENCIÓN DE LA ENFERMEDAD"/>
    <s v="73 BIENES Y SERVICIOS PARA INVERSIÓN"/>
    <s v="730808 Instrumental Médico Quirúrgico"/>
    <s v="G/730808/1MM103"/>
    <s v="001"/>
    <n v="6872"/>
    <n v="-6872"/>
    <n v="0"/>
    <n v="0"/>
    <n v="0"/>
    <n v="0"/>
    <n v="0"/>
    <n v="0"/>
    <n v="0"/>
    <n v="0"/>
  </r>
  <r>
    <s v="73"/>
    <x v="1"/>
    <x v="2"/>
    <s v="UC32M020"/>
    <x v="33"/>
    <s v="M103"/>
    <s v="SALUD AL DIA"/>
    <s v="GI00M10300006D"/>
    <s v="GI00M10300006D ATENCIÓN Y PREVENCIÓN DE LA ENFERMEDAD"/>
    <s v="73 BIENES Y SERVICIOS PARA INVERSIÓN"/>
    <s v="730808 Instrumental Médico Quirúrgico"/>
    <s v="G/730808/1MM103"/>
    <s v="001"/>
    <n v="0"/>
    <n v="426.72"/>
    <n v="0"/>
    <n v="426.72"/>
    <n v="0"/>
    <n v="426.72"/>
    <n v="426.72"/>
    <n v="0"/>
    <n v="0"/>
    <n v="0"/>
  </r>
  <r>
    <s v="73"/>
    <x v="1"/>
    <x v="2"/>
    <s v="UN31M010"/>
    <x v="15"/>
    <s v="M103"/>
    <s v="SALUD AL DIA"/>
    <s v="GI00M10300006D"/>
    <s v="GI00M10300006D ATENCIÓN Y PREVENCIÓN DE LA ENFERMEDAD"/>
    <s v="73 BIENES Y SERVICIOS PARA INVERSIÓN"/>
    <s v="730809 Medicamentos"/>
    <s v="G/730809/1MM103"/>
    <s v="001"/>
    <n v="130998.14"/>
    <n v="-44056.01"/>
    <n v="-46460.75"/>
    <n v="40481.379999999997"/>
    <n v="2358.2800000000002"/>
    <n v="26690.69"/>
    <n v="14838.58"/>
    <n v="13790.69"/>
    <n v="25642.799999999999"/>
    <n v="11432.41"/>
  </r>
  <r>
    <s v="73"/>
    <x v="1"/>
    <x v="2"/>
    <s v="US33M030"/>
    <x v="5"/>
    <s v="M103"/>
    <s v="SALUD AL DIA"/>
    <s v="GI00M10300006D"/>
    <s v="GI00M10300006D ATENCIÓN Y PREVENCIÓN DE LA ENFERMEDAD"/>
    <s v="73 BIENES Y SERVICIOS PARA INVERSIÓN"/>
    <s v="730809 Medicamentos"/>
    <s v="G/730809/1MM103"/>
    <s v="001"/>
    <n v="70000"/>
    <n v="272960"/>
    <n v="0"/>
    <n v="342960"/>
    <n v="0"/>
    <n v="308535.51"/>
    <n v="199037.05"/>
    <n v="34424.49"/>
    <n v="143922.95000000001"/>
    <n v="34424.49"/>
  </r>
  <r>
    <s v="73"/>
    <x v="1"/>
    <x v="2"/>
    <s v="UC32M020"/>
    <x v="33"/>
    <s v="M103"/>
    <s v="SALUD AL DIA"/>
    <s v="GI00M10300006D"/>
    <s v="GI00M10300006D ATENCIÓN Y PREVENCIÓN DE LA ENFERMEDAD"/>
    <s v="73 BIENES Y SERVICIOS PARA INVERSIÓN"/>
    <s v="730809 Medicamentos"/>
    <s v="G/730809/1MM103"/>
    <s v="001"/>
    <n v="60000"/>
    <n v="-20103.439999999999"/>
    <n v="0"/>
    <n v="39896.559999999998"/>
    <n v="201.6"/>
    <n v="20314.46"/>
    <n v="15506.9"/>
    <n v="19582.099999999999"/>
    <n v="24389.66"/>
    <n v="19380.5"/>
  </r>
  <r>
    <s v="73"/>
    <x v="1"/>
    <x v="2"/>
    <s v="UN31M010"/>
    <x v="15"/>
    <s v="M103"/>
    <s v="SALUD AL DIA"/>
    <s v="GI00M10300006D"/>
    <s v="GI00M10300006D ATENCIÓN Y PREVENCIÓN DE LA ENFERMEDAD"/>
    <s v="73 BIENES Y SERVICIOS PARA INVERSIÓN"/>
    <s v="730810 Dispositivos Médicos para Laboratorio Cl"/>
    <s v="G/730810/1MM103"/>
    <s v="001"/>
    <n v="193316.22"/>
    <n v="0"/>
    <n v="-80000"/>
    <n v="113316.22"/>
    <n v="0"/>
    <n v="32782.43"/>
    <n v="32782.43"/>
    <n v="80533.789999999994"/>
    <n v="80533.789999999994"/>
    <n v="80533.789999999994"/>
  </r>
  <r>
    <s v="73"/>
    <x v="1"/>
    <x v="2"/>
    <s v="US33M030"/>
    <x v="5"/>
    <s v="M103"/>
    <s v="SALUD AL DIA"/>
    <s v="GI00M10300006D"/>
    <s v="GI00M10300006D ATENCIÓN Y PREVENCIÓN DE LA ENFERMEDAD"/>
    <s v="73 BIENES Y SERVICIOS PARA INVERSIÓN"/>
    <s v="730810 Dispositivos Médicos para Laboratorio Cl"/>
    <s v="G/730810/1MM103"/>
    <s v="001"/>
    <n v="140000"/>
    <n v="180000"/>
    <n v="0"/>
    <n v="320000"/>
    <n v="17753.14"/>
    <n v="156976.66"/>
    <n v="21145.599999999999"/>
    <n v="163023.34"/>
    <n v="298854.40000000002"/>
    <n v="145270.20000000001"/>
  </r>
  <r>
    <s v="73"/>
    <x v="1"/>
    <x v="2"/>
    <s v="UC32M020"/>
    <x v="33"/>
    <s v="M103"/>
    <s v="SALUD AL DIA"/>
    <s v="GI00M10300006D"/>
    <s v="GI00M10300006D ATENCIÓN Y PREVENCIÓN DE LA ENFERMEDAD"/>
    <s v="73 BIENES Y SERVICIOS PARA INVERSIÓN"/>
    <s v="730810 Dispositivos Médicos para Laboratorio Cl"/>
    <s v="G/730810/1MM103"/>
    <s v="001"/>
    <n v="115000"/>
    <n v="-86526.720000000001"/>
    <n v="0"/>
    <n v="28473.279999999999"/>
    <n v="0"/>
    <n v="27804.71"/>
    <n v="16136.55"/>
    <n v="668.57"/>
    <n v="12336.73"/>
    <n v="668.57"/>
  </r>
  <r>
    <s v="73"/>
    <x v="1"/>
    <x v="2"/>
    <s v="UC32M020"/>
    <x v="33"/>
    <s v="M103"/>
    <s v="SALUD AL DIA"/>
    <s v="GI00M10300006D"/>
    <s v="GI00M10300006D ATENCIÓN Y PREVENCIÓN DE LA ENFERMEDAD"/>
    <s v="73 BIENES Y SERVICIOS PARA INVERSIÓN"/>
    <s v="730811 Insumos, Materiales y Suministros para Cons"/>
    <s v="G/730811/1MM103"/>
    <s v="001"/>
    <n v="2000"/>
    <n v="-1154.17"/>
    <n v="0"/>
    <n v="845.83"/>
    <n v="0"/>
    <n v="580.34"/>
    <n v="580.34"/>
    <n v="265.49"/>
    <n v="265.49"/>
    <n v="265.49"/>
  </r>
  <r>
    <s v="73"/>
    <x v="1"/>
    <x v="2"/>
    <s v="UN31M010"/>
    <x v="15"/>
    <s v="M103"/>
    <s v="SALUD AL DIA"/>
    <s v="GI00M10300006D"/>
    <s v="GI00M10300006D ATENCIÓN Y PREVENCIÓN DE LA ENFERMEDAD"/>
    <s v="73 BIENES Y SERVICIOS PARA INVERSIÓN"/>
    <s v="730812 Materiales Didácticos"/>
    <s v="G/730812/1MM103"/>
    <s v="001"/>
    <n v="11352.41"/>
    <n v="-11352.41"/>
    <n v="0"/>
    <n v="0"/>
    <n v="0"/>
    <n v="0"/>
    <n v="0"/>
    <n v="0"/>
    <n v="0"/>
    <n v="0"/>
  </r>
  <r>
    <s v="73"/>
    <x v="1"/>
    <x v="2"/>
    <s v="UC32M020"/>
    <x v="33"/>
    <s v="M103"/>
    <s v="SALUD AL DIA"/>
    <s v="GI00M10300006D"/>
    <s v="GI00M10300006D ATENCIÓN Y PREVENCIÓN DE LA ENFERMEDAD"/>
    <s v="73 BIENES Y SERVICIOS PARA INVERSIÓN"/>
    <s v="730813 Repuestos y Accesorios"/>
    <s v="G/730813/1MM103"/>
    <s v="001"/>
    <n v="18000"/>
    <n v="-8000"/>
    <n v="-10000"/>
    <n v="0"/>
    <n v="0"/>
    <n v="0"/>
    <n v="0"/>
    <n v="0"/>
    <n v="0"/>
    <n v="0"/>
  </r>
  <r>
    <s v="73"/>
    <x v="1"/>
    <x v="2"/>
    <s v="US33M030"/>
    <x v="5"/>
    <s v="M103"/>
    <s v="SALUD AL DIA"/>
    <s v="GI00M10300006D"/>
    <s v="GI00M10300006D ATENCIÓN Y PREVENCIÓN DE LA ENFERMEDAD"/>
    <s v="73 BIENES Y SERVICIOS PARA INVERSIÓN"/>
    <s v="730813 Repuestos y Accesorios"/>
    <s v="G/730813/1MM103"/>
    <s v="001"/>
    <n v="0"/>
    <n v="20000"/>
    <n v="0"/>
    <n v="20000"/>
    <n v="0"/>
    <n v="16330.14"/>
    <n v="14000"/>
    <n v="3669.86"/>
    <n v="6000"/>
    <n v="3669.86"/>
  </r>
  <r>
    <s v="73"/>
    <x v="1"/>
    <x v="2"/>
    <s v="UN31M010"/>
    <x v="15"/>
    <s v="M103"/>
    <s v="SALUD AL DIA"/>
    <s v="GI00M10300006D"/>
    <s v="GI00M10300006D ATENCIÓN Y PREVENCIÓN DE LA ENFERMEDAD"/>
    <s v="73 BIENES Y SERVICIOS PARA INVERSIÓN"/>
    <s v="730813 Repuestos y Accesorios"/>
    <s v="G/730813/1MM103"/>
    <s v="001"/>
    <n v="40000"/>
    <n v="6068.15"/>
    <n v="0"/>
    <n v="46068.15"/>
    <n v="58.87"/>
    <n v="16646.95"/>
    <n v="15795.75"/>
    <n v="29421.200000000001"/>
    <n v="30272.400000000001"/>
    <n v="29362.33"/>
  </r>
  <r>
    <s v="73"/>
    <x v="1"/>
    <x v="2"/>
    <s v="UN31M010"/>
    <x v="15"/>
    <s v="M103"/>
    <s v="SALUD AL DIA"/>
    <s v="GI00M10300006D"/>
    <s v="GI00M10300006D ATENCIÓN Y PREVENCIÓN DE LA ENFERMEDAD"/>
    <s v="73 BIENES Y SERVICIOS PARA INVERSIÓN"/>
    <s v="730819 Accesorios e Insumos Químicos y Orgánicos"/>
    <s v="G/730819/1MM103"/>
    <s v="001"/>
    <n v="0"/>
    <n v="2000"/>
    <n v="0"/>
    <n v="2000"/>
    <n v="0"/>
    <n v="0"/>
    <n v="0"/>
    <n v="2000"/>
    <n v="2000"/>
    <n v="2000"/>
  </r>
  <r>
    <s v="73"/>
    <x v="1"/>
    <x v="2"/>
    <s v="US33M030"/>
    <x v="5"/>
    <s v="M103"/>
    <s v="SALUD AL DIA"/>
    <s v="GI00M10300006D"/>
    <s v="GI00M10300006D ATENCIÓN Y PREVENCIÓN DE LA ENFERMEDAD"/>
    <s v="73 BIENES Y SERVICIOS PARA INVERSIÓN"/>
    <s v="730820 Menaje y Accesorios Descartables"/>
    <s v="G/730820/1MM103"/>
    <s v="001"/>
    <n v="0"/>
    <n v="67550.8"/>
    <n v="0"/>
    <n v="67550.8"/>
    <n v="0"/>
    <n v="66550.8"/>
    <n v="66550.8"/>
    <n v="1000"/>
    <n v="1000"/>
    <n v="1000"/>
  </r>
  <r>
    <s v="73"/>
    <x v="1"/>
    <x v="2"/>
    <s v="UC32M020"/>
    <x v="33"/>
    <s v="M103"/>
    <s v="SALUD AL DIA"/>
    <s v="GI00M10300006D"/>
    <s v="GI00M10300006D ATENCIÓN Y PREVENCIÓN DE LA ENFERMEDAD"/>
    <s v="73 BIENES Y SERVICIOS PARA INVERSIÓN"/>
    <s v="730820 Menaje y Accesorios Descartables"/>
    <s v="G/730820/1MM103"/>
    <s v="001"/>
    <n v="0"/>
    <n v="6100"/>
    <n v="0"/>
    <n v="6100"/>
    <n v="557.76"/>
    <n v="5461.21"/>
    <n v="5461.21"/>
    <n v="638.79"/>
    <n v="638.79"/>
    <n v="81.03"/>
  </r>
  <r>
    <s v="73"/>
    <x v="1"/>
    <x v="2"/>
    <s v="US33M030"/>
    <x v="5"/>
    <s v="M103"/>
    <s v="SALUD AL DIA"/>
    <s v="GI00M10300006D"/>
    <s v="GI00M10300006D ATENCIÓN Y PREVENCIÓN DE LA ENFERMEDAD"/>
    <s v="73 BIENES Y SERVICIOS PARA INVERSIÓN"/>
    <s v="730826 Dispositivos Médicos de Uso General"/>
    <s v="G/730826/1MM103"/>
    <s v="001"/>
    <n v="100000"/>
    <n v="590078.66"/>
    <n v="0"/>
    <n v="690078.66"/>
    <n v="136977.1"/>
    <n v="553005.34"/>
    <n v="493822.24"/>
    <n v="137073.32"/>
    <n v="196256.42"/>
    <n v="96.22"/>
  </r>
  <r>
    <s v="73"/>
    <x v="1"/>
    <x v="2"/>
    <s v="UN31M010"/>
    <x v="15"/>
    <s v="M103"/>
    <s v="SALUD AL DIA"/>
    <s v="GI00M10300006D"/>
    <s v="GI00M10300006D ATENCIÓN Y PREVENCIÓN DE LA ENFERMEDAD"/>
    <s v="73 BIENES Y SERVICIOS PARA INVERSIÓN"/>
    <s v="730826 Dispositivos Médicos de Uso General"/>
    <s v="G/730826/1MM103"/>
    <s v="001"/>
    <n v="230000"/>
    <n v="231947.11"/>
    <n v="-300000"/>
    <n v="161947.10999999999"/>
    <n v="14922"/>
    <n v="41419.01"/>
    <n v="28191.99"/>
    <n v="120528.1"/>
    <n v="133755.12"/>
    <n v="105606.1"/>
  </r>
  <r>
    <s v="73"/>
    <x v="1"/>
    <x v="2"/>
    <s v="UC32M020"/>
    <x v="33"/>
    <s v="M103"/>
    <s v="SALUD AL DIA"/>
    <s v="GI00M10300006D"/>
    <s v="GI00M10300006D ATENCIÓN Y PREVENCIÓN DE LA ENFERMEDAD"/>
    <s v="73 BIENES Y SERVICIOS PARA INVERSIÓN"/>
    <s v="730826 Dispositivos Médicos de Uso General"/>
    <s v="G/730826/1MM103"/>
    <s v="001"/>
    <n v="33000"/>
    <n v="216760"/>
    <n v="-122456.32000000001"/>
    <n v="127303.67999999999"/>
    <n v="40643.42"/>
    <n v="51103.6"/>
    <n v="48415.6"/>
    <n v="76200.08"/>
    <n v="78888.08"/>
    <n v="35556.660000000003"/>
  </r>
  <r>
    <s v="73"/>
    <x v="1"/>
    <x v="2"/>
    <s v="UN31M010"/>
    <x v="15"/>
    <s v="M103"/>
    <s v="SALUD AL DIA"/>
    <s v="GI00M10300006D"/>
    <s v="GI00M10300006D ATENCIÓN Y PREVENCIÓN DE LA ENFERMEDAD"/>
    <s v="73 BIENES Y SERVICIOS PARA INVERSIÓN"/>
    <s v="730832 Dispositivos Médicos para Odontología"/>
    <s v="G/730832/1MM103"/>
    <s v="001"/>
    <n v="37000"/>
    <n v="-13000"/>
    <n v="-23000"/>
    <n v="1000"/>
    <n v="0.01"/>
    <n v="996.3"/>
    <n v="0"/>
    <n v="3.7"/>
    <n v="1000"/>
    <n v="3.69"/>
  </r>
  <r>
    <s v="73"/>
    <x v="1"/>
    <x v="2"/>
    <s v="UC32M020"/>
    <x v="33"/>
    <s v="M103"/>
    <s v="SALUD AL DIA"/>
    <s v="GI00M10300006D"/>
    <s v="GI00M10300006D ATENCIÓN Y PREVENCIÓN DE LA ENFERMEDAD"/>
    <s v="73 BIENES Y SERVICIOS PARA INVERSIÓN"/>
    <s v="730832 Dispositivos Médicos para Odontología"/>
    <s v="G/730832/1MM103"/>
    <s v="001"/>
    <n v="40000"/>
    <n v="-40000"/>
    <n v="0"/>
    <n v="0"/>
    <n v="0"/>
    <n v="0"/>
    <n v="0"/>
    <n v="0"/>
    <n v="0"/>
    <n v="0"/>
  </r>
  <r>
    <s v="73"/>
    <x v="1"/>
    <x v="2"/>
    <s v="US33M030"/>
    <x v="5"/>
    <s v="M103"/>
    <s v="SALUD AL DIA"/>
    <s v="GI00M10300006D"/>
    <s v="GI00M10300006D ATENCIÓN Y PREVENCIÓN DE LA ENFERMEDAD"/>
    <s v="73 BIENES Y SERVICIOS PARA INVERSIÓN"/>
    <s v="730832 Dispositivos Médicos para Odontología"/>
    <s v="G/730832/1MM103"/>
    <s v="001"/>
    <n v="36000"/>
    <n v="-27526.35"/>
    <n v="0"/>
    <n v="8473.65"/>
    <n v="4998.08"/>
    <n v="0"/>
    <n v="0"/>
    <n v="8473.65"/>
    <n v="8473.65"/>
    <n v="3475.57"/>
  </r>
  <r>
    <s v="73"/>
    <x v="1"/>
    <x v="2"/>
    <s v="US33M030"/>
    <x v="5"/>
    <s v="M103"/>
    <s v="SALUD AL DIA"/>
    <s v="GI00M10300006D"/>
    <s v="GI00M10300006D ATENCIÓN Y PREVENCIÓN DE LA ENFERMEDAD"/>
    <s v="73 BIENES Y SERVICIOS PARA INVERSIÓN"/>
    <s v="731403 Mobiliarios"/>
    <s v="G/731403/1MM103"/>
    <s v="001"/>
    <n v="0"/>
    <n v="7770"/>
    <n v="0"/>
    <n v="7770"/>
    <n v="0"/>
    <n v="7770"/>
    <n v="7770"/>
    <n v="0"/>
    <n v="0"/>
    <n v="0"/>
  </r>
  <r>
    <s v="73"/>
    <x v="1"/>
    <x v="2"/>
    <s v="UC32M020"/>
    <x v="33"/>
    <s v="M103"/>
    <s v="SALUD AL DIA"/>
    <s v="GI00M10300006D"/>
    <s v="GI00M10300006D ATENCIÓN Y PREVENCIÓN DE LA ENFERMEDAD"/>
    <s v="73 BIENES Y SERVICIOS PARA INVERSIÓN"/>
    <s v="731403 Mobiliarios"/>
    <s v="G/731403/1MM103"/>
    <s v="001"/>
    <n v="0"/>
    <n v="2000"/>
    <n v="-2000"/>
    <n v="0"/>
    <n v="0"/>
    <n v="0"/>
    <n v="0"/>
    <n v="0"/>
    <n v="0"/>
    <n v="0"/>
  </r>
  <r>
    <s v="73"/>
    <x v="1"/>
    <x v="2"/>
    <s v="US33M030"/>
    <x v="5"/>
    <s v="M103"/>
    <s v="SALUD AL DIA"/>
    <s v="GI00M10300006D"/>
    <s v="GI00M10300006D ATENCIÓN Y PREVENCIÓN DE LA ENFERMEDAD"/>
    <s v="73 BIENES Y SERVICIOS PARA INVERSIÓN"/>
    <s v="731404 Maquinarias y Equipos"/>
    <s v="G/731404/1MM103"/>
    <s v="001"/>
    <n v="0"/>
    <n v="10584"/>
    <n v="0"/>
    <n v="10584"/>
    <n v="0"/>
    <n v="10584"/>
    <n v="10584"/>
    <n v="0"/>
    <n v="0"/>
    <n v="0"/>
  </r>
  <r>
    <s v="73"/>
    <x v="1"/>
    <x v="2"/>
    <s v="UC32M020"/>
    <x v="33"/>
    <s v="M103"/>
    <s v="SALUD AL DIA"/>
    <s v="GI00M10300006D"/>
    <s v="GI00M10300006D ATENCIÓN Y PREVENCIÓN DE LA ENFERMEDAD"/>
    <s v="73 BIENES Y SERVICIOS PARA INVERSIÓN"/>
    <s v="731404 Maquinarias y Equipos"/>
    <s v="G/731404/1MM103"/>
    <s v="001"/>
    <n v="4000"/>
    <n v="100"/>
    <n v="-1000"/>
    <n v="3100"/>
    <n v="0"/>
    <n v="211.68"/>
    <n v="211.68"/>
    <n v="2888.32"/>
    <n v="2888.32"/>
    <n v="2888.32"/>
  </r>
  <r>
    <s v="73"/>
    <x v="1"/>
    <x v="2"/>
    <s v="UN31M010"/>
    <x v="15"/>
    <s v="M103"/>
    <s v="SALUD AL DIA"/>
    <s v="GI00M10300007D"/>
    <s v="GI00M10300007D PREVENCION INTEGRAL DE ADICCIONES"/>
    <s v="73 BIENES Y SERVICIOS PARA INVERSIÓN"/>
    <s v="730101 Agua Potable"/>
    <s v="G/730101/1MM103"/>
    <s v="001"/>
    <n v="0"/>
    <n v="3000"/>
    <n v="0"/>
    <n v="3000"/>
    <n v="0"/>
    <n v="3000"/>
    <n v="214.93"/>
    <n v="0"/>
    <n v="2785.07"/>
    <n v="0"/>
  </r>
  <r>
    <s v="73"/>
    <x v="1"/>
    <x v="2"/>
    <s v="UN31M010"/>
    <x v="15"/>
    <s v="M103"/>
    <s v="SALUD AL DIA"/>
    <s v="GI00M10300007D"/>
    <s v="GI00M10300007D PREVENCION INTEGRAL DE ADICCIONES"/>
    <s v="73 BIENES Y SERVICIOS PARA INVERSIÓN"/>
    <s v="730104 Energía Eléctrica"/>
    <s v="G/730104/1MM103"/>
    <s v="001"/>
    <n v="0"/>
    <n v="25000"/>
    <n v="0"/>
    <n v="25000"/>
    <n v="0"/>
    <n v="25000"/>
    <n v="3423.28"/>
    <n v="0"/>
    <n v="21576.720000000001"/>
    <n v="0"/>
  </r>
  <r>
    <s v="73"/>
    <x v="1"/>
    <x v="2"/>
    <s v="UN31M010"/>
    <x v="15"/>
    <s v="M103"/>
    <s v="SALUD AL DIA"/>
    <s v="GI00M10300007D"/>
    <s v="GI00M10300007D PREVENCION INTEGRAL DE ADICCIONES"/>
    <s v="73 BIENES Y SERVICIOS PARA INVERSIÓN"/>
    <s v="730105 Telecomunicaciones"/>
    <s v="G/730105/1MM103"/>
    <s v="001"/>
    <n v="0"/>
    <n v="22000"/>
    <n v="0"/>
    <n v="22000"/>
    <n v="0"/>
    <n v="22000"/>
    <n v="0"/>
    <n v="0"/>
    <n v="22000"/>
    <n v="0"/>
  </r>
  <r>
    <s v="73"/>
    <x v="1"/>
    <x v="2"/>
    <s v="UN31M010"/>
    <x v="15"/>
    <s v="M103"/>
    <s v="SALUD AL DIA"/>
    <s v="GI00M10300007D"/>
    <s v="GI00M10300007D PREVENCION INTEGRAL DE ADICCIONES"/>
    <s v="73 BIENES Y SERVICIOS PARA INVERSIÓN"/>
    <s v="730202 Fletes y Maniobras"/>
    <s v="G/730202/1MM103"/>
    <s v="001"/>
    <n v="6500"/>
    <n v="-6500"/>
    <n v="0"/>
    <n v="0"/>
    <n v="0"/>
    <n v="0"/>
    <n v="0"/>
    <n v="0"/>
    <n v="0"/>
    <n v="0"/>
  </r>
  <r>
    <s v="73"/>
    <x v="1"/>
    <x v="2"/>
    <s v="UN31M010"/>
    <x v="15"/>
    <s v="M103"/>
    <s v="SALUD AL DIA"/>
    <s v="GI00M10300007D"/>
    <s v="GI00M10300007D PREVENCION INTEGRAL DE ADICCIONES"/>
    <s v="73 BIENES Y SERVICIOS PARA INVERSIÓN"/>
    <s v="730204 Edición, Impresión, Reproducción, Public"/>
    <s v="G/730204/1MM103"/>
    <s v="001"/>
    <n v="105000"/>
    <n v="-105000"/>
    <n v="0"/>
    <n v="0"/>
    <n v="0"/>
    <n v="0"/>
    <n v="0"/>
    <n v="0"/>
    <n v="0"/>
    <n v="0"/>
  </r>
  <r>
    <s v="73"/>
    <x v="1"/>
    <x v="2"/>
    <s v="UN31M010"/>
    <x v="15"/>
    <s v="M103"/>
    <s v="SALUD AL DIA"/>
    <s v="GI00M10300007D"/>
    <s v="GI00M10300007D PREVENCION INTEGRAL DE ADICCIONES"/>
    <s v="73 BIENES Y SERVICIOS PARA INVERSIÓN"/>
    <s v="730205 Espectáculos Culturales y Sociales"/>
    <s v="G/730205/1MM103"/>
    <s v="001"/>
    <n v="95000"/>
    <n v="-20000"/>
    <n v="-75000"/>
    <n v="0"/>
    <n v="0"/>
    <n v="0"/>
    <n v="0"/>
    <n v="0"/>
    <n v="0"/>
    <n v="0"/>
  </r>
  <r>
    <s v="73"/>
    <x v="1"/>
    <x v="2"/>
    <s v="UN31M010"/>
    <x v="15"/>
    <s v="M103"/>
    <s v="SALUD AL DIA"/>
    <s v="GI00M10300007D"/>
    <s v="GI00M10300007D PREVENCION INTEGRAL DE ADICCIONES"/>
    <s v="73 BIENES Y SERVICIOS PARA INVERSIÓN"/>
    <s v="730207 Difusión, Información y Publicidad"/>
    <s v="G/730207/1MM103"/>
    <s v="001"/>
    <n v="80000"/>
    <n v="-60000"/>
    <n v="-20000"/>
    <n v="0"/>
    <n v="0"/>
    <n v="0"/>
    <n v="0"/>
    <n v="0"/>
    <n v="0"/>
    <n v="0"/>
  </r>
  <r>
    <s v="73"/>
    <x v="1"/>
    <x v="2"/>
    <s v="UN31M010"/>
    <x v="15"/>
    <s v="M103"/>
    <s v="SALUD AL DIA"/>
    <s v="GI00M10300007D"/>
    <s v="GI00M10300007D PREVENCION INTEGRAL DE ADICCIONES"/>
    <s v="73 BIENES Y SERVICIOS PARA INVERSIÓN"/>
    <s v="730208 Servicio de Seguridad y Vigilancia"/>
    <s v="G/730208/1MM103"/>
    <s v="001"/>
    <n v="54000"/>
    <n v="51800"/>
    <n v="-54447.44"/>
    <n v="51352.56"/>
    <n v="0"/>
    <n v="31352.560000000001"/>
    <n v="23514.42"/>
    <n v="20000"/>
    <n v="27838.14"/>
    <n v="20000"/>
  </r>
  <r>
    <s v="73"/>
    <x v="1"/>
    <x v="2"/>
    <s v="UN31M010"/>
    <x v="15"/>
    <s v="M103"/>
    <s v="SALUD AL DIA"/>
    <s v="GI00M10300007D"/>
    <s v="GI00M10300007D PREVENCION INTEGRAL DE ADICCIONES"/>
    <s v="73 BIENES Y SERVICIOS PARA INVERSIÓN"/>
    <s v="730248 Eventos Oficiales"/>
    <s v="G/730248/1MM103"/>
    <s v="001"/>
    <n v="20000"/>
    <n v="50000"/>
    <n v="-70000"/>
    <n v="0"/>
    <n v="0"/>
    <n v="0"/>
    <n v="0"/>
    <n v="0"/>
    <n v="0"/>
    <n v="0"/>
  </r>
  <r>
    <s v="73"/>
    <x v="1"/>
    <x v="2"/>
    <s v="UN31M010"/>
    <x v="15"/>
    <s v="M103"/>
    <s v="SALUD AL DIA"/>
    <s v="GI00M10300007D"/>
    <s v="GI00M10300007D PREVENCION INTEGRAL DE ADICCIONES"/>
    <s v="73 BIENES Y SERVICIOS PARA INVERSIÓN"/>
    <s v="730249 Eventos Públicos Promocionales"/>
    <s v="G/730249/1MM103"/>
    <s v="001"/>
    <n v="115000"/>
    <n v="-15000"/>
    <n v="-100000"/>
    <n v="0"/>
    <n v="0"/>
    <n v="0"/>
    <n v="0"/>
    <n v="0"/>
    <n v="0"/>
    <n v="0"/>
  </r>
  <r>
    <s v="73"/>
    <x v="1"/>
    <x v="2"/>
    <s v="UN31M010"/>
    <x v="15"/>
    <s v="M103"/>
    <s v="SALUD AL DIA"/>
    <s v="GI00M10300007D"/>
    <s v="GI00M10300007D PREVENCION INTEGRAL DE ADICCIONES"/>
    <s v="73 BIENES Y SERVICIOS PARA INVERSIÓN"/>
    <s v="730402 Edificios, Locales, Residencias y Cablea"/>
    <s v="G/730402/1MM103"/>
    <s v="001"/>
    <n v="0"/>
    <n v="50000"/>
    <n v="0"/>
    <n v="50000"/>
    <n v="0"/>
    <n v="23816.57"/>
    <n v="15890.81"/>
    <n v="26183.43"/>
    <n v="34109.19"/>
    <n v="26183.43"/>
  </r>
  <r>
    <s v="73"/>
    <x v="1"/>
    <x v="2"/>
    <s v="UN31M010"/>
    <x v="15"/>
    <s v="M103"/>
    <s v="SALUD AL DIA"/>
    <s v="GI00M10300007D"/>
    <s v="GI00M10300007D PREVENCION INTEGRAL DE ADICCIONES"/>
    <s v="73 BIENES Y SERVICIOS PARA INVERSIÓN"/>
    <s v="730417 Infraestructura"/>
    <s v="G/730417/1MM103"/>
    <s v="001"/>
    <n v="270000"/>
    <n v="-100000"/>
    <n v="-170000"/>
    <n v="0"/>
    <n v="0"/>
    <n v="0"/>
    <n v="0"/>
    <n v="0"/>
    <n v="0"/>
    <n v="0"/>
  </r>
  <r>
    <s v="73"/>
    <x v="1"/>
    <x v="2"/>
    <s v="UN31M010"/>
    <x v="15"/>
    <s v="M103"/>
    <s v="SALUD AL DIA"/>
    <s v="GI00M10300007D"/>
    <s v="GI00M10300007D PREVENCION INTEGRAL DE ADICCIONES"/>
    <s v="73 BIENES Y SERVICIOS PARA INVERSIÓN"/>
    <s v="730418 Mantenimiento de Áreas Verdes y Arreglo"/>
    <s v="G/730418/1MM103"/>
    <s v="001"/>
    <n v="0"/>
    <n v="1000"/>
    <n v="0"/>
    <n v="1000"/>
    <n v="0"/>
    <n v="0"/>
    <n v="0"/>
    <n v="1000"/>
    <n v="1000"/>
    <n v="1000"/>
  </r>
  <r>
    <s v="73"/>
    <x v="1"/>
    <x v="2"/>
    <s v="UN31M010"/>
    <x v="15"/>
    <s v="M103"/>
    <s v="SALUD AL DIA"/>
    <s v="GI00M10300007D"/>
    <s v="GI00M10300007D PREVENCION INTEGRAL DE ADICCIONES"/>
    <s v="73 BIENES Y SERVICIOS PARA INVERSIÓN"/>
    <s v="730612 Capacitación a Servidores Públicos"/>
    <s v="G/730612/1MM103"/>
    <s v="001"/>
    <n v="105000"/>
    <n v="-55000"/>
    <n v="-50000"/>
    <n v="0"/>
    <n v="0"/>
    <n v="0"/>
    <n v="0"/>
    <n v="0"/>
    <n v="0"/>
    <n v="0"/>
  </r>
  <r>
    <s v="73"/>
    <x v="1"/>
    <x v="2"/>
    <s v="UN31M010"/>
    <x v="15"/>
    <s v="M103"/>
    <s v="SALUD AL DIA"/>
    <s v="GI00M10300007D"/>
    <s v="GI00M10300007D PREVENCION INTEGRAL DE ADICCIONES"/>
    <s v="73 BIENES Y SERVICIOS PARA INVERSIÓN"/>
    <s v="730613 Capacitación para la Ciudadanía en Gener"/>
    <s v="G/730613/1MM103"/>
    <s v="001"/>
    <n v="120000"/>
    <n v="-87400"/>
    <n v="-32600"/>
    <n v="0"/>
    <n v="0"/>
    <n v="0"/>
    <n v="0"/>
    <n v="0"/>
    <n v="0"/>
    <n v="0"/>
  </r>
  <r>
    <s v="73"/>
    <x v="1"/>
    <x v="2"/>
    <s v="UN31M010"/>
    <x v="15"/>
    <s v="M103"/>
    <s v="SALUD AL DIA"/>
    <s v="GI00M10300007D"/>
    <s v="GI00M10300007D PREVENCION INTEGRAL DE ADICCIONES"/>
    <s v="73 BIENES Y SERVICIOS PARA INVERSIÓN"/>
    <s v="730804 Materiales de Oficina"/>
    <s v="G/730804/1MM103"/>
    <s v="001"/>
    <n v="10000"/>
    <n v="8800"/>
    <n v="-18800"/>
    <n v="0"/>
    <n v="0"/>
    <n v="0"/>
    <n v="0"/>
    <n v="0"/>
    <n v="0"/>
    <n v="0"/>
  </r>
  <r>
    <s v="73"/>
    <x v="1"/>
    <x v="2"/>
    <s v="UN31M010"/>
    <x v="15"/>
    <s v="M103"/>
    <s v="SALUD AL DIA"/>
    <s v="GI00M10300007D"/>
    <s v="GI00M10300007D PREVENCION INTEGRAL DE ADICCIONES"/>
    <s v="73 BIENES Y SERVICIOS PARA INVERSIÓN"/>
    <s v="730805 Materiales de Aseo"/>
    <s v="G/730805/1MM103"/>
    <s v="001"/>
    <n v="1750"/>
    <n v="-858.09"/>
    <n v="0"/>
    <n v="891.91"/>
    <n v="368.23"/>
    <n v="523.66999999999996"/>
    <n v="0"/>
    <n v="368.24"/>
    <n v="891.91"/>
    <n v="0.01"/>
  </r>
  <r>
    <s v="73"/>
    <x v="1"/>
    <x v="2"/>
    <s v="UN31M010"/>
    <x v="15"/>
    <s v="M103"/>
    <s v="SALUD AL DIA"/>
    <s v="GI00M10300007D"/>
    <s v="GI00M10300007D PREVENCION INTEGRAL DE ADICCIONES"/>
    <s v="73 BIENES Y SERVICIOS PARA INVERSIÓN"/>
    <s v="730807 Materiales de Impresión, Fotografía, Rep"/>
    <s v="G/730807/1MM103"/>
    <s v="001"/>
    <n v="0"/>
    <n v="3700"/>
    <n v="-3700"/>
    <n v="0"/>
    <n v="0"/>
    <n v="0"/>
    <n v="0"/>
    <n v="0"/>
    <n v="0"/>
    <n v="0"/>
  </r>
  <r>
    <s v="73"/>
    <x v="1"/>
    <x v="2"/>
    <s v="UN31M010"/>
    <x v="15"/>
    <s v="M103"/>
    <s v="SALUD AL DIA"/>
    <s v="GI00M10300007D"/>
    <s v="GI00M10300007D PREVENCION INTEGRAL DE ADICCIONES"/>
    <s v="73 BIENES Y SERVICIOS PARA INVERSIÓN"/>
    <s v="730812 Materiales Didácticos"/>
    <s v="G/730812/1MM103"/>
    <s v="001"/>
    <n v="90000"/>
    <n v="-60000"/>
    <n v="0"/>
    <n v="30000"/>
    <n v="6384"/>
    <n v="7840"/>
    <n v="0"/>
    <n v="22160"/>
    <n v="30000"/>
    <n v="15776"/>
  </r>
  <r>
    <s v="73"/>
    <x v="1"/>
    <x v="2"/>
    <s v="UN31M010"/>
    <x v="15"/>
    <s v="M103"/>
    <s v="SALUD AL DIA"/>
    <s v="GI00M10300007D"/>
    <s v="GI00M10300007D PREVENCION INTEGRAL DE ADICCIONES"/>
    <s v="73 BIENES Y SERVICIOS PARA INVERSIÓN"/>
    <s v="731403 Mobiliarios"/>
    <s v="G/731403/1MM103"/>
    <s v="001"/>
    <n v="750"/>
    <n v="0"/>
    <n v="-750"/>
    <n v="0"/>
    <n v="0"/>
    <n v="0"/>
    <n v="0"/>
    <n v="0"/>
    <n v="0"/>
    <n v="0"/>
  </r>
  <r>
    <s v="73"/>
    <x v="1"/>
    <x v="2"/>
    <s v="UN31M010"/>
    <x v="15"/>
    <s v="M103"/>
    <s v="SALUD AL DIA"/>
    <s v="GI00M10300007D"/>
    <s v="GI00M10300007D PREVENCION INTEGRAL DE ADICCIONES"/>
    <s v="73 BIENES Y SERVICIOS PARA INVERSIÓN"/>
    <s v="731404 Maquinarias y Equipos"/>
    <s v="G/731404/1MM103"/>
    <s v="001"/>
    <n v="2000"/>
    <n v="-250"/>
    <n v="0"/>
    <n v="1750"/>
    <n v="0"/>
    <n v="0"/>
    <n v="0"/>
    <n v="1750"/>
    <n v="1750"/>
    <n v="1750"/>
  </r>
  <r>
    <s v="73"/>
    <x v="1"/>
    <x v="2"/>
    <s v="UC32M020"/>
    <x v="33"/>
    <s v="M103"/>
    <s v="SALUD AL DIA"/>
    <s v="GI00M10300008D"/>
    <s v="GI00M10300008D ADOLESCENTES INFORMADOS EN SEXUALIDAD RE"/>
    <s v="73 BIENES Y SERVICIOS PARA INVERSIÓN"/>
    <s v="730205 Espectáculos Culturales y Sociales"/>
    <s v="G/730205/1MM103"/>
    <s v="001"/>
    <n v="60000"/>
    <n v="0"/>
    <n v="-15000"/>
    <n v="45000"/>
    <n v="1185.52"/>
    <n v="5927.6"/>
    <n v="5927.6"/>
    <n v="39072.400000000001"/>
    <n v="39072.400000000001"/>
    <n v="37886.879999999997"/>
  </r>
  <r>
    <s v="73"/>
    <x v="1"/>
    <x v="2"/>
    <s v="UC32M020"/>
    <x v="33"/>
    <s v="M103"/>
    <s v="SALUD AL DIA"/>
    <s v="GI00M10300008D"/>
    <s v="GI00M10300008D ADOLESCENTES INFORMADOS EN SEXUALIDAD RE"/>
    <s v="73 BIENES Y SERVICIOS PARA INVERSIÓN"/>
    <s v="730235 Servicio de Alimentación"/>
    <s v="G/730235/1MM103"/>
    <s v="001"/>
    <n v="18000"/>
    <n v="0"/>
    <n v="0"/>
    <n v="18000"/>
    <n v="0"/>
    <n v="0"/>
    <n v="0"/>
    <n v="18000"/>
    <n v="18000"/>
    <n v="18000"/>
  </r>
  <r>
    <s v="73"/>
    <x v="1"/>
    <x v="2"/>
    <s v="UC32M020"/>
    <x v="33"/>
    <s v="M103"/>
    <s v="SALUD AL DIA"/>
    <s v="GI00M10300008D"/>
    <s v="GI00M10300008D ADOLESCENTES INFORMADOS EN SEXUALIDAD RE"/>
    <s v="73 BIENES Y SERVICIOS PARA INVERSIÓN"/>
    <s v="730812 Materiales Didácticos"/>
    <s v="G/730812/1MM103"/>
    <s v="001"/>
    <n v="2000"/>
    <n v="0"/>
    <n v="0"/>
    <n v="2000"/>
    <n v="0"/>
    <n v="0"/>
    <n v="0"/>
    <n v="2000"/>
    <n v="2000"/>
    <n v="2000"/>
  </r>
  <r>
    <s v="73"/>
    <x v="1"/>
    <x v="2"/>
    <s v="UC32M020"/>
    <x v="33"/>
    <s v="M103"/>
    <s v="SALUD AL DIA"/>
    <s v="GI00M10300009D"/>
    <s v="GI00M10300009D PREVENCIÓN DE LA MAL NUTRICIÓN EN EL DMQ"/>
    <s v="73 BIENES Y SERVICIOS PARA INVERSIÓN"/>
    <s v="730105 Telecomunicaciones"/>
    <s v="G/730105/1MM103"/>
    <s v="001"/>
    <n v="12000"/>
    <n v="-7000"/>
    <n v="-3000"/>
    <n v="2000"/>
    <n v="0"/>
    <n v="0"/>
    <n v="0"/>
    <n v="2000"/>
    <n v="2000"/>
    <n v="2000"/>
  </r>
  <r>
    <s v="73"/>
    <x v="1"/>
    <x v="2"/>
    <s v="UC32M020"/>
    <x v="33"/>
    <s v="M103"/>
    <s v="SALUD AL DIA"/>
    <s v="GI00M10300009D"/>
    <s v="GI00M10300009D PREVENCIÓN DE LA MAL NUTRICIÓN EN EL DMQ"/>
    <s v="73 BIENES Y SERVICIOS PARA INVERSIÓN"/>
    <s v="730201 Transporte de Personal"/>
    <s v="G/730201/1MM103"/>
    <s v="001"/>
    <n v="36000"/>
    <n v="0"/>
    <n v="-36000"/>
    <n v="0"/>
    <n v="0"/>
    <n v="0"/>
    <n v="0"/>
    <n v="0"/>
    <n v="0"/>
    <n v="0"/>
  </r>
  <r>
    <s v="73"/>
    <x v="1"/>
    <x v="2"/>
    <s v="UC32M020"/>
    <x v="33"/>
    <s v="M103"/>
    <s v="SALUD AL DIA"/>
    <s v="GI00M10300009D"/>
    <s v="GI00M10300009D PREVENCIÓN DE LA MAL NUTRICIÓN EN EL DMQ"/>
    <s v="73 BIENES Y SERVICIOS PARA INVERSIÓN"/>
    <s v="730204 Edición, Impresión, Reproducción, Public"/>
    <s v="G/730204/1MM103"/>
    <s v="001"/>
    <n v="27170"/>
    <n v="-17930"/>
    <n v="-7000"/>
    <n v="2240"/>
    <n v="0"/>
    <n v="0"/>
    <n v="0"/>
    <n v="2240"/>
    <n v="2240"/>
    <n v="2240"/>
  </r>
  <r>
    <s v="73"/>
    <x v="1"/>
    <x v="2"/>
    <s v="UC32M020"/>
    <x v="33"/>
    <s v="M103"/>
    <s v="SALUD AL DIA"/>
    <s v="GI00M10300009D"/>
    <s v="GI00M10300009D PREVENCIÓN DE LA MAL NUTRICIÓN EN EL DMQ"/>
    <s v="73 BIENES Y SERVICIOS PARA INVERSIÓN"/>
    <s v="730205 Espectáculos Culturales y Sociales"/>
    <s v="G/730205/1MM103"/>
    <s v="001"/>
    <n v="31150"/>
    <n v="-25150"/>
    <n v="-6000"/>
    <n v="0"/>
    <n v="0"/>
    <n v="0"/>
    <n v="0"/>
    <n v="0"/>
    <n v="0"/>
    <n v="0"/>
  </r>
  <r>
    <s v="73"/>
    <x v="1"/>
    <x v="2"/>
    <s v="UC32M020"/>
    <x v="33"/>
    <s v="M103"/>
    <s v="SALUD AL DIA"/>
    <s v="GI00M10300009D"/>
    <s v="GI00M10300009D PREVENCIÓN DE LA MAL NUTRICIÓN EN EL DMQ"/>
    <s v="73 BIENES Y SERVICIOS PARA INVERSIÓN"/>
    <s v="730207 Difusión, Información y Publicidad"/>
    <s v="G/730207/1MM103"/>
    <s v="001"/>
    <n v="20000"/>
    <n v="-20000"/>
    <n v="0"/>
    <n v="0"/>
    <n v="0"/>
    <n v="0"/>
    <n v="0"/>
    <n v="0"/>
    <n v="0"/>
    <n v="0"/>
  </r>
  <r>
    <s v="73"/>
    <x v="1"/>
    <x v="2"/>
    <s v="UC32M020"/>
    <x v="33"/>
    <s v="M103"/>
    <s v="SALUD AL DIA"/>
    <s v="GI00M10300009D"/>
    <s v="GI00M10300009D PREVENCIÓN DE LA MAL NUTRICIÓN EN EL DMQ"/>
    <s v="73 BIENES Y SERVICIOS PARA INVERSIÓN"/>
    <s v="730404 Maquinarias y Equipos (Instalación, Mant"/>
    <s v="G/730404/1MM103"/>
    <s v="001"/>
    <n v="6840"/>
    <n v="-6840"/>
    <n v="0"/>
    <n v="0"/>
    <n v="0"/>
    <n v="0"/>
    <n v="0"/>
    <n v="0"/>
    <n v="0"/>
    <n v="0"/>
  </r>
  <r>
    <s v="73"/>
    <x v="1"/>
    <x v="2"/>
    <s v="UC32M020"/>
    <x v="33"/>
    <s v="M103"/>
    <s v="SALUD AL DIA"/>
    <s v="GI00M10300009D"/>
    <s v="GI00M10300009D PREVENCIÓN DE LA MAL NUTRICIÓN EN EL DMQ"/>
    <s v="73 BIENES Y SERVICIOS PARA INVERSIÓN"/>
    <s v="730405 Vehículos (Servicio para Mantenimiento y"/>
    <s v="G/730405/1MM103"/>
    <s v="001"/>
    <n v="4800"/>
    <n v="-3200"/>
    <n v="0"/>
    <n v="1600"/>
    <n v="0"/>
    <n v="0"/>
    <n v="0"/>
    <n v="1600"/>
    <n v="1600"/>
    <n v="1600"/>
  </r>
  <r>
    <s v="73"/>
    <x v="1"/>
    <x v="2"/>
    <s v="UC32M020"/>
    <x v="33"/>
    <s v="M103"/>
    <s v="SALUD AL DIA"/>
    <s v="GI00M10300009D"/>
    <s v="GI00M10300009D PREVENCIÓN DE LA MAL NUTRICIÓN EN EL DMQ"/>
    <s v="73 BIENES Y SERVICIOS PARA INVERSIÓN"/>
    <s v="730606 Honorarios por Contratos Civiles de Servici"/>
    <s v="G/730606/1MM103"/>
    <s v="001"/>
    <n v="861358.82"/>
    <n v="-861358.82"/>
    <n v="0"/>
    <n v="0"/>
    <n v="0"/>
    <n v="0"/>
    <n v="0"/>
    <n v="0"/>
    <n v="0"/>
    <n v="0"/>
  </r>
  <r>
    <s v="73"/>
    <x v="1"/>
    <x v="2"/>
    <s v="ZA01M000"/>
    <x v="42"/>
    <s v="M103"/>
    <s v="SALUD AL DIA"/>
    <s v="GI00M10300009D"/>
    <s v="GI00M10300009D PREVENCIÓN DE LA MAL NUTRICIÓN EN EL DMQ"/>
    <s v="73 BIENES Y SERVICIOS PARA INVERSIÓN"/>
    <s v="730606 Honorarios por Contratos Civiles de Servici"/>
    <s v="G/730606/1MM103"/>
    <s v="001"/>
    <n v="251272.44"/>
    <n v="-251272.44"/>
    <n v="0"/>
    <n v="0"/>
    <n v="0"/>
    <n v="0"/>
    <n v="0"/>
    <n v="0"/>
    <n v="0"/>
    <n v="0"/>
  </r>
  <r>
    <s v="73"/>
    <x v="1"/>
    <x v="2"/>
    <s v="UC32M020"/>
    <x v="33"/>
    <s v="M103"/>
    <s v="SALUD AL DIA"/>
    <s v="GI00M10300009D"/>
    <s v="GI00M10300009D PREVENCIÓN DE LA MAL NUTRICIÓN EN EL DMQ"/>
    <s v="73 BIENES Y SERVICIOS PARA INVERSIÓN"/>
    <s v="730701 Desarrollo, Actualización, Asistencia Té"/>
    <s v="G/730701/1MM103"/>
    <s v="001"/>
    <n v="55000"/>
    <n v="-55000"/>
    <n v="0"/>
    <n v="0"/>
    <n v="0"/>
    <n v="0"/>
    <n v="0"/>
    <n v="0"/>
    <n v="0"/>
    <n v="0"/>
  </r>
  <r>
    <s v="73"/>
    <x v="1"/>
    <x v="2"/>
    <s v="UC32M020"/>
    <x v="33"/>
    <s v="M103"/>
    <s v="SALUD AL DIA"/>
    <s v="GI00M10300009D"/>
    <s v="GI00M10300009D PREVENCIÓN DE LA MAL NUTRICIÓN EN EL DMQ"/>
    <s v="73 BIENES Y SERVICIOS PARA INVERSIÓN"/>
    <s v="730704 Mantenimiento y Reparación de Equipos y"/>
    <s v="G/730704/1MM103"/>
    <s v="001"/>
    <n v="18152"/>
    <n v="-7650"/>
    <n v="-3452"/>
    <n v="7050"/>
    <n v="0"/>
    <n v="3691.52"/>
    <n v="0"/>
    <n v="3358.48"/>
    <n v="7050"/>
    <n v="3358.48"/>
  </r>
  <r>
    <s v="73"/>
    <x v="1"/>
    <x v="2"/>
    <s v="UC32M020"/>
    <x v="33"/>
    <s v="M103"/>
    <s v="SALUD AL DIA"/>
    <s v="GI00M10300009D"/>
    <s v="GI00M10300009D PREVENCIÓN DE LA MAL NUTRICIÓN EN EL DMQ"/>
    <s v="73 BIENES Y SERVICIOS PARA INVERSIÓN"/>
    <s v="730802 Vestuario, Lencería, Prendas de Protecci"/>
    <s v="G/730802/1MM103"/>
    <s v="001"/>
    <n v="16800"/>
    <n v="0"/>
    <n v="-16800"/>
    <n v="0"/>
    <n v="0"/>
    <n v="0"/>
    <n v="0"/>
    <n v="0"/>
    <n v="0"/>
    <n v="0"/>
  </r>
  <r>
    <s v="73"/>
    <x v="1"/>
    <x v="2"/>
    <s v="UC32M020"/>
    <x v="33"/>
    <s v="M103"/>
    <s v="SALUD AL DIA"/>
    <s v="GI00M10300009D"/>
    <s v="GI00M10300009D PREVENCIÓN DE LA MAL NUTRICIÓN EN EL DMQ"/>
    <s v="73 BIENES Y SERVICIOS PARA INVERSIÓN"/>
    <s v="730803 Combustibles y Lubricantes"/>
    <s v="G/730803/1MM103"/>
    <s v="001"/>
    <n v="5750"/>
    <n v="-2000"/>
    <n v="-2750"/>
    <n v="1000"/>
    <n v="0"/>
    <n v="139.07"/>
    <n v="0"/>
    <n v="860.93"/>
    <n v="1000"/>
    <n v="860.93"/>
  </r>
  <r>
    <s v="73"/>
    <x v="1"/>
    <x v="2"/>
    <s v="UC32M020"/>
    <x v="33"/>
    <s v="M103"/>
    <s v="SALUD AL DIA"/>
    <s v="GI00M10300009D"/>
    <s v="GI00M10300009D PREVENCIÓN DE LA MAL NUTRICIÓN EN EL DMQ"/>
    <s v="73 BIENES Y SERVICIOS PARA INVERSIÓN"/>
    <s v="730804 Materiales de Oficina"/>
    <s v="G/730804/1MM103"/>
    <s v="001"/>
    <n v="3000"/>
    <n v="-2000"/>
    <n v="-1000"/>
    <n v="0"/>
    <n v="0"/>
    <n v="0"/>
    <n v="0"/>
    <n v="0"/>
    <n v="0"/>
    <n v="0"/>
  </r>
  <r>
    <s v="73"/>
    <x v="1"/>
    <x v="2"/>
    <s v="UC32M020"/>
    <x v="33"/>
    <s v="M103"/>
    <s v="SALUD AL DIA"/>
    <s v="GI00M10300009D"/>
    <s v="GI00M10300009D PREVENCIÓN DE LA MAL NUTRICIÓN EN EL DMQ"/>
    <s v="73 BIENES Y SERVICIOS PARA INVERSIÓN"/>
    <s v="730805 Materiales de Aseo"/>
    <s v="G/730805/1MM103"/>
    <s v="001"/>
    <n v="7000"/>
    <n v="0"/>
    <n v="-7000"/>
    <n v="0"/>
    <n v="0"/>
    <n v="0"/>
    <n v="0"/>
    <n v="0"/>
    <n v="0"/>
    <n v="0"/>
  </r>
  <r>
    <s v="73"/>
    <x v="1"/>
    <x v="2"/>
    <s v="UC32M020"/>
    <x v="33"/>
    <s v="M103"/>
    <s v="SALUD AL DIA"/>
    <s v="GI00M10300009D"/>
    <s v="GI00M10300009D PREVENCIÓN DE LA MAL NUTRICIÓN EN EL DMQ"/>
    <s v="73 BIENES Y SERVICIOS PARA INVERSIÓN"/>
    <s v="730810 Dispositivos Médicos para Laboratorio Cl"/>
    <s v="G/730810/1MM103"/>
    <s v="001"/>
    <n v="67631"/>
    <n v="0"/>
    <n v="-1085.08"/>
    <n v="66545.919999999998"/>
    <n v="0"/>
    <n v="0"/>
    <n v="0"/>
    <n v="66545.919999999998"/>
    <n v="66545.919999999998"/>
    <n v="66545.919999999998"/>
  </r>
  <r>
    <s v="73"/>
    <x v="1"/>
    <x v="2"/>
    <s v="UC32M020"/>
    <x v="33"/>
    <s v="M103"/>
    <s v="SALUD AL DIA"/>
    <s v="GI00M10300009D"/>
    <s v="GI00M10300009D PREVENCIÓN DE LA MAL NUTRICIÓN EN EL DMQ"/>
    <s v="73 BIENES Y SERVICIOS PARA INVERSIÓN"/>
    <s v="730826 Dispositivos Médicos de Uso General"/>
    <s v="G/730826/1MM103"/>
    <s v="001"/>
    <n v="39815.5"/>
    <n v="0"/>
    <n v="-23871.5"/>
    <n v="15944"/>
    <n v="0"/>
    <n v="1050"/>
    <n v="0"/>
    <n v="14894"/>
    <n v="15944"/>
    <n v="14894"/>
  </r>
  <r>
    <s v="73"/>
    <x v="1"/>
    <x v="2"/>
    <s v="UC32M020"/>
    <x v="33"/>
    <s v="M103"/>
    <s v="SALUD AL DIA"/>
    <s v="GI00M10300009D"/>
    <s v="GI00M10300009D PREVENCIÓN DE LA MAL NUTRICIÓN EN EL DMQ"/>
    <s v="73 BIENES Y SERVICIOS PARA INVERSIÓN"/>
    <s v="731408 Bienes Artísticos, Culturales, Bienes De"/>
    <s v="G/731408/1MM103"/>
    <s v="001"/>
    <n v="4500"/>
    <n v="-4500"/>
    <n v="0"/>
    <n v="0"/>
    <n v="0"/>
    <n v="0"/>
    <n v="0"/>
    <n v="0"/>
    <n v="0"/>
    <n v="0"/>
  </r>
  <r>
    <s v="73"/>
    <x v="1"/>
    <x v="2"/>
    <s v="US33M030"/>
    <x v="5"/>
    <s v="M103"/>
    <s v="SALUD AL DIA"/>
    <s v="GI00M10300010D"/>
    <s v="GI00M10300010D REMODELACIÓN DE LA UNIDAD METROPOLITAN"/>
    <s v="73 BIENES Y SERVICIOS PARA INVERSIÓN"/>
    <s v="730402 Edificios, Locales, Residencias y Cablea"/>
    <s v="G/730402/1MM103"/>
    <s v="001"/>
    <n v="0"/>
    <n v="400000"/>
    <n v="0"/>
    <n v="400000"/>
    <n v="0"/>
    <n v="0"/>
    <n v="0"/>
    <n v="400000"/>
    <n v="400000"/>
    <n v="400000"/>
  </r>
  <r>
    <s v="73"/>
    <x v="1"/>
    <x v="2"/>
    <s v="US33M030"/>
    <x v="5"/>
    <s v="M103"/>
    <s v="SALUD AL DIA"/>
    <s v="GI00M10300010D"/>
    <s v="GI00M10300010D REMODELACIÓN DE LA UNIDAD METROPOLITAN"/>
    <s v="73 BIENES Y SERVICIOS PARA INVERSIÓN"/>
    <s v="730605 Estudio y Diseño de Proyectos"/>
    <s v="G/730605/1MM103"/>
    <s v="001"/>
    <n v="2000000"/>
    <n v="-2000000"/>
    <n v="0"/>
    <n v="0"/>
    <n v="0"/>
    <n v="0"/>
    <n v="0"/>
    <n v="0"/>
    <n v="0"/>
    <n v="0"/>
  </r>
  <r>
    <s v="73"/>
    <x v="2"/>
    <x v="9"/>
    <s v="PM71N010"/>
    <x v="20"/>
    <s v="N103"/>
    <s v="QUITO SIN MIEDO"/>
    <s v="GI00N10300002D"/>
    <s v="GI00N10300002D IMPLEMENTACIÓN DE UN NUEVO MODELO DE GES"/>
    <s v="73 BIENES Y SERVICIOS PARA INVERSIÓN"/>
    <s v="730601 Consultoría, Asesoría e Investigación Es"/>
    <s v="G/730601/1NN103"/>
    <s v="001"/>
    <n v="67500"/>
    <n v="0"/>
    <n v="-67500"/>
    <n v="0"/>
    <n v="0"/>
    <n v="0"/>
    <n v="0"/>
    <n v="0"/>
    <n v="0"/>
    <n v="0"/>
  </r>
  <r>
    <s v="73"/>
    <x v="2"/>
    <x v="9"/>
    <s v="PM71N010"/>
    <x v="20"/>
    <s v="N103"/>
    <s v="QUITO SIN MIEDO"/>
    <s v="GI00N10300002D"/>
    <s v="GI00N10300002D IMPLEMENTACIÓN DE UN NUEVO MODELO DE GES"/>
    <s v="73 BIENES Y SERVICIOS PARA INVERSIÓN"/>
    <s v="730612 Capacitación a Servidores Públicos"/>
    <s v="G/730612/1NN103"/>
    <s v="001"/>
    <n v="100000"/>
    <n v="0"/>
    <n v="-100000"/>
    <n v="0"/>
    <n v="0"/>
    <n v="0"/>
    <n v="0"/>
    <n v="0"/>
    <n v="0"/>
    <n v="0"/>
  </r>
  <r>
    <s v="73"/>
    <x v="2"/>
    <x v="9"/>
    <s v="PM71N010"/>
    <x v="20"/>
    <s v="N103"/>
    <s v="QUITO SIN MIEDO"/>
    <s v="GI00N10300002D"/>
    <s v="GI00N10300002D IMPLEMENTACIÓN DE UN NUEVO MODELO DE GES"/>
    <s v="73 BIENES Y SERVICIOS PARA INVERSIÓN"/>
    <s v="730701 Desarrollo, Actualización, Asistencia Té"/>
    <s v="G/730701/1NN103"/>
    <s v="001"/>
    <n v="20000"/>
    <n v="0"/>
    <n v="-20000"/>
    <n v="0"/>
    <n v="0"/>
    <n v="0"/>
    <n v="0"/>
    <n v="0"/>
    <n v="0"/>
    <n v="0"/>
  </r>
  <r>
    <s v="73"/>
    <x v="2"/>
    <x v="7"/>
    <s v="ZM04F040"/>
    <x v="41"/>
    <s v="N103"/>
    <s v="QUITO SIN MIEDO"/>
    <s v="GI00N10300003D"/>
    <s v="GI00N10300003D PREVENCIÓN DE LA VIOLENCIA INTRAFAMILIAR"/>
    <s v="73 BIENES Y SERVICIOS PARA INVERSIÓN"/>
    <s v="730203 Almacenamiento, Embalaje, Desembalaje, E"/>
    <s v="G/730203/1FN103"/>
    <s v="001"/>
    <n v="60"/>
    <n v="0"/>
    <n v="-60"/>
    <n v="0"/>
    <n v="0"/>
    <n v="0"/>
    <n v="0"/>
    <n v="0"/>
    <n v="0"/>
    <n v="0"/>
  </r>
  <r>
    <s v="73"/>
    <x v="2"/>
    <x v="9"/>
    <s v="ZA01N000"/>
    <x v="14"/>
    <s v="N103"/>
    <s v="QUITO SIN MIEDO"/>
    <s v="GI00N10300003D"/>
    <s v="GI00N10300003D PREVENCIÓN DE LA VIOLENCIA INTRAFAMILIAR"/>
    <s v="73 BIENES Y SERVICIOS PARA INVERSIÓN"/>
    <s v="730204 Edición, Impresión, Reproducción, Public"/>
    <s v="G/730204/1NN103"/>
    <s v="001"/>
    <n v="28000"/>
    <n v="0"/>
    <n v="-28000"/>
    <n v="0"/>
    <n v="0"/>
    <n v="0"/>
    <n v="0"/>
    <n v="0"/>
    <n v="0"/>
    <n v="0"/>
  </r>
  <r>
    <s v="73"/>
    <x v="2"/>
    <x v="9"/>
    <s v="ZA01N000"/>
    <x v="14"/>
    <s v="N103"/>
    <s v="QUITO SIN MIEDO"/>
    <s v="GI00N10300003D"/>
    <s v="GI00N10300003D PREVENCIÓN DE LA VIOLENCIA INTRAFAMILIAR"/>
    <s v="73 BIENES Y SERVICIOS PARA INVERSIÓN"/>
    <s v="730205 Espectáculos Culturales y Sociales"/>
    <s v="G/730205/1NN103"/>
    <s v="001"/>
    <n v="55000"/>
    <n v="-2000"/>
    <n v="-45080.480000000003"/>
    <n v="7919.52"/>
    <n v="0"/>
    <n v="7919.52"/>
    <n v="7919.52"/>
    <n v="0"/>
    <n v="0"/>
    <n v="0"/>
  </r>
  <r>
    <s v="73"/>
    <x v="2"/>
    <x v="9"/>
    <s v="ZA01N000"/>
    <x v="14"/>
    <s v="N103"/>
    <s v="QUITO SIN MIEDO"/>
    <s v="GI00N10300003D"/>
    <s v="GI00N10300003D PREVENCIÓN DE LA VIOLENCIA INTRAFAMILIAR"/>
    <s v="73 BIENES Y SERVICIOS PARA INVERSIÓN"/>
    <s v="730207 Difusión, Información y Publicidad"/>
    <s v="G/730207/1NN103"/>
    <s v="001"/>
    <n v="20000"/>
    <n v="0"/>
    <n v="-20000"/>
    <n v="0"/>
    <n v="0"/>
    <n v="0"/>
    <n v="0"/>
    <n v="0"/>
    <n v="0"/>
    <n v="0"/>
  </r>
  <r>
    <s v="73"/>
    <x v="2"/>
    <x v="9"/>
    <s v="ZA01N000"/>
    <x v="14"/>
    <s v="N103"/>
    <s v="QUITO SIN MIEDO"/>
    <s v="GI00N10300003D"/>
    <s v="GI00N10300003D PREVENCIÓN DE LA VIOLENCIA INTRAFAMILIAR"/>
    <s v="73 BIENES Y SERVICIOS PARA INVERSIÓN"/>
    <s v="730243 Garantía Extendida de Bienes"/>
    <s v="G/730243/1NN103"/>
    <s v="001"/>
    <n v="5117.1499999999996"/>
    <n v="0"/>
    <n v="0"/>
    <n v="5117.1499999999996"/>
    <n v="3048.86"/>
    <n v="1268.29"/>
    <n v="1268.29"/>
    <n v="3848.86"/>
    <n v="3848.86"/>
    <n v="800"/>
  </r>
  <r>
    <s v="73"/>
    <x v="2"/>
    <x v="7"/>
    <s v="ZM04F040"/>
    <x v="41"/>
    <s v="N103"/>
    <s v="QUITO SIN MIEDO"/>
    <s v="GI00N10300003D"/>
    <s v="GI00N10300003D PREVENCIÓN DE LA VIOLENCIA INTRAFAMILIAR"/>
    <s v="73 BIENES Y SERVICIOS PARA INVERSIÓN"/>
    <s v="730402 Edificios, Locales, Residencias y Cablea"/>
    <s v="G/730402/1FN103"/>
    <s v="001"/>
    <n v="20000"/>
    <n v="0"/>
    <n v="0"/>
    <n v="20000"/>
    <n v="0"/>
    <n v="15088.61"/>
    <n v="0"/>
    <n v="4911.3900000000003"/>
    <n v="20000"/>
    <n v="4911.3900000000003"/>
  </r>
  <r>
    <s v="73"/>
    <x v="2"/>
    <x v="9"/>
    <s v="ZA01N000"/>
    <x v="14"/>
    <s v="N103"/>
    <s v="QUITO SIN MIEDO"/>
    <s v="GI00N10300003D"/>
    <s v="GI00N10300003D PREVENCIÓN DE LA VIOLENCIA INTRAFAMILIAR"/>
    <s v="73 BIENES Y SERVICIOS PARA INVERSIÓN"/>
    <s v="730402 Edificios, Locales, Residencias y Cablea"/>
    <s v="G/730402/1NN103"/>
    <s v="001"/>
    <n v="45000"/>
    <n v="0"/>
    <n v="-45000"/>
    <n v="0"/>
    <n v="0"/>
    <n v="0"/>
    <n v="0"/>
    <n v="0"/>
    <n v="0"/>
    <n v="0"/>
  </r>
  <r>
    <s v="73"/>
    <x v="2"/>
    <x v="9"/>
    <s v="ZA01N000"/>
    <x v="14"/>
    <s v="N103"/>
    <s v="QUITO SIN MIEDO"/>
    <s v="GI00N10300003D"/>
    <s v="GI00N10300003D PREVENCIÓN DE LA VIOLENCIA INTRAFAMILIAR"/>
    <s v="73 BIENES Y SERVICIOS PARA INVERSIÓN"/>
    <s v="730502 Edificios, Locales, Residencias, Parquea"/>
    <s v="G/730502/1NN103"/>
    <s v="001"/>
    <n v="188299"/>
    <n v="2000"/>
    <n v="0"/>
    <n v="190299"/>
    <n v="0"/>
    <n v="188563.56"/>
    <n v="137061.5"/>
    <n v="1735.44"/>
    <n v="53237.5"/>
    <n v="1735.44"/>
  </r>
  <r>
    <s v="73"/>
    <x v="2"/>
    <x v="9"/>
    <s v="ZA01N000"/>
    <x v="14"/>
    <s v="N103"/>
    <s v="QUITO SIN MIEDO"/>
    <s v="GI00N10300003D"/>
    <s v="GI00N10300003D PREVENCIÓN DE LA VIOLENCIA INTRAFAMILIAR"/>
    <s v="73 BIENES Y SERVICIOS PARA INVERSIÓN"/>
    <s v="730704 Mantenimiento y Reparación de Equipos y"/>
    <s v="G/730704/1NN103"/>
    <s v="001"/>
    <n v="1740"/>
    <n v="0"/>
    <n v="0"/>
    <n v="1740"/>
    <n v="1640"/>
    <n v="0"/>
    <n v="0"/>
    <n v="1740"/>
    <n v="1740"/>
    <n v="100"/>
  </r>
  <r>
    <s v="73"/>
    <x v="2"/>
    <x v="7"/>
    <s v="ZM04F040"/>
    <x v="41"/>
    <s v="N103"/>
    <s v="QUITO SIN MIEDO"/>
    <s v="GI00N10300003D"/>
    <s v="GI00N10300003D PREVENCIÓN DE LA VIOLENCIA INTRAFAMILIAR"/>
    <s v="73 BIENES Y SERVICIOS PARA INVERSIÓN"/>
    <s v="730811 Insumos, Materiales y Suministros para Cons"/>
    <s v="G/730811/1FN103"/>
    <s v="001"/>
    <n v="11770"/>
    <n v="0"/>
    <n v="-11770"/>
    <n v="0"/>
    <n v="0"/>
    <n v="0"/>
    <n v="0"/>
    <n v="0"/>
    <n v="0"/>
    <n v="0"/>
  </r>
  <r>
    <s v="73"/>
    <x v="2"/>
    <x v="9"/>
    <s v="ZA01N000"/>
    <x v="14"/>
    <s v="N103"/>
    <s v="QUITO SIN MIEDO"/>
    <s v="GI00N10300003D"/>
    <s v="GI00N10300003D PREVENCIÓN DE LA VIOLENCIA INTRAFAMILIAR"/>
    <s v="73 BIENES Y SERVICIOS PARA INVERSIÓN"/>
    <s v="730812 Materiales Didácticos"/>
    <s v="G/730812/1NN103"/>
    <s v="001"/>
    <n v="7000"/>
    <n v="0"/>
    <n v="-7000"/>
    <n v="0"/>
    <n v="0"/>
    <n v="0"/>
    <n v="0"/>
    <n v="0"/>
    <n v="0"/>
    <n v="0"/>
  </r>
  <r>
    <s v="73"/>
    <x v="2"/>
    <x v="7"/>
    <s v="ZM04F040"/>
    <x v="41"/>
    <s v="N103"/>
    <s v="QUITO SIN MIEDO"/>
    <s v="GI00N10300003D"/>
    <s v="GI00N10300003D PREVENCIÓN DE LA VIOLENCIA INTRAFAMILIAR"/>
    <s v="73 BIENES Y SERVICIOS PARA INVERSIÓN"/>
    <s v="730812 Materiales Didácticos"/>
    <s v="G/730812/1FN103"/>
    <s v="001"/>
    <n v="3000"/>
    <n v="0"/>
    <n v="-3000"/>
    <n v="0"/>
    <n v="0"/>
    <n v="0"/>
    <n v="0"/>
    <n v="0"/>
    <n v="0"/>
    <n v="0"/>
  </r>
  <r>
    <s v="73"/>
    <x v="2"/>
    <x v="9"/>
    <s v="ZA01N000"/>
    <x v="14"/>
    <s v="N103"/>
    <s v="QUITO SIN MIEDO"/>
    <s v="GI00N10300003D"/>
    <s v="GI00N10300003D PREVENCIÓN DE LA VIOLENCIA INTRAFAMILIAR"/>
    <s v="73 BIENES Y SERVICIOS PARA INVERSIÓN"/>
    <s v="730813 Repuestos y Accesorios"/>
    <s v="G/730813/1NN103"/>
    <s v="001"/>
    <n v="1780"/>
    <n v="0"/>
    <n v="0"/>
    <n v="1780"/>
    <n v="1680"/>
    <n v="0"/>
    <n v="0"/>
    <n v="1780"/>
    <n v="1780"/>
    <n v="100"/>
  </r>
  <r>
    <s v="73"/>
    <x v="2"/>
    <x v="7"/>
    <s v="ZM04F040"/>
    <x v="41"/>
    <s v="N103"/>
    <s v="QUITO SIN MIEDO"/>
    <s v="GI00N10300003D"/>
    <s v="GI00N10300003D PREVENCIÓN DE LA VIOLENCIA INTRAFAMILIAR"/>
    <s v="73 BIENES Y SERVICIOS PARA INVERSIÓN"/>
    <s v="731403 Mobiliarios"/>
    <s v="G/731403/1FN103"/>
    <s v="001"/>
    <n v="9940"/>
    <n v="0"/>
    <n v="-9940"/>
    <n v="0"/>
    <n v="0"/>
    <n v="0"/>
    <n v="0"/>
    <n v="0"/>
    <n v="0"/>
    <n v="0"/>
  </r>
  <r>
    <s v="73"/>
    <x v="2"/>
    <x v="7"/>
    <s v="ZM04F040"/>
    <x v="41"/>
    <s v="N103"/>
    <s v="QUITO SIN MIEDO"/>
    <s v="GI00N10300003D"/>
    <s v="GI00N10300003D PREVENCIÓN DE LA VIOLENCIA INTRAFAMILIAR"/>
    <s v="73 BIENES Y SERVICIOS PARA INVERSIÓN"/>
    <s v="731404 Maquinarias y Equipos"/>
    <s v="G/731404/1FN103"/>
    <s v="001"/>
    <n v="230"/>
    <n v="0"/>
    <n v="-230"/>
    <n v="0"/>
    <n v="0"/>
    <n v="0"/>
    <n v="0"/>
    <n v="0"/>
    <n v="0"/>
    <n v="0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105 Telecomunicaciones"/>
    <s v="G/730105/1NN103"/>
    <s v="001"/>
    <n v="90000"/>
    <n v="0"/>
    <n v="-14353"/>
    <n v="75647"/>
    <n v="0"/>
    <n v="75356.98"/>
    <n v="60370.93"/>
    <n v="290.02"/>
    <n v="15276.07"/>
    <n v="290.02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203 Almacenamiento, Embalaje, Desembalaje, E"/>
    <s v="G/730203/1NN103"/>
    <s v="001"/>
    <n v="3000"/>
    <n v="0"/>
    <n v="0"/>
    <n v="3000"/>
    <n v="0"/>
    <n v="962.71"/>
    <n v="0"/>
    <n v="2037.29"/>
    <n v="3000"/>
    <n v="2037.29"/>
  </r>
  <r>
    <s v="73"/>
    <x v="2"/>
    <x v="7"/>
    <s v="ZC09F090"/>
    <x v="10"/>
    <s v="N103"/>
    <s v="QUITO SIN MIEDO"/>
    <s v="GI00N10300004D"/>
    <s v="GI00N10300004D PREVENCIÓN SITUACIONAL Y CONVIVENCIA PAC"/>
    <s v="73 BIENES Y SERVICIOS PARA INVERSIÓN"/>
    <s v="730203 Almacenamiento, Embalaje, Desembalaje, E"/>
    <s v="G/730203/1FN103"/>
    <s v="001"/>
    <n v="300"/>
    <n v="0"/>
    <n v="-300"/>
    <n v="0"/>
    <n v="0"/>
    <n v="0"/>
    <n v="0"/>
    <n v="0"/>
    <n v="0"/>
    <n v="0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204 Edición, Impresión, Reproducción, Public"/>
    <s v="G/730204/1NN103"/>
    <s v="001"/>
    <n v="121000"/>
    <n v="0"/>
    <n v="-101000"/>
    <n v="20000"/>
    <n v="0"/>
    <n v="7861.24"/>
    <n v="679.8"/>
    <n v="12138.76"/>
    <n v="19320.2"/>
    <n v="12138.76"/>
  </r>
  <r>
    <s v="73"/>
    <x v="2"/>
    <x v="9"/>
    <s v="ZA01N000"/>
    <x v="14"/>
    <s v="N103"/>
    <s v="QUITO SIN MIEDO"/>
    <s v="GI00N10300004D"/>
    <s v="GI00N10300004D PREVENCIÓN SITUACIONAL Y CONVIVENCIA PAC"/>
    <s v="73 BIENES Y SERVICIOS PARA INVERSIÓN"/>
    <s v="730204 Edición, Impresión, Reproducción, Public"/>
    <s v="G/730204/1NN103"/>
    <s v="001"/>
    <n v="10000"/>
    <n v="10000"/>
    <n v="-20000"/>
    <n v="0"/>
    <n v="0"/>
    <n v="0"/>
    <n v="0"/>
    <n v="0"/>
    <n v="0"/>
    <n v="0"/>
  </r>
  <r>
    <s v="73"/>
    <x v="2"/>
    <x v="9"/>
    <s v="ZA01N000"/>
    <x v="14"/>
    <s v="N103"/>
    <s v="QUITO SIN MIEDO"/>
    <s v="GI00N10300004D"/>
    <s v="GI00N10300004D PREVENCIÓN SITUACIONAL Y CONVIVENCIA PAC"/>
    <s v="73 BIENES Y SERVICIOS PARA INVERSIÓN"/>
    <s v="730205 Espectáculos Culturales y Sociales"/>
    <s v="G/730205/1NN103"/>
    <s v="001"/>
    <n v="0"/>
    <n v="130000"/>
    <n v="-130000"/>
    <n v="0"/>
    <n v="0"/>
    <n v="0"/>
    <n v="0"/>
    <n v="0"/>
    <n v="0"/>
    <n v="0"/>
  </r>
  <r>
    <s v="73"/>
    <x v="2"/>
    <x v="7"/>
    <s v="ZC09F090"/>
    <x v="10"/>
    <s v="N103"/>
    <s v="QUITO SIN MIEDO"/>
    <s v="GI00N10300004D"/>
    <s v="GI00N10300004D PREVENCIÓN SITUACIONAL Y CONVIVENCIA PAC"/>
    <s v="73 BIENES Y SERVICIOS PARA INVERSIÓN"/>
    <s v="730205 Espectáculos Culturales y Sociales"/>
    <s v="G/730205/1FN103"/>
    <s v="001"/>
    <n v="800"/>
    <n v="0"/>
    <n v="-800"/>
    <n v="0"/>
    <n v="0"/>
    <n v="0"/>
    <n v="0"/>
    <n v="0"/>
    <n v="0"/>
    <n v="0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248 Eventos Oficiales"/>
    <s v="G/730248/1NN103"/>
    <s v="001"/>
    <n v="54000"/>
    <n v="0"/>
    <n v="-54000"/>
    <n v="0"/>
    <n v="0"/>
    <n v="0"/>
    <n v="0"/>
    <n v="0"/>
    <n v="0"/>
    <n v="0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404 Maquinarias y Equipos (Instalación, Mant"/>
    <s v="G/730404/1NN103"/>
    <s v="001"/>
    <n v="79000"/>
    <n v="0"/>
    <n v="-15886"/>
    <n v="63114"/>
    <n v="5080"/>
    <n v="37266.800000000003"/>
    <n v="19878.41"/>
    <n v="25847.200000000001"/>
    <n v="43235.59"/>
    <n v="20767.2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405 Vehículos (Servicio para Mantenimiento y"/>
    <s v="G/730405/1NN103"/>
    <s v="001"/>
    <n v="175000"/>
    <n v="0"/>
    <n v="-47800"/>
    <n v="127200"/>
    <n v="1947"/>
    <n v="63371.59"/>
    <n v="46772.52"/>
    <n v="63828.41"/>
    <n v="80427.48"/>
    <n v="61881.41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415 Bienes Biológicos"/>
    <s v="G/730415/1NN103"/>
    <s v="001"/>
    <n v="16000"/>
    <n v="0"/>
    <n v="0"/>
    <n v="16000"/>
    <n v="0"/>
    <n v="7711.47"/>
    <n v="6479.47"/>
    <n v="8288.5300000000007"/>
    <n v="9520.5300000000007"/>
    <n v="8288.5300000000007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502 Edificios, Locales, Residencias, Parquea"/>
    <s v="G/730502/1NN103"/>
    <s v="001"/>
    <n v="7000"/>
    <n v="0"/>
    <n v="-11"/>
    <n v="6989"/>
    <n v="0"/>
    <n v="6988.8"/>
    <n v="5824"/>
    <n v="0.2"/>
    <n v="1165"/>
    <n v="0.2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601 Consultoría, Asesoría e Investigación Es"/>
    <s v="G/730601/1NN103"/>
    <s v="001"/>
    <n v="30000"/>
    <n v="0"/>
    <n v="0"/>
    <n v="30000"/>
    <n v="0"/>
    <n v="19267.919999999998"/>
    <n v="19267.919999999998"/>
    <n v="10732.08"/>
    <n v="10732.08"/>
    <n v="10732.08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605 Estudio y Diseño de Proyectos"/>
    <s v="G/730605/1NN103"/>
    <s v="001"/>
    <n v="0"/>
    <n v="6998"/>
    <n v="-5000"/>
    <n v="1998"/>
    <n v="0"/>
    <n v="1997.86"/>
    <n v="1997.86"/>
    <n v="0.14000000000000001"/>
    <n v="0.14000000000000001"/>
    <n v="0.14000000000000001"/>
  </r>
  <r>
    <s v="73"/>
    <x v="2"/>
    <x v="9"/>
    <s v="ZA01N000"/>
    <x v="14"/>
    <s v="N103"/>
    <s v="QUITO SIN MIEDO"/>
    <s v="GI00N10300004D"/>
    <s v="GI00N10300004D PREVENCIÓN SITUACIONAL Y CONVIVENCIA PAC"/>
    <s v="73 BIENES Y SERVICIOS PARA INVERSIÓN"/>
    <s v="730607 Servicios Técnicos Especializados"/>
    <s v="G/730607/1NN103"/>
    <s v="001"/>
    <n v="131000"/>
    <n v="-131000"/>
    <n v="0"/>
    <n v="0"/>
    <n v="0"/>
    <n v="0"/>
    <n v="0"/>
    <n v="0"/>
    <n v="0"/>
    <n v="0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612 Capacitación a Servidores Públicos"/>
    <s v="G/730612/1NN103"/>
    <s v="001"/>
    <n v="140000"/>
    <n v="-7896"/>
    <n v="-115724"/>
    <n v="16380"/>
    <n v="0"/>
    <n v="13567.5"/>
    <n v="13567.5"/>
    <n v="2812.5"/>
    <n v="2812.5"/>
    <n v="2812.5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702 Arrendamiento y Licencias de Uso de Paquete"/>
    <s v="G/730702/1NN103"/>
    <s v="001"/>
    <n v="0"/>
    <n v="7896"/>
    <n v="0"/>
    <n v="7896"/>
    <n v="0"/>
    <n v="7896"/>
    <n v="7896"/>
    <n v="0"/>
    <n v="0"/>
    <n v="0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802 Vestuario, Lencería, Prendas de Protecci"/>
    <s v="G/730802/1NN103"/>
    <s v="001"/>
    <n v="1280114"/>
    <n v="-6998"/>
    <n v="-1500"/>
    <n v="1271616"/>
    <n v="0.05"/>
    <n v="340916.34"/>
    <n v="340916.34"/>
    <n v="930699.66"/>
    <n v="930699.66"/>
    <n v="930699.61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802 Vestuario, Lencería, Prendas de Protecci"/>
    <s v="G/730802/1NN103"/>
    <s v="002"/>
    <n v="40854.720000000001"/>
    <n v="0"/>
    <n v="-21797.47"/>
    <n v="19057.25"/>
    <n v="0"/>
    <n v="19057.25"/>
    <n v="19057.25"/>
    <n v="0"/>
    <n v="0"/>
    <n v="0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803 Combustibles y Lubricantes"/>
    <s v="G/730803/1NN103"/>
    <s v="001"/>
    <n v="200000"/>
    <n v="0"/>
    <n v="0"/>
    <n v="200000"/>
    <n v="0"/>
    <n v="170733"/>
    <n v="118655.44"/>
    <n v="29267"/>
    <n v="81344.56"/>
    <n v="29267"/>
  </r>
  <r>
    <s v="73"/>
    <x v="2"/>
    <x v="9"/>
    <s v="ZA01N000"/>
    <x v="14"/>
    <s v="N103"/>
    <s v="QUITO SIN MIEDO"/>
    <s v="GI00N10300004D"/>
    <s v="GI00N10300004D PREVENCIÓN SITUACIONAL Y CONVIVENCIA PAC"/>
    <s v="73 BIENES Y SERVICIOS PARA INVERSIÓN"/>
    <s v="730805 Materiales de Aseo"/>
    <s v="G/730805/1NN103"/>
    <s v="001"/>
    <n v="0"/>
    <n v="9555.84"/>
    <n v="0"/>
    <n v="9555.84"/>
    <n v="2971.78"/>
    <n v="6584.06"/>
    <n v="6584.06"/>
    <n v="2971.78"/>
    <n v="2971.78"/>
    <n v="0"/>
  </r>
  <r>
    <s v="73"/>
    <x v="2"/>
    <x v="7"/>
    <s v="TM68F100"/>
    <x v="36"/>
    <s v="N103"/>
    <s v="QUITO SIN MIEDO"/>
    <s v="GI00N10300004D"/>
    <s v="GI00N10300004D PREVENCIÓN SITUACIONAL Y CONVIVENCIA PAC"/>
    <s v="73 BIENES Y SERVICIOS PARA INVERSIÓN"/>
    <s v="730805 Materiales de Aseo"/>
    <s v="G/730805/1FN103"/>
    <s v="001"/>
    <n v="500"/>
    <n v="0"/>
    <n v="0"/>
    <n v="500"/>
    <n v="242.69"/>
    <n v="257.08999999999997"/>
    <n v="0"/>
    <n v="242.91"/>
    <n v="500"/>
    <n v="0.22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805 Materiales de Aseo"/>
    <s v="G/730805/1NN103"/>
    <s v="001"/>
    <n v="1613"/>
    <n v="0"/>
    <n v="-1613"/>
    <n v="0"/>
    <n v="0"/>
    <n v="0"/>
    <n v="0"/>
    <n v="0"/>
    <n v="0"/>
    <n v="0"/>
  </r>
  <r>
    <s v="73"/>
    <x v="2"/>
    <x v="7"/>
    <s v="ZT06F060"/>
    <x v="40"/>
    <s v="N103"/>
    <s v="QUITO SIN MIEDO"/>
    <s v="GI00N10300004D"/>
    <s v="GI00N10300004D PREVENCIÓN SITUACIONAL Y CONVIVENCIA PAC"/>
    <s v="73 BIENES Y SERVICIOS PARA INVERSIÓN"/>
    <s v="730807 Materiales de Impresión, Fotografía, Rep"/>
    <s v="G/730807/1FN103"/>
    <s v="001"/>
    <n v="1000"/>
    <n v="0"/>
    <n v="-1000"/>
    <n v="0"/>
    <n v="0"/>
    <n v="0"/>
    <n v="0"/>
    <n v="0"/>
    <n v="0"/>
    <n v="0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808 Instrumental Médico Quirúrgico"/>
    <s v="G/730808/1NN103"/>
    <s v="001"/>
    <n v="950"/>
    <n v="0"/>
    <n v="-950"/>
    <n v="0"/>
    <n v="0"/>
    <n v="0"/>
    <n v="0"/>
    <n v="0"/>
    <n v="0"/>
    <n v="0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809 Medicamentos"/>
    <s v="G/730809/1NN103"/>
    <s v="001"/>
    <n v="1250"/>
    <n v="0"/>
    <n v="-1250"/>
    <n v="0"/>
    <n v="0"/>
    <n v="0"/>
    <n v="0"/>
    <n v="0"/>
    <n v="0"/>
    <n v="0"/>
  </r>
  <r>
    <s v="73"/>
    <x v="2"/>
    <x v="9"/>
    <s v="ZA01N000"/>
    <x v="14"/>
    <s v="N103"/>
    <s v="QUITO SIN MIEDO"/>
    <s v="GI00N10300004D"/>
    <s v="GI00N10300004D PREVENCIÓN SITUACIONAL Y CONVIVENCIA PAC"/>
    <s v="73 BIENES Y SERVICIOS PARA INVERSIÓN"/>
    <s v="730811 Insumos, Materiales y Suministros para Cons"/>
    <s v="G/730811/1NN103"/>
    <s v="001"/>
    <n v="20000"/>
    <n v="0"/>
    <n v="-20000"/>
    <n v="0"/>
    <n v="0"/>
    <n v="0"/>
    <n v="0"/>
    <n v="0"/>
    <n v="0"/>
    <n v="0"/>
  </r>
  <r>
    <s v="73"/>
    <x v="2"/>
    <x v="7"/>
    <s v="ZN02F020"/>
    <x v="46"/>
    <s v="N103"/>
    <s v="QUITO SIN MIEDO"/>
    <s v="GI00N10300004D"/>
    <s v="GI00N10300004D PREVENCIÓN SITUACIONAL Y CONVIVENCIA PAC"/>
    <s v="73 BIENES Y SERVICIOS PARA INVERSIÓN"/>
    <s v="730811 Insumos, Materiales y Suministros para Cons"/>
    <s v="G/730811/1FN103"/>
    <s v="001"/>
    <n v="5500"/>
    <n v="-5500"/>
    <n v="0"/>
    <n v="0"/>
    <n v="0"/>
    <n v="0"/>
    <n v="0"/>
    <n v="0"/>
    <n v="0"/>
    <n v="0"/>
  </r>
  <r>
    <s v="73"/>
    <x v="2"/>
    <x v="7"/>
    <s v="TM68F100"/>
    <x v="36"/>
    <s v="N103"/>
    <s v="QUITO SIN MIEDO"/>
    <s v="GI00N10300004D"/>
    <s v="GI00N10300004D PREVENCIÓN SITUACIONAL Y CONVIVENCIA PAC"/>
    <s v="73 BIENES Y SERVICIOS PARA INVERSIÓN"/>
    <s v="730811 Insumos, Materiales y Suministros para Cons"/>
    <s v="G/730811/1FN103"/>
    <s v="001"/>
    <n v="500"/>
    <n v="0"/>
    <n v="0"/>
    <n v="500"/>
    <n v="0"/>
    <n v="497.17"/>
    <n v="497.17"/>
    <n v="2.83"/>
    <n v="2.83"/>
    <n v="2.83"/>
  </r>
  <r>
    <s v="73"/>
    <x v="2"/>
    <x v="7"/>
    <s v="ZQ08F080"/>
    <x v="44"/>
    <s v="N103"/>
    <s v="QUITO SIN MIEDO"/>
    <s v="GI00N10300004D"/>
    <s v="GI00N10300004D PREVENCIÓN SITUACIONAL Y CONVIVENCIA PAC"/>
    <s v="73 BIENES Y SERVICIOS PARA INVERSIÓN"/>
    <s v="730811 Insumos, Materiales y Suministros para Cons"/>
    <s v="G/730811/1FN103"/>
    <s v="001"/>
    <n v="5500"/>
    <n v="0"/>
    <n v="-5500"/>
    <n v="0"/>
    <n v="0"/>
    <n v="0"/>
    <n v="0"/>
    <n v="0"/>
    <n v="0"/>
    <n v="0"/>
  </r>
  <r>
    <s v="73"/>
    <x v="2"/>
    <x v="7"/>
    <s v="ZV05F050"/>
    <x v="39"/>
    <s v="N103"/>
    <s v="QUITO SIN MIEDO"/>
    <s v="GI00N10300004D"/>
    <s v="GI00N10300004D PREVENCIÓN SITUACIONAL Y CONVIVENCIA PAC"/>
    <s v="73 BIENES Y SERVICIOS PARA INVERSIÓN"/>
    <s v="730811 Insumos, Materiales y Suministros para Cons"/>
    <s v="G/730811/1FN103"/>
    <s v="001"/>
    <n v="5500"/>
    <n v="0"/>
    <n v="0"/>
    <n v="5500"/>
    <n v="0"/>
    <n v="0"/>
    <n v="0"/>
    <n v="5500"/>
    <n v="5500"/>
    <n v="5500"/>
  </r>
  <r>
    <s v="73"/>
    <x v="2"/>
    <x v="7"/>
    <s v="ZT06F060"/>
    <x v="40"/>
    <s v="N103"/>
    <s v="QUITO SIN MIEDO"/>
    <s v="GI00N10300004D"/>
    <s v="GI00N10300004D PREVENCIÓN SITUACIONAL Y CONVIVENCIA PAC"/>
    <s v="73 BIENES Y SERVICIOS PARA INVERSIÓN"/>
    <s v="730811 Insumos, Materiales y Suministros para Cons"/>
    <s v="G/730811/1FN103"/>
    <s v="001"/>
    <n v="3500"/>
    <n v="0"/>
    <n v="-3500"/>
    <n v="0"/>
    <n v="0"/>
    <n v="0"/>
    <n v="0"/>
    <n v="0"/>
    <n v="0"/>
    <n v="0"/>
  </r>
  <r>
    <s v="73"/>
    <x v="2"/>
    <x v="7"/>
    <s v="ZC09F090"/>
    <x v="10"/>
    <s v="N103"/>
    <s v="QUITO SIN MIEDO"/>
    <s v="GI00N10300004D"/>
    <s v="GI00N10300004D PREVENCIÓN SITUACIONAL Y CONVIVENCIA PAC"/>
    <s v="73 BIENES Y SERVICIOS PARA INVERSIÓN"/>
    <s v="730811 Insumos, Materiales y Suministros para Cons"/>
    <s v="G/730811/1FN103"/>
    <s v="001"/>
    <n v="4700"/>
    <n v="0"/>
    <n v="-4700"/>
    <n v="0"/>
    <n v="0"/>
    <n v="0"/>
    <n v="0"/>
    <n v="0"/>
    <n v="0"/>
    <n v="0"/>
  </r>
  <r>
    <s v="73"/>
    <x v="2"/>
    <x v="7"/>
    <s v="ZM04F040"/>
    <x v="41"/>
    <s v="N103"/>
    <s v="QUITO SIN MIEDO"/>
    <s v="GI00N10300004D"/>
    <s v="GI00N10300004D PREVENCIÓN SITUACIONAL Y CONVIVENCIA PAC"/>
    <s v="73 BIENES Y SERVICIOS PARA INVERSIÓN"/>
    <s v="730811 Insumos, Materiales y Suministros para Cons"/>
    <s v="G/730811/1FN103"/>
    <s v="001"/>
    <n v="5500"/>
    <n v="0"/>
    <n v="-5500"/>
    <n v="0"/>
    <n v="0"/>
    <n v="0"/>
    <n v="0"/>
    <n v="0"/>
    <n v="0"/>
    <n v="0"/>
  </r>
  <r>
    <s v="73"/>
    <x v="2"/>
    <x v="7"/>
    <s v="ZS03F030"/>
    <x v="45"/>
    <s v="N103"/>
    <s v="QUITO SIN MIEDO"/>
    <s v="GI00N10300004D"/>
    <s v="GI00N10300004D PREVENCIÓN SITUACIONAL Y CONVIVENCIA PAC"/>
    <s v="73 BIENES Y SERVICIOS PARA INVERSIÓN"/>
    <s v="730811 Insumos, Materiales y Suministros para Cons"/>
    <s v="G/730811/1FN103"/>
    <s v="001"/>
    <n v="4500"/>
    <n v="0"/>
    <n v="-4500"/>
    <n v="0"/>
    <n v="0"/>
    <n v="0"/>
    <n v="0"/>
    <n v="0"/>
    <n v="0"/>
    <n v="0"/>
  </r>
  <r>
    <s v="73"/>
    <x v="2"/>
    <x v="7"/>
    <s v="ZD07F070"/>
    <x v="43"/>
    <s v="N103"/>
    <s v="QUITO SIN MIEDO"/>
    <s v="GI00N10300004D"/>
    <s v="GI00N10300004D PREVENCIÓN SITUACIONAL Y CONVIVENCIA PAC"/>
    <s v="73 BIENES Y SERVICIOS PARA INVERSIÓN"/>
    <s v="730811 Insumos, Materiales y Suministros para Cons"/>
    <s v="G/730811/1FN103"/>
    <s v="001"/>
    <n v="5500"/>
    <n v="0"/>
    <n v="-1867.28"/>
    <n v="3632.72"/>
    <n v="0"/>
    <n v="3632.72"/>
    <n v="3632.72"/>
    <n v="0"/>
    <n v="0"/>
    <n v="0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812 Materiales Didácticos"/>
    <s v="G/730812/1NN103"/>
    <s v="001"/>
    <n v="4000"/>
    <n v="0"/>
    <n v="-4000"/>
    <n v="0"/>
    <n v="0"/>
    <n v="0"/>
    <n v="0"/>
    <n v="0"/>
    <n v="0"/>
    <n v="0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813 Repuestos y Accesorios"/>
    <s v="G/730813/1NN103"/>
    <s v="001"/>
    <n v="514000"/>
    <n v="0"/>
    <n v="-53767"/>
    <n v="460233"/>
    <n v="7492.16"/>
    <n v="186377.22"/>
    <n v="115572.65"/>
    <n v="273855.78000000003"/>
    <n v="344660.35"/>
    <n v="266363.62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820 Menaje y Accesorios Descartables"/>
    <s v="G/730820/1NN103"/>
    <s v="001"/>
    <n v="100"/>
    <n v="0"/>
    <n v="-100"/>
    <n v="0"/>
    <n v="0"/>
    <n v="0"/>
    <n v="0"/>
    <n v="0"/>
    <n v="0"/>
    <n v="0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823 Egresos para Sanidad Agropecuaria"/>
    <s v="G/730823/1NN103"/>
    <s v="001"/>
    <n v="124000"/>
    <n v="0"/>
    <n v="-22000"/>
    <n v="102000"/>
    <n v="25854.61"/>
    <n v="70593.929999999993"/>
    <n v="11168.69"/>
    <n v="31406.07"/>
    <n v="90831.31"/>
    <n v="5551.46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826 Dispositivos Médicos de Uso General"/>
    <s v="G/730826/1NN103"/>
    <s v="001"/>
    <n v="67000"/>
    <n v="0"/>
    <n v="-32500"/>
    <n v="34500"/>
    <n v="0"/>
    <n v="0"/>
    <n v="0"/>
    <n v="34500"/>
    <n v="34500"/>
    <n v="34500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0832 Dispositivos Médicos para Odontología"/>
    <s v="G/730832/1NN103"/>
    <s v="001"/>
    <n v="7200"/>
    <n v="0"/>
    <n v="-7200"/>
    <n v="0"/>
    <n v="0"/>
    <n v="0"/>
    <n v="0"/>
    <n v="0"/>
    <n v="0"/>
    <n v="0"/>
  </r>
  <r>
    <s v="73"/>
    <x v="2"/>
    <x v="9"/>
    <s v="ZA01N000"/>
    <x v="14"/>
    <s v="N103"/>
    <s v="QUITO SIN MIEDO"/>
    <s v="GI00N10300004D"/>
    <s v="GI00N10300004D PREVENCIÓN SITUACIONAL Y CONVIVENCIA PAC"/>
    <s v="73 BIENES Y SERVICIOS PARA INVERSIÓN"/>
    <s v="731404 Maquinarias y Equipos"/>
    <s v="G/731404/1NN103"/>
    <s v="001"/>
    <n v="0"/>
    <n v="1881.6"/>
    <n v="0"/>
    <n v="1881.6"/>
    <n v="645.12"/>
    <n v="1236.48"/>
    <n v="1236.48"/>
    <n v="645.12"/>
    <n v="645.12"/>
    <n v="0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1404 Maquinarias y Equipos"/>
    <s v="G/731404/1NN103"/>
    <s v="001"/>
    <n v="73418"/>
    <n v="0"/>
    <n v="-73418"/>
    <n v="0"/>
    <n v="0"/>
    <n v="0"/>
    <n v="0"/>
    <n v="0"/>
    <n v="0"/>
    <n v="0"/>
  </r>
  <r>
    <s v="73"/>
    <x v="2"/>
    <x v="7"/>
    <s v="ZS03F030"/>
    <x v="45"/>
    <s v="N103"/>
    <s v="QUITO SIN MIEDO"/>
    <s v="GI00N10300004D"/>
    <s v="GI00N10300004D PREVENCIÓN SITUACIONAL Y CONVIVENCIA PAC"/>
    <s v="73 BIENES Y SERVICIOS PARA INVERSIÓN"/>
    <s v="731406 Herramientas y equipos menores"/>
    <s v="G/731406/1FN103"/>
    <s v="001"/>
    <n v="1000"/>
    <n v="0"/>
    <n v="-1000"/>
    <n v="0"/>
    <n v="0"/>
    <n v="0"/>
    <n v="0"/>
    <n v="0"/>
    <n v="0"/>
    <n v="0"/>
  </r>
  <r>
    <s v="73"/>
    <x v="2"/>
    <x v="9"/>
    <s v="PM71N010"/>
    <x v="20"/>
    <s v="N103"/>
    <s v="QUITO SIN MIEDO"/>
    <s v="GI00N10300004D"/>
    <s v="GI00N10300004D PREVENCIÓN SITUACIONAL Y CONVIVENCIA PAC"/>
    <s v="73 BIENES Y SERVICIOS PARA INVERSIÓN"/>
    <s v="731406 Herramientas y equipos menores"/>
    <s v="G/731406/1NN103"/>
    <s v="001"/>
    <n v="355"/>
    <n v="0"/>
    <n v="-355"/>
    <n v="0"/>
    <n v="0"/>
    <n v="0"/>
    <n v="0"/>
    <n v="0"/>
    <n v="0"/>
    <n v="0"/>
  </r>
  <r>
    <s v="73"/>
    <x v="2"/>
    <x v="9"/>
    <s v="ZA01N000"/>
    <x v="14"/>
    <s v="N103"/>
    <s v="QUITO SIN MIEDO"/>
    <s v="GI00N10300007D"/>
    <s v="GI00N10300007D SISTEMA DE INDICADORES DE SEGURIDAD CIUD"/>
    <s v="73 BIENES Y SERVICIOS PARA INVERSIÓN"/>
    <s v="730204 Edición, Impresión, Reproducción, Public"/>
    <s v="G/730204/1NN103"/>
    <s v="001"/>
    <n v="0"/>
    <n v="10000"/>
    <n v="-10000"/>
    <n v="0"/>
    <n v="0"/>
    <n v="0"/>
    <n v="0"/>
    <n v="0"/>
    <n v="0"/>
    <n v="0"/>
  </r>
  <r>
    <s v="73"/>
    <x v="2"/>
    <x v="9"/>
    <s v="ZA01N000"/>
    <x v="14"/>
    <s v="N103"/>
    <s v="QUITO SIN MIEDO"/>
    <s v="GI00N10300007D"/>
    <s v="GI00N10300007D SISTEMA DE INDICADORES DE SEGURIDAD CIUD"/>
    <s v="73 BIENES Y SERVICIOS PARA INVERSIÓN"/>
    <s v="730205 Espectáculos Culturales y Sociales"/>
    <s v="G/730205/1NN103"/>
    <s v="001"/>
    <n v="149500"/>
    <n v="-149500"/>
    <n v="0"/>
    <n v="0"/>
    <n v="0"/>
    <n v="0"/>
    <n v="0"/>
    <n v="0"/>
    <n v="0"/>
    <n v="0"/>
  </r>
  <r>
    <s v="73"/>
    <x v="2"/>
    <x v="9"/>
    <s v="ZA01N000"/>
    <x v="14"/>
    <s v="N103"/>
    <s v="QUITO SIN MIEDO"/>
    <s v="GI00N10300007D"/>
    <s v="GI00N10300007D SISTEMA DE INDICADORES DE SEGURIDAD CIUD"/>
    <s v="73 BIENES Y SERVICIOS PARA INVERSIÓN"/>
    <s v="730607 Servicios Técnicos Especializados"/>
    <s v="G/730607/1NN103"/>
    <s v="001"/>
    <n v="0"/>
    <n v="130500"/>
    <n v="-130500"/>
    <n v="0"/>
    <n v="0"/>
    <n v="0"/>
    <n v="0"/>
    <n v="0"/>
    <n v="0"/>
    <n v="0"/>
  </r>
  <r>
    <s v="73"/>
    <x v="2"/>
    <x v="9"/>
    <s v="ZA01N000"/>
    <x v="14"/>
    <s v="N301"/>
    <s v="GESTION DE RIESGOS"/>
    <s v="GI00N30100004D"/>
    <s v="GI00N30100004D ANÁLISIS DE RIESGOS NATURALES Y ANTRÓPIC"/>
    <s v="73 BIENES Y SERVICIOS PARA INVERSIÓN"/>
    <s v="730204 Edición, Impresión, Reproducción, Public"/>
    <s v="G/730204/3NN301"/>
    <s v="001"/>
    <n v="55000"/>
    <n v="0"/>
    <n v="-55000"/>
    <n v="0"/>
    <n v="0"/>
    <n v="0"/>
    <n v="0"/>
    <n v="0"/>
    <n v="0"/>
    <n v="0"/>
  </r>
  <r>
    <s v="73"/>
    <x v="2"/>
    <x v="7"/>
    <s v="ZM04F040"/>
    <x v="41"/>
    <s v="N301"/>
    <s v="GESTION DE RIESGOS"/>
    <s v="GI00N30100005D"/>
    <s v="GI00N30100005D REDUCCIÓN DE RIESGOS DE DESASTRES EN EL"/>
    <s v="73 BIENES Y SERVICIOS PARA INVERSIÓN"/>
    <s v="730202 Fletes y Maniobras"/>
    <s v="G/730202/3FN301"/>
    <s v="001"/>
    <n v="2000"/>
    <n v="0"/>
    <n v="-2000"/>
    <n v="0"/>
    <n v="0"/>
    <n v="0"/>
    <n v="0"/>
    <n v="0"/>
    <n v="0"/>
    <n v="0"/>
  </r>
  <r>
    <s v="73"/>
    <x v="2"/>
    <x v="7"/>
    <s v="ZV05F050"/>
    <x v="39"/>
    <s v="N301"/>
    <s v="GESTION DE RIESGOS"/>
    <s v="GI00N30100005D"/>
    <s v="GI00N30100005D REDUCCIÓN DE RIESGOS DE DESASTRES EN EL"/>
    <s v="73 BIENES Y SERVICIOS PARA INVERSIÓN"/>
    <s v="730204 Edición, Impresión, Reproducción, Public"/>
    <s v="G/730204/3FN301"/>
    <s v="001"/>
    <n v="1500"/>
    <n v="0"/>
    <n v="-1500"/>
    <n v="0"/>
    <n v="0"/>
    <n v="0"/>
    <n v="0"/>
    <n v="0"/>
    <n v="0"/>
    <n v="0"/>
  </r>
  <r>
    <s v="73"/>
    <x v="2"/>
    <x v="7"/>
    <s v="ZC09F090"/>
    <x v="10"/>
    <s v="N301"/>
    <s v="GESTION DE RIESGOS"/>
    <s v="GI00N30100005D"/>
    <s v="GI00N30100005D REDUCCIÓN DE RIESGOS DE DESASTRES EN EL"/>
    <s v="73 BIENES Y SERVICIOS PARA INVERSIÓN"/>
    <s v="730204 Edición, Impresión, Reproducción, Public"/>
    <s v="G/730204/3FN301"/>
    <s v="001"/>
    <n v="100"/>
    <n v="0"/>
    <n v="-100"/>
    <n v="0"/>
    <n v="0"/>
    <n v="0"/>
    <n v="0"/>
    <n v="0"/>
    <n v="0"/>
    <n v="0"/>
  </r>
  <r>
    <s v="73"/>
    <x v="2"/>
    <x v="7"/>
    <s v="ZD07F070"/>
    <x v="43"/>
    <s v="N301"/>
    <s v="GESTION DE RIESGOS"/>
    <s v="GI00N30100005D"/>
    <s v="GI00N30100005D REDUCCIÓN DE RIESGOS DE DESASTRES EN EL"/>
    <s v="73 BIENES Y SERVICIOS PARA INVERSIÓN"/>
    <s v="730204 Edición, Impresión, Reproducción, Public"/>
    <s v="G/730204/3FN301"/>
    <s v="001"/>
    <n v="2000"/>
    <n v="0"/>
    <n v="-2000"/>
    <n v="0"/>
    <n v="0"/>
    <n v="0"/>
    <n v="0"/>
    <n v="0"/>
    <n v="0"/>
    <n v="0"/>
  </r>
  <r>
    <s v="73"/>
    <x v="2"/>
    <x v="7"/>
    <s v="ZS03F030"/>
    <x v="45"/>
    <s v="N301"/>
    <s v="GESTION DE RIESGOS"/>
    <s v="GI00N30100005D"/>
    <s v="GI00N30100005D REDUCCIÓN DE RIESGOS DE DESASTRES EN EL"/>
    <s v="73 BIENES Y SERVICIOS PARA INVERSIÓN"/>
    <s v="730204 Edición, Impresión, Reproducción, Public"/>
    <s v="G/730204/3FN301"/>
    <s v="001"/>
    <n v="1000"/>
    <n v="0"/>
    <n v="-1000"/>
    <n v="0"/>
    <n v="0"/>
    <n v="0"/>
    <n v="0"/>
    <n v="0"/>
    <n v="0"/>
    <n v="0"/>
  </r>
  <r>
    <s v="73"/>
    <x v="2"/>
    <x v="7"/>
    <s v="ZM04F040"/>
    <x v="41"/>
    <s v="N301"/>
    <s v="GESTION DE RIESGOS"/>
    <s v="GI00N30100005D"/>
    <s v="GI00N30100005D REDUCCIÓN DE RIESGOS DE DESASTRES EN EL"/>
    <s v="73 BIENES Y SERVICIOS PARA INVERSIÓN"/>
    <s v="730204 Edición, Impresión, Reproducción, Public"/>
    <s v="G/730204/3FN301"/>
    <s v="001"/>
    <n v="8000"/>
    <n v="0"/>
    <n v="-8000"/>
    <n v="0"/>
    <n v="0"/>
    <n v="0"/>
    <n v="0"/>
    <n v="0"/>
    <n v="0"/>
    <n v="0"/>
  </r>
  <r>
    <s v="73"/>
    <x v="2"/>
    <x v="9"/>
    <s v="PM71N010"/>
    <x v="20"/>
    <s v="N301"/>
    <s v="GESTION DE RIESGOS"/>
    <s v="GI00N30100005D"/>
    <s v="GI00N30100005D REDUCCIÓN DE RIESGOS DE DESASTRES EN EL"/>
    <s v="73 BIENES Y SERVICIOS PARA INVERSIÓN"/>
    <s v="730204 Edición, Impresión, Reproducción, Public"/>
    <s v="G/730204/3NN301"/>
    <s v="001"/>
    <n v="9000"/>
    <n v="0"/>
    <n v="-9000"/>
    <n v="0"/>
    <n v="0"/>
    <n v="0"/>
    <n v="0"/>
    <n v="0"/>
    <n v="0"/>
    <n v="0"/>
  </r>
  <r>
    <s v="73"/>
    <x v="2"/>
    <x v="7"/>
    <s v="ZV05F050"/>
    <x v="39"/>
    <s v="N301"/>
    <s v="GESTION DE RIESGOS"/>
    <s v="GI00N30100005D"/>
    <s v="GI00N30100005D REDUCCIÓN DE RIESGOS DE DESASTRES EN EL"/>
    <s v="73 BIENES Y SERVICIOS PARA INVERSIÓN"/>
    <s v="730205 Espectáculos Culturales y Sociales"/>
    <s v="G/730205/3FN301"/>
    <s v="001"/>
    <n v="4000"/>
    <n v="-4000"/>
    <n v="0"/>
    <n v="0"/>
    <n v="0"/>
    <n v="0"/>
    <n v="0"/>
    <n v="0"/>
    <n v="0"/>
    <n v="0"/>
  </r>
  <r>
    <s v="73"/>
    <x v="2"/>
    <x v="7"/>
    <s v="ZC09F090"/>
    <x v="10"/>
    <s v="N301"/>
    <s v="GESTION DE RIESGOS"/>
    <s v="GI00N30100005D"/>
    <s v="GI00N30100005D REDUCCIÓN DE RIESGOS DE DESASTRES EN EL"/>
    <s v="73 BIENES Y SERVICIOS PARA INVERSIÓN"/>
    <s v="730209 Servicios de Aseo, Lavado de Vestimenta"/>
    <s v="G/730209/3FN301"/>
    <s v="001"/>
    <n v="300"/>
    <n v="0"/>
    <n v="0"/>
    <n v="300"/>
    <n v="0"/>
    <n v="0"/>
    <n v="0"/>
    <n v="300"/>
    <n v="300"/>
    <n v="300"/>
  </r>
  <r>
    <s v="73"/>
    <x v="2"/>
    <x v="7"/>
    <s v="ZD07F070"/>
    <x v="43"/>
    <s v="N301"/>
    <s v="GESTION DE RIESGOS"/>
    <s v="GI00N30100005D"/>
    <s v="GI00N30100005D REDUCCIÓN DE RIESGOS DE DESASTRES EN EL"/>
    <s v="73 BIENES Y SERVICIOS PARA INVERSIÓN"/>
    <s v="730209 Servicios de Aseo, Lavado de Vestimenta"/>
    <s v="G/730209/3FN301"/>
    <s v="001"/>
    <n v="1000"/>
    <n v="0"/>
    <n v="0"/>
    <n v="1000"/>
    <n v="0"/>
    <n v="999.04"/>
    <n v="537.6"/>
    <n v="0.96"/>
    <n v="462.4"/>
    <n v="0.96"/>
  </r>
  <r>
    <s v="73"/>
    <x v="2"/>
    <x v="7"/>
    <s v="ZC09F090"/>
    <x v="10"/>
    <s v="N301"/>
    <s v="GESTION DE RIESGOS"/>
    <s v="GI00N30100005D"/>
    <s v="GI00N30100005D REDUCCIÓN DE RIESGOS DE DESASTRES EN EL"/>
    <s v="73 BIENES Y SERVICIOS PARA INVERSIÓN"/>
    <s v="730418 Mantenimiento de Áreas Verdes y Arreglo"/>
    <s v="G/730418/3FN301"/>
    <s v="001"/>
    <n v="4000"/>
    <n v="0"/>
    <n v="0"/>
    <n v="4000"/>
    <n v="0"/>
    <n v="0"/>
    <n v="0"/>
    <n v="4000"/>
    <n v="4000"/>
    <n v="4000"/>
  </r>
  <r>
    <s v="73"/>
    <x v="2"/>
    <x v="7"/>
    <s v="ZQ08F080"/>
    <x v="44"/>
    <s v="N301"/>
    <s v="GESTION DE RIESGOS"/>
    <s v="GI00N30100005D"/>
    <s v="GI00N30100005D REDUCCIÓN DE RIESGOS DE DESASTRES EN EL"/>
    <s v="73 BIENES Y SERVICIOS PARA INVERSIÓN"/>
    <s v="730418 Mantenimiento de Áreas Verdes y Arreglo"/>
    <s v="G/730418/3FN301"/>
    <s v="001"/>
    <n v="18942"/>
    <n v="0"/>
    <n v="-18942"/>
    <n v="0"/>
    <n v="0"/>
    <n v="0"/>
    <n v="0"/>
    <n v="0"/>
    <n v="0"/>
    <n v="0"/>
  </r>
  <r>
    <s v="73"/>
    <x v="2"/>
    <x v="7"/>
    <s v="ZS03F030"/>
    <x v="45"/>
    <s v="N301"/>
    <s v="GESTION DE RIESGOS"/>
    <s v="GI00N30100005D"/>
    <s v="GI00N30100005D REDUCCIÓN DE RIESGOS DE DESASTRES EN EL"/>
    <s v="73 BIENES Y SERVICIOS PARA INVERSIÓN"/>
    <s v="730504 Maquinarias y Equipos (Arrendamiento)"/>
    <s v="G/730504/3FN301"/>
    <s v="001"/>
    <n v="11000"/>
    <n v="0"/>
    <n v="0"/>
    <n v="11000"/>
    <n v="443.74"/>
    <n v="10556.26"/>
    <n v="0"/>
    <n v="443.74"/>
    <n v="11000"/>
    <n v="0"/>
  </r>
  <r>
    <s v="73"/>
    <x v="2"/>
    <x v="7"/>
    <s v="ZD07F070"/>
    <x v="43"/>
    <s v="N301"/>
    <s v="GESTION DE RIESGOS"/>
    <s v="GI00N30100005D"/>
    <s v="GI00N30100005D REDUCCIÓN DE RIESGOS DE DESASTRES EN EL"/>
    <s v="73 BIENES Y SERVICIOS PARA INVERSIÓN"/>
    <s v="730504 Maquinarias y Equipos (Arrendamiento)"/>
    <s v="G/730504/3FN301"/>
    <s v="001"/>
    <n v="5500"/>
    <n v="0"/>
    <n v="0"/>
    <n v="5500"/>
    <n v="0"/>
    <n v="5488"/>
    <n v="5488"/>
    <n v="12"/>
    <n v="12"/>
    <n v="12"/>
  </r>
  <r>
    <s v="73"/>
    <x v="2"/>
    <x v="7"/>
    <s v="ZS03F030"/>
    <x v="45"/>
    <s v="N301"/>
    <s v="GESTION DE RIESGOS"/>
    <s v="GI00N30100005D"/>
    <s v="GI00N30100005D REDUCCIÓN DE RIESGOS DE DESASTRES EN EL"/>
    <s v="73 BIENES Y SERVICIOS PARA INVERSIÓN"/>
    <s v="730606 Honorarios por Contratos Civiles de Servici"/>
    <s v="G/730606/3FN301"/>
    <s v="001"/>
    <n v="16700"/>
    <n v="0"/>
    <n v="-9741.66"/>
    <n v="6958.34"/>
    <n v="0"/>
    <n v="0"/>
    <n v="0"/>
    <n v="6958.34"/>
    <n v="6958.34"/>
    <n v="6958.34"/>
  </r>
  <r>
    <s v="73"/>
    <x v="2"/>
    <x v="7"/>
    <s v="ZN02F020"/>
    <x v="46"/>
    <s v="N301"/>
    <s v="GESTION DE RIESGOS"/>
    <s v="GI00N30100005D"/>
    <s v="GI00N30100005D REDUCCIÓN DE RIESGOS DE DESASTRES EN EL"/>
    <s v="73 BIENES Y SERVICIOS PARA INVERSIÓN"/>
    <s v="730606 Honorarios por Contratos Civiles de Servici"/>
    <s v="G/730606/3FN301"/>
    <s v="001"/>
    <n v="10000"/>
    <n v="0"/>
    <n v="-10000"/>
    <n v="0"/>
    <n v="0"/>
    <n v="0"/>
    <n v="0"/>
    <n v="0"/>
    <n v="0"/>
    <n v="0"/>
  </r>
  <r>
    <s v="73"/>
    <x v="2"/>
    <x v="7"/>
    <s v="ZT06F060"/>
    <x v="40"/>
    <s v="N301"/>
    <s v="GESTION DE RIESGOS"/>
    <s v="GI00N30100005D"/>
    <s v="GI00N30100005D REDUCCIÓN DE RIESGOS DE DESASTRES EN EL"/>
    <s v="73 BIENES Y SERVICIOS PARA INVERSIÓN"/>
    <s v="730606 Honorarios por Contratos Civiles de Servici"/>
    <s v="G/730606/3FN301"/>
    <s v="001"/>
    <n v="29000"/>
    <n v="0"/>
    <n v="-29000"/>
    <n v="0"/>
    <n v="0"/>
    <n v="0"/>
    <n v="0"/>
    <n v="0"/>
    <n v="0"/>
    <n v="0"/>
  </r>
  <r>
    <s v="73"/>
    <x v="2"/>
    <x v="7"/>
    <s v="ZQ08F080"/>
    <x v="44"/>
    <s v="N301"/>
    <s v="GESTION DE RIESGOS"/>
    <s v="GI00N30100005D"/>
    <s v="GI00N30100005D REDUCCIÓN DE RIESGOS DE DESASTRES EN EL"/>
    <s v="73 BIENES Y SERVICIOS PARA INVERSIÓN"/>
    <s v="730606 Honorarios por Contratos Civiles de Servici"/>
    <s v="G/730606/3FN301"/>
    <s v="001"/>
    <n v="30258"/>
    <n v="0"/>
    <n v="-30258"/>
    <n v="0"/>
    <n v="0"/>
    <n v="0"/>
    <n v="0"/>
    <n v="0"/>
    <n v="0"/>
    <n v="0"/>
  </r>
  <r>
    <s v="73"/>
    <x v="2"/>
    <x v="7"/>
    <s v="ZD07F070"/>
    <x v="43"/>
    <s v="N301"/>
    <s v="GESTION DE RIESGOS"/>
    <s v="GI00N30100005D"/>
    <s v="GI00N30100005D REDUCCIÓN DE RIESGOS DE DESASTRES EN EL"/>
    <s v="73 BIENES Y SERVICIOS PARA INVERSIÓN"/>
    <s v="730802 Vestuario, Lencería, Prendas de Protecci"/>
    <s v="G/730802/3FN301"/>
    <s v="001"/>
    <n v="5000"/>
    <n v="0"/>
    <n v="-5000"/>
    <n v="0"/>
    <n v="0"/>
    <n v="0"/>
    <n v="0"/>
    <n v="0"/>
    <n v="0"/>
    <n v="0"/>
  </r>
  <r>
    <s v="73"/>
    <x v="2"/>
    <x v="7"/>
    <s v="ZC09F090"/>
    <x v="10"/>
    <s v="N301"/>
    <s v="GESTION DE RIESGOS"/>
    <s v="GI00N30100005D"/>
    <s v="GI00N30100005D REDUCCIÓN DE RIESGOS DE DESASTRES EN EL"/>
    <s v="73 BIENES Y SERVICIOS PARA INVERSIÓN"/>
    <s v="730802 Vestuario, Lencería, Prendas de Protecci"/>
    <s v="G/730802/3FN301"/>
    <s v="001"/>
    <n v="900"/>
    <n v="0"/>
    <n v="-900"/>
    <n v="0"/>
    <n v="0"/>
    <n v="0"/>
    <n v="0"/>
    <n v="0"/>
    <n v="0"/>
    <n v="0"/>
  </r>
  <r>
    <s v="73"/>
    <x v="2"/>
    <x v="7"/>
    <s v="ZD07F070"/>
    <x v="43"/>
    <s v="N301"/>
    <s v="GESTION DE RIESGOS"/>
    <s v="GI00N30100005D"/>
    <s v="GI00N30100005D REDUCCIÓN DE RIESGOS DE DESASTRES EN EL"/>
    <s v="73 BIENES Y SERVICIOS PARA INVERSIÓN"/>
    <s v="730805 Materiales de Aseo"/>
    <s v="G/730805/3FN301"/>
    <s v="001"/>
    <n v="1000"/>
    <n v="0"/>
    <n v="-500"/>
    <n v="500"/>
    <n v="0"/>
    <n v="0"/>
    <n v="0"/>
    <n v="500"/>
    <n v="500"/>
    <n v="500"/>
  </r>
  <r>
    <s v="73"/>
    <x v="2"/>
    <x v="7"/>
    <s v="ZN02F020"/>
    <x v="46"/>
    <s v="N301"/>
    <s v="GESTION DE RIESGOS"/>
    <s v="GI00N30100005D"/>
    <s v="GI00N30100005D REDUCCIÓN DE RIESGOS DE DESASTRES EN EL"/>
    <s v="73 BIENES Y SERVICIOS PARA INVERSIÓN"/>
    <s v="730811 Insumos, Materiales y Suministros para Cons"/>
    <s v="G/730811/3FN301"/>
    <s v="001"/>
    <n v="1200"/>
    <n v="-1200"/>
    <n v="0"/>
    <n v="0"/>
    <n v="0"/>
    <n v="0"/>
    <n v="0"/>
    <n v="0"/>
    <n v="0"/>
    <n v="0"/>
  </r>
  <r>
    <s v="73"/>
    <x v="2"/>
    <x v="7"/>
    <s v="ZC09F090"/>
    <x v="10"/>
    <s v="N301"/>
    <s v="GESTION DE RIESGOS"/>
    <s v="GI00N30100005D"/>
    <s v="GI00N30100005D REDUCCIÓN DE RIESGOS DE DESASTRES EN EL"/>
    <s v="73 BIENES Y SERVICIOS PARA INVERSIÓN"/>
    <s v="730811 Insumos, Materiales y Suministros para Cons"/>
    <s v="G/730811/3FN301"/>
    <s v="001"/>
    <n v="2500"/>
    <n v="0"/>
    <n v="-2500"/>
    <n v="0"/>
    <n v="0"/>
    <n v="0"/>
    <n v="0"/>
    <n v="0"/>
    <n v="0"/>
    <n v="0"/>
  </r>
  <r>
    <s v="73"/>
    <x v="2"/>
    <x v="7"/>
    <s v="ZM04F040"/>
    <x v="41"/>
    <s v="N301"/>
    <s v="GESTION DE RIESGOS"/>
    <s v="GI00N30100005D"/>
    <s v="GI00N30100005D REDUCCIÓN DE RIESGOS DE DESASTRES EN EL"/>
    <s v="73 BIENES Y SERVICIOS PARA INVERSIÓN"/>
    <s v="730811 Insumos, Materiales y Suministros para Cons"/>
    <s v="G/730811/3FN301"/>
    <s v="001"/>
    <n v="23000"/>
    <n v="0"/>
    <n v="-18050"/>
    <n v="4950"/>
    <n v="0"/>
    <n v="0"/>
    <n v="0"/>
    <n v="4950"/>
    <n v="4950"/>
    <n v="4950"/>
  </r>
  <r>
    <s v="73"/>
    <x v="2"/>
    <x v="7"/>
    <s v="ZT06F060"/>
    <x v="40"/>
    <s v="N301"/>
    <s v="GESTION DE RIESGOS"/>
    <s v="GI00N30100005D"/>
    <s v="GI00N30100005D REDUCCIÓN DE RIESGOS DE DESASTRES EN EL"/>
    <s v="73 BIENES Y SERVICIOS PARA INVERSIÓN"/>
    <s v="730811 Insumos, Materiales y Suministros para Cons"/>
    <s v="G/730811/3FN301"/>
    <s v="001"/>
    <n v="4700"/>
    <n v="0"/>
    <n v="-4700"/>
    <n v="0"/>
    <n v="0"/>
    <n v="0"/>
    <n v="0"/>
    <n v="0"/>
    <n v="0"/>
    <n v="0"/>
  </r>
  <r>
    <s v="73"/>
    <x v="2"/>
    <x v="7"/>
    <s v="ZV05F050"/>
    <x v="39"/>
    <s v="N301"/>
    <s v="GESTION DE RIESGOS"/>
    <s v="GI00N30100005D"/>
    <s v="GI00N30100005D REDUCCIÓN DE RIESGOS DE DESASTRES EN EL"/>
    <s v="73 BIENES Y SERVICIOS PARA INVERSIÓN"/>
    <s v="730811 Insumos, Materiales y Suministros para Cons"/>
    <s v="G/730811/3FN301"/>
    <s v="001"/>
    <n v="9500"/>
    <n v="0"/>
    <n v="0"/>
    <n v="9500"/>
    <n v="0"/>
    <n v="0"/>
    <n v="0"/>
    <n v="9500"/>
    <n v="9500"/>
    <n v="9500"/>
  </r>
  <r>
    <s v="73"/>
    <x v="2"/>
    <x v="7"/>
    <s v="ZS03F030"/>
    <x v="45"/>
    <s v="N301"/>
    <s v="GESTION DE RIESGOS"/>
    <s v="GI00N30100005D"/>
    <s v="GI00N30100005D REDUCCIÓN DE RIESGOS DE DESASTRES EN EL"/>
    <s v="73 BIENES Y SERVICIOS PARA INVERSIÓN"/>
    <s v="730811 Insumos, Materiales y Suministros para Cons"/>
    <s v="G/730811/3FN301"/>
    <s v="001"/>
    <n v="2000"/>
    <n v="0"/>
    <n v="0"/>
    <n v="2000"/>
    <n v="605.98"/>
    <n v="1394.02"/>
    <n v="0"/>
    <n v="605.98"/>
    <n v="2000"/>
    <n v="0"/>
  </r>
  <r>
    <s v="73"/>
    <x v="2"/>
    <x v="7"/>
    <s v="ZS03F030"/>
    <x v="45"/>
    <s v="N301"/>
    <s v="GESTION DE RIESGOS"/>
    <s v="GI00N30100005D"/>
    <s v="GI00N30100005D REDUCCIÓN DE RIESGOS DE DESASTRES EN EL"/>
    <s v="73 BIENES Y SERVICIOS PARA INVERSIÓN"/>
    <s v="730820 Menaje y Accesorios Descartables"/>
    <s v="G/730820/3FN301"/>
    <s v="001"/>
    <n v="6000"/>
    <n v="0"/>
    <n v="-6000"/>
    <n v="0"/>
    <n v="0"/>
    <n v="0"/>
    <n v="0"/>
    <n v="0"/>
    <n v="0"/>
    <n v="0"/>
  </r>
  <r>
    <s v="73"/>
    <x v="2"/>
    <x v="7"/>
    <s v="ZC09F090"/>
    <x v="10"/>
    <s v="N301"/>
    <s v="GESTION DE RIESGOS"/>
    <s v="GI00N30100005D"/>
    <s v="GI00N30100005D REDUCCIÓN DE RIESGOS DE DESASTRES EN EL"/>
    <s v="73 BIENES Y SERVICIOS PARA INVERSIÓN"/>
    <s v="730820 Menaje y Accesorios Descartables"/>
    <s v="G/730820/3FN301"/>
    <s v="001"/>
    <n v="4500"/>
    <n v="0"/>
    <n v="-2500"/>
    <n v="2000"/>
    <n v="0"/>
    <n v="0"/>
    <n v="0"/>
    <n v="2000"/>
    <n v="2000"/>
    <n v="2000"/>
  </r>
  <r>
    <s v="73"/>
    <x v="2"/>
    <x v="7"/>
    <s v="ZQ08F080"/>
    <x v="44"/>
    <s v="N301"/>
    <s v="GESTION DE RIESGOS"/>
    <s v="GI00N30100005D"/>
    <s v="GI00N30100005D REDUCCIÓN DE RIESGOS DE DESASTRES EN EL"/>
    <s v="73 BIENES Y SERVICIOS PARA INVERSIÓN"/>
    <s v="730820 Menaje y Accesorios Descartables"/>
    <s v="G/730820/3FN301"/>
    <s v="001"/>
    <n v="3000"/>
    <n v="0"/>
    <n v="-3000"/>
    <n v="0"/>
    <n v="0"/>
    <n v="0"/>
    <n v="0"/>
    <n v="0"/>
    <n v="0"/>
    <n v="0"/>
  </r>
  <r>
    <s v="73"/>
    <x v="2"/>
    <x v="7"/>
    <s v="ZM04F040"/>
    <x v="41"/>
    <s v="N301"/>
    <s v="GESTION DE RIESGOS"/>
    <s v="GI00N30100005D"/>
    <s v="GI00N30100005D REDUCCIÓN DE RIESGOS DE DESASTRES EN EL"/>
    <s v="73 BIENES Y SERVICIOS PARA INVERSIÓN"/>
    <s v="730820 Menaje y Accesorios Descartables"/>
    <s v="G/730820/3FN301"/>
    <s v="001"/>
    <n v="2000"/>
    <n v="0"/>
    <n v="-2000"/>
    <n v="0"/>
    <n v="0"/>
    <n v="0"/>
    <n v="0"/>
    <n v="0"/>
    <n v="0"/>
    <n v="0"/>
  </r>
  <r>
    <s v="73"/>
    <x v="2"/>
    <x v="7"/>
    <s v="ZT06F060"/>
    <x v="40"/>
    <s v="N301"/>
    <s v="GESTION DE RIESGOS"/>
    <s v="GI00N30100005D"/>
    <s v="GI00N30100005D REDUCCIÓN DE RIESGOS DE DESASTRES EN EL"/>
    <s v="73 BIENES Y SERVICIOS PARA INVERSIÓN"/>
    <s v="730820 Menaje y Accesorios Descartables"/>
    <s v="G/730820/3FN301"/>
    <s v="001"/>
    <n v="1000"/>
    <n v="0"/>
    <n v="-1000"/>
    <n v="0"/>
    <n v="0"/>
    <n v="0"/>
    <n v="0"/>
    <n v="0"/>
    <n v="0"/>
    <n v="0"/>
  </r>
  <r>
    <s v="73"/>
    <x v="2"/>
    <x v="7"/>
    <s v="ZM04F040"/>
    <x v="41"/>
    <s v="N301"/>
    <s v="GESTION DE RIESGOS"/>
    <s v="GI00N30100005D"/>
    <s v="GI00N30100005D REDUCCIÓN DE RIESGOS DE DESASTRES EN EL"/>
    <s v="73 BIENES Y SERVICIOS PARA INVERSIÓN"/>
    <s v="731403 Mobiliarios"/>
    <s v="G/731403/3FN301"/>
    <s v="001"/>
    <n v="1500"/>
    <n v="0"/>
    <n v="-1500"/>
    <n v="0"/>
    <n v="0"/>
    <n v="0"/>
    <n v="0"/>
    <n v="0"/>
    <n v="0"/>
    <n v="0"/>
  </r>
  <r>
    <s v="73"/>
    <x v="2"/>
    <x v="7"/>
    <s v="ZC09F090"/>
    <x v="10"/>
    <s v="N301"/>
    <s v="GESTION DE RIESGOS"/>
    <s v="GI00N30100005D"/>
    <s v="GI00N30100005D REDUCCIÓN DE RIESGOS DE DESASTRES EN EL"/>
    <s v="73 BIENES Y SERVICIOS PARA INVERSIÓN"/>
    <s v="731403 Mobiliarios"/>
    <s v="G/731403/3FN301"/>
    <s v="001"/>
    <n v="3200"/>
    <n v="0"/>
    <n v="-3200"/>
    <n v="0"/>
    <n v="0"/>
    <n v="0"/>
    <n v="0"/>
    <n v="0"/>
    <n v="0"/>
    <n v="0"/>
  </r>
  <r>
    <s v="73"/>
    <x v="2"/>
    <x v="7"/>
    <s v="ZD07F070"/>
    <x v="43"/>
    <s v="N301"/>
    <s v="GESTION DE RIESGOS"/>
    <s v="GI00N30100006D"/>
    <s v="GI00N30100006D ATENCIÓN Y RESPUESTA DE EMERGENCIAS"/>
    <s v="73 BIENES Y SERVICIOS PARA INVERSIÓN"/>
    <s v="730203 Almacenamiento, Embalaje, Desembalaje, E"/>
    <s v="G/730203/3FN301"/>
    <s v="001"/>
    <n v="888.56"/>
    <n v="0"/>
    <n v="-688.56"/>
    <n v="200"/>
    <n v="0"/>
    <n v="199.36"/>
    <n v="0"/>
    <n v="0.64"/>
    <n v="200"/>
    <n v="0.64"/>
  </r>
  <r>
    <s v="73"/>
    <x v="2"/>
    <x v="7"/>
    <s v="TM68F100"/>
    <x v="36"/>
    <s v="N301"/>
    <s v="GESTION DE RIESGOS"/>
    <s v="GI00N30100006D"/>
    <s v="GI00N30100006D ATENCIÓN Y RESPUESTA DE EMERGENCIAS"/>
    <s v="73 BIENES Y SERVICIOS PARA INVERSIÓN"/>
    <s v="730204 Edición, Impresión, Reproducción, Public"/>
    <s v="G/730204/3FN301"/>
    <s v="001"/>
    <n v="2400"/>
    <n v="0"/>
    <n v="0"/>
    <n v="2400"/>
    <n v="0"/>
    <n v="2399.6"/>
    <n v="2399.6"/>
    <n v="0.4"/>
    <n v="0.4"/>
    <n v="0.4"/>
  </r>
  <r>
    <s v="73"/>
    <x v="2"/>
    <x v="7"/>
    <s v="ZN02F020"/>
    <x v="46"/>
    <s v="N301"/>
    <s v="GESTION DE RIESGOS"/>
    <s v="GI00N30100006D"/>
    <s v="GI00N30100006D ATENCIÓN Y RESPUESTA DE EMERGENCIAS"/>
    <s v="73 BIENES Y SERVICIOS PARA INVERSIÓN"/>
    <s v="730204 Edición, Impresión, Reproducción, Public"/>
    <s v="G/730204/3FN301"/>
    <s v="001"/>
    <n v="700"/>
    <n v="0"/>
    <n v="-700"/>
    <n v="0"/>
    <n v="0"/>
    <n v="0"/>
    <n v="0"/>
    <n v="0"/>
    <n v="0"/>
    <n v="0"/>
  </r>
  <r>
    <s v="73"/>
    <x v="2"/>
    <x v="7"/>
    <s v="ZS03F030"/>
    <x v="45"/>
    <s v="N301"/>
    <s v="GESTION DE RIESGOS"/>
    <s v="GI00N30100006D"/>
    <s v="GI00N30100006D ATENCIÓN Y RESPUESTA DE EMERGENCIAS"/>
    <s v="73 BIENES Y SERVICIOS PARA INVERSIÓN"/>
    <s v="730205 Espectáculos Culturales y Sociales"/>
    <s v="G/730205/3FN301"/>
    <s v="001"/>
    <n v="1000"/>
    <n v="0"/>
    <n v="-1000"/>
    <n v="0"/>
    <n v="0"/>
    <n v="0"/>
    <n v="0"/>
    <n v="0"/>
    <n v="0"/>
    <n v="0"/>
  </r>
  <r>
    <s v="73"/>
    <x v="2"/>
    <x v="7"/>
    <s v="ZM04F040"/>
    <x v="41"/>
    <s v="N301"/>
    <s v="GESTION DE RIESGOS"/>
    <s v="GI00N30100006D"/>
    <s v="GI00N30100006D ATENCIÓN Y RESPUESTA DE EMERGENCIAS"/>
    <s v="73 BIENES Y SERVICIOS PARA INVERSIÓN"/>
    <s v="730505 Vehículos (Arrendamiento)"/>
    <s v="G/730505/3FN301"/>
    <s v="001"/>
    <n v="7000"/>
    <n v="0"/>
    <n v="-7000"/>
    <n v="0"/>
    <n v="0"/>
    <n v="0"/>
    <n v="0"/>
    <n v="0"/>
    <n v="0"/>
    <n v="0"/>
  </r>
  <r>
    <s v="73"/>
    <x v="2"/>
    <x v="7"/>
    <s v="ZQ08F080"/>
    <x v="44"/>
    <s v="N301"/>
    <s v="GESTION DE RIESGOS"/>
    <s v="GI00N30100006D"/>
    <s v="GI00N30100006D ATENCIÓN Y RESPUESTA DE EMERGENCIAS"/>
    <s v="73 BIENES Y SERVICIOS PARA INVERSIÓN"/>
    <s v="730802 Vestuario, Lencería, Prendas de Protecci"/>
    <s v="G/730802/3FN301"/>
    <s v="001"/>
    <n v="6000"/>
    <n v="0"/>
    <n v="-1494.91"/>
    <n v="4505.09"/>
    <n v="0"/>
    <n v="4505.09"/>
    <n v="4505.09"/>
    <n v="0"/>
    <n v="0"/>
    <n v="0"/>
  </r>
  <r>
    <s v="73"/>
    <x v="2"/>
    <x v="7"/>
    <s v="ZC09F090"/>
    <x v="10"/>
    <s v="N301"/>
    <s v="GESTION DE RIESGOS"/>
    <s v="GI00N30100006D"/>
    <s v="GI00N30100006D ATENCIÓN Y RESPUESTA DE EMERGENCIAS"/>
    <s v="73 BIENES Y SERVICIOS PARA INVERSIÓN"/>
    <s v="730802 Vestuario, Lencería, Prendas de Protecci"/>
    <s v="G/730802/3FN301"/>
    <s v="001"/>
    <n v="200"/>
    <n v="0"/>
    <n v="0"/>
    <n v="200"/>
    <n v="0"/>
    <n v="0"/>
    <n v="0"/>
    <n v="200"/>
    <n v="200"/>
    <n v="200"/>
  </r>
  <r>
    <s v="73"/>
    <x v="2"/>
    <x v="7"/>
    <s v="TM68F100"/>
    <x v="36"/>
    <s v="N301"/>
    <s v="GESTION DE RIESGOS"/>
    <s v="GI00N30100006D"/>
    <s v="GI00N30100006D ATENCIÓN Y RESPUESTA DE EMERGENCIAS"/>
    <s v="73 BIENES Y SERVICIOS PARA INVERSIÓN"/>
    <s v="730802 Vestuario, Lencería, Prendas de Protecci"/>
    <s v="G/730802/3FN301"/>
    <s v="001"/>
    <n v="2000"/>
    <n v="0"/>
    <n v="0"/>
    <n v="2000"/>
    <n v="0"/>
    <n v="1981.28"/>
    <n v="1981.28"/>
    <n v="18.72"/>
    <n v="18.72"/>
    <n v="18.72"/>
  </r>
  <r>
    <s v="73"/>
    <x v="2"/>
    <x v="7"/>
    <s v="ZT06F060"/>
    <x v="40"/>
    <s v="N301"/>
    <s v="GESTION DE RIESGOS"/>
    <s v="GI00N30100006D"/>
    <s v="GI00N30100006D ATENCIÓN Y RESPUESTA DE EMERGENCIAS"/>
    <s v="73 BIENES Y SERVICIOS PARA INVERSIÓN"/>
    <s v="730802 Vestuario, Lencería, Prendas de Protecci"/>
    <s v="G/730802/3FN301"/>
    <s v="001"/>
    <n v="2500"/>
    <n v="0"/>
    <n v="0"/>
    <n v="2500"/>
    <n v="288.12"/>
    <n v="2211.88"/>
    <n v="0"/>
    <n v="288.12"/>
    <n v="2500"/>
    <n v="0"/>
  </r>
  <r>
    <s v="73"/>
    <x v="2"/>
    <x v="7"/>
    <s v="ZM04F040"/>
    <x v="41"/>
    <s v="N301"/>
    <s v="GESTION DE RIESGOS"/>
    <s v="GI00N30100006D"/>
    <s v="GI00N30100006D ATENCIÓN Y RESPUESTA DE EMERGENCIAS"/>
    <s v="73 BIENES Y SERVICIOS PARA INVERSIÓN"/>
    <s v="730802 Vestuario, Lencería, Prendas de Protecci"/>
    <s v="G/730802/3FN301"/>
    <s v="001"/>
    <n v="5000"/>
    <n v="0"/>
    <n v="-5000"/>
    <n v="0"/>
    <n v="0"/>
    <n v="0"/>
    <n v="0"/>
    <n v="0"/>
    <n v="0"/>
    <n v="0"/>
  </r>
  <r>
    <s v="73"/>
    <x v="2"/>
    <x v="7"/>
    <s v="ZN02F020"/>
    <x v="46"/>
    <s v="N301"/>
    <s v="GESTION DE RIESGOS"/>
    <s v="GI00N30100006D"/>
    <s v="GI00N30100006D ATENCIÓN Y RESPUESTA DE EMERGENCIAS"/>
    <s v="73 BIENES Y SERVICIOS PARA INVERSIÓN"/>
    <s v="730802 Vestuario, Lencería, Prendas de Protecci"/>
    <s v="G/730802/3FN301"/>
    <s v="001"/>
    <n v="3500"/>
    <n v="1500"/>
    <n v="-3813.53"/>
    <n v="1186.47"/>
    <n v="0"/>
    <n v="1186.47"/>
    <n v="1186.47"/>
    <n v="0"/>
    <n v="0"/>
    <n v="0"/>
  </r>
  <r>
    <s v="73"/>
    <x v="2"/>
    <x v="9"/>
    <s v="PM71N010"/>
    <x v="20"/>
    <s v="N301"/>
    <s v="GESTION DE RIESGOS"/>
    <s v="GI00N30100006D"/>
    <s v="GI00N30100006D ATENCIÓN Y RESPUESTA DE EMERGENCIAS"/>
    <s v="73 BIENES Y SERVICIOS PARA INVERSIÓN"/>
    <s v="730802 Vestuario, Lencería, Prendas de Protecci"/>
    <s v="G/730802/3NN301"/>
    <s v="001"/>
    <n v="150000"/>
    <n v="0"/>
    <n v="-150000"/>
    <n v="0"/>
    <n v="0"/>
    <n v="0"/>
    <n v="0"/>
    <n v="0"/>
    <n v="0"/>
    <n v="0"/>
  </r>
  <r>
    <s v="73"/>
    <x v="2"/>
    <x v="7"/>
    <s v="ZS03F030"/>
    <x v="45"/>
    <s v="N301"/>
    <s v="GESTION DE RIESGOS"/>
    <s v="GI00N30100006D"/>
    <s v="GI00N30100006D ATENCIÓN Y RESPUESTA DE EMERGENCIAS"/>
    <s v="73 BIENES Y SERVICIOS PARA INVERSIÓN"/>
    <s v="730802 Vestuario, Lencería, Prendas de Protecci"/>
    <s v="G/730802/3FN301"/>
    <s v="001"/>
    <n v="4000"/>
    <n v="0"/>
    <n v="0"/>
    <n v="4000"/>
    <n v="3"/>
    <n v="3997"/>
    <n v="3997"/>
    <n v="3"/>
    <n v="3"/>
    <n v="0"/>
  </r>
  <r>
    <s v="73"/>
    <x v="2"/>
    <x v="7"/>
    <s v="ZV05F050"/>
    <x v="39"/>
    <s v="N301"/>
    <s v="GESTION DE RIESGOS"/>
    <s v="GI00N30100006D"/>
    <s v="GI00N30100006D ATENCIÓN Y RESPUESTA DE EMERGENCIAS"/>
    <s v="73 BIENES Y SERVICIOS PARA INVERSIÓN"/>
    <s v="730802 Vestuario, Lencería, Prendas de Protecci"/>
    <s v="G/730802/3FN301"/>
    <s v="001"/>
    <n v="4000"/>
    <n v="-2498.08"/>
    <n v="0"/>
    <n v="1501.92"/>
    <n v="0"/>
    <n v="1501.92"/>
    <n v="1501.92"/>
    <n v="0"/>
    <n v="0"/>
    <n v="0"/>
  </r>
  <r>
    <s v="73"/>
    <x v="2"/>
    <x v="7"/>
    <s v="ZC09F090"/>
    <x v="10"/>
    <s v="N301"/>
    <s v="GESTION DE RIESGOS"/>
    <s v="GI00N30100006D"/>
    <s v="GI00N30100006D ATENCIÓN Y RESPUESTA DE EMERGENCIAS"/>
    <s v="73 BIENES Y SERVICIOS PARA INVERSIÓN"/>
    <s v="730805 Materiales de Aseo"/>
    <s v="G/730805/3FN301"/>
    <s v="001"/>
    <n v="500"/>
    <n v="0"/>
    <n v="0"/>
    <n v="500"/>
    <n v="0"/>
    <n v="0"/>
    <n v="0"/>
    <n v="500"/>
    <n v="500"/>
    <n v="500"/>
  </r>
  <r>
    <s v="73"/>
    <x v="2"/>
    <x v="7"/>
    <s v="ZC09F090"/>
    <x v="10"/>
    <s v="N301"/>
    <s v="GESTION DE RIESGOS"/>
    <s v="GI00N30100006D"/>
    <s v="GI00N30100006D ATENCIÓN Y RESPUESTA DE EMERGENCIAS"/>
    <s v="73 BIENES Y SERVICIOS PARA INVERSIÓN"/>
    <s v="730811 Insumos, Materiales y Suministros para Cons"/>
    <s v="G/730811/3FN301"/>
    <s v="001"/>
    <n v="4300"/>
    <n v="0"/>
    <n v="-4300"/>
    <n v="0"/>
    <n v="0"/>
    <n v="0"/>
    <n v="0"/>
    <n v="0"/>
    <n v="0"/>
    <n v="0"/>
  </r>
  <r>
    <s v="73"/>
    <x v="2"/>
    <x v="7"/>
    <s v="ZV05F050"/>
    <x v="39"/>
    <s v="N301"/>
    <s v="GESTION DE RIESGOS"/>
    <s v="GI00N30100006D"/>
    <s v="GI00N30100006D ATENCIÓN Y RESPUESTA DE EMERGENCIAS"/>
    <s v="73 BIENES Y SERVICIOS PARA INVERSIÓN"/>
    <s v="730811 Insumos, Materiales y Suministros para Cons"/>
    <s v="G/730811/3FN301"/>
    <s v="001"/>
    <n v="7000"/>
    <n v="0"/>
    <n v="0"/>
    <n v="7000"/>
    <n v="0"/>
    <n v="0"/>
    <n v="0"/>
    <n v="7000"/>
    <n v="7000"/>
    <n v="7000"/>
  </r>
  <r>
    <s v="73"/>
    <x v="2"/>
    <x v="7"/>
    <s v="ZD07F070"/>
    <x v="43"/>
    <s v="N301"/>
    <s v="GESTION DE RIESGOS"/>
    <s v="GI00N30100006D"/>
    <s v="GI00N30100006D ATENCIÓN Y RESPUESTA DE EMERGENCIAS"/>
    <s v="73 BIENES Y SERVICIOS PARA INVERSIÓN"/>
    <s v="730811 Insumos, Materiales y Suministros para Cons"/>
    <s v="G/730811/3FN301"/>
    <s v="001"/>
    <n v="3000"/>
    <n v="0"/>
    <n v="0"/>
    <n v="3000"/>
    <n v="0"/>
    <n v="2954"/>
    <n v="2954"/>
    <n v="46"/>
    <n v="46"/>
    <n v="46"/>
  </r>
  <r>
    <s v="73"/>
    <x v="2"/>
    <x v="7"/>
    <s v="ZN02F020"/>
    <x v="46"/>
    <s v="N301"/>
    <s v="GESTION DE RIESGOS"/>
    <s v="GI00N30100006D"/>
    <s v="GI00N30100006D ATENCIÓN Y RESPUESTA DE EMERGENCIAS"/>
    <s v="73 BIENES Y SERVICIOS PARA INVERSIÓN"/>
    <s v="730820 Menaje y Accesorios Descartables"/>
    <s v="G/730820/3FN301"/>
    <s v="001"/>
    <n v="5000"/>
    <n v="2000"/>
    <n v="-7000"/>
    <n v="0"/>
    <n v="0"/>
    <n v="0"/>
    <n v="0"/>
    <n v="0"/>
    <n v="0"/>
    <n v="0"/>
  </r>
  <r>
    <s v="73"/>
    <x v="2"/>
    <x v="7"/>
    <s v="ZT06F060"/>
    <x v="40"/>
    <s v="N301"/>
    <s v="GESTION DE RIESGOS"/>
    <s v="GI00N30100006D"/>
    <s v="GI00N30100006D ATENCIÓN Y RESPUESTA DE EMERGENCIAS"/>
    <s v="73 BIENES Y SERVICIOS PARA INVERSIÓN"/>
    <s v="731406 Herramientas y equipos menores"/>
    <s v="G/731406/3FN301"/>
    <s v="001"/>
    <n v="2000"/>
    <n v="0"/>
    <n v="-2000"/>
    <n v="0"/>
    <n v="0"/>
    <n v="0"/>
    <n v="0"/>
    <n v="0"/>
    <n v="0"/>
    <n v="0"/>
  </r>
  <r>
    <s v="73"/>
    <x v="2"/>
    <x v="7"/>
    <s v="ZS03F030"/>
    <x v="45"/>
    <s v="N301"/>
    <s v="GESTION DE RIESGOS"/>
    <s v="GI00N30100006D"/>
    <s v="GI00N30100006D ATENCIÓN Y RESPUESTA DE EMERGENCIAS"/>
    <s v="73 BIENES Y SERVICIOS PARA INVERSIÓN"/>
    <s v="731406 Herramientas y equipos menores"/>
    <s v="G/731406/3FN301"/>
    <s v="001"/>
    <n v="1500"/>
    <n v="0"/>
    <n v="-1500"/>
    <n v="0"/>
    <n v="0"/>
    <n v="0"/>
    <n v="0"/>
    <n v="0"/>
    <n v="0"/>
    <n v="0"/>
  </r>
  <r>
    <s v="73"/>
    <x v="2"/>
    <x v="8"/>
    <s v="FS66P020"/>
    <x v="13"/>
    <s v="P303"/>
    <s v="PROTEGER EL PATRIMONIO HISTORICO Y CULTURAL DEL DM"/>
    <s v="GI00P30300005D"/>
    <s v="GI00P30300005D SISTEMA DE INFORMACION DEL PATRIMONIO CU"/>
    <s v="73 BIENES Y SERVICIOS PARA INVERSIÓN"/>
    <s v="730204 Edición, Impresión, Reproducción, Public"/>
    <s v="G/730204/3PP303"/>
    <s v="001"/>
    <n v="0"/>
    <n v="5249.07"/>
    <n v="0"/>
    <n v="5249.07"/>
    <n v="0"/>
    <n v="0"/>
    <n v="0"/>
    <n v="5249.07"/>
    <n v="5249.07"/>
    <n v="5249.07"/>
  </r>
  <r>
    <s v="73"/>
    <x v="2"/>
    <x v="8"/>
    <s v="FS66P020"/>
    <x v="13"/>
    <s v="P303"/>
    <s v="PROTEGER EL PATRIMONIO HISTORICO Y CULTURAL DEL DM"/>
    <s v="GI00P30300005D"/>
    <s v="GI00P30300005D SISTEMA DE INFORMACION DEL PATRIMONIO CU"/>
    <s v="73 BIENES Y SERVICIOS PARA INVERSIÓN"/>
    <s v="730205 Espectáculos Culturales y Sociales"/>
    <s v="G/730205/3PP303"/>
    <s v="001"/>
    <n v="170000"/>
    <n v="0"/>
    <n v="0"/>
    <n v="170000"/>
    <n v="0"/>
    <n v="152507.56"/>
    <n v="151638.51"/>
    <n v="17492.439999999999"/>
    <n v="18361.490000000002"/>
    <n v="17492.439999999999"/>
  </r>
  <r>
    <s v="73"/>
    <x v="2"/>
    <x v="8"/>
    <s v="FS66P020"/>
    <x v="13"/>
    <s v="P303"/>
    <s v="PROTEGER EL PATRIMONIO HISTORICO Y CULTURAL DEL DM"/>
    <s v="GI00P30300005D"/>
    <s v="GI00P30300005D SISTEMA DE INFORMACION DEL PATRIMONIO CU"/>
    <s v="73 BIENES Y SERVICIOS PARA INVERSIÓN"/>
    <s v="730207 Difusión, Información y Publicidad"/>
    <s v="G/730207/3PP303"/>
    <s v="001"/>
    <n v="40000"/>
    <n v="0"/>
    <n v="0"/>
    <n v="40000"/>
    <n v="0"/>
    <n v="39432.959999999999"/>
    <n v="39432.959999999999"/>
    <n v="567.04"/>
    <n v="567.04"/>
    <n v="567.04"/>
  </r>
  <r>
    <s v="73"/>
    <x v="2"/>
    <x v="8"/>
    <s v="FS66P020"/>
    <x v="13"/>
    <s v="P303"/>
    <s v="PROTEGER EL PATRIMONIO HISTORICO Y CULTURAL DEL DM"/>
    <s v="GI00P30300005D"/>
    <s v="GI00P30300005D SISTEMA DE INFORMACION DEL PATRIMONIO CU"/>
    <s v="73 BIENES Y SERVICIOS PARA INVERSIÓN"/>
    <s v="730425 Instalación, Readecuación, Montaje de Expos"/>
    <s v="G/730425/3PP303"/>
    <s v="001"/>
    <n v="0"/>
    <n v="104255.09"/>
    <n v="0"/>
    <n v="104255.09"/>
    <n v="13255.09"/>
    <n v="0"/>
    <n v="0"/>
    <n v="104255.09"/>
    <n v="104255.09"/>
    <n v="91000"/>
  </r>
  <r>
    <s v="73"/>
    <x v="2"/>
    <x v="8"/>
    <s v="FS66P020"/>
    <x v="13"/>
    <s v="P303"/>
    <s v="PROTEGER EL PATRIMONIO HISTORICO Y CULTURAL DEL DM"/>
    <s v="GI00P30300005D"/>
    <s v="GI00P30300005D SISTEMA DE INFORMACION DEL PATRIMONIO CU"/>
    <s v="73 BIENES Y SERVICIOS PARA INVERSIÓN"/>
    <s v="730601 Consultoría, Asesoría e Investigación Es"/>
    <s v="G/730601/3PP303"/>
    <s v="001"/>
    <n v="430000"/>
    <n v="-127101.02"/>
    <n v="-35000"/>
    <n v="267898.98"/>
    <n v="0"/>
    <n v="145058.91"/>
    <n v="98774.66"/>
    <n v="122840.07"/>
    <n v="169124.32"/>
    <n v="122840.07"/>
  </r>
  <r>
    <s v="73"/>
    <x v="2"/>
    <x v="8"/>
    <s v="FS66P020"/>
    <x v="13"/>
    <s v="P303"/>
    <s v="PROTEGER EL PATRIMONIO HISTORICO Y CULTURAL DEL DM"/>
    <s v="GI00P30300005D"/>
    <s v="GI00P30300005D SISTEMA DE INFORMACION DEL PATRIMONIO CU"/>
    <s v="73 BIENES Y SERVICIOS PARA INVERSIÓN"/>
    <s v="730606 Honorarios por Contratos Civiles de Servici"/>
    <s v="G/730606/3PP303"/>
    <s v="001"/>
    <n v="250406.08"/>
    <n v="-19696.84"/>
    <n v="0"/>
    <n v="230709.24"/>
    <n v="2789.92"/>
    <n v="220327.44"/>
    <n v="188786.01"/>
    <n v="10381.799999999999"/>
    <n v="41923.230000000003"/>
    <n v="7591.88"/>
  </r>
  <r>
    <s v="73"/>
    <x v="2"/>
    <x v="8"/>
    <s v="FS66P020"/>
    <x v="13"/>
    <s v="P303"/>
    <s v="PROTEGER EL PATRIMONIO HISTORICO Y CULTURAL DEL DM"/>
    <s v="GI00P30300005D"/>
    <s v="GI00P30300005D SISTEMA DE INFORMACION DEL PATRIMONIO CU"/>
    <s v="73 BIENES Y SERVICIOS PARA INVERSIÓN"/>
    <s v="730613 Capacitación para la Ciudadanía en Gener"/>
    <s v="G/730613/3PP303"/>
    <s v="001"/>
    <n v="40000"/>
    <n v="-40000"/>
    <n v="0"/>
    <n v="0"/>
    <n v="0"/>
    <n v="0"/>
    <n v="0"/>
    <n v="0"/>
    <n v="0"/>
    <n v="0"/>
  </r>
  <r>
    <s v="73"/>
    <x v="2"/>
    <x v="8"/>
    <s v="FS66P020"/>
    <x v="13"/>
    <s v="P303"/>
    <s v="PROTEGER EL PATRIMONIO HISTORICO Y CULTURAL DEL DM"/>
    <s v="GI00P30300005D"/>
    <s v="GI00P30300005D SISTEMA DE INFORMACION DEL PATRIMONIO CU"/>
    <s v="73 BIENES Y SERVICIOS PARA INVERSIÓN"/>
    <s v="730812 Materiales Didácticos"/>
    <s v="G/730812/3PP303"/>
    <s v="001"/>
    <n v="0"/>
    <n v="38314.06"/>
    <n v="-8814.06"/>
    <n v="29500"/>
    <n v="0"/>
    <n v="0"/>
    <n v="0"/>
    <n v="29500"/>
    <n v="29500"/>
    <n v="29500"/>
  </r>
  <r>
    <s v="73"/>
    <x v="2"/>
    <x v="8"/>
    <s v="FS66P020"/>
    <x v="13"/>
    <s v="P303"/>
    <s v="PROTEGER EL PATRIMONIO HISTORICO Y CULTURAL DEL DM"/>
    <s v="GI00P30300006D"/>
    <s v="GI00P30300006D  CONSERVACIÓN DE EDIFICACIONES PATRIMONI"/>
    <s v="73 BIENES Y SERVICIOS PARA INVERSIÓN"/>
    <s v="730230 Digitalización de Información y Datos Públi"/>
    <s v="G/730230/3PP303"/>
    <s v="001"/>
    <n v="78400"/>
    <n v="-1456"/>
    <n v="0"/>
    <n v="76944"/>
    <n v="0"/>
    <n v="76944"/>
    <n v="38472"/>
    <n v="0"/>
    <n v="38472"/>
    <n v="0"/>
  </r>
  <r>
    <s v="73"/>
    <x v="2"/>
    <x v="8"/>
    <s v="FS66P020"/>
    <x v="13"/>
    <s v="P303"/>
    <s v="PROTEGER EL PATRIMONIO HISTORICO Y CULTURAL DEL DM"/>
    <s v="GI00P30300006D"/>
    <s v="GI00P30300006D  CONSERVACIÓN DE EDIFICACIONES PATRIMONI"/>
    <s v="73 BIENES Y SERVICIOS PARA INVERSIÓN"/>
    <s v="730605 Estudio y Diseño de Proyectos"/>
    <s v="G/730605/3PP303"/>
    <s v="001"/>
    <n v="295300"/>
    <n v="-67435.199999999997"/>
    <n v="-54530.31"/>
    <n v="173334.49"/>
    <n v="0"/>
    <n v="45271.519999999997"/>
    <n v="40397.760000000002"/>
    <n v="128062.97"/>
    <n v="132936.73000000001"/>
    <n v="128062.97"/>
  </r>
  <r>
    <s v="73"/>
    <x v="2"/>
    <x v="8"/>
    <s v="FS66P020"/>
    <x v="13"/>
    <s v="P303"/>
    <s v="PROTEGER EL PATRIMONIO HISTORICO Y CULTURAL DEL DM"/>
    <s v="GI00P30300006D"/>
    <s v="GI00P30300006D  CONSERVACIÓN DE EDIFICACIONES PATRIMONI"/>
    <s v="73 BIENES Y SERVICIOS PARA INVERSIÓN"/>
    <s v="730605 Estudio y Diseño de Proyectos"/>
    <s v="G/730605/3PP303"/>
    <s v="002"/>
    <n v="1165.06"/>
    <n v="0"/>
    <n v="0"/>
    <n v="1165.06"/>
    <n v="0"/>
    <n v="1165.06"/>
    <n v="0"/>
    <n v="0"/>
    <n v="1165.06"/>
    <n v="0"/>
  </r>
  <r>
    <s v="73"/>
    <x v="2"/>
    <x v="8"/>
    <s v="FS66P020"/>
    <x v="13"/>
    <s v="P303"/>
    <s v="PROTEGER EL PATRIMONIO HISTORICO Y CULTURAL DEL DM"/>
    <s v="GI00P30300006D"/>
    <s v="GI00P30300006D  CONSERVACIÓN DE EDIFICACIONES PATRIMONI"/>
    <s v="73 BIENES Y SERVICIOS PARA INVERSIÓN"/>
    <s v="730606 Honorarios por Contratos Civiles de Servici"/>
    <s v="G/730606/3PP303"/>
    <s v="001"/>
    <n v="0"/>
    <n v="48462.400000000001"/>
    <n v="0"/>
    <n v="48462.400000000001"/>
    <n v="0"/>
    <n v="48462.400000000001"/>
    <n v="45006.080000000002"/>
    <n v="0"/>
    <n v="3456.32"/>
    <n v="0"/>
  </r>
  <r>
    <s v="73"/>
    <x v="2"/>
    <x v="8"/>
    <s v="FS66P020"/>
    <x v="13"/>
    <s v="P303"/>
    <s v="PROTEGER EL PATRIMONIO HISTORICO Y CULTURAL DEL DM"/>
    <s v="GI00P30300008D"/>
    <s v="GI00P30300008D CONSERVACIÓN DEL ESPACIO PÚBLICO EN EL C"/>
    <s v="73 BIENES Y SERVICIOS PARA INVERSIÓN"/>
    <s v="730101 Agua Potable"/>
    <s v="G/730101/3PP303"/>
    <s v="001"/>
    <n v="16000"/>
    <n v="0"/>
    <n v="0"/>
    <n v="16000"/>
    <n v="0"/>
    <n v="8000"/>
    <n v="4610.57"/>
    <n v="8000"/>
    <n v="11389.43"/>
    <n v="8000"/>
  </r>
  <r>
    <s v="73"/>
    <x v="2"/>
    <x v="8"/>
    <s v="FS66P020"/>
    <x v="13"/>
    <s v="P303"/>
    <s v="PROTEGER EL PATRIMONIO HISTORICO Y CULTURAL DEL DM"/>
    <s v="GI00P30300008D"/>
    <s v="GI00P30300008D CONSERVACIÓN DEL ESPACIO PÚBLICO EN EL C"/>
    <s v="73 BIENES Y SERVICIOS PARA INVERSIÓN"/>
    <s v="730104 Energía Eléctrica"/>
    <s v="G/730104/3PP303"/>
    <s v="001"/>
    <n v="15000"/>
    <n v="0"/>
    <n v="0"/>
    <n v="15000"/>
    <n v="0"/>
    <n v="7000"/>
    <n v="3960.7"/>
    <n v="8000"/>
    <n v="11039.3"/>
    <n v="8000"/>
  </r>
  <r>
    <s v="73"/>
    <x v="2"/>
    <x v="8"/>
    <s v="FS66P020"/>
    <x v="13"/>
    <s v="P303"/>
    <s v="PROTEGER EL PATRIMONIO HISTORICO Y CULTURAL DEL DM"/>
    <s v="GI00P30300008D"/>
    <s v="GI00P30300008D CONSERVACIÓN DEL ESPACIO PÚBLICO EN EL C"/>
    <s v="73 BIENES Y SERVICIOS PARA INVERSIÓN"/>
    <s v="730208 Servicio de Seguridad y Vigilancia"/>
    <s v="G/730208/3PP303"/>
    <s v="001"/>
    <n v="230000"/>
    <n v="93807.95"/>
    <n v="0"/>
    <n v="323807.95"/>
    <n v="51288.32"/>
    <n v="229339.8"/>
    <n v="213858.94"/>
    <n v="94468.15"/>
    <n v="109949.01"/>
    <n v="43179.83"/>
  </r>
  <r>
    <s v="73"/>
    <x v="2"/>
    <x v="8"/>
    <s v="FS66P020"/>
    <x v="13"/>
    <s v="P303"/>
    <s v="PROTEGER EL PATRIMONIO HISTORICO Y CULTURAL DEL DM"/>
    <s v="GI00P30300008D"/>
    <s v="GI00P30300008D CONSERVACIÓN DEL ESPACIO PÚBLICO EN EL C"/>
    <s v="73 BIENES Y SERVICIOS PARA INVERSIÓN"/>
    <s v="730402 Edificios, Locales, Residencias y Cablea"/>
    <s v="G/730402/3PP303"/>
    <s v="001"/>
    <n v="0"/>
    <n v="26922.99"/>
    <n v="0"/>
    <n v="26922.99"/>
    <n v="0"/>
    <n v="0"/>
    <n v="0"/>
    <n v="26922.99"/>
    <n v="26922.99"/>
    <n v="26922.99"/>
  </r>
  <r>
    <s v="73"/>
    <x v="2"/>
    <x v="8"/>
    <s v="FS66P020"/>
    <x v="13"/>
    <s v="P303"/>
    <s v="PROTEGER EL PATRIMONIO HISTORICO Y CULTURAL DEL DM"/>
    <s v="GI00P30300008D"/>
    <s v="GI00P30300008D CONSERVACIÓN DEL ESPACIO PÚBLICO EN EL C"/>
    <s v="73 BIENES Y SERVICIOS PARA INVERSIÓN"/>
    <s v="730605 Estudio y Diseño de Proyectos"/>
    <s v="G/730605/3PP303"/>
    <s v="002"/>
    <n v="28054"/>
    <n v="0"/>
    <n v="-4208.1000000000004"/>
    <n v="23845.9"/>
    <n v="0"/>
    <n v="23845.9"/>
    <n v="22443.200000000001"/>
    <n v="0"/>
    <n v="1402.7"/>
    <n v="0"/>
  </r>
  <r>
    <s v="73"/>
    <x v="2"/>
    <x v="8"/>
    <s v="FS66P020"/>
    <x v="13"/>
    <s v="P303"/>
    <s v="PROTEGER EL PATRIMONIO HISTORICO Y CULTURAL DEL DM"/>
    <s v="GI00P30300008D"/>
    <s v="GI00P30300008D CONSERVACIÓN DEL ESPACIO PÚBLICO EN EL C"/>
    <s v="73 BIENES Y SERVICIOS PARA INVERSIÓN"/>
    <s v="730605 Estudio y Diseño de Proyectos"/>
    <s v="G/730605/3PP303"/>
    <s v="001"/>
    <n v="0"/>
    <n v="1404.05"/>
    <n v="0"/>
    <n v="1404.05"/>
    <n v="0"/>
    <n v="1404.05"/>
    <n v="0"/>
    <n v="0"/>
    <n v="1404.05"/>
    <n v="0"/>
  </r>
  <r>
    <s v="73"/>
    <x v="2"/>
    <x v="8"/>
    <s v="FS66P020"/>
    <x v="13"/>
    <s v="P303"/>
    <s v="PROTEGER EL PATRIMONIO HISTORICO Y CULTURAL DEL DM"/>
    <s v="GI00P30300008D"/>
    <s v="GI00P30300008D CONSERVACIÓN DEL ESPACIO PÚBLICO EN EL C"/>
    <s v="73 BIENES Y SERVICIOS PARA INVERSIÓN"/>
    <s v="730606 Honorarios por Contratos Civiles de Servici"/>
    <s v="G/730606/3PP303"/>
    <s v="001"/>
    <n v="29639.56"/>
    <n v="-11724.04"/>
    <n v="0"/>
    <n v="17915.52"/>
    <n v="0"/>
    <n v="17915.52"/>
    <n v="14929.6"/>
    <n v="0"/>
    <n v="2985.92"/>
    <n v="0"/>
  </r>
  <r>
    <s v="73"/>
    <x v="2"/>
    <x v="8"/>
    <s v="FS66P020"/>
    <x v="13"/>
    <s v="P303"/>
    <s v="PROTEGER EL PATRIMONIO HISTORICO Y CULTURAL DEL DM"/>
    <s v="GI00P30300009D"/>
    <s v="GI00P30300009D CONSERVACIÓN DEL PATRIMONIO  ARQUEOLÓGIC"/>
    <s v="73 BIENES Y SERVICIOS PARA INVERSIÓN"/>
    <s v="730204 Edición, Impresión, Reproducción, Public"/>
    <s v="G/730204/3PP303"/>
    <s v="001"/>
    <n v="0"/>
    <n v="16761.7"/>
    <n v="0"/>
    <n v="16761.7"/>
    <n v="0"/>
    <n v="16761.7"/>
    <n v="16761.7"/>
    <n v="0"/>
    <n v="0"/>
    <n v="0"/>
  </r>
  <r>
    <s v="73"/>
    <x v="2"/>
    <x v="8"/>
    <s v="FS66P020"/>
    <x v="13"/>
    <s v="P303"/>
    <s v="PROTEGER EL PATRIMONIO HISTORICO Y CULTURAL DEL DM"/>
    <s v="GI00P30300009D"/>
    <s v="GI00P30300009D CONSERVACIÓN DEL PATRIMONIO  ARQUEOLÓGIC"/>
    <s v="73 BIENES Y SERVICIOS PARA INVERSIÓN"/>
    <s v="730204 Edición, Impresión, Reproducción, Public"/>
    <s v="G/730204/3PP303"/>
    <s v="002"/>
    <n v="13517.5"/>
    <n v="0"/>
    <n v="0"/>
    <n v="13517.5"/>
    <n v="0"/>
    <n v="13517.5"/>
    <n v="13517.5"/>
    <n v="0"/>
    <n v="0"/>
    <n v="0"/>
  </r>
  <r>
    <s v="73"/>
    <x v="2"/>
    <x v="8"/>
    <s v="FS66P020"/>
    <x v="13"/>
    <s v="P303"/>
    <s v="PROTEGER EL PATRIMONIO HISTORICO Y CULTURAL DEL DM"/>
    <s v="GI00P30300009D"/>
    <s v="GI00P30300009D CONSERVACIÓN DEL PATRIMONIO  ARQUEOLÓGIC"/>
    <s v="73 BIENES Y SERVICIOS PARA INVERSIÓN"/>
    <s v="730402 Edificios, Locales, Residencias y Cablea"/>
    <s v="G/730402/3PP303"/>
    <s v="001"/>
    <n v="60000"/>
    <n v="0"/>
    <n v="-60000"/>
    <n v="0"/>
    <n v="0"/>
    <n v="0"/>
    <n v="0"/>
    <n v="0"/>
    <n v="0"/>
    <n v="0"/>
  </r>
  <r>
    <s v="73"/>
    <x v="2"/>
    <x v="8"/>
    <s v="FS66P020"/>
    <x v="13"/>
    <s v="P303"/>
    <s v="PROTEGER EL PATRIMONIO HISTORICO Y CULTURAL DEL DM"/>
    <s v="GI00P30300009D"/>
    <s v="GI00P30300009D CONSERVACIÓN DEL PATRIMONIO  ARQUEOLÓGIC"/>
    <s v="73 BIENES Y SERVICIOS PARA INVERSIÓN"/>
    <s v="730418 Mantenimiento de Áreas Verdes y Arreglo"/>
    <s v="G/730418/3PP303"/>
    <s v="001"/>
    <n v="42294"/>
    <n v="11511.37"/>
    <n v="0"/>
    <n v="53805.37"/>
    <n v="11289.6"/>
    <n v="40071.019999999997"/>
    <n v="22261.7"/>
    <n v="13734.35"/>
    <n v="31543.67"/>
    <n v="2444.75"/>
  </r>
  <r>
    <s v="73"/>
    <x v="2"/>
    <x v="8"/>
    <s v="FS66P020"/>
    <x v="13"/>
    <s v="P303"/>
    <s v="PROTEGER EL PATRIMONIO HISTORICO Y CULTURAL DEL DM"/>
    <s v="GI00P30300009D"/>
    <s v="GI00P30300009D CONSERVACIÓN DEL PATRIMONIO  ARQUEOLÓGIC"/>
    <s v="73 BIENES Y SERVICIOS PARA INVERSIÓN"/>
    <s v="730425 Instalación, Readecuación, Montaje de Expos"/>
    <s v="G/730425/3PP303"/>
    <s v="001"/>
    <n v="75000"/>
    <n v="35000"/>
    <n v="-49462.03"/>
    <n v="60537.97"/>
    <n v="0"/>
    <n v="0"/>
    <n v="0"/>
    <n v="60537.97"/>
    <n v="60537.97"/>
    <n v="60537.97"/>
  </r>
  <r>
    <s v="73"/>
    <x v="2"/>
    <x v="8"/>
    <s v="FS66P020"/>
    <x v="13"/>
    <s v="P303"/>
    <s v="PROTEGER EL PATRIMONIO HISTORICO Y CULTURAL DEL DM"/>
    <s v="GI00P30300009D"/>
    <s v="GI00P30300009D CONSERVACIÓN DEL PATRIMONIO  ARQUEOLÓGIC"/>
    <s v="73 BIENES Y SERVICIOS PARA INVERSIÓN"/>
    <s v="730601 Consultoría, Asesoría e Investigación Es"/>
    <s v="G/730601/3PP303"/>
    <s v="001"/>
    <n v="326100"/>
    <n v="0"/>
    <n v="0"/>
    <n v="326100"/>
    <n v="2225.9899999999998"/>
    <n v="234719.57"/>
    <n v="83403.62"/>
    <n v="91380.43"/>
    <n v="242696.38"/>
    <n v="89154.44"/>
  </r>
  <r>
    <s v="73"/>
    <x v="2"/>
    <x v="8"/>
    <s v="FS66P020"/>
    <x v="13"/>
    <s v="P303"/>
    <s v="PROTEGER EL PATRIMONIO HISTORICO Y CULTURAL DEL DM"/>
    <s v="GI00P30300009D"/>
    <s v="GI00P30300009D CONSERVACIÓN DEL PATRIMONIO  ARQUEOLÓGIC"/>
    <s v="73 BIENES Y SERVICIOS PARA INVERSIÓN"/>
    <s v="730605 Estudio y Diseño de Proyectos"/>
    <s v="G/730605/3PP303"/>
    <s v="001"/>
    <n v="20000"/>
    <n v="0"/>
    <n v="0"/>
    <n v="20000"/>
    <n v="0"/>
    <n v="0"/>
    <n v="0"/>
    <n v="20000"/>
    <n v="20000"/>
    <n v="20000"/>
  </r>
  <r>
    <s v="73"/>
    <x v="2"/>
    <x v="8"/>
    <s v="FS66P020"/>
    <x v="13"/>
    <s v="P303"/>
    <s v="PROTEGER EL PATRIMONIO HISTORICO Y CULTURAL DEL DM"/>
    <s v="GI00P30300009D"/>
    <s v="GI00P30300009D CONSERVACIÓN DEL PATRIMONIO  ARQUEOLÓGIC"/>
    <s v="73 BIENES Y SERVICIOS PARA INVERSIÓN"/>
    <s v="730606 Honorarios por Contratos Civiles de Servici"/>
    <s v="G/730606/3PP303"/>
    <s v="001"/>
    <n v="36450"/>
    <n v="-17041.52"/>
    <n v="0"/>
    <n v="19408.48"/>
    <n v="0"/>
    <n v="19408.48"/>
    <n v="16422.560000000001"/>
    <n v="0"/>
    <n v="2985.92"/>
    <n v="0"/>
  </r>
  <r>
    <s v="73"/>
    <x v="2"/>
    <x v="8"/>
    <s v="FS66P020"/>
    <x v="13"/>
    <s v="P303"/>
    <s v="PROTEGER EL PATRIMONIO HISTORICO Y CULTURAL DEL DM"/>
    <s v="GI00P30300009D"/>
    <s v="GI00P30300009D CONSERVACIÓN DEL PATRIMONIO  ARQUEOLÓGIC"/>
    <s v="73 BIENES Y SERVICIOS PARA INVERSIÓN"/>
    <s v="730609 Investigaciones Profesionales y Análisis de"/>
    <s v="G/730609/3PP303"/>
    <s v="001"/>
    <n v="30000"/>
    <n v="0"/>
    <n v="0"/>
    <n v="30000"/>
    <n v="5.35"/>
    <n v="29545.599999999999"/>
    <n v="16250.08"/>
    <n v="454.4"/>
    <n v="13749.92"/>
    <n v="449.05"/>
  </r>
  <r>
    <s v="73"/>
    <x v="2"/>
    <x v="8"/>
    <s v="FS66P020"/>
    <x v="13"/>
    <s v="P303"/>
    <s v="PROTEGER EL PATRIMONIO HISTORICO Y CULTURAL DEL DM"/>
    <s v="GI00P30300009D"/>
    <s v="GI00P30300009D CONSERVACIÓN DEL PATRIMONIO  ARQUEOLÓGIC"/>
    <s v="73 BIENES Y SERVICIOS PARA INVERSIÓN"/>
    <s v="731515 Plantas"/>
    <s v="G/731515/3PP303"/>
    <s v="001"/>
    <n v="0"/>
    <n v="7951.64"/>
    <n v="0"/>
    <n v="7951.64"/>
    <n v="0"/>
    <n v="0"/>
    <n v="0"/>
    <n v="7951.64"/>
    <n v="7951.64"/>
    <n v="7951.64"/>
  </r>
  <r>
    <s v="73"/>
    <x v="2"/>
    <x v="8"/>
    <s v="ZA01P000"/>
    <x v="32"/>
    <s v="P306"/>
    <s v="REGULACIÓN DEL USO Y GESTIÓN DEL SUELO"/>
    <s v="GI00P30600001D"/>
    <s v="GI00P30600001D ACTUALIZACIÓN DE LOS INSTRUMENTOS DE PLA"/>
    <s v="73 BIENES Y SERVICIOS PARA INVERSIÓN"/>
    <s v="730207 Difusión, Información y Publicidad"/>
    <s v="G/730207/3PP306"/>
    <s v="001"/>
    <n v="14000"/>
    <n v="0"/>
    <n v="-14000"/>
    <n v="0"/>
    <n v="0"/>
    <n v="0"/>
    <n v="0"/>
    <n v="0"/>
    <n v="0"/>
    <n v="0"/>
  </r>
  <r>
    <s v="73"/>
    <x v="2"/>
    <x v="8"/>
    <s v="ZA01P000"/>
    <x v="32"/>
    <s v="P306"/>
    <s v="REGULACIÓN DEL USO Y GESTIÓN DEL SUELO"/>
    <s v="GI00P30600001D"/>
    <s v="GI00P30600001D ACTUALIZACIÓN DE LOS INSTRUMENTOS DE PLA"/>
    <s v="73 BIENES Y SERVICIOS PARA INVERSIÓN"/>
    <s v="730606 Honorarios por Contratos Civiles de Servici"/>
    <s v="G/730606/3PP306"/>
    <s v="001"/>
    <n v="713000"/>
    <n v="-671451.34"/>
    <n v="-41548.660000000003"/>
    <n v="0"/>
    <n v="0"/>
    <n v="0"/>
    <n v="0"/>
    <n v="0"/>
    <n v="0"/>
    <n v="0"/>
  </r>
  <r>
    <s v="73"/>
    <x v="2"/>
    <x v="8"/>
    <s v="ZA01P000"/>
    <x v="32"/>
    <s v="P306"/>
    <s v="REGULACIÓN DEL USO Y GESTIÓN DEL SUELO"/>
    <s v="GI00P30600001D"/>
    <s v="GI00P30600001D ACTUALIZACIÓN DE LOS INSTRUMENTOS DE PLA"/>
    <s v="73 BIENES Y SERVICIOS PARA INVERSIÓN"/>
    <s v="730702 Arrendamiento y Licencias de Uso de Paquete"/>
    <s v="G/730702/3PP306"/>
    <s v="001"/>
    <n v="7000"/>
    <n v="7000"/>
    <n v="-7000"/>
    <n v="7000"/>
    <n v="0"/>
    <n v="6473.04"/>
    <n v="0"/>
    <n v="526.96"/>
    <n v="7000"/>
    <n v="526.96"/>
  </r>
  <r>
    <s v="73"/>
    <x v="2"/>
    <x v="8"/>
    <s v="ZA01P000"/>
    <x v="32"/>
    <s v="P306"/>
    <s v="REGULACIÓN DEL USO Y GESTIÓN DEL SUELO"/>
    <s v="GI00P30600001D"/>
    <s v="GI00P30600001D ACTUALIZACIÓN DE LOS INSTRUMENTOS DE PLA"/>
    <s v="73 BIENES Y SERVICIOS PARA INVERSIÓN"/>
    <s v="730704 Mantenimiento y Reparación de Equipos y"/>
    <s v="G/730704/3PP306"/>
    <s v="001"/>
    <n v="14000"/>
    <n v="-7000"/>
    <n v="0"/>
    <n v="7000"/>
    <n v="0"/>
    <n v="0"/>
    <n v="0"/>
    <n v="7000"/>
    <n v="7000"/>
    <n v="7000"/>
  </r>
  <r>
    <s v="73"/>
    <x v="2"/>
    <x v="8"/>
    <s v="ZA01P000"/>
    <x v="32"/>
    <s v="P306"/>
    <s v="REGULACIÓN DEL USO Y GESTIÓN DEL SUELO"/>
    <s v="GI00P30600001D"/>
    <s v="GI00P30600001D ACTUALIZACIÓN DE LOS INSTRUMENTOS DE PLA"/>
    <s v="73 BIENES Y SERVICIOS PARA INVERSIÓN"/>
    <s v="730807 Materiales de Impresión, Fotografía, Rep"/>
    <s v="G/730807/3PP306"/>
    <s v="001"/>
    <n v="7000"/>
    <n v="0"/>
    <n v="-7000"/>
    <n v="0"/>
    <n v="0"/>
    <n v="0"/>
    <n v="0"/>
    <n v="0"/>
    <n v="0"/>
    <n v="0"/>
  </r>
  <r>
    <s v="73"/>
    <x v="2"/>
    <x v="8"/>
    <s v="ZA01P000"/>
    <x v="32"/>
    <s v="P306"/>
    <s v="REGULACIÓN DEL USO Y GESTIÓN DEL SUELO"/>
    <s v="GI00P30600001D"/>
    <s v="GI00P30600001D ACTUALIZACIÓN DE LOS INSTRUMENTOS DE PLA"/>
    <s v="73 BIENES Y SERVICIOS PARA INVERSIÓN"/>
    <s v="730813 Repuestos y Accesorios"/>
    <s v="G/730813/3PP306"/>
    <s v="001"/>
    <n v="5000"/>
    <n v="0"/>
    <n v="0"/>
    <n v="5000"/>
    <n v="0"/>
    <n v="0"/>
    <n v="0"/>
    <n v="5000"/>
    <n v="5000"/>
    <n v="5000"/>
  </r>
  <r>
    <s v="73"/>
    <x v="2"/>
    <x v="8"/>
    <s v="ZA01P000"/>
    <x v="32"/>
    <s v="P306"/>
    <s v="REGULACIÓN DEL USO Y GESTIÓN DEL SUELO"/>
    <s v="GI00P30600002D"/>
    <s v="GI00P30600002D IMPLEMENTACIÓN DE LABORATORIOS URBANOS"/>
    <s v="73 BIENES Y SERVICIOS PARA INVERSIÓN"/>
    <s v="730204 Edición, Impresión, Reproducción, Public"/>
    <s v="G/730204/3PP306"/>
    <s v="001"/>
    <n v="10000"/>
    <n v="0"/>
    <n v="-10000"/>
    <n v="0"/>
    <n v="0"/>
    <n v="0"/>
    <n v="0"/>
    <n v="0"/>
    <n v="0"/>
    <n v="0"/>
  </r>
  <r>
    <s v="73"/>
    <x v="2"/>
    <x v="8"/>
    <s v="ZA01P000"/>
    <x v="32"/>
    <s v="P306"/>
    <s v="REGULACIÓN DEL USO Y GESTIÓN DEL SUELO"/>
    <s v="GI00P30600002D"/>
    <s v="GI00P30600002D IMPLEMENTACIÓN DE LABORATORIOS URBANOS"/>
    <s v="73 BIENES Y SERVICIOS PARA INVERSIÓN"/>
    <s v="730205 Espectáculos Culturales y Sociales"/>
    <s v="G/730205/3PP306"/>
    <s v="001"/>
    <n v="10000"/>
    <n v="0"/>
    <n v="-10000"/>
    <n v="0"/>
    <n v="0"/>
    <n v="0"/>
    <n v="0"/>
    <n v="0"/>
    <n v="0"/>
    <n v="0"/>
  </r>
  <r>
    <s v="73"/>
    <x v="2"/>
    <x v="8"/>
    <s v="ZA01P000"/>
    <x v="32"/>
    <s v="P306"/>
    <s v="REGULACIÓN DEL USO Y GESTIÓN DEL SUELO"/>
    <s v="GI00P30600003D"/>
    <s v="GI00P30600003D SISTEMA DE INFORMACIÓN DE ORDENAMIENTO T"/>
    <s v="73 BIENES Y SERVICIOS PARA INVERSIÓN"/>
    <s v="730601 Consultoría, Asesoría e Investigación Es"/>
    <s v="G/730601/3PP306"/>
    <s v="001"/>
    <n v="60000"/>
    <n v="0"/>
    <n v="-60000"/>
    <n v="0"/>
    <n v="0"/>
    <n v="0"/>
    <n v="0"/>
    <n v="0"/>
    <n v="0"/>
    <n v="0"/>
  </r>
  <r>
    <s v="73"/>
    <x v="2"/>
    <x v="8"/>
    <s v="ZA01P000"/>
    <x v="32"/>
    <s v="P306"/>
    <s v="REGULACIÓN DEL USO Y GESTIÓN DEL SUELO"/>
    <s v="GI00P30600003D"/>
    <s v="GI00P30600003D SISTEMA DE INFORMACIÓN DE ORDENAMIENTO T"/>
    <s v="73 BIENES Y SERVICIOS PARA INVERSIÓN"/>
    <s v="730606 Honorarios por Contratos Civiles de Servici"/>
    <s v="G/730606/3PP306"/>
    <s v="001"/>
    <n v="139485.76000000001"/>
    <n v="0"/>
    <n v="-139485.76000000001"/>
    <n v="0"/>
    <n v="0"/>
    <n v="0"/>
    <n v="0"/>
    <n v="0"/>
    <n v="0"/>
    <n v="0"/>
  </r>
  <r>
    <s v="73"/>
    <x v="2"/>
    <x v="7"/>
    <s v="RB34F010"/>
    <x v="31"/>
    <s v="P306"/>
    <s v="REGULACIÓN DEL USO Y GESTIÓN DEL SUELO"/>
    <s v="GI00P30600004D"/>
    <s v="GI00P30600004D REGULA TU BARRIO"/>
    <s v="73 BIENES Y SERVICIOS PARA INVERSIÓN"/>
    <s v="730204 Edición, Impresión, Reproducción, Public"/>
    <s v="G/730204/3FP306"/>
    <s v="001"/>
    <n v="4000"/>
    <n v="0"/>
    <n v="0"/>
    <n v="4000"/>
    <n v="0"/>
    <n v="0"/>
    <n v="0"/>
    <n v="4000"/>
    <n v="4000"/>
    <n v="4000"/>
  </r>
  <r>
    <s v="73"/>
    <x v="2"/>
    <x v="7"/>
    <s v="RB34F010"/>
    <x v="31"/>
    <s v="P306"/>
    <s v="REGULACIÓN DEL USO Y GESTIÓN DEL SUELO"/>
    <s v="GI00P30600004D"/>
    <s v="GI00P30600004D REGULA TU BARRIO"/>
    <s v="73 BIENES Y SERVICIOS PARA INVERSIÓN"/>
    <s v="730207 Difusión, Información y Publicidad"/>
    <s v="G/730207/3FP306"/>
    <s v="001"/>
    <n v="4000"/>
    <n v="0"/>
    <n v="0"/>
    <n v="4000"/>
    <n v="0"/>
    <n v="2166.5300000000002"/>
    <n v="0"/>
    <n v="1833.47"/>
    <n v="4000"/>
    <n v="1833.47"/>
  </r>
  <r>
    <s v="73"/>
    <x v="2"/>
    <x v="7"/>
    <s v="RB34F010"/>
    <x v="31"/>
    <s v="P306"/>
    <s v="REGULACIÓN DEL USO Y GESTIÓN DEL SUELO"/>
    <s v="GI00P30600004D"/>
    <s v="GI00P30600004D REGULA TU BARRIO"/>
    <s v="73 BIENES Y SERVICIOS PARA INVERSIÓN"/>
    <s v="730404 Maquinarias y Equipos (Instalación, Mant"/>
    <s v="G/730404/3FP306"/>
    <s v="001"/>
    <n v="8000"/>
    <n v="0"/>
    <n v="-8000"/>
    <n v="0"/>
    <n v="0"/>
    <n v="0"/>
    <n v="0"/>
    <n v="0"/>
    <n v="0"/>
    <n v="0"/>
  </r>
  <r>
    <s v="73"/>
    <x v="2"/>
    <x v="7"/>
    <s v="RB34F010"/>
    <x v="31"/>
    <s v="P306"/>
    <s v="REGULACIÓN DEL USO Y GESTIÓN DEL SUELO"/>
    <s v="GI00P30600004D"/>
    <s v="GI00P30600004D REGULA TU BARRIO"/>
    <s v="73 BIENES Y SERVICIOS PARA INVERSIÓN"/>
    <s v="730505 Vehículos (Arrendamiento)"/>
    <s v="G/730505/3FP306"/>
    <s v="001"/>
    <n v="115000"/>
    <n v="0"/>
    <n v="-108037.8"/>
    <n v="6962.2"/>
    <n v="0"/>
    <n v="5800"/>
    <n v="0"/>
    <n v="1162.2"/>
    <n v="6962.2"/>
    <n v="1162.2"/>
  </r>
  <r>
    <s v="73"/>
    <x v="2"/>
    <x v="7"/>
    <s v="RB34F010"/>
    <x v="31"/>
    <s v="P306"/>
    <s v="REGULACIÓN DEL USO Y GESTIÓN DEL SUELO"/>
    <s v="GI00P30600004D"/>
    <s v="GI00P30600004D REGULA TU BARRIO"/>
    <s v="73 BIENES Y SERVICIOS PARA INVERSIÓN"/>
    <s v="730601 Consultoría, Asesoría e Investigación Es"/>
    <s v="G/730601/3FP306"/>
    <s v="001"/>
    <n v="202000"/>
    <n v="0"/>
    <n v="-202000"/>
    <n v="0"/>
    <n v="0"/>
    <n v="0"/>
    <n v="0"/>
    <n v="0"/>
    <n v="0"/>
    <n v="0"/>
  </r>
  <r>
    <s v="73"/>
    <x v="2"/>
    <x v="7"/>
    <s v="RB34F010"/>
    <x v="31"/>
    <s v="P306"/>
    <s v="REGULACIÓN DEL USO Y GESTIÓN DEL SUELO"/>
    <s v="GI00P30600004D"/>
    <s v="GI00P30600004D REGULA TU BARRIO"/>
    <s v="73 BIENES Y SERVICIOS PARA INVERSIÓN"/>
    <s v="730606 Honorarios por Contratos Civiles de Servici"/>
    <s v="G/730606/3FP306"/>
    <s v="001"/>
    <n v="542000"/>
    <n v="-367172.78"/>
    <n v="-174827.22"/>
    <n v="0"/>
    <n v="0"/>
    <n v="0"/>
    <n v="0"/>
    <n v="0"/>
    <n v="0"/>
    <n v="0"/>
  </r>
  <r>
    <s v="73"/>
    <x v="2"/>
    <x v="7"/>
    <s v="RB34F010"/>
    <x v="31"/>
    <s v="P306"/>
    <s v="REGULACIÓN DEL USO Y GESTIÓN DEL SUELO"/>
    <s v="GI00P30600004D"/>
    <s v="GI00P30600004D REGULA TU BARRIO"/>
    <s v="73 BIENES Y SERVICIOS PARA INVERSIÓN"/>
    <s v="730702 Arrendamiento y Licencias de Uso de Paquete"/>
    <s v="G/730702/3FP306"/>
    <s v="001"/>
    <n v="22500"/>
    <n v="0"/>
    <n v="-22500"/>
    <n v="0"/>
    <n v="0"/>
    <n v="0"/>
    <n v="0"/>
    <n v="0"/>
    <n v="0"/>
    <n v="0"/>
  </r>
  <r>
    <s v="73"/>
    <x v="2"/>
    <x v="7"/>
    <s v="RB34F010"/>
    <x v="31"/>
    <s v="P306"/>
    <s v="REGULACIÓN DEL USO Y GESTIÓN DEL SUELO"/>
    <s v="GI00P30600004D"/>
    <s v="GI00P30600004D REGULA TU BARRIO"/>
    <s v="73 BIENES Y SERVICIOS PARA INVERSIÓN"/>
    <s v="730704 Mantenimiento y Reparación de Equipos y"/>
    <s v="G/730704/3FP306"/>
    <s v="001"/>
    <n v="8000"/>
    <n v="0"/>
    <n v="-8000"/>
    <n v="0"/>
    <n v="0"/>
    <n v="0"/>
    <n v="0"/>
    <n v="0"/>
    <n v="0"/>
    <n v="0"/>
  </r>
  <r>
    <s v="73"/>
    <x v="2"/>
    <x v="7"/>
    <s v="RB34F010"/>
    <x v="31"/>
    <s v="P306"/>
    <s v="REGULACIÓN DEL USO Y GESTIÓN DEL SUELO"/>
    <s v="GI00P30600004D"/>
    <s v="GI00P30600004D REGULA TU BARRIO"/>
    <s v="73 BIENES Y SERVICIOS PARA INVERSIÓN"/>
    <s v="730804 Materiales de Oficina"/>
    <s v="G/730804/3FP306"/>
    <s v="001"/>
    <n v="10000"/>
    <n v="0"/>
    <n v="0"/>
    <n v="10000"/>
    <n v="0"/>
    <n v="1399.57"/>
    <n v="1384.45"/>
    <n v="8600.43"/>
    <n v="8615.5499999999993"/>
    <n v="8600.43"/>
  </r>
  <r>
    <s v="73"/>
    <x v="2"/>
    <x v="7"/>
    <s v="RB34F010"/>
    <x v="31"/>
    <s v="P306"/>
    <s v="REGULACIÓN DEL USO Y GESTIÓN DEL SUELO"/>
    <s v="GI00P30600004D"/>
    <s v="GI00P30600004D REGULA TU BARRIO"/>
    <s v="73 BIENES Y SERVICIOS PARA INVERSIÓN"/>
    <s v="730807 Materiales de Impresión, Fotografía, Rep"/>
    <s v="G/730807/3FP306"/>
    <s v="001"/>
    <n v="51000"/>
    <n v="0"/>
    <n v="-36000"/>
    <n v="15000"/>
    <n v="0"/>
    <n v="6594.11"/>
    <n v="6594.11"/>
    <n v="8405.89"/>
    <n v="8405.89"/>
    <n v="8405.89"/>
  </r>
  <r>
    <s v="75"/>
    <x v="2"/>
    <x v="7"/>
    <s v="ZD07F070"/>
    <x v="43"/>
    <s v="D301"/>
    <s v="CERO RESIDUOSCERO RESIDUOS"/>
    <s v="GI00D30100004D"/>
    <s v="GI00D30100004D IMPLEMENTACIÓN DE CENTROS DE APROVECHAMI"/>
    <s v="75 OBRAS PÚBLICAS"/>
    <s v="750107 Construcciones y Edificaciones"/>
    <s v="G/750107/3FD301"/>
    <s v="001"/>
    <n v="50000"/>
    <n v="0"/>
    <n v="-121.91"/>
    <n v="49878.09"/>
    <n v="0"/>
    <n v="49878.09"/>
    <n v="0"/>
    <n v="0"/>
    <n v="49878.09"/>
    <n v="0"/>
  </r>
  <r>
    <s v="75"/>
    <x v="2"/>
    <x v="7"/>
    <s v="ZC09F090"/>
    <x v="10"/>
    <s v="D301"/>
    <s v="CERO RESIDUOSCERO RESIDUOS"/>
    <s v="GI00D30100004D"/>
    <s v="GI00D30100004D IMPLEMENTACIÓN DE CENTROS DE APROVECHAMI"/>
    <s v="75 OBRAS PÚBLICAS"/>
    <s v="750107 Construcciones y Edificaciones"/>
    <s v="G/750107/3FD301"/>
    <s v="001"/>
    <n v="50000"/>
    <n v="0"/>
    <n v="-50000"/>
    <n v="0"/>
    <n v="0"/>
    <n v="0"/>
    <n v="0"/>
    <n v="0"/>
    <n v="0"/>
    <n v="0"/>
  </r>
  <r>
    <s v="75"/>
    <x v="2"/>
    <x v="7"/>
    <s v="ZC09F090"/>
    <x v="10"/>
    <s v="F102"/>
    <s v="PARTICIPACION CIUDADANA"/>
    <s v="GI00F10200001D"/>
    <s v="GI00F10200001D PRESUPUESTOS PARTICIPATIVOS"/>
    <s v="75 OBRAS PÚBLICAS"/>
    <s v="750104 Urbanización y Embellecimiento"/>
    <s v="G/750104/1FF102"/>
    <s v="001"/>
    <n v="2125517.42"/>
    <n v="-254208.4"/>
    <n v="-90000"/>
    <n v="1781309.02"/>
    <n v="332450.27"/>
    <n v="1423221.55"/>
    <n v="429231.05"/>
    <n v="358087.47"/>
    <n v="1352077.97"/>
    <n v="25637.200000000001"/>
  </r>
  <r>
    <s v="75"/>
    <x v="2"/>
    <x v="7"/>
    <s v="ZD07F070"/>
    <x v="43"/>
    <s v="F102"/>
    <s v="PARTICIPACION CIUDADANA"/>
    <s v="GI00F10200001D"/>
    <s v="GI00F10200001D PRESUPUESTOS PARTICIPATIVOS"/>
    <s v="75 OBRAS PÚBLICAS"/>
    <s v="750104 Urbanización y Embellecimiento"/>
    <s v="G/750104/1FF102"/>
    <s v="002"/>
    <n v="259644.36"/>
    <n v="-214370.71"/>
    <n v="0"/>
    <n v="45273.65"/>
    <n v="0"/>
    <n v="45273.65"/>
    <n v="45273.64"/>
    <n v="0"/>
    <n v="0.01"/>
    <n v="0"/>
  </r>
  <r>
    <s v="75"/>
    <x v="2"/>
    <x v="7"/>
    <s v="ZQ08F080"/>
    <x v="44"/>
    <s v="F102"/>
    <s v="PARTICIPACION CIUDADANA"/>
    <s v="GI00F10200001D"/>
    <s v="GI00F10200001D PRESUPUESTOS PARTICIPATIVOS"/>
    <s v="75 OBRAS PÚBLICAS"/>
    <s v="750104 Urbanización y Embellecimiento"/>
    <s v="G/750104/1FF102"/>
    <s v="001"/>
    <n v="3057015.52"/>
    <n v="9533.15"/>
    <n v="-40556.76"/>
    <n v="3025991.91"/>
    <n v="0.02"/>
    <n v="2945211.8"/>
    <n v="2042012.13"/>
    <n v="80780.11"/>
    <n v="983979.78"/>
    <n v="80780.09"/>
  </r>
  <r>
    <s v="75"/>
    <x v="2"/>
    <x v="7"/>
    <s v="ZS03F030"/>
    <x v="45"/>
    <s v="F102"/>
    <s v="PARTICIPACION CIUDADANA"/>
    <s v="GI00F10200001D"/>
    <s v="GI00F10200001D PRESUPUESTOS PARTICIPATIVOS"/>
    <s v="75 OBRAS PÚBLICAS"/>
    <s v="750104 Urbanización y Embellecimiento"/>
    <s v="G/750104/1FF102"/>
    <s v="001"/>
    <n v="3380061.09"/>
    <n v="-87443.09"/>
    <n v="-403373.33"/>
    <n v="2889244.67"/>
    <n v="103923.62"/>
    <n v="2780679.63"/>
    <n v="913065.19"/>
    <n v="108565.04"/>
    <n v="1976179.48"/>
    <n v="4641.42"/>
  </r>
  <r>
    <s v="75"/>
    <x v="2"/>
    <x v="7"/>
    <s v="ZN02F020"/>
    <x v="46"/>
    <s v="F102"/>
    <s v="PARTICIPACION CIUDADANA"/>
    <s v="GI00F10200001D"/>
    <s v="GI00F10200001D PRESUPUESTOS PARTICIPATIVOS"/>
    <s v="75 OBRAS PÚBLICAS"/>
    <s v="750104 Urbanización y Embellecimiento"/>
    <s v="G/750104/1FF102"/>
    <s v="002"/>
    <n v="275597.96000000002"/>
    <n v="298158.67"/>
    <n v="-124187.12"/>
    <n v="449569.51"/>
    <n v="0.01"/>
    <n v="449569.5"/>
    <n v="449569.5"/>
    <n v="0.01"/>
    <n v="0.01"/>
    <n v="0"/>
  </r>
  <r>
    <s v="75"/>
    <x v="2"/>
    <x v="7"/>
    <s v="ZD07F070"/>
    <x v="43"/>
    <s v="F102"/>
    <s v="PARTICIPACION CIUDADANA"/>
    <s v="GI00F10200001D"/>
    <s v="GI00F10200001D PRESUPUESTOS PARTICIPATIVOS"/>
    <s v="75 OBRAS PÚBLICAS"/>
    <s v="750104 Urbanización y Embellecimiento"/>
    <s v="G/750104/1FF102"/>
    <s v="001"/>
    <n v="1687354.49"/>
    <n v="-100668.77"/>
    <n v="-846477.02"/>
    <n v="740208.7"/>
    <n v="1793.8"/>
    <n v="712839.53"/>
    <n v="322354.87"/>
    <n v="27369.17"/>
    <n v="417853.83"/>
    <n v="25575.37"/>
  </r>
  <r>
    <s v="75"/>
    <x v="2"/>
    <x v="7"/>
    <s v="ZN02F020"/>
    <x v="46"/>
    <s v="F102"/>
    <s v="PARTICIPACION CIUDADANA"/>
    <s v="GI00F10200001D"/>
    <s v="GI00F10200001D PRESUPUESTOS PARTICIPATIVOS"/>
    <s v="75 OBRAS PÚBLICAS"/>
    <s v="750104 Urbanización y Embellecimiento"/>
    <s v="G/750104/1FF102"/>
    <s v="001"/>
    <n v="3924069.69"/>
    <n v="-21439.06"/>
    <n v="-30774.89"/>
    <n v="3871855.74"/>
    <n v="40339.89"/>
    <n v="3819698.53"/>
    <n v="1633178.39"/>
    <n v="52157.21"/>
    <n v="2238677.35"/>
    <n v="11817.32"/>
  </r>
  <r>
    <s v="75"/>
    <x v="2"/>
    <x v="7"/>
    <s v="ZT06F060"/>
    <x v="40"/>
    <s v="F102"/>
    <s v="PARTICIPACION CIUDADANA"/>
    <s v="GI00F10200001D"/>
    <s v="GI00F10200001D PRESUPUESTOS PARTICIPATIVOS"/>
    <s v="75 OBRAS PÚBLICAS"/>
    <s v="750104 Urbanización y Embellecimiento"/>
    <s v="G/750104/1FF102"/>
    <s v="001"/>
    <n v="819164.85"/>
    <n v="-31217.55"/>
    <n v="-82174.600000000006"/>
    <n v="705772.7"/>
    <n v="0.01"/>
    <n v="705771.8"/>
    <n v="282807.96999999997"/>
    <n v="0.9"/>
    <n v="422964.73"/>
    <n v="0.89"/>
  </r>
  <r>
    <s v="75"/>
    <x v="2"/>
    <x v="7"/>
    <s v="ZS03F030"/>
    <x v="45"/>
    <s v="F102"/>
    <s v="PARTICIPACION CIUDADANA"/>
    <s v="GI00F10200001D"/>
    <s v="GI00F10200001D PRESUPUESTOS PARTICIPATIVOS"/>
    <s v="75 OBRAS PÚBLICAS"/>
    <s v="750104 Urbanización y Embellecimiento"/>
    <s v="G/750104/1FF102"/>
    <s v="002"/>
    <n v="161918.95000000001"/>
    <n v="-111879.96"/>
    <n v="0"/>
    <n v="50038.99"/>
    <n v="0"/>
    <n v="50038.99"/>
    <n v="50038.99"/>
    <n v="0"/>
    <n v="0"/>
    <n v="0"/>
  </r>
  <r>
    <s v="75"/>
    <x v="2"/>
    <x v="7"/>
    <s v="ZQ08F080"/>
    <x v="44"/>
    <s v="F102"/>
    <s v="PARTICIPACION CIUDADANA"/>
    <s v="GI00F10200001D"/>
    <s v="GI00F10200001D PRESUPUESTOS PARTICIPATIVOS"/>
    <s v="75 OBRAS PÚBLICAS"/>
    <s v="750104 Urbanización y Embellecimiento"/>
    <s v="G/750104/1FF102"/>
    <s v="002"/>
    <n v="787657.76"/>
    <n v="-84391.89"/>
    <n v="0"/>
    <n v="703265.87"/>
    <n v="0"/>
    <n v="703265.87"/>
    <n v="697886.11"/>
    <n v="0"/>
    <n v="5379.76"/>
    <n v="0"/>
  </r>
  <r>
    <s v="75"/>
    <x v="2"/>
    <x v="7"/>
    <s v="ZT06F060"/>
    <x v="40"/>
    <s v="F102"/>
    <s v="PARTICIPACION CIUDADANA"/>
    <s v="GI00F10200001D"/>
    <s v="GI00F10200001D PRESUPUESTOS PARTICIPATIVOS"/>
    <s v="75 OBRAS PÚBLICAS"/>
    <s v="750104 Urbanización y Embellecimiento"/>
    <s v="G/750104/1FF102"/>
    <s v="002"/>
    <n v="57278.64"/>
    <n v="-45250.76"/>
    <n v="-0.01"/>
    <n v="12027.87"/>
    <n v="0"/>
    <n v="12027.87"/>
    <n v="12027.86"/>
    <n v="0"/>
    <n v="0.01"/>
    <n v="0"/>
  </r>
  <r>
    <s v="75"/>
    <x v="2"/>
    <x v="7"/>
    <s v="ZV05F050"/>
    <x v="39"/>
    <s v="F102"/>
    <s v="PARTICIPACION CIUDADANA"/>
    <s v="GI00F10200001D"/>
    <s v="GI00F10200001D PRESUPUESTOS PARTICIPATIVOS"/>
    <s v="75 OBRAS PÚBLICAS"/>
    <s v="750104 Urbanización y Embellecimiento"/>
    <s v="G/750104/1FF102"/>
    <s v="001"/>
    <n v="210247.01"/>
    <n v="39912.050000000003"/>
    <n v="-60843"/>
    <n v="189316.06"/>
    <n v="520.54"/>
    <n v="181940.11"/>
    <n v="15492.88"/>
    <n v="7375.95"/>
    <n v="173823.18"/>
    <n v="6855.41"/>
  </r>
  <r>
    <s v="75"/>
    <x v="2"/>
    <x v="7"/>
    <s v="ZM04F040"/>
    <x v="41"/>
    <s v="F102"/>
    <s v="PARTICIPACION CIUDADANA"/>
    <s v="GI00F10200001D"/>
    <s v="GI00F10200001D PRESUPUESTOS PARTICIPATIVOS"/>
    <s v="75 OBRAS PÚBLICAS"/>
    <s v="750104 Urbanización y Embellecimiento"/>
    <s v="G/750104/1FF102"/>
    <s v="001"/>
    <n v="2176079.4"/>
    <n v="4495.4399999999996"/>
    <n v="-406056"/>
    <n v="1774518.84"/>
    <n v="9739.01"/>
    <n v="1764561.43"/>
    <n v="601565.24"/>
    <n v="9957.41"/>
    <n v="1172953.6000000001"/>
    <n v="218.4"/>
  </r>
  <r>
    <s v="75"/>
    <x v="2"/>
    <x v="7"/>
    <s v="ZM04F040"/>
    <x v="41"/>
    <s v="F102"/>
    <s v="PARTICIPACION CIUDADANA"/>
    <s v="GI00F10200001D"/>
    <s v="GI00F10200001D PRESUPUESTOS PARTICIPATIVOS"/>
    <s v="75 OBRAS PÚBLICAS"/>
    <s v="750104 Urbanización y Embellecimiento"/>
    <s v="G/750104/1FF102"/>
    <s v="002"/>
    <n v="567002.05000000005"/>
    <n v="-80030.91"/>
    <n v="0"/>
    <n v="486971.14"/>
    <n v="0"/>
    <n v="486971.14"/>
    <n v="486971.08"/>
    <n v="0"/>
    <n v="0.06"/>
    <n v="0"/>
  </r>
  <r>
    <s v="75"/>
    <x v="2"/>
    <x v="7"/>
    <s v="ZC09F090"/>
    <x v="10"/>
    <s v="F102"/>
    <s v="PARTICIPACION CIUDADANA"/>
    <s v="GI00F10200001D"/>
    <s v="GI00F10200001D PRESUPUESTOS PARTICIPATIVOS"/>
    <s v="75 OBRAS PÚBLICAS"/>
    <s v="750104 Urbanización y Embellecimiento"/>
    <s v="G/750104/1FF102"/>
    <s v="002"/>
    <n v="232581.4"/>
    <n v="-161665.68"/>
    <n v="0"/>
    <n v="70915.72"/>
    <n v="0"/>
    <n v="70915.72"/>
    <n v="70915.72"/>
    <n v="0"/>
    <n v="0"/>
    <n v="0"/>
  </r>
  <r>
    <s v="75"/>
    <x v="2"/>
    <x v="7"/>
    <s v="ZM04F040"/>
    <x v="41"/>
    <s v="F102"/>
    <s v="PARTICIPACION CIUDADANA"/>
    <s v="GI00F10200001D"/>
    <s v="GI00F10200001D PRESUPUESTOS PARTICIPATIVOS"/>
    <s v="75 OBRAS PÚBLICAS"/>
    <s v="750105 Transporte y Vías"/>
    <s v="G/750105/1FF102"/>
    <s v="002"/>
    <n v="24900"/>
    <n v="22567.58"/>
    <n v="0"/>
    <n v="47467.58"/>
    <n v="0.01"/>
    <n v="47467.57"/>
    <n v="47467.57"/>
    <n v="0.01"/>
    <n v="0.01"/>
    <n v="0"/>
  </r>
  <r>
    <s v="75"/>
    <x v="2"/>
    <x v="7"/>
    <s v="ZV05F050"/>
    <x v="39"/>
    <s v="F102"/>
    <s v="PARTICIPACION CIUDADANA"/>
    <s v="GI00F10200001D"/>
    <s v="GI00F10200001D PRESUPUESTOS PARTICIPATIVOS"/>
    <s v="75 OBRAS PÚBLICAS"/>
    <s v="750105 Transporte y Vías"/>
    <s v="G/750105/1FF102"/>
    <s v="001"/>
    <n v="1430806.72"/>
    <n v="-17994.16"/>
    <n v="-22500"/>
    <n v="1390312.56"/>
    <n v="826.44"/>
    <n v="1375662.65"/>
    <n v="623063.31999999995"/>
    <n v="14649.91"/>
    <n v="767249.24"/>
    <n v="13823.47"/>
  </r>
  <r>
    <s v="75"/>
    <x v="2"/>
    <x v="7"/>
    <s v="ZS03F030"/>
    <x v="45"/>
    <s v="F102"/>
    <s v="PARTICIPACION CIUDADANA"/>
    <s v="GI00F10200001D"/>
    <s v="GI00F10200001D PRESUPUESTOS PARTICIPATIVOS"/>
    <s v="75 OBRAS PÚBLICAS"/>
    <s v="750105 Transporte y Vías"/>
    <s v="G/750105/1FF102"/>
    <s v="002"/>
    <n v="0"/>
    <n v="111879.96"/>
    <n v="0"/>
    <n v="111879.96"/>
    <n v="0"/>
    <n v="111879.96"/>
    <n v="111879.96"/>
    <n v="0"/>
    <n v="0"/>
    <n v="0"/>
  </r>
  <r>
    <s v="75"/>
    <x v="2"/>
    <x v="7"/>
    <s v="ZS03F030"/>
    <x v="45"/>
    <s v="F102"/>
    <s v="PARTICIPACION CIUDADANA"/>
    <s v="GI00F10200001D"/>
    <s v="GI00F10200001D PRESUPUESTOS PARTICIPATIVOS"/>
    <s v="75 OBRAS PÚBLICAS"/>
    <s v="750105 Transporte y Vías"/>
    <s v="G/750105/1FF102"/>
    <s v="001"/>
    <n v="1533018.52"/>
    <n v="7334.94"/>
    <n v="-162000"/>
    <n v="1378353.46"/>
    <n v="197299.92"/>
    <n v="1177979.56"/>
    <n v="602976.26"/>
    <n v="200373.9"/>
    <n v="775377.2"/>
    <n v="3073.98"/>
  </r>
  <r>
    <s v="75"/>
    <x v="2"/>
    <x v="7"/>
    <s v="ZD07F070"/>
    <x v="43"/>
    <s v="F102"/>
    <s v="PARTICIPACION CIUDADANA"/>
    <s v="GI00F10200001D"/>
    <s v="GI00F10200001D PRESUPUESTOS PARTICIPATIVOS"/>
    <s v="75 OBRAS PÚBLICAS"/>
    <s v="750105 Transporte y Vías"/>
    <s v="G/750105/1FF102"/>
    <s v="002"/>
    <n v="90000"/>
    <n v="-59574.17"/>
    <n v="0"/>
    <n v="30425.83"/>
    <n v="0.01"/>
    <n v="30425.82"/>
    <n v="30425.82"/>
    <n v="0.01"/>
    <n v="0.01"/>
    <n v="0"/>
  </r>
  <r>
    <s v="75"/>
    <x v="2"/>
    <x v="7"/>
    <s v="ZT06F060"/>
    <x v="40"/>
    <s v="F102"/>
    <s v="PARTICIPACION CIUDADANA"/>
    <s v="GI00F10200001D"/>
    <s v="GI00F10200001D PRESUPUESTOS PARTICIPATIVOS"/>
    <s v="75 OBRAS PÚBLICAS"/>
    <s v="750105 Transporte y Vías"/>
    <s v="G/750105/1FF102"/>
    <s v="002"/>
    <n v="141267.42000000001"/>
    <n v="-71169.77"/>
    <n v="-0.01"/>
    <n v="70097.64"/>
    <n v="0"/>
    <n v="70097.64"/>
    <n v="70097.64"/>
    <n v="0"/>
    <n v="0"/>
    <n v="0"/>
  </r>
  <r>
    <s v="75"/>
    <x v="2"/>
    <x v="7"/>
    <s v="ZT06F060"/>
    <x v="40"/>
    <s v="F102"/>
    <s v="PARTICIPACION CIUDADANA"/>
    <s v="GI00F10200001D"/>
    <s v="GI00F10200001D PRESUPUESTOS PARTICIPATIVOS"/>
    <s v="75 OBRAS PÚBLICAS"/>
    <s v="750105 Transporte y Vías"/>
    <s v="G/750105/1FF102"/>
    <s v="001"/>
    <n v="1668818.66"/>
    <n v="-225838.06"/>
    <n v="-99270.9"/>
    <n v="1343709.7"/>
    <n v="0"/>
    <n v="1343709.69"/>
    <n v="446747.99"/>
    <n v="0.01"/>
    <n v="896961.71"/>
    <n v="0.01"/>
  </r>
  <r>
    <s v="75"/>
    <x v="2"/>
    <x v="7"/>
    <s v="ZN02F020"/>
    <x v="46"/>
    <s v="F102"/>
    <s v="PARTICIPACION CIUDADANA"/>
    <s v="GI00F10200001D"/>
    <s v="GI00F10200001D PRESUPUESTOS PARTICIPATIVOS"/>
    <s v="75 OBRAS PÚBLICAS"/>
    <s v="750105 Transporte y Vías"/>
    <s v="G/750105/1FF102"/>
    <s v="001"/>
    <n v="1982402.14"/>
    <n v="190160.81"/>
    <n v="-315826.99"/>
    <n v="1856735.96"/>
    <n v="0"/>
    <n v="1810936.45"/>
    <n v="980246.26"/>
    <n v="45799.51"/>
    <n v="876489.7"/>
    <n v="45799.51"/>
  </r>
  <r>
    <s v="75"/>
    <x v="2"/>
    <x v="7"/>
    <s v="ZC09F090"/>
    <x v="10"/>
    <s v="F102"/>
    <s v="PARTICIPACION CIUDADANA"/>
    <s v="GI00F10200001D"/>
    <s v="GI00F10200001D PRESUPUESTOS PARTICIPATIVOS"/>
    <s v="75 OBRAS PÚBLICAS"/>
    <s v="750105 Transporte y Vías"/>
    <s v="G/750105/1FF102"/>
    <s v="001"/>
    <n v="2871294.47"/>
    <n v="232581.4"/>
    <n v="-249999.99"/>
    <n v="2853875.88"/>
    <n v="0"/>
    <n v="2599954.4300000002"/>
    <n v="616594.78"/>
    <n v="253921.45"/>
    <n v="2237281.1"/>
    <n v="253921.45"/>
  </r>
  <r>
    <s v="75"/>
    <x v="2"/>
    <x v="7"/>
    <s v="ZN02F020"/>
    <x v="46"/>
    <s v="F102"/>
    <s v="PARTICIPACION CIUDADANA"/>
    <s v="GI00F10200001D"/>
    <s v="GI00F10200001D PRESUPUESTOS PARTICIPATIVOS"/>
    <s v="75 OBRAS PÚBLICAS"/>
    <s v="750105 Transporte y Vías"/>
    <s v="G/750105/1FF102"/>
    <s v="002"/>
    <n v="56249.919999999998"/>
    <n v="243219.5"/>
    <n v="0"/>
    <n v="299469.42"/>
    <n v="0"/>
    <n v="299469.42"/>
    <n v="299469.42"/>
    <n v="0"/>
    <n v="0"/>
    <n v="0"/>
  </r>
  <r>
    <s v="75"/>
    <x v="2"/>
    <x v="7"/>
    <s v="ZC09F090"/>
    <x v="10"/>
    <s v="F102"/>
    <s v="PARTICIPACION CIUDADANA"/>
    <s v="GI00F10200001D"/>
    <s v="GI00F10200001D PRESUPUESTOS PARTICIPATIVOS"/>
    <s v="75 OBRAS PÚBLICAS"/>
    <s v="750105 Transporte y Vías"/>
    <s v="G/750105/1FF102"/>
    <s v="002"/>
    <n v="0"/>
    <n v="174333.23"/>
    <n v="-0.01"/>
    <n v="174333.22"/>
    <n v="0"/>
    <n v="174333.22"/>
    <n v="174333.22"/>
    <n v="0"/>
    <n v="0"/>
    <n v="0"/>
  </r>
  <r>
    <s v="75"/>
    <x v="2"/>
    <x v="7"/>
    <s v="ZQ08F080"/>
    <x v="44"/>
    <s v="F102"/>
    <s v="PARTICIPACION CIUDADANA"/>
    <s v="GI00F10200001D"/>
    <s v="GI00F10200001D PRESUPUESTOS PARTICIPATIVOS"/>
    <s v="75 OBRAS PÚBLICAS"/>
    <s v="750105 Transporte y Vías"/>
    <s v="G/750105/1FF102"/>
    <s v="001"/>
    <n v="2443557.15"/>
    <n v="-91757.15"/>
    <n v="-398784.54"/>
    <n v="1953015.46"/>
    <n v="0"/>
    <n v="1953015.46"/>
    <n v="948583.25"/>
    <n v="0"/>
    <n v="1004432.21"/>
    <n v="0"/>
  </r>
  <r>
    <s v="75"/>
    <x v="2"/>
    <x v="7"/>
    <s v="ZM04F040"/>
    <x v="41"/>
    <s v="F102"/>
    <s v="PARTICIPACION CIUDADANA"/>
    <s v="GI00F10200001D"/>
    <s v="GI00F10200001D PRESUPUESTOS PARTICIPATIVOS"/>
    <s v="75 OBRAS PÚBLICAS"/>
    <s v="750105 Transporte y Vías"/>
    <s v="G/750105/1FF102"/>
    <s v="001"/>
    <n v="786371.82"/>
    <n v="68751.990000000005"/>
    <n v="-202720"/>
    <n v="652403.81000000006"/>
    <n v="0"/>
    <n v="649415.80000000005"/>
    <n v="55803.9"/>
    <n v="2988.01"/>
    <n v="596599.91"/>
    <n v="2988.01"/>
  </r>
  <r>
    <s v="75"/>
    <x v="2"/>
    <x v="7"/>
    <s v="ZD07F070"/>
    <x v="43"/>
    <s v="F102"/>
    <s v="PARTICIPACION CIUDADANA"/>
    <s v="GI00F10200001D"/>
    <s v="GI00F10200001D PRESUPUESTOS PARTICIPATIVOS"/>
    <s v="75 OBRAS PÚBLICAS"/>
    <s v="750105 Transporte y Vías"/>
    <s v="G/750105/1FF102"/>
    <s v="001"/>
    <n v="1505465.7"/>
    <n v="-92413.09"/>
    <n v="-43000"/>
    <n v="1370052.61"/>
    <n v="0.04"/>
    <n v="1355465.88"/>
    <n v="445530.23"/>
    <n v="14586.73"/>
    <n v="924522.38"/>
    <n v="14586.69"/>
  </r>
  <r>
    <s v="75"/>
    <x v="2"/>
    <x v="7"/>
    <s v="ZT06F060"/>
    <x v="40"/>
    <s v="F102"/>
    <s v="PARTICIPACION CIUDADANA"/>
    <s v="GI00F10200001D"/>
    <s v="GI00F10200001D PRESUPUESTOS PARTICIPATIVOS"/>
    <s v="75 OBRAS PÚBLICAS"/>
    <s v="750107 Construcciones y Edificaciones"/>
    <s v="G/750107/1FF102"/>
    <s v="001"/>
    <n v="825454.9"/>
    <n v="48283.11"/>
    <n v="-269072.71999999997"/>
    <n v="604665.29"/>
    <n v="0"/>
    <n v="604665.29"/>
    <n v="339152.01"/>
    <n v="0"/>
    <n v="265513.28000000003"/>
    <n v="0"/>
  </r>
  <r>
    <s v="75"/>
    <x v="2"/>
    <x v="7"/>
    <s v="ZD07F070"/>
    <x v="43"/>
    <s v="F102"/>
    <s v="PARTICIPACION CIUDADANA"/>
    <s v="GI00F10200001D"/>
    <s v="GI00F10200001D PRESUPUESTOS PARTICIPATIVOS"/>
    <s v="75 OBRAS PÚBLICAS"/>
    <s v="750107 Construcciones y Edificaciones"/>
    <s v="G/750107/1FF102"/>
    <s v="002"/>
    <n v="65000"/>
    <n v="-65000"/>
    <n v="0"/>
    <n v="0"/>
    <n v="0"/>
    <n v="0"/>
    <n v="0"/>
    <n v="0"/>
    <n v="0"/>
    <n v="0"/>
  </r>
  <r>
    <s v="75"/>
    <x v="2"/>
    <x v="7"/>
    <s v="ZT06F060"/>
    <x v="40"/>
    <s v="F102"/>
    <s v="PARTICIPACION CIUDADANA"/>
    <s v="GI00F10200001D"/>
    <s v="GI00F10200001D PRESUPUESTOS PARTICIPATIVOS"/>
    <s v="75 OBRAS PÚBLICAS"/>
    <s v="750107 Construcciones y Edificaciones"/>
    <s v="G/750107/1FF102"/>
    <s v="002"/>
    <n v="234498.13"/>
    <n v="-26732.05"/>
    <n v="0"/>
    <n v="207766.08"/>
    <n v="0"/>
    <n v="207766.08"/>
    <n v="207766.07"/>
    <n v="0"/>
    <n v="0.01"/>
    <n v="0"/>
  </r>
  <r>
    <s v="75"/>
    <x v="2"/>
    <x v="7"/>
    <s v="ZC09F090"/>
    <x v="10"/>
    <s v="F102"/>
    <s v="PARTICIPACION CIUDADANA"/>
    <s v="GI00F10200006D"/>
    <s v="GI00F10200006D INFRAESTRUCTURA COMUNITARIA"/>
    <s v="75 OBRAS PÚBLICAS"/>
    <s v="750104 Urbanización y Embellecimiento"/>
    <s v="G/750104/1FF102"/>
    <s v="001"/>
    <n v="230964"/>
    <n v="-164490.57"/>
    <n v="-100"/>
    <n v="66373.429999999993"/>
    <n v="0"/>
    <n v="65644.009999999995"/>
    <n v="65644.009999999995"/>
    <n v="729.42"/>
    <n v="729.42"/>
    <n v="729.42"/>
  </r>
  <r>
    <s v="75"/>
    <x v="2"/>
    <x v="7"/>
    <s v="ZS03F030"/>
    <x v="45"/>
    <s v="F102"/>
    <s v="PARTICIPACION CIUDADANA"/>
    <s v="GI00F10200006D"/>
    <s v="GI00F10200006D INFRAESTRUCTURA COMUNITARIA"/>
    <s v="75 OBRAS PÚBLICAS"/>
    <s v="750104 Urbanización y Embellecimiento"/>
    <s v="G/750104/1FF102"/>
    <s v="001"/>
    <n v="402100.22"/>
    <n v="0"/>
    <n v="-133745.95000000001"/>
    <n v="268354.27"/>
    <n v="35002.730000000003"/>
    <n v="233351.54"/>
    <n v="232659.59"/>
    <n v="35002.730000000003"/>
    <n v="35694.68"/>
    <n v="0"/>
  </r>
  <r>
    <s v="75"/>
    <x v="2"/>
    <x v="7"/>
    <s v="ZT06F060"/>
    <x v="40"/>
    <s v="F102"/>
    <s v="PARTICIPACION CIUDADANA"/>
    <s v="GI00F10200006D"/>
    <s v="GI00F10200006D INFRAESTRUCTURA COMUNITARIA"/>
    <s v="75 OBRAS PÚBLICAS"/>
    <s v="750104 Urbanización y Embellecimiento"/>
    <s v="G/750104/1FF102"/>
    <s v="001"/>
    <n v="55000"/>
    <n v="-27000"/>
    <n v="-28000"/>
    <n v="0"/>
    <n v="0"/>
    <n v="0"/>
    <n v="0"/>
    <n v="0"/>
    <n v="0"/>
    <n v="0"/>
  </r>
  <r>
    <s v="75"/>
    <x v="2"/>
    <x v="7"/>
    <s v="ZN02F020"/>
    <x v="46"/>
    <s v="F102"/>
    <s v="PARTICIPACION CIUDADANA"/>
    <s v="GI00F10200006D"/>
    <s v="GI00F10200006D INFRAESTRUCTURA COMUNITARIA"/>
    <s v="75 OBRAS PÚBLICAS"/>
    <s v="750104 Urbanización y Embellecimiento"/>
    <s v="G/750104/1FF102"/>
    <s v="001"/>
    <n v="300000"/>
    <n v="-36892.49"/>
    <n v="-45256.29"/>
    <n v="217851.22"/>
    <n v="0"/>
    <n v="217851.22"/>
    <n v="141846.04"/>
    <n v="0"/>
    <n v="76005.179999999993"/>
    <n v="0"/>
  </r>
  <r>
    <s v="75"/>
    <x v="2"/>
    <x v="7"/>
    <s v="ZM04F040"/>
    <x v="41"/>
    <s v="F102"/>
    <s v="PARTICIPACION CIUDADANA"/>
    <s v="GI00F10200006D"/>
    <s v="GI00F10200006D INFRAESTRUCTURA COMUNITARIA"/>
    <s v="75 OBRAS PÚBLICAS"/>
    <s v="750104 Urbanización y Embellecimiento"/>
    <s v="G/750104/1FF102"/>
    <s v="001"/>
    <n v="347040"/>
    <n v="0"/>
    <n v="-266400"/>
    <n v="80640"/>
    <n v="0"/>
    <n v="80640"/>
    <n v="0"/>
    <n v="0"/>
    <n v="80640"/>
    <n v="0"/>
  </r>
  <r>
    <s v="75"/>
    <x v="2"/>
    <x v="7"/>
    <s v="ZQ08F080"/>
    <x v="44"/>
    <s v="F102"/>
    <s v="PARTICIPACION CIUDADANA"/>
    <s v="GI00F10200006D"/>
    <s v="GI00F10200006D INFRAESTRUCTURA COMUNITARIA"/>
    <s v="75 OBRAS PÚBLICAS"/>
    <s v="750104 Urbanización y Embellecimiento"/>
    <s v="G/750104/1FF102"/>
    <s v="001"/>
    <n v="455528.6"/>
    <n v="-380528.6"/>
    <n v="-50018.98"/>
    <n v="24981.02"/>
    <n v="0"/>
    <n v="24981.02"/>
    <n v="24305.68"/>
    <n v="0"/>
    <n v="675.34"/>
    <n v="0"/>
  </r>
  <r>
    <s v="75"/>
    <x v="2"/>
    <x v="7"/>
    <s v="ZV05F050"/>
    <x v="39"/>
    <s v="F102"/>
    <s v="PARTICIPACION CIUDADANA"/>
    <s v="GI00F10200006D"/>
    <s v="GI00F10200006D INFRAESTRUCTURA COMUNITARIA"/>
    <s v="75 OBRAS PÚBLICAS"/>
    <s v="750104 Urbanización y Embellecimiento"/>
    <s v="G/750104/1FF102"/>
    <s v="001"/>
    <n v="197716.97"/>
    <n v="10607.83"/>
    <n v="0"/>
    <n v="208324.8"/>
    <n v="0.06"/>
    <n v="208324.74"/>
    <n v="11994.27"/>
    <n v="0.06"/>
    <n v="196330.53"/>
    <n v="0"/>
  </r>
  <r>
    <s v="75"/>
    <x v="2"/>
    <x v="7"/>
    <s v="ZD07F070"/>
    <x v="43"/>
    <s v="F102"/>
    <s v="PARTICIPACION CIUDADANA"/>
    <s v="GI00F10200006D"/>
    <s v="GI00F10200006D INFRAESTRUCTURA COMUNITARIA"/>
    <s v="75 OBRAS PÚBLICAS"/>
    <s v="750104 Urbanización y Embellecimiento"/>
    <s v="G/750104/1FF102"/>
    <s v="001"/>
    <n v="238012.98"/>
    <n v="2218.5700000000002"/>
    <n v="-30000"/>
    <n v="210231.55"/>
    <n v="1644.2"/>
    <n v="205914.35"/>
    <n v="180514.87"/>
    <n v="4317.2"/>
    <n v="29716.68"/>
    <n v="2673"/>
  </r>
  <r>
    <s v="75"/>
    <x v="2"/>
    <x v="7"/>
    <s v="ZC09F090"/>
    <x v="10"/>
    <s v="F102"/>
    <s v="PARTICIPACION CIUDADANA"/>
    <s v="GI00F10200006D"/>
    <s v="GI00F10200006D INFRAESTRUCTURA COMUNITARIA"/>
    <s v="75 OBRAS PÚBLICAS"/>
    <s v="750104 Urbanización y Embellecimiento"/>
    <s v="G/750104/1FF102"/>
    <s v="002"/>
    <n v="53123.75"/>
    <n v="0"/>
    <n v="0"/>
    <n v="53123.75"/>
    <n v="0"/>
    <n v="53123.75"/>
    <n v="53123.75"/>
    <n v="0"/>
    <n v="0"/>
    <n v="0"/>
  </r>
  <r>
    <s v="75"/>
    <x v="2"/>
    <x v="7"/>
    <s v="ZD07F070"/>
    <x v="43"/>
    <s v="F102"/>
    <s v="PARTICIPACION CIUDADANA"/>
    <s v="GI00F10200006D"/>
    <s v="GI00F10200006D INFRAESTRUCTURA COMUNITARIA"/>
    <s v="75 OBRAS PÚBLICAS"/>
    <s v="750104 Urbanización y Embellecimiento"/>
    <s v="G/750104/1FF102"/>
    <s v="002"/>
    <n v="100000"/>
    <n v="-64108.63"/>
    <n v="0"/>
    <n v="35891.370000000003"/>
    <n v="0.01"/>
    <n v="35891.360000000001"/>
    <n v="35891.360000000001"/>
    <n v="0.01"/>
    <n v="0.01"/>
    <n v="0"/>
  </r>
  <r>
    <s v="75"/>
    <x v="2"/>
    <x v="7"/>
    <s v="ZS03F030"/>
    <x v="45"/>
    <s v="F102"/>
    <s v="PARTICIPACION CIUDADANA"/>
    <s v="GI00F10200006D"/>
    <s v="GI00F10200006D INFRAESTRUCTURA COMUNITARIA"/>
    <s v="75 OBRAS PÚBLICAS"/>
    <s v="750105 Transporte y Vías"/>
    <s v="G/750105/1FF102"/>
    <s v="001"/>
    <n v="134041.07"/>
    <n v="-36257.49"/>
    <n v="-97783.58"/>
    <n v="0"/>
    <n v="0"/>
    <n v="0"/>
    <n v="0"/>
    <n v="0"/>
    <n v="0"/>
    <n v="0"/>
  </r>
  <r>
    <s v="75"/>
    <x v="2"/>
    <x v="7"/>
    <s v="ZV05F050"/>
    <x v="39"/>
    <s v="F102"/>
    <s v="PARTICIPACION CIUDADANA"/>
    <s v="GI00F10200006D"/>
    <s v="GI00F10200006D INFRAESTRUCTURA COMUNITARIA"/>
    <s v="75 OBRAS PÚBLICAS"/>
    <s v="750105 Transporte y Vías"/>
    <s v="G/750105/1FF102"/>
    <s v="001"/>
    <n v="40000"/>
    <n v="29392.17"/>
    <n v="0"/>
    <n v="69392.17"/>
    <n v="0.28000000000000003"/>
    <n v="64404.46"/>
    <n v="14999.22"/>
    <n v="4987.71"/>
    <n v="54392.95"/>
    <n v="4987.43"/>
  </r>
  <r>
    <s v="75"/>
    <x v="2"/>
    <x v="7"/>
    <s v="ZM04F040"/>
    <x v="41"/>
    <s v="F102"/>
    <s v="PARTICIPACION CIUDADANA"/>
    <s v="GI00F10200006D"/>
    <s v="GI00F10200006D INFRAESTRUCTURA COMUNITARIA"/>
    <s v="75 OBRAS PÚBLICAS"/>
    <s v="750105 Transporte y Vías"/>
    <s v="G/750105/1FF102"/>
    <s v="001"/>
    <n v="75756.740000000005"/>
    <n v="0"/>
    <n v="-49996.74"/>
    <n v="25760"/>
    <n v="0"/>
    <n v="25760"/>
    <n v="0"/>
    <n v="0"/>
    <n v="25760"/>
    <n v="0"/>
  </r>
  <r>
    <s v="75"/>
    <x v="2"/>
    <x v="7"/>
    <s v="ZN02F020"/>
    <x v="46"/>
    <s v="F102"/>
    <s v="PARTICIPACION CIUDADANA"/>
    <s v="GI00F10200006D"/>
    <s v="GI00F10200006D INFRAESTRUCTURA COMUNITARIA"/>
    <s v="75 OBRAS PÚBLICAS"/>
    <s v="750105 Transporte y Vías"/>
    <s v="G/750105/1FF102"/>
    <s v="001"/>
    <n v="276402.88"/>
    <n v="-5100"/>
    <n v="-271302.88"/>
    <n v="0"/>
    <n v="0"/>
    <n v="0"/>
    <n v="0"/>
    <n v="0"/>
    <n v="0"/>
    <n v="0"/>
  </r>
  <r>
    <s v="75"/>
    <x v="2"/>
    <x v="7"/>
    <s v="ZD07F070"/>
    <x v="43"/>
    <s v="F102"/>
    <s v="PARTICIPACION CIUDADANA"/>
    <s v="GI00F10200006D"/>
    <s v="GI00F10200006D INFRAESTRUCTURA COMUNITARIA"/>
    <s v="75 OBRAS PÚBLICAS"/>
    <s v="750105 Transporte y Vías"/>
    <s v="G/750105/1FF102"/>
    <s v="001"/>
    <n v="220000"/>
    <n v="3852.42"/>
    <n v="0"/>
    <n v="223852.42"/>
    <n v="3852.42"/>
    <n v="210759.58"/>
    <n v="41918.39"/>
    <n v="13092.84"/>
    <n v="181934.03"/>
    <n v="9240.42"/>
  </r>
  <r>
    <s v="75"/>
    <x v="2"/>
    <x v="7"/>
    <s v="ZQ08F080"/>
    <x v="44"/>
    <s v="F102"/>
    <s v="PARTICIPACION CIUDADANA"/>
    <s v="GI00F10200006D"/>
    <s v="GI00F10200006D INFRAESTRUCTURA COMUNITARIA"/>
    <s v="75 OBRAS PÚBLICAS"/>
    <s v="750105 Transporte y Vías"/>
    <s v="G/750105/1FF102"/>
    <s v="001"/>
    <n v="171842.86"/>
    <n v="370157.14"/>
    <n v="-272544.15999999997"/>
    <n v="269455.84000000003"/>
    <n v="0"/>
    <n v="269455.84000000003"/>
    <n v="0"/>
    <n v="0"/>
    <n v="269455.84000000003"/>
    <n v="0"/>
  </r>
  <r>
    <s v="75"/>
    <x v="2"/>
    <x v="7"/>
    <s v="ZC09F090"/>
    <x v="10"/>
    <s v="F102"/>
    <s v="PARTICIPACION CIUDADANA"/>
    <s v="GI00F10200006D"/>
    <s v="GI00F10200006D INFRAESTRUCTURA COMUNITARIA"/>
    <s v="75 OBRAS PÚBLICAS"/>
    <s v="750105 Transporte y Vías"/>
    <s v="G/750105/1FF102"/>
    <s v="001"/>
    <n v="316380.99"/>
    <n v="162290.57"/>
    <n v="0"/>
    <n v="478671.56"/>
    <n v="0.01"/>
    <n v="391544.67"/>
    <n v="169217.17"/>
    <n v="87126.89"/>
    <n v="309454.39"/>
    <n v="87126.88"/>
  </r>
  <r>
    <s v="75"/>
    <x v="2"/>
    <x v="7"/>
    <s v="ZC09F090"/>
    <x v="10"/>
    <s v="F102"/>
    <s v="PARTICIPACION CIUDADANA"/>
    <s v="GI00F10200006D"/>
    <s v="GI00F10200006D INFRAESTRUCTURA COMUNITARIA"/>
    <s v="75 OBRAS PÚBLICAS"/>
    <s v="750105 Transporte y Vías"/>
    <s v="G/750105/1FF102"/>
    <s v="002"/>
    <n v="0"/>
    <n v="82171.839999999997"/>
    <n v="0"/>
    <n v="82171.839999999997"/>
    <n v="0"/>
    <n v="82171.839999999997"/>
    <n v="82171.83"/>
    <n v="0"/>
    <n v="0.01"/>
    <n v="0"/>
  </r>
  <r>
    <s v="75"/>
    <x v="2"/>
    <x v="7"/>
    <s v="ZT06F060"/>
    <x v="40"/>
    <s v="F102"/>
    <s v="PARTICIPACION CIUDADANA"/>
    <s v="GI00F10200006D"/>
    <s v="GI00F10200006D INFRAESTRUCTURA COMUNITARIA"/>
    <s v="75 OBRAS PÚBLICAS"/>
    <s v="750105 Transporte y Vías"/>
    <s v="G/750105/1FF102"/>
    <s v="001"/>
    <n v="80000"/>
    <n v="316151.86"/>
    <n v="-9504.26"/>
    <n v="386647.6"/>
    <n v="0"/>
    <n v="144893.82999999999"/>
    <n v="0"/>
    <n v="241753.77"/>
    <n v="386647.6"/>
    <n v="241753.77"/>
  </r>
  <r>
    <s v="75"/>
    <x v="2"/>
    <x v="7"/>
    <s v="ZT06F060"/>
    <x v="40"/>
    <s v="F102"/>
    <s v="PARTICIPACION CIUDADANA"/>
    <s v="GI00F10200006D"/>
    <s v="GI00F10200006D INFRAESTRUCTURA COMUNITARIA"/>
    <s v="75 OBRAS PÚBLICAS"/>
    <s v="750107 Construcciones y Edificaciones"/>
    <s v="G/750107/1FF102"/>
    <s v="001"/>
    <n v="289151.86"/>
    <n v="-289151.86"/>
    <n v="0"/>
    <n v="0"/>
    <n v="0"/>
    <n v="0"/>
    <n v="0"/>
    <n v="0"/>
    <n v="0"/>
    <n v="0"/>
  </r>
  <r>
    <s v="75"/>
    <x v="2"/>
    <x v="7"/>
    <s v="ZC09F090"/>
    <x v="10"/>
    <s v="F102"/>
    <s v="PARTICIPACION CIUDADANA"/>
    <s v="GI00F10200006D"/>
    <s v="GI00F10200006D INFRAESTRUCTURA COMUNITARIA"/>
    <s v="75 OBRAS PÚBLICAS"/>
    <s v="750501 Obras de Infraestructura"/>
    <s v="G/750501/1FF102"/>
    <s v="001"/>
    <n v="0"/>
    <n v="2200"/>
    <n v="-2200"/>
    <n v="0"/>
    <n v="0"/>
    <n v="0"/>
    <n v="0"/>
    <n v="0"/>
    <n v="0"/>
    <n v="0"/>
  </r>
  <r>
    <s v="75"/>
    <x v="1"/>
    <x v="15"/>
    <s v="ZA01G000"/>
    <x v="26"/>
    <s v="G101"/>
    <s v="ARTE, CULTURA Y PATRIMONIO"/>
    <s v="GI00G10100003D"/>
    <s v="GI00G10100003D SERVICIOS CULTURALES COMUNITARIOS Y DEPO"/>
    <s v="75 OBRAS PÚBLICAS"/>
    <s v="750501 Obras de Infraestructura"/>
    <s v="G/750501/1GG101"/>
    <s v="001"/>
    <n v="10000"/>
    <n v="0"/>
    <n v="-10000"/>
    <n v="0"/>
    <n v="0"/>
    <n v="0"/>
    <n v="0"/>
    <n v="0"/>
    <n v="0"/>
    <n v="0"/>
  </r>
  <r>
    <s v="75"/>
    <x v="3"/>
    <x v="6"/>
    <s v="AC67Q000"/>
    <x v="9"/>
    <s v="H203"/>
    <s v="QUITO PRODUCE"/>
    <s v="GI00H20300007D"/>
    <s v="GI00H20300007D REPOTENCIACION DE INFRAESTRUCTURA DE MER"/>
    <s v="75 OBRAS PÚBLICAS"/>
    <s v="750107 Construcciones y Edificaciones"/>
    <s v="G/750107/2QH203"/>
    <s v="001"/>
    <n v="2000000"/>
    <n v="-2000000"/>
    <n v="0"/>
    <n v="0"/>
    <n v="0"/>
    <n v="0"/>
    <n v="0"/>
    <n v="0"/>
    <n v="0"/>
    <n v="0"/>
  </r>
  <r>
    <s v="75"/>
    <x v="3"/>
    <x v="6"/>
    <s v="AC67Q000"/>
    <x v="9"/>
    <s v="H209"/>
    <s v="FOMENTO DEL DESARROLLO ECONÓMICO LOCAL"/>
    <s v="GI00H20900001D"/>
    <s v="GI00H20900001D REPOTENCIACION DE INFRAESTRUCTURA DE MER"/>
    <s v="75 OBRAS PÚBLICAS"/>
    <s v="750107 Construcciones y Edificaciones"/>
    <s v="G/750107/2QH209"/>
    <s v="001"/>
    <n v="2806879.08"/>
    <n v="1990466.26"/>
    <n v="-3721936.5"/>
    <n v="1075408.8400000001"/>
    <n v="524603.78"/>
    <n v="515046.46"/>
    <n v="271662.45"/>
    <n v="560362.38"/>
    <n v="803746.39"/>
    <n v="35758.6"/>
  </r>
  <r>
    <s v="75"/>
    <x v="2"/>
    <x v="7"/>
    <s v="TM68F100"/>
    <x v="36"/>
    <s v="H211"/>
    <s v="DESARROLLO TERRITORIAL"/>
    <s v="GI00H21100002D"/>
    <s v="GI00H21100002D PROMOCIÓN DE VOCACIONES PRODUCTIVAS TERR"/>
    <s v="75 OBRAS PÚBLICAS"/>
    <s v="750104 Urbanización y Embellecimiento"/>
    <s v="G/750104/2FH211"/>
    <s v="001"/>
    <n v="10000"/>
    <n v="-2428.8000000000002"/>
    <n v="0"/>
    <n v="7571.2"/>
    <n v="0"/>
    <n v="7571.2"/>
    <n v="7571.2"/>
    <n v="0"/>
    <n v="0"/>
    <n v="0"/>
  </r>
  <r>
    <s v="75"/>
    <x v="1"/>
    <x v="10"/>
    <s v="ZA01I000"/>
    <x v="18"/>
    <s v="I101"/>
    <s v="PRACTICAS SALUDABLES"/>
    <s v="GI00I10100004D"/>
    <s v="GI00I10100004D QUITO A LA CANCHA"/>
    <s v="75 OBRAS PÚBLICAS"/>
    <s v="750107 Construcciones y Edificaciones"/>
    <s v="G/750107/1II101"/>
    <s v="001"/>
    <n v="14742672"/>
    <n v="-4612221.26"/>
    <n v="-6066931.0599999996"/>
    <n v="4063519.68"/>
    <n v="1892694.67"/>
    <n v="953165.18"/>
    <n v="0"/>
    <n v="3110354.5"/>
    <n v="4063519.68"/>
    <n v="1217659.83"/>
  </r>
  <r>
    <s v="75"/>
    <x v="1"/>
    <x v="10"/>
    <s v="EE11I010"/>
    <x v="37"/>
    <s v="I102"/>
    <s v="SISTEMA EDUCATIVO MUNICIPAL"/>
    <s v="GI00I10200004D"/>
    <s v="GI00I10200004D FORTALECIMIENTO PEDAGOGICO"/>
    <s v="75 OBRAS PÚBLICAS"/>
    <s v="750107 Construcciones y Edificaciones"/>
    <s v="G/750107/1II102"/>
    <s v="001"/>
    <n v="10000"/>
    <n v="0"/>
    <n v="-10000"/>
    <n v="0"/>
    <n v="0"/>
    <n v="0"/>
    <n v="0"/>
    <n v="0"/>
    <n v="0"/>
    <n v="0"/>
  </r>
  <r>
    <s v="75"/>
    <x v="1"/>
    <x v="10"/>
    <s v="ZA01I000"/>
    <x v="18"/>
    <s v="I102"/>
    <s v="SISTEMA EDUCATIVO MUNICIPAL"/>
    <s v="GI00I10200012D"/>
    <s v="GI00I10200012D REPOTENCIACIÓN DE LA INFRAESTRUCTURA EDU"/>
    <s v="75 OBRAS PÚBLICAS"/>
    <s v="750107 Construcciones y Edificaciones"/>
    <s v="G/750107/1II102"/>
    <s v="001"/>
    <n v="7648470"/>
    <n v="-2406030.38"/>
    <n v="-5242439.62"/>
    <n v="0"/>
    <n v="0"/>
    <n v="0"/>
    <n v="0"/>
    <n v="0"/>
    <n v="0"/>
    <n v="0"/>
  </r>
  <r>
    <s v="75"/>
    <x v="1"/>
    <x v="2"/>
    <s v="US33M030"/>
    <x v="5"/>
    <s v="M103"/>
    <s v="SALUD AL DIA"/>
    <s v="GI00M10300010D"/>
    <s v="GI00M10300010D REMODELACIÓN DE LA UNIDAD METROPOLITAN"/>
    <s v="75 OBRAS PÚBLICAS"/>
    <s v="750501 Obras de Infraestructura"/>
    <s v="G/750501/1MM103"/>
    <s v="001"/>
    <n v="0"/>
    <n v="1600000"/>
    <n v="-1590000"/>
    <n v="10000"/>
    <n v="0"/>
    <n v="0"/>
    <n v="0"/>
    <n v="10000"/>
    <n v="10000"/>
    <n v="10000"/>
  </r>
  <r>
    <s v="75"/>
    <x v="2"/>
    <x v="9"/>
    <s v="PM71N010"/>
    <x v="20"/>
    <s v="N103"/>
    <s v="QUITO SIN MIEDO"/>
    <s v="GI00N10300004D"/>
    <s v="GI00N10300004D PREVENCIÓN SITUACIONAL Y CONVIVENCIA PAC"/>
    <s v="75 OBRAS PÚBLICAS"/>
    <s v="750109 Construcciones Agropecuarias"/>
    <s v="G/750109/1NN103"/>
    <s v="001"/>
    <n v="350000"/>
    <n v="0"/>
    <n v="-350000"/>
    <n v="0"/>
    <n v="0"/>
    <n v="0"/>
    <n v="0"/>
    <n v="0"/>
    <n v="0"/>
    <n v="0"/>
  </r>
  <r>
    <s v="75"/>
    <x v="2"/>
    <x v="7"/>
    <s v="ZC09F090"/>
    <x v="10"/>
    <s v="N301"/>
    <s v="GESTION DE RIESGOS"/>
    <s v="GI00N30100005D"/>
    <s v="GI00N30100005D REDUCCIÓN DE RIESGOS DE DESASTRES EN EL"/>
    <s v="75 OBRAS PÚBLICAS"/>
    <s v="750105 Transporte y Vías"/>
    <s v="G/750105/3FN301"/>
    <s v="001"/>
    <n v="10300"/>
    <n v="0"/>
    <n v="-10300"/>
    <n v="0"/>
    <n v="0"/>
    <n v="0"/>
    <n v="0"/>
    <n v="0"/>
    <n v="0"/>
    <n v="0"/>
  </r>
  <r>
    <s v="75"/>
    <x v="2"/>
    <x v="8"/>
    <s v="FS66P020"/>
    <x v="13"/>
    <s v="P303"/>
    <s v="PROTEGER EL PATRIMONIO HISTORICO Y CULTURAL DEL DM"/>
    <s v="GI00P30300006D"/>
    <s v="GI00P30300006D  CONSERVACIÓN DE EDIFICACIONES PATRIMONI"/>
    <s v="75 OBRAS PÚBLICAS"/>
    <s v="750104 Urbanización y Embellecimiento"/>
    <s v="G/750104/3PP303"/>
    <s v="001"/>
    <n v="10295560"/>
    <n v="-897662.12"/>
    <n v="-4711333"/>
    <n v="4686564.88"/>
    <n v="1981.27"/>
    <n v="2437311.7999999998"/>
    <n v="2142196.59"/>
    <n v="2249253.08"/>
    <n v="2544368.29"/>
    <n v="2247271.81"/>
  </r>
  <r>
    <s v="75"/>
    <x v="2"/>
    <x v="8"/>
    <s v="FS66P020"/>
    <x v="13"/>
    <s v="P303"/>
    <s v="PROTEGER EL PATRIMONIO HISTORICO Y CULTURAL DEL DM"/>
    <s v="GI00P30300007D"/>
    <s v="GI00P30300007D CONSERVACIÓN DE LA ARQUITECTURA RELIGIOS"/>
    <s v="75 OBRAS PÚBLICAS"/>
    <s v="750104 Urbanización y Embellecimiento"/>
    <s v="G/750104/3PP303"/>
    <s v="001"/>
    <n v="2131000"/>
    <n v="-278255.2"/>
    <n v="-767000"/>
    <n v="1085744.8"/>
    <n v="344.64"/>
    <n v="967246.97"/>
    <n v="828505.33"/>
    <n v="118497.83"/>
    <n v="257239.47"/>
    <n v="118153.19"/>
  </r>
  <r>
    <s v="75"/>
    <x v="2"/>
    <x v="8"/>
    <s v="FS66P020"/>
    <x v="13"/>
    <s v="P303"/>
    <s v="PROTEGER EL PATRIMONIO HISTORICO Y CULTURAL DEL DM"/>
    <s v="GI00P30300008D"/>
    <s v="GI00P30300008D CONSERVACIÓN DEL ESPACIO PÚBLICO EN EL C"/>
    <s v="75 OBRAS PÚBLICAS"/>
    <s v="750104 Urbanización y Embellecimiento"/>
    <s v="G/750104/3PP303"/>
    <s v="001"/>
    <n v="5750350.3600000003"/>
    <n v="509040.05"/>
    <n v="-3580565.02"/>
    <n v="2678825.39"/>
    <n v="522.09"/>
    <n v="1964148.28"/>
    <n v="1689089.94"/>
    <n v="714677.11"/>
    <n v="989735.45"/>
    <n v="714155.02"/>
  </r>
  <r>
    <s v="75"/>
    <x v="2"/>
    <x v="8"/>
    <s v="FS66P020"/>
    <x v="13"/>
    <s v="P303"/>
    <s v="PROTEGER EL PATRIMONIO HISTORICO Y CULTURAL DEL DM"/>
    <s v="GI00P30300008D"/>
    <s v="GI00P30300008D CONSERVACIÓN DEL ESPACIO PÚBLICO EN EL C"/>
    <s v="75 OBRAS PÚBLICAS"/>
    <s v="750104 Urbanización y Embellecimiento"/>
    <s v="G/750104/3PP303"/>
    <s v="002"/>
    <n v="616354.76"/>
    <n v="0"/>
    <n v="-176153.85"/>
    <n v="440200.91"/>
    <n v="0.01"/>
    <n v="440200.9"/>
    <n v="440200.89"/>
    <n v="0.01"/>
    <n v="0.02"/>
    <n v="0"/>
  </r>
  <r>
    <s v="75"/>
    <x v="2"/>
    <x v="8"/>
    <s v="FS66P020"/>
    <x v="13"/>
    <s v="P303"/>
    <s v="PROTEGER EL PATRIMONIO HISTORICO Y CULTURAL DEL DM"/>
    <s v="GI00P30300009D"/>
    <s v="GI00P30300009D CONSERVACIÓN DEL PATRIMONIO  ARQUEOLÓGIC"/>
    <s v="75 OBRAS PÚBLICAS"/>
    <s v="750104 Urbanización y Embellecimiento"/>
    <s v="G/750104/3PP303"/>
    <s v="001"/>
    <n v="370000"/>
    <n v="0"/>
    <n v="-63820"/>
    <n v="306180"/>
    <n v="0"/>
    <n v="297914.75"/>
    <n v="293269.71000000002"/>
    <n v="8265.25"/>
    <n v="12910.29"/>
    <n v="8265.25"/>
  </r>
  <r>
    <s v="75"/>
    <x v="2"/>
    <x v="8"/>
    <s v="FS66P020"/>
    <x v="13"/>
    <s v="P303"/>
    <s v="PROTEGER EL PATRIMONIO HISTORICO Y CULTURAL DEL DM"/>
    <s v="GI00P30300010D"/>
    <s v="GI00P30300010D CONSERVACIÓN DEL PATRIMONIO DE BIENES MU"/>
    <s v="75 OBRAS PÚBLICAS"/>
    <s v="750104 Urbanización y Embellecimiento"/>
    <s v="G/750104/3PP303"/>
    <s v="001"/>
    <n v="1893500"/>
    <n v="2000"/>
    <n v="-273170.11"/>
    <n v="1622329.89"/>
    <n v="1310.3399999999999"/>
    <n v="925889.24"/>
    <n v="798135.74"/>
    <n v="696440.65"/>
    <n v="824194.15"/>
    <n v="695130.31"/>
  </r>
  <r>
    <s v="77"/>
    <x v="1"/>
    <x v="10"/>
    <s v="ZA01I000"/>
    <x v="18"/>
    <s v="I102"/>
    <s v="SISTEMA EDUCATIVO MUNICIPAL"/>
    <s v="GI00I10200010D"/>
    <s v="GI00I10200010D FORTALECIMIENTO DE LA CALIDAD DEL SERVIC"/>
    <s v="77 OTROS GASTOS DE INVERSIÓN"/>
    <s v="770206 Costas Judiciales, Trámites Notariales, Leg"/>
    <s v="G/770206/1II102"/>
    <s v="001"/>
    <n v="2000"/>
    <n v="0"/>
    <n v="0"/>
    <n v="2000"/>
    <n v="0"/>
    <n v="1993.6"/>
    <n v="1993.6"/>
    <n v="6.4"/>
    <n v="6.4"/>
    <n v="6.4"/>
  </r>
  <r>
    <s v="77"/>
    <x v="2"/>
    <x v="3"/>
    <s v="AT69K040"/>
    <x v="16"/>
    <s v="K305"/>
    <s v="MOVILIDAD SEGURA"/>
    <s v="GI00K30500006D"/>
    <s v="GI00K30500006D FORTALECIMIENTO DEL CONTROL DEL TRÁNSITO"/>
    <s v="77 OTROS GASTOS DE INVERSIÓN"/>
    <s v="770102 Tasas Generales, Impuestos, Contribuciones,"/>
    <s v="G/770102/3KK305"/>
    <s v="001"/>
    <n v="5000000.46"/>
    <n v="0"/>
    <n v="-2500000"/>
    <n v="2500000.46"/>
    <n v="0"/>
    <n v="1809152.7"/>
    <n v="1809152.7"/>
    <n v="690847.76"/>
    <n v="690847.76"/>
    <n v="690847.76"/>
  </r>
  <r>
    <s v="77"/>
    <x v="1"/>
    <x v="2"/>
    <s v="UC32M020"/>
    <x v="33"/>
    <s v="M103"/>
    <s v="SALUD AL DIA"/>
    <s v="GI00M10300006D"/>
    <s v="GI00M10300006D ATENCIÓN Y PREVENCIÓN DE LA ENFERMEDAD"/>
    <s v="77 OTROS GASTOS DE INVERSIÓN"/>
    <s v="770102 Tasas Generales, Impuestos, Contribuciones,"/>
    <s v="G/770102/1MM103"/>
    <s v="001"/>
    <n v="0"/>
    <n v="710"/>
    <n v="0"/>
    <n v="710"/>
    <n v="0"/>
    <n v="710"/>
    <n v="707.66"/>
    <n v="0"/>
    <n v="2.34"/>
    <n v="0"/>
  </r>
  <r>
    <s v="77"/>
    <x v="1"/>
    <x v="2"/>
    <s v="UC32M020"/>
    <x v="33"/>
    <s v="M103"/>
    <s v="SALUD AL DIA"/>
    <s v="GI00M10300009D"/>
    <s v="GI00M10300009D PREVENCIÓN DE LA MAL NUTRICIÓN EN EL DMQ"/>
    <s v="77 OTROS GASTOS DE INVERSIÓN"/>
    <s v="770102 Tasas Generales, Impuestos, Contribuciones,"/>
    <s v="G/770102/1MM103"/>
    <s v="001"/>
    <n v="600"/>
    <n v="0"/>
    <n v="0"/>
    <n v="600"/>
    <n v="0"/>
    <n v="0"/>
    <n v="0"/>
    <n v="600"/>
    <n v="600"/>
    <n v="600"/>
  </r>
  <r>
    <s v="77"/>
    <x v="2"/>
    <x v="9"/>
    <s v="PM71N010"/>
    <x v="20"/>
    <s v="N103"/>
    <s v="QUITO SIN MIEDO"/>
    <s v="GI00N10300004D"/>
    <s v="GI00N10300004D PREVENCIÓN SITUACIONAL Y CONVIVENCIA PAC"/>
    <s v="77 OTROS GASTOS DE INVERSIÓN"/>
    <s v="770102 Tasas Generales, Impuestos, Contribuciones,"/>
    <s v="G/770102/1NN103"/>
    <s v="001"/>
    <n v="45000"/>
    <n v="0"/>
    <n v="-500"/>
    <n v="44500"/>
    <n v="0"/>
    <n v="27573"/>
    <n v="22287.16"/>
    <n v="16927"/>
    <n v="22212.84"/>
    <n v="16927"/>
  </r>
  <r>
    <s v="77"/>
    <x v="2"/>
    <x v="9"/>
    <s v="PM71N010"/>
    <x v="20"/>
    <s v="N103"/>
    <s v="QUITO SIN MIEDO"/>
    <s v="GI00N10300004D"/>
    <s v="GI00N10300004D PREVENCIÓN SITUACIONAL Y CONVIVENCIA PAC"/>
    <s v="77 OTROS GASTOS DE INVERSIÓN"/>
    <s v="770206 Costas Judiciales, Trámites Notariales, Leg"/>
    <s v="G/770206/1NN103"/>
    <s v="001"/>
    <n v="1000"/>
    <n v="0"/>
    <n v="0"/>
    <n v="1000"/>
    <n v="0"/>
    <n v="0"/>
    <n v="0"/>
    <n v="1000"/>
    <n v="1000"/>
    <n v="1000"/>
  </r>
  <r>
    <s v="77"/>
    <x v="2"/>
    <x v="8"/>
    <s v="FS66P020"/>
    <x v="13"/>
    <s v="P303"/>
    <s v="PROTEGER EL PATRIMONIO HISTORICO Y CULTURAL DEL DM"/>
    <s v="GI00P30300008D"/>
    <s v="GI00P30300008D CONSERVACIÓN DEL ESPACIO PÚBLICO EN EL C"/>
    <s v="77 OTROS GASTOS DE INVERSIÓN"/>
    <s v="770206 Costas Judiciales, Trámites Notariales, Leg"/>
    <s v="G/770206/3PP303"/>
    <s v="001"/>
    <n v="5000"/>
    <n v="0"/>
    <n v="0"/>
    <n v="5000"/>
    <n v="0"/>
    <n v="167.92"/>
    <n v="107.52"/>
    <n v="4832.08"/>
    <n v="4892.4799999999996"/>
    <n v="4832.08"/>
  </r>
  <r>
    <s v="78"/>
    <x v="3"/>
    <x v="6"/>
    <s v="ZA01Q010"/>
    <x v="61"/>
    <s v="A102"/>
    <s v="TRANSFERENCIA"/>
    <s v="GI00A10200001T"/>
    <s v="GI00A10200001T EPM MERCADO MAYORISTA"/>
    <s v="78 TRANSFERENCIAS Y DONACIONES PARA INVERSIÓN"/>
    <s v="780103 A Empresas Públicas"/>
    <s v="G/780103/2QA102"/>
    <s v="001"/>
    <n v="430000"/>
    <n v="0"/>
    <n v="-250833.13"/>
    <n v="179166.87"/>
    <n v="0"/>
    <n v="179166.87"/>
    <n v="165729.29"/>
    <n v="0"/>
    <n v="13437.58"/>
    <n v="0"/>
  </r>
  <r>
    <s v="78"/>
    <x v="2"/>
    <x v="13"/>
    <s v="ZA01D020"/>
    <x v="62"/>
    <s v="A102"/>
    <s v="TRANSFERENCIA"/>
    <s v="GI00A10200003T"/>
    <s v="GI00A10200003T EPM GESTION INTEGRAL DE RESIDUOS SOLIDOS"/>
    <s v="78 TRANSFERENCIAS Y DONACIONES PARA INVERSIÓN"/>
    <s v="780103 A Empresas Públicas"/>
    <s v="G/780103/3DA102"/>
    <s v="001"/>
    <n v="6000000"/>
    <n v="1000000"/>
    <n v="-2204769.41"/>
    <n v="4795230.59"/>
    <n v="0"/>
    <n v="4795230.59"/>
    <n v="4183730.77"/>
    <n v="0"/>
    <n v="611499.81999999995"/>
    <n v="0"/>
  </r>
  <r>
    <s v="78"/>
    <x v="2"/>
    <x v="13"/>
    <s v="ZA01D020"/>
    <x v="62"/>
    <s v="A102"/>
    <s v="TRANSFERENCIA"/>
    <s v="GI00A10200003T"/>
    <s v="GI00A10200003T EPM GESTION INTEGRAL DE RESIDUOS SOLIDOS"/>
    <s v="78 TRANSFERENCIAS Y DONACIONES PARA INVERSIÓN"/>
    <s v="780103 A Empresas Públicas"/>
    <s v="G/780103/3DA102"/>
    <s v="002"/>
    <n v="0"/>
    <n v="1204769.4099999999"/>
    <n v="0"/>
    <n v="1204769.4099999999"/>
    <n v="0"/>
    <n v="1204769.4099999999"/>
    <n v="454067.31"/>
    <n v="0"/>
    <n v="750702.1"/>
    <n v="0"/>
  </r>
  <r>
    <s v="78"/>
    <x v="1"/>
    <x v="15"/>
    <s v="ZA01G020"/>
    <x v="63"/>
    <s v="A102"/>
    <s v="TRANSFERENCIA"/>
    <s v="GI00A10200006T"/>
    <s v="GI00A10200006T FUNDACION MUSEOS DE LA CIUDAD"/>
    <s v="78 TRANSFERENCIAS Y DONACIONES PARA INVERSIÓN"/>
    <s v="780204 Transferencias o Donaciones al Sector Priva"/>
    <s v="G/780204/1GA102"/>
    <s v="001"/>
    <n v="5839596"/>
    <n v="0"/>
    <n v="-1300000"/>
    <n v="4539596"/>
    <n v="0"/>
    <n v="3938378.38"/>
    <n v="3219798"/>
    <n v="601217.62"/>
    <n v="1319798"/>
    <n v="601217.62"/>
  </r>
  <r>
    <s v="78"/>
    <x v="1"/>
    <x v="15"/>
    <s v="ZA01G010"/>
    <x v="64"/>
    <s v="A102"/>
    <s v="TRANSFERENCIA"/>
    <s v="GI00A10200007T"/>
    <s v="GI00A10200007T FUNDACION TEATRO NACIONAL SUCRE"/>
    <s v="78 TRANSFERENCIAS Y DONACIONES PARA INVERSIÓN"/>
    <s v="780204 Transferencias o Donaciones al Sector Priva"/>
    <s v="G/780204/1GA102"/>
    <s v="001"/>
    <n v="4035016.69"/>
    <n v="0"/>
    <n v="-300000"/>
    <n v="3735016.69"/>
    <n v="0"/>
    <n v="3497617.1"/>
    <n v="2610533.36"/>
    <n v="237399.59"/>
    <n v="1124483.33"/>
    <n v="237399.59"/>
  </r>
  <r>
    <s v="78"/>
    <x v="3"/>
    <x v="11"/>
    <s v="ZA01H030"/>
    <x v="65"/>
    <s v="A102"/>
    <s v="TRANSFERENCIA"/>
    <s v="GI00A10200008T"/>
    <s v="GI00A10200008T CONQUITO"/>
    <s v="78 TRANSFERENCIAS Y DONACIONES PARA INVERSIÓN"/>
    <s v="780204 Transferencias o Donaciones al Sector Priva"/>
    <s v="G/780204/1HA102"/>
    <s v="001"/>
    <n v="1642926"/>
    <n v="0"/>
    <n v="-205329"/>
    <n v="1437597"/>
    <n v="0"/>
    <n v="1437597"/>
    <n v="1114863.6399999999"/>
    <n v="0"/>
    <n v="322733.36"/>
    <n v="0"/>
  </r>
  <r>
    <s v="78"/>
    <x v="3"/>
    <x v="11"/>
    <s v="ZA01H010"/>
    <x v="66"/>
    <s v="A102"/>
    <s v="TRANSFERENCIA"/>
    <s v="GI00A10200009T"/>
    <s v="GI00A10200009T EPM GESTION DE DESTINO TURISTICO"/>
    <s v="78 TRANSFERENCIAS Y DONACIONES PARA INVERSIÓN"/>
    <s v="780103 A Empresas Públicas"/>
    <s v="G/780103/1HA102"/>
    <s v="001"/>
    <n v="2635898.96"/>
    <n v="0"/>
    <n v="-1054372.3700000001"/>
    <n v="1581526.59"/>
    <n v="0"/>
    <n v="1581526.59"/>
    <n v="1253509.58"/>
    <n v="0"/>
    <n v="328017.01"/>
    <n v="0"/>
  </r>
  <r>
    <s v="78"/>
    <x v="1"/>
    <x v="5"/>
    <s v="ZA01J010"/>
    <x v="67"/>
    <s v="A102"/>
    <s v="TRANSFERENCIA"/>
    <s v="GI00A10200010T"/>
    <s v="GI00A10200010T UNIDAD PATRONATO MUNICIPAL SAN JOSE"/>
    <s v="78 TRANSFERENCIAS Y DONACIONES PARA INVERSIÓN"/>
    <s v="780102 A Entidades Descentralizadas y Autónomas"/>
    <s v="G/780102/1JA102"/>
    <s v="001"/>
    <n v="0"/>
    <n v="30256906.059999999"/>
    <n v="-12041569.119999999"/>
    <n v="18215336.940000001"/>
    <n v="0"/>
    <n v="17248364.379999999"/>
    <n v="15927559.34"/>
    <n v="966972.56"/>
    <n v="2287777.6"/>
    <n v="966972.56"/>
  </r>
  <r>
    <s v="78"/>
    <x v="1"/>
    <x v="5"/>
    <s v="ZA01J010"/>
    <x v="67"/>
    <s v="A102"/>
    <s v="TRANSFERENCIA"/>
    <s v="GI00A10200010T"/>
    <s v="GI00A10200010T UNIDAD PATRONATO MUNICIPAL SAN JOSE"/>
    <s v="78 TRANSFERENCIAS Y DONACIONES PARA INVERSIÓN"/>
    <s v="780103 A Empresas Públicas"/>
    <s v="G/780103/1JA102"/>
    <s v="001"/>
    <n v="30256906.059999999"/>
    <n v="-30256906.059999999"/>
    <n v="0"/>
    <n v="0"/>
    <n v="0"/>
    <n v="0"/>
    <n v="0"/>
    <n v="0"/>
    <n v="0"/>
    <n v="0"/>
  </r>
  <r>
    <s v="78"/>
    <x v="2"/>
    <x v="3"/>
    <s v="ZA01K010"/>
    <x v="68"/>
    <s v="A102"/>
    <s v="TRANSFERENCIA"/>
    <s v="GI00A10200011T"/>
    <s v="GI00A10200011T MOVILIDAD Y OBRAS PUBLICAS"/>
    <s v="78 TRANSFERENCIAS Y DONACIONES PARA INVERSIÓN"/>
    <s v="780103 A Empresas Públicas"/>
    <s v="G/780103/1KA102"/>
    <s v="002"/>
    <n v="56072118.43"/>
    <n v="-1204769.4099999999"/>
    <n v="0"/>
    <n v="54867349.020000003"/>
    <n v="0"/>
    <n v="54867349.020000003"/>
    <n v="16434614.369999999"/>
    <n v="0"/>
    <n v="38432734.649999999"/>
    <n v="0"/>
  </r>
  <r>
    <s v="78"/>
    <x v="2"/>
    <x v="3"/>
    <s v="ZA01K010"/>
    <x v="68"/>
    <s v="A102"/>
    <s v="TRANSFERENCIA"/>
    <s v="GI00A10200011T"/>
    <s v="GI00A10200011T MOVILIDAD Y OBRAS PUBLICAS"/>
    <s v="78 TRANSFERENCIAS Y DONACIONES PARA INVERSIÓN"/>
    <s v="780103 A Empresas Públicas"/>
    <s v="G/780103/1KA102"/>
    <s v="001"/>
    <n v="34763147"/>
    <n v="0"/>
    <n v="0"/>
    <n v="34763147"/>
    <n v="0"/>
    <n v="34763147"/>
    <n v="28631084.219999999"/>
    <n v="0"/>
    <n v="6132062.7800000003"/>
    <n v="0"/>
  </r>
  <r>
    <s v="78"/>
    <x v="2"/>
    <x v="3"/>
    <s v="ZA01K020"/>
    <x v="69"/>
    <s v="A102"/>
    <s v="TRANSFERENCIA"/>
    <s v="GI00A10200012T"/>
    <s v="GI00A10200012T EPM TRANSPORTE DE PASAJEROS"/>
    <s v="78 TRANSFERENCIAS Y DONACIONES PARA INVERSIÓN"/>
    <s v="780103 A Empresas Públicas"/>
    <s v="G/780103/1KA102"/>
    <s v="001"/>
    <n v="41000000"/>
    <n v="0"/>
    <n v="-3945766.9"/>
    <n v="37054233.100000001"/>
    <n v="0"/>
    <n v="37054233.100000001"/>
    <n v="28316704.640000001"/>
    <n v="0"/>
    <n v="8737528.4600000009"/>
    <n v="0"/>
  </r>
  <r>
    <s v="78"/>
    <x v="2"/>
    <x v="3"/>
    <s v="ZA01K030"/>
    <x v="70"/>
    <s v="A102"/>
    <s v="TRANSFERENCIA"/>
    <s v="GI00A10200013T"/>
    <s v="GI00A10200013T METRO DE QUITO"/>
    <s v="78 TRANSFERENCIAS Y DONACIONES PARA INVERSIÓN"/>
    <s v="780103 A Empresas Públicas"/>
    <s v="G/780103/1KA102"/>
    <s v="001"/>
    <n v="26681305"/>
    <n v="-1000000"/>
    <n v="-16521656.439999999"/>
    <n v="9159648.5600000005"/>
    <n v="0"/>
    <n v="9159648.5600000005"/>
    <n v="7745819.2400000002"/>
    <n v="0"/>
    <n v="1413829.32"/>
    <n v="0"/>
  </r>
  <r>
    <s v="78"/>
    <x v="0"/>
    <x v="4"/>
    <s v="ZA01L020"/>
    <x v="71"/>
    <s v="A102"/>
    <s v="TRANSFERENCIA"/>
    <s v="GI00A10200014T"/>
    <s v="GI00A10200014T INSTITUTO DE LA CIUDAD"/>
    <s v="78 TRANSFERENCIAS Y DONACIONES PARA INVERSIÓN"/>
    <s v="780102 A Entidades Descentralizadas y Autónomas"/>
    <s v="G/780102/1LA102"/>
    <s v="002"/>
    <n v="0"/>
    <n v="300000"/>
    <n v="-120000"/>
    <n v="180000"/>
    <n v="0"/>
    <n v="180000"/>
    <n v="0"/>
    <n v="0"/>
    <n v="180000"/>
    <n v="0"/>
  </r>
  <r>
    <s v="78"/>
    <x v="0"/>
    <x v="4"/>
    <s v="ZA01L020"/>
    <x v="71"/>
    <s v="A102"/>
    <s v="TRANSFERENCIA"/>
    <s v="GI00A10200014T"/>
    <s v="GI00A10200014T INSTITUTO DE LA CIUDAD"/>
    <s v="78 TRANSFERENCIAS Y DONACIONES PARA INVERSIÓN"/>
    <s v="780304 Transferencias o Donaciones de Inversión al"/>
    <s v="G/780304/1LA102"/>
    <s v="002"/>
    <n v="300000"/>
    <n v="-300000"/>
    <n v="0"/>
    <n v="0"/>
    <n v="0"/>
    <n v="0"/>
    <n v="0"/>
    <n v="0"/>
    <n v="0"/>
    <n v="0"/>
  </r>
  <r>
    <s v="78"/>
    <x v="2"/>
    <x v="8"/>
    <s v="ZA01P030"/>
    <x v="72"/>
    <s v="A102"/>
    <s v="TRANSFERENCIA"/>
    <s v="GI00A10200015T"/>
    <s v="GI00A10200015T EPM AGUA POTABLE"/>
    <s v="78 TRANSFERENCIAS Y DONACIONES PARA INVERSIÓN"/>
    <s v="780103 A Empresas Públicas"/>
    <s v="G/780103/1PA102"/>
    <s v="001"/>
    <n v="13000000"/>
    <n v="0"/>
    <n v="-9750000"/>
    <n v="3250000"/>
    <n v="0"/>
    <n v="3250000"/>
    <n v="3249999.99"/>
    <n v="0"/>
    <n v="0.01"/>
    <n v="0"/>
  </r>
  <r>
    <s v="78"/>
    <x v="2"/>
    <x v="8"/>
    <s v="ZA01P050"/>
    <x v="55"/>
    <s v="A102"/>
    <s v="TRANSFERENCIA"/>
    <s v="GI00A10200016T"/>
    <s v="GI00A10200016T EPM HABITAT Y VIVENDA"/>
    <s v="78 TRANSFERENCIAS Y DONACIONES PARA INVERSIÓN"/>
    <s v="780103 A Empresas Públicas"/>
    <s v="G/780103/1PA102"/>
    <s v="001"/>
    <n v="3500000"/>
    <n v="0"/>
    <n v="-2333333.33"/>
    <n v="1166666.67"/>
    <n v="0"/>
    <n v="1166666.67"/>
    <n v="1166666.67"/>
    <n v="0"/>
    <n v="0"/>
    <n v="0"/>
  </r>
  <r>
    <s v="78"/>
    <x v="3"/>
    <x v="11"/>
    <s v="ZA01H020"/>
    <x v="56"/>
    <s v="A102"/>
    <s v="TRANSFERENCIA"/>
    <s v="GI00A10200017T"/>
    <s v="GI00A10200017T SERVICIOS AEROPORTUARIOS Y GESTION DE ZO"/>
    <s v="78 TRANSFERENCIAS Y DONACIONES PARA INVERSIÓN"/>
    <s v="780103 A Empresas Públicas"/>
    <s v="G/780103/1HA102"/>
    <s v="001"/>
    <n v="0"/>
    <n v="305368.53999999998"/>
    <n v="0"/>
    <n v="305368.53999999998"/>
    <n v="0"/>
    <n v="305368.53999999998"/>
    <n v="305368.53999999998"/>
    <n v="0"/>
    <n v="0"/>
    <n v="0"/>
  </r>
  <r>
    <s v="78"/>
    <x v="1"/>
    <x v="5"/>
    <s v="ZA01J020"/>
    <x v="73"/>
    <s v="A102"/>
    <s v="TRANSFERENCIA"/>
    <s v="GI00A10200018T"/>
    <s v="GI00A10200018T COMPINA"/>
    <s v="78 TRANSFERENCIAS Y DONACIONES PARA INVERSIÓN"/>
    <s v="780102 A Entidades Descentralizadas y Autónomas"/>
    <s v="G/780102/1JA102"/>
    <s v="001"/>
    <n v="0"/>
    <n v="750000"/>
    <n v="0"/>
    <n v="750000"/>
    <n v="0"/>
    <n v="750000"/>
    <n v="638000"/>
    <n v="0"/>
    <n v="112000"/>
    <n v="0"/>
  </r>
  <r>
    <s v="78"/>
    <x v="1"/>
    <x v="5"/>
    <s v="ZA01J020"/>
    <x v="73"/>
    <s v="A102"/>
    <s v="TRANSFERENCIA"/>
    <s v="GI00A10200018T"/>
    <s v="GI00A10200018T COMPINA"/>
    <s v="78 TRANSFERENCIAS Y DONACIONES PARA INVERSIÓN"/>
    <s v="780103 A Empresas Públicas"/>
    <s v="G/780103/1JA102"/>
    <s v="001"/>
    <n v="750000"/>
    <n v="-750000"/>
    <n v="0"/>
    <n v="0"/>
    <n v="0"/>
    <n v="0"/>
    <n v="0"/>
    <n v="0"/>
    <n v="0"/>
    <n v="0"/>
  </r>
  <r>
    <s v="78"/>
    <x v="2"/>
    <x v="13"/>
    <s v="ZA01D000"/>
    <x v="22"/>
    <s v="D305"/>
    <s v="ÁREAS PROTEGIDAS  Y CORREDORES ECOLÓGICOS"/>
    <s v="GI00D30500002D"/>
    <s v="GI00D30500002D RESTAURACIÓN AMBIENTAL DE LAS FUENTES  D"/>
    <s v="78 TRANSFERENCIAS Y DONACIONES PARA INVERSIÓN"/>
    <s v="780204 Transferencias o Donaciones al Sector Priva"/>
    <s v="G/780204/3DD305"/>
    <s v="001"/>
    <n v="365417.45"/>
    <n v="0"/>
    <n v="-315417.45"/>
    <n v="50000"/>
    <n v="0"/>
    <n v="0"/>
    <n v="0"/>
    <n v="50000"/>
    <n v="50000"/>
    <n v="50000"/>
  </r>
  <r>
    <s v="78"/>
    <x v="2"/>
    <x v="7"/>
    <s v="ZA01F000"/>
    <x v="25"/>
    <s v="F102"/>
    <s v="PARTICIPACION CIUDADANA"/>
    <s v="GI00F10200008D"/>
    <s v="GI00F10200008D FORTALECIMIENTO A PARROQUIAS RURALES Y C"/>
    <s v="78 TRANSFERENCIAS Y DONACIONES PARA INVERSIÓN"/>
    <s v="780104 A Gobiernos Autónomos Descentralizados"/>
    <s v="G/780104/1FF102"/>
    <s v="001"/>
    <n v="0"/>
    <n v="1000000"/>
    <n v="0"/>
    <n v="1000000"/>
    <n v="149260.65"/>
    <n v="850739.35"/>
    <n v="0"/>
    <n v="149260.65"/>
    <n v="1000000"/>
    <n v="0"/>
  </r>
  <r>
    <s v="78"/>
    <x v="1"/>
    <x v="15"/>
    <s v="ZA01G000"/>
    <x v="26"/>
    <s v="G101"/>
    <s v="ARTE, CULTURA Y PATRIMONIO"/>
    <s v="GI00G10100002D"/>
    <s v="GI00G10100002D PROMOCION DE DERECHOS CULTURALES"/>
    <s v="78 TRANSFERENCIAS Y DONACIONES PARA INVERSIÓN"/>
    <s v="780204 Transferencias o Donaciones al Sector Priva"/>
    <s v="G/780204/1GG101"/>
    <s v="001"/>
    <n v="55000"/>
    <n v="-55000"/>
    <n v="0"/>
    <n v="0"/>
    <n v="0"/>
    <n v="0"/>
    <n v="0"/>
    <n v="0"/>
    <n v="0"/>
    <n v="0"/>
  </r>
  <r>
    <s v="78"/>
    <x v="1"/>
    <x v="15"/>
    <s v="ZA01G000"/>
    <x v="26"/>
    <s v="G101"/>
    <s v="ARTE, CULTURA Y PATRIMONIO"/>
    <s v="GI00G10100011D"/>
    <s v="GI00G10100011D TERRITORIO Y CULTURA"/>
    <s v="78 TRANSFERENCIAS Y DONACIONES PARA INVERSIÓN"/>
    <s v="780103 A Empresas Públicas"/>
    <s v="G/780103/1GG101"/>
    <s v="001"/>
    <n v="161100"/>
    <n v="-61100"/>
    <n v="-100000"/>
    <n v="0"/>
    <n v="0"/>
    <n v="0"/>
    <n v="0"/>
    <n v="0"/>
    <n v="0"/>
    <n v="0"/>
  </r>
  <r>
    <s v="78"/>
    <x v="3"/>
    <x v="11"/>
    <s v="ZA01H000"/>
    <x v="19"/>
    <s v="H210"/>
    <s v="CLÚSTER PRODUCTIVOS"/>
    <s v="GI00H21000001D"/>
    <s v="GI00H21000001D CADENAS PRODUCTIVAS DE VALOR"/>
    <s v="78 TRANSFERENCIAS Y DONACIONES PARA INVERSIÓN"/>
    <s v="780204 Transferencias o Donaciones al Sector Priva"/>
    <s v="G/780204/2HH210"/>
    <s v="001"/>
    <n v="36000"/>
    <n v="6000"/>
    <n v="-42000"/>
    <n v="0"/>
    <n v="0"/>
    <n v="0"/>
    <n v="0"/>
    <n v="0"/>
    <n v="0"/>
    <n v="0"/>
  </r>
  <r>
    <s v="78"/>
    <x v="3"/>
    <x v="11"/>
    <s v="ZA01H000"/>
    <x v="19"/>
    <s v="H212"/>
    <s v="FORTALECIMIENTO DE LA COMPETITIVIDAD"/>
    <s v="GI00H21200002D"/>
    <s v="GI00H21200002D QUITO COMPETITIVA Y DE INVERSIONES"/>
    <s v="78 TRANSFERENCIAS Y DONACIONES PARA INVERSIÓN"/>
    <s v="780204 Transferencias o Donaciones al Sector Priva"/>
    <s v="G/780204/2HH212"/>
    <s v="001"/>
    <n v="50000"/>
    <n v="0"/>
    <n v="-50000"/>
    <n v="0"/>
    <n v="0"/>
    <n v="0"/>
    <n v="0"/>
    <n v="0"/>
    <n v="0"/>
    <n v="0"/>
  </r>
  <r>
    <s v="78"/>
    <x v="3"/>
    <x v="11"/>
    <s v="ZA01H000"/>
    <x v="19"/>
    <s v="H213"/>
    <s v="LOGÍSTICA EFICIENTE"/>
    <s v="GI00H21300002D"/>
    <s v="GI00H21300002D SISTEMAS AGROALIMENTARIOS SOSTENIBLES"/>
    <s v="78 TRANSFERENCIAS Y DONACIONES PARA INVERSIÓN"/>
    <s v="780204 Transferencias o Donaciones al Sector Priva"/>
    <s v="G/780204/2HH213"/>
    <s v="001"/>
    <n v="43000"/>
    <n v="-17000"/>
    <n v="-26000"/>
    <n v="0"/>
    <n v="0"/>
    <n v="0"/>
    <n v="0"/>
    <n v="0"/>
    <n v="0"/>
    <n v="0"/>
  </r>
  <r>
    <s v="78"/>
    <x v="1"/>
    <x v="10"/>
    <s v="ZA01I000"/>
    <x v="18"/>
    <s v="I101"/>
    <s v="PRACTICAS SALUDABLES"/>
    <s v="GI00I10100003D"/>
    <s v="GI00I10100003D QUITO SI LA MUEVE"/>
    <s v="78 TRANSFERENCIAS Y DONACIONES PARA INVERSIÓN"/>
    <s v="780204 Transferencias o Donaciones al Sector Priva"/>
    <s v="G/780204/1II101"/>
    <s v="001"/>
    <n v="150000"/>
    <n v="-150000"/>
    <n v="0"/>
    <n v="0"/>
    <n v="0"/>
    <n v="0"/>
    <n v="0"/>
    <n v="0"/>
    <n v="0"/>
    <n v="0"/>
  </r>
  <r>
    <s v="78"/>
    <x v="1"/>
    <x v="10"/>
    <s v="ZA01I000"/>
    <x v="18"/>
    <s v="I102"/>
    <s v="SISTEMA EDUCATIVO MUNICIPAL"/>
    <s v="GI00I10200010D"/>
    <s v="GI00I10200010D FORTALECIMIENTO DE LA CALIDAD DEL SERVIC"/>
    <s v="78 TRANSFERENCIAS Y DONACIONES PARA INVERSIÓN"/>
    <s v="780204 Transferencias o Donaciones al Sector Priva"/>
    <s v="G/780204/1II102"/>
    <s v="001"/>
    <n v="0"/>
    <n v="15000"/>
    <n v="0"/>
    <n v="15000"/>
    <n v="15000"/>
    <n v="0"/>
    <n v="0"/>
    <n v="15000"/>
    <n v="15000"/>
    <n v="0"/>
  </r>
  <r>
    <s v="78"/>
    <x v="1"/>
    <x v="5"/>
    <s v="ZA01J000"/>
    <x v="8"/>
    <s v="J101"/>
    <s v="ATENCION A GRUPOS VULNERABLES"/>
    <s v="GI00J10100001D"/>
    <s v="GI00J10100001D INCLUSIÓN EDUCATIVA"/>
    <s v="78 TRANSFERENCIAS Y DONACIONES PARA INVERSIÓN"/>
    <s v="780204 Transferencias o Donaciones al Sector Priva"/>
    <s v="G/780204/1JJ101"/>
    <s v="001"/>
    <n v="74179.58"/>
    <n v="0"/>
    <n v="0"/>
    <n v="74179.58"/>
    <n v="0"/>
    <n v="61330.239999999998"/>
    <n v="0"/>
    <n v="12849.34"/>
    <n v="74179.58"/>
    <n v="12849.34"/>
  </r>
  <r>
    <s v="78"/>
    <x v="1"/>
    <x v="5"/>
    <s v="ZA01J000"/>
    <x v="8"/>
    <s v="J101"/>
    <s v="ATENCION A GRUPOS VULNERABLES"/>
    <s v="GI00J10100001D"/>
    <s v="GI00J10100001D INCLUSIÓN EDUCATIVA"/>
    <s v="78 TRANSFERENCIAS Y DONACIONES PARA INVERSIÓN"/>
    <s v="780206 Becas"/>
    <s v="G/780206/1JJ101"/>
    <s v="001"/>
    <n v="303660"/>
    <n v="0"/>
    <n v="0"/>
    <n v="303660"/>
    <n v="0"/>
    <n v="153660"/>
    <n v="153660"/>
    <n v="150000"/>
    <n v="150000"/>
    <n v="150000"/>
  </r>
  <r>
    <s v="78"/>
    <x v="1"/>
    <x v="5"/>
    <s v="ZA01J000"/>
    <x v="8"/>
    <s v="J103"/>
    <s v="PROMOCIÓN Y PROTECCIÓN DE DERECHOS"/>
    <s v="GI00J10300001D"/>
    <s v="GI00J10300001D GARANTÍA DE PROTECCIÓN DE DERECHOS"/>
    <s v="78 TRANSFERENCIAS Y DONACIONES PARA INVERSIÓN"/>
    <s v="780204 Transferencias o Donaciones al Sector Priva"/>
    <s v="G/780204/1JJ103"/>
    <s v="001"/>
    <n v="100000"/>
    <n v="0"/>
    <n v="-95000"/>
    <n v="5000"/>
    <n v="0"/>
    <n v="0"/>
    <n v="0"/>
    <n v="5000"/>
    <n v="5000"/>
    <n v="5000"/>
  </r>
  <r>
    <s v="78"/>
    <x v="1"/>
    <x v="5"/>
    <s v="ZA01J000"/>
    <x v="8"/>
    <s v="J103"/>
    <s v="PROMOCIÓN Y PROTECCIÓN DE DERECHOS"/>
    <s v="GI00J10300002D"/>
    <s v="GI00J10300002D PROMOCIÓN DE DERECHOS DE GRUPOS DE ATENC"/>
    <s v="78 TRANSFERENCIAS Y DONACIONES PARA INVERSIÓN"/>
    <s v="780204 Transferencias o Donaciones al Sector Priva"/>
    <s v="G/780204/1JJ103"/>
    <s v="001"/>
    <n v="0"/>
    <n v="27000"/>
    <n v="0"/>
    <n v="27000"/>
    <n v="0"/>
    <n v="25000"/>
    <n v="12500"/>
    <n v="2000"/>
    <n v="14500"/>
    <n v="2000"/>
  </r>
  <r>
    <s v="78"/>
    <x v="2"/>
    <x v="3"/>
    <s v="AT69K040"/>
    <x v="16"/>
    <s v="K305"/>
    <s v="MOVILIDAD SEGURA"/>
    <s v="GI00K30500006D"/>
    <s v="GI00K30500006D FORTALECIMIENTO DEL CONTROL DEL TRÁNSITO"/>
    <s v="78 TRANSFERENCIAS Y DONACIONES PARA INVERSIÓN"/>
    <s v="780204 Transferencias o Donaciones al Sector Priva"/>
    <s v="G/780204/3KK305"/>
    <s v="001"/>
    <n v="5081379.0999999996"/>
    <n v="-3640360.8"/>
    <n v="-146018.29999999999"/>
    <n v="1295000"/>
    <n v="0"/>
    <n v="1295000"/>
    <n v="1294000"/>
    <n v="0"/>
    <n v="1000"/>
    <n v="0"/>
  </r>
  <r>
    <s v="78"/>
    <x v="0"/>
    <x v="1"/>
    <s v="ZA01C060"/>
    <x v="12"/>
    <s v="L101"/>
    <s v="GESTION INSTITUCIONAL EFICIENTE E INNOVADORA"/>
    <s v="GI00L10100031D"/>
    <s v="GI00L10100031D PLANEACIÓN DE DESARROLLO"/>
    <s v="78 TRANSFERENCIAS Y DONACIONES PARA INVERSIÓN"/>
    <s v="780304 Transferencias o Donaciones de Inversión al"/>
    <s v="G/780304/1CL101"/>
    <s v="002"/>
    <n v="99488.98"/>
    <n v="0"/>
    <n v="0"/>
    <n v="99488.98"/>
    <n v="0"/>
    <n v="99488.98"/>
    <n v="99488.98"/>
    <n v="0"/>
    <n v="0"/>
    <n v="0"/>
  </r>
  <r>
    <s v="78"/>
    <x v="1"/>
    <x v="2"/>
    <s v="UN31M010"/>
    <x v="15"/>
    <s v="M103"/>
    <s v="SALUD AL DIA"/>
    <s v="GI00M10300006D"/>
    <s v="GI00M10300006D ATENCIÓN Y PREVENCIÓN DE LA ENFERMEDAD"/>
    <s v="78 TRANSFERENCIAS Y DONACIONES PARA INVERSIÓN"/>
    <s v="780206 Becas"/>
    <s v="G/780206/1MM103"/>
    <s v="001"/>
    <n v="80448"/>
    <n v="-53000"/>
    <n v="-27448"/>
    <n v="0"/>
    <n v="0"/>
    <n v="0"/>
    <n v="0"/>
    <n v="0"/>
    <n v="0"/>
    <n v="0"/>
  </r>
  <r>
    <s v="78"/>
    <x v="1"/>
    <x v="2"/>
    <s v="US33M030"/>
    <x v="5"/>
    <s v="M103"/>
    <s v="SALUD AL DIA"/>
    <s v="GI00M10300006D"/>
    <s v="GI00M10300006D ATENCIÓN Y PREVENCIÓN DE LA ENFERMEDAD"/>
    <s v="78 TRANSFERENCIAS Y DONACIONES PARA INVERSIÓN"/>
    <s v="780206 Becas"/>
    <s v="G/780206/1MM103"/>
    <s v="001"/>
    <n v="382128"/>
    <n v="-382128"/>
    <n v="0"/>
    <n v="0"/>
    <n v="0"/>
    <n v="0"/>
    <n v="0"/>
    <n v="0"/>
    <n v="0"/>
    <n v="0"/>
  </r>
  <r>
    <s v="78"/>
    <x v="2"/>
    <x v="9"/>
    <s v="ZA01N000"/>
    <x v="14"/>
    <s v="N103"/>
    <s v="QUITO SIN MIEDO"/>
    <s v="GI00N10300004D"/>
    <s v="GI00N10300004D PREVENCIÓN SITUACIONAL Y CONVIVENCIA PAC"/>
    <s v="78 TRANSFERENCIAS Y DONACIONES PARA INVERSIÓN"/>
    <s v="780103 A Empresas Públicas"/>
    <s v="G/780103/1NN103"/>
    <s v="001"/>
    <n v="216905.54"/>
    <n v="-11437.44"/>
    <n v="-205468.1"/>
    <n v="0"/>
    <n v="0"/>
    <n v="0"/>
    <n v="0"/>
    <n v="0"/>
    <n v="0"/>
    <n v="0"/>
  </r>
  <r>
    <s v="78"/>
    <x v="2"/>
    <x v="9"/>
    <s v="ZA01N000"/>
    <x v="14"/>
    <s v="N103"/>
    <s v="QUITO SIN MIEDO"/>
    <s v="GI00N10300004D"/>
    <s v="GI00N10300004D PREVENCIÓN SITUACIONAL Y CONVIVENCIA PAC"/>
    <s v="78 TRANSFERENCIAS Y DONACIONES PARA INVERSIÓN"/>
    <s v="780204 Transferencias o Donaciones al Sector Priva"/>
    <s v="G/780204/1NN103"/>
    <s v="001"/>
    <n v="9000"/>
    <n v="-9000"/>
    <n v="0"/>
    <n v="0"/>
    <n v="0"/>
    <n v="0"/>
    <n v="0"/>
    <n v="0"/>
    <n v="0"/>
    <n v="0"/>
  </r>
  <r>
    <s v="78"/>
    <x v="2"/>
    <x v="9"/>
    <s v="ZA01N000"/>
    <x v="14"/>
    <s v="N103"/>
    <s v="QUITO SIN MIEDO"/>
    <s v="GI00N10300007D"/>
    <s v="GI00N10300007D SISTEMA DE INDICADORES DE SEGURIDAD CIUD"/>
    <s v="78 TRANSFERENCIAS Y DONACIONES PARA INVERSIÓN"/>
    <s v="780204 Transferencias o Donaciones al Sector Priva"/>
    <s v="G/780204/1NN103"/>
    <s v="001"/>
    <n v="0"/>
    <n v="9000"/>
    <n v="-9000"/>
    <n v="0"/>
    <n v="0"/>
    <n v="0"/>
    <n v="0"/>
    <n v="0"/>
    <n v="0"/>
    <n v="0"/>
  </r>
  <r>
    <s v="78"/>
    <x v="2"/>
    <x v="9"/>
    <s v="ZA01N000"/>
    <x v="14"/>
    <s v="N301"/>
    <s v="GESTION DE RIESGOS"/>
    <s v="GI00N30100004D"/>
    <s v="GI00N30100004D ANÁLISIS DE RIESGOS NATURALES Y ANTRÓPIC"/>
    <s v="78 TRANSFERENCIAS Y DONACIONES PARA INVERSIÓN"/>
    <s v="780104 A Gobiernos Autónomos Descentralizados"/>
    <s v="G/780104/3NN301"/>
    <s v="001"/>
    <n v="250000"/>
    <n v="0"/>
    <n v="-250000"/>
    <n v="0"/>
    <n v="0"/>
    <n v="0"/>
    <n v="0"/>
    <n v="0"/>
    <n v="0"/>
    <n v="0"/>
  </r>
  <r>
    <s v="78"/>
    <x v="2"/>
    <x v="9"/>
    <s v="ZA01N000"/>
    <x v="14"/>
    <s v="N301"/>
    <s v="GESTION DE RIESGOS"/>
    <s v="GI00N30100004D"/>
    <s v="GI00N30100004D ANÁLISIS DE RIESGOS NATURALES Y ANTRÓPIC"/>
    <s v="78 TRANSFERENCIAS Y DONACIONES PARA INVERSIÓN"/>
    <s v="780204 Transferencias o Donaciones al Sector Priva"/>
    <s v="G/780204/3NN301"/>
    <s v="001"/>
    <n v="300000"/>
    <n v="0"/>
    <n v="-300000"/>
    <n v="0"/>
    <n v="0"/>
    <n v="0"/>
    <n v="0"/>
    <n v="0"/>
    <n v="0"/>
    <n v="0"/>
  </r>
  <r>
    <s v="78"/>
    <x v="2"/>
    <x v="9"/>
    <s v="ZA01N000"/>
    <x v="14"/>
    <s v="N301"/>
    <s v="GESTION DE RIESGOS"/>
    <s v="GI00N30100005D"/>
    <s v="GI00N30100005D REDUCCIÓN DE RIESGOS DE DESASTRES EN EL"/>
    <s v="78 TRANSFERENCIAS Y DONACIONES PARA INVERSIÓN"/>
    <s v="780103 A Empresas Públicas"/>
    <s v="G/780103/3NN301"/>
    <s v="001"/>
    <n v="1000000"/>
    <n v="0"/>
    <n v="0"/>
    <n v="1000000"/>
    <n v="0"/>
    <n v="1000000"/>
    <n v="1000000"/>
    <n v="0"/>
    <n v="0"/>
    <n v="0"/>
  </r>
  <r>
    <s v="78"/>
    <x v="2"/>
    <x v="9"/>
    <s v="ZA01N000"/>
    <x v="14"/>
    <s v="N301"/>
    <s v="GESTION DE RIESGOS"/>
    <s v="GI00N30100005D"/>
    <s v="GI00N30100005D REDUCCIÓN DE RIESGOS DE DESASTRES EN EL"/>
    <s v="78 TRANSFERENCIAS Y DONACIONES PARA INVERSIÓN"/>
    <s v="780204 Transferencias o Donaciones al Sector Priva"/>
    <s v="G/780204/3NN301"/>
    <s v="001"/>
    <n v="30000"/>
    <n v="0"/>
    <n v="0"/>
    <n v="30000"/>
    <n v="0"/>
    <n v="30000"/>
    <n v="4997"/>
    <n v="0"/>
    <n v="25003"/>
    <n v="0"/>
  </r>
  <r>
    <s v="78"/>
    <x v="2"/>
    <x v="8"/>
    <s v="FS66P020"/>
    <x v="13"/>
    <s v="P303"/>
    <s v="PROTEGER EL PATRIMONIO HISTORICO Y CULTURAL DEL DM"/>
    <s v="GI00P30300006D"/>
    <s v="GI00P30300006D  CONSERVACIÓN DE EDIFICACIONES PATRIMONI"/>
    <s v="78 TRANSFERENCIAS Y DONACIONES PARA INVERSIÓN"/>
    <s v="780103 A Empresas Públicas"/>
    <s v="G/780103/3PP303"/>
    <s v="001"/>
    <n v="0"/>
    <n v="726091.57"/>
    <n v="0"/>
    <n v="726091.57"/>
    <n v="0"/>
    <n v="0"/>
    <n v="0"/>
    <n v="726091.57"/>
    <n v="726091.57"/>
    <n v="726091.57"/>
  </r>
  <r>
    <s v="78"/>
    <x v="2"/>
    <x v="8"/>
    <s v="FS66P020"/>
    <x v="13"/>
    <s v="P303"/>
    <s v="PROTEGER EL PATRIMONIO HISTORICO Y CULTURAL DEL DM"/>
    <s v="GI00P30300006D"/>
    <s v="GI00P30300006D  CONSERVACIÓN DE EDIFICACIONES PATRIMONI"/>
    <s v="78 TRANSFERENCIAS Y DONACIONES PARA INVERSIÓN"/>
    <s v="780204 Transferencias o Donaciones al Sector Priva"/>
    <s v="G/780204/3PP303"/>
    <s v="001"/>
    <n v="300000"/>
    <n v="-200000"/>
    <n v="-100000"/>
    <n v="0"/>
    <n v="0"/>
    <n v="0"/>
    <n v="0"/>
    <n v="0"/>
    <n v="0"/>
    <n v="0"/>
  </r>
  <r>
    <s v="84"/>
    <x v="2"/>
    <x v="7"/>
    <s v="ZC09F090"/>
    <x v="10"/>
    <s v="D301"/>
    <s v="CERO RESIDUOSCERO RESIDUOS"/>
    <s v="GI00D30100004D"/>
    <s v="GI00D30100004D IMPLEMENTACIÓN DE CENTROS DE APROVECHAMI"/>
    <s v="84 BIENES DE LARGA DURACIÓN"/>
    <s v="840104 Maquinarias y Equipos"/>
    <s v="G/840104/3FD301"/>
    <s v="001"/>
    <n v="6000"/>
    <n v="0"/>
    <n v="-6000"/>
    <n v="0"/>
    <n v="0"/>
    <n v="0"/>
    <n v="0"/>
    <n v="0"/>
    <n v="0"/>
    <n v="0"/>
  </r>
  <r>
    <s v="84"/>
    <x v="2"/>
    <x v="7"/>
    <s v="ZD07F070"/>
    <x v="43"/>
    <s v="D301"/>
    <s v="CERO RESIDUOSCERO RESIDUOS"/>
    <s v="GI00D30100004D"/>
    <s v="GI00D30100004D IMPLEMENTACIÓN DE CENTROS DE APROVECHAMI"/>
    <s v="84 BIENES DE LARGA DURACIÓN"/>
    <s v="840104 Maquinarias y Equipos"/>
    <s v="G/840104/3FD301"/>
    <s v="001"/>
    <n v="4000"/>
    <n v="0"/>
    <n v="-4000"/>
    <n v="0"/>
    <n v="0"/>
    <n v="0"/>
    <n v="0"/>
    <n v="0"/>
    <n v="0"/>
    <n v="0"/>
  </r>
  <r>
    <s v="84"/>
    <x v="2"/>
    <x v="7"/>
    <s v="ZC09F090"/>
    <x v="10"/>
    <s v="D301"/>
    <s v="CERO RESIDUOSCERO RESIDUOS"/>
    <s v="GI00D30100004D"/>
    <s v="GI00D30100004D IMPLEMENTACIÓN DE CENTROS DE APROVECHAMI"/>
    <s v="84 BIENES DE LARGA DURACIÓN"/>
    <s v="840107 Equipos, Sistemas y Paquetes Informáticos"/>
    <s v="G/840107/3FD301"/>
    <s v="001"/>
    <n v="2000"/>
    <n v="0"/>
    <n v="-2000"/>
    <n v="0"/>
    <n v="0"/>
    <n v="0"/>
    <n v="0"/>
    <n v="0"/>
    <n v="0"/>
    <n v="0"/>
  </r>
  <r>
    <s v="84"/>
    <x v="2"/>
    <x v="7"/>
    <s v="ZD07F070"/>
    <x v="43"/>
    <s v="D301"/>
    <s v="CERO RESIDUOSCERO RESIDUOS"/>
    <s v="GI00D30100004D"/>
    <s v="GI00D30100004D IMPLEMENTACIÓN DE CENTROS DE APROVECHAMI"/>
    <s v="84 BIENES DE LARGA DURACIÓN"/>
    <s v="840107 Equipos, Sistemas y Paquetes Informáticos"/>
    <s v="G/840107/3FD301"/>
    <s v="001"/>
    <n v="2000"/>
    <n v="0"/>
    <n v="-2000"/>
    <n v="0"/>
    <n v="0"/>
    <n v="0"/>
    <n v="0"/>
    <n v="0"/>
    <n v="0"/>
    <n v="0"/>
  </r>
  <r>
    <s v="84"/>
    <x v="2"/>
    <x v="13"/>
    <s v="ZA01D000"/>
    <x v="22"/>
    <s v="D303"/>
    <s v="PREVENCION, CONTROL Y REGULACION AMBIENTAL"/>
    <s v="GI00D30300001D"/>
    <s v="GI00D30300001D MEJORAMIENTO DE LA GESTION DE LA CALIDAD"/>
    <s v="84 BIENES DE LARGA DURACIÓN"/>
    <s v="840107 Equipos, Sistemas y Paquetes Informáticos"/>
    <s v="G/840107/3DD303"/>
    <s v="001"/>
    <n v="15000"/>
    <n v="0"/>
    <n v="-15000"/>
    <n v="0"/>
    <n v="0"/>
    <n v="0"/>
    <n v="0"/>
    <n v="0"/>
    <n v="0"/>
    <n v="0"/>
  </r>
  <r>
    <s v="84"/>
    <x v="2"/>
    <x v="13"/>
    <s v="ZA01D000"/>
    <x v="22"/>
    <s v="D306"/>
    <s v="QUITO CIUDAD LIMPIA"/>
    <s v="GI00D30600002D"/>
    <s v="GI00D30600002D MONITOREO DE LA CALIDAD DE LOS RECURSOS"/>
    <s v="84 BIENES DE LARGA DURACIÓN"/>
    <s v="840107 Equipos, Sistemas y Paquetes Informáticos"/>
    <s v="G/840107/3DD306"/>
    <s v="001"/>
    <n v="13000"/>
    <n v="-13000"/>
    <n v="0"/>
    <n v="0"/>
    <n v="0"/>
    <n v="0"/>
    <n v="0"/>
    <n v="0"/>
    <n v="0"/>
    <n v="0"/>
  </r>
  <r>
    <s v="84"/>
    <x v="2"/>
    <x v="7"/>
    <s v="ZV05F050"/>
    <x v="39"/>
    <s v="F102"/>
    <s v="PARTICIPACION CIUDADANA"/>
    <s v="GI00F10200002D"/>
    <s v="GI00F10200002D SISTEMA DE PARTICIPACION CIUDADANA"/>
    <s v="84 BIENES DE LARGA DURACIÓN"/>
    <s v="840104 Maquinarias y Equipos"/>
    <s v="G/840104/1FF102"/>
    <s v="001"/>
    <n v="1000"/>
    <n v="0"/>
    <n v="-1000"/>
    <n v="0"/>
    <n v="0"/>
    <n v="0"/>
    <n v="0"/>
    <n v="0"/>
    <n v="0"/>
    <n v="0"/>
  </r>
  <r>
    <s v="84"/>
    <x v="2"/>
    <x v="7"/>
    <s v="ZN02F020"/>
    <x v="46"/>
    <s v="F102"/>
    <s v="PARTICIPACION CIUDADANA"/>
    <s v="GI00F10200002D"/>
    <s v="GI00F10200002D SISTEMA DE PARTICIPACION CIUDADANA"/>
    <s v="84 BIENES DE LARGA DURACIÓN"/>
    <s v="840104 Maquinarias y Equipos"/>
    <s v="G/840104/1FF102"/>
    <s v="001"/>
    <n v="1000"/>
    <n v="0"/>
    <n v="-1000"/>
    <n v="0"/>
    <n v="0"/>
    <n v="0"/>
    <n v="0"/>
    <n v="0"/>
    <n v="0"/>
    <n v="0"/>
  </r>
  <r>
    <s v="84"/>
    <x v="2"/>
    <x v="7"/>
    <s v="ZV05F050"/>
    <x v="39"/>
    <s v="F102"/>
    <s v="PARTICIPACION CIUDADANA"/>
    <s v="GI00F10200005D"/>
    <s v="GI00F10200005D CASAS SOMOS QUITO"/>
    <s v="84 BIENES DE LARGA DURACIÓN"/>
    <s v="840103 Mobiliarios"/>
    <s v="G/840103/1FF102"/>
    <s v="001"/>
    <n v="7000"/>
    <n v="0"/>
    <n v="-7000"/>
    <n v="0"/>
    <n v="0"/>
    <n v="0"/>
    <n v="0"/>
    <n v="0"/>
    <n v="0"/>
    <n v="0"/>
  </r>
  <r>
    <s v="84"/>
    <x v="2"/>
    <x v="7"/>
    <s v="ZQ08F080"/>
    <x v="44"/>
    <s v="F102"/>
    <s v="PARTICIPACION CIUDADANA"/>
    <s v="GI00F10200005D"/>
    <s v="GI00F10200005D CASAS SOMOS QUITO"/>
    <s v="84 BIENES DE LARGA DURACIÓN"/>
    <s v="840103 Mobiliarios"/>
    <s v="G/840103/1FF102"/>
    <s v="001"/>
    <n v="4500"/>
    <n v="0"/>
    <n v="-4500"/>
    <n v="0"/>
    <n v="0"/>
    <n v="0"/>
    <n v="0"/>
    <n v="0"/>
    <n v="0"/>
    <n v="0"/>
  </r>
  <r>
    <s v="84"/>
    <x v="2"/>
    <x v="7"/>
    <s v="ZD07F070"/>
    <x v="43"/>
    <s v="F102"/>
    <s v="PARTICIPACION CIUDADANA"/>
    <s v="GI00F10200005D"/>
    <s v="GI00F10200005D CASAS SOMOS QUITO"/>
    <s v="84 BIENES DE LARGA DURACIÓN"/>
    <s v="840103 Mobiliarios"/>
    <s v="G/840103/1FF102"/>
    <s v="001"/>
    <n v="25000"/>
    <n v="-25000"/>
    <n v="0"/>
    <n v="0"/>
    <n v="0"/>
    <n v="0"/>
    <n v="0"/>
    <n v="0"/>
    <n v="0"/>
    <n v="0"/>
  </r>
  <r>
    <s v="84"/>
    <x v="2"/>
    <x v="7"/>
    <s v="TM68F100"/>
    <x v="36"/>
    <s v="F102"/>
    <s v="PARTICIPACION CIUDADANA"/>
    <s v="GI00F10200005D"/>
    <s v="GI00F10200005D CASAS SOMOS QUITO"/>
    <s v="84 BIENES DE LARGA DURACIÓN"/>
    <s v="840103 Mobiliarios"/>
    <s v="G/840103/1FF102"/>
    <s v="001"/>
    <n v="1000"/>
    <n v="0"/>
    <n v="0"/>
    <n v="1000"/>
    <n v="0"/>
    <n v="0"/>
    <n v="0"/>
    <n v="1000"/>
    <n v="1000"/>
    <n v="1000"/>
  </r>
  <r>
    <s v="84"/>
    <x v="2"/>
    <x v="7"/>
    <s v="ZM04F040"/>
    <x v="41"/>
    <s v="F102"/>
    <s v="PARTICIPACION CIUDADANA"/>
    <s v="GI00F10200005D"/>
    <s v="GI00F10200005D CASAS SOMOS QUITO"/>
    <s v="84 BIENES DE LARGA DURACIÓN"/>
    <s v="840103 Mobiliarios"/>
    <s v="G/840103/1FF102"/>
    <s v="001"/>
    <n v="500"/>
    <n v="-500"/>
    <n v="0"/>
    <n v="0"/>
    <n v="0"/>
    <n v="0"/>
    <n v="0"/>
    <n v="0"/>
    <n v="0"/>
    <n v="0"/>
  </r>
  <r>
    <s v="84"/>
    <x v="2"/>
    <x v="7"/>
    <s v="ZS03F030"/>
    <x v="45"/>
    <s v="F102"/>
    <s v="PARTICIPACION CIUDADANA"/>
    <s v="GI00F10200005D"/>
    <s v="GI00F10200005D CASAS SOMOS QUITO"/>
    <s v="84 BIENES DE LARGA DURACIÓN"/>
    <s v="840103 Mobiliarios"/>
    <s v="G/840103/1FF102"/>
    <s v="001"/>
    <n v="7080.07"/>
    <n v="-7080.07"/>
    <n v="0"/>
    <n v="0"/>
    <n v="0"/>
    <n v="0"/>
    <n v="0"/>
    <n v="0"/>
    <n v="0"/>
    <n v="0"/>
  </r>
  <r>
    <s v="84"/>
    <x v="2"/>
    <x v="7"/>
    <s v="ZN02F020"/>
    <x v="46"/>
    <s v="F102"/>
    <s v="PARTICIPACION CIUDADANA"/>
    <s v="GI00F10200005D"/>
    <s v="GI00F10200005D CASAS SOMOS QUITO"/>
    <s v="84 BIENES DE LARGA DURACIÓN"/>
    <s v="840104 Maquinarias y Equipos"/>
    <s v="G/840104/1FF102"/>
    <s v="001"/>
    <n v="7000"/>
    <n v="0"/>
    <n v="-7000"/>
    <n v="0"/>
    <n v="0"/>
    <n v="0"/>
    <n v="0"/>
    <n v="0"/>
    <n v="0"/>
    <n v="0"/>
  </r>
  <r>
    <s v="84"/>
    <x v="2"/>
    <x v="7"/>
    <s v="ZQ08F080"/>
    <x v="44"/>
    <s v="F102"/>
    <s v="PARTICIPACION CIUDADANA"/>
    <s v="GI00F10200005D"/>
    <s v="GI00F10200005D CASAS SOMOS QUITO"/>
    <s v="84 BIENES DE LARGA DURACIÓN"/>
    <s v="840104 Maquinarias y Equipos"/>
    <s v="G/840104/1FF102"/>
    <s v="001"/>
    <n v="3300"/>
    <n v="0"/>
    <n v="-3300"/>
    <n v="0"/>
    <n v="0"/>
    <n v="0"/>
    <n v="0"/>
    <n v="0"/>
    <n v="0"/>
    <n v="0"/>
  </r>
  <r>
    <s v="84"/>
    <x v="2"/>
    <x v="7"/>
    <s v="ZC09F090"/>
    <x v="10"/>
    <s v="F102"/>
    <s v="PARTICIPACION CIUDADANA"/>
    <s v="GI00F10200005D"/>
    <s v="GI00F10200005D CASAS SOMOS QUITO"/>
    <s v="84 BIENES DE LARGA DURACIÓN"/>
    <s v="840104 Maquinarias y Equipos"/>
    <s v="G/840104/1FF102"/>
    <s v="001"/>
    <n v="1500"/>
    <n v="0"/>
    <n v="-1500"/>
    <n v="0"/>
    <n v="0"/>
    <n v="0"/>
    <n v="0"/>
    <n v="0"/>
    <n v="0"/>
    <n v="0"/>
  </r>
  <r>
    <s v="84"/>
    <x v="2"/>
    <x v="7"/>
    <s v="ZS03F030"/>
    <x v="45"/>
    <s v="F102"/>
    <s v="PARTICIPACION CIUDADANA"/>
    <s v="GI00F10200005D"/>
    <s v="GI00F10200005D CASAS SOMOS QUITO"/>
    <s v="84 BIENES DE LARGA DURACIÓN"/>
    <s v="840104 Maquinarias y Equipos"/>
    <s v="G/840104/1FF102"/>
    <s v="001"/>
    <n v="4000.83"/>
    <n v="-4000.83"/>
    <n v="0"/>
    <n v="0"/>
    <n v="0"/>
    <n v="0"/>
    <n v="0"/>
    <n v="0"/>
    <n v="0"/>
    <n v="0"/>
  </r>
  <r>
    <s v="84"/>
    <x v="2"/>
    <x v="7"/>
    <s v="ZD07F070"/>
    <x v="43"/>
    <s v="F102"/>
    <s v="PARTICIPACION CIUDADANA"/>
    <s v="GI00F10200005D"/>
    <s v="GI00F10200005D CASAS SOMOS QUITO"/>
    <s v="84 BIENES DE LARGA DURACIÓN"/>
    <s v="840104 Maquinarias y Equipos"/>
    <s v="G/840104/1FF102"/>
    <s v="001"/>
    <n v="16000"/>
    <n v="7453.12"/>
    <n v="-5000"/>
    <n v="18453.12"/>
    <n v="0"/>
    <n v="14500.62"/>
    <n v="2340.8000000000002"/>
    <n v="3952.5"/>
    <n v="16112.32"/>
    <n v="3952.5"/>
  </r>
  <r>
    <s v="84"/>
    <x v="2"/>
    <x v="7"/>
    <s v="ZT06F060"/>
    <x v="40"/>
    <s v="F102"/>
    <s v="PARTICIPACION CIUDADANA"/>
    <s v="GI00F10200005D"/>
    <s v="GI00F10200005D CASAS SOMOS QUITO"/>
    <s v="84 BIENES DE LARGA DURACIÓN"/>
    <s v="840104 Maquinarias y Equipos"/>
    <s v="G/840104/1FF102"/>
    <s v="001"/>
    <n v="4000"/>
    <n v="0"/>
    <n v="-4000"/>
    <n v="0"/>
    <n v="0"/>
    <n v="0"/>
    <n v="0"/>
    <n v="0"/>
    <n v="0"/>
    <n v="0"/>
  </r>
  <r>
    <s v="84"/>
    <x v="2"/>
    <x v="7"/>
    <s v="ZM04F040"/>
    <x v="41"/>
    <s v="F102"/>
    <s v="PARTICIPACION CIUDADANA"/>
    <s v="GI00F10200005D"/>
    <s v="GI00F10200005D CASAS SOMOS QUITO"/>
    <s v="84 BIENES DE LARGA DURACIÓN"/>
    <s v="840106 Herramientas"/>
    <s v="G/840106/1FF102"/>
    <s v="001"/>
    <n v="700"/>
    <n v="-700"/>
    <n v="0"/>
    <n v="0"/>
    <n v="0"/>
    <n v="0"/>
    <n v="0"/>
    <n v="0"/>
    <n v="0"/>
    <n v="0"/>
  </r>
  <r>
    <s v="84"/>
    <x v="2"/>
    <x v="7"/>
    <s v="ZD07F070"/>
    <x v="43"/>
    <s v="F102"/>
    <s v="PARTICIPACION CIUDADANA"/>
    <s v="GI00F10200005D"/>
    <s v="GI00F10200005D CASAS SOMOS QUITO"/>
    <s v="84 BIENES DE LARGA DURACIÓN"/>
    <s v="840107 Equipos, Sistemas y Paquetes Informáticos"/>
    <s v="G/840107/1FF102"/>
    <s v="001"/>
    <n v="20000"/>
    <n v="-9893"/>
    <n v="-2155"/>
    <n v="7952"/>
    <n v="13.44"/>
    <n v="6872.32"/>
    <n v="0"/>
    <n v="1079.68"/>
    <n v="7952"/>
    <n v="1066.24"/>
  </r>
  <r>
    <s v="84"/>
    <x v="2"/>
    <x v="7"/>
    <s v="ZS03F030"/>
    <x v="45"/>
    <s v="F102"/>
    <s v="PARTICIPACION CIUDADANA"/>
    <s v="GI00F10200005D"/>
    <s v="GI00F10200005D CASAS SOMOS QUITO"/>
    <s v="84 BIENES DE LARGA DURACIÓN"/>
    <s v="840107 Equipos, Sistemas y Paquetes Informáticos"/>
    <s v="G/840107/1FF102"/>
    <s v="001"/>
    <n v="3000"/>
    <n v="0"/>
    <n v="-3000"/>
    <n v="0"/>
    <n v="0"/>
    <n v="0"/>
    <n v="0"/>
    <n v="0"/>
    <n v="0"/>
    <n v="0"/>
  </r>
  <r>
    <s v="84"/>
    <x v="2"/>
    <x v="7"/>
    <s v="TM68F100"/>
    <x v="36"/>
    <s v="F102"/>
    <s v="PARTICIPACION CIUDADANA"/>
    <s v="GI00F10200005D"/>
    <s v="GI00F10200005D CASAS SOMOS QUITO"/>
    <s v="84 BIENES DE LARGA DURACIÓN"/>
    <s v="840107 Equipos, Sistemas y Paquetes Informáticos"/>
    <s v="G/840107/1FF102"/>
    <s v="001"/>
    <n v="3500"/>
    <n v="-397.6"/>
    <n v="0"/>
    <n v="3102.4"/>
    <n v="0"/>
    <n v="3102.4"/>
    <n v="3102.4"/>
    <n v="0"/>
    <n v="0"/>
    <n v="0"/>
  </r>
  <r>
    <s v="84"/>
    <x v="2"/>
    <x v="7"/>
    <s v="ZN02F020"/>
    <x v="46"/>
    <s v="F102"/>
    <s v="PARTICIPACION CIUDADANA"/>
    <s v="GI00F10200006D"/>
    <s v="GI00F10200006D INFRAESTRUCTURA COMUNITARIA"/>
    <s v="84 BIENES DE LARGA DURACIÓN"/>
    <s v="840103 Mobiliarios"/>
    <s v="G/840103/1FF102"/>
    <s v="001"/>
    <n v="5000"/>
    <n v="-5000"/>
    <n v="0"/>
    <n v="0"/>
    <n v="0"/>
    <n v="0"/>
    <n v="0"/>
    <n v="0"/>
    <n v="0"/>
    <n v="0"/>
  </r>
  <r>
    <s v="84"/>
    <x v="2"/>
    <x v="7"/>
    <s v="ZV05F050"/>
    <x v="39"/>
    <s v="F102"/>
    <s v="PARTICIPACION CIUDADANA"/>
    <s v="GI00F10200006D"/>
    <s v="GI00F10200006D INFRAESTRUCTURA COMUNITARIA"/>
    <s v="84 BIENES DE LARGA DURACIÓN"/>
    <s v="840104 Maquinarias y Equipos"/>
    <s v="G/840104/1FF102"/>
    <s v="001"/>
    <n v="0"/>
    <n v="25000"/>
    <n v="0"/>
    <n v="25000"/>
    <n v="1276.51"/>
    <n v="23723.48"/>
    <n v="23723.48"/>
    <n v="1276.52"/>
    <n v="1276.52"/>
    <n v="0.01"/>
  </r>
  <r>
    <s v="84"/>
    <x v="2"/>
    <x v="7"/>
    <s v="ZN02F020"/>
    <x v="46"/>
    <s v="F102"/>
    <s v="PARTICIPACION CIUDADANA"/>
    <s v="GI00F10200006D"/>
    <s v="GI00F10200006D INFRAESTRUCTURA COMUNITARIA"/>
    <s v="84 BIENES DE LARGA DURACIÓN"/>
    <s v="840104 Maquinarias y Equipos"/>
    <s v="G/840104/1FF102"/>
    <s v="001"/>
    <n v="18000"/>
    <n v="-18000"/>
    <n v="0"/>
    <n v="0"/>
    <n v="0"/>
    <n v="0"/>
    <n v="0"/>
    <n v="0"/>
    <n v="0"/>
    <n v="0"/>
  </r>
  <r>
    <s v="84"/>
    <x v="2"/>
    <x v="7"/>
    <s v="ZS03F030"/>
    <x v="45"/>
    <s v="F102"/>
    <s v="PARTICIPACION CIUDADANA"/>
    <s v="GI00F10200006D"/>
    <s v="GI00F10200006D INFRAESTRUCTURA COMUNITARIA"/>
    <s v="84 BIENES DE LARGA DURACIÓN"/>
    <s v="840104 Maquinarias y Equipos"/>
    <s v="G/840104/1FF102"/>
    <s v="001"/>
    <n v="0"/>
    <n v="20000"/>
    <n v="0"/>
    <n v="20000"/>
    <n v="5328"/>
    <n v="14672"/>
    <n v="0"/>
    <n v="5328"/>
    <n v="20000"/>
    <n v="0"/>
  </r>
  <r>
    <s v="84"/>
    <x v="2"/>
    <x v="7"/>
    <s v="ZN02F020"/>
    <x v="46"/>
    <s v="F102"/>
    <s v="PARTICIPACION CIUDADANA"/>
    <s v="GI00F10200006D"/>
    <s v="GI00F10200006D INFRAESTRUCTURA COMUNITARIA"/>
    <s v="84 BIENES DE LARGA DURACIÓN"/>
    <s v="840107 Equipos, Sistemas y Paquetes Informáticos"/>
    <s v="G/840107/1FF102"/>
    <s v="001"/>
    <n v="65000"/>
    <n v="-65000"/>
    <n v="0"/>
    <n v="0"/>
    <n v="0"/>
    <n v="0"/>
    <n v="0"/>
    <n v="0"/>
    <n v="0"/>
    <n v="0"/>
  </r>
  <r>
    <s v="84"/>
    <x v="1"/>
    <x v="15"/>
    <s v="ZA01G000"/>
    <x v="26"/>
    <s v="G101"/>
    <s v="ARTE, CULTURA Y PATRIMONIO"/>
    <s v="GI00G10100002D"/>
    <s v="GI00G10100002D PROMOCION DE DERECHOS CULTURALES"/>
    <s v="84 BIENES DE LARGA DURACIÓN"/>
    <s v="840104 Maquinarias y Equipos"/>
    <s v="G/840104/1GG101"/>
    <s v="001"/>
    <n v="10000"/>
    <n v="0"/>
    <n v="-10000"/>
    <n v="0"/>
    <n v="0"/>
    <n v="0"/>
    <n v="0"/>
    <n v="0"/>
    <n v="0"/>
    <n v="0"/>
  </r>
  <r>
    <s v="84"/>
    <x v="1"/>
    <x v="15"/>
    <s v="ZA01G000"/>
    <x v="26"/>
    <s v="G101"/>
    <s v="ARTE, CULTURA Y PATRIMONIO"/>
    <s v="GI00G10100003D"/>
    <s v="GI00G10100003D SERVICIOS CULTURALES COMUNITARIOS Y DEPO"/>
    <s v="84 BIENES DE LARGA DURACIÓN"/>
    <s v="840103 Mobiliarios"/>
    <s v="G/840103/1GG101"/>
    <s v="001"/>
    <n v="6000"/>
    <n v="0"/>
    <n v="-6000"/>
    <n v="0"/>
    <n v="0"/>
    <n v="0"/>
    <n v="0"/>
    <n v="0"/>
    <n v="0"/>
    <n v="0"/>
  </r>
  <r>
    <s v="84"/>
    <x v="1"/>
    <x v="15"/>
    <s v="ZA01G000"/>
    <x v="26"/>
    <s v="G101"/>
    <s v="ARTE, CULTURA Y PATRIMONIO"/>
    <s v="GI00G10100003D"/>
    <s v="GI00G10100003D SERVICIOS CULTURALES COMUNITARIOS Y DEPO"/>
    <s v="84 BIENES DE LARGA DURACIÓN"/>
    <s v="840104 Maquinarias y Equipos"/>
    <s v="G/840104/1GG101"/>
    <s v="001"/>
    <n v="54840"/>
    <n v="0"/>
    <n v="-54840"/>
    <n v="0"/>
    <n v="0"/>
    <n v="0"/>
    <n v="0"/>
    <n v="0"/>
    <n v="0"/>
    <n v="0"/>
  </r>
  <r>
    <s v="84"/>
    <x v="1"/>
    <x v="15"/>
    <s v="ZA01G000"/>
    <x v="26"/>
    <s v="G101"/>
    <s v="ARTE, CULTURA Y PATRIMONIO"/>
    <s v="GI00G10100003D"/>
    <s v="GI00G10100003D SERVICIOS CULTURALES COMUNITARIOS Y DEPO"/>
    <s v="84 BIENES DE LARGA DURACIÓN"/>
    <s v="840106 Herramientas"/>
    <s v="G/840106/1GG101"/>
    <s v="001"/>
    <n v="4000"/>
    <n v="0"/>
    <n v="-4000"/>
    <n v="0"/>
    <n v="0"/>
    <n v="0"/>
    <n v="0"/>
    <n v="0"/>
    <n v="0"/>
    <n v="0"/>
  </r>
  <r>
    <s v="84"/>
    <x v="1"/>
    <x v="15"/>
    <s v="ZA01G000"/>
    <x v="26"/>
    <s v="G101"/>
    <s v="ARTE, CULTURA Y PATRIMONIO"/>
    <s v="GI00G10100003D"/>
    <s v="GI00G10100003D SERVICIOS CULTURALES COMUNITARIOS Y DEPO"/>
    <s v="84 BIENES DE LARGA DURACIÓN"/>
    <s v="840107 Equipos, Sistemas y Paquetes Informáticos"/>
    <s v="G/840107/1GG101"/>
    <s v="001"/>
    <n v="10055"/>
    <n v="0"/>
    <n v="-10055"/>
    <n v="0"/>
    <n v="0"/>
    <n v="0"/>
    <n v="0"/>
    <n v="0"/>
    <n v="0"/>
    <n v="0"/>
  </r>
  <r>
    <s v="84"/>
    <x v="1"/>
    <x v="15"/>
    <s v="ZA01G030"/>
    <x v="58"/>
    <s v="G101"/>
    <s v="ARTE, CULTURA Y PATRIMONIO"/>
    <s v="GI00G10100004D"/>
    <s v="GI00G10100004D SISTEMA DE CENTROS CULTURALES"/>
    <s v="84 BIENES DE LARGA DURACIÓN"/>
    <s v="840107 Equipos, Sistemas y Paquetes Informáticos"/>
    <s v="G/840107/1GG101"/>
    <s v="001"/>
    <n v="10000"/>
    <n v="0"/>
    <n v="-10000"/>
    <n v="0"/>
    <n v="0"/>
    <n v="0"/>
    <n v="0"/>
    <n v="0"/>
    <n v="0"/>
    <n v="0"/>
  </r>
  <r>
    <s v="84"/>
    <x v="1"/>
    <x v="15"/>
    <s v="ZA01G030"/>
    <x v="58"/>
    <s v="G101"/>
    <s v="ARTE, CULTURA Y PATRIMONIO"/>
    <s v="GI00G10100008D"/>
    <s v="GI00G10100008D FORTALECIMIENTO DE LA RED METROPOLITANA"/>
    <s v="84 BIENES DE LARGA DURACIÓN"/>
    <s v="840103 Mobiliarios"/>
    <s v="G/840103/1GG101"/>
    <s v="001"/>
    <n v="15000"/>
    <n v="0"/>
    <n v="-15000"/>
    <n v="0"/>
    <n v="0"/>
    <n v="0"/>
    <n v="0"/>
    <n v="0"/>
    <n v="0"/>
    <n v="0"/>
  </r>
  <r>
    <s v="84"/>
    <x v="1"/>
    <x v="15"/>
    <s v="ZA01G030"/>
    <x v="58"/>
    <s v="G101"/>
    <s v="ARTE, CULTURA Y PATRIMONIO"/>
    <s v="GI00G10100008D"/>
    <s v="GI00G10100008D FORTALECIMIENTO DE LA RED METROPOLITANA"/>
    <s v="84 BIENES DE LARGA DURACIÓN"/>
    <s v="840104 Maquinarias y Equipos"/>
    <s v="G/840104/1GG101"/>
    <s v="001"/>
    <n v="24070"/>
    <n v="-24070"/>
    <n v="0"/>
    <n v="0"/>
    <n v="0"/>
    <n v="0"/>
    <n v="0"/>
    <n v="0"/>
    <n v="0"/>
    <n v="0"/>
  </r>
  <r>
    <s v="84"/>
    <x v="1"/>
    <x v="15"/>
    <s v="ZA01G030"/>
    <x v="58"/>
    <s v="G101"/>
    <s v="ARTE, CULTURA Y PATRIMONIO"/>
    <s v="GI00G10100008D"/>
    <s v="GI00G10100008D FORTALECIMIENTO DE LA RED METROPOLITANA"/>
    <s v="84 BIENES DE LARGA DURACIÓN"/>
    <s v="840107 Equipos, Sistemas y Paquetes Informáticos"/>
    <s v="G/840107/1GG101"/>
    <s v="001"/>
    <n v="5000"/>
    <n v="0"/>
    <n v="-5000"/>
    <n v="0"/>
    <n v="0"/>
    <n v="0"/>
    <n v="0"/>
    <n v="0"/>
    <n v="0"/>
    <n v="0"/>
  </r>
  <r>
    <s v="84"/>
    <x v="1"/>
    <x v="15"/>
    <s v="ZA01G000"/>
    <x v="26"/>
    <s v="G101"/>
    <s v="ARTE, CULTURA Y PATRIMONIO"/>
    <s v="GI00G10100011D"/>
    <s v="GI00G10100011D TERRITORIO Y CULTURA"/>
    <s v="84 BIENES DE LARGA DURACIÓN"/>
    <s v="840103 Mobiliarios"/>
    <s v="G/840103/1GG101"/>
    <s v="001"/>
    <n v="5000"/>
    <n v="0"/>
    <n v="-5000"/>
    <n v="0"/>
    <n v="0"/>
    <n v="0"/>
    <n v="0"/>
    <n v="0"/>
    <n v="0"/>
    <n v="0"/>
  </r>
  <r>
    <s v="84"/>
    <x v="1"/>
    <x v="15"/>
    <s v="ZA01G000"/>
    <x v="26"/>
    <s v="G101"/>
    <s v="ARTE, CULTURA Y PATRIMONIO"/>
    <s v="GI00G10100011D"/>
    <s v="GI00G10100011D TERRITORIO Y CULTURA"/>
    <s v="84 BIENES DE LARGA DURACIÓN"/>
    <s v="840104 Maquinarias y Equipos"/>
    <s v="G/840104/1GG101"/>
    <s v="001"/>
    <n v="60000"/>
    <n v="-7000"/>
    <n v="-53000"/>
    <n v="0"/>
    <n v="0"/>
    <n v="0"/>
    <n v="0"/>
    <n v="0"/>
    <n v="0"/>
    <n v="0"/>
  </r>
  <r>
    <s v="84"/>
    <x v="1"/>
    <x v="15"/>
    <s v="ZA01G000"/>
    <x v="26"/>
    <s v="G101"/>
    <s v="ARTE, CULTURA Y PATRIMONIO"/>
    <s v="GI00G10100011D"/>
    <s v="GI00G10100011D TERRITORIO Y CULTURA"/>
    <s v="84 BIENES DE LARGA DURACIÓN"/>
    <s v="840107 Equipos, Sistemas y Paquetes Informáticos"/>
    <s v="G/840107/1GG101"/>
    <s v="001"/>
    <n v="5000"/>
    <n v="0"/>
    <n v="-5000"/>
    <n v="0"/>
    <n v="0"/>
    <n v="0"/>
    <n v="0"/>
    <n v="0"/>
    <n v="0"/>
    <n v="0"/>
  </r>
  <r>
    <s v="84"/>
    <x v="1"/>
    <x v="15"/>
    <s v="ZA01G000"/>
    <x v="26"/>
    <s v="G101"/>
    <s v="ARTE, CULTURA Y PATRIMONIO"/>
    <s v="GI00G10100011D"/>
    <s v="GI00G10100011D TERRITORIO Y CULTURA"/>
    <s v="84 BIENES DE LARGA DURACIÓN"/>
    <s v="840108 Bienes Artísticos y Culturales"/>
    <s v="G/840108/1GG101"/>
    <s v="001"/>
    <n v="10000"/>
    <n v="0"/>
    <n v="-10000"/>
    <n v="0"/>
    <n v="0"/>
    <n v="0"/>
    <n v="0"/>
    <n v="0"/>
    <n v="0"/>
    <n v="0"/>
  </r>
  <r>
    <s v="84"/>
    <x v="3"/>
    <x v="6"/>
    <s v="AC67Q000"/>
    <x v="9"/>
    <s v="H209"/>
    <s v="FOMENTO DEL DESARROLLO ECONÓMICO LOCAL"/>
    <s v="GI00H20900002D"/>
    <s v="GI00H20900002D MEJORAMIENTO DEL SERVICIO DEL SISTEMA DE"/>
    <s v="84 BIENES DE LARGA DURACIÓN"/>
    <s v="840104 Maquinarias y Equipos"/>
    <s v="G/840104/2QH209"/>
    <s v="001"/>
    <n v="434563.92"/>
    <n v="-279743.2"/>
    <n v="-149175.92000000001"/>
    <n v="5644.8"/>
    <n v="0"/>
    <n v="5644.8"/>
    <n v="5644.8"/>
    <n v="0"/>
    <n v="0"/>
    <n v="0"/>
  </r>
  <r>
    <s v="84"/>
    <x v="3"/>
    <x v="6"/>
    <s v="AC67Q000"/>
    <x v="9"/>
    <s v="H209"/>
    <s v="FOMENTO DEL DESARROLLO ECONÓMICO LOCAL"/>
    <s v="GI00H20900002D"/>
    <s v="GI00H20900002D MEJORAMIENTO DEL SERVICIO DEL SISTEMA DE"/>
    <s v="84 BIENES DE LARGA DURACIÓN"/>
    <s v="840107 Equipos, Sistemas y Paquetes Informáticos"/>
    <s v="G/840107/2QH209"/>
    <s v="001"/>
    <n v="10000"/>
    <n v="11922.74"/>
    <n v="0"/>
    <n v="21922.74"/>
    <n v="0"/>
    <n v="21922.74"/>
    <n v="21922.74"/>
    <n v="0"/>
    <n v="0"/>
    <n v="0"/>
  </r>
  <r>
    <s v="84"/>
    <x v="2"/>
    <x v="7"/>
    <s v="ZD07F070"/>
    <x v="43"/>
    <s v="H211"/>
    <s v="DESARROLLO TERRITORIAL"/>
    <s v="GI00H21100002D"/>
    <s v="GI00H21100002D PROMOCIÓN DE VOCACIONES PRODUCTIVAS TERR"/>
    <s v="84 BIENES DE LARGA DURACIÓN"/>
    <s v="840107 Equipos, Sistemas y Paquetes Informáticos"/>
    <s v="G/840107/2FH211"/>
    <s v="001"/>
    <n v="1500"/>
    <n v="0"/>
    <n v="0"/>
    <n v="1500"/>
    <n v="0"/>
    <n v="1432.48"/>
    <n v="1432.48"/>
    <n v="67.52"/>
    <n v="67.52"/>
    <n v="67.52"/>
  </r>
  <r>
    <s v="84"/>
    <x v="1"/>
    <x v="10"/>
    <s v="ZA01I000"/>
    <x v="18"/>
    <s v="I101"/>
    <s v="PRACTICAS SALUDABLES"/>
    <s v="GI00I10100004D"/>
    <s v="GI00I10100004D QUITO A LA CANCHA"/>
    <s v="84 BIENES DE LARGA DURACIÓN"/>
    <s v="840107 Equipos, Sistemas y Paquetes Informáticos"/>
    <s v="G/840107/1II101"/>
    <s v="001"/>
    <n v="5934.84"/>
    <n v="-5934.84"/>
    <n v="0"/>
    <n v="0"/>
    <n v="0"/>
    <n v="0"/>
    <n v="0"/>
    <n v="0"/>
    <n v="0"/>
    <n v="0"/>
  </r>
  <r>
    <s v="84"/>
    <x v="1"/>
    <x v="10"/>
    <s v="ZA01I000"/>
    <x v="18"/>
    <s v="I101"/>
    <s v="PRACTICAS SALUDABLES"/>
    <s v="GI00I10100004D"/>
    <s v="GI00I10100004D QUITO A LA CANCHA"/>
    <s v="84 BIENES DE LARGA DURACIÓN"/>
    <s v="840401 Patentes, Derechos de Autor, Marcas Registr"/>
    <s v="G/840401/1II101"/>
    <s v="001"/>
    <n v="0"/>
    <n v="1000"/>
    <n v="-1000"/>
    <n v="0"/>
    <n v="0"/>
    <n v="0"/>
    <n v="0"/>
    <n v="0"/>
    <n v="0"/>
    <n v="0"/>
  </r>
  <r>
    <s v="84"/>
    <x v="1"/>
    <x v="10"/>
    <s v="CB21I040"/>
    <x v="17"/>
    <s v="I102"/>
    <s v="SISTEMA EDUCATIVO MUNICIPAL"/>
    <s v="GI00I10200004D"/>
    <s v="GI00I10200004D FORTALECIMIENTO PEDAGOGICO"/>
    <s v="84 BIENES DE LARGA DURACIÓN"/>
    <s v="840103 Mobiliarios"/>
    <s v="G/840103/1II102"/>
    <s v="001"/>
    <n v="0"/>
    <n v="14000"/>
    <n v="0"/>
    <n v="14000"/>
    <n v="0.02"/>
    <n v="13942.48"/>
    <n v="0"/>
    <n v="57.52"/>
    <n v="14000"/>
    <n v="57.5"/>
  </r>
  <r>
    <s v="84"/>
    <x v="1"/>
    <x v="10"/>
    <s v="SF43I080"/>
    <x v="34"/>
    <s v="I102"/>
    <s v="SISTEMA EDUCATIVO MUNICIPAL"/>
    <s v="GI00I10200004D"/>
    <s v="GI00I10200004D FORTALECIMIENTO PEDAGOGICO"/>
    <s v="84 BIENES DE LARGA DURACIÓN"/>
    <s v="840103 Mobiliarios"/>
    <s v="G/840103/1II102"/>
    <s v="001"/>
    <n v="124571.42"/>
    <n v="0"/>
    <n v="-124571.42"/>
    <n v="0"/>
    <n v="0"/>
    <n v="0"/>
    <n v="0"/>
    <n v="0"/>
    <n v="0"/>
    <n v="0"/>
  </r>
  <r>
    <s v="84"/>
    <x v="1"/>
    <x v="10"/>
    <s v="CB21I040"/>
    <x v="17"/>
    <s v="I102"/>
    <s v="SISTEMA EDUCATIVO MUNICIPAL"/>
    <s v="GI00I10200004D"/>
    <s v="GI00I10200004D FORTALECIMIENTO PEDAGOGICO"/>
    <s v="84 BIENES DE LARGA DURACIÓN"/>
    <s v="840104 Maquinarias y Equipos"/>
    <s v="G/840104/1II102"/>
    <s v="001"/>
    <n v="48200"/>
    <n v="-14000"/>
    <n v="-24800"/>
    <n v="9400"/>
    <n v="0"/>
    <n v="5700"/>
    <n v="0"/>
    <n v="3700"/>
    <n v="9400"/>
    <n v="3700"/>
  </r>
  <r>
    <s v="84"/>
    <x v="1"/>
    <x v="10"/>
    <s v="EQ13I030"/>
    <x v="35"/>
    <s v="I102"/>
    <s v="SISTEMA EDUCATIVO MUNICIPAL"/>
    <s v="GI00I10200004D"/>
    <s v="GI00I10200004D FORTALECIMIENTO PEDAGOGICO"/>
    <s v="84 BIENES DE LARGA DURACIÓN"/>
    <s v="840104 Maquinarias y Equipos"/>
    <s v="G/840104/1II102"/>
    <s v="001"/>
    <n v="84000"/>
    <n v="-50400"/>
    <n v="-33600"/>
    <n v="0"/>
    <n v="0"/>
    <n v="0"/>
    <n v="0"/>
    <n v="0"/>
    <n v="0"/>
    <n v="0"/>
  </r>
  <r>
    <s v="84"/>
    <x v="1"/>
    <x v="10"/>
    <s v="OL41I060"/>
    <x v="29"/>
    <s v="I102"/>
    <s v="SISTEMA EDUCATIVO MUNICIPAL"/>
    <s v="GI00I10200004D"/>
    <s v="GI00I10200004D FORTALECIMIENTO PEDAGOGICO"/>
    <s v="84 BIENES DE LARGA DURACIÓN"/>
    <s v="840104 Maquinarias y Equipos"/>
    <s v="G/840104/1II102"/>
    <s v="001"/>
    <n v="6040"/>
    <n v="0"/>
    <n v="-6040"/>
    <n v="0"/>
    <n v="0"/>
    <n v="0"/>
    <n v="0"/>
    <n v="0"/>
    <n v="0"/>
    <n v="0"/>
  </r>
  <r>
    <s v="84"/>
    <x v="1"/>
    <x v="10"/>
    <s v="MB42I090"/>
    <x v="28"/>
    <s v="I102"/>
    <s v="SISTEMA EDUCATIVO MUNICIPAL"/>
    <s v="GI00I10200004D"/>
    <s v="GI00I10200004D FORTALECIMIENTO PEDAGOGICO"/>
    <s v="84 BIENES DE LARGA DURACIÓN"/>
    <s v="840107 Equipos, Sistemas y Paquetes Informáticos"/>
    <s v="G/840107/1II102"/>
    <s v="001"/>
    <n v="0"/>
    <n v="7000"/>
    <n v="0"/>
    <n v="7000"/>
    <n v="0"/>
    <n v="6245.12"/>
    <n v="0"/>
    <n v="754.88"/>
    <n v="7000"/>
    <n v="754.88"/>
  </r>
  <r>
    <s v="84"/>
    <x v="1"/>
    <x v="10"/>
    <s v="SF43I080"/>
    <x v="34"/>
    <s v="I102"/>
    <s v="SISTEMA EDUCATIVO MUNICIPAL"/>
    <s v="GI00I10200004D"/>
    <s v="GI00I10200004D FORTALECIMIENTO PEDAGOGICO"/>
    <s v="84 BIENES DE LARGA DURACIÓN"/>
    <s v="840107 Equipos, Sistemas y Paquetes Informáticos"/>
    <s v="G/840107/1II102"/>
    <s v="001"/>
    <n v="114720.11"/>
    <n v="0"/>
    <n v="-114720.11"/>
    <n v="0"/>
    <n v="0"/>
    <n v="0"/>
    <n v="0"/>
    <n v="0"/>
    <n v="0"/>
    <n v="0"/>
  </r>
  <r>
    <s v="84"/>
    <x v="1"/>
    <x v="10"/>
    <s v="CB21I040"/>
    <x v="17"/>
    <s v="I102"/>
    <s v="SISTEMA EDUCATIVO MUNICIPAL"/>
    <s v="GI00I10200004D"/>
    <s v="GI00I10200004D FORTALECIMIENTO PEDAGOGICO"/>
    <s v="84 BIENES DE LARGA DURACIÓN"/>
    <s v="840107 Equipos, Sistemas y Paquetes Informáticos"/>
    <s v="G/840107/1II102"/>
    <s v="001"/>
    <n v="74800"/>
    <n v="-2800"/>
    <n v="-72000"/>
    <n v="0"/>
    <n v="0"/>
    <n v="0"/>
    <n v="0"/>
    <n v="0"/>
    <n v="0"/>
    <n v="0"/>
  </r>
  <r>
    <s v="84"/>
    <x v="1"/>
    <x v="10"/>
    <s v="ZA01I000"/>
    <x v="18"/>
    <s v="I102"/>
    <s v="SISTEMA EDUCATIVO MUNICIPAL"/>
    <s v="GI00I10200010D"/>
    <s v="GI00I10200010D FORTALECIMIENTO DE LA CALIDAD DEL SERVIC"/>
    <s v="84 BIENES DE LARGA DURACIÓN"/>
    <s v="840107 Equipos, Sistemas y Paquetes Informáticos"/>
    <s v="G/840107/1II102"/>
    <s v="001"/>
    <n v="114480.66"/>
    <n v="0"/>
    <n v="-114480.66"/>
    <n v="0"/>
    <n v="0"/>
    <n v="0"/>
    <n v="0"/>
    <n v="0"/>
    <n v="0"/>
    <n v="0"/>
  </r>
  <r>
    <s v="84"/>
    <x v="1"/>
    <x v="5"/>
    <s v="ZA01J000"/>
    <x v="8"/>
    <s v="J103"/>
    <s v="PROMOCIÓN Y PROTECCIÓN DE DERECHOS"/>
    <s v="GI00J10300001D"/>
    <s v="GI00J10300001D GARANTÍA DE PROTECCIÓN DE DERECHOS"/>
    <s v="84 BIENES DE LARGA DURACIÓN"/>
    <s v="840103 Mobiliarios"/>
    <s v="G/840103/1JJ103"/>
    <s v="001"/>
    <n v="9000"/>
    <n v="0"/>
    <n v="0"/>
    <n v="9000"/>
    <n v="9000"/>
    <n v="0"/>
    <n v="0"/>
    <n v="9000"/>
    <n v="9000"/>
    <n v="0"/>
  </r>
  <r>
    <s v="84"/>
    <x v="1"/>
    <x v="5"/>
    <s v="ZA01J000"/>
    <x v="8"/>
    <s v="J103"/>
    <s v="PROMOCIÓN Y PROTECCIÓN DE DERECHOS"/>
    <s v="GI00J10300001D"/>
    <s v="GI00J10300001D GARANTÍA DE PROTECCIÓN DE DERECHOS"/>
    <s v="84 BIENES DE LARGA DURACIÓN"/>
    <s v="840104 Maquinarias y Equipos"/>
    <s v="G/840104/1JJ103"/>
    <s v="001"/>
    <n v="4500"/>
    <n v="0"/>
    <n v="0"/>
    <n v="4500"/>
    <n v="0"/>
    <n v="0"/>
    <n v="0"/>
    <n v="4500"/>
    <n v="4500"/>
    <n v="4500"/>
  </r>
  <r>
    <s v="84"/>
    <x v="1"/>
    <x v="5"/>
    <s v="ZA01J000"/>
    <x v="8"/>
    <s v="J103"/>
    <s v="PROMOCIÓN Y PROTECCIÓN DE DERECHOS"/>
    <s v="GI00J10300001D"/>
    <s v="GI00J10300001D GARANTÍA DE PROTECCIÓN DE DERECHOS"/>
    <s v="84 BIENES DE LARGA DURACIÓN"/>
    <s v="840107 Equipos, Sistemas y Paquetes Informáticos"/>
    <s v="G/840107/1JJ103"/>
    <s v="001"/>
    <n v="7000"/>
    <n v="0"/>
    <n v="35600"/>
    <n v="42600"/>
    <n v="38171.32"/>
    <n v="0"/>
    <n v="0"/>
    <n v="42600"/>
    <n v="42600"/>
    <n v="4428.68"/>
  </r>
  <r>
    <s v="84"/>
    <x v="1"/>
    <x v="5"/>
    <s v="ZA01J000"/>
    <x v="8"/>
    <s v="J103"/>
    <s v="PROMOCIÓN Y PROTECCIÓN DE DERECHOS"/>
    <s v="GI00J10300001D"/>
    <s v="GI00J10300001D GARANTÍA DE PROTECCIÓN DE DERECHOS"/>
    <s v="84 BIENES DE LARGA DURACIÓN"/>
    <s v="840113 Equipos Médicos"/>
    <s v="G/840113/1JJ103"/>
    <s v="001"/>
    <n v="2000"/>
    <n v="0"/>
    <n v="0"/>
    <n v="2000"/>
    <n v="2000"/>
    <n v="0"/>
    <n v="0"/>
    <n v="2000"/>
    <n v="2000"/>
    <n v="0"/>
  </r>
  <r>
    <s v="84"/>
    <x v="1"/>
    <x v="5"/>
    <s v="ZA01J000"/>
    <x v="8"/>
    <s v="J103"/>
    <s v="PROMOCIÓN Y PROTECCIÓN DE DERECHOS"/>
    <s v="GI00J10300002D"/>
    <s v="GI00J10300002D PROMOCIÓN DE DERECHOS DE GRUPOS DE ATENC"/>
    <s v="84 BIENES DE LARGA DURACIÓN"/>
    <s v="840104 Maquinarias y Equipos"/>
    <s v="G/840104/1JJ103"/>
    <s v="001"/>
    <n v="118500"/>
    <n v="0"/>
    <n v="-118500"/>
    <n v="0"/>
    <n v="0"/>
    <n v="0"/>
    <n v="0"/>
    <n v="0"/>
    <n v="0"/>
    <n v="0"/>
  </r>
  <r>
    <s v="84"/>
    <x v="1"/>
    <x v="5"/>
    <s v="ZA01J000"/>
    <x v="8"/>
    <s v="J103"/>
    <s v="PROMOCIÓN Y PROTECCIÓN DE DERECHOS"/>
    <s v="GI00J10300002D"/>
    <s v="GI00J10300002D PROMOCIÓN DE DERECHOS DE GRUPOS DE ATENC"/>
    <s v="84 BIENES DE LARGA DURACIÓN"/>
    <s v="840107 Equipos, Sistemas y Paquetes Informáticos"/>
    <s v="G/840107/1JJ103"/>
    <s v="001"/>
    <n v="0"/>
    <n v="0"/>
    <n v="57000"/>
    <n v="57000"/>
    <n v="0"/>
    <n v="0"/>
    <n v="0"/>
    <n v="57000"/>
    <n v="57000"/>
    <n v="57000"/>
  </r>
  <r>
    <s v="84"/>
    <x v="1"/>
    <x v="5"/>
    <s v="ZA01J000"/>
    <x v="8"/>
    <s v="J103"/>
    <s v="PROMOCIÓN Y PROTECCIÓN DE DERECHOS"/>
    <s v="GI00J10300004D"/>
    <s v="GI00J10300004D IMPLEMENTACIÓN CASA DE LA INCLUSIÓN A FA"/>
    <s v="84 BIENES DE LARGA DURACIÓN"/>
    <s v="840103 Mobiliarios"/>
    <s v="G/840103/1JJ103"/>
    <s v="001"/>
    <n v="15000"/>
    <n v="0"/>
    <n v="0"/>
    <n v="15000"/>
    <n v="2477.08"/>
    <n v="12522.92"/>
    <n v="0"/>
    <n v="2477.08"/>
    <n v="15000"/>
    <n v="0"/>
  </r>
  <r>
    <s v="84"/>
    <x v="1"/>
    <x v="5"/>
    <s v="ZA01J000"/>
    <x v="8"/>
    <s v="J103"/>
    <s v="PROMOCIÓN Y PROTECCIÓN DE DERECHOS"/>
    <s v="GI00J10300004D"/>
    <s v="GI00J10300004D IMPLEMENTACIÓN CASA DE LA INCLUSIÓN A FA"/>
    <s v="84 BIENES DE LARGA DURACIÓN"/>
    <s v="840104 Maquinarias y Equipos"/>
    <s v="G/840104/1JJ103"/>
    <s v="001"/>
    <n v="25000.12"/>
    <n v="-25000.12"/>
    <n v="0"/>
    <n v="0"/>
    <n v="0"/>
    <n v="0"/>
    <n v="0"/>
    <n v="0"/>
    <n v="0"/>
    <n v="0"/>
  </r>
  <r>
    <s v="84"/>
    <x v="1"/>
    <x v="5"/>
    <s v="ZA01J000"/>
    <x v="8"/>
    <s v="J103"/>
    <s v="PROMOCIÓN Y PROTECCIÓN DE DERECHOS"/>
    <s v="GI00J10300004D"/>
    <s v="GI00J10300004D IMPLEMENTACIÓN CASA DE LA INCLUSIÓN A FA"/>
    <s v="84 BIENES DE LARGA DURACIÓN"/>
    <s v="840107 Equipos, Sistemas y Paquetes Informáticos"/>
    <s v="G/840107/1JJ103"/>
    <s v="001"/>
    <n v="20000"/>
    <n v="0"/>
    <n v="0"/>
    <n v="20000"/>
    <n v="19164"/>
    <n v="0"/>
    <n v="0"/>
    <n v="20000"/>
    <n v="20000"/>
    <n v="836"/>
  </r>
  <r>
    <s v="84"/>
    <x v="2"/>
    <x v="3"/>
    <s v="AT69K040"/>
    <x v="16"/>
    <s v="K305"/>
    <s v="MOVILIDAD SEGURA"/>
    <s v="GI00K30500003D"/>
    <s v="GI00K30500003D AUDITORÍA DE SEGURIDAD VIAL"/>
    <s v="84 BIENES DE LARGA DURACIÓN"/>
    <s v="840104 Maquinarias y Equipos"/>
    <s v="G/840104/3KK305"/>
    <s v="001"/>
    <n v="205595.2"/>
    <n v="0"/>
    <n v="-40687.800000000003"/>
    <n v="164907.4"/>
    <n v="22260.84"/>
    <n v="76160"/>
    <n v="0"/>
    <n v="88747.4"/>
    <n v="164907.4"/>
    <n v="66486.559999999998"/>
  </r>
  <r>
    <s v="84"/>
    <x v="2"/>
    <x v="3"/>
    <s v="AT69K040"/>
    <x v="16"/>
    <s v="K305"/>
    <s v="MOVILIDAD SEGURA"/>
    <s v="GI00K30500003D"/>
    <s v="GI00K30500003D AUDITORÍA DE SEGURIDAD VIAL"/>
    <s v="84 BIENES DE LARGA DURACIÓN"/>
    <s v="840107 Equipos, Sistemas y Paquetes Informáticos"/>
    <s v="G/840107/3KK305"/>
    <s v="001"/>
    <n v="54500"/>
    <n v="0"/>
    <n v="-54500"/>
    <n v="0"/>
    <n v="0"/>
    <n v="0"/>
    <n v="0"/>
    <n v="0"/>
    <n v="0"/>
    <n v="0"/>
  </r>
  <r>
    <s v="84"/>
    <x v="2"/>
    <x v="3"/>
    <s v="AT69K040"/>
    <x v="16"/>
    <s v="K305"/>
    <s v="MOVILIDAD SEGURA"/>
    <s v="GI00K30500005D"/>
    <s v="GI00K30500005D EDUCACIÓN Y SEGURIDAD VIAL"/>
    <s v="84 BIENES DE LARGA DURACIÓN"/>
    <s v="840104 Maquinarias y Equipos"/>
    <s v="G/840104/3KK305"/>
    <s v="001"/>
    <n v="5000"/>
    <n v="0"/>
    <n v="-5000"/>
    <n v="0"/>
    <n v="0"/>
    <n v="0"/>
    <n v="0"/>
    <n v="0"/>
    <n v="0"/>
    <n v="0"/>
  </r>
  <r>
    <s v="84"/>
    <x v="2"/>
    <x v="3"/>
    <s v="AT69K040"/>
    <x v="16"/>
    <s v="K305"/>
    <s v="MOVILIDAD SEGURA"/>
    <s v="GI00K30500005D"/>
    <s v="GI00K30500005D EDUCACIÓN Y SEGURIDAD VIAL"/>
    <s v="84 BIENES DE LARGA DURACIÓN"/>
    <s v="840107 Equipos, Sistemas y Paquetes Informáticos"/>
    <s v="G/840107/3KK305"/>
    <s v="001"/>
    <n v="8800"/>
    <n v="0"/>
    <n v="-8800"/>
    <n v="0"/>
    <n v="0"/>
    <n v="0"/>
    <n v="0"/>
    <n v="0"/>
    <n v="0"/>
    <n v="0"/>
  </r>
  <r>
    <s v="84"/>
    <x v="2"/>
    <x v="3"/>
    <s v="AT69K040"/>
    <x v="16"/>
    <s v="K305"/>
    <s v="MOVILIDAD SEGURA"/>
    <s v="GI00K30500006D"/>
    <s v="GI00K30500006D FORTALECIMIENTO DEL CONTROL DEL TRÁNSITO"/>
    <s v="84 BIENES DE LARGA DURACIÓN"/>
    <s v="840103 Mobiliarios"/>
    <s v="G/840103/3KK305"/>
    <s v="001"/>
    <n v="0"/>
    <n v="640"/>
    <n v="0"/>
    <n v="640"/>
    <n v="0"/>
    <n v="0"/>
    <n v="0"/>
    <n v="640"/>
    <n v="640"/>
    <n v="640"/>
  </r>
  <r>
    <s v="84"/>
    <x v="2"/>
    <x v="3"/>
    <s v="AT69K040"/>
    <x v="16"/>
    <s v="K305"/>
    <s v="MOVILIDAD SEGURA"/>
    <s v="GI00K30500006D"/>
    <s v="GI00K30500006D FORTALECIMIENTO DEL CONTROL DEL TRÁNSITO"/>
    <s v="84 BIENES DE LARGA DURACIÓN"/>
    <s v="840104 Maquinarias y Equipos"/>
    <s v="G/840104/3KK305"/>
    <s v="001"/>
    <n v="3052296.2"/>
    <n v="-48357.919999999998"/>
    <n v="-2723512.93"/>
    <n v="280425.34999999998"/>
    <n v="76.8"/>
    <n v="3483.2"/>
    <n v="3483.2"/>
    <n v="276942.15000000002"/>
    <n v="276942.15000000002"/>
    <n v="276865.34999999998"/>
  </r>
  <r>
    <s v="84"/>
    <x v="2"/>
    <x v="3"/>
    <s v="AT69K040"/>
    <x v="16"/>
    <s v="K305"/>
    <s v="MOVILIDAD SEGURA"/>
    <s v="GI00K30500006D"/>
    <s v="GI00K30500006D FORTALECIMIENTO DEL CONTROL DEL TRÁNSITO"/>
    <s v="84 BIENES DE LARGA DURACIÓN"/>
    <s v="840106 Herramientas"/>
    <s v="G/840106/3KK305"/>
    <s v="001"/>
    <n v="0"/>
    <n v="3815.2"/>
    <n v="0"/>
    <n v="3815.2"/>
    <n v="0"/>
    <n v="0"/>
    <n v="0"/>
    <n v="3815.2"/>
    <n v="3815.2"/>
    <n v="3815.2"/>
  </r>
  <r>
    <s v="84"/>
    <x v="2"/>
    <x v="3"/>
    <s v="AT69K040"/>
    <x v="16"/>
    <s v="K305"/>
    <s v="MOVILIDAD SEGURA"/>
    <s v="GI00K30500006D"/>
    <s v="GI00K30500006D FORTALECIMIENTO DEL CONTROL DEL TRÁNSITO"/>
    <s v="84 BIENES DE LARGA DURACIÓN"/>
    <s v="840107 Equipos, Sistemas y Paquetes Informáticos"/>
    <s v="G/840107/3KK305"/>
    <s v="001"/>
    <n v="296800"/>
    <n v="0"/>
    <n v="-296800"/>
    <n v="0"/>
    <n v="0"/>
    <n v="0"/>
    <n v="0"/>
    <n v="0"/>
    <n v="0"/>
    <n v="0"/>
  </r>
  <r>
    <s v="84"/>
    <x v="2"/>
    <x v="3"/>
    <s v="AT69K040"/>
    <x v="16"/>
    <s v="K305"/>
    <s v="MOVILIDAD SEGURA"/>
    <s v="GI00K30500006D"/>
    <s v="GI00K30500006D FORTALECIMIENTO DEL CONTROL DEL TRÁNSITO"/>
    <s v="84 BIENES DE LARGA DURACIÓN"/>
    <s v="840203 Bienes Prefabricados (Inmuebles)"/>
    <s v="G/840203/3KK305"/>
    <s v="001"/>
    <n v="0"/>
    <n v="200000"/>
    <n v="-200000"/>
    <n v="0"/>
    <n v="0"/>
    <n v="0"/>
    <n v="0"/>
    <n v="0"/>
    <n v="0"/>
    <n v="0"/>
  </r>
  <r>
    <s v="84"/>
    <x v="2"/>
    <x v="3"/>
    <s v="AT69K040"/>
    <x v="16"/>
    <s v="K305"/>
    <s v="MOVILIDAD SEGURA"/>
    <s v="GI00K30500007D"/>
    <s v="GI00K30500007D MODERNIZACIÓN DE LOS SERVICIOS DE LA AGE"/>
    <s v="84 BIENES DE LARGA DURACIÓN"/>
    <s v="840103 Mobiliarios"/>
    <s v="G/840103/3KK305"/>
    <s v="001"/>
    <n v="174739.6"/>
    <n v="0"/>
    <n v="-150000"/>
    <n v="24739.599999999999"/>
    <n v="0"/>
    <n v="0"/>
    <n v="0"/>
    <n v="24739.599999999999"/>
    <n v="24739.599999999999"/>
    <n v="24739.599999999999"/>
  </r>
  <r>
    <s v="84"/>
    <x v="2"/>
    <x v="3"/>
    <s v="AT69K040"/>
    <x v="16"/>
    <s v="K305"/>
    <s v="MOVILIDAD SEGURA"/>
    <s v="GI00K30500007D"/>
    <s v="GI00K30500007D MODERNIZACIÓN DE LOS SERVICIOS DE LA AGE"/>
    <s v="84 BIENES DE LARGA DURACIÓN"/>
    <s v="840104 Maquinarias y Equipos"/>
    <s v="G/840104/3KK305"/>
    <s v="001"/>
    <n v="78400"/>
    <n v="0"/>
    <n v="-78400"/>
    <n v="0"/>
    <n v="0"/>
    <n v="0"/>
    <n v="0"/>
    <n v="0"/>
    <n v="0"/>
    <n v="0"/>
  </r>
  <r>
    <s v="84"/>
    <x v="2"/>
    <x v="3"/>
    <s v="AT69K040"/>
    <x v="16"/>
    <s v="K305"/>
    <s v="MOVILIDAD SEGURA"/>
    <s v="GI00K30500007D"/>
    <s v="GI00K30500007D MODERNIZACIÓN DE LOS SERVICIOS DE LA AGE"/>
    <s v="84 BIENES DE LARGA DURACIÓN"/>
    <s v="840107 Equipos, Sistemas y Paquetes Informáticos"/>
    <s v="G/840107/3KK305"/>
    <s v="001"/>
    <n v="1636921.02"/>
    <n v="0"/>
    <n v="-848236.41"/>
    <n v="788684.61"/>
    <n v="0"/>
    <n v="467510.4"/>
    <n v="467510.4"/>
    <n v="321174.21000000002"/>
    <n v="321174.21000000002"/>
    <n v="321174.21000000002"/>
  </r>
  <r>
    <s v="84"/>
    <x v="2"/>
    <x v="3"/>
    <s v="ZA01K000"/>
    <x v="6"/>
    <s v="K308"/>
    <s v="MOVILIDAD SOSTENIBLE"/>
    <s v="GI00K30800002D"/>
    <s v="GI00K30800002D MEJORAMIENTO DE LA CIRCULACIÓN DEL TRÁFI"/>
    <s v="84 BIENES DE LARGA DURACIÓN"/>
    <s v="840104 Maquinarias y Equipos"/>
    <s v="G/840104/3KK308"/>
    <s v="001"/>
    <n v="0"/>
    <n v="4396"/>
    <n v="-4396"/>
    <n v="0"/>
    <n v="0"/>
    <n v="0"/>
    <n v="0"/>
    <n v="0"/>
    <n v="0"/>
    <n v="0"/>
  </r>
  <r>
    <s v="84"/>
    <x v="2"/>
    <x v="3"/>
    <s v="ZA01K000"/>
    <x v="6"/>
    <s v="K308"/>
    <s v="MOVILIDAD SOSTENIBLE"/>
    <s v="GI00K30800002D"/>
    <s v="GI00K30800002D MEJORAMIENTO DE LA CIRCULACIÓN DEL TRÁFI"/>
    <s v="84 BIENES DE LARGA DURACIÓN"/>
    <s v="840107 Equipos, Sistemas y Paquetes Informáticos"/>
    <s v="G/840107/3KK308"/>
    <s v="001"/>
    <n v="596480"/>
    <n v="-2288.16"/>
    <n v="-73000"/>
    <n v="521191.84"/>
    <n v="0"/>
    <n v="7000"/>
    <n v="7000"/>
    <n v="514191.84"/>
    <n v="514191.84"/>
    <n v="514191.84"/>
  </r>
  <r>
    <s v="84"/>
    <x v="2"/>
    <x v="3"/>
    <s v="AT69K040"/>
    <x v="16"/>
    <s v="K308"/>
    <s v="MOVILIDAD SOSTENIBLE"/>
    <s v="GI00K30800004D"/>
    <s v="GI00K30800004D PASEO DOMINICAL"/>
    <s v="84 BIENES DE LARGA DURACIÓN"/>
    <s v="840103 Mobiliarios"/>
    <s v="G/840103/3KK308"/>
    <s v="001"/>
    <n v="0"/>
    <n v="3200"/>
    <n v="0"/>
    <n v="3200"/>
    <n v="0"/>
    <n v="0"/>
    <n v="0"/>
    <n v="3200"/>
    <n v="3200"/>
    <n v="3200"/>
  </r>
  <r>
    <s v="84"/>
    <x v="0"/>
    <x v="0"/>
    <s v="ZA01A005"/>
    <x v="48"/>
    <s v="L101"/>
    <s v="GESTION INSTITUCIONAL EFICIENTE E INNOVADORA"/>
    <s v="GI00L10100001D"/>
    <s v="GI00L10100001D GESTION CATASTRAL"/>
    <s v="84 BIENES DE LARGA DURACIÓN"/>
    <s v="840104 Maquinarias y Equipos"/>
    <s v="G/840104/1AL101"/>
    <s v="002"/>
    <n v="0"/>
    <n v="309115.96999999997"/>
    <n v="0"/>
    <n v="309115.96999999997"/>
    <n v="0"/>
    <n v="309115.96999999997"/>
    <n v="0"/>
    <n v="0"/>
    <n v="309115.96999999997"/>
    <n v="0"/>
  </r>
  <r>
    <s v="84"/>
    <x v="0"/>
    <x v="0"/>
    <s v="RP36A010"/>
    <x v="0"/>
    <s v="L101"/>
    <s v="GESTION INSTITUCIONAL EFICIENTE E INNOVADORA"/>
    <s v="GI00L10100009D"/>
    <s v="GI00L10100009D MODERNIZACION INTEGRAL DEL REGISTRO DE L"/>
    <s v="84 BIENES DE LARGA DURACIÓN"/>
    <s v="840103 Mobiliarios"/>
    <s v="G/840103/1AL101"/>
    <s v="002"/>
    <n v="0"/>
    <n v="1510.77"/>
    <n v="-134.4"/>
    <n v="1376.37"/>
    <n v="1376.37"/>
    <n v="0"/>
    <n v="0"/>
    <n v="1376.37"/>
    <n v="1376.37"/>
    <n v="0"/>
  </r>
  <r>
    <s v="84"/>
    <x v="0"/>
    <x v="0"/>
    <s v="RP36A010"/>
    <x v="0"/>
    <s v="L101"/>
    <s v="GESTION INSTITUCIONAL EFICIENTE E INNOVADORA"/>
    <s v="GI00L10100009D"/>
    <s v="GI00L10100009D MODERNIZACION INTEGRAL DEL REGISTRO DE L"/>
    <s v="84 BIENES DE LARGA DURACIÓN"/>
    <s v="840104 Maquinarias y Equipos"/>
    <s v="G/840104/1AL101"/>
    <s v="002"/>
    <n v="10000"/>
    <n v="-10000"/>
    <n v="0"/>
    <n v="0"/>
    <n v="0"/>
    <n v="0"/>
    <n v="0"/>
    <n v="0"/>
    <n v="0"/>
    <n v="0"/>
  </r>
  <r>
    <s v="84"/>
    <x v="0"/>
    <x v="0"/>
    <s v="RP36A010"/>
    <x v="0"/>
    <s v="L101"/>
    <s v="GESTION INSTITUCIONAL EFICIENTE E INNOVADORA"/>
    <s v="GI00L10100009D"/>
    <s v="GI00L10100009D MODERNIZACION INTEGRAL DEL REGISTRO DE L"/>
    <s v="84 BIENES DE LARGA DURACIÓN"/>
    <s v="840107 Equipos, Sistemas y Paquetes Informáticos"/>
    <s v="G/840107/1AL101"/>
    <s v="002"/>
    <n v="757633.67"/>
    <n v="2329.6"/>
    <n v="-748993.5"/>
    <n v="10969.77"/>
    <n v="4591.17"/>
    <n v="6378.6"/>
    <n v="6378.6"/>
    <n v="4591.17"/>
    <n v="4591.17"/>
    <n v="0"/>
  </r>
  <r>
    <s v="84"/>
    <x v="0"/>
    <x v="0"/>
    <s v="RP36A010"/>
    <x v="0"/>
    <s v="L101"/>
    <s v="GESTION INSTITUCIONAL EFICIENTE E INNOVADORA"/>
    <s v="GI00L10100009D"/>
    <s v="GI00L10100009D MODERNIZACION INTEGRAL DEL REGISTRO DE L"/>
    <s v="84 BIENES DE LARGA DURACIÓN"/>
    <s v="840107 Equipos, Sistemas y Paquetes Informáticos"/>
    <s v="G/840107/1AL101"/>
    <s v="001"/>
    <n v="0"/>
    <n v="0"/>
    <n v="39681.9"/>
    <n v="39681.9"/>
    <n v="38198.43"/>
    <n v="0"/>
    <n v="0"/>
    <n v="39681.9"/>
    <n v="39681.9"/>
    <n v="1483.47"/>
  </r>
  <r>
    <s v="84"/>
    <x v="0"/>
    <x v="0"/>
    <s v="RP36A010"/>
    <x v="0"/>
    <s v="L101"/>
    <s v="GESTION INSTITUCIONAL EFICIENTE E INNOVADORA"/>
    <s v="GI00L10100009D"/>
    <s v="GI00L10100009D MODERNIZACION INTEGRAL DEL REGISTRO DE L"/>
    <s v="84 BIENES DE LARGA DURACIÓN"/>
    <s v="840402 Licencias Computacionales"/>
    <s v="G/840402/1AL101"/>
    <s v="002"/>
    <n v="0"/>
    <n v="87344.78"/>
    <n v="-87344.78"/>
    <n v="0"/>
    <n v="0"/>
    <n v="0"/>
    <n v="0"/>
    <n v="0"/>
    <n v="0"/>
    <n v="0"/>
  </r>
  <r>
    <s v="84"/>
    <x v="0"/>
    <x v="12"/>
    <s v="MC37B000"/>
    <x v="21"/>
    <s v="L101"/>
    <s v="GESTION INSTITUCIONAL EFICIENTE E INNOVADORA"/>
    <s v="GI00L10100010D"/>
    <s v="GI00L10100010D CONTROL DE CUMPLIMIENTO DE LA NORMATIVA"/>
    <s v="84 BIENES DE LARGA DURACIÓN"/>
    <s v="840103 Mobiliarios"/>
    <s v="G/840103/1BL101"/>
    <s v="001"/>
    <n v="0"/>
    <n v="0"/>
    <n v="84870.24"/>
    <n v="84870.24"/>
    <n v="0"/>
    <n v="0"/>
    <n v="0"/>
    <n v="84870.24"/>
    <n v="84870.24"/>
    <n v="84870.24"/>
  </r>
  <r>
    <s v="84"/>
    <x v="0"/>
    <x v="12"/>
    <s v="MC37B000"/>
    <x v="21"/>
    <s v="L101"/>
    <s v="GESTION INSTITUCIONAL EFICIENTE E INNOVADORA"/>
    <s v="GI00L10100010D"/>
    <s v="GI00L10100010D CONTROL DE CUMPLIMIENTO DE LA NORMATIVA"/>
    <s v="84 BIENES DE LARGA DURACIÓN"/>
    <s v="840103 Mobiliarios"/>
    <s v="G/840103/1BL101"/>
    <s v="002"/>
    <n v="0"/>
    <n v="84870.24"/>
    <n v="-84870.24"/>
    <n v="0"/>
    <n v="0"/>
    <n v="0"/>
    <n v="0"/>
    <n v="0"/>
    <n v="0"/>
    <n v="0"/>
  </r>
  <r>
    <s v="84"/>
    <x v="0"/>
    <x v="12"/>
    <s v="MC37B000"/>
    <x v="21"/>
    <s v="L101"/>
    <s v="GESTION INSTITUCIONAL EFICIENTE E INNOVADORA"/>
    <s v="GI00L10100010D"/>
    <s v="GI00L10100010D CONTROL DE CUMPLIMIENTO DE LA NORMATIVA"/>
    <s v="84 BIENES DE LARGA DURACIÓN"/>
    <s v="840104 Maquinarias y Equipos"/>
    <s v="G/840104/1BL101"/>
    <s v="002"/>
    <n v="15400"/>
    <n v="-8761"/>
    <n v="0"/>
    <n v="6639"/>
    <n v="3"/>
    <n v="6636"/>
    <n v="6636"/>
    <n v="3"/>
    <n v="3"/>
    <n v="0"/>
  </r>
  <r>
    <s v="84"/>
    <x v="0"/>
    <x v="12"/>
    <s v="MC37B000"/>
    <x v="21"/>
    <s v="L101"/>
    <s v="GESTION INSTITUCIONAL EFICIENTE E INNOVADORA"/>
    <s v="GI00L10100010D"/>
    <s v="GI00L10100010D CONTROL DE CUMPLIMIENTO DE LA NORMATIVA"/>
    <s v="84 BIENES DE LARGA DURACIÓN"/>
    <s v="840105 Vehículos"/>
    <s v="G/840105/1BL101"/>
    <s v="002"/>
    <n v="62800"/>
    <n v="-62800"/>
    <n v="0"/>
    <n v="0"/>
    <n v="0"/>
    <n v="0"/>
    <n v="0"/>
    <n v="0"/>
    <n v="0"/>
    <n v="0"/>
  </r>
  <r>
    <s v="84"/>
    <x v="0"/>
    <x v="12"/>
    <s v="MC37B000"/>
    <x v="21"/>
    <s v="L101"/>
    <s v="GESTION INSTITUCIONAL EFICIENTE E INNOVADORA"/>
    <s v="GI00L10100010D"/>
    <s v="GI00L10100010D CONTROL DE CUMPLIMIENTO DE LA NORMATIVA"/>
    <s v="84 BIENES DE LARGA DURACIÓN"/>
    <s v="840107 Equipos, Sistemas y Paquetes Informáticos"/>
    <s v="G/840107/1BL101"/>
    <s v="002"/>
    <n v="8980.7000000000007"/>
    <n v="78000"/>
    <n v="-27137.98"/>
    <n v="59842.720000000001"/>
    <n v="59842.720000000001"/>
    <n v="0"/>
    <n v="0"/>
    <n v="59842.720000000001"/>
    <n v="59842.720000000001"/>
    <n v="0"/>
  </r>
  <r>
    <s v="84"/>
    <x v="0"/>
    <x v="12"/>
    <s v="MC37B000"/>
    <x v="21"/>
    <s v="L101"/>
    <s v="GESTION INSTITUCIONAL EFICIENTE E INNOVADORA"/>
    <s v="GI00L10100010D"/>
    <s v="GI00L10100010D CONTROL DE CUMPLIMIENTO DE LA NORMATIVA"/>
    <s v="84 BIENES DE LARGA DURACIÓN"/>
    <s v="840107 Equipos, Sistemas y Paquetes Informáticos"/>
    <s v="G/840107/1BL101"/>
    <s v="001"/>
    <n v="0"/>
    <n v="0"/>
    <n v="27137.98"/>
    <n v="27137.98"/>
    <n v="0"/>
    <n v="0"/>
    <n v="0"/>
    <n v="27137.98"/>
    <n v="27137.98"/>
    <n v="27137.98"/>
  </r>
  <r>
    <s v="84"/>
    <x v="0"/>
    <x v="14"/>
    <s v="ZA01E000"/>
    <x v="23"/>
    <s v="L101"/>
    <s v="GESTION INSTITUCIONAL EFICIENTE E INNOVADORA"/>
    <s v="GI00L10100011D"/>
    <s v="GI00L10100011D DIFUSION DE LA GESTION INSTITUCIONAL"/>
    <s v="84 BIENES DE LARGA DURACIÓN"/>
    <s v="840104 Maquinarias y Equipos"/>
    <s v="G/840104/1EL101"/>
    <s v="002"/>
    <n v="18816"/>
    <n v="0"/>
    <n v="-189.28"/>
    <n v="18626.72"/>
    <n v="18626.72"/>
    <n v="0"/>
    <n v="0"/>
    <n v="18626.72"/>
    <n v="18626.72"/>
    <n v="0"/>
  </r>
  <r>
    <s v="84"/>
    <x v="0"/>
    <x v="14"/>
    <s v="ZA01E000"/>
    <x v="23"/>
    <s v="L101"/>
    <s v="GESTION INSTITUCIONAL EFICIENTE E INNOVADORA"/>
    <s v="GI00L10100011D"/>
    <s v="GI00L10100011D DIFUSION DE LA GESTION INSTITUCIONAL"/>
    <s v="84 BIENES DE LARGA DURACIÓN"/>
    <s v="840104 Maquinarias y Equipos"/>
    <s v="G/840104/1EL101"/>
    <s v="001"/>
    <n v="0"/>
    <n v="0"/>
    <n v="189.28"/>
    <n v="189.28"/>
    <n v="0"/>
    <n v="0"/>
    <n v="0"/>
    <n v="189.28"/>
    <n v="189.28"/>
    <n v="189.28"/>
  </r>
  <r>
    <s v="84"/>
    <x v="0"/>
    <x v="14"/>
    <s v="ZA01E000"/>
    <x v="23"/>
    <s v="L101"/>
    <s v="GESTION INSTITUCIONAL EFICIENTE E INNOVADORA"/>
    <s v="GI00L10100011D"/>
    <s v="GI00L10100011D DIFUSION DE LA GESTION INSTITUCIONAL"/>
    <s v="84 BIENES DE LARGA DURACIÓN"/>
    <s v="840401 Patentes, Derechos de Autor, Marcas Registr"/>
    <s v="G/840401/1EL101"/>
    <s v="001"/>
    <n v="0"/>
    <n v="0"/>
    <n v="721.62"/>
    <n v="721.62"/>
    <n v="0"/>
    <n v="0"/>
    <n v="0"/>
    <n v="721.62"/>
    <n v="721.62"/>
    <n v="721.62"/>
  </r>
  <r>
    <s v="84"/>
    <x v="0"/>
    <x v="14"/>
    <s v="ZA01E000"/>
    <x v="23"/>
    <s v="L101"/>
    <s v="GESTION INSTITUCIONAL EFICIENTE E INNOVADORA"/>
    <s v="GI00L10100011D"/>
    <s v="GI00L10100011D DIFUSION DE LA GESTION INSTITUCIONAL"/>
    <s v="84 BIENES DE LARGA DURACIÓN"/>
    <s v="840401 Patentes, Derechos de Autor, Marcas Registr"/>
    <s v="G/840401/1EL101"/>
    <s v="002"/>
    <n v="5040"/>
    <n v="-1344"/>
    <n v="-721.62"/>
    <n v="2974.38"/>
    <n v="0"/>
    <n v="2974.38"/>
    <n v="2974.38"/>
    <n v="0"/>
    <n v="0"/>
    <n v="0"/>
  </r>
  <r>
    <s v="84"/>
    <x v="0"/>
    <x v="0"/>
    <s v="ZA01A004"/>
    <x v="52"/>
    <s v="L101"/>
    <s v="GESTION INSTITUCIONAL EFICIENTE E INNOVADORA"/>
    <s v="GI00L10100033D"/>
    <s v="GI00L10100033D GESTIÓN TRIBUTARIA EFICIENTE"/>
    <s v="84 BIENES DE LARGA DURACIÓN"/>
    <s v="840107 Equipos, Sistemas y Paquetes Informáticos"/>
    <s v="G/840107/1AL101"/>
    <s v="002"/>
    <n v="20000"/>
    <n v="0"/>
    <n v="-20000"/>
    <n v="0"/>
    <n v="0"/>
    <n v="0"/>
    <n v="0"/>
    <n v="0"/>
    <n v="0"/>
    <n v="0"/>
  </r>
  <r>
    <s v="84"/>
    <x v="0"/>
    <x v="0"/>
    <s v="ZA01A009"/>
    <x v="1"/>
    <s v="L101"/>
    <s v="GESTION INSTITUCIONAL EFICIENTE E INNOVADORA"/>
    <s v="GI00L10100034D"/>
    <s v="GI00L10100034D INNOVACIÓN DE LOS SERVICIOS DE ATENCIÓN"/>
    <s v="84 BIENES DE LARGA DURACIÓN"/>
    <s v="840103 Mobiliarios"/>
    <s v="G/840103/1AL101"/>
    <s v="001"/>
    <n v="0"/>
    <n v="0"/>
    <n v="51000"/>
    <n v="51000"/>
    <n v="0"/>
    <n v="0"/>
    <n v="0"/>
    <n v="51000"/>
    <n v="51000"/>
    <n v="51000"/>
  </r>
  <r>
    <s v="84"/>
    <x v="0"/>
    <x v="0"/>
    <s v="ZA01A009"/>
    <x v="1"/>
    <s v="L101"/>
    <s v="GESTION INSTITUCIONAL EFICIENTE E INNOVADORA"/>
    <s v="GI00L10100034D"/>
    <s v="GI00L10100034D INNOVACIÓN DE LOS SERVICIOS DE ATENCIÓN"/>
    <s v="84 BIENES DE LARGA DURACIÓN"/>
    <s v="840103 Mobiliarios"/>
    <s v="G/840103/1AL101"/>
    <s v="002"/>
    <n v="161000"/>
    <n v="0"/>
    <n v="-161000"/>
    <n v="0"/>
    <n v="0"/>
    <n v="0"/>
    <n v="0"/>
    <n v="0"/>
    <n v="0"/>
    <n v="0"/>
  </r>
  <r>
    <s v="84"/>
    <x v="0"/>
    <x v="0"/>
    <s v="ZA01A009"/>
    <x v="1"/>
    <s v="L101"/>
    <s v="GESTION INSTITUCIONAL EFICIENTE E INNOVADORA"/>
    <s v="GI00L10100034D"/>
    <s v="GI00L10100034D INNOVACIÓN DE LOS SERVICIOS DE ATENCIÓN"/>
    <s v="84 BIENES DE LARGA DURACIÓN"/>
    <s v="840104 Maquinarias y Equipos"/>
    <s v="G/840104/1AL101"/>
    <s v="002"/>
    <n v="60500"/>
    <n v="0"/>
    <n v="-60500"/>
    <n v="0"/>
    <n v="0"/>
    <n v="0"/>
    <n v="0"/>
    <n v="0"/>
    <n v="0"/>
    <n v="0"/>
  </r>
  <r>
    <s v="84"/>
    <x v="0"/>
    <x v="0"/>
    <s v="ZA01A008"/>
    <x v="51"/>
    <s v="L101"/>
    <s v="GESTION INSTITUCIONAL EFICIENTE E INNOVADORA"/>
    <s v="GI00L10100036D"/>
    <s v="GI00L10100036D MODERNIZACIÓN DE LA GESTIÓN DE BIENES IN"/>
    <s v="84 BIENES DE LARGA DURACIÓN"/>
    <s v="840301 Terrenos (Expropiación)"/>
    <s v="G/840301/1AL101"/>
    <s v="001"/>
    <n v="0"/>
    <n v="0"/>
    <n v="2856796.29"/>
    <n v="2856796.29"/>
    <n v="0"/>
    <n v="0"/>
    <n v="0"/>
    <n v="2856796.29"/>
    <n v="2856796.29"/>
    <n v="2856796.29"/>
  </r>
  <r>
    <s v="84"/>
    <x v="0"/>
    <x v="0"/>
    <s v="ZA01A008"/>
    <x v="51"/>
    <s v="L101"/>
    <s v="GESTION INSTITUCIONAL EFICIENTE E INNOVADORA"/>
    <s v="GI00L10100036D"/>
    <s v="GI00L10100036D MODERNIZACIÓN DE LA GESTIÓN DE BIENES IN"/>
    <s v="84 BIENES DE LARGA DURACIÓN"/>
    <s v="840301 Terrenos (Expropiación)"/>
    <s v="G/840301/1AL101"/>
    <s v="002"/>
    <n v="5995414.71"/>
    <n v="-931995.97"/>
    <n v="-4271449.4800000004"/>
    <n v="791969.26"/>
    <n v="508698"/>
    <n v="283271.26"/>
    <n v="283271.26"/>
    <n v="508698"/>
    <n v="508698"/>
    <n v="0"/>
  </r>
  <r>
    <s v="84"/>
    <x v="0"/>
    <x v="0"/>
    <s v="ZA01A006"/>
    <x v="50"/>
    <s v="L101"/>
    <s v="GESTION INSTITUCIONAL EFICIENTE E INNOVADORA"/>
    <s v="GI00L10100037D"/>
    <s v="GI00L10100037D MODERNIZACIÓN DE LA GESTIÓN DOCUMENTAL Y"/>
    <s v="84 BIENES DE LARGA DURACIÓN"/>
    <s v="840103 Mobiliarios"/>
    <s v="G/840103/1AL101"/>
    <s v="002"/>
    <n v="0"/>
    <n v="177322.17"/>
    <n v="-177322.17"/>
    <n v="0"/>
    <n v="0"/>
    <n v="0"/>
    <n v="0"/>
    <n v="0"/>
    <n v="0"/>
    <n v="0"/>
  </r>
  <r>
    <s v="84"/>
    <x v="0"/>
    <x v="0"/>
    <s v="ZA01A006"/>
    <x v="50"/>
    <s v="L101"/>
    <s v="GESTION INSTITUCIONAL EFICIENTE E INNOVADORA"/>
    <s v="GI00L10100037D"/>
    <s v="GI00L10100037D MODERNIZACIÓN DE LA GESTIÓN DOCUMENTAL Y"/>
    <s v="84 BIENES DE LARGA DURACIÓN"/>
    <s v="840104 Maquinarias y Equipos"/>
    <s v="G/840104/1AL101"/>
    <s v="002"/>
    <n v="0"/>
    <n v="35333.019999999997"/>
    <n v="-35333.019999999997"/>
    <n v="0"/>
    <n v="0"/>
    <n v="0"/>
    <n v="0"/>
    <n v="0"/>
    <n v="0"/>
    <n v="0"/>
  </r>
  <r>
    <s v="84"/>
    <x v="0"/>
    <x v="0"/>
    <s v="ZA01A006"/>
    <x v="50"/>
    <s v="L101"/>
    <s v="GESTION INSTITUCIONAL EFICIENTE E INNOVADORA"/>
    <s v="GI00L10100037D"/>
    <s v="GI00L10100037D MODERNIZACIÓN DE LA GESTIÓN DOCUMENTAL Y"/>
    <s v="84 BIENES DE LARGA DURACIÓN"/>
    <s v="840107 Equipos, Sistemas y Paquetes Informáticos"/>
    <s v="G/840107/1AL101"/>
    <s v="001"/>
    <n v="0"/>
    <n v="0"/>
    <n v="77044.56"/>
    <n v="77044.56"/>
    <n v="0"/>
    <n v="0"/>
    <n v="0"/>
    <n v="77044.56"/>
    <n v="77044.56"/>
    <n v="77044.56"/>
  </r>
  <r>
    <s v="84"/>
    <x v="0"/>
    <x v="0"/>
    <s v="ZA01A006"/>
    <x v="50"/>
    <s v="L101"/>
    <s v="GESTION INSTITUCIONAL EFICIENTE E INNOVADORA"/>
    <s v="GI00L10100037D"/>
    <s v="GI00L10100037D MODERNIZACIÓN DE LA GESTIÓN DOCUMENTAL Y"/>
    <s v="84 BIENES DE LARGA DURACIÓN"/>
    <s v="840107 Equipos, Sistemas y Paquetes Informáticos"/>
    <s v="G/840107/1AL101"/>
    <s v="002"/>
    <n v="30000"/>
    <n v="50597.56"/>
    <n v="-77044.56"/>
    <n v="3553"/>
    <n v="3553"/>
    <n v="0"/>
    <n v="0"/>
    <n v="3553"/>
    <n v="3553"/>
    <n v="0"/>
  </r>
  <r>
    <s v="84"/>
    <x v="0"/>
    <x v="12"/>
    <s v="MC37B000"/>
    <x v="21"/>
    <s v="L101"/>
    <s v="GESTION INSTITUCIONAL EFICIENTE E INNOVADORA"/>
    <s v="GI00L10100039D"/>
    <s v="GI00L10100039D CONTROL Y BUEN USO DEL ESPACIO PÚBLICO &quot;"/>
    <s v="84 BIENES DE LARGA DURACIÓN"/>
    <s v="840103 Mobiliarios"/>
    <s v="G/840103/1BL101"/>
    <s v="002"/>
    <n v="0"/>
    <n v="6350.4"/>
    <n v="0"/>
    <n v="6350.4"/>
    <n v="0"/>
    <n v="6350.4"/>
    <n v="6350.4"/>
    <n v="0"/>
    <n v="0"/>
    <n v="0"/>
  </r>
  <r>
    <s v="84"/>
    <x v="0"/>
    <x v="12"/>
    <s v="MC37B000"/>
    <x v="21"/>
    <s v="L101"/>
    <s v="GESTION INSTITUCIONAL EFICIENTE E INNOVADORA"/>
    <s v="GI00L10100039D"/>
    <s v="GI00L10100039D CONTROL Y BUEN USO DEL ESPACIO PÚBLICO &quot;"/>
    <s v="84 BIENES DE LARGA DURACIÓN"/>
    <s v="840104 Maquinarias y Equipos"/>
    <s v="G/840104/1BL101"/>
    <s v="002"/>
    <n v="320000"/>
    <n v="11478"/>
    <n v="-331478"/>
    <n v="0"/>
    <n v="0"/>
    <n v="0"/>
    <n v="0"/>
    <n v="0"/>
    <n v="0"/>
    <n v="0"/>
  </r>
  <r>
    <s v="84"/>
    <x v="0"/>
    <x v="12"/>
    <s v="MC37B000"/>
    <x v="21"/>
    <s v="L101"/>
    <s v="GESTION INSTITUCIONAL EFICIENTE E INNOVADORA"/>
    <s v="GI00L10100039D"/>
    <s v="GI00L10100039D CONTROL Y BUEN USO DEL ESPACIO PÚBLICO &quot;"/>
    <s v="84 BIENES DE LARGA DURACIÓN"/>
    <s v="840104 Maquinarias y Equipos"/>
    <s v="G/840104/1BL101"/>
    <s v="001"/>
    <n v="0"/>
    <n v="0"/>
    <n v="331478"/>
    <n v="331478"/>
    <n v="0"/>
    <n v="0"/>
    <n v="0"/>
    <n v="331478"/>
    <n v="331478"/>
    <n v="331478"/>
  </r>
  <r>
    <s v="84"/>
    <x v="0"/>
    <x v="12"/>
    <s v="MC37B000"/>
    <x v="21"/>
    <s v="L101"/>
    <s v="GESTION INSTITUCIONAL EFICIENTE E INNOVADORA"/>
    <s v="GI00L10100039D"/>
    <s v="GI00L10100039D CONTROL Y BUEN USO DEL ESPACIO PÚBLICO &quot;"/>
    <s v="84 BIENES DE LARGA DURACIÓN"/>
    <s v="840107 Equipos, Sistemas y Paquetes Informáticos"/>
    <s v="G/840107/1BL101"/>
    <s v="002"/>
    <n v="3500"/>
    <n v="53671.6"/>
    <n v="-57171.6"/>
    <n v="0"/>
    <n v="0"/>
    <n v="0"/>
    <n v="0"/>
    <n v="0"/>
    <n v="0"/>
    <n v="0"/>
  </r>
  <r>
    <s v="84"/>
    <x v="0"/>
    <x v="12"/>
    <s v="MC37B000"/>
    <x v="21"/>
    <s v="L101"/>
    <s v="GESTION INSTITUCIONAL EFICIENTE E INNOVADORA"/>
    <s v="GI00L10100039D"/>
    <s v="GI00L10100039D CONTROL Y BUEN USO DEL ESPACIO PÚBLICO &quot;"/>
    <s v="84 BIENES DE LARGA DURACIÓN"/>
    <s v="840107 Equipos, Sistemas y Paquetes Informáticos"/>
    <s v="G/840107/1BL101"/>
    <s v="001"/>
    <n v="0"/>
    <n v="0"/>
    <n v="57171.6"/>
    <n v="57171.6"/>
    <n v="0"/>
    <n v="0"/>
    <n v="0"/>
    <n v="57171.6"/>
    <n v="57171.6"/>
    <n v="57171.6"/>
  </r>
  <r>
    <s v="84"/>
    <x v="0"/>
    <x v="0"/>
    <s v="ZA01A007"/>
    <x v="60"/>
    <s v="L101"/>
    <s v="GESTION INSTITUCIONAL EFICIENTE E INNOVADORA"/>
    <s v="GI00L10100040D"/>
    <s v="GI00L10100040D CIUDAD INTELIGENTE"/>
    <s v="84 BIENES DE LARGA DURACIÓN"/>
    <s v="840104 Maquinarias y Equipos"/>
    <s v="G/840104/1AL101"/>
    <s v="002"/>
    <n v="1115000"/>
    <n v="-1052392"/>
    <n v="-23475.200000000001"/>
    <n v="39132.800000000003"/>
    <n v="39132.800000000003"/>
    <n v="0"/>
    <n v="0"/>
    <n v="39132.800000000003"/>
    <n v="39132.800000000003"/>
    <n v="0"/>
  </r>
  <r>
    <s v="84"/>
    <x v="0"/>
    <x v="0"/>
    <s v="ZA01A007"/>
    <x v="60"/>
    <s v="L101"/>
    <s v="GESTION INSTITUCIONAL EFICIENTE E INNOVADORA"/>
    <s v="GI00L10100040D"/>
    <s v="GI00L10100040D CIUDAD INTELIGENTE"/>
    <s v="84 BIENES DE LARGA DURACIÓN"/>
    <s v="840107 Equipos, Sistemas y Paquetes Informáticos"/>
    <s v="G/840107/1AL101"/>
    <s v="002"/>
    <n v="500000"/>
    <n v="649759.36"/>
    <n v="-1063519.3600000001"/>
    <n v="86240"/>
    <n v="86240"/>
    <n v="0"/>
    <n v="0"/>
    <n v="86240"/>
    <n v="86240"/>
    <n v="0"/>
  </r>
  <r>
    <s v="84"/>
    <x v="0"/>
    <x v="0"/>
    <s v="ZA01A007"/>
    <x v="60"/>
    <s v="L101"/>
    <s v="GESTION INSTITUCIONAL EFICIENTE E INNOVADORA"/>
    <s v="GI00L10100041D"/>
    <s v="GI00L10100041D INNOVACION Y FORTALECIMIENTO DE LA INFRA"/>
    <s v="84 BIENES DE LARGA DURACIÓN"/>
    <s v="840104 Maquinarias y Equipos"/>
    <s v="G/840104/1AL101"/>
    <s v="002"/>
    <n v="49624"/>
    <n v="0"/>
    <n v="-49624"/>
    <n v="0"/>
    <n v="0"/>
    <n v="0"/>
    <n v="0"/>
    <n v="0"/>
    <n v="0"/>
    <n v="0"/>
  </r>
  <r>
    <s v="84"/>
    <x v="0"/>
    <x v="0"/>
    <s v="ZA01A007"/>
    <x v="60"/>
    <s v="L101"/>
    <s v="GESTION INSTITUCIONAL EFICIENTE E INNOVADORA"/>
    <s v="GI00L10100041D"/>
    <s v="GI00L10100041D INNOVACION Y FORTALECIMIENTO DE LA INFRA"/>
    <s v="84 BIENES DE LARGA DURACIÓN"/>
    <s v="840107 Equipos, Sistemas y Paquetes Informáticos"/>
    <s v="G/840107/1AL101"/>
    <s v="002"/>
    <n v="2254175.17"/>
    <n v="-233291.18"/>
    <n v="-440800.81"/>
    <n v="1580083.18"/>
    <n v="1105533.24"/>
    <n v="329959.24"/>
    <n v="174775.15"/>
    <n v="1250123.94"/>
    <n v="1405308.03"/>
    <n v="144590.70000000001"/>
  </r>
  <r>
    <s v="84"/>
    <x v="0"/>
    <x v="0"/>
    <s v="ZA01A007"/>
    <x v="60"/>
    <s v="L101"/>
    <s v="GESTION INSTITUCIONAL EFICIENTE E INNOVADORA"/>
    <s v="GI00L10100041D"/>
    <s v="GI00L10100041D INNOVACION Y FORTALECIMIENTO DE LA INFRA"/>
    <s v="84 BIENES DE LARGA DURACIÓN"/>
    <s v="840107 Equipos, Sistemas y Paquetes Informáticos"/>
    <s v="G/840107/1AL101"/>
    <s v="001"/>
    <n v="0"/>
    <n v="0"/>
    <n v="128919.86"/>
    <n v="128919.86"/>
    <n v="0"/>
    <n v="0"/>
    <n v="0"/>
    <n v="128919.86"/>
    <n v="128919.86"/>
    <n v="128919.86"/>
  </r>
  <r>
    <s v="84"/>
    <x v="1"/>
    <x v="2"/>
    <s v="ZA01M000"/>
    <x v="42"/>
    <s v="M103"/>
    <s v="SALUD AL DIA"/>
    <s v="GI00M10300001D"/>
    <s v="GI00M10300001D MEJORAMIENTO DEL MODELO DE GESTIÓN DE SA"/>
    <s v="84 BIENES DE LARGA DURACIÓN"/>
    <s v="840107 Equipos, Sistemas y Paquetes Informáticos"/>
    <s v="G/840107/1MM103"/>
    <s v="001"/>
    <n v="700000"/>
    <n v="6368.32"/>
    <n v="-700000"/>
    <n v="6368.32"/>
    <n v="0"/>
    <n v="6368.32"/>
    <n v="6368.32"/>
    <n v="0"/>
    <n v="0"/>
    <n v="0"/>
  </r>
  <r>
    <s v="84"/>
    <x v="2"/>
    <x v="7"/>
    <s v="ZD07F070"/>
    <x v="43"/>
    <s v="M103"/>
    <s v="SALUD AL DIA"/>
    <s v="GI00M10300003D"/>
    <s v="GI00M10300003D SEGURIDAD ALIMENTARIA Y DE CALIDAD"/>
    <s v="84 BIENES DE LARGA DURACIÓN"/>
    <s v="840104 Maquinarias y Equipos"/>
    <s v="G/840104/1FM103"/>
    <s v="001"/>
    <n v="0"/>
    <n v="3500"/>
    <n v="0"/>
    <n v="3500"/>
    <n v="2352"/>
    <n v="0"/>
    <n v="0"/>
    <n v="3500"/>
    <n v="3500"/>
    <n v="1148"/>
  </r>
  <r>
    <s v="84"/>
    <x v="2"/>
    <x v="7"/>
    <s v="ZT06F060"/>
    <x v="40"/>
    <s v="M103"/>
    <s v="SALUD AL DIA"/>
    <s v="GI00M10300003D"/>
    <s v="GI00M10300003D SEGURIDAD ALIMENTARIA Y DE CALIDAD"/>
    <s v="84 BIENES DE LARGA DURACIÓN"/>
    <s v="840113 Equipos Médicos"/>
    <s v="G/840113/1FM103"/>
    <s v="001"/>
    <n v="0"/>
    <n v="4000"/>
    <n v="0"/>
    <n v="4000"/>
    <n v="0"/>
    <n v="0"/>
    <n v="0"/>
    <n v="4000"/>
    <n v="4000"/>
    <n v="4000"/>
  </r>
  <r>
    <s v="84"/>
    <x v="2"/>
    <x v="7"/>
    <s v="ZM04F040"/>
    <x v="41"/>
    <s v="M103"/>
    <s v="SALUD AL DIA"/>
    <s v="GI00M10300004D"/>
    <s v="GI00M10300004D SISTEMA INTEGRAL DE PROMOCIÓN DE LA SALU"/>
    <s v="84 BIENES DE LARGA DURACIÓN"/>
    <s v="840107 Equipos, Sistemas y Paquetes Informáticos"/>
    <s v="G/840107/1FM103"/>
    <s v="001"/>
    <n v="0"/>
    <n v="4000"/>
    <n v="-4000"/>
    <n v="0"/>
    <n v="0"/>
    <n v="0"/>
    <n v="0"/>
    <n v="0"/>
    <n v="0"/>
    <n v="0"/>
  </r>
  <r>
    <s v="84"/>
    <x v="2"/>
    <x v="7"/>
    <s v="ZD07F070"/>
    <x v="43"/>
    <s v="M103"/>
    <s v="SALUD AL DIA"/>
    <s v="GI00M10300004D"/>
    <s v="GI00M10300004D SISTEMA INTEGRAL DE PROMOCIÓN DE LA SALU"/>
    <s v="84 BIENES DE LARGA DURACIÓN"/>
    <s v="840107 Equipos, Sistemas y Paquetes Informáticos"/>
    <s v="G/840107/1FM103"/>
    <s v="001"/>
    <n v="0"/>
    <n v="4000"/>
    <n v="0"/>
    <n v="4000"/>
    <n v="14.56"/>
    <n v="2608.48"/>
    <n v="0"/>
    <n v="1391.52"/>
    <n v="4000"/>
    <n v="1376.96"/>
  </r>
  <r>
    <s v="84"/>
    <x v="2"/>
    <x v="7"/>
    <s v="ZT06F060"/>
    <x v="40"/>
    <s v="M103"/>
    <s v="SALUD AL DIA"/>
    <s v="GI00M10300004D"/>
    <s v="GI00M10300004D SISTEMA INTEGRAL DE PROMOCIÓN DE LA SALU"/>
    <s v="84 BIENES DE LARGA DURACIÓN"/>
    <s v="840107 Equipos, Sistemas y Paquetes Informáticos"/>
    <s v="G/840107/1FM103"/>
    <s v="001"/>
    <n v="0"/>
    <n v="2908"/>
    <n v="-2908"/>
    <n v="0"/>
    <n v="0"/>
    <n v="0"/>
    <n v="0"/>
    <n v="0"/>
    <n v="0"/>
    <n v="0"/>
  </r>
  <r>
    <s v="84"/>
    <x v="2"/>
    <x v="7"/>
    <s v="ZD07F070"/>
    <x v="43"/>
    <s v="M103"/>
    <s v="SALUD AL DIA"/>
    <s v="GI00M10300004D"/>
    <s v="GI00M10300004D SISTEMA INTEGRAL DE PROMOCIÓN DE LA SALU"/>
    <s v="84 BIENES DE LARGA DURACIÓN"/>
    <s v="840113 Equipos Médicos"/>
    <s v="G/840113/1FM103"/>
    <s v="001"/>
    <n v="0"/>
    <n v="2000"/>
    <n v="-2000"/>
    <n v="0"/>
    <n v="0"/>
    <n v="0"/>
    <n v="0"/>
    <n v="0"/>
    <n v="0"/>
    <n v="0"/>
  </r>
  <r>
    <s v="84"/>
    <x v="2"/>
    <x v="7"/>
    <s v="ZM04F040"/>
    <x v="41"/>
    <s v="M103"/>
    <s v="SALUD AL DIA"/>
    <s v="GI00M10300004D"/>
    <s v="GI00M10300004D SISTEMA INTEGRAL DE PROMOCIÓN DE LA SALU"/>
    <s v="84 BIENES DE LARGA DURACIÓN"/>
    <s v="840113 Equipos Médicos"/>
    <s v="G/840113/1FM103"/>
    <s v="001"/>
    <n v="0"/>
    <n v="2000"/>
    <n v="-2000"/>
    <n v="0"/>
    <n v="0"/>
    <n v="0"/>
    <n v="0"/>
    <n v="0"/>
    <n v="0"/>
    <n v="0"/>
  </r>
  <r>
    <s v="84"/>
    <x v="2"/>
    <x v="7"/>
    <s v="ZT06F060"/>
    <x v="40"/>
    <s v="M103"/>
    <s v="SALUD AL DIA"/>
    <s v="GI00M10300004D"/>
    <s v="GI00M10300004D SISTEMA INTEGRAL DE PROMOCIÓN DE LA SALU"/>
    <s v="84 BIENES DE LARGA DURACIÓN"/>
    <s v="840113 Equipos Médicos"/>
    <s v="G/840113/1FM103"/>
    <s v="001"/>
    <n v="0"/>
    <n v="1300"/>
    <n v="-1300"/>
    <n v="0"/>
    <n v="0"/>
    <n v="0"/>
    <n v="0"/>
    <n v="0"/>
    <n v="0"/>
    <n v="0"/>
  </r>
  <r>
    <s v="84"/>
    <x v="2"/>
    <x v="7"/>
    <s v="ZD07F070"/>
    <x v="43"/>
    <s v="M103"/>
    <s v="SALUD AL DIA"/>
    <s v="GI00M10300005D"/>
    <s v="GI00M10300005D MANEJO DE FAUNA URBANA EN EL DMQ"/>
    <s v="84 BIENES DE LARGA DURACIÓN"/>
    <s v="840103 Mobiliarios"/>
    <s v="G/840103/1FM103"/>
    <s v="001"/>
    <n v="1472.46"/>
    <n v="-900"/>
    <n v="0"/>
    <n v="572.46"/>
    <n v="0.16"/>
    <n v="509.44"/>
    <n v="0"/>
    <n v="63.02"/>
    <n v="572.46"/>
    <n v="62.86"/>
  </r>
  <r>
    <s v="84"/>
    <x v="2"/>
    <x v="7"/>
    <s v="ZN02F020"/>
    <x v="46"/>
    <s v="M103"/>
    <s v="SALUD AL DIA"/>
    <s v="GI00M10300005D"/>
    <s v="GI00M10300005D MANEJO DE FAUNA URBANA EN EL DMQ"/>
    <s v="84 BIENES DE LARGA DURACIÓN"/>
    <s v="840103 Mobiliarios"/>
    <s v="G/840103/1FM103"/>
    <s v="001"/>
    <n v="1472.46"/>
    <n v="0"/>
    <n v="-1472.46"/>
    <n v="0"/>
    <n v="0"/>
    <n v="0"/>
    <n v="0"/>
    <n v="0"/>
    <n v="0"/>
    <n v="0"/>
  </r>
  <r>
    <s v="84"/>
    <x v="2"/>
    <x v="7"/>
    <s v="ZC09F090"/>
    <x v="10"/>
    <s v="M103"/>
    <s v="SALUD AL DIA"/>
    <s v="GI00M10300005D"/>
    <s v="GI00M10300005D MANEJO DE FAUNA URBANA EN EL DMQ"/>
    <s v="84 BIENES DE LARGA DURACIÓN"/>
    <s v="840103 Mobiliarios"/>
    <s v="G/840103/1FM103"/>
    <s v="001"/>
    <n v="1472.46"/>
    <n v="0"/>
    <n v="0"/>
    <n v="1472.46"/>
    <n v="0"/>
    <n v="0"/>
    <n v="0"/>
    <n v="1472.46"/>
    <n v="1472.46"/>
    <n v="1472.46"/>
  </r>
  <r>
    <s v="84"/>
    <x v="2"/>
    <x v="7"/>
    <s v="ZQ08F080"/>
    <x v="44"/>
    <s v="M103"/>
    <s v="SALUD AL DIA"/>
    <s v="GI00M10300005D"/>
    <s v="GI00M10300005D MANEJO DE FAUNA URBANA EN EL DMQ"/>
    <s v="84 BIENES DE LARGA DURACIÓN"/>
    <s v="840103 Mobiliarios"/>
    <s v="G/840103/1FM103"/>
    <s v="001"/>
    <n v="1472.46"/>
    <n v="0"/>
    <n v="0"/>
    <n v="1472.46"/>
    <n v="0"/>
    <n v="1471.68"/>
    <n v="1471.68"/>
    <n v="0.78"/>
    <n v="0.78"/>
    <n v="0.78"/>
  </r>
  <r>
    <s v="84"/>
    <x v="2"/>
    <x v="7"/>
    <s v="ZS03F030"/>
    <x v="45"/>
    <s v="M103"/>
    <s v="SALUD AL DIA"/>
    <s v="GI00M10300005D"/>
    <s v="GI00M10300005D MANEJO DE FAUNA URBANA EN EL DMQ"/>
    <s v="84 BIENES DE LARGA DURACIÓN"/>
    <s v="840103 Mobiliarios"/>
    <s v="G/840103/1FM103"/>
    <s v="001"/>
    <n v="3000"/>
    <n v="0"/>
    <n v="-3000"/>
    <n v="0"/>
    <n v="0"/>
    <n v="0"/>
    <n v="0"/>
    <n v="0"/>
    <n v="0"/>
    <n v="0"/>
  </r>
  <r>
    <s v="84"/>
    <x v="2"/>
    <x v="7"/>
    <s v="ZT06F060"/>
    <x v="40"/>
    <s v="M103"/>
    <s v="SALUD AL DIA"/>
    <s v="GI00M10300005D"/>
    <s v="GI00M10300005D MANEJO DE FAUNA URBANA EN EL DMQ"/>
    <s v="84 BIENES DE LARGA DURACIÓN"/>
    <s v="840103 Mobiliarios"/>
    <s v="G/840103/1FM103"/>
    <s v="001"/>
    <n v="1472.46"/>
    <n v="0"/>
    <n v="-1472.46"/>
    <n v="0"/>
    <n v="0"/>
    <n v="0"/>
    <n v="0"/>
    <n v="0"/>
    <n v="0"/>
    <n v="0"/>
  </r>
  <r>
    <s v="84"/>
    <x v="1"/>
    <x v="2"/>
    <s v="ZA01M000"/>
    <x v="42"/>
    <s v="M103"/>
    <s v="SALUD AL DIA"/>
    <s v="GI00M10300005D"/>
    <s v="GI00M10300005D MANEJO DE FAUNA URBANA EN EL DMQ"/>
    <s v="84 BIENES DE LARGA DURACIÓN"/>
    <s v="840103 Mobiliarios"/>
    <s v="G/840103/1MM103"/>
    <s v="001"/>
    <n v="0"/>
    <n v="52000"/>
    <n v="0"/>
    <n v="52000"/>
    <n v="18155.060000000001"/>
    <n v="0"/>
    <n v="0"/>
    <n v="52000"/>
    <n v="52000"/>
    <n v="33844.94"/>
  </r>
  <r>
    <s v="84"/>
    <x v="2"/>
    <x v="7"/>
    <s v="ZM04F040"/>
    <x v="41"/>
    <s v="M103"/>
    <s v="SALUD AL DIA"/>
    <s v="GI00M10300005D"/>
    <s v="GI00M10300005D MANEJO DE FAUNA URBANA EN EL DMQ"/>
    <s v="84 BIENES DE LARGA DURACIÓN"/>
    <s v="840103 Mobiliarios"/>
    <s v="G/840103/1FM103"/>
    <s v="001"/>
    <n v="1472.46"/>
    <n v="-1472.46"/>
    <n v="0"/>
    <n v="0"/>
    <n v="0"/>
    <n v="0"/>
    <n v="0"/>
    <n v="0"/>
    <n v="0"/>
    <n v="0"/>
  </r>
  <r>
    <s v="84"/>
    <x v="2"/>
    <x v="7"/>
    <s v="ZV05F050"/>
    <x v="39"/>
    <s v="M103"/>
    <s v="SALUD AL DIA"/>
    <s v="GI00M10300005D"/>
    <s v="GI00M10300005D MANEJO DE FAUNA URBANA EN EL DMQ"/>
    <s v="84 BIENES DE LARGA DURACIÓN"/>
    <s v="840103 Mobiliarios"/>
    <s v="G/840103/1FM103"/>
    <s v="001"/>
    <n v="1472.46"/>
    <n v="0"/>
    <n v="-1472.46"/>
    <n v="0"/>
    <n v="0"/>
    <n v="0"/>
    <n v="0"/>
    <n v="0"/>
    <n v="0"/>
    <n v="0"/>
  </r>
  <r>
    <s v="84"/>
    <x v="1"/>
    <x v="2"/>
    <s v="ZA01M000"/>
    <x v="42"/>
    <s v="M103"/>
    <s v="SALUD AL DIA"/>
    <s v="GI00M10300005D"/>
    <s v="GI00M10300005D MANEJO DE FAUNA URBANA EN EL DMQ"/>
    <s v="84 BIENES DE LARGA DURACIÓN"/>
    <s v="840104 Maquinarias y Equipos"/>
    <s v="G/840104/1MM103"/>
    <s v="001"/>
    <n v="682960.5"/>
    <n v="-514481.54"/>
    <n v="-135938.96"/>
    <n v="32540"/>
    <n v="6140.59"/>
    <n v="0"/>
    <n v="0"/>
    <n v="32540"/>
    <n v="32540"/>
    <n v="26399.41"/>
  </r>
  <r>
    <s v="84"/>
    <x v="2"/>
    <x v="7"/>
    <s v="ZD07F070"/>
    <x v="43"/>
    <s v="M103"/>
    <s v="SALUD AL DIA"/>
    <s v="GI00M10300005D"/>
    <s v="GI00M10300005D MANEJO DE FAUNA URBANA EN EL DMQ"/>
    <s v="84 BIENES DE LARGA DURACIÓN"/>
    <s v="840104 Maquinarias y Equipos"/>
    <s v="G/840104/1FM103"/>
    <s v="001"/>
    <n v="0"/>
    <n v="900"/>
    <n v="0"/>
    <n v="900"/>
    <n v="0"/>
    <n v="270"/>
    <n v="0"/>
    <n v="630"/>
    <n v="900"/>
    <n v="630"/>
  </r>
  <r>
    <s v="84"/>
    <x v="1"/>
    <x v="2"/>
    <s v="ZA01M000"/>
    <x v="42"/>
    <s v="M103"/>
    <s v="SALUD AL DIA"/>
    <s v="GI00M10300005D"/>
    <s v="GI00M10300005D MANEJO DE FAUNA URBANA EN EL DMQ"/>
    <s v="84 BIENES DE LARGA DURACIÓN"/>
    <s v="840105 Vehículos"/>
    <s v="G/840105/1MM103"/>
    <s v="001"/>
    <n v="0"/>
    <n v="100000"/>
    <n v="0"/>
    <n v="100000"/>
    <n v="0"/>
    <n v="0"/>
    <n v="0"/>
    <n v="100000"/>
    <n v="100000"/>
    <n v="100000"/>
  </r>
  <r>
    <s v="84"/>
    <x v="1"/>
    <x v="2"/>
    <s v="ZA01M000"/>
    <x v="42"/>
    <s v="M103"/>
    <s v="SALUD AL DIA"/>
    <s v="GI00M10300005D"/>
    <s v="GI00M10300005D MANEJO DE FAUNA URBANA EN EL DMQ"/>
    <s v="84 BIENES DE LARGA DURACIÓN"/>
    <s v="840107 Equipos, Sistemas y Paquetes Informáticos"/>
    <s v="G/840107/1MM103"/>
    <s v="001"/>
    <n v="187000"/>
    <n v="-52000"/>
    <n v="-100000"/>
    <n v="35000"/>
    <n v="0"/>
    <n v="0"/>
    <n v="0"/>
    <n v="35000"/>
    <n v="35000"/>
    <n v="35000"/>
  </r>
  <r>
    <s v="84"/>
    <x v="1"/>
    <x v="2"/>
    <s v="ZA01M000"/>
    <x v="42"/>
    <s v="M103"/>
    <s v="SALUD AL DIA"/>
    <s v="GI00M10300005D"/>
    <s v="GI00M10300005D MANEJO DE FAUNA URBANA EN EL DMQ"/>
    <s v="84 BIENES DE LARGA DURACIÓN"/>
    <s v="840111 Partes y Repuestos"/>
    <s v="G/840111/1MM103"/>
    <s v="001"/>
    <n v="0"/>
    <n v="2719.7"/>
    <n v="0"/>
    <n v="2719.7"/>
    <n v="0"/>
    <n v="0"/>
    <n v="0"/>
    <n v="2719.7"/>
    <n v="2719.7"/>
    <n v="2719.7"/>
  </r>
  <r>
    <s v="84"/>
    <x v="2"/>
    <x v="7"/>
    <s v="ZS03F030"/>
    <x v="45"/>
    <s v="M103"/>
    <s v="SALUD AL DIA"/>
    <s v="GI00M10300005D"/>
    <s v="GI00M10300005D MANEJO DE FAUNA URBANA EN EL DMQ"/>
    <s v="84 BIENES DE LARGA DURACIÓN"/>
    <s v="840113 Equipos Médicos"/>
    <s v="G/840113/1FM103"/>
    <s v="001"/>
    <n v="2000"/>
    <n v="0"/>
    <n v="-2000"/>
    <n v="0"/>
    <n v="0"/>
    <n v="0"/>
    <n v="0"/>
    <n v="0"/>
    <n v="0"/>
    <n v="0"/>
  </r>
  <r>
    <s v="84"/>
    <x v="1"/>
    <x v="2"/>
    <s v="ZA01M000"/>
    <x v="42"/>
    <s v="M103"/>
    <s v="SALUD AL DIA"/>
    <s v="GI00M10300005D"/>
    <s v="GI00M10300005D MANEJO DE FAUNA URBANA EN EL DMQ"/>
    <s v="84 BIENES DE LARGA DURACIÓN"/>
    <s v="840113 Equipos Médicos"/>
    <s v="G/840113/1MM103"/>
    <s v="001"/>
    <n v="0"/>
    <n v="85000"/>
    <n v="0"/>
    <n v="85000"/>
    <n v="6725.78"/>
    <n v="0"/>
    <n v="0"/>
    <n v="85000"/>
    <n v="85000"/>
    <n v="78274.22"/>
  </r>
  <r>
    <s v="84"/>
    <x v="1"/>
    <x v="2"/>
    <s v="UN31M010"/>
    <x v="15"/>
    <s v="M103"/>
    <s v="SALUD AL DIA"/>
    <s v="GI00M10300006D"/>
    <s v="GI00M10300006D ATENCIÓN Y PREVENCIÓN DE LA ENFERMEDAD"/>
    <s v="84 BIENES DE LARGA DURACIÓN"/>
    <s v="840103 Mobiliarios"/>
    <s v="G/840103/1MM103"/>
    <s v="001"/>
    <n v="1500"/>
    <n v="36155.22"/>
    <n v="0"/>
    <n v="37655.22"/>
    <n v="0"/>
    <n v="0"/>
    <n v="0"/>
    <n v="37655.22"/>
    <n v="37655.22"/>
    <n v="37655.22"/>
  </r>
  <r>
    <s v="84"/>
    <x v="1"/>
    <x v="2"/>
    <s v="UN31M010"/>
    <x v="15"/>
    <s v="M103"/>
    <s v="SALUD AL DIA"/>
    <s v="GI00M10300006D"/>
    <s v="GI00M10300006D ATENCIÓN Y PREVENCIÓN DE LA ENFERMEDAD"/>
    <s v="84 BIENES DE LARGA DURACIÓN"/>
    <s v="840104 Maquinarias y Equipos"/>
    <s v="G/840104/1MM103"/>
    <s v="001"/>
    <n v="30000"/>
    <n v="78616"/>
    <n v="0"/>
    <n v="108616"/>
    <n v="0"/>
    <n v="0"/>
    <n v="0"/>
    <n v="108616"/>
    <n v="108616"/>
    <n v="108616"/>
  </r>
  <r>
    <s v="84"/>
    <x v="1"/>
    <x v="2"/>
    <s v="UC32M020"/>
    <x v="33"/>
    <s v="M103"/>
    <s v="SALUD AL DIA"/>
    <s v="GI00M10300006D"/>
    <s v="GI00M10300006D ATENCIÓN Y PREVENCIÓN DE LA ENFERMEDAD"/>
    <s v="84 BIENES DE LARGA DURACIÓN"/>
    <s v="840104 Maquinarias y Equipos"/>
    <s v="G/840104/1MM103"/>
    <s v="001"/>
    <n v="50000"/>
    <n v="0"/>
    <n v="-1666.56"/>
    <n v="48333.440000000002"/>
    <n v="1666.56"/>
    <n v="7231"/>
    <n v="7231"/>
    <n v="41102.44"/>
    <n v="41102.44"/>
    <n v="39435.879999999997"/>
  </r>
  <r>
    <s v="84"/>
    <x v="1"/>
    <x v="2"/>
    <s v="US33M030"/>
    <x v="5"/>
    <s v="M103"/>
    <s v="SALUD AL DIA"/>
    <s v="GI00M10300006D"/>
    <s v="GI00M10300006D ATENCIÓN Y PREVENCIÓN DE LA ENFERMEDAD"/>
    <s v="84 BIENES DE LARGA DURACIÓN"/>
    <s v="840107 Equipos, Sistemas y Paquetes Informáticos"/>
    <s v="G/840107/1MM103"/>
    <s v="001"/>
    <n v="0"/>
    <n v="17919.98"/>
    <n v="0"/>
    <n v="17919.98"/>
    <n v="0"/>
    <n v="17919.98"/>
    <n v="17919.98"/>
    <n v="0"/>
    <n v="0"/>
    <n v="0"/>
  </r>
  <r>
    <s v="84"/>
    <x v="1"/>
    <x v="2"/>
    <s v="UN31M010"/>
    <x v="15"/>
    <s v="M103"/>
    <s v="SALUD AL DIA"/>
    <s v="GI00M10300006D"/>
    <s v="GI00M10300006D ATENCIÓN Y PREVENCIÓN DE LA ENFERMEDAD"/>
    <s v="84 BIENES DE LARGA DURACIÓN"/>
    <s v="840107 Equipos, Sistemas y Paquetes Informáticos"/>
    <s v="G/840107/1MM103"/>
    <s v="001"/>
    <n v="50000"/>
    <n v="-42133.88"/>
    <n v="0"/>
    <n v="7866.12"/>
    <n v="0"/>
    <n v="0"/>
    <n v="0"/>
    <n v="7866.12"/>
    <n v="7866.12"/>
    <n v="7866.12"/>
  </r>
  <r>
    <s v="84"/>
    <x v="1"/>
    <x v="2"/>
    <s v="UC32M020"/>
    <x v="33"/>
    <s v="M103"/>
    <s v="SALUD AL DIA"/>
    <s v="GI00M10300006D"/>
    <s v="GI00M10300006D ATENCIÓN Y PREVENCIÓN DE LA ENFERMEDAD"/>
    <s v="84 BIENES DE LARGA DURACIÓN"/>
    <s v="840107 Equipos, Sistemas y Paquetes Informáticos"/>
    <s v="G/840107/1MM103"/>
    <s v="001"/>
    <n v="46000"/>
    <n v="0"/>
    <n v="0"/>
    <n v="46000"/>
    <n v="104.92"/>
    <n v="10379.040000000001"/>
    <n v="10379.040000000001"/>
    <n v="35620.959999999999"/>
    <n v="35620.959999999999"/>
    <n v="35516.04"/>
  </r>
  <r>
    <s v="84"/>
    <x v="1"/>
    <x v="2"/>
    <s v="US33M030"/>
    <x v="5"/>
    <s v="M103"/>
    <s v="SALUD AL DIA"/>
    <s v="GI00M10300006D"/>
    <s v="GI00M10300006D ATENCIÓN Y PREVENCIÓN DE LA ENFERMEDAD"/>
    <s v="84 BIENES DE LARGA DURACIÓN"/>
    <s v="840113 Equipos Médicos"/>
    <s v="G/840113/1MM103"/>
    <s v="001"/>
    <n v="25000"/>
    <n v="41236.54"/>
    <n v="0"/>
    <n v="66236.539999999994"/>
    <n v="1932"/>
    <n v="28236.54"/>
    <n v="28236.54"/>
    <n v="38000"/>
    <n v="38000"/>
    <n v="36068"/>
  </r>
  <r>
    <s v="84"/>
    <x v="1"/>
    <x v="2"/>
    <s v="UN31M010"/>
    <x v="15"/>
    <s v="M103"/>
    <s v="SALUD AL DIA"/>
    <s v="GI00M10300006D"/>
    <s v="GI00M10300006D ATENCIÓN Y PREVENCIÓN DE LA ENFERMEDAD"/>
    <s v="84 BIENES DE LARGA DURACIÓN"/>
    <s v="840113 Equipos Médicos"/>
    <s v="G/840113/1MM103"/>
    <s v="001"/>
    <n v="650757"/>
    <n v="-416807.37"/>
    <n v="-139200"/>
    <n v="94749.63"/>
    <n v="0"/>
    <n v="52783.02"/>
    <n v="47687.02"/>
    <n v="41966.61"/>
    <n v="47062.61"/>
    <n v="41966.61"/>
  </r>
  <r>
    <s v="84"/>
    <x v="1"/>
    <x v="2"/>
    <s v="UN31M010"/>
    <x v="15"/>
    <s v="M103"/>
    <s v="SALUD AL DIA"/>
    <s v="GI00M10300006D"/>
    <s v="GI00M10300006D ATENCIÓN Y PREVENCIÓN DE LA ENFERMEDAD"/>
    <s v="84 BIENES DE LARGA DURACIÓN"/>
    <s v="840115 Equipos Odontológicos"/>
    <s v="G/840115/1MM103"/>
    <s v="001"/>
    <n v="2550"/>
    <n v="38176.959999999999"/>
    <n v="-30726.959999999999"/>
    <n v="10000"/>
    <n v="2632"/>
    <n v="0"/>
    <n v="0"/>
    <n v="10000"/>
    <n v="10000"/>
    <n v="7368"/>
  </r>
  <r>
    <s v="84"/>
    <x v="1"/>
    <x v="2"/>
    <s v="US33M030"/>
    <x v="5"/>
    <s v="M103"/>
    <s v="SALUD AL DIA"/>
    <s v="GI00M10300006D"/>
    <s v="GI00M10300006D ATENCIÓN Y PREVENCIÓN DE LA ENFERMEDAD"/>
    <s v="84 BIENES DE LARGA DURACIÓN"/>
    <s v="840115 Equipos Odontológicos"/>
    <s v="G/840115/1MM103"/>
    <s v="001"/>
    <n v="20000"/>
    <n v="-13224"/>
    <n v="0"/>
    <n v="6776"/>
    <n v="0"/>
    <n v="0"/>
    <n v="0"/>
    <n v="6776"/>
    <n v="6776"/>
    <n v="6776"/>
  </r>
  <r>
    <s v="84"/>
    <x v="1"/>
    <x v="2"/>
    <s v="UN31M010"/>
    <x v="15"/>
    <s v="M103"/>
    <s v="SALUD AL DIA"/>
    <s v="GI00M10300007D"/>
    <s v="GI00M10300007D PREVENCION INTEGRAL DE ADICCIONES"/>
    <s v="84 BIENES DE LARGA DURACIÓN"/>
    <s v="840103 Mobiliarios"/>
    <s v="G/840103/1MM103"/>
    <s v="001"/>
    <n v="6000"/>
    <n v="12000"/>
    <n v="-8000"/>
    <n v="10000"/>
    <n v="0"/>
    <n v="0"/>
    <n v="0"/>
    <n v="10000"/>
    <n v="10000"/>
    <n v="10000"/>
  </r>
  <r>
    <s v="84"/>
    <x v="1"/>
    <x v="2"/>
    <s v="UN31M010"/>
    <x v="15"/>
    <s v="M103"/>
    <s v="SALUD AL DIA"/>
    <s v="GI00M10300007D"/>
    <s v="GI00M10300007D PREVENCION INTEGRAL DE ADICCIONES"/>
    <s v="84 BIENES DE LARGA DURACIÓN"/>
    <s v="840104 Maquinarias y Equipos"/>
    <s v="G/840104/1MM103"/>
    <s v="001"/>
    <n v="19000"/>
    <n v="-5000"/>
    <n v="-10000"/>
    <n v="4000"/>
    <n v="0"/>
    <n v="0"/>
    <n v="0"/>
    <n v="4000"/>
    <n v="4000"/>
    <n v="4000"/>
  </r>
  <r>
    <s v="84"/>
    <x v="1"/>
    <x v="2"/>
    <s v="UN31M010"/>
    <x v="15"/>
    <s v="M103"/>
    <s v="SALUD AL DIA"/>
    <s v="GI00M10300007D"/>
    <s v="GI00M10300007D PREVENCION INTEGRAL DE ADICCIONES"/>
    <s v="84 BIENES DE LARGA DURACIÓN"/>
    <s v="840107 Equipos, Sistemas y Paquetes Informáticos"/>
    <s v="G/840107/1MM103"/>
    <s v="001"/>
    <n v="50000"/>
    <n v="-8478.44"/>
    <n v="-20000"/>
    <n v="21521.56"/>
    <n v="0"/>
    <n v="7610.4"/>
    <n v="0"/>
    <n v="13911.16"/>
    <n v="21521.56"/>
    <n v="13911.16"/>
  </r>
  <r>
    <s v="84"/>
    <x v="1"/>
    <x v="2"/>
    <s v="UC32M020"/>
    <x v="33"/>
    <s v="M103"/>
    <s v="SALUD AL DIA"/>
    <s v="GI00M10300009D"/>
    <s v="GI00M10300009D PREVENCIÓN DE LA MAL NUTRICIÓN EN EL DMQ"/>
    <s v="84 BIENES DE LARGA DURACIÓN"/>
    <s v="840103 Mobiliarios"/>
    <s v="G/840103/1MM103"/>
    <s v="001"/>
    <n v="4000"/>
    <n v="-4000"/>
    <n v="0"/>
    <n v="0"/>
    <n v="0"/>
    <n v="0"/>
    <n v="0"/>
    <n v="0"/>
    <n v="0"/>
    <n v="0"/>
  </r>
  <r>
    <s v="84"/>
    <x v="1"/>
    <x v="2"/>
    <s v="UC32M020"/>
    <x v="33"/>
    <s v="M103"/>
    <s v="SALUD AL DIA"/>
    <s v="GI00M10300009D"/>
    <s v="GI00M10300009D PREVENCIÓN DE LA MAL NUTRICIÓN EN EL DMQ"/>
    <s v="84 BIENES DE LARGA DURACIÓN"/>
    <s v="840104 Maquinarias y Equipos"/>
    <s v="G/840104/1MM103"/>
    <s v="001"/>
    <n v="84000"/>
    <n v="-84000"/>
    <n v="0"/>
    <n v="0"/>
    <n v="0"/>
    <n v="0"/>
    <n v="0"/>
    <n v="0"/>
    <n v="0"/>
    <n v="0"/>
  </r>
  <r>
    <s v="84"/>
    <x v="1"/>
    <x v="2"/>
    <s v="UC32M020"/>
    <x v="33"/>
    <s v="M103"/>
    <s v="SALUD AL DIA"/>
    <s v="GI00M10300009D"/>
    <s v="GI00M10300009D PREVENCIÓN DE LA MAL NUTRICIÓN EN EL DMQ"/>
    <s v="84 BIENES DE LARGA DURACIÓN"/>
    <s v="840107 Equipos, Sistemas y Paquetes Informáticos"/>
    <s v="G/840107/1MM103"/>
    <s v="001"/>
    <n v="22000"/>
    <n v="-15000"/>
    <n v="0"/>
    <n v="7000"/>
    <n v="0"/>
    <n v="6876.8"/>
    <n v="0"/>
    <n v="123.2"/>
    <n v="7000"/>
    <n v="123.2"/>
  </r>
  <r>
    <s v="84"/>
    <x v="2"/>
    <x v="9"/>
    <s v="PM71N010"/>
    <x v="20"/>
    <s v="N103"/>
    <s v="QUITO SIN MIEDO"/>
    <s v="GI00N10300002D"/>
    <s v="GI00N10300002D IMPLEMENTACIÓN DE UN NUEVO MODELO DE GES"/>
    <s v="84 BIENES DE LARGA DURACIÓN"/>
    <s v="840107 Equipos, Sistemas y Paquetes Informáticos"/>
    <s v="G/840107/1NN103"/>
    <s v="001"/>
    <n v="150000"/>
    <n v="0"/>
    <n v="-112100"/>
    <n v="37900"/>
    <n v="0"/>
    <n v="0"/>
    <n v="0"/>
    <n v="37900"/>
    <n v="37900"/>
    <n v="37900"/>
  </r>
  <r>
    <s v="84"/>
    <x v="2"/>
    <x v="9"/>
    <s v="ZA01N000"/>
    <x v="14"/>
    <s v="N103"/>
    <s v="QUITO SIN MIEDO"/>
    <s v="GI00N10300003D"/>
    <s v="GI00N10300003D PREVENCIÓN DE LA VIOLENCIA INTRAFAMILIAR"/>
    <s v="84 BIENES DE LARGA DURACIÓN"/>
    <s v="840107 Equipos, Sistemas y Paquetes Informáticos"/>
    <s v="G/840107/1NN103"/>
    <s v="001"/>
    <n v="65600"/>
    <n v="0"/>
    <n v="-65600"/>
    <n v="0"/>
    <n v="0"/>
    <n v="0"/>
    <n v="0"/>
    <n v="0"/>
    <n v="0"/>
    <n v="0"/>
  </r>
  <r>
    <s v="84"/>
    <x v="2"/>
    <x v="9"/>
    <s v="PM71N010"/>
    <x v="20"/>
    <s v="N103"/>
    <s v="QUITO SIN MIEDO"/>
    <s v="GI00N10300004D"/>
    <s v="GI00N10300004D PREVENCIÓN SITUACIONAL Y CONVIVENCIA PAC"/>
    <s v="84 BIENES DE LARGA DURACIÓN"/>
    <s v="840104 Maquinarias y Equipos"/>
    <s v="G/840104/1NN103"/>
    <s v="001"/>
    <n v="381700"/>
    <n v="0"/>
    <n v="-377389"/>
    <n v="4311"/>
    <n v="0"/>
    <n v="1310.4000000000001"/>
    <n v="1310.4000000000001"/>
    <n v="3000.6"/>
    <n v="3000.6"/>
    <n v="3000.6"/>
  </r>
  <r>
    <s v="84"/>
    <x v="2"/>
    <x v="9"/>
    <s v="PM71N010"/>
    <x v="20"/>
    <s v="N103"/>
    <s v="QUITO SIN MIEDO"/>
    <s v="GI00N10300004D"/>
    <s v="GI00N10300004D PREVENCIÓN SITUACIONAL Y CONVIVENCIA PAC"/>
    <s v="84 BIENES DE LARGA DURACIÓN"/>
    <s v="840104 Maquinarias y Equipos"/>
    <s v="G/840104/1NN103"/>
    <s v="002"/>
    <n v="67920"/>
    <n v="0"/>
    <n v="-67920"/>
    <n v="0"/>
    <n v="0"/>
    <n v="0"/>
    <n v="0"/>
    <n v="0"/>
    <n v="0"/>
    <n v="0"/>
  </r>
  <r>
    <s v="84"/>
    <x v="2"/>
    <x v="7"/>
    <s v="ZT06F060"/>
    <x v="40"/>
    <s v="N103"/>
    <s v="QUITO SIN MIEDO"/>
    <s v="GI00N10300004D"/>
    <s v="GI00N10300004D PREVENCIÓN SITUACIONAL Y CONVIVENCIA PAC"/>
    <s v="84 BIENES DE LARGA DURACIÓN"/>
    <s v="840107 Equipos, Sistemas y Paquetes Informáticos"/>
    <s v="G/840107/1FN103"/>
    <s v="001"/>
    <n v="1000"/>
    <n v="0"/>
    <n v="-1000"/>
    <n v="0"/>
    <n v="0"/>
    <n v="0"/>
    <n v="0"/>
    <n v="0"/>
    <n v="0"/>
    <n v="0"/>
  </r>
  <r>
    <s v="84"/>
    <x v="2"/>
    <x v="9"/>
    <s v="PM71N010"/>
    <x v="20"/>
    <s v="N103"/>
    <s v="QUITO SIN MIEDO"/>
    <s v="GI00N10300004D"/>
    <s v="GI00N10300004D PREVENCIÓN SITUACIONAL Y CONVIVENCIA PAC"/>
    <s v="84 BIENES DE LARGA DURACIÓN"/>
    <s v="840107 Equipos, Sistemas y Paquetes Informáticos"/>
    <s v="G/840107/1NN103"/>
    <s v="001"/>
    <n v="50000"/>
    <n v="0"/>
    <n v="-18110"/>
    <n v="31890"/>
    <n v="0"/>
    <n v="0"/>
    <n v="0"/>
    <n v="31890"/>
    <n v="31890"/>
    <n v="31890"/>
  </r>
  <r>
    <s v="84"/>
    <x v="2"/>
    <x v="9"/>
    <s v="PM71N010"/>
    <x v="20"/>
    <s v="N103"/>
    <s v="QUITO SIN MIEDO"/>
    <s v="GI00N10300004D"/>
    <s v="GI00N10300004D PREVENCIÓN SITUACIONAL Y CONVIVENCIA PAC"/>
    <s v="84 BIENES DE LARGA DURACIÓN"/>
    <s v="840512 Semovientes"/>
    <s v="G/840512/1NN103"/>
    <s v="001"/>
    <n v="150000"/>
    <n v="0"/>
    <n v="-150000"/>
    <n v="0"/>
    <n v="0"/>
    <n v="0"/>
    <n v="0"/>
    <n v="0"/>
    <n v="0"/>
    <n v="0"/>
  </r>
  <r>
    <s v="84"/>
    <x v="2"/>
    <x v="9"/>
    <s v="ZA01N000"/>
    <x v="14"/>
    <s v="N301"/>
    <s v="GESTION DE RIESGOS"/>
    <s v="GI00N30100004D"/>
    <s v="GI00N30100004D ANÁLISIS DE RIESGOS NATURALES Y ANTRÓPIC"/>
    <s v="84 BIENES DE LARGA DURACIÓN"/>
    <s v="840107 Equipos, Sistemas y Paquetes Informáticos"/>
    <s v="G/840107/3NN301"/>
    <s v="001"/>
    <n v="0"/>
    <n v="0"/>
    <n v="125000"/>
    <n v="125000"/>
    <n v="0"/>
    <n v="0"/>
    <n v="0"/>
    <n v="125000"/>
    <n v="125000"/>
    <n v="125000"/>
  </r>
  <r>
    <s v="84"/>
    <x v="2"/>
    <x v="7"/>
    <s v="ZT06F060"/>
    <x v="40"/>
    <s v="N301"/>
    <s v="GESTION DE RIESGOS"/>
    <s v="GI00N30100005D"/>
    <s v="GI00N30100005D REDUCCIÓN DE RIESGOS DE DESASTRES EN EL"/>
    <s v="84 BIENES DE LARGA DURACIÓN"/>
    <s v="840103 Mobiliarios"/>
    <s v="G/840103/3FN301"/>
    <s v="001"/>
    <n v="4500"/>
    <n v="0"/>
    <n v="-4500"/>
    <n v="0"/>
    <n v="0"/>
    <n v="0"/>
    <n v="0"/>
    <n v="0"/>
    <n v="0"/>
    <n v="0"/>
  </r>
  <r>
    <s v="84"/>
    <x v="2"/>
    <x v="7"/>
    <s v="ZM04F040"/>
    <x v="41"/>
    <s v="N301"/>
    <s v="GESTION DE RIESGOS"/>
    <s v="GI00N30100005D"/>
    <s v="GI00N30100005D REDUCCIÓN DE RIESGOS DE DESASTRES EN EL"/>
    <s v="84 BIENES DE LARGA DURACIÓN"/>
    <s v="840103 Mobiliarios"/>
    <s v="G/840103/3FN301"/>
    <s v="001"/>
    <n v="5500"/>
    <n v="0"/>
    <n v="-5500"/>
    <n v="0"/>
    <n v="0"/>
    <n v="0"/>
    <n v="0"/>
    <n v="0"/>
    <n v="0"/>
    <n v="0"/>
  </r>
  <r>
    <s v="84"/>
    <x v="2"/>
    <x v="7"/>
    <s v="ZM04F040"/>
    <x v="41"/>
    <s v="N301"/>
    <s v="GESTION DE RIESGOS"/>
    <s v="GI00N30100005D"/>
    <s v="GI00N30100005D REDUCCIÓN DE RIESGOS DE DESASTRES EN EL"/>
    <s v="84 BIENES DE LARGA DURACIÓN"/>
    <s v="840104 Maquinarias y Equipos"/>
    <s v="G/840104/3FN301"/>
    <s v="001"/>
    <n v="11000"/>
    <n v="0"/>
    <n v="-11000"/>
    <n v="0"/>
    <n v="0"/>
    <n v="0"/>
    <n v="0"/>
    <n v="0"/>
    <n v="0"/>
    <n v="0"/>
  </r>
  <r>
    <s v="84"/>
    <x v="2"/>
    <x v="7"/>
    <s v="ZV05F050"/>
    <x v="39"/>
    <s v="N301"/>
    <s v="GESTION DE RIESGOS"/>
    <s v="GI00N30100005D"/>
    <s v="GI00N30100005D REDUCCIÓN DE RIESGOS DE DESASTRES EN EL"/>
    <s v="84 BIENES DE LARGA DURACIÓN"/>
    <s v="840104 Maquinarias y Equipos"/>
    <s v="G/840104/3FN301"/>
    <s v="001"/>
    <n v="9500"/>
    <n v="0"/>
    <n v="0"/>
    <n v="9500"/>
    <n v="231.29"/>
    <n v="9268.69"/>
    <n v="9268.69"/>
    <n v="231.31"/>
    <n v="231.31"/>
    <n v="0.02"/>
  </r>
  <r>
    <s v="84"/>
    <x v="2"/>
    <x v="7"/>
    <s v="ZS03F030"/>
    <x v="45"/>
    <s v="N301"/>
    <s v="GESTION DE RIESGOS"/>
    <s v="GI00N30100005D"/>
    <s v="GI00N30100005D REDUCCIÓN DE RIESGOS DE DESASTRES EN EL"/>
    <s v="84 BIENES DE LARGA DURACIÓN"/>
    <s v="840104 Maquinarias y Equipos"/>
    <s v="G/840104/3FN301"/>
    <s v="001"/>
    <n v="4000"/>
    <n v="0"/>
    <n v="-4000"/>
    <n v="0"/>
    <n v="0"/>
    <n v="0"/>
    <n v="0"/>
    <n v="0"/>
    <n v="0"/>
    <n v="0"/>
  </r>
  <r>
    <s v="84"/>
    <x v="2"/>
    <x v="7"/>
    <s v="ZD07F070"/>
    <x v="43"/>
    <s v="N301"/>
    <s v="GESTION DE RIESGOS"/>
    <s v="GI00N30100005D"/>
    <s v="GI00N30100005D REDUCCIÓN DE RIESGOS DE DESASTRES EN EL"/>
    <s v="84 BIENES DE LARGA DURACIÓN"/>
    <s v="840104 Maquinarias y Equipos"/>
    <s v="G/840104/3FN301"/>
    <s v="001"/>
    <n v="15500"/>
    <n v="0"/>
    <n v="-15500"/>
    <n v="0"/>
    <n v="0"/>
    <n v="0"/>
    <n v="0"/>
    <n v="0"/>
    <n v="0"/>
    <n v="0"/>
  </r>
  <r>
    <s v="84"/>
    <x v="2"/>
    <x v="7"/>
    <s v="ZC09F090"/>
    <x v="10"/>
    <s v="N301"/>
    <s v="GESTION DE RIESGOS"/>
    <s v="GI00N30100005D"/>
    <s v="GI00N30100005D REDUCCIÓN DE RIESGOS DE DESASTRES EN EL"/>
    <s v="84 BIENES DE LARGA DURACIÓN"/>
    <s v="840104 Maquinarias y Equipos"/>
    <s v="G/840104/3FN301"/>
    <s v="001"/>
    <n v="1700"/>
    <n v="0"/>
    <n v="-1700"/>
    <n v="0"/>
    <n v="0"/>
    <n v="0"/>
    <n v="0"/>
    <n v="0"/>
    <n v="0"/>
    <n v="0"/>
  </r>
  <r>
    <s v="84"/>
    <x v="2"/>
    <x v="7"/>
    <s v="ZD07F070"/>
    <x v="43"/>
    <s v="N301"/>
    <s v="GESTION DE RIESGOS"/>
    <s v="GI00N30100005D"/>
    <s v="GI00N30100005D REDUCCIÓN DE RIESGOS DE DESASTRES EN EL"/>
    <s v="84 BIENES DE LARGA DURACIÓN"/>
    <s v="840107 Equipos, Sistemas y Paquetes Informáticos"/>
    <s v="G/840107/3FN301"/>
    <s v="001"/>
    <n v="6000"/>
    <n v="0"/>
    <n v="0"/>
    <n v="6000"/>
    <n v="0"/>
    <n v="5996.48"/>
    <n v="5800.48"/>
    <n v="3.52"/>
    <n v="199.52"/>
    <n v="3.52"/>
  </r>
  <r>
    <s v="84"/>
    <x v="2"/>
    <x v="7"/>
    <s v="ZV05F050"/>
    <x v="39"/>
    <s v="N301"/>
    <s v="GESTION DE RIESGOS"/>
    <s v="GI00N30100006D"/>
    <s v="GI00N30100006D ATENCIÓN Y RESPUESTA DE EMERGENCIAS"/>
    <s v="84 BIENES DE LARGA DURACIÓN"/>
    <s v="840103 Mobiliarios"/>
    <s v="G/840103/3FN301"/>
    <s v="001"/>
    <n v="0"/>
    <n v="6498.08"/>
    <n v="0"/>
    <n v="6498.08"/>
    <n v="214.88"/>
    <n v="6283.2"/>
    <n v="6283.2"/>
    <n v="214.88"/>
    <n v="214.88"/>
    <n v="0"/>
  </r>
  <r>
    <s v="84"/>
    <x v="2"/>
    <x v="7"/>
    <s v="ZQ08F080"/>
    <x v="44"/>
    <s v="N301"/>
    <s v="GESTION DE RIESGOS"/>
    <s v="GI00N30100006D"/>
    <s v="GI00N30100006D ATENCIÓN Y RESPUESTA DE EMERGENCIAS"/>
    <s v="84 BIENES DE LARGA DURACIÓN"/>
    <s v="840103 Mobiliarios"/>
    <s v="G/840103/3FN301"/>
    <s v="001"/>
    <n v="5000"/>
    <n v="0"/>
    <n v="-5000"/>
    <n v="0"/>
    <n v="0"/>
    <n v="0"/>
    <n v="0"/>
    <n v="0"/>
    <n v="0"/>
    <n v="0"/>
  </r>
  <r>
    <s v="84"/>
    <x v="2"/>
    <x v="7"/>
    <s v="TM68F100"/>
    <x v="36"/>
    <s v="N301"/>
    <s v="GESTION DE RIESGOS"/>
    <s v="GI00N30100006D"/>
    <s v="GI00N30100006D ATENCIÓN Y RESPUESTA DE EMERGENCIAS"/>
    <s v="84 BIENES DE LARGA DURACIÓN"/>
    <s v="840103 Mobiliarios"/>
    <s v="G/840103/3FN301"/>
    <s v="001"/>
    <n v="1000"/>
    <n v="0"/>
    <n v="0"/>
    <n v="1000"/>
    <n v="0"/>
    <n v="0"/>
    <n v="0"/>
    <n v="1000"/>
    <n v="1000"/>
    <n v="1000"/>
  </r>
  <r>
    <s v="84"/>
    <x v="2"/>
    <x v="7"/>
    <s v="ZC09F090"/>
    <x v="10"/>
    <s v="N301"/>
    <s v="GESTION DE RIESGOS"/>
    <s v="GI00N30100006D"/>
    <s v="GI00N30100006D ATENCIÓN Y RESPUESTA DE EMERGENCIAS"/>
    <s v="84 BIENES DE LARGA DURACIÓN"/>
    <s v="840104 Maquinarias y Equipos"/>
    <s v="G/840104/3FN301"/>
    <s v="001"/>
    <n v="2500"/>
    <n v="0"/>
    <n v="-2500"/>
    <n v="0"/>
    <n v="0"/>
    <n v="0"/>
    <n v="0"/>
    <n v="0"/>
    <n v="0"/>
    <n v="0"/>
  </r>
  <r>
    <s v="84"/>
    <x v="2"/>
    <x v="7"/>
    <s v="ZN02F020"/>
    <x v="46"/>
    <s v="N301"/>
    <s v="GESTION DE RIESGOS"/>
    <s v="GI00N30100006D"/>
    <s v="GI00N30100006D ATENCIÓN Y RESPUESTA DE EMERGENCIAS"/>
    <s v="84 BIENES DE LARGA DURACIÓN"/>
    <s v="840104 Maquinarias y Equipos"/>
    <s v="G/840104/3FN301"/>
    <s v="001"/>
    <n v="2000"/>
    <n v="3200"/>
    <n v="-5200"/>
    <n v="0"/>
    <n v="0"/>
    <n v="0"/>
    <n v="0"/>
    <n v="0"/>
    <n v="0"/>
    <n v="0"/>
  </r>
  <r>
    <s v="84"/>
    <x v="2"/>
    <x v="7"/>
    <s v="ZM04F040"/>
    <x v="41"/>
    <s v="N301"/>
    <s v="GESTION DE RIESGOS"/>
    <s v="GI00N30100006D"/>
    <s v="GI00N30100006D ATENCIÓN Y RESPUESTA DE EMERGENCIAS"/>
    <s v="84 BIENES DE LARGA DURACIÓN"/>
    <s v="840104 Maquinarias y Equipos"/>
    <s v="G/840104/3FN301"/>
    <s v="001"/>
    <n v="5000"/>
    <n v="0"/>
    <n v="-5000"/>
    <n v="0"/>
    <n v="0"/>
    <n v="0"/>
    <n v="0"/>
    <n v="0"/>
    <n v="0"/>
    <n v="0"/>
  </r>
  <r>
    <s v="84"/>
    <x v="2"/>
    <x v="9"/>
    <s v="PM71N010"/>
    <x v="20"/>
    <s v="N301"/>
    <s v="GESTION DE RIESGOS"/>
    <s v="GI00N30100006D"/>
    <s v="GI00N30100006D ATENCIÓN Y RESPUESTA DE EMERGENCIAS"/>
    <s v="84 BIENES DE LARGA DURACIÓN"/>
    <s v="840104 Maquinarias y Equipos"/>
    <s v="G/840104/3NN301"/>
    <s v="001"/>
    <n v="50000"/>
    <n v="0"/>
    <n v="-8000"/>
    <n v="42000"/>
    <n v="41941"/>
    <n v="0"/>
    <n v="0"/>
    <n v="42000"/>
    <n v="42000"/>
    <n v="59"/>
  </r>
  <r>
    <s v="84"/>
    <x v="2"/>
    <x v="7"/>
    <s v="TM68F100"/>
    <x v="36"/>
    <s v="N301"/>
    <s v="GESTION DE RIESGOS"/>
    <s v="GI00N30100006D"/>
    <s v="GI00N30100006D ATENCIÓN Y RESPUESTA DE EMERGENCIAS"/>
    <s v="84 BIENES DE LARGA DURACIÓN"/>
    <s v="840104 Maquinarias y Equipos"/>
    <s v="G/840104/3FN301"/>
    <s v="001"/>
    <n v="2600"/>
    <n v="0"/>
    <n v="-2600"/>
    <n v="0"/>
    <n v="0"/>
    <n v="0"/>
    <n v="0"/>
    <n v="0"/>
    <n v="0"/>
    <n v="0"/>
  </r>
  <r>
    <s v="84"/>
    <x v="2"/>
    <x v="9"/>
    <s v="PM71N010"/>
    <x v="20"/>
    <s v="N301"/>
    <s v="GESTION DE RIESGOS"/>
    <s v="GI00N30100006D"/>
    <s v="GI00N30100006D ATENCIÓN Y RESPUESTA DE EMERGENCIAS"/>
    <s v="84 BIENES DE LARGA DURACIÓN"/>
    <s v="840106 Herramientas"/>
    <s v="G/840106/3NN301"/>
    <s v="001"/>
    <n v="50000"/>
    <n v="0"/>
    <n v="-50000"/>
    <n v="0"/>
    <n v="0"/>
    <n v="0"/>
    <n v="0"/>
    <n v="0"/>
    <n v="0"/>
    <n v="0"/>
  </r>
  <r>
    <s v="84"/>
    <x v="2"/>
    <x v="7"/>
    <s v="ZS03F030"/>
    <x v="45"/>
    <s v="N301"/>
    <s v="GESTION DE RIESGOS"/>
    <s v="GI00N30100006D"/>
    <s v="GI00N30100006D ATENCIÓN Y RESPUESTA DE EMERGENCIAS"/>
    <s v="84 BIENES DE LARGA DURACIÓN"/>
    <s v="840107 Equipos, Sistemas y Paquetes Informáticos"/>
    <s v="G/840107/3FN301"/>
    <s v="001"/>
    <n v="4500"/>
    <n v="0"/>
    <n v="-4500"/>
    <n v="0"/>
    <n v="0"/>
    <n v="0"/>
    <n v="0"/>
    <n v="0"/>
    <n v="0"/>
    <n v="0"/>
  </r>
  <r>
    <s v="84"/>
    <x v="2"/>
    <x v="8"/>
    <s v="FS66P020"/>
    <x v="13"/>
    <s v="P303"/>
    <s v="PROTEGER EL PATRIMONIO HISTORICO Y CULTURAL DEL DM"/>
    <s v="GI00P30300006D"/>
    <s v="GI00P30300006D  CONSERVACIÓN DE EDIFICACIONES PATRIMONI"/>
    <s v="84 BIENES DE LARGA DURACIÓN"/>
    <s v="840103 Mobiliarios"/>
    <s v="G/840103/3PP303"/>
    <s v="001"/>
    <n v="0"/>
    <n v="33600"/>
    <n v="-33600"/>
    <n v="0"/>
    <n v="0"/>
    <n v="0"/>
    <n v="0"/>
    <n v="0"/>
    <n v="0"/>
    <n v="0"/>
  </r>
  <r>
    <s v="84"/>
    <x v="2"/>
    <x v="8"/>
    <s v="FS66P020"/>
    <x v="13"/>
    <s v="P303"/>
    <s v="PROTEGER EL PATRIMONIO HISTORICO Y CULTURAL DEL DM"/>
    <s v="GI00P30300009D"/>
    <s v="GI00P30300009D CONSERVACIÓN DEL PATRIMONIO  ARQUEOLÓGIC"/>
    <s v="84 BIENES DE LARGA DURACIÓN"/>
    <s v="840103 Mobiliarios"/>
    <s v="G/840103/3PP303"/>
    <s v="001"/>
    <n v="70000"/>
    <n v="0"/>
    <n v="-70000"/>
    <n v="0"/>
    <n v="0"/>
    <n v="0"/>
    <n v="0"/>
    <n v="0"/>
    <n v="0"/>
    <n v="0"/>
  </r>
  <r>
    <s v="84"/>
    <x v="2"/>
    <x v="8"/>
    <s v="ZA01P000"/>
    <x v="32"/>
    <s v="P306"/>
    <s v="REGULACIÓN DEL USO Y GESTIÓN DEL SUELO"/>
    <s v="GI00P30600001D"/>
    <s v="GI00P30600001D ACTUALIZACIÓN DE LOS INSTRUMENTOS DE PLA"/>
    <s v="84 BIENES DE LARGA DURACIÓN"/>
    <s v="840107 Equipos, Sistemas y Paquetes Informáticos"/>
    <s v="G/840107/3PP306"/>
    <s v="001"/>
    <n v="40000"/>
    <n v="0"/>
    <n v="0"/>
    <n v="40000"/>
    <n v="0"/>
    <n v="0"/>
    <n v="0"/>
    <n v="40000"/>
    <n v="40000"/>
    <n v="40000"/>
  </r>
  <r>
    <s v="84"/>
    <x v="2"/>
    <x v="7"/>
    <s v="RB34F010"/>
    <x v="31"/>
    <s v="P306"/>
    <s v="REGULACIÓN DEL USO Y GESTIÓN DEL SUELO"/>
    <s v="GI00P30600004D"/>
    <s v="GI00P30600004D REGULA TU BARRIO"/>
    <s v="84 BIENES DE LARGA DURACIÓN"/>
    <s v="840104 Maquinarias y Equipos"/>
    <s v="G/840104/3FP306"/>
    <s v="001"/>
    <n v="20000"/>
    <n v="0"/>
    <n v="0"/>
    <n v="20000"/>
    <n v="879.2"/>
    <n v="7739.2"/>
    <n v="7739.2"/>
    <n v="12260.8"/>
    <n v="12260.8"/>
    <n v="11381.6"/>
  </r>
  <r>
    <s v="84"/>
    <x v="2"/>
    <x v="7"/>
    <s v="RB34F010"/>
    <x v="31"/>
    <s v="P306"/>
    <s v="REGULACIÓN DEL USO Y GESTIÓN DEL SUELO"/>
    <s v="GI00P30600004D"/>
    <s v="GI00P30600004D REGULA TU BARRIO"/>
    <s v="84 BIENES DE LARGA DURACIÓN"/>
    <s v="840107 Equipos, Sistemas y Paquetes Informáticos"/>
    <s v="G/840107/3FP306"/>
    <s v="001"/>
    <n v="13500"/>
    <n v="0"/>
    <n v="0"/>
    <n v="13500"/>
    <n v="0"/>
    <n v="0"/>
    <n v="0"/>
    <n v="13500"/>
    <n v="13500"/>
    <n v="13500"/>
  </r>
  <r>
    <s v="96"/>
    <x v="0"/>
    <x v="0"/>
    <s v="ZA01A003"/>
    <x v="49"/>
    <s v="L101"/>
    <s v="GESTION INSTITUCIONAL EFICIENTE E INNOVADORA"/>
    <s v="GI00L10100005D"/>
    <s v="GI00L10100005D GESTIÓN FINANCIERA"/>
    <s v="96 AMORTIZACIÓN DE LA DEUDA PÚBLICA"/>
    <s v="960201 Al Sector Público Financiero"/>
    <s v="G/960201/1AL101"/>
    <s v="001"/>
    <n v="0"/>
    <n v="0"/>
    <n v="1741317.75"/>
    <n v="1741317.75"/>
    <n v="0"/>
    <n v="867933.98"/>
    <n v="867933.98"/>
    <n v="873383.77"/>
    <n v="873383.77"/>
    <n v="873383.77"/>
  </r>
  <r>
    <s v="96"/>
    <x v="0"/>
    <x v="0"/>
    <s v="ZA01A003"/>
    <x v="49"/>
    <s v="L101"/>
    <s v="GESTION INSTITUCIONAL EFICIENTE E INNOVADORA"/>
    <s v="GI00L10100005D"/>
    <s v="GI00L10100005D GESTIÓN FINANCIERA"/>
    <s v="96 AMORTIZACIÓN DE LA DEUDA PÚBLICA"/>
    <s v="960201 Al Sector Público Financiero"/>
    <s v="G/960201/1AL101"/>
    <s v="002"/>
    <n v="16309720.710000001"/>
    <n v="0"/>
    <n v="-1034969.68"/>
    <n v="15274751.029999999"/>
    <n v="0"/>
    <n v="15274751.029999999"/>
    <n v="15274751.029999999"/>
    <n v="0"/>
    <n v="0"/>
    <n v="0"/>
  </r>
  <r>
    <s v="96"/>
    <x v="0"/>
    <x v="0"/>
    <s v="ZA01A003"/>
    <x v="49"/>
    <s v="L101"/>
    <s v="GESTION INSTITUCIONAL EFICIENTE E INNOVADORA"/>
    <s v="GI00L10100005D"/>
    <s v="GI00L10100005D GESTIÓN FINANCIERA"/>
    <s v="96 AMORTIZACIÓN DE LA DEUDA PÚBLICA"/>
    <s v="960301 A Organismos Multilaterales"/>
    <s v="G/960301/1AL101"/>
    <s v="001"/>
    <n v="0"/>
    <n v="0"/>
    <n v="8009494.8799999999"/>
    <n v="8009494.8799999999"/>
    <n v="0"/>
    <n v="0"/>
    <n v="0"/>
    <n v="8009494.8799999999"/>
    <n v="8009494.8799999999"/>
    <n v="8009494.8799999999"/>
  </r>
  <r>
    <s v="96"/>
    <x v="0"/>
    <x v="0"/>
    <s v="ZA01A003"/>
    <x v="49"/>
    <s v="L101"/>
    <s v="GESTION INSTITUCIONAL EFICIENTE E INNOVADORA"/>
    <s v="GI00L10100005D"/>
    <s v="GI00L10100005D GESTIÓN FINANCIERA"/>
    <s v="96 AMORTIZACIÓN DE LA DEUDA PÚBLICA"/>
    <s v="960301 A Organismos Multilaterales"/>
    <s v="G/960301/1AL101"/>
    <s v="002"/>
    <n v="28795415.219999999"/>
    <n v="-5310720"/>
    <n v="-5072255.04"/>
    <n v="18412440.18"/>
    <n v="0"/>
    <n v="18412440.18"/>
    <n v="18412440.18"/>
    <n v="0"/>
    <n v="0"/>
    <n v="0"/>
  </r>
  <r>
    <s v="96"/>
    <x v="0"/>
    <x v="0"/>
    <s v="ZA01A003"/>
    <x v="49"/>
    <s v="L101"/>
    <s v="GESTION INSTITUCIONAL EFICIENTE E INNOVADORA"/>
    <s v="GI00L10100005D"/>
    <s v="GI00L10100005D GESTIÓN FINANCIERA"/>
    <s v="96 AMORTIZACIÓN DE LA DEUDA PÚBLICA"/>
    <s v="960604 Al Sector Privado no Financiero"/>
    <s v="G/960604/1AL101"/>
    <s v="002"/>
    <n v="0"/>
    <n v="5310720"/>
    <n v="0"/>
    <n v="5310720"/>
    <n v="0"/>
    <n v="5310720"/>
    <n v="5310720"/>
    <n v="0"/>
    <n v="0"/>
    <n v="0"/>
  </r>
  <r>
    <s v="99"/>
    <x v="0"/>
    <x v="0"/>
    <s v="ZA01A003"/>
    <x v="49"/>
    <s v="A101"/>
    <s v="FORTALECIMIENTO INSTITUCIONAL"/>
    <s v="GC00A10100001D"/>
    <s v="GC00A10100001D GASTOS ADMINISTRATIVOS"/>
    <s v="99 OTROS PASIVOS"/>
    <s v="990103 Obligaciones de Ejercicios Anteriores por L"/>
    <s v="G/990103/1AA101"/>
    <s v="002"/>
    <n v="400000"/>
    <n v="0"/>
    <n v="-400000"/>
    <n v="0"/>
    <n v="0"/>
    <n v="0"/>
    <n v="0"/>
    <n v="0"/>
    <n v="0"/>
    <n v="0"/>
  </r>
  <r>
    <s v="99"/>
    <x v="0"/>
    <x v="0"/>
    <s v="ZA01A003"/>
    <x v="49"/>
    <s v="A101"/>
    <s v="FORTALECIMIENTO INSTITUCIONAL"/>
    <s v="GC00A10100001D"/>
    <s v="GC00A10100001D GASTOS ADMINISTRATIVOS"/>
    <s v="99 OTROS PASIVOS"/>
    <s v="990103 Obligaciones de Ejercicios Anteriores por L"/>
    <s v="G/990103/1AA101"/>
    <s v="001"/>
    <n v="0"/>
    <n v="0"/>
    <n v="80000"/>
    <n v="80000"/>
    <n v="0"/>
    <n v="0"/>
    <n v="0"/>
    <n v="80000"/>
    <n v="80000"/>
    <n v="80000"/>
  </r>
  <r>
    <s v="99"/>
    <x v="0"/>
    <x v="0"/>
    <s v="ZA01A000"/>
    <x v="3"/>
    <s v="A101"/>
    <s v="FORTALECIMIENTO INSTITUCIONAL"/>
    <s v="GC00A10100004D"/>
    <s v="GC00A10100004D REMUNERACION PERSONAL"/>
    <s v="99 OTROS PASIVOS"/>
    <s v="990101 Obligaciones de Ejercicios Anteriores por E"/>
    <s v="G/990101/1AA101"/>
    <s v="001"/>
    <n v="0"/>
    <n v="0"/>
    <n v="468774.89"/>
    <n v="468774.89"/>
    <n v="0"/>
    <n v="0"/>
    <n v="0"/>
    <n v="468774.89"/>
    <n v="468774.89"/>
    <n v="468774.89"/>
  </r>
  <r>
    <s v="99"/>
    <x v="0"/>
    <x v="12"/>
    <s v="MC37B000"/>
    <x v="21"/>
    <s v="A101"/>
    <s v="FORTALECIMIENTO INSTITUCIONAL"/>
    <s v="GC00A10100004D"/>
    <s v="GC00A10100004D REMUNERACION PERSONAL"/>
    <s v="99 OTROS PASIVOS"/>
    <s v="990101 Obligaciones de Ejercicios Anteriores por E"/>
    <s v="G/990101/1BA101"/>
    <s v="002"/>
    <n v="0"/>
    <n v="50000"/>
    <n v="-25325.19"/>
    <n v="24674.81"/>
    <n v="0"/>
    <n v="24674.81"/>
    <n v="17252.46"/>
    <n v="0"/>
    <n v="7422.35"/>
    <n v="0"/>
  </r>
  <r>
    <s v="99"/>
    <x v="0"/>
    <x v="0"/>
    <s v="RP36A010"/>
    <x v="0"/>
    <s v="A101"/>
    <s v="FORTALECIMIENTO INSTITUCIONAL"/>
    <s v="GC00A10100004D"/>
    <s v="GC00A10100004D REMUNERACION PERSONAL"/>
    <s v="99 OTROS PASIVOS"/>
    <s v="990101 Obligaciones de Ejercicios Anteriores por E"/>
    <s v="G/990101/1AA101"/>
    <s v="001"/>
    <n v="0"/>
    <n v="0"/>
    <n v="15000"/>
    <n v="15000"/>
    <n v="0"/>
    <n v="0"/>
    <n v="0"/>
    <n v="15000"/>
    <n v="15000"/>
    <n v="15000"/>
  </r>
  <r>
    <s v="99"/>
    <x v="0"/>
    <x v="0"/>
    <s v="RP36A010"/>
    <x v="0"/>
    <s v="A101"/>
    <s v="FORTALECIMIENTO INSTITUCIONAL"/>
    <s v="GC00A10100004D"/>
    <s v="GC00A10100004D REMUNERACION PERSONAL"/>
    <s v="99 OTROS PASIVOS"/>
    <s v="990101 Obligaciones de Ejercicios Anteriores por E"/>
    <s v="G/990101/1AA101"/>
    <s v="002"/>
    <n v="0"/>
    <n v="15000"/>
    <n v="-15000"/>
    <n v="0"/>
    <n v="0"/>
    <n v="0"/>
    <n v="0"/>
    <n v="0"/>
    <n v="0"/>
    <n v="0"/>
  </r>
  <r>
    <s v="99"/>
    <x v="0"/>
    <x v="12"/>
    <s v="MC37B000"/>
    <x v="21"/>
    <s v="A101"/>
    <s v="FORTALECIMIENTO INSTITUCIONAL"/>
    <s v="GC00A10100004D"/>
    <s v="GC00A10100004D REMUNERACION PERSONAL"/>
    <s v="99 OTROS PASIVOS"/>
    <s v="990101 Obligaciones de Ejercicios Anteriores por E"/>
    <s v="G/990101/1BA101"/>
    <s v="001"/>
    <n v="0"/>
    <n v="0"/>
    <n v="25325.19"/>
    <n v="25325.19"/>
    <n v="0"/>
    <n v="0"/>
    <n v="0"/>
    <n v="25325.19"/>
    <n v="25325.19"/>
    <n v="25325.19"/>
  </r>
  <r>
    <s v="99"/>
    <x v="0"/>
    <x v="0"/>
    <s v="ZA01A000"/>
    <x v="3"/>
    <s v="A101"/>
    <s v="FORTALECIMIENTO INSTITUCIONAL"/>
    <s v="GC00A10100004D"/>
    <s v="GC00A10100004D REMUNERACION PERSONAL"/>
    <s v="99 OTROS PASIVOS"/>
    <s v="990101 Obligaciones de Ejercicios Anteriores por E"/>
    <s v="G/990101/1AA101"/>
    <s v="002"/>
    <n v="1025101.75"/>
    <n v="-113299.89"/>
    <n v="-468774.89"/>
    <n v="443026.97"/>
    <n v="0"/>
    <n v="443026.97"/>
    <n v="437170.96"/>
    <n v="0"/>
    <n v="5856.01"/>
    <n v="0"/>
  </r>
  <r>
    <s v="99"/>
    <x v="2"/>
    <x v="7"/>
    <s v="ZT06F060"/>
    <x v="40"/>
    <s v="F102"/>
    <s v="PARTICIPACION CIUDADANA"/>
    <s v="GI00F10200005D"/>
    <s v="GI00F10200005D CASAS SOMOS QUITO"/>
    <s v="99 OTROS PASIVOS"/>
    <s v="990101 Obligaciones de Ejercicios Anteriores por E"/>
    <s v="G/990101/1FF102"/>
    <s v="002"/>
    <n v="0"/>
    <n v="1980.52"/>
    <n v="-1980.52"/>
    <n v="0"/>
    <n v="0"/>
    <n v="0"/>
    <n v="0"/>
    <n v="0"/>
    <n v="0"/>
    <n v="0"/>
  </r>
  <r>
    <s v="99"/>
    <x v="2"/>
    <x v="7"/>
    <s v="TM68F100"/>
    <x v="36"/>
    <s v="F102"/>
    <s v="PARTICIPACION CIUDADANA"/>
    <s v="GI00F10200005D"/>
    <s v="GI00F10200005D CASAS SOMOS QUITO"/>
    <s v="99 OTROS PASIVOS"/>
    <s v="990101 Obligaciones de Ejercicios Anteriores por E"/>
    <s v="G/990101/1FF102"/>
    <s v="001"/>
    <n v="0"/>
    <n v="2086.54"/>
    <n v="0"/>
    <n v="2086.54"/>
    <n v="0"/>
    <n v="2086.54"/>
    <n v="2086.5300000000002"/>
    <n v="0"/>
    <n v="0.01"/>
    <n v="0"/>
  </r>
  <r>
    <s v="99"/>
    <x v="2"/>
    <x v="7"/>
    <s v="ZT06F060"/>
    <x v="40"/>
    <s v="F102"/>
    <s v="PARTICIPACION CIUDADANA"/>
    <s v="GI00F10200005D"/>
    <s v="GI00F10200005D CASAS SOMOS QUITO"/>
    <s v="99 OTROS PASIVOS"/>
    <s v="990101 Obligaciones de Ejercicios Anteriores por E"/>
    <s v="G/990101/1FF102"/>
    <s v="001"/>
    <n v="0"/>
    <n v="50"/>
    <n v="1980.52"/>
    <n v="2030.52"/>
    <n v="0"/>
    <n v="2030.52"/>
    <n v="0"/>
    <n v="0"/>
    <n v="2030.52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">
  <r>
    <s v="73"/>
    <x v="0"/>
    <x v="0"/>
    <s v="ZA01K000"/>
    <x v="0"/>
    <s v="K310"/>
    <s v="SISTEMA  DE TRANSPORTE PÚBLICO EFICIENTE"/>
    <s v="GI00K31000003D"/>
    <s v="GI00K31000003D PRIMERA LÍNEA DEL METRO DE QUITO"/>
    <s v="73 BIENES Y SERVICIOS PARA INVERSIÓN"/>
    <s v="730601 Consultoría, Asesoría e Investigación Es"/>
    <s v="G/730601/3KK310"/>
    <s v="001"/>
    <n v="3331491.39"/>
    <n v="287076.19"/>
    <n v="0"/>
    <n v="3618567.58"/>
    <n v="687636.19"/>
    <n v="1846775.71"/>
    <n v="1627028.23"/>
    <n v="1771791.87"/>
    <n v="1991539.35"/>
    <n v="1084155.68"/>
  </r>
  <r>
    <s v="73"/>
    <x v="0"/>
    <x v="0"/>
    <s v="ZA01K000"/>
    <x v="0"/>
    <s v="K310"/>
    <s v="SISTEMA  DE TRANSPORTE PÚBLICO EFICIENTE"/>
    <s v="GI00K31000003D"/>
    <s v="GI00K31000003D PRIMERA LÍNEA DEL METRO DE QUITO"/>
    <s v="73 BIENES Y SERVICIOS PARA INVERSIÓN"/>
    <s v="730601 Consultoría, Asesoría e Investigación Es"/>
    <s v="G/730601/3KK310"/>
    <s v="202"/>
    <n v="22669197.949999999"/>
    <n v="2392301.5699999998"/>
    <n v="0"/>
    <n v="25061499.52"/>
    <n v="5730301.5700000003"/>
    <n v="10296567.27"/>
    <n v="8465338.3699999992"/>
    <n v="14764932.25"/>
    <n v="16596161.15"/>
    <n v="9034630.6799999997"/>
  </r>
  <r>
    <s v="73"/>
    <x v="0"/>
    <x v="0"/>
    <s v="ZA01K000"/>
    <x v="0"/>
    <s v="K310"/>
    <s v="SISTEMA  DE TRANSPORTE PÚBLICO EFICIENTE"/>
    <s v="GI00K31000003D"/>
    <s v="GI00K31000003D PRIMERA LÍNEA DEL METRO DE QUITO"/>
    <s v="73 BIENES Y SERVICIOS PARA INVERSIÓN"/>
    <s v="730601 Consultoría, Asesoría e Investigación Es"/>
    <s v="G/730601/3KK310"/>
    <s v="002"/>
    <n v="1593254.87"/>
    <n v="0"/>
    <n v="0"/>
    <n v="1593254.87"/>
    <n v="0"/>
    <n v="1593254.87"/>
    <n v="1593254.84"/>
    <n v="0"/>
    <n v="0.03"/>
    <n v="0"/>
  </r>
  <r>
    <s v="75"/>
    <x v="0"/>
    <x v="0"/>
    <s v="ZA01K000"/>
    <x v="0"/>
    <s v="K310"/>
    <s v="SISTEMA  DE TRANSPORTE PÚBLICO EFICIENTE"/>
    <s v="GI00K31000003D"/>
    <s v="GI00K31000003D PRIMERA LÍNEA DEL METRO DE QUITO"/>
    <s v="75 OBRAS PÚBLICAS"/>
    <s v="750105 Transporte y Vías"/>
    <s v="G/750105/3KK310"/>
    <s v="001"/>
    <n v="52044283.729999997"/>
    <n v="-287076.19"/>
    <n v="0"/>
    <n v="51757207.539999999"/>
    <n v="0"/>
    <n v="41191405.710000001"/>
    <n v="7926540.9400000004"/>
    <n v="10565801.83"/>
    <n v="43830666.600000001"/>
    <n v="10565801.83"/>
  </r>
  <r>
    <s v="75"/>
    <x v="0"/>
    <x v="0"/>
    <s v="ZA01K000"/>
    <x v="0"/>
    <s v="K310"/>
    <s v="SISTEMA  DE TRANSPORTE PÚBLICO EFICIENTE"/>
    <s v="GI00K31000003D"/>
    <s v="GI00K31000003D PRIMERA LÍNEA DEL METRO DE QUITO"/>
    <s v="75 OBRAS PÚBLICAS"/>
    <s v="750105 Transporte y Vías"/>
    <s v="G/750105/3KK310"/>
    <s v="202"/>
    <n v="203865868.09999999"/>
    <n v="-2392301.5699999998"/>
    <n v="0"/>
    <n v="201473566.53"/>
    <n v="0"/>
    <n v="115470637.04000001"/>
    <n v="74288050.5"/>
    <n v="86002929.489999995"/>
    <n v="127185516.03"/>
    <n v="86002929.489999995"/>
  </r>
  <r>
    <s v="84"/>
    <x v="0"/>
    <x v="0"/>
    <s v="ZA01K000"/>
    <x v="0"/>
    <s v="K310"/>
    <s v="SISTEMA  DE TRANSPORTE PÚBLICO EFICIENTE"/>
    <s v="GI00K31000003D"/>
    <s v="GI00K31000003D PRIMERA LÍNEA DEL METRO DE QUITO"/>
    <s v="84 BIENES DE LARGA DURACIÓN"/>
    <s v="840105 Vehículos"/>
    <s v="G/840105/3KK310"/>
    <s v="001"/>
    <n v="1101557.99"/>
    <n v="0"/>
    <n v="0"/>
    <n v="1101557.99"/>
    <n v="0"/>
    <n v="0"/>
    <n v="0"/>
    <n v="1101557.99"/>
    <n v="1101557.99"/>
    <n v="1101557.99"/>
  </r>
  <r>
    <s v="84"/>
    <x v="0"/>
    <x v="0"/>
    <s v="ZA01K000"/>
    <x v="0"/>
    <s v="K310"/>
    <s v="SISTEMA  DE TRANSPORTE PÚBLICO EFICIENTE"/>
    <s v="GI00K31000003D"/>
    <s v="GI00K31000003D PRIMERA LÍNEA DEL METRO DE QUITO"/>
    <s v="84 BIENES DE LARGA DURACIÓN"/>
    <s v="840105 Vehículos"/>
    <s v="G/840105/3KK310"/>
    <s v="202"/>
    <n v="34618258.969999999"/>
    <n v="0"/>
    <n v="0"/>
    <n v="34618258.969999999"/>
    <n v="0"/>
    <n v="0"/>
    <n v="0"/>
    <n v="34618258.969999999"/>
    <n v="34618258.969999999"/>
    <n v="34618258.969999999"/>
  </r>
  <r>
    <s v="84"/>
    <x v="0"/>
    <x v="0"/>
    <s v="ZA01K000"/>
    <x v="0"/>
    <s v="K310"/>
    <s v="SISTEMA  DE TRANSPORTE PÚBLICO EFICIENTE"/>
    <s v="GI00K31000003D"/>
    <s v="GI00K31000003D PRIMERA LÍNEA DEL METRO DE QUITO"/>
    <s v="84 BIENES DE LARGA DURACIÓN"/>
    <s v="840301 Terrenos (Expropiación)"/>
    <s v="G/840301/3KK310"/>
    <s v="202"/>
    <n v="1150000"/>
    <n v="0"/>
    <n v="0"/>
    <n v="1150000"/>
    <n v="0"/>
    <n v="0"/>
    <n v="0"/>
    <n v="1150000"/>
    <n v="1150000"/>
    <n v="115000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097">
  <r>
    <s v="51"/>
    <x v="0"/>
    <x v="0"/>
    <s v="ZA01A009"/>
    <x v="0"/>
    <s v="A101"/>
    <s v="FORTALECIMIENTO INSTITUCIONAL"/>
    <s v="GC00A10100001D"/>
    <s v="GC00A10100001D GASTOS ADMINISTRATIVOS"/>
    <s v="51 GASTOS EN PERSONAL"/>
    <s v="510502 Remuneración Unificada para Pasantes e Inte"/>
    <s v="G/510502/1AA101"/>
    <s v="002"/>
    <n v="54670"/>
    <n v="0"/>
    <n v="0"/>
    <n v="54670"/>
    <n v="0.09"/>
    <n v="10450.49"/>
    <n v="3677.24"/>
    <n v="44219.51"/>
    <n v="50992.76"/>
    <n v="44219.42"/>
  </r>
  <r>
    <s v="51"/>
    <x v="0"/>
    <x v="0"/>
    <s v="ZA01A000"/>
    <x v="1"/>
    <s v="A101"/>
    <s v="FORTALECIMIENTO INSTITUCIONAL"/>
    <s v="GC00A10100001D"/>
    <s v="GC00A10100001D GASTOS ADMINISTRATIVOS"/>
    <s v="51 GASTOS EN PERSONAL"/>
    <s v="510502 Remuneración Unificada para Pasantes e Inte"/>
    <s v="G/510502/1AA101"/>
    <s v="002"/>
    <n v="42500"/>
    <n v="32000"/>
    <n v="0"/>
    <n v="74500"/>
    <n v="55780.38"/>
    <n v="18719.62"/>
    <n v="5253.2"/>
    <n v="55780.38"/>
    <n v="69246.8"/>
    <n v="0"/>
  </r>
  <r>
    <s v="51"/>
    <x v="0"/>
    <x v="0"/>
    <s v="RP36A010"/>
    <x v="2"/>
    <s v="A101"/>
    <s v="FORTALECIMIENTO INSTITUCIONAL"/>
    <s v="GC00A10100001D"/>
    <s v="GC00A10100001D GASTOS ADMINISTRATIVOS"/>
    <s v="51 GASTOS EN PERSONAL"/>
    <s v="510502 Remuneración Unificada para Pasantes e Inte"/>
    <s v="G/510502/1AA101"/>
    <s v="002"/>
    <n v="142372.19"/>
    <n v="-136168.19"/>
    <n v="0"/>
    <n v="6204"/>
    <n v="0"/>
    <n v="3292.8"/>
    <n v="3292.8"/>
    <n v="2911.2"/>
    <n v="2911.2"/>
    <n v="2911.2"/>
  </r>
  <r>
    <s v="51"/>
    <x v="0"/>
    <x v="1"/>
    <s v="ZA01C030"/>
    <x v="3"/>
    <s v="A101"/>
    <s v="FORTALECIMIENTO INSTITUCIONAL"/>
    <s v="GC00A10100001D"/>
    <s v="GC00A10100001D GASTOS ADMINISTRATIVOS"/>
    <s v="51 GASTOS EN PERSONAL"/>
    <s v="510502 Remuneración Unificada para Pasantes e Inte"/>
    <s v="G/510502/1CA101"/>
    <s v="002"/>
    <n v="8366.48"/>
    <n v="0"/>
    <n v="0"/>
    <n v="8366.48"/>
    <n v="0"/>
    <n v="525.32000000000005"/>
    <n v="525.32000000000005"/>
    <n v="7841.16"/>
    <n v="7841.16"/>
    <n v="7841.16"/>
  </r>
  <r>
    <s v="51"/>
    <x v="0"/>
    <x v="1"/>
    <s v="ZA01C030"/>
    <x v="3"/>
    <s v="A101"/>
    <s v="FORTALECIMIENTO INSTITUCIONAL"/>
    <s v="GC00A10100001D"/>
    <s v="GC00A10100001D GASTOS ADMINISTRATIVOS"/>
    <s v="51 GASTOS EN PERSONAL"/>
    <s v="510601 Aporte Patronal"/>
    <s v="G/510601/1CA101"/>
    <s v="002"/>
    <n v="4443.5200000000004"/>
    <n v="0"/>
    <n v="0"/>
    <n v="4443.5200000000004"/>
    <n v="0"/>
    <n v="277.36"/>
    <n v="277.36"/>
    <n v="4166.16"/>
    <n v="4166.16"/>
    <n v="4166.16"/>
  </r>
  <r>
    <s v="51"/>
    <x v="0"/>
    <x v="0"/>
    <s v="ZA01A000"/>
    <x v="1"/>
    <s v="A101"/>
    <s v="FORTALECIMIENTO INSTITUCIONAL"/>
    <s v="GC00A10100001D"/>
    <s v="GC00A10100001D GASTOS ADMINISTRATIVOS"/>
    <s v="51 GASTOS EN PERSONAL"/>
    <s v="510601 Aporte Patronal"/>
    <s v="G/510601/1AA101"/>
    <s v="002"/>
    <n v="22200"/>
    <n v="16896"/>
    <n v="0"/>
    <n v="39096"/>
    <n v="29212"/>
    <n v="9884"/>
    <n v="2773.6"/>
    <n v="29212"/>
    <n v="36322.400000000001"/>
    <n v="0"/>
  </r>
  <r>
    <s v="51"/>
    <x v="0"/>
    <x v="0"/>
    <s v="ZA01A009"/>
    <x v="0"/>
    <s v="A101"/>
    <s v="FORTALECIMIENTO INSTITUCIONAL"/>
    <s v="GC00A10100001D"/>
    <s v="GC00A10100001D GASTOS ADMINISTRATIVOS"/>
    <s v="51 GASTOS EN PERSONAL"/>
    <s v="510601 Aporte Patronal"/>
    <s v="G/510601/1AA101"/>
    <s v="002"/>
    <n v="28806.080000000002"/>
    <n v="0"/>
    <n v="0"/>
    <n v="28806.080000000002"/>
    <n v="0.11"/>
    <n v="5517.72"/>
    <n v="1941.52"/>
    <n v="23288.36"/>
    <n v="26864.560000000001"/>
    <n v="23288.25"/>
  </r>
  <r>
    <s v="51"/>
    <x v="0"/>
    <x v="0"/>
    <s v="ZA01A002"/>
    <x v="4"/>
    <s v="A101"/>
    <s v="FORTALECIMIENTO INSTITUCIONAL"/>
    <s v="GC00A10100001D"/>
    <s v="GC00A10100001D GASTOS ADMINISTRATIVOS"/>
    <s v="51 GASTOS EN PERSONAL"/>
    <s v="510606 Asignación Global de Jubilación Patronal pa"/>
    <s v="G/510606/1AA101"/>
    <s v="002"/>
    <n v="3483000"/>
    <n v="247000"/>
    <n v="0"/>
    <n v="3730000"/>
    <n v="0"/>
    <n v="3729535.64"/>
    <n v="2610629.4700000002"/>
    <n v="464.36"/>
    <n v="1119370.53"/>
    <n v="464.36"/>
  </r>
  <r>
    <s v="51"/>
    <x v="0"/>
    <x v="0"/>
    <s v="ZA01A002"/>
    <x v="4"/>
    <s v="A101"/>
    <s v="FORTALECIMIENTO INSTITUCIONAL"/>
    <s v="GC00A10100001D"/>
    <s v="GC00A10100001D GASTOS ADMINISTRATIVOS"/>
    <s v="51 GASTOS EN PERSONAL"/>
    <s v="510706 Beneficio por Jubilación"/>
    <s v="G/510706/1AA101"/>
    <s v="002"/>
    <n v="5000000"/>
    <n v="0"/>
    <n v="0"/>
    <n v="5000000"/>
    <n v="0"/>
    <n v="4721770"/>
    <n v="3524719.17"/>
    <n v="278230"/>
    <n v="1475280.83"/>
    <n v="278230"/>
  </r>
  <r>
    <s v="51"/>
    <x v="1"/>
    <x v="2"/>
    <s v="ZA01I000"/>
    <x v="5"/>
    <s v="A101"/>
    <s v="FORTALECIMIENTO INSTITUCIONAL"/>
    <s v="GC00A10100004D"/>
    <s v="GC00A10100004D REMUNERACION PERSONAL"/>
    <s v="51 GASTOS EN PERSONAL"/>
    <s v="510105 Remuneraciones Unificadas"/>
    <s v="G/510105/1IA101"/>
    <s v="002"/>
    <n v="1203444"/>
    <n v="-21399.33"/>
    <n v="0"/>
    <n v="1182044.67"/>
    <n v="0"/>
    <n v="837957.12"/>
    <n v="837957.12"/>
    <n v="344087.55"/>
    <n v="344087.55"/>
    <n v="344087.55"/>
  </r>
  <r>
    <s v="51"/>
    <x v="1"/>
    <x v="3"/>
    <s v="ZA01M000"/>
    <x v="6"/>
    <s v="A101"/>
    <s v="FORTALECIMIENTO INSTITUCIONAL"/>
    <s v="GC00A10100004D"/>
    <s v="GC00A10100004D REMUNERACION PERSONAL"/>
    <s v="51 GASTOS EN PERSONAL"/>
    <s v="510105 Remuneraciones Unificadas"/>
    <s v="G/510105/1MA101"/>
    <s v="002"/>
    <n v="766215.36"/>
    <n v="-26253.54"/>
    <n v="0"/>
    <n v="739961.82"/>
    <n v="0"/>
    <n v="568025.18000000005"/>
    <n v="568025.18000000005"/>
    <n v="171936.64000000001"/>
    <n v="171936.64000000001"/>
    <n v="171936.64000000001"/>
  </r>
  <r>
    <s v="51"/>
    <x v="1"/>
    <x v="3"/>
    <s v="UC32M020"/>
    <x v="7"/>
    <s v="A101"/>
    <s v="FORTALECIMIENTO INSTITUCIONAL"/>
    <s v="GC00A10100004D"/>
    <s v="GC00A10100004D REMUNERACION PERSONAL"/>
    <s v="51 GASTOS EN PERSONAL"/>
    <s v="510105 Remuneraciones Unificadas"/>
    <s v="G/510105/1MA101"/>
    <s v="002"/>
    <n v="1556724"/>
    <n v="-405897"/>
    <n v="0"/>
    <n v="1150827"/>
    <n v="0"/>
    <n v="1066147.67"/>
    <n v="1066147.67"/>
    <n v="84679.33"/>
    <n v="84679.33"/>
    <n v="84679.33"/>
  </r>
  <r>
    <s v="51"/>
    <x v="1"/>
    <x v="3"/>
    <s v="US33M030"/>
    <x v="8"/>
    <s v="A101"/>
    <s v="FORTALECIMIENTO INSTITUCIONAL"/>
    <s v="GC00A10100004D"/>
    <s v="GC00A10100004D REMUNERACION PERSONAL"/>
    <s v="51 GASTOS EN PERSONAL"/>
    <s v="510105 Remuneraciones Unificadas"/>
    <s v="G/510105/1MA101"/>
    <s v="002"/>
    <n v="3409428"/>
    <n v="-350944.39"/>
    <n v="0"/>
    <n v="3058483.61"/>
    <n v="0"/>
    <n v="2215783.0299999998"/>
    <n v="2215783.0299999998"/>
    <n v="842700.58"/>
    <n v="842700.58"/>
    <n v="842700.58"/>
  </r>
  <r>
    <s v="51"/>
    <x v="1"/>
    <x v="4"/>
    <s v="ZA01J000"/>
    <x v="9"/>
    <s v="A101"/>
    <s v="FORTALECIMIENTO INSTITUCIONAL"/>
    <s v="GC00A10100004D"/>
    <s v="GC00A10100004D REMUNERACION PERSONAL"/>
    <s v="51 GASTOS EN PERSONAL"/>
    <s v="510105 Remuneraciones Unificadas"/>
    <s v="G/510105/1JA101"/>
    <s v="002"/>
    <n v="656868"/>
    <n v="234186.67"/>
    <n v="0"/>
    <n v="891054.67"/>
    <n v="0"/>
    <n v="521555.73"/>
    <n v="521555.73"/>
    <n v="369498.94"/>
    <n v="369498.94"/>
    <n v="369498.94"/>
  </r>
  <r>
    <s v="51"/>
    <x v="2"/>
    <x v="5"/>
    <s v="ZA01N000"/>
    <x v="10"/>
    <s v="A101"/>
    <s v="FORTALECIMIENTO INSTITUCIONAL"/>
    <s v="GC00A10100004D"/>
    <s v="GC00A10100004D REMUNERACION PERSONAL"/>
    <s v="51 GASTOS EN PERSONAL"/>
    <s v="510105 Remuneraciones Unificadas"/>
    <s v="G/510105/1NA101"/>
    <s v="002"/>
    <n v="2870136"/>
    <n v="-263874"/>
    <n v="0"/>
    <n v="2606262"/>
    <n v="0"/>
    <n v="2086761.53"/>
    <n v="2086761.53"/>
    <n v="519500.47"/>
    <n v="519500.47"/>
    <n v="519500.47"/>
  </r>
  <r>
    <s v="51"/>
    <x v="1"/>
    <x v="3"/>
    <s v="UN31M010"/>
    <x v="11"/>
    <s v="A101"/>
    <s v="FORTALECIMIENTO INSTITUCIONAL"/>
    <s v="GC00A10100004D"/>
    <s v="GC00A10100004D REMUNERACION PERSONAL"/>
    <s v="51 GASTOS EN PERSONAL"/>
    <s v="510105 Remuneraciones Unificadas"/>
    <s v="G/510105/1MA101"/>
    <s v="002"/>
    <n v="2298072"/>
    <n v="-419692.09"/>
    <n v="0"/>
    <n v="1878379.91"/>
    <n v="0"/>
    <n v="1353460.64"/>
    <n v="1352801.71"/>
    <n v="524919.27"/>
    <n v="525578.19999999995"/>
    <n v="524919.27"/>
  </r>
  <r>
    <s v="51"/>
    <x v="1"/>
    <x v="2"/>
    <s v="JM40I070"/>
    <x v="12"/>
    <s v="A101"/>
    <s v="FORTALECIMIENTO INSTITUCIONAL"/>
    <s v="GC00A10100004D"/>
    <s v="GC00A10100004D REMUNERACION PERSONAL"/>
    <s v="51 GASTOS EN PERSONAL"/>
    <s v="510105 Remuneraciones Unificadas"/>
    <s v="G/510105/1IA101"/>
    <s v="002"/>
    <n v="70368"/>
    <n v="-609.38"/>
    <n v="0"/>
    <n v="69758.62"/>
    <n v="0"/>
    <n v="69590"/>
    <n v="69590"/>
    <n v="168.62"/>
    <n v="168.62"/>
    <n v="168.62"/>
  </r>
  <r>
    <s v="51"/>
    <x v="2"/>
    <x v="6"/>
    <s v="AT69K040"/>
    <x v="13"/>
    <s v="A101"/>
    <s v="FORTALECIMIENTO INSTITUCIONAL"/>
    <s v="GC00A10100004D"/>
    <s v="GC00A10100004D REMUNERACION PERSONAL"/>
    <s v="51 GASTOS EN PERSONAL"/>
    <s v="510105 Remuneraciones Unificadas"/>
    <s v="G/510105/1KA101"/>
    <s v="002"/>
    <n v="27593136"/>
    <n v="0"/>
    <n v="0"/>
    <n v="27593136"/>
    <n v="0"/>
    <n v="22346255.149999999"/>
    <n v="22346255.149999999"/>
    <n v="5246880.8499999996"/>
    <n v="5246880.8499999996"/>
    <n v="5246880.8499999996"/>
  </r>
  <r>
    <s v="51"/>
    <x v="0"/>
    <x v="7"/>
    <s v="ZA01L000"/>
    <x v="14"/>
    <s v="A101"/>
    <s v="FORTALECIMIENTO INSTITUCIONAL"/>
    <s v="GC00A10100004D"/>
    <s v="GC00A10100004D REMUNERACION PERSONAL"/>
    <s v="51 GASTOS EN PERSONAL"/>
    <s v="510105 Remuneraciones Unificadas"/>
    <s v="G/510105/1LA101"/>
    <s v="002"/>
    <n v="590712"/>
    <n v="45782.09"/>
    <n v="0"/>
    <n v="636494.09"/>
    <n v="0"/>
    <n v="486262"/>
    <n v="486262"/>
    <n v="150232.09"/>
    <n v="150232.09"/>
    <n v="150232.09"/>
  </r>
  <r>
    <s v="51"/>
    <x v="0"/>
    <x v="0"/>
    <s v="RP36A010"/>
    <x v="2"/>
    <s v="A101"/>
    <s v="FORTALECIMIENTO INSTITUCIONAL"/>
    <s v="GC00A10100004D"/>
    <s v="GC00A10100004D REMUNERACION PERSONAL"/>
    <s v="51 GASTOS EN PERSONAL"/>
    <s v="510105 Remuneraciones Unificadas"/>
    <s v="G/510105/1AA101"/>
    <s v="002"/>
    <n v="3287178.36"/>
    <n v="-40098"/>
    <n v="0"/>
    <n v="3247080.36"/>
    <n v="0"/>
    <n v="2599331.69"/>
    <n v="2598809.69"/>
    <n v="647748.67000000004"/>
    <n v="648270.67000000004"/>
    <n v="647748.67000000004"/>
  </r>
  <r>
    <s v="51"/>
    <x v="2"/>
    <x v="8"/>
    <s v="ZA01P000"/>
    <x v="15"/>
    <s v="A101"/>
    <s v="FORTALECIMIENTO INSTITUCIONAL"/>
    <s v="GC00A10100004D"/>
    <s v="GC00A10100004D REMUNERACION PERSONAL"/>
    <s v="51 GASTOS EN PERSONAL"/>
    <s v="510105 Remuneraciones Unificadas"/>
    <s v="G/510105/1PA101"/>
    <s v="002"/>
    <n v="1226304"/>
    <n v="-4386.53"/>
    <n v="0"/>
    <n v="1221917.47"/>
    <n v="0"/>
    <n v="963750.12"/>
    <n v="963750.12"/>
    <n v="258167.35"/>
    <n v="258167.35"/>
    <n v="258167.35"/>
  </r>
  <r>
    <s v="51"/>
    <x v="1"/>
    <x v="2"/>
    <s v="ES12I020"/>
    <x v="16"/>
    <s v="A101"/>
    <s v="FORTALECIMIENTO INSTITUCIONAL"/>
    <s v="GC00A10100004D"/>
    <s v="GC00A10100004D REMUNERACION PERSONAL"/>
    <s v="51 GASTOS EN PERSONAL"/>
    <s v="510105 Remuneraciones Unificadas"/>
    <s v="G/510105/1IA101"/>
    <s v="002"/>
    <n v="168360"/>
    <n v="0"/>
    <n v="0"/>
    <n v="168360"/>
    <n v="0"/>
    <n v="115868.69"/>
    <n v="115868.69"/>
    <n v="52491.31"/>
    <n v="52491.31"/>
    <n v="52491.31"/>
  </r>
  <r>
    <s v="51"/>
    <x v="2"/>
    <x v="6"/>
    <s v="ZA01K000"/>
    <x v="17"/>
    <s v="A101"/>
    <s v="FORTALECIMIENTO INSTITUCIONAL"/>
    <s v="GC00A10100004D"/>
    <s v="GC00A10100004D REMUNERACION PERSONAL"/>
    <s v="51 GASTOS EN PERSONAL"/>
    <s v="510105 Remuneraciones Unificadas"/>
    <s v="G/510105/1KA101"/>
    <s v="002"/>
    <n v="1279057.44"/>
    <n v="-1108.54"/>
    <n v="0"/>
    <n v="1277948.8999999999"/>
    <n v="0"/>
    <n v="986131.33"/>
    <n v="985448"/>
    <n v="291817.57"/>
    <n v="292500.90000000002"/>
    <n v="291817.57"/>
  </r>
  <r>
    <s v="51"/>
    <x v="0"/>
    <x v="9"/>
    <s v="ZA01E000"/>
    <x v="18"/>
    <s v="A101"/>
    <s v="FORTALECIMIENTO INSTITUCIONAL"/>
    <s v="GC00A10100004D"/>
    <s v="GC00A10100004D REMUNERACION PERSONAL"/>
    <s v="51 GASTOS EN PERSONAL"/>
    <s v="510105 Remuneraciones Unificadas"/>
    <s v="G/510105/1EA101"/>
    <s v="002"/>
    <n v="777108"/>
    <n v="-35698.1"/>
    <n v="0"/>
    <n v="741409.9"/>
    <n v="0"/>
    <n v="601655.35"/>
    <n v="601655.35"/>
    <n v="139754.54999999999"/>
    <n v="139754.54999999999"/>
    <n v="139754.54999999999"/>
  </r>
  <r>
    <s v="51"/>
    <x v="0"/>
    <x v="1"/>
    <s v="ZA01C030"/>
    <x v="3"/>
    <s v="A101"/>
    <s v="FORTALECIMIENTO INSTITUCIONAL"/>
    <s v="GC00A10100004D"/>
    <s v="GC00A10100004D REMUNERACION PERSONAL"/>
    <s v="51 GASTOS EN PERSONAL"/>
    <s v="510105 Remuneraciones Unificadas"/>
    <s v="G/510105/1CA101"/>
    <s v="002"/>
    <n v="2811067.68"/>
    <n v="-13702.76"/>
    <n v="0"/>
    <n v="2797364.92"/>
    <n v="0"/>
    <n v="2204396.5699999998"/>
    <n v="2202563.2400000002"/>
    <n v="592968.35"/>
    <n v="594801.68000000005"/>
    <n v="592968.35"/>
  </r>
  <r>
    <s v="51"/>
    <x v="0"/>
    <x v="1"/>
    <s v="ZA01C000"/>
    <x v="19"/>
    <s v="A101"/>
    <s v="FORTALECIMIENTO INSTITUCIONAL"/>
    <s v="GC00A10100004D"/>
    <s v="GC00A10100004D REMUNERACION PERSONAL"/>
    <s v="51 GASTOS EN PERSONAL"/>
    <s v="510105 Remuneraciones Unificadas"/>
    <s v="G/510105/1CA101"/>
    <s v="002"/>
    <n v="2126172"/>
    <n v="44268"/>
    <n v="0"/>
    <n v="2170440"/>
    <n v="0"/>
    <n v="1632732.7"/>
    <n v="1632732.7"/>
    <n v="537707.30000000005"/>
    <n v="537707.30000000005"/>
    <n v="537707.30000000005"/>
  </r>
  <r>
    <s v="51"/>
    <x v="1"/>
    <x v="2"/>
    <s v="EQ13I030"/>
    <x v="20"/>
    <s v="A101"/>
    <s v="FORTALECIMIENTO INSTITUCIONAL"/>
    <s v="GC00A10100004D"/>
    <s v="GC00A10100004D REMUNERACION PERSONAL"/>
    <s v="51 GASTOS EN PERSONAL"/>
    <s v="510105 Remuneraciones Unificadas"/>
    <s v="G/510105/1IA101"/>
    <s v="002"/>
    <n v="206208"/>
    <n v="-9836.7999999999993"/>
    <n v="0"/>
    <n v="196371.20000000001"/>
    <n v="0"/>
    <n v="147840"/>
    <n v="147840"/>
    <n v="48531.199999999997"/>
    <n v="48531.199999999997"/>
    <n v="48531.199999999997"/>
  </r>
  <r>
    <s v="51"/>
    <x v="1"/>
    <x v="2"/>
    <s v="EE11I010"/>
    <x v="21"/>
    <s v="A101"/>
    <s v="FORTALECIMIENTO INSTITUCIONAL"/>
    <s v="GC00A10100004D"/>
    <s v="GC00A10100004D REMUNERACION PERSONAL"/>
    <s v="51 GASTOS EN PERSONAL"/>
    <s v="510105 Remuneraciones Unificadas"/>
    <s v="G/510105/1IA101"/>
    <s v="002"/>
    <n v="174228"/>
    <n v="-4886"/>
    <n v="0"/>
    <n v="169342"/>
    <n v="0"/>
    <n v="132519.03"/>
    <n v="132519.03"/>
    <n v="36822.97"/>
    <n v="36822.97"/>
    <n v="36822.97"/>
  </r>
  <r>
    <s v="51"/>
    <x v="1"/>
    <x v="2"/>
    <s v="CF22I050"/>
    <x v="22"/>
    <s v="A101"/>
    <s v="FORTALECIMIENTO INSTITUCIONAL"/>
    <s v="GC00A10100004D"/>
    <s v="GC00A10100004D REMUNERACION PERSONAL"/>
    <s v="51 GASTOS EN PERSONAL"/>
    <s v="510105 Remuneraciones Unificadas"/>
    <s v="G/510105/1IA101"/>
    <s v="002"/>
    <n v="240336"/>
    <n v="-16"/>
    <n v="0"/>
    <n v="240320"/>
    <n v="0"/>
    <n v="200497.87"/>
    <n v="200497.87"/>
    <n v="39822.129999999997"/>
    <n v="39822.129999999997"/>
    <n v="39822.129999999997"/>
  </r>
  <r>
    <s v="51"/>
    <x v="1"/>
    <x v="2"/>
    <s v="CB21I040"/>
    <x v="23"/>
    <s v="A101"/>
    <s v="FORTALECIMIENTO INSTITUCIONAL"/>
    <s v="GC00A10100004D"/>
    <s v="GC00A10100004D REMUNERACION PERSONAL"/>
    <s v="51 GASTOS EN PERSONAL"/>
    <s v="510105 Remuneraciones Unificadas"/>
    <s v="G/510105/1IA101"/>
    <s v="002"/>
    <n v="211656"/>
    <n v="-175"/>
    <n v="0"/>
    <n v="211481"/>
    <n v="0"/>
    <n v="151356.99"/>
    <n v="151356.99"/>
    <n v="60124.01"/>
    <n v="60124.01"/>
    <n v="60124.01"/>
  </r>
  <r>
    <s v="51"/>
    <x v="2"/>
    <x v="10"/>
    <s v="ZA01D000"/>
    <x v="24"/>
    <s v="A101"/>
    <s v="FORTALECIMIENTO INSTITUCIONAL"/>
    <s v="GC00A10100004D"/>
    <s v="GC00A10100004D REMUNERACION PERSONAL"/>
    <s v="51 GASTOS EN PERSONAL"/>
    <s v="510105 Remuneraciones Unificadas"/>
    <s v="G/510105/1DA101"/>
    <s v="002"/>
    <n v="1238064"/>
    <n v="-10848"/>
    <n v="0"/>
    <n v="1227216"/>
    <n v="0"/>
    <n v="950470.12"/>
    <n v="950470.12"/>
    <n v="276745.88"/>
    <n v="276745.88"/>
    <n v="276745.88"/>
  </r>
  <r>
    <s v="51"/>
    <x v="2"/>
    <x v="11"/>
    <s v="ZT06F060"/>
    <x v="25"/>
    <s v="A101"/>
    <s v="FORTALECIMIENTO INSTITUCIONAL"/>
    <s v="GC00A10100004D"/>
    <s v="GC00A10100004D REMUNERACION PERSONAL"/>
    <s v="51 GASTOS EN PERSONAL"/>
    <s v="510105 Remuneraciones Unificadas"/>
    <s v="G/510105/1FA101"/>
    <s v="002"/>
    <n v="1051848"/>
    <n v="-17587.82"/>
    <n v="0"/>
    <n v="1034260.18"/>
    <n v="0"/>
    <n v="742397.07"/>
    <n v="742397.07"/>
    <n v="291863.11"/>
    <n v="291863.11"/>
    <n v="291863.11"/>
  </r>
  <r>
    <s v="51"/>
    <x v="1"/>
    <x v="2"/>
    <s v="MB42I090"/>
    <x v="26"/>
    <s v="A101"/>
    <s v="FORTALECIMIENTO INSTITUCIONAL"/>
    <s v="GC00A10100004D"/>
    <s v="GC00A10100004D REMUNERACION PERSONAL"/>
    <s v="51 GASTOS EN PERSONAL"/>
    <s v="510105 Remuneraciones Unificadas"/>
    <s v="G/510105/1IA101"/>
    <s v="002"/>
    <n v="120984"/>
    <n v="-2451"/>
    <n v="0"/>
    <n v="118533"/>
    <n v="0"/>
    <n v="86674"/>
    <n v="86674"/>
    <n v="31859"/>
    <n v="31859"/>
    <n v="31859"/>
  </r>
  <r>
    <s v="51"/>
    <x v="2"/>
    <x v="5"/>
    <s v="PM71N010"/>
    <x v="27"/>
    <s v="A101"/>
    <s v="FORTALECIMIENTO INSTITUCIONAL"/>
    <s v="GC00A10100004D"/>
    <s v="GC00A10100004D REMUNERACION PERSONAL"/>
    <s v="51 GASTOS EN PERSONAL"/>
    <s v="510105 Remuneraciones Unificadas"/>
    <s v="G/510105/1NA101"/>
    <s v="002"/>
    <n v="13706160"/>
    <n v="-375"/>
    <n v="0"/>
    <n v="13705785"/>
    <n v="0"/>
    <n v="10923256.130000001"/>
    <n v="10923256.130000001"/>
    <n v="2782528.87"/>
    <n v="2782528.87"/>
    <n v="2782528.87"/>
  </r>
  <r>
    <s v="51"/>
    <x v="0"/>
    <x v="12"/>
    <s v="MC37B000"/>
    <x v="28"/>
    <s v="A101"/>
    <s v="FORTALECIMIENTO INSTITUCIONAL"/>
    <s v="GC00A10100004D"/>
    <s v="GC00A10100004D REMUNERACION PERSONAL"/>
    <s v="51 GASTOS EN PERSONAL"/>
    <s v="510105 Remuneraciones Unificadas"/>
    <s v="G/510105/1BA101"/>
    <s v="002"/>
    <n v="2368584"/>
    <n v="-140822.99"/>
    <n v="0"/>
    <n v="2227761.0099999998"/>
    <n v="0"/>
    <n v="1777260.9"/>
    <n v="1777260.9"/>
    <n v="450500.11"/>
    <n v="450500.11"/>
    <n v="450500.11"/>
  </r>
  <r>
    <s v="51"/>
    <x v="1"/>
    <x v="13"/>
    <s v="ZA01G000"/>
    <x v="29"/>
    <s v="A101"/>
    <s v="FORTALECIMIENTO INSTITUCIONAL"/>
    <s v="GC00A10100004D"/>
    <s v="GC00A10100004D REMUNERACION PERSONAL"/>
    <s v="51 GASTOS EN PERSONAL"/>
    <s v="510105 Remuneraciones Unificadas"/>
    <s v="G/510105/1GA101"/>
    <s v="002"/>
    <n v="2492376"/>
    <n v="-13747.43"/>
    <n v="0"/>
    <n v="2478628.5699999998"/>
    <n v="0"/>
    <n v="1876840.91"/>
    <n v="1876840.91"/>
    <n v="601787.66"/>
    <n v="601787.66"/>
    <n v="601787.66"/>
  </r>
  <r>
    <s v="51"/>
    <x v="3"/>
    <x v="14"/>
    <s v="ZA01H000"/>
    <x v="30"/>
    <s v="A101"/>
    <s v="FORTALECIMIENTO INSTITUCIONAL"/>
    <s v="GC00A10100004D"/>
    <s v="GC00A10100004D REMUNERACION PERSONAL"/>
    <s v="51 GASTOS EN PERSONAL"/>
    <s v="510105 Remuneraciones Unificadas"/>
    <s v="G/510105/1HA101"/>
    <s v="002"/>
    <n v="413436"/>
    <n v="-30675"/>
    <n v="0"/>
    <n v="382761"/>
    <n v="0"/>
    <n v="296988.33"/>
    <n v="296988.33"/>
    <n v="85772.67"/>
    <n v="85772.67"/>
    <n v="85772.67"/>
  </r>
  <r>
    <s v="51"/>
    <x v="2"/>
    <x v="11"/>
    <s v="ZA01F000"/>
    <x v="31"/>
    <s v="A101"/>
    <s v="FORTALECIMIENTO INSTITUCIONAL"/>
    <s v="GC00A10100004D"/>
    <s v="GC00A10100004D REMUNERACION PERSONAL"/>
    <s v="51 GASTOS EN PERSONAL"/>
    <s v="510105 Remuneraciones Unificadas"/>
    <s v="G/510105/1FA101"/>
    <s v="002"/>
    <n v="485220"/>
    <n v="-14939.24"/>
    <n v="0"/>
    <n v="470280.76"/>
    <n v="0"/>
    <n v="326639.12"/>
    <n v="326639.12"/>
    <n v="143641.64000000001"/>
    <n v="143641.64000000001"/>
    <n v="143641.64000000001"/>
  </r>
  <r>
    <s v="51"/>
    <x v="3"/>
    <x v="15"/>
    <s v="AC67Q000"/>
    <x v="32"/>
    <s v="A101"/>
    <s v="FORTALECIMIENTO INSTITUCIONAL"/>
    <s v="GC00A10100004D"/>
    <s v="GC00A10100004D REMUNERACION PERSONAL"/>
    <s v="51 GASTOS EN PERSONAL"/>
    <s v="510105 Remuneraciones Unificadas"/>
    <s v="G/510105/2QA101"/>
    <s v="002"/>
    <n v="1290288"/>
    <n v="-140355.54"/>
    <n v="0"/>
    <n v="1149932.46"/>
    <n v="0"/>
    <n v="945122.46"/>
    <n v="945122.46"/>
    <n v="204810"/>
    <n v="204810"/>
    <n v="204810"/>
  </r>
  <r>
    <s v="51"/>
    <x v="2"/>
    <x v="11"/>
    <s v="RB34F010"/>
    <x v="33"/>
    <s v="A101"/>
    <s v="FORTALECIMIENTO INSTITUCIONAL"/>
    <s v="GC00A10100004D"/>
    <s v="GC00A10100004D REMUNERACION PERSONAL"/>
    <s v="51 GASTOS EN PERSONAL"/>
    <s v="510105 Remuneraciones Unificadas"/>
    <s v="G/510105/1FA101"/>
    <s v="002"/>
    <n v="438156"/>
    <n v="-5716.13"/>
    <n v="0"/>
    <n v="432439.87"/>
    <n v="0"/>
    <n v="349344.2"/>
    <n v="349344.2"/>
    <n v="83095.67"/>
    <n v="83095.67"/>
    <n v="83095.67"/>
  </r>
  <r>
    <s v="51"/>
    <x v="2"/>
    <x v="11"/>
    <s v="TM68F100"/>
    <x v="34"/>
    <s v="A101"/>
    <s v="FORTALECIMIENTO INSTITUCIONAL"/>
    <s v="GC00A10100004D"/>
    <s v="GC00A10100004D REMUNERACION PERSONAL"/>
    <s v="51 GASTOS EN PERSONAL"/>
    <s v="510105 Remuneraciones Unificadas"/>
    <s v="G/510105/1FA101"/>
    <s v="002"/>
    <n v="487680"/>
    <n v="3879"/>
    <n v="0"/>
    <n v="491559"/>
    <n v="0"/>
    <n v="339736.33"/>
    <n v="339736.33"/>
    <n v="151822.67000000001"/>
    <n v="151822.67000000001"/>
    <n v="151822.67000000001"/>
  </r>
  <r>
    <s v="51"/>
    <x v="1"/>
    <x v="2"/>
    <s v="SF43I080"/>
    <x v="35"/>
    <s v="A101"/>
    <s v="FORTALECIMIENTO INSTITUCIONAL"/>
    <s v="GC00A10100004D"/>
    <s v="GC00A10100004D REMUNERACION PERSONAL"/>
    <s v="51 GASTOS EN PERSONAL"/>
    <s v="510105 Remuneraciones Unificadas"/>
    <s v="G/510105/1IA101"/>
    <s v="002"/>
    <n v="75084"/>
    <n v="-2734.4"/>
    <n v="0"/>
    <n v="72349.600000000006"/>
    <n v="0"/>
    <n v="62570"/>
    <n v="62570"/>
    <n v="9779.6"/>
    <n v="9779.6"/>
    <n v="9779.6"/>
  </r>
  <r>
    <s v="51"/>
    <x v="2"/>
    <x v="8"/>
    <s v="FS66P020"/>
    <x v="36"/>
    <s v="A101"/>
    <s v="FORTALECIMIENTO INSTITUCIONAL"/>
    <s v="GC00A10100004D"/>
    <s v="GC00A10100004D REMUNERACION PERSONAL"/>
    <s v="51 GASTOS EN PERSONAL"/>
    <s v="510105 Remuneraciones Unificadas"/>
    <s v="G/510105/1PA101"/>
    <s v="002"/>
    <n v="2051604"/>
    <n v="9500"/>
    <n v="0"/>
    <n v="2061104"/>
    <n v="0"/>
    <n v="1614654"/>
    <n v="1614654"/>
    <n v="446450"/>
    <n v="446450"/>
    <n v="446450"/>
  </r>
  <r>
    <s v="51"/>
    <x v="2"/>
    <x v="11"/>
    <s v="ZV05F050"/>
    <x v="37"/>
    <s v="A101"/>
    <s v="FORTALECIMIENTO INSTITUCIONAL"/>
    <s v="GC00A10100004D"/>
    <s v="GC00A10100004D REMUNERACION PERSONAL"/>
    <s v="51 GASTOS EN PERSONAL"/>
    <s v="510105 Remuneraciones Unificadas"/>
    <s v="G/510105/1FA101"/>
    <s v="002"/>
    <n v="1253772"/>
    <n v="12305"/>
    <n v="0"/>
    <n v="1266077"/>
    <n v="0"/>
    <n v="903533.5"/>
    <n v="903533.49"/>
    <n v="362543.5"/>
    <n v="362543.51"/>
    <n v="362543.5"/>
  </r>
  <r>
    <s v="51"/>
    <x v="2"/>
    <x v="11"/>
    <s v="ZS03F030"/>
    <x v="38"/>
    <s v="A101"/>
    <s v="FORTALECIMIENTO INSTITUCIONAL"/>
    <s v="GC00A10100004D"/>
    <s v="GC00A10100004D REMUNERACION PERSONAL"/>
    <s v="51 GASTOS EN PERSONAL"/>
    <s v="510105 Remuneraciones Unificadas"/>
    <s v="G/510105/1FA101"/>
    <s v="002"/>
    <n v="1192392"/>
    <n v="-7203"/>
    <n v="0"/>
    <n v="1185189"/>
    <n v="0"/>
    <n v="946047.78"/>
    <n v="946047.78"/>
    <n v="239141.22"/>
    <n v="239141.22"/>
    <n v="239141.22"/>
  </r>
  <r>
    <s v="51"/>
    <x v="2"/>
    <x v="11"/>
    <s v="ZQ08F080"/>
    <x v="39"/>
    <s v="A101"/>
    <s v="FORTALECIMIENTO INSTITUCIONAL"/>
    <s v="GC00A10100004D"/>
    <s v="GC00A10100004D REMUNERACION PERSONAL"/>
    <s v="51 GASTOS EN PERSONAL"/>
    <s v="510105 Remuneraciones Unificadas"/>
    <s v="G/510105/1FA101"/>
    <s v="002"/>
    <n v="1014468"/>
    <n v="5074.67"/>
    <n v="0"/>
    <n v="1019542.67"/>
    <n v="0"/>
    <n v="775753.56"/>
    <n v="775753.56"/>
    <n v="243789.11"/>
    <n v="243789.11"/>
    <n v="243789.11"/>
  </r>
  <r>
    <s v="51"/>
    <x v="2"/>
    <x v="11"/>
    <s v="ZN02F020"/>
    <x v="40"/>
    <s v="A101"/>
    <s v="FORTALECIMIENTO INSTITUCIONAL"/>
    <s v="GC00A10100004D"/>
    <s v="GC00A10100004D REMUNERACION PERSONAL"/>
    <s v="51 GASTOS EN PERSONAL"/>
    <s v="510105 Remuneraciones Unificadas"/>
    <s v="G/510105/1FA101"/>
    <s v="002"/>
    <n v="1537008"/>
    <n v="-35122.17"/>
    <n v="0"/>
    <n v="1501885.83"/>
    <n v="0"/>
    <n v="1080195.6200000001"/>
    <n v="1080195.6200000001"/>
    <n v="421690.21"/>
    <n v="421690.21"/>
    <n v="421690.21"/>
  </r>
  <r>
    <s v="51"/>
    <x v="2"/>
    <x v="11"/>
    <s v="ZM04F040"/>
    <x v="41"/>
    <s v="A101"/>
    <s v="FORTALECIMIENTO INSTITUCIONAL"/>
    <s v="GC00A10100004D"/>
    <s v="GC00A10100004D REMUNERACION PERSONAL"/>
    <s v="51 GASTOS EN PERSONAL"/>
    <s v="510105 Remuneraciones Unificadas"/>
    <s v="G/510105/1FA101"/>
    <s v="002"/>
    <n v="1345260"/>
    <n v="-11505"/>
    <n v="0"/>
    <n v="1333755"/>
    <n v="0"/>
    <n v="1029890.82"/>
    <n v="1029890.82"/>
    <n v="303864.18"/>
    <n v="303864.18"/>
    <n v="303864.18"/>
  </r>
  <r>
    <s v="51"/>
    <x v="1"/>
    <x v="2"/>
    <s v="OL41I060"/>
    <x v="42"/>
    <s v="A101"/>
    <s v="FORTALECIMIENTO INSTITUCIONAL"/>
    <s v="GC00A10100004D"/>
    <s v="GC00A10100004D REMUNERACION PERSONAL"/>
    <s v="51 GASTOS EN PERSONAL"/>
    <s v="510105 Remuneraciones Unificadas"/>
    <s v="G/510105/1IA101"/>
    <s v="002"/>
    <n v="118740"/>
    <n v="-8617.3799999999992"/>
    <n v="0"/>
    <n v="110122.62"/>
    <n v="0"/>
    <n v="91260"/>
    <n v="91260"/>
    <n v="18862.62"/>
    <n v="18862.62"/>
    <n v="18862.62"/>
  </r>
  <r>
    <s v="51"/>
    <x v="2"/>
    <x v="11"/>
    <s v="ZD07F070"/>
    <x v="43"/>
    <s v="A101"/>
    <s v="FORTALECIMIENTO INSTITUCIONAL"/>
    <s v="GC00A10100004D"/>
    <s v="GC00A10100004D REMUNERACION PERSONAL"/>
    <s v="51 GASTOS EN PERSONAL"/>
    <s v="510105 Remuneraciones Unificadas"/>
    <s v="G/510105/1FA101"/>
    <s v="002"/>
    <n v="1394112"/>
    <n v="-22736.2"/>
    <n v="0"/>
    <n v="1371375.8"/>
    <n v="0"/>
    <n v="1061085.1000000001"/>
    <n v="1061085.1000000001"/>
    <n v="310290.7"/>
    <n v="310290.7"/>
    <n v="310290.7"/>
  </r>
  <r>
    <s v="51"/>
    <x v="2"/>
    <x v="11"/>
    <s v="ZC09F090"/>
    <x v="44"/>
    <s v="A101"/>
    <s v="FORTALECIMIENTO INSTITUCIONAL"/>
    <s v="GC00A10100004D"/>
    <s v="GC00A10100004D REMUNERACION PERSONAL"/>
    <s v="51 GASTOS EN PERSONAL"/>
    <s v="510105 Remuneraciones Unificadas"/>
    <s v="G/510105/1FA101"/>
    <s v="002"/>
    <n v="838284"/>
    <n v="-13902.74"/>
    <n v="0"/>
    <n v="824381.26"/>
    <n v="0"/>
    <n v="618849.76"/>
    <n v="618249.76"/>
    <n v="205531.5"/>
    <n v="206131.5"/>
    <n v="205531.5"/>
  </r>
  <r>
    <s v="51"/>
    <x v="0"/>
    <x v="0"/>
    <s v="ZA01A000"/>
    <x v="1"/>
    <s v="A101"/>
    <s v="FORTALECIMIENTO INSTITUCIONAL"/>
    <s v="GC00A10100004D"/>
    <s v="GC00A10100004D REMUNERACION PERSONAL"/>
    <s v="51 GASTOS EN PERSONAL"/>
    <s v="510105 Remuneraciones Unificadas"/>
    <s v="G/510105/1AA101"/>
    <s v="002"/>
    <n v="8669544"/>
    <n v="-58849.73"/>
    <n v="0"/>
    <n v="8610694.2699999996"/>
    <n v="0"/>
    <n v="6217170.0899999999"/>
    <n v="6217170.0899999999"/>
    <n v="2393524.1800000002"/>
    <n v="2393524.1800000002"/>
    <n v="2393524.1800000002"/>
  </r>
  <r>
    <s v="51"/>
    <x v="0"/>
    <x v="1"/>
    <s v="ZA01C060"/>
    <x v="45"/>
    <s v="A101"/>
    <s v="FORTALECIMIENTO INSTITUCIONAL"/>
    <s v="GC00A10100004D"/>
    <s v="GC00A10100004D REMUNERACION PERSONAL"/>
    <s v="51 GASTOS EN PERSONAL"/>
    <s v="510105 Remuneraciones Unificadas"/>
    <s v="G/510105/1CA101"/>
    <s v="002"/>
    <n v="381984"/>
    <n v="-4505"/>
    <n v="0"/>
    <n v="377479"/>
    <n v="0"/>
    <n v="175202"/>
    <n v="175202"/>
    <n v="202277"/>
    <n v="202277"/>
    <n v="202277"/>
  </r>
  <r>
    <s v="51"/>
    <x v="0"/>
    <x v="1"/>
    <s v="ZA01C002"/>
    <x v="46"/>
    <s v="A101"/>
    <s v="FORTALECIMIENTO INSTITUCIONAL"/>
    <s v="GC00A10100004D"/>
    <s v="GC00A10100004D REMUNERACION PERSONAL"/>
    <s v="51 GASTOS EN PERSONAL"/>
    <s v="510105 Remuneraciones Unificadas"/>
    <s v="G/510105/1CA101"/>
    <s v="002"/>
    <n v="90924"/>
    <n v="-428.8"/>
    <n v="0"/>
    <n v="90495.2"/>
    <n v="0"/>
    <n v="85830"/>
    <n v="85830"/>
    <n v="4665.2"/>
    <n v="4665.2"/>
    <n v="4665.2"/>
  </r>
  <r>
    <s v="51"/>
    <x v="0"/>
    <x v="0"/>
    <s v="ZA01A000"/>
    <x v="1"/>
    <s v="A101"/>
    <s v="FORTALECIMIENTO INSTITUCIONAL"/>
    <s v="GC00A10100004D"/>
    <s v="GC00A10100004D REMUNERACION PERSONAL"/>
    <s v="51 GASTOS EN PERSONAL"/>
    <s v="510106 Salarios Unificados"/>
    <s v="G/510106/1AA101"/>
    <s v="002"/>
    <n v="762350.88"/>
    <n v="2436.52"/>
    <n v="0"/>
    <n v="764787.4"/>
    <n v="0"/>
    <n v="653647.73"/>
    <n v="653647.73"/>
    <n v="111139.67"/>
    <n v="111139.67"/>
    <n v="111139.67"/>
  </r>
  <r>
    <s v="51"/>
    <x v="1"/>
    <x v="2"/>
    <s v="MB42I090"/>
    <x v="26"/>
    <s v="A101"/>
    <s v="FORTALECIMIENTO INSTITUCIONAL"/>
    <s v="GC00A10100004D"/>
    <s v="GC00A10100004D REMUNERACION PERSONAL"/>
    <s v="51 GASTOS EN PERSONAL"/>
    <s v="510106 Salarios Unificados"/>
    <s v="G/510106/1IA101"/>
    <s v="002"/>
    <n v="32457.72"/>
    <n v="0"/>
    <n v="0"/>
    <n v="32457.72"/>
    <n v="0"/>
    <n v="27048.1"/>
    <n v="27048.1"/>
    <n v="5409.62"/>
    <n v="5409.62"/>
    <n v="5409.62"/>
  </r>
  <r>
    <s v="51"/>
    <x v="2"/>
    <x v="11"/>
    <s v="ZD07F070"/>
    <x v="43"/>
    <s v="A101"/>
    <s v="FORTALECIMIENTO INSTITUCIONAL"/>
    <s v="GC00A10100004D"/>
    <s v="GC00A10100004D REMUNERACION PERSONAL"/>
    <s v="51 GASTOS EN PERSONAL"/>
    <s v="510106 Salarios Unificados"/>
    <s v="G/510106/1FA101"/>
    <s v="002"/>
    <n v="81483.72"/>
    <n v="0"/>
    <n v="0"/>
    <n v="81483.72"/>
    <n v="0"/>
    <n v="61843.4"/>
    <n v="61843.4"/>
    <n v="19640.32"/>
    <n v="19640.32"/>
    <n v="19640.32"/>
  </r>
  <r>
    <s v="51"/>
    <x v="1"/>
    <x v="2"/>
    <s v="OL41I060"/>
    <x v="42"/>
    <s v="A101"/>
    <s v="FORTALECIMIENTO INSTITUCIONAL"/>
    <s v="GC00A10100004D"/>
    <s v="GC00A10100004D REMUNERACION PERSONAL"/>
    <s v="51 GASTOS EN PERSONAL"/>
    <s v="510106 Salarios Unificados"/>
    <s v="G/510106/1IA101"/>
    <s v="002"/>
    <n v="13618.32"/>
    <n v="0"/>
    <n v="0"/>
    <n v="13618.32"/>
    <n v="0"/>
    <n v="11348.6"/>
    <n v="11348.6"/>
    <n v="2269.7199999999998"/>
    <n v="2269.7199999999998"/>
    <n v="2269.7199999999998"/>
  </r>
  <r>
    <s v="51"/>
    <x v="2"/>
    <x v="11"/>
    <s v="ZC09F090"/>
    <x v="44"/>
    <s v="A101"/>
    <s v="FORTALECIMIENTO INSTITUCIONAL"/>
    <s v="GC00A10100004D"/>
    <s v="GC00A10100004D REMUNERACION PERSONAL"/>
    <s v="51 GASTOS EN PERSONAL"/>
    <s v="510106 Salarios Unificados"/>
    <s v="G/510106/1FA101"/>
    <s v="002"/>
    <n v="61002"/>
    <n v="0"/>
    <n v="0"/>
    <n v="61002"/>
    <n v="0"/>
    <n v="50835"/>
    <n v="50835"/>
    <n v="10167"/>
    <n v="10167"/>
    <n v="10167"/>
  </r>
  <r>
    <s v="51"/>
    <x v="2"/>
    <x v="5"/>
    <s v="PM71N010"/>
    <x v="27"/>
    <s v="A101"/>
    <s v="FORTALECIMIENTO INSTITUCIONAL"/>
    <s v="GC00A10100004D"/>
    <s v="GC00A10100004D REMUNERACION PERSONAL"/>
    <s v="51 GASTOS EN PERSONAL"/>
    <s v="510106 Salarios Unificados"/>
    <s v="G/510106/1NA101"/>
    <s v="002"/>
    <n v="37255.919999999998"/>
    <n v="0"/>
    <n v="0"/>
    <n v="37255.919999999998"/>
    <n v="0"/>
    <n v="31046.6"/>
    <n v="31046.6"/>
    <n v="6209.32"/>
    <n v="6209.32"/>
    <n v="6209.32"/>
  </r>
  <r>
    <s v="51"/>
    <x v="1"/>
    <x v="13"/>
    <s v="ZA01G000"/>
    <x v="29"/>
    <s v="A101"/>
    <s v="FORTALECIMIENTO INSTITUCIONAL"/>
    <s v="GC00A10100004D"/>
    <s v="GC00A10100004D REMUNERACION PERSONAL"/>
    <s v="51 GASTOS EN PERSONAL"/>
    <s v="510106 Salarios Unificados"/>
    <s v="G/510106/1GA101"/>
    <s v="002"/>
    <n v="96068.160000000003"/>
    <n v="0"/>
    <n v="0"/>
    <n v="96068.160000000003"/>
    <n v="0"/>
    <n v="76093.38"/>
    <n v="76093.38"/>
    <n v="19974.78"/>
    <n v="19974.78"/>
    <n v="19974.78"/>
  </r>
  <r>
    <s v="51"/>
    <x v="0"/>
    <x v="7"/>
    <s v="ZA01L000"/>
    <x v="14"/>
    <s v="A101"/>
    <s v="FORTALECIMIENTO INSTITUCIONAL"/>
    <s v="GC00A10100004D"/>
    <s v="GC00A10100004D REMUNERACION PERSONAL"/>
    <s v="51 GASTOS EN PERSONAL"/>
    <s v="510106 Salarios Unificados"/>
    <s v="G/510106/1LA101"/>
    <s v="002"/>
    <n v="22068.36"/>
    <n v="0"/>
    <n v="0"/>
    <n v="22068.36"/>
    <n v="0"/>
    <n v="15314.84"/>
    <n v="15314.84"/>
    <n v="6753.52"/>
    <n v="6753.52"/>
    <n v="6753.52"/>
  </r>
  <r>
    <s v="51"/>
    <x v="2"/>
    <x v="6"/>
    <s v="AT69K040"/>
    <x v="13"/>
    <s v="A101"/>
    <s v="FORTALECIMIENTO INSTITUCIONAL"/>
    <s v="GC00A10100004D"/>
    <s v="GC00A10100004D REMUNERACION PERSONAL"/>
    <s v="51 GASTOS EN PERSONAL"/>
    <s v="510106 Salarios Unificados"/>
    <s v="G/510106/1KA101"/>
    <s v="002"/>
    <n v="14515.92"/>
    <n v="0"/>
    <n v="0"/>
    <n v="14515.92"/>
    <n v="0"/>
    <n v="12096.6"/>
    <n v="12096.6"/>
    <n v="2419.3200000000002"/>
    <n v="2419.3200000000002"/>
    <n v="2419.3200000000002"/>
  </r>
  <r>
    <s v="51"/>
    <x v="1"/>
    <x v="2"/>
    <s v="SF43I080"/>
    <x v="35"/>
    <s v="A101"/>
    <s v="FORTALECIMIENTO INSTITUCIONAL"/>
    <s v="GC00A10100004D"/>
    <s v="GC00A10100004D REMUNERACION PERSONAL"/>
    <s v="51 GASTOS EN PERSONAL"/>
    <s v="510106 Salarios Unificados"/>
    <s v="G/510106/1IA101"/>
    <s v="002"/>
    <n v="22239.599999999999"/>
    <n v="0"/>
    <n v="0"/>
    <n v="22239.599999999999"/>
    <n v="0"/>
    <n v="18533"/>
    <n v="18533"/>
    <n v="3706.6"/>
    <n v="3706.6"/>
    <n v="3706.6"/>
  </r>
  <r>
    <s v="51"/>
    <x v="1"/>
    <x v="3"/>
    <s v="US33M030"/>
    <x v="8"/>
    <s v="A101"/>
    <s v="FORTALECIMIENTO INSTITUCIONAL"/>
    <s v="GC00A10100004D"/>
    <s v="GC00A10100004D REMUNERACION PERSONAL"/>
    <s v="51 GASTOS EN PERSONAL"/>
    <s v="510106 Salarios Unificados"/>
    <s v="G/510106/1MA101"/>
    <s v="002"/>
    <n v="158226.23999999999"/>
    <n v="10174.959999999999"/>
    <n v="0"/>
    <n v="168401.2"/>
    <n v="0"/>
    <n v="139315.96"/>
    <n v="139315.96"/>
    <n v="29085.24"/>
    <n v="29085.24"/>
    <n v="29085.24"/>
  </r>
  <r>
    <s v="51"/>
    <x v="1"/>
    <x v="3"/>
    <s v="UN31M010"/>
    <x v="11"/>
    <s v="A101"/>
    <s v="FORTALECIMIENTO INSTITUCIONAL"/>
    <s v="GC00A10100004D"/>
    <s v="GC00A10100004D REMUNERACION PERSONAL"/>
    <s v="51 GASTOS EN PERSONAL"/>
    <s v="510106 Salarios Unificados"/>
    <s v="G/510106/1MA101"/>
    <s v="002"/>
    <n v="151835.4"/>
    <n v="15274.64"/>
    <n v="0"/>
    <n v="167110.04"/>
    <n v="0"/>
    <n v="137143.76999999999"/>
    <n v="137143.76999999999"/>
    <n v="29966.27"/>
    <n v="29966.27"/>
    <n v="29966.27"/>
  </r>
  <r>
    <s v="51"/>
    <x v="1"/>
    <x v="3"/>
    <s v="UC32M020"/>
    <x v="7"/>
    <s v="A101"/>
    <s v="FORTALECIMIENTO INSTITUCIONAL"/>
    <s v="GC00A10100004D"/>
    <s v="GC00A10100004D REMUNERACION PERSONAL"/>
    <s v="51 GASTOS EN PERSONAL"/>
    <s v="510106 Salarios Unificados"/>
    <s v="G/510106/1MA101"/>
    <s v="002"/>
    <n v="114411"/>
    <n v="5670.96"/>
    <n v="0"/>
    <n v="120081.96"/>
    <n v="0"/>
    <n v="94104.71"/>
    <n v="94104.71"/>
    <n v="25977.25"/>
    <n v="25977.25"/>
    <n v="25977.25"/>
  </r>
  <r>
    <s v="51"/>
    <x v="2"/>
    <x v="11"/>
    <s v="ZS03F030"/>
    <x v="38"/>
    <s v="A101"/>
    <s v="FORTALECIMIENTO INSTITUCIONAL"/>
    <s v="GC00A10100004D"/>
    <s v="GC00A10100004D REMUNERACION PERSONAL"/>
    <s v="51 GASTOS EN PERSONAL"/>
    <s v="510106 Salarios Unificados"/>
    <s v="G/510106/1FA101"/>
    <s v="002"/>
    <n v="174833.64"/>
    <n v="0"/>
    <n v="0"/>
    <n v="174833.64"/>
    <n v="0"/>
    <n v="139513.4"/>
    <n v="139513.4"/>
    <n v="35320.239999999998"/>
    <n v="35320.239999999998"/>
    <n v="35320.239999999998"/>
  </r>
  <r>
    <s v="51"/>
    <x v="2"/>
    <x v="11"/>
    <s v="ZT06F060"/>
    <x v="25"/>
    <s v="A101"/>
    <s v="FORTALECIMIENTO INSTITUCIONAL"/>
    <s v="GC00A10100004D"/>
    <s v="GC00A10100004D REMUNERACION PERSONAL"/>
    <s v="51 GASTOS EN PERSONAL"/>
    <s v="510106 Salarios Unificados"/>
    <s v="G/510106/1FA101"/>
    <s v="002"/>
    <n v="177309.12"/>
    <n v="0"/>
    <n v="0"/>
    <n v="177309.12"/>
    <n v="0"/>
    <n v="125962.11"/>
    <n v="125962.11"/>
    <n v="51347.01"/>
    <n v="51347.01"/>
    <n v="51347.01"/>
  </r>
  <r>
    <s v="51"/>
    <x v="0"/>
    <x v="1"/>
    <s v="ZA01C002"/>
    <x v="46"/>
    <s v="A101"/>
    <s v="FORTALECIMIENTO INSTITUCIONAL"/>
    <s v="GC00A10100004D"/>
    <s v="GC00A10100004D REMUNERACION PERSONAL"/>
    <s v="51 GASTOS EN PERSONAL"/>
    <s v="510106 Salarios Unificados"/>
    <s v="G/510106/1CA101"/>
    <s v="002"/>
    <n v="7566.36"/>
    <n v="0"/>
    <n v="0"/>
    <n v="7566.36"/>
    <n v="0"/>
    <n v="6305.3"/>
    <n v="6305.3"/>
    <n v="1261.06"/>
    <n v="1261.06"/>
    <n v="1261.06"/>
  </r>
  <r>
    <s v="51"/>
    <x v="2"/>
    <x v="11"/>
    <s v="ZV05F050"/>
    <x v="37"/>
    <s v="A101"/>
    <s v="FORTALECIMIENTO INSTITUCIONAL"/>
    <s v="GC00A10100004D"/>
    <s v="GC00A10100004D REMUNERACION PERSONAL"/>
    <s v="51 GASTOS EN PERSONAL"/>
    <s v="510106 Salarios Unificados"/>
    <s v="G/510106/1FA101"/>
    <s v="002"/>
    <n v="94303.2"/>
    <n v="0"/>
    <n v="0"/>
    <n v="94303.2"/>
    <n v="0"/>
    <n v="69314.17"/>
    <n v="69314.17"/>
    <n v="24989.03"/>
    <n v="24989.03"/>
    <n v="24989.03"/>
  </r>
  <r>
    <s v="51"/>
    <x v="2"/>
    <x v="11"/>
    <s v="ZQ08F080"/>
    <x v="39"/>
    <s v="A101"/>
    <s v="FORTALECIMIENTO INSTITUCIONAL"/>
    <s v="GC00A10100004D"/>
    <s v="GC00A10100004D REMUNERACION PERSONAL"/>
    <s v="51 GASTOS EN PERSONAL"/>
    <s v="510106 Salarios Unificados"/>
    <s v="G/510106/1FA101"/>
    <s v="002"/>
    <n v="84454.8"/>
    <n v="0"/>
    <n v="0"/>
    <n v="84454.8"/>
    <n v="0"/>
    <n v="65824.960000000006"/>
    <n v="65824.960000000006"/>
    <n v="18629.84"/>
    <n v="18629.84"/>
    <n v="18629.84"/>
  </r>
  <r>
    <s v="51"/>
    <x v="0"/>
    <x v="1"/>
    <s v="ZA01C030"/>
    <x v="3"/>
    <s v="A101"/>
    <s v="FORTALECIMIENTO INSTITUCIONAL"/>
    <s v="GC00A10100004D"/>
    <s v="GC00A10100004D REMUNERACION PERSONAL"/>
    <s v="51 GASTOS EN PERSONAL"/>
    <s v="510106 Salarios Unificados"/>
    <s v="G/510106/1CA101"/>
    <s v="002"/>
    <n v="169828.8"/>
    <n v="0"/>
    <n v="0"/>
    <n v="169828.8"/>
    <n v="0"/>
    <n v="112634.5"/>
    <n v="112634.5"/>
    <n v="57194.3"/>
    <n v="57194.3"/>
    <n v="57194.3"/>
  </r>
  <r>
    <s v="51"/>
    <x v="2"/>
    <x v="10"/>
    <s v="ZA01D000"/>
    <x v="24"/>
    <s v="A101"/>
    <s v="FORTALECIMIENTO INSTITUCIONAL"/>
    <s v="GC00A10100004D"/>
    <s v="GC00A10100004D REMUNERACION PERSONAL"/>
    <s v="51 GASTOS EN PERSONAL"/>
    <s v="510106 Salarios Unificados"/>
    <s v="G/510106/1DA101"/>
    <s v="002"/>
    <n v="28381.200000000001"/>
    <n v="0"/>
    <n v="0"/>
    <n v="28381.200000000001"/>
    <n v="0"/>
    <n v="17312.3"/>
    <n v="17312.3"/>
    <n v="11068.9"/>
    <n v="11068.9"/>
    <n v="11068.9"/>
  </r>
  <r>
    <s v="51"/>
    <x v="0"/>
    <x v="1"/>
    <s v="ZA01C000"/>
    <x v="19"/>
    <s v="A101"/>
    <s v="FORTALECIMIENTO INSTITUCIONAL"/>
    <s v="GC00A10100004D"/>
    <s v="GC00A10100004D REMUNERACION PERSONAL"/>
    <s v="51 GASTOS EN PERSONAL"/>
    <s v="510106 Salarios Unificados"/>
    <s v="G/510106/1CA101"/>
    <s v="002"/>
    <n v="102586.32"/>
    <n v="-2436.52"/>
    <n v="0"/>
    <n v="100149.8"/>
    <n v="0"/>
    <n v="59943.29"/>
    <n v="59943.29"/>
    <n v="40206.51"/>
    <n v="40206.51"/>
    <n v="40206.51"/>
  </r>
  <r>
    <s v="51"/>
    <x v="3"/>
    <x v="15"/>
    <s v="AC67Q000"/>
    <x v="32"/>
    <s v="A101"/>
    <s v="FORTALECIMIENTO INSTITUCIONAL"/>
    <s v="GC00A10100004D"/>
    <s v="GC00A10100004D REMUNERACION PERSONAL"/>
    <s v="51 GASTOS EN PERSONAL"/>
    <s v="510106 Salarios Unificados"/>
    <s v="G/510106/2QA101"/>
    <s v="002"/>
    <n v="254801.88"/>
    <n v="-43382.68"/>
    <n v="0"/>
    <n v="211419.2"/>
    <n v="0"/>
    <n v="176842.34"/>
    <n v="176842.34"/>
    <n v="34576.86"/>
    <n v="34576.86"/>
    <n v="34576.86"/>
  </r>
  <r>
    <s v="51"/>
    <x v="1"/>
    <x v="2"/>
    <s v="CB21I040"/>
    <x v="23"/>
    <s v="A101"/>
    <s v="FORTALECIMIENTO INSTITUCIONAL"/>
    <s v="GC00A10100004D"/>
    <s v="GC00A10100004D REMUNERACION PERSONAL"/>
    <s v="51 GASTOS EN PERSONAL"/>
    <s v="510106 Salarios Unificados"/>
    <s v="G/510106/1IA101"/>
    <s v="002"/>
    <n v="16747.2"/>
    <n v="0"/>
    <n v="0"/>
    <n v="16747.2"/>
    <n v="0"/>
    <n v="13956"/>
    <n v="13956"/>
    <n v="2791.2"/>
    <n v="2791.2"/>
    <n v="2791.2"/>
  </r>
  <r>
    <s v="51"/>
    <x v="1"/>
    <x v="2"/>
    <s v="CF22I050"/>
    <x v="22"/>
    <s v="A101"/>
    <s v="FORTALECIMIENTO INSTITUCIONAL"/>
    <s v="GC00A10100004D"/>
    <s v="GC00A10100004D REMUNERACION PERSONAL"/>
    <s v="51 GASTOS EN PERSONAL"/>
    <s v="510106 Salarios Unificados"/>
    <s v="G/510106/1IA101"/>
    <s v="002"/>
    <n v="58459.92"/>
    <n v="0"/>
    <n v="0"/>
    <n v="58459.92"/>
    <n v="0"/>
    <n v="48716.6"/>
    <n v="48716.6"/>
    <n v="9743.32"/>
    <n v="9743.32"/>
    <n v="9743.32"/>
  </r>
  <r>
    <s v="51"/>
    <x v="1"/>
    <x v="2"/>
    <s v="EE11I010"/>
    <x v="21"/>
    <s v="A101"/>
    <s v="FORTALECIMIENTO INSTITUCIONAL"/>
    <s v="GC00A10100004D"/>
    <s v="GC00A10100004D REMUNERACION PERSONAL"/>
    <s v="51 GASTOS EN PERSONAL"/>
    <s v="510106 Salarios Unificados"/>
    <s v="G/510106/1IA101"/>
    <s v="002"/>
    <n v="29502.6"/>
    <n v="0"/>
    <n v="0"/>
    <n v="29502.6"/>
    <n v="0"/>
    <n v="24585.5"/>
    <n v="24585.5"/>
    <n v="4917.1000000000004"/>
    <n v="4917.1000000000004"/>
    <n v="4917.1000000000004"/>
  </r>
  <r>
    <s v="51"/>
    <x v="1"/>
    <x v="2"/>
    <s v="EQ13I030"/>
    <x v="20"/>
    <s v="A101"/>
    <s v="FORTALECIMIENTO INSTITUCIONAL"/>
    <s v="GC00A10100004D"/>
    <s v="GC00A10100004D REMUNERACION PERSONAL"/>
    <s v="51 GASTOS EN PERSONAL"/>
    <s v="510106 Salarios Unificados"/>
    <s v="G/510106/1IA101"/>
    <s v="002"/>
    <n v="34477.199999999997"/>
    <n v="0"/>
    <n v="0"/>
    <n v="34477.199999999997"/>
    <n v="0"/>
    <n v="28731"/>
    <n v="28731"/>
    <n v="5746.2"/>
    <n v="5746.2"/>
    <n v="5746.2"/>
  </r>
  <r>
    <s v="51"/>
    <x v="2"/>
    <x v="11"/>
    <s v="ZN02F020"/>
    <x v="40"/>
    <s v="A101"/>
    <s v="FORTALECIMIENTO INSTITUCIONAL"/>
    <s v="GC00A10100004D"/>
    <s v="GC00A10100004D REMUNERACION PERSONAL"/>
    <s v="51 GASTOS EN PERSONAL"/>
    <s v="510106 Salarios Unificados"/>
    <s v="G/510106/1FA101"/>
    <s v="002"/>
    <n v="382757.04"/>
    <n v="0"/>
    <n v="0"/>
    <n v="382757.04"/>
    <n v="0"/>
    <n v="315571.24"/>
    <n v="315571.24"/>
    <n v="67185.8"/>
    <n v="67185.8"/>
    <n v="67185.8"/>
  </r>
  <r>
    <s v="51"/>
    <x v="1"/>
    <x v="2"/>
    <s v="ES12I020"/>
    <x v="16"/>
    <s v="A101"/>
    <s v="FORTALECIMIENTO INSTITUCIONAL"/>
    <s v="GC00A10100004D"/>
    <s v="GC00A10100004D REMUNERACION PERSONAL"/>
    <s v="51 GASTOS EN PERSONAL"/>
    <s v="510106 Salarios Unificados"/>
    <s v="G/510106/1IA101"/>
    <s v="002"/>
    <n v="122313.36"/>
    <n v="0"/>
    <n v="0"/>
    <n v="122313.36"/>
    <n v="0"/>
    <n v="79008.850000000006"/>
    <n v="79008.850000000006"/>
    <n v="43304.51"/>
    <n v="43304.51"/>
    <n v="43304.51"/>
  </r>
  <r>
    <s v="51"/>
    <x v="0"/>
    <x v="9"/>
    <s v="ZA01E000"/>
    <x v="18"/>
    <s v="A101"/>
    <s v="FORTALECIMIENTO INSTITUCIONAL"/>
    <s v="GC00A10100004D"/>
    <s v="GC00A10100004D REMUNERACION PERSONAL"/>
    <s v="51 GASTOS EN PERSONAL"/>
    <s v="510106 Salarios Unificados"/>
    <s v="G/510106/1EA101"/>
    <s v="002"/>
    <n v="67482.12"/>
    <n v="0"/>
    <n v="0"/>
    <n v="67482.12"/>
    <n v="0"/>
    <n v="50130.8"/>
    <n v="50130.8"/>
    <n v="17351.32"/>
    <n v="17351.32"/>
    <n v="17351.32"/>
  </r>
  <r>
    <s v="51"/>
    <x v="2"/>
    <x v="11"/>
    <s v="ZM04F040"/>
    <x v="41"/>
    <s v="A101"/>
    <s v="FORTALECIMIENTO INSTITUCIONAL"/>
    <s v="GC00A10100004D"/>
    <s v="GC00A10100004D REMUNERACION PERSONAL"/>
    <s v="51 GASTOS EN PERSONAL"/>
    <s v="510106 Salarios Unificados"/>
    <s v="G/510106/1FA101"/>
    <s v="002"/>
    <n v="127767.24"/>
    <n v="0"/>
    <n v="0"/>
    <n v="127767.24"/>
    <n v="0"/>
    <n v="100035.3"/>
    <n v="100035.3"/>
    <n v="27731.94"/>
    <n v="27731.94"/>
    <n v="27731.94"/>
  </r>
  <r>
    <s v="51"/>
    <x v="1"/>
    <x v="2"/>
    <s v="JM40I070"/>
    <x v="12"/>
    <s v="A101"/>
    <s v="FORTALECIMIENTO INSTITUCIONAL"/>
    <s v="GC00A10100004D"/>
    <s v="GC00A10100004D REMUNERACION PERSONAL"/>
    <s v="51 GASTOS EN PERSONAL"/>
    <s v="510106 Salarios Unificados"/>
    <s v="G/510106/1IA101"/>
    <s v="002"/>
    <n v="6809.16"/>
    <n v="0"/>
    <n v="0"/>
    <n v="6809.16"/>
    <n v="0"/>
    <n v="5674.3"/>
    <n v="5674.3"/>
    <n v="1134.8599999999999"/>
    <n v="1134.8599999999999"/>
    <n v="1134.8599999999999"/>
  </r>
  <r>
    <s v="51"/>
    <x v="1"/>
    <x v="2"/>
    <s v="ZA01I000"/>
    <x v="5"/>
    <s v="A101"/>
    <s v="FORTALECIMIENTO INSTITUCIONAL"/>
    <s v="GC00A10100004D"/>
    <s v="GC00A10100004D REMUNERACION PERSONAL"/>
    <s v="51 GASTOS EN PERSONAL"/>
    <s v="510106 Salarios Unificados"/>
    <s v="G/510106/1IA101"/>
    <s v="002"/>
    <n v="216840.24"/>
    <n v="0"/>
    <n v="0"/>
    <n v="216840.24"/>
    <n v="0"/>
    <n v="170037.97"/>
    <n v="170037.97"/>
    <n v="46802.27"/>
    <n v="46802.27"/>
    <n v="46802.27"/>
  </r>
  <r>
    <s v="51"/>
    <x v="2"/>
    <x v="6"/>
    <s v="ZA01K000"/>
    <x v="17"/>
    <s v="A101"/>
    <s v="FORTALECIMIENTO INSTITUCIONAL"/>
    <s v="GC00A10100004D"/>
    <s v="GC00A10100004D REMUNERACION PERSONAL"/>
    <s v="51 GASTOS EN PERSONAL"/>
    <s v="510106 Salarios Unificados"/>
    <s v="G/510106/1KA101"/>
    <s v="002"/>
    <n v="51510.12"/>
    <n v="0"/>
    <n v="0"/>
    <n v="51510.12"/>
    <n v="0"/>
    <n v="37319.18"/>
    <n v="37319.18"/>
    <n v="14190.94"/>
    <n v="14190.94"/>
    <n v="14190.94"/>
  </r>
  <r>
    <s v="51"/>
    <x v="1"/>
    <x v="3"/>
    <s v="ZA01M000"/>
    <x v="6"/>
    <s v="A101"/>
    <s v="FORTALECIMIENTO INSTITUCIONAL"/>
    <s v="GC00A10100004D"/>
    <s v="GC00A10100004D REMUNERACION PERSONAL"/>
    <s v="51 GASTOS EN PERSONAL"/>
    <s v="510106 Salarios Unificados"/>
    <s v="G/510106/1MA101"/>
    <s v="002"/>
    <n v="44890.2"/>
    <n v="0"/>
    <n v="0"/>
    <n v="44890.2"/>
    <n v="0"/>
    <n v="37456.94"/>
    <n v="37456.94"/>
    <n v="7433.26"/>
    <n v="7433.26"/>
    <n v="7433.26"/>
  </r>
  <r>
    <s v="51"/>
    <x v="2"/>
    <x v="8"/>
    <s v="ZA01P000"/>
    <x v="15"/>
    <s v="A101"/>
    <s v="FORTALECIMIENTO INSTITUCIONAL"/>
    <s v="GC00A10100004D"/>
    <s v="GC00A10100004D REMUNERACION PERSONAL"/>
    <s v="51 GASTOS EN PERSONAL"/>
    <s v="510106 Salarios Unificados"/>
    <s v="G/510106/1PA101"/>
    <s v="002"/>
    <n v="7232.52"/>
    <n v="0"/>
    <n v="0"/>
    <n v="7232.52"/>
    <n v="0"/>
    <n v="6027.1"/>
    <n v="6027.1"/>
    <n v="1205.42"/>
    <n v="1205.42"/>
    <n v="1205.42"/>
  </r>
  <r>
    <s v="51"/>
    <x v="0"/>
    <x v="12"/>
    <s v="MC37B000"/>
    <x v="28"/>
    <s v="A101"/>
    <s v="FORTALECIMIENTO INSTITUCIONAL"/>
    <s v="GC00A10100004D"/>
    <s v="GC00A10100004D REMUNERACION PERSONAL"/>
    <s v="51 GASTOS EN PERSONAL"/>
    <s v="510106 Salarios Unificados"/>
    <s v="G/510106/1BA101"/>
    <s v="002"/>
    <n v="36946.32"/>
    <n v="0"/>
    <n v="0"/>
    <n v="36946.32"/>
    <n v="0"/>
    <n v="30788.6"/>
    <n v="30788.6"/>
    <n v="6157.72"/>
    <n v="6157.72"/>
    <n v="6157.72"/>
  </r>
  <r>
    <s v="51"/>
    <x v="3"/>
    <x v="14"/>
    <s v="ZA01H000"/>
    <x v="30"/>
    <s v="A101"/>
    <s v="FORTALECIMIENTO INSTITUCIONAL"/>
    <s v="GC00A10100004D"/>
    <s v="GC00A10100004D REMUNERACION PERSONAL"/>
    <s v="51 GASTOS EN PERSONAL"/>
    <s v="510106 Salarios Unificados"/>
    <s v="G/510106/1HA101"/>
    <s v="002"/>
    <n v="15016.08"/>
    <n v="-15016.08"/>
    <n v="0"/>
    <n v="0"/>
    <n v="0"/>
    <n v="0"/>
    <n v="0"/>
    <n v="0"/>
    <n v="0"/>
    <n v="0"/>
  </r>
  <r>
    <s v="51"/>
    <x v="2"/>
    <x v="5"/>
    <s v="ZA01N000"/>
    <x v="10"/>
    <s v="A101"/>
    <s v="FORTALECIMIENTO INSTITUCIONAL"/>
    <s v="GC00A10100004D"/>
    <s v="GC00A10100004D REMUNERACION PERSONAL"/>
    <s v="51 GASTOS EN PERSONAL"/>
    <s v="510106 Salarios Unificados"/>
    <s v="G/510106/1NA101"/>
    <s v="002"/>
    <n v="121074.48"/>
    <n v="0"/>
    <n v="0"/>
    <n v="121074.48"/>
    <n v="0"/>
    <n v="100973.71"/>
    <n v="100973.71"/>
    <n v="20100.77"/>
    <n v="20100.77"/>
    <n v="20100.77"/>
  </r>
  <r>
    <s v="51"/>
    <x v="1"/>
    <x v="2"/>
    <s v="CB21I040"/>
    <x v="23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2"/>
    <n v="943105.56"/>
    <n v="-9613.25"/>
    <n v="0"/>
    <n v="933492.31"/>
    <n v="0"/>
    <n v="745839.9"/>
    <n v="745839.9"/>
    <n v="187652.41"/>
    <n v="187652.41"/>
    <n v="187652.41"/>
  </r>
  <r>
    <s v="51"/>
    <x v="1"/>
    <x v="2"/>
    <s v="EE11I010"/>
    <x v="21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2"/>
    <n v="1646892"/>
    <n v="-9609.42"/>
    <n v="0"/>
    <n v="1637282.58"/>
    <n v="0"/>
    <n v="1300382"/>
    <n v="1300382"/>
    <n v="336900.58"/>
    <n v="336900.58"/>
    <n v="336900.58"/>
  </r>
  <r>
    <s v="51"/>
    <x v="1"/>
    <x v="2"/>
    <s v="JM40I070"/>
    <x v="12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2"/>
    <n v="765312"/>
    <n v="-2100"/>
    <n v="0"/>
    <n v="763212"/>
    <n v="0"/>
    <n v="724911.57"/>
    <n v="724911.57"/>
    <n v="38300.43"/>
    <n v="38300.43"/>
    <n v="38300.43"/>
  </r>
  <r>
    <s v="51"/>
    <x v="1"/>
    <x v="2"/>
    <s v="MB42I090"/>
    <x v="26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2"/>
    <n v="1003428"/>
    <n v="-7503.97"/>
    <n v="0"/>
    <n v="995924.03"/>
    <n v="0"/>
    <n v="830868.06"/>
    <n v="830868.06"/>
    <n v="165055.97"/>
    <n v="165055.97"/>
    <n v="165055.97"/>
  </r>
  <r>
    <s v="51"/>
    <x v="1"/>
    <x v="2"/>
    <s v="SF43I080"/>
    <x v="35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2"/>
    <n v="829608"/>
    <n v="0"/>
    <n v="0"/>
    <n v="829608"/>
    <n v="0"/>
    <n v="654608"/>
    <n v="654608"/>
    <n v="175000"/>
    <n v="175000"/>
    <n v="175000"/>
  </r>
  <r>
    <s v="51"/>
    <x v="1"/>
    <x v="2"/>
    <s v="ES12I020"/>
    <x v="16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2"/>
    <n v="1847772"/>
    <n v="-454"/>
    <n v="0"/>
    <n v="1847318"/>
    <n v="0"/>
    <n v="1467443.14"/>
    <n v="1467443.14"/>
    <n v="379874.86"/>
    <n v="379874.86"/>
    <n v="379874.86"/>
  </r>
  <r>
    <s v="51"/>
    <x v="1"/>
    <x v="2"/>
    <s v="ZA01I000"/>
    <x v="5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2"/>
    <n v="4008084"/>
    <n v="-1352537.86"/>
    <n v="0"/>
    <n v="2655546.14"/>
    <n v="0"/>
    <n v="1955869.23"/>
    <n v="1955869.23"/>
    <n v="699676.91"/>
    <n v="699676.91"/>
    <n v="699676.91"/>
  </r>
  <r>
    <s v="51"/>
    <x v="1"/>
    <x v="2"/>
    <s v="CF22I050"/>
    <x v="22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2"/>
    <n v="1008876"/>
    <n v="-14261.42"/>
    <n v="0"/>
    <n v="994614.58"/>
    <n v="0"/>
    <n v="785790.77"/>
    <n v="785790.77"/>
    <n v="208823.81"/>
    <n v="208823.81"/>
    <n v="208823.81"/>
  </r>
  <r>
    <s v="51"/>
    <x v="1"/>
    <x v="2"/>
    <s v="OL41I060"/>
    <x v="42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2"/>
    <n v="662100"/>
    <n v="0"/>
    <n v="0"/>
    <n v="662100"/>
    <n v="0"/>
    <n v="539612.87"/>
    <n v="539612.87"/>
    <n v="122487.13"/>
    <n v="122487.13"/>
    <n v="122487.13"/>
  </r>
  <r>
    <s v="51"/>
    <x v="1"/>
    <x v="2"/>
    <s v="EQ13I030"/>
    <x v="20"/>
    <s v="A101"/>
    <s v="FORTALECIMIENTO INSTITUCIONAL"/>
    <s v="GC00A10100004D"/>
    <s v="GC00A10100004D REMUNERACION PERSONAL"/>
    <s v="51 GASTOS EN PERSONAL"/>
    <s v="510108 Remuneración Mensual Unificada de Docentes"/>
    <s v="G/510108/1IA101"/>
    <s v="002"/>
    <n v="957708.48"/>
    <n v="0"/>
    <n v="0"/>
    <n v="957708.48"/>
    <n v="0"/>
    <n v="770280.57"/>
    <n v="770280.57"/>
    <n v="187427.91"/>
    <n v="187427.91"/>
    <n v="187427.91"/>
  </r>
  <r>
    <s v="51"/>
    <x v="0"/>
    <x v="9"/>
    <s v="ZA01E000"/>
    <x v="18"/>
    <s v="A101"/>
    <s v="FORTALECIMIENTO INSTITUCIONAL"/>
    <s v="GC00A10100004D"/>
    <s v="GC00A10100004D REMUNERACION PERSONAL"/>
    <s v="51 GASTOS EN PERSONAL"/>
    <s v="510203 Decimotercer Sueldo"/>
    <s v="G/510203/1EA101"/>
    <s v="002"/>
    <n v="106712.51"/>
    <n v="-724.67"/>
    <n v="0"/>
    <n v="105987.84"/>
    <n v="30617.25"/>
    <n v="9155.4500000000007"/>
    <n v="9155.4500000000007"/>
    <n v="96832.39"/>
    <n v="96832.39"/>
    <n v="66215.14"/>
  </r>
  <r>
    <s v="51"/>
    <x v="1"/>
    <x v="3"/>
    <s v="US33M030"/>
    <x v="8"/>
    <s v="A101"/>
    <s v="FORTALECIMIENTO INSTITUCIONAL"/>
    <s v="GC00A10100004D"/>
    <s v="GC00A10100004D REMUNERACION PERSONAL"/>
    <s v="51 GASTOS EN PERSONAL"/>
    <s v="510203 Decimotercer Sueldo"/>
    <s v="G/510203/1MA101"/>
    <s v="002"/>
    <n v="300907.52000000002"/>
    <n v="12070.08"/>
    <n v="0"/>
    <n v="312977.59999999998"/>
    <n v="26124.720000000001"/>
    <n v="21262.68"/>
    <n v="21262.68"/>
    <n v="291714.92"/>
    <n v="291714.92"/>
    <n v="265590.2"/>
  </r>
  <r>
    <s v="51"/>
    <x v="2"/>
    <x v="11"/>
    <s v="ZQ08F080"/>
    <x v="39"/>
    <s v="A101"/>
    <s v="FORTALECIMIENTO INSTITUCIONAL"/>
    <s v="GC00A10100004D"/>
    <s v="GC00A10100004D REMUNERACION PERSONAL"/>
    <s v="51 GASTOS EN PERSONAL"/>
    <s v="510203 Decimotercer Sueldo"/>
    <s v="G/510203/1FA101"/>
    <s v="002"/>
    <n v="91576.9"/>
    <n v="838.33"/>
    <n v="0"/>
    <n v="92415.23"/>
    <n v="0"/>
    <n v="12008.56"/>
    <n v="12008.56"/>
    <n v="80406.67"/>
    <n v="80406.67"/>
    <n v="80406.67"/>
  </r>
  <r>
    <s v="51"/>
    <x v="0"/>
    <x v="1"/>
    <s v="ZA01C060"/>
    <x v="45"/>
    <s v="A101"/>
    <s v="FORTALECIMIENTO INSTITUCIONAL"/>
    <s v="GC00A10100004D"/>
    <s v="GC00A10100004D REMUNERACION PERSONAL"/>
    <s v="51 GASTOS EN PERSONAL"/>
    <s v="510203 Decimotercer Sueldo"/>
    <s v="G/510203/1CA101"/>
    <s v="002"/>
    <n v="32506"/>
    <n v="0"/>
    <n v="0"/>
    <n v="32506"/>
    <n v="674"/>
    <n v="3857.05"/>
    <n v="3857.05"/>
    <n v="28648.95"/>
    <n v="28648.95"/>
    <n v="27974.95"/>
  </r>
  <r>
    <s v="51"/>
    <x v="1"/>
    <x v="2"/>
    <s v="JM40I070"/>
    <x v="12"/>
    <s v="A101"/>
    <s v="FORTALECIMIENTO INSTITUCIONAL"/>
    <s v="GC00A10100004D"/>
    <s v="GC00A10100004D REMUNERACION PERSONAL"/>
    <s v="51 GASTOS EN PERSONAL"/>
    <s v="510203 Decimotercer Sueldo"/>
    <s v="G/510203/1IA101"/>
    <s v="002"/>
    <n v="70207.429999999993"/>
    <n v="0"/>
    <n v="0"/>
    <n v="70207.429999999993"/>
    <n v="0"/>
    <n v="7883.82"/>
    <n v="7883.82"/>
    <n v="62323.61"/>
    <n v="62323.61"/>
    <n v="62323.61"/>
  </r>
  <r>
    <s v="51"/>
    <x v="1"/>
    <x v="2"/>
    <s v="ZA01I000"/>
    <x v="5"/>
    <s v="A101"/>
    <s v="FORTALECIMIENTO INSTITUCIONAL"/>
    <s v="GC00A10100004D"/>
    <s v="GC00A10100004D REMUNERACION PERSONAL"/>
    <s v="51 GASTOS EN PERSONAL"/>
    <s v="510203 Decimotercer Sueldo"/>
    <s v="G/510203/1IA101"/>
    <s v="001"/>
    <n v="0"/>
    <n v="7761.5"/>
    <n v="0"/>
    <n v="7761.5"/>
    <n v="7235.01"/>
    <n v="526.49"/>
    <n v="526.49"/>
    <n v="7235.01"/>
    <n v="7235.01"/>
    <n v="0"/>
  </r>
  <r>
    <s v="51"/>
    <x v="2"/>
    <x v="11"/>
    <s v="ZS03F030"/>
    <x v="38"/>
    <s v="A101"/>
    <s v="FORTALECIMIENTO INSTITUCIONAL"/>
    <s v="GC00A10100004D"/>
    <s v="GC00A10100004D REMUNERACION PERSONAL"/>
    <s v="51 GASTOS EN PERSONAL"/>
    <s v="510203 Decimotercer Sueldo"/>
    <s v="G/510203/1FA101"/>
    <s v="002"/>
    <n v="113935.47"/>
    <n v="0"/>
    <n v="0"/>
    <n v="113935.47"/>
    <n v="435"/>
    <n v="10321.25"/>
    <n v="10321.25"/>
    <n v="103614.22"/>
    <n v="103614.22"/>
    <n v="103179.22"/>
  </r>
  <r>
    <s v="51"/>
    <x v="2"/>
    <x v="11"/>
    <s v="RB34F010"/>
    <x v="33"/>
    <s v="A101"/>
    <s v="FORTALECIMIENTO INSTITUCIONAL"/>
    <s v="GC00A10100004D"/>
    <s v="GC00A10100004D REMUNERACION PERSONAL"/>
    <s v="51 GASTOS EN PERSONAL"/>
    <s v="510203 Decimotercer Sueldo"/>
    <s v="G/510203/1FA101"/>
    <s v="002"/>
    <n v="39013"/>
    <n v="-306"/>
    <n v="0"/>
    <n v="38707"/>
    <n v="2500"/>
    <n v="9019.31"/>
    <n v="9019.31"/>
    <n v="29687.69"/>
    <n v="29687.69"/>
    <n v="27187.69"/>
  </r>
  <r>
    <s v="51"/>
    <x v="1"/>
    <x v="3"/>
    <s v="UN31M010"/>
    <x v="11"/>
    <s v="A101"/>
    <s v="FORTALECIMIENTO INSTITUCIONAL"/>
    <s v="GC00A10100004D"/>
    <s v="GC00A10100004D REMUNERACION PERSONAL"/>
    <s v="51 GASTOS EN PERSONAL"/>
    <s v="510203 Decimotercer Sueldo"/>
    <s v="G/510203/1MA101"/>
    <s v="002"/>
    <n v="208670.95"/>
    <n v="-4490.1099999999997"/>
    <n v="0"/>
    <n v="204180.84"/>
    <n v="23566.36"/>
    <n v="32697.02"/>
    <n v="32171.439999999999"/>
    <n v="171483.82"/>
    <n v="172009.4"/>
    <n v="147917.46"/>
  </r>
  <r>
    <s v="51"/>
    <x v="0"/>
    <x v="0"/>
    <s v="ZA01A000"/>
    <x v="1"/>
    <s v="A101"/>
    <s v="FORTALECIMIENTO INSTITUCIONAL"/>
    <s v="GC00A10100004D"/>
    <s v="GC00A10100004D REMUNERACION PERSONAL"/>
    <s v="51 GASTOS EN PERSONAL"/>
    <s v="510203 Decimotercer Sueldo"/>
    <s v="G/510203/1AA101"/>
    <s v="002"/>
    <n v="877696.24"/>
    <n v="7234.49"/>
    <n v="0"/>
    <n v="884930.73"/>
    <n v="68438.78"/>
    <n v="122545.53"/>
    <n v="122545.53"/>
    <n v="762385.2"/>
    <n v="762385.2"/>
    <n v="693946.42"/>
  </r>
  <r>
    <s v="51"/>
    <x v="1"/>
    <x v="2"/>
    <s v="OL41I060"/>
    <x v="42"/>
    <s v="A101"/>
    <s v="FORTALECIMIENTO INSTITUCIONAL"/>
    <s v="GC00A10100004D"/>
    <s v="GC00A10100004D REMUNERACION PERSONAL"/>
    <s v="51 GASTOS EN PERSONAL"/>
    <s v="510203 Decimotercer Sueldo"/>
    <s v="G/510203/1IA101"/>
    <s v="002"/>
    <n v="66204.86"/>
    <n v="-506.89"/>
    <n v="0"/>
    <n v="65697.97"/>
    <n v="0"/>
    <n v="3440.09"/>
    <n v="3440.09"/>
    <n v="62257.88"/>
    <n v="62257.88"/>
    <n v="62257.88"/>
  </r>
  <r>
    <s v="51"/>
    <x v="2"/>
    <x v="11"/>
    <s v="ZT06F060"/>
    <x v="25"/>
    <s v="A101"/>
    <s v="FORTALECIMIENTO INSTITUCIONAL"/>
    <s v="GC00A10100004D"/>
    <s v="GC00A10100004D REMUNERACION PERSONAL"/>
    <s v="51 GASTOS EN PERSONAL"/>
    <s v="510203 Decimotercer Sueldo"/>
    <s v="G/510203/1FA101"/>
    <s v="002"/>
    <n v="102972.76"/>
    <n v="0"/>
    <n v="0"/>
    <n v="102972.76"/>
    <n v="916"/>
    <n v="6964.49"/>
    <n v="6964.49"/>
    <n v="96008.27"/>
    <n v="96008.27"/>
    <n v="95092.27"/>
  </r>
  <r>
    <s v="51"/>
    <x v="2"/>
    <x v="6"/>
    <s v="AT69K040"/>
    <x v="13"/>
    <s v="A101"/>
    <s v="FORTALECIMIENTO INSTITUCIONAL"/>
    <s v="GC00A10100004D"/>
    <s v="GC00A10100004D REMUNERACION PERSONAL"/>
    <s v="51 GASTOS EN PERSONAL"/>
    <s v="510203 Decimotercer Sueldo"/>
    <s v="G/510203/1KA101"/>
    <s v="002"/>
    <n v="2342671.66"/>
    <n v="-119573.19"/>
    <n v="0"/>
    <n v="2223098.4700000002"/>
    <n v="11074.24"/>
    <n v="194750.16"/>
    <n v="194750.16"/>
    <n v="2028348.31"/>
    <n v="2028348.31"/>
    <n v="2017274.07"/>
  </r>
  <r>
    <s v="51"/>
    <x v="1"/>
    <x v="2"/>
    <s v="ZA01I000"/>
    <x v="5"/>
    <s v="A101"/>
    <s v="FORTALECIMIENTO INSTITUCIONAL"/>
    <s v="GC00A10100004D"/>
    <s v="GC00A10100004D REMUNERACION PERSONAL"/>
    <s v="51 GASTOS EN PERSONAL"/>
    <s v="510203 Decimotercer Sueldo"/>
    <s v="G/510203/1IA101"/>
    <s v="002"/>
    <n v="488627.02"/>
    <n v="-91036.52"/>
    <n v="0"/>
    <n v="397590.5"/>
    <n v="46682.62"/>
    <n v="34766.81"/>
    <n v="34766.81"/>
    <n v="362823.69"/>
    <n v="362823.69"/>
    <n v="316141.07"/>
  </r>
  <r>
    <s v="51"/>
    <x v="2"/>
    <x v="11"/>
    <s v="ZC09F090"/>
    <x v="44"/>
    <s v="A101"/>
    <s v="FORTALECIMIENTO INSTITUCIONAL"/>
    <s v="GC00A10100004D"/>
    <s v="GC00A10100004D REMUNERACION PERSONAL"/>
    <s v="51 GASTOS EN PERSONAL"/>
    <s v="510203 Decimotercer Sueldo"/>
    <s v="G/510203/1FA101"/>
    <s v="002"/>
    <n v="75757.5"/>
    <n v="-153"/>
    <n v="0"/>
    <n v="75604.5"/>
    <n v="1175.08"/>
    <n v="12150.16"/>
    <n v="11225.16"/>
    <n v="63454.34"/>
    <n v="64379.34"/>
    <n v="62279.26"/>
  </r>
  <r>
    <s v="51"/>
    <x v="0"/>
    <x v="1"/>
    <s v="ZA01C000"/>
    <x v="19"/>
    <s v="A101"/>
    <s v="FORTALECIMIENTO INSTITUCIONAL"/>
    <s v="GC00A10100004D"/>
    <s v="GC00A10100004D REMUNERACION PERSONAL"/>
    <s v="51 GASTOS EN PERSONAL"/>
    <s v="510203 Decimotercer Sueldo"/>
    <s v="G/510203/1CA101"/>
    <s v="002"/>
    <n v="251329.86"/>
    <n v="1287.96"/>
    <n v="0"/>
    <n v="252617.82"/>
    <n v="39937.9"/>
    <n v="39763.61"/>
    <n v="39763.61"/>
    <n v="212854.21"/>
    <n v="212854.21"/>
    <n v="172916.31"/>
  </r>
  <r>
    <s v="51"/>
    <x v="0"/>
    <x v="1"/>
    <s v="ZA01C030"/>
    <x v="3"/>
    <s v="A101"/>
    <s v="FORTALECIMIENTO INSTITUCIONAL"/>
    <s v="GC00A10100004D"/>
    <s v="GC00A10100004D REMUNERACION PERSONAL"/>
    <s v="51 GASTOS EN PERSONAL"/>
    <s v="510203 Decimotercer Sueldo"/>
    <s v="G/510203/1CA101"/>
    <s v="002"/>
    <n v="331608.03999999998"/>
    <n v="-112"/>
    <n v="0"/>
    <n v="331496.03999999998"/>
    <n v="58579.58"/>
    <n v="47636.97"/>
    <n v="47636.97"/>
    <n v="283859.07"/>
    <n v="283859.07"/>
    <n v="225279.49"/>
  </r>
  <r>
    <s v="51"/>
    <x v="3"/>
    <x v="15"/>
    <s v="AC67Q000"/>
    <x v="32"/>
    <s v="A101"/>
    <s v="FORTALECIMIENTO INSTITUCIONAL"/>
    <s v="GC00A10100004D"/>
    <s v="GC00A10100004D REMUNERACION PERSONAL"/>
    <s v="51 GASTOS EN PERSONAL"/>
    <s v="510203 Decimotercer Sueldo"/>
    <s v="G/510203/2QA101"/>
    <s v="002"/>
    <n v="132557.49"/>
    <n v="6484.53"/>
    <n v="0"/>
    <n v="139042.01999999999"/>
    <n v="3617.78"/>
    <n v="21003.53"/>
    <n v="21003.53"/>
    <n v="118038.49"/>
    <n v="118038.49"/>
    <n v="114420.71"/>
  </r>
  <r>
    <s v="51"/>
    <x v="2"/>
    <x v="11"/>
    <s v="ZA01F000"/>
    <x v="31"/>
    <s v="A101"/>
    <s v="FORTALECIMIENTO INSTITUCIONAL"/>
    <s v="GC00A10100004D"/>
    <s v="GC00A10100004D REMUNERACION PERSONAL"/>
    <s v="51 GASTOS EN PERSONAL"/>
    <s v="510203 Decimotercer Sueldo"/>
    <s v="G/510203/1FA101"/>
    <s v="002"/>
    <n v="59379"/>
    <n v="306"/>
    <n v="0"/>
    <n v="59685"/>
    <n v="13825.61"/>
    <n v="11340.06"/>
    <n v="11340.06"/>
    <n v="48344.94"/>
    <n v="48344.94"/>
    <n v="34519.33"/>
  </r>
  <r>
    <s v="51"/>
    <x v="1"/>
    <x v="4"/>
    <s v="ZA01J000"/>
    <x v="9"/>
    <s v="A101"/>
    <s v="FORTALECIMIENTO INSTITUCIONAL"/>
    <s v="GC00A10100004D"/>
    <s v="GC00A10100004D REMUNERACION PERSONAL"/>
    <s v="51 GASTOS EN PERSONAL"/>
    <s v="510203 Decimotercer Sueldo"/>
    <s v="G/510203/1JA101"/>
    <s v="002"/>
    <n v="59289"/>
    <n v="22913"/>
    <n v="0"/>
    <n v="82202"/>
    <n v="6112.5"/>
    <n v="10700.79"/>
    <n v="10700.79"/>
    <n v="71501.210000000006"/>
    <n v="71501.210000000006"/>
    <n v="65388.71"/>
  </r>
  <r>
    <s v="51"/>
    <x v="1"/>
    <x v="2"/>
    <s v="CB21I040"/>
    <x v="23"/>
    <s v="A101"/>
    <s v="FORTALECIMIENTO INSTITUCIONAL"/>
    <s v="GC00A10100004D"/>
    <s v="GC00A10100004D REMUNERACION PERSONAL"/>
    <s v="51 GASTOS EN PERSONAL"/>
    <s v="510203 Decimotercer Sueldo"/>
    <s v="G/510203/1IA101"/>
    <s v="002"/>
    <n v="97625.73"/>
    <n v="-800.78"/>
    <n v="0"/>
    <n v="96824.95"/>
    <n v="0"/>
    <n v="4257.3999999999996"/>
    <n v="4257.3999999999996"/>
    <n v="92567.55"/>
    <n v="92567.55"/>
    <n v="92567.55"/>
  </r>
  <r>
    <s v="51"/>
    <x v="2"/>
    <x v="10"/>
    <s v="ZA01D000"/>
    <x v="24"/>
    <s v="A101"/>
    <s v="FORTALECIMIENTO INSTITUCIONAL"/>
    <s v="GC00A10100004D"/>
    <s v="GC00A10100004D REMUNERACION PERSONAL"/>
    <s v="51 GASTOS EN PERSONAL"/>
    <s v="510203 Decimotercer Sueldo"/>
    <s v="G/510203/1DA101"/>
    <s v="002"/>
    <n v="105537.1"/>
    <n v="-191"/>
    <n v="0"/>
    <n v="105346.1"/>
    <n v="396.1"/>
    <n v="23385.9"/>
    <n v="23385.9"/>
    <n v="81960.2"/>
    <n v="81960.2"/>
    <n v="81564.100000000006"/>
  </r>
  <r>
    <s v="51"/>
    <x v="1"/>
    <x v="13"/>
    <s v="ZA01G000"/>
    <x v="29"/>
    <s v="A101"/>
    <s v="FORTALECIMIENTO INSTITUCIONAL"/>
    <s v="GC00A10100004D"/>
    <s v="GC00A10100004D REMUNERACION PERSONAL"/>
    <s v="51 GASTOS EN PERSONAL"/>
    <s v="510203 Decimotercer Sueldo"/>
    <s v="G/510203/1GA101"/>
    <s v="002"/>
    <n v="230143.68"/>
    <n v="899.83"/>
    <n v="0"/>
    <n v="231043.51"/>
    <n v="8485.82"/>
    <n v="29025.25"/>
    <n v="28413.25"/>
    <n v="202018.26"/>
    <n v="202630.26"/>
    <n v="193532.44"/>
  </r>
  <r>
    <s v="51"/>
    <x v="2"/>
    <x v="8"/>
    <s v="FS66P020"/>
    <x v="36"/>
    <s v="A101"/>
    <s v="FORTALECIMIENTO INSTITUCIONAL"/>
    <s v="GC00A10100004D"/>
    <s v="GC00A10100004D REMUNERACION PERSONAL"/>
    <s v="51 GASTOS EN PERSONAL"/>
    <s v="510203 Decimotercer Sueldo"/>
    <s v="G/510203/1PA101"/>
    <s v="002"/>
    <n v="182536"/>
    <n v="-5236"/>
    <n v="0"/>
    <n v="177300"/>
    <n v="3533.04"/>
    <n v="46687.69"/>
    <n v="46687.69"/>
    <n v="130612.31"/>
    <n v="130612.31"/>
    <n v="127079.27"/>
  </r>
  <r>
    <s v="51"/>
    <x v="1"/>
    <x v="2"/>
    <s v="CF22I050"/>
    <x v="22"/>
    <s v="A101"/>
    <s v="FORTALECIMIENTO INSTITUCIONAL"/>
    <s v="GC00A10100004D"/>
    <s v="GC00A10100004D REMUNERACION PERSONAL"/>
    <s v="51 GASTOS EN PERSONAL"/>
    <s v="510203 Decimotercer Sueldo"/>
    <s v="G/510203/1IA101"/>
    <s v="002"/>
    <n v="108972.66"/>
    <n v="-800.78"/>
    <n v="0"/>
    <n v="108171.88"/>
    <n v="0"/>
    <n v="17031.560000000001"/>
    <n v="17031.560000000001"/>
    <n v="91140.32"/>
    <n v="91140.32"/>
    <n v="91140.32"/>
  </r>
  <r>
    <s v="51"/>
    <x v="1"/>
    <x v="3"/>
    <s v="ZA01M000"/>
    <x v="6"/>
    <s v="A101"/>
    <s v="FORTALECIMIENTO INSTITUCIONAL"/>
    <s v="GC00A10100004D"/>
    <s v="GC00A10100004D REMUNERACION PERSONAL"/>
    <s v="51 GASTOS EN PERSONAL"/>
    <s v="510203 Decimotercer Sueldo"/>
    <s v="G/510203/1MA101"/>
    <s v="002"/>
    <n v="123336.13"/>
    <n v="-11117.99"/>
    <n v="0"/>
    <n v="112218.14"/>
    <n v="36072.54"/>
    <n v="18038.18"/>
    <n v="18038.18"/>
    <n v="94179.96"/>
    <n v="94179.96"/>
    <n v="58107.42"/>
  </r>
  <r>
    <s v="51"/>
    <x v="2"/>
    <x v="11"/>
    <s v="ZD07F070"/>
    <x v="43"/>
    <s v="A101"/>
    <s v="FORTALECIMIENTO INSTITUCIONAL"/>
    <s v="GC00A10100004D"/>
    <s v="GC00A10100004D REMUNERACION PERSONAL"/>
    <s v="51 GASTOS EN PERSONAL"/>
    <s v="510203 Decimotercer Sueldo"/>
    <s v="G/510203/1FA101"/>
    <s v="002"/>
    <n v="122966.31"/>
    <n v="-535.5"/>
    <n v="0"/>
    <n v="122430.81"/>
    <n v="1206.5"/>
    <n v="15811.6"/>
    <n v="15811.6"/>
    <n v="106619.21"/>
    <n v="106619.21"/>
    <n v="105412.71"/>
  </r>
  <r>
    <s v="51"/>
    <x v="2"/>
    <x v="5"/>
    <s v="ZA01N000"/>
    <x v="10"/>
    <s v="A101"/>
    <s v="FORTALECIMIENTO INSTITUCIONAL"/>
    <s v="GC00A10100004D"/>
    <s v="GC00A10100004D REMUNERACION PERSONAL"/>
    <s v="51 GASTOS EN PERSONAL"/>
    <s v="510203 Decimotercer Sueldo"/>
    <s v="G/510203/1NA101"/>
    <s v="002"/>
    <n v="285517.53999999998"/>
    <n v="-23110.33"/>
    <n v="0"/>
    <n v="262407.21000000002"/>
    <n v="24287.599999999999"/>
    <n v="41125.370000000003"/>
    <n v="41125.370000000003"/>
    <n v="221281.84"/>
    <n v="221281.84"/>
    <n v="196994.24"/>
  </r>
  <r>
    <s v="51"/>
    <x v="0"/>
    <x v="1"/>
    <s v="ZA01C002"/>
    <x v="46"/>
    <s v="A101"/>
    <s v="FORTALECIMIENTO INSTITUCIONAL"/>
    <s v="GC00A10100004D"/>
    <s v="GC00A10100004D REMUNERACION PERSONAL"/>
    <s v="51 GASTOS EN PERSONAL"/>
    <s v="510203 Decimotercer Sueldo"/>
    <s v="G/510203/1CA101"/>
    <s v="002"/>
    <n v="11713.53"/>
    <n v="2500"/>
    <n v="0"/>
    <n v="14213.53"/>
    <n v="1048.6199999999999"/>
    <n v="7457.38"/>
    <n v="7457.38"/>
    <n v="6756.15"/>
    <n v="6756.15"/>
    <n v="5707.53"/>
  </r>
  <r>
    <s v="51"/>
    <x v="2"/>
    <x v="11"/>
    <s v="ZM04F040"/>
    <x v="41"/>
    <s v="A101"/>
    <s v="FORTALECIMIENTO INSTITUCIONAL"/>
    <s v="GC00A10100004D"/>
    <s v="GC00A10100004D REMUNERACION PERSONAL"/>
    <s v="51 GASTOS EN PERSONAL"/>
    <s v="510203 Decimotercer Sueldo"/>
    <s v="G/510203/1FA101"/>
    <s v="002"/>
    <n v="124295.27"/>
    <n v="0"/>
    <n v="0"/>
    <n v="124295.27"/>
    <n v="807.31"/>
    <n v="14531.35"/>
    <n v="14531.35"/>
    <n v="109763.92"/>
    <n v="109763.92"/>
    <n v="108956.61"/>
  </r>
  <r>
    <s v="51"/>
    <x v="2"/>
    <x v="6"/>
    <s v="ZA01K000"/>
    <x v="17"/>
    <s v="A101"/>
    <s v="FORTALECIMIENTO INSTITUCIONAL"/>
    <s v="GC00A10100004D"/>
    <s v="GC00A10100004D REMUNERACION PERSONAL"/>
    <s v="51 GASTOS EN PERSONAL"/>
    <s v="510203 Decimotercer Sueldo"/>
    <s v="G/510203/1KA101"/>
    <s v="002"/>
    <n v="124580.63"/>
    <n v="0"/>
    <n v="0"/>
    <n v="124580.63"/>
    <n v="6315.07"/>
    <n v="32093.22"/>
    <n v="31668.22"/>
    <n v="92487.41"/>
    <n v="92912.41"/>
    <n v="86172.34"/>
  </r>
  <r>
    <s v="51"/>
    <x v="1"/>
    <x v="2"/>
    <s v="MB42I090"/>
    <x v="26"/>
    <s v="A101"/>
    <s v="FORTALECIMIENTO INSTITUCIONAL"/>
    <s v="GC00A10100004D"/>
    <s v="GC00A10100004D REMUNERACION PERSONAL"/>
    <s v="51 GASTOS EN PERSONAL"/>
    <s v="510203 Decimotercer Sueldo"/>
    <s v="G/510203/1IA101"/>
    <s v="002"/>
    <n v="96405.81"/>
    <n v="-625.33000000000004"/>
    <n v="0"/>
    <n v="95780.479999999996"/>
    <n v="0"/>
    <n v="11915.96"/>
    <n v="11915.96"/>
    <n v="83864.52"/>
    <n v="83864.52"/>
    <n v="83864.52"/>
  </r>
  <r>
    <s v="51"/>
    <x v="1"/>
    <x v="2"/>
    <s v="JM40I070"/>
    <x v="12"/>
    <s v="A101"/>
    <s v="FORTALECIMIENTO INSTITUCIONAL"/>
    <s v="GC00A10100004D"/>
    <s v="GC00A10100004D REMUNERACION PERSONAL"/>
    <s v="51 GASTOS EN PERSONAL"/>
    <s v="510203 Decimotercer Sueldo"/>
    <s v="G/510203/1IA101"/>
    <s v="001"/>
    <n v="0"/>
    <n v="817"/>
    <n v="0"/>
    <n v="817"/>
    <n v="817"/>
    <n v="0"/>
    <n v="0"/>
    <n v="817"/>
    <n v="817"/>
    <n v="0"/>
  </r>
  <r>
    <s v="51"/>
    <x v="1"/>
    <x v="2"/>
    <s v="MB42I090"/>
    <x v="26"/>
    <s v="A101"/>
    <s v="FORTALECIMIENTO INSTITUCIONAL"/>
    <s v="GC00A10100004D"/>
    <s v="GC00A10100004D REMUNERACION PERSONAL"/>
    <s v="51 GASTOS EN PERSONAL"/>
    <s v="510203 Decimotercer Sueldo"/>
    <s v="G/510203/1IA101"/>
    <s v="001"/>
    <n v="0"/>
    <n v="1634"/>
    <n v="0"/>
    <n v="1634"/>
    <n v="1107.51"/>
    <n v="526.49"/>
    <n v="526.49"/>
    <n v="1107.51"/>
    <n v="1107.51"/>
    <n v="0"/>
  </r>
  <r>
    <s v="51"/>
    <x v="1"/>
    <x v="2"/>
    <s v="OL41I060"/>
    <x v="42"/>
    <s v="A101"/>
    <s v="FORTALECIMIENTO INSTITUCIONAL"/>
    <s v="GC00A10100004D"/>
    <s v="GC00A10100004D REMUNERACION PERSONAL"/>
    <s v="51 GASTOS EN PERSONAL"/>
    <s v="510203 Decimotercer Sueldo"/>
    <s v="G/510203/1IA101"/>
    <s v="001"/>
    <n v="0"/>
    <n v="1634"/>
    <n v="0"/>
    <n v="1634"/>
    <n v="1634"/>
    <n v="0"/>
    <n v="0"/>
    <n v="1634"/>
    <n v="1634"/>
    <n v="0"/>
  </r>
  <r>
    <s v="51"/>
    <x v="2"/>
    <x v="11"/>
    <s v="TM68F100"/>
    <x v="34"/>
    <s v="A101"/>
    <s v="FORTALECIMIENTO INSTITUCIONAL"/>
    <s v="GC00A10100004D"/>
    <s v="GC00A10100004D REMUNERACION PERSONAL"/>
    <s v="51 GASTOS EN PERSONAL"/>
    <s v="510203 Decimotercer Sueldo"/>
    <s v="G/510203/1FA101"/>
    <s v="002"/>
    <n v="40640"/>
    <n v="385.75"/>
    <n v="0"/>
    <n v="41025.75"/>
    <n v="0"/>
    <n v="4653.53"/>
    <n v="4653.53"/>
    <n v="36372.22"/>
    <n v="36372.22"/>
    <n v="36372.22"/>
  </r>
  <r>
    <s v="51"/>
    <x v="1"/>
    <x v="2"/>
    <s v="EE11I010"/>
    <x v="21"/>
    <s v="A101"/>
    <s v="FORTALECIMIENTO INSTITUCIONAL"/>
    <s v="GC00A10100004D"/>
    <s v="GC00A10100004D REMUNERACION PERSONAL"/>
    <s v="51 GASTOS EN PERSONAL"/>
    <s v="510203 Decimotercer Sueldo"/>
    <s v="G/510203/1IA101"/>
    <s v="001"/>
    <n v="0"/>
    <n v="1634"/>
    <n v="0"/>
    <n v="1634"/>
    <n v="1634"/>
    <n v="0"/>
    <n v="0"/>
    <n v="1634"/>
    <n v="1634"/>
    <n v="0"/>
  </r>
  <r>
    <s v="51"/>
    <x v="0"/>
    <x v="0"/>
    <s v="RP36A010"/>
    <x v="2"/>
    <s v="A101"/>
    <s v="FORTALECIMIENTO INSTITUCIONAL"/>
    <s v="GC00A10100004D"/>
    <s v="GC00A10100004D REMUNERACION PERSONAL"/>
    <s v="51 GASTOS EN PERSONAL"/>
    <s v="510203 Decimotercer Sueldo"/>
    <s v="G/510203/1AA101"/>
    <s v="002"/>
    <n v="293188.53000000003"/>
    <n v="-39525.660000000003"/>
    <n v="0"/>
    <n v="253662.87"/>
    <n v="18122.45"/>
    <n v="28169.32"/>
    <n v="27835.82"/>
    <n v="225493.55"/>
    <n v="225827.05"/>
    <n v="207371.1"/>
  </r>
  <r>
    <s v="51"/>
    <x v="1"/>
    <x v="2"/>
    <s v="EE11I010"/>
    <x v="21"/>
    <s v="A101"/>
    <s v="FORTALECIMIENTO INSTITUCIONAL"/>
    <s v="GC00A10100004D"/>
    <s v="GC00A10100004D REMUNERACION PERSONAL"/>
    <s v="51 GASTOS EN PERSONAL"/>
    <s v="510203 Decimotercer Sueldo"/>
    <s v="G/510203/1IA101"/>
    <s v="002"/>
    <n v="154218.54999999999"/>
    <n v="-800.78"/>
    <n v="0"/>
    <n v="153417.76999999999"/>
    <n v="0"/>
    <n v="14476.07"/>
    <n v="14368.45"/>
    <n v="138941.70000000001"/>
    <n v="139049.32"/>
    <n v="138941.70000000001"/>
  </r>
  <r>
    <s v="51"/>
    <x v="2"/>
    <x v="8"/>
    <s v="ZA01P000"/>
    <x v="15"/>
    <s v="A101"/>
    <s v="FORTALECIMIENTO INSTITUCIONAL"/>
    <s v="GC00A10100004D"/>
    <s v="GC00A10100004D REMUNERACION PERSONAL"/>
    <s v="51 GASTOS EN PERSONAL"/>
    <s v="510203 Decimotercer Sueldo"/>
    <s v="G/510203/1PA101"/>
    <s v="002"/>
    <n v="103889.71"/>
    <n v="0"/>
    <n v="0"/>
    <n v="103889.71"/>
    <n v="638.75"/>
    <n v="26989.93"/>
    <n v="26989.93"/>
    <n v="76899.78"/>
    <n v="76899.78"/>
    <n v="76261.03"/>
  </r>
  <r>
    <s v="51"/>
    <x v="0"/>
    <x v="7"/>
    <s v="ZA01L000"/>
    <x v="14"/>
    <s v="A101"/>
    <s v="FORTALECIMIENTO INSTITUCIONAL"/>
    <s v="GC00A10100004D"/>
    <s v="GC00A10100004D REMUNERACION PERSONAL"/>
    <s v="51 GASTOS EN PERSONAL"/>
    <s v="510203 Decimotercer Sueldo"/>
    <s v="G/510203/1LA101"/>
    <s v="002"/>
    <n v="72096.03"/>
    <n v="6708.5"/>
    <n v="0"/>
    <n v="78804.53"/>
    <n v="11071.69"/>
    <n v="26635.65"/>
    <n v="26635.65"/>
    <n v="52168.88"/>
    <n v="52168.88"/>
    <n v="41097.19"/>
  </r>
  <r>
    <s v="51"/>
    <x v="1"/>
    <x v="2"/>
    <s v="CB21I040"/>
    <x v="23"/>
    <s v="A101"/>
    <s v="FORTALECIMIENTO INSTITUCIONAL"/>
    <s v="GC00A10100004D"/>
    <s v="GC00A10100004D REMUNERACION PERSONAL"/>
    <s v="51 GASTOS EN PERSONAL"/>
    <s v="510203 Decimotercer Sueldo"/>
    <s v="G/510203/1IA101"/>
    <s v="001"/>
    <n v="0"/>
    <n v="1634"/>
    <n v="0"/>
    <n v="1634"/>
    <n v="1634"/>
    <n v="0"/>
    <n v="0"/>
    <n v="1634"/>
    <n v="1634"/>
    <n v="0"/>
  </r>
  <r>
    <s v="51"/>
    <x v="1"/>
    <x v="2"/>
    <s v="SF43I080"/>
    <x v="35"/>
    <s v="A101"/>
    <s v="FORTALECIMIENTO INSTITUCIONAL"/>
    <s v="GC00A10100004D"/>
    <s v="GC00A10100004D REMUNERACION PERSONAL"/>
    <s v="51 GASTOS EN PERSONAL"/>
    <s v="510203 Decimotercer Sueldo"/>
    <s v="G/510203/1IA101"/>
    <s v="002"/>
    <n v="77244.3"/>
    <n v="0"/>
    <n v="0"/>
    <n v="77244.3"/>
    <n v="0"/>
    <n v="6560.8"/>
    <n v="6560.8"/>
    <n v="70683.5"/>
    <n v="70683.5"/>
    <n v="70683.5"/>
  </r>
  <r>
    <s v="51"/>
    <x v="2"/>
    <x v="5"/>
    <s v="PM71N010"/>
    <x v="27"/>
    <s v="A101"/>
    <s v="FORTALECIMIENTO INSTITUCIONAL"/>
    <s v="GC00A10100004D"/>
    <s v="GC00A10100004D REMUNERACION PERSONAL"/>
    <s v="51 GASTOS EN PERSONAL"/>
    <s v="510203 Decimotercer Sueldo"/>
    <s v="G/510203/1NA101"/>
    <s v="002"/>
    <n v="1300077.6599999999"/>
    <n v="0"/>
    <n v="0"/>
    <n v="1300077.6599999999"/>
    <n v="154793"/>
    <n v="109986.69"/>
    <n v="109986.65"/>
    <n v="1190090.97"/>
    <n v="1190091.01"/>
    <n v="1035297.97"/>
  </r>
  <r>
    <s v="51"/>
    <x v="1"/>
    <x v="3"/>
    <s v="UC32M020"/>
    <x v="7"/>
    <s v="A101"/>
    <s v="FORTALECIMIENTO INSTITUCIONAL"/>
    <s v="GC00A10100004D"/>
    <s v="GC00A10100004D REMUNERACION PERSONAL"/>
    <s v="51 GASTOS EN PERSONAL"/>
    <s v="510203 Decimotercer Sueldo"/>
    <s v="G/510203/1MA101"/>
    <s v="002"/>
    <n v="239114.25"/>
    <n v="-113007.09"/>
    <n v="0"/>
    <n v="126107.16"/>
    <n v="18045.11"/>
    <n v="14674.11"/>
    <n v="14674.11"/>
    <n v="111433.05"/>
    <n v="111433.05"/>
    <n v="93387.94"/>
  </r>
  <r>
    <s v="51"/>
    <x v="1"/>
    <x v="2"/>
    <s v="EQ13I030"/>
    <x v="20"/>
    <s v="A101"/>
    <s v="FORTALECIMIENTO INSTITUCIONAL"/>
    <s v="GC00A10100004D"/>
    <s v="GC00A10100004D REMUNERACION PERSONAL"/>
    <s v="51 GASTOS EN PERSONAL"/>
    <s v="510203 Decimotercer Sueldo"/>
    <s v="G/510203/1IA101"/>
    <s v="001"/>
    <n v="0"/>
    <n v="817"/>
    <n v="0"/>
    <n v="817"/>
    <n v="817"/>
    <n v="0"/>
    <n v="0"/>
    <n v="817"/>
    <n v="817"/>
    <n v="0"/>
  </r>
  <r>
    <s v="51"/>
    <x v="2"/>
    <x v="11"/>
    <s v="ZV05F050"/>
    <x v="37"/>
    <s v="A101"/>
    <s v="FORTALECIMIENTO INSTITUCIONAL"/>
    <s v="GC00A10100004D"/>
    <s v="GC00A10100004D REMUNERACION PERSONAL"/>
    <s v="51 GASTOS EN PERSONAL"/>
    <s v="510203 Decimotercer Sueldo"/>
    <s v="G/510203/1FA101"/>
    <s v="002"/>
    <n v="113052.6"/>
    <n v="620"/>
    <n v="0"/>
    <n v="113672.6"/>
    <n v="0"/>
    <n v="17638.330000000002"/>
    <n v="17638.330000000002"/>
    <n v="96034.27"/>
    <n v="96034.27"/>
    <n v="96034.27"/>
  </r>
  <r>
    <s v="51"/>
    <x v="0"/>
    <x v="12"/>
    <s v="MC37B000"/>
    <x v="28"/>
    <s v="A101"/>
    <s v="FORTALECIMIENTO INSTITUCIONAL"/>
    <s v="GC00A10100004D"/>
    <s v="GC00A10100004D REMUNERACION PERSONAL"/>
    <s v="51 GASTOS EN PERSONAL"/>
    <s v="510203 Decimotercer Sueldo"/>
    <s v="G/510203/1BA101"/>
    <s v="002"/>
    <n v="328121.86"/>
    <n v="-75278.3"/>
    <n v="0"/>
    <n v="252843.56"/>
    <n v="0"/>
    <n v="76571.009999999995"/>
    <n v="76571.009999999995"/>
    <n v="176272.55"/>
    <n v="176272.55"/>
    <n v="176272.55"/>
  </r>
  <r>
    <s v="51"/>
    <x v="2"/>
    <x v="11"/>
    <s v="ZN02F020"/>
    <x v="40"/>
    <s v="A101"/>
    <s v="FORTALECIMIENTO INSTITUCIONAL"/>
    <s v="GC00A10100004D"/>
    <s v="GC00A10100004D REMUNERACION PERSONAL"/>
    <s v="51 GASTOS EN PERSONAL"/>
    <s v="510203 Decimotercer Sueldo"/>
    <s v="G/510203/1FA101"/>
    <s v="002"/>
    <n v="159980.42000000001"/>
    <n v="153"/>
    <n v="0"/>
    <n v="160133.42000000001"/>
    <n v="1938.25"/>
    <n v="12760.14"/>
    <n v="12760.14"/>
    <n v="147373.28"/>
    <n v="147373.28"/>
    <n v="145435.03"/>
  </r>
  <r>
    <s v="51"/>
    <x v="1"/>
    <x v="2"/>
    <s v="EQ13I030"/>
    <x v="20"/>
    <s v="A101"/>
    <s v="FORTALECIMIENTO INSTITUCIONAL"/>
    <s v="GC00A10100004D"/>
    <s v="GC00A10100004D REMUNERACION PERSONAL"/>
    <s v="51 GASTOS EN PERSONAL"/>
    <s v="510203 Decimotercer Sueldo"/>
    <s v="G/510203/1IA101"/>
    <s v="002"/>
    <n v="99866.14"/>
    <n v="-790.98"/>
    <n v="0"/>
    <n v="99075.16"/>
    <n v="0"/>
    <n v="7692.98"/>
    <n v="7692.98"/>
    <n v="91382.18"/>
    <n v="91382.18"/>
    <n v="91382.18"/>
  </r>
  <r>
    <s v="51"/>
    <x v="1"/>
    <x v="2"/>
    <s v="ES12I020"/>
    <x v="16"/>
    <s v="A101"/>
    <s v="FORTALECIMIENTO INSTITUCIONAL"/>
    <s v="GC00A10100004D"/>
    <s v="GC00A10100004D REMUNERACION PERSONAL"/>
    <s v="51 GASTOS EN PERSONAL"/>
    <s v="510203 Decimotercer Sueldo"/>
    <s v="G/510203/1IA101"/>
    <s v="002"/>
    <n v="178203.78"/>
    <n v="0"/>
    <n v="0"/>
    <n v="178203.78"/>
    <n v="0"/>
    <n v="11708.11"/>
    <n v="11708.11"/>
    <n v="166495.67000000001"/>
    <n v="166495.67000000001"/>
    <n v="166495.67000000001"/>
  </r>
  <r>
    <s v="51"/>
    <x v="1"/>
    <x v="2"/>
    <s v="CF22I050"/>
    <x v="22"/>
    <s v="A101"/>
    <s v="FORTALECIMIENTO INSTITUCIONAL"/>
    <s v="GC00A10100004D"/>
    <s v="GC00A10100004D REMUNERACION PERSONAL"/>
    <s v="51 GASTOS EN PERSONAL"/>
    <s v="510203 Decimotercer Sueldo"/>
    <s v="G/510203/1IA101"/>
    <s v="001"/>
    <n v="0"/>
    <n v="817"/>
    <n v="0"/>
    <n v="817"/>
    <n v="476.6"/>
    <n v="340.4"/>
    <n v="340.4"/>
    <n v="476.6"/>
    <n v="476.6"/>
    <n v="0"/>
  </r>
  <r>
    <s v="51"/>
    <x v="3"/>
    <x v="14"/>
    <s v="ZA01H000"/>
    <x v="30"/>
    <s v="A101"/>
    <s v="FORTALECIMIENTO INSTITUCIONAL"/>
    <s v="GC00A10100004D"/>
    <s v="GC00A10100004D REMUNERACION PERSONAL"/>
    <s v="51 GASTOS EN PERSONAL"/>
    <s v="510203 Decimotercer Sueldo"/>
    <s v="G/510203/1HA101"/>
    <s v="002"/>
    <n v="40754.339999999997"/>
    <n v="0"/>
    <n v="0"/>
    <n v="40754.339999999997"/>
    <n v="3000"/>
    <n v="14582.73"/>
    <n v="14582.73"/>
    <n v="26171.61"/>
    <n v="26171.61"/>
    <n v="23171.61"/>
  </r>
  <r>
    <s v="51"/>
    <x v="2"/>
    <x v="11"/>
    <s v="TM68F100"/>
    <x v="34"/>
    <s v="A101"/>
    <s v="FORTALECIMIENTO INSTITUCIONAL"/>
    <s v="GC00A10100004D"/>
    <s v="GC00A10100004D REMUNERACION PERSONAL"/>
    <s v="51 GASTOS EN PERSONAL"/>
    <s v="510204 Decimocuarto Sueldo"/>
    <s v="G/510204/1FA101"/>
    <s v="002"/>
    <n v="13797.88"/>
    <n v="100"/>
    <n v="0"/>
    <n v="13897.88"/>
    <n v="0"/>
    <n v="9874.1"/>
    <n v="9874.1"/>
    <n v="4023.78"/>
    <n v="4023.78"/>
    <n v="4023.78"/>
  </r>
  <r>
    <s v="51"/>
    <x v="2"/>
    <x v="11"/>
    <s v="ZN02F020"/>
    <x v="40"/>
    <s v="A101"/>
    <s v="FORTALECIMIENTO INSTITUCIONAL"/>
    <s v="GC00A10100004D"/>
    <s v="GC00A10100004D REMUNERACION PERSONAL"/>
    <s v="51 GASTOS EN PERSONAL"/>
    <s v="510204 Decimocuarto Sueldo"/>
    <s v="G/510204/1FA101"/>
    <s v="002"/>
    <n v="66960.3"/>
    <n v="66.67"/>
    <n v="0"/>
    <n v="67026.97"/>
    <n v="600"/>
    <n v="56587.9"/>
    <n v="56587.9"/>
    <n v="10439.07"/>
    <n v="10439.07"/>
    <n v="9839.07"/>
  </r>
  <r>
    <s v="51"/>
    <x v="1"/>
    <x v="4"/>
    <s v="ZA01J000"/>
    <x v="9"/>
    <s v="A101"/>
    <s v="FORTALECIMIENTO INSTITUCIONAL"/>
    <s v="GC00A10100004D"/>
    <s v="GC00A10100004D REMUNERACION PERSONAL"/>
    <s v="51 GASTOS EN PERSONAL"/>
    <s v="510204 Decimocuarto Sueldo"/>
    <s v="G/510204/1JA101"/>
    <s v="002"/>
    <n v="15421.16"/>
    <n v="7300"/>
    <n v="0"/>
    <n v="22721.16"/>
    <n v="577.78"/>
    <n v="13399.76"/>
    <n v="13399.76"/>
    <n v="9321.4"/>
    <n v="9321.4"/>
    <n v="8743.6200000000008"/>
  </r>
  <r>
    <s v="51"/>
    <x v="1"/>
    <x v="2"/>
    <s v="MB42I090"/>
    <x v="26"/>
    <s v="A101"/>
    <s v="FORTALECIMIENTO INSTITUCIONAL"/>
    <s v="GC00A10100004D"/>
    <s v="GC00A10100004D REMUNERACION PERSONAL"/>
    <s v="51 GASTOS EN PERSONAL"/>
    <s v="510204 Decimocuarto Sueldo"/>
    <s v="G/510204/1IA101"/>
    <s v="002"/>
    <n v="40582"/>
    <n v="15.76"/>
    <n v="0"/>
    <n v="40597.760000000002"/>
    <n v="0"/>
    <n v="37251.83"/>
    <n v="37251.83"/>
    <n v="3345.93"/>
    <n v="3345.93"/>
    <n v="3345.93"/>
  </r>
  <r>
    <s v="51"/>
    <x v="1"/>
    <x v="3"/>
    <s v="UC32M020"/>
    <x v="7"/>
    <s v="A101"/>
    <s v="FORTALECIMIENTO INSTITUCIONAL"/>
    <s v="GC00A10100004D"/>
    <s v="GC00A10100004D REMUNERACION PERSONAL"/>
    <s v="51 GASTOS EN PERSONAL"/>
    <s v="510204 Decimocuarto Sueldo"/>
    <s v="G/510204/1MA101"/>
    <s v="002"/>
    <n v="71018.5"/>
    <n v="-31300"/>
    <n v="0"/>
    <n v="39718.5"/>
    <n v="3279.72"/>
    <n v="35535.68"/>
    <n v="35535.68"/>
    <n v="4182.82"/>
    <n v="4182.82"/>
    <n v="903.1"/>
  </r>
  <r>
    <s v="51"/>
    <x v="2"/>
    <x v="8"/>
    <s v="FS66P020"/>
    <x v="36"/>
    <s v="A101"/>
    <s v="FORTALECIMIENTO INSTITUCIONAL"/>
    <s v="GC00A10100004D"/>
    <s v="GC00A10100004D REMUNERACION PERSONAL"/>
    <s v="51 GASTOS EN PERSONAL"/>
    <s v="510204 Decimocuarto Sueldo"/>
    <s v="G/510204/1PA101"/>
    <s v="002"/>
    <n v="50727.5"/>
    <n v="-1600"/>
    <n v="0"/>
    <n v="49127.5"/>
    <n v="797.5"/>
    <n v="41856.39"/>
    <n v="41856.39"/>
    <n v="7271.11"/>
    <n v="7271.11"/>
    <n v="6473.61"/>
  </r>
  <r>
    <s v="51"/>
    <x v="2"/>
    <x v="11"/>
    <s v="ZA01F000"/>
    <x v="31"/>
    <s v="A101"/>
    <s v="FORTALECIMIENTO INSTITUCIONAL"/>
    <s v="GC00A10100004D"/>
    <s v="GC00A10100004D REMUNERACION PERSONAL"/>
    <s v="51 GASTOS EN PERSONAL"/>
    <s v="510204 Decimocuarto Sueldo"/>
    <s v="G/510204/1FA101"/>
    <s v="002"/>
    <n v="12986.24"/>
    <n v="133.33000000000001"/>
    <n v="0"/>
    <n v="13119.57"/>
    <n v="2356.7199999999998"/>
    <n v="7663.64"/>
    <n v="7663.64"/>
    <n v="5455.93"/>
    <n v="5455.93"/>
    <n v="3099.21"/>
  </r>
  <r>
    <s v="51"/>
    <x v="1"/>
    <x v="2"/>
    <s v="CB21I040"/>
    <x v="23"/>
    <s v="A101"/>
    <s v="FORTALECIMIENTO INSTITUCIONAL"/>
    <s v="GC00A10100004D"/>
    <s v="GC00A10100004D REMUNERACION PERSONAL"/>
    <s v="51 GASTOS EN PERSONAL"/>
    <s v="510204 Decimocuarto Sueldo"/>
    <s v="G/510204/1IA101"/>
    <s v="002"/>
    <n v="37741.26"/>
    <n v="15.76"/>
    <n v="0"/>
    <n v="37757.019999999997"/>
    <n v="0"/>
    <n v="35202.21"/>
    <n v="35202.21"/>
    <n v="2554.81"/>
    <n v="2554.81"/>
    <n v="2554.81"/>
  </r>
  <r>
    <s v="51"/>
    <x v="1"/>
    <x v="2"/>
    <s v="MB42I090"/>
    <x v="26"/>
    <s v="A101"/>
    <s v="FORTALECIMIENTO INSTITUCIONAL"/>
    <s v="GC00A10100004D"/>
    <s v="GC00A10100004D REMUNERACION PERSONAL"/>
    <s v="51 GASTOS EN PERSONAL"/>
    <s v="510204 Decimocuarto Sueldo"/>
    <s v="G/510204/1IA101"/>
    <s v="001"/>
    <n v="0"/>
    <n v="800"/>
    <n v="0"/>
    <n v="800"/>
    <n v="475.58"/>
    <n v="324.42"/>
    <n v="324.42"/>
    <n v="475.58"/>
    <n v="475.58"/>
    <n v="0"/>
  </r>
  <r>
    <s v="51"/>
    <x v="1"/>
    <x v="13"/>
    <s v="ZA01G000"/>
    <x v="29"/>
    <s v="A101"/>
    <s v="FORTALECIMIENTO INSTITUCIONAL"/>
    <s v="GC00A10100004D"/>
    <s v="GC00A10100004D REMUNERACION PERSONAL"/>
    <s v="51 GASTOS EN PERSONAL"/>
    <s v="510204 Decimocuarto Sueldo"/>
    <s v="G/510204/1GA101"/>
    <s v="002"/>
    <n v="88468.76"/>
    <n v="800"/>
    <n v="0"/>
    <n v="89268.76"/>
    <n v="292.7"/>
    <n v="78854.25"/>
    <n v="78254.25"/>
    <n v="10414.51"/>
    <n v="11014.51"/>
    <n v="10121.81"/>
  </r>
  <r>
    <s v="51"/>
    <x v="2"/>
    <x v="11"/>
    <s v="ZM04F040"/>
    <x v="41"/>
    <s v="A101"/>
    <s v="FORTALECIMIENTO INSTITUCIONAL"/>
    <s v="GC00A10100004D"/>
    <s v="GC00A10100004D REMUNERACION PERSONAL"/>
    <s v="51 GASTOS EN PERSONAL"/>
    <s v="510204 Decimocuarto Sueldo"/>
    <s v="G/510204/1FA101"/>
    <s v="002"/>
    <n v="46263.48"/>
    <n v="0"/>
    <n v="0"/>
    <n v="46263.48"/>
    <n v="278.89"/>
    <n v="41931.31"/>
    <n v="41931.31"/>
    <n v="4332.17"/>
    <n v="4332.17"/>
    <n v="4053.28"/>
  </r>
  <r>
    <s v="51"/>
    <x v="2"/>
    <x v="10"/>
    <s v="ZA01D000"/>
    <x v="24"/>
    <s v="A101"/>
    <s v="FORTALECIMIENTO INSTITUCIONAL"/>
    <s v="GC00A10100004D"/>
    <s v="GC00A10100004D REMUNERACION PERSONAL"/>
    <s v="51 GASTOS EN PERSONAL"/>
    <s v="510204 Decimocuarto Sueldo"/>
    <s v="G/510204/1DA101"/>
    <s v="002"/>
    <n v="31248.14"/>
    <n v="66.67"/>
    <n v="0"/>
    <n v="31314.81"/>
    <n v="102.25"/>
    <n v="26398.29"/>
    <n v="26397.82"/>
    <n v="4916.5200000000004"/>
    <n v="4916.99"/>
    <n v="4814.2700000000004"/>
  </r>
  <r>
    <s v="51"/>
    <x v="1"/>
    <x v="2"/>
    <s v="OL41I060"/>
    <x v="42"/>
    <s v="A101"/>
    <s v="FORTALECIMIENTO INSTITUCIONAL"/>
    <s v="GC00A10100004D"/>
    <s v="GC00A10100004D REMUNERACION PERSONAL"/>
    <s v="51 GASTOS EN PERSONAL"/>
    <s v="510204 Decimocuarto Sueldo"/>
    <s v="G/510204/1IA101"/>
    <s v="002"/>
    <n v="26784.12"/>
    <n v="-263.66000000000003"/>
    <n v="0"/>
    <n v="26520.46"/>
    <n v="0"/>
    <n v="25653.08"/>
    <n v="25653.08"/>
    <n v="867.38"/>
    <n v="867.38"/>
    <n v="867.38"/>
  </r>
  <r>
    <s v="51"/>
    <x v="1"/>
    <x v="2"/>
    <s v="ES12I020"/>
    <x v="16"/>
    <s v="A101"/>
    <s v="FORTALECIMIENTO INSTITUCIONAL"/>
    <s v="GC00A10100004D"/>
    <s v="GC00A10100004D REMUNERACION PERSONAL"/>
    <s v="51 GASTOS EN PERSONAL"/>
    <s v="510204 Decimocuarto Sueldo"/>
    <s v="G/510204/1IA101"/>
    <s v="002"/>
    <n v="66960.3"/>
    <n v="0"/>
    <n v="0"/>
    <n v="66960.3"/>
    <n v="0"/>
    <n v="60758.36"/>
    <n v="60758.36"/>
    <n v="6201.94"/>
    <n v="6201.94"/>
    <n v="6201.94"/>
  </r>
  <r>
    <s v="51"/>
    <x v="0"/>
    <x v="0"/>
    <s v="RP36A010"/>
    <x v="2"/>
    <s v="A101"/>
    <s v="FORTALECIMIENTO INSTITUCIONAL"/>
    <s v="GC00A10100004D"/>
    <s v="GC00A10100004D REMUNERACION PERSONAL"/>
    <s v="51 GASTOS EN PERSONAL"/>
    <s v="510204 Decimocuarto Sueldo"/>
    <s v="G/510204/1AA101"/>
    <s v="002"/>
    <n v="109571.4"/>
    <n v="-400"/>
    <n v="0"/>
    <n v="109171.4"/>
    <n v="2024.78"/>
    <n v="98835.92"/>
    <n v="98592.58"/>
    <n v="10335.48"/>
    <n v="10578.82"/>
    <n v="8310.7000000000007"/>
  </r>
  <r>
    <s v="51"/>
    <x v="1"/>
    <x v="2"/>
    <s v="EQ13I030"/>
    <x v="20"/>
    <s v="A101"/>
    <s v="FORTALECIMIENTO INSTITUCIONAL"/>
    <s v="GC00A10100004D"/>
    <s v="GC00A10100004D REMUNERACION PERSONAL"/>
    <s v="51 GASTOS EN PERSONAL"/>
    <s v="510204 Decimocuarto Sueldo"/>
    <s v="G/510204/1IA101"/>
    <s v="001"/>
    <n v="0"/>
    <n v="400"/>
    <n v="0"/>
    <n v="400"/>
    <n v="250"/>
    <n v="150"/>
    <n v="150"/>
    <n v="250"/>
    <n v="250"/>
    <n v="0"/>
  </r>
  <r>
    <s v="51"/>
    <x v="2"/>
    <x v="6"/>
    <s v="AT69K040"/>
    <x v="13"/>
    <s v="A101"/>
    <s v="FORTALECIMIENTO INSTITUCIONAL"/>
    <s v="GC00A10100004D"/>
    <s v="GC00A10100004D REMUNERACION PERSONAL"/>
    <s v="51 GASTOS EN PERSONAL"/>
    <s v="510204 Decimocuarto Sueldo"/>
    <s v="G/510204/1KA101"/>
    <s v="002"/>
    <n v="1021448.94"/>
    <n v="2163.9499999999998"/>
    <n v="0"/>
    <n v="1023612.89"/>
    <n v="2881.12"/>
    <n v="964122.77"/>
    <n v="964122.77"/>
    <n v="59490.12"/>
    <n v="59490.12"/>
    <n v="56609"/>
  </r>
  <r>
    <s v="51"/>
    <x v="1"/>
    <x v="2"/>
    <s v="ZA01I000"/>
    <x v="5"/>
    <s v="A101"/>
    <s v="FORTALECIMIENTO INSTITUCIONAL"/>
    <s v="GC00A10100004D"/>
    <s v="GC00A10100004D REMUNERACION PERSONAL"/>
    <s v="51 GASTOS EN PERSONAL"/>
    <s v="510204 Decimocuarto Sueldo"/>
    <s v="G/510204/1IA101"/>
    <s v="002"/>
    <n v="196822.7"/>
    <n v="-42617.58"/>
    <n v="0"/>
    <n v="154205.12"/>
    <n v="8812.77"/>
    <n v="127211.68"/>
    <n v="127211.68"/>
    <n v="26993.439999999999"/>
    <n v="26993.439999999999"/>
    <n v="18180.669999999998"/>
  </r>
  <r>
    <s v="51"/>
    <x v="2"/>
    <x v="5"/>
    <s v="PM71N010"/>
    <x v="27"/>
    <s v="A101"/>
    <s v="FORTALECIMIENTO INSTITUCIONAL"/>
    <s v="GC00A10100004D"/>
    <s v="GC00A10100004D REMUNERACION PERSONAL"/>
    <s v="51 GASTOS EN PERSONAL"/>
    <s v="510204 Decimocuarto Sueldo"/>
    <s v="G/510204/1NA101"/>
    <s v="002"/>
    <n v="589656.46"/>
    <n v="0"/>
    <n v="0"/>
    <n v="589656.46"/>
    <n v="9600"/>
    <n v="544481.02"/>
    <n v="544481.02"/>
    <n v="45175.44"/>
    <n v="45175.44"/>
    <n v="35575.440000000002"/>
  </r>
  <r>
    <s v="51"/>
    <x v="1"/>
    <x v="2"/>
    <s v="EQ13I030"/>
    <x v="20"/>
    <s v="A101"/>
    <s v="FORTALECIMIENTO INSTITUCIONAL"/>
    <s v="GC00A10100004D"/>
    <s v="GC00A10100004D REMUNERACION PERSONAL"/>
    <s v="51 GASTOS EN PERSONAL"/>
    <s v="510204 Decimocuarto Sueldo"/>
    <s v="G/510204/1IA101"/>
    <s v="002"/>
    <n v="35712.160000000003"/>
    <n v="-263.66000000000003"/>
    <n v="0"/>
    <n v="35448.5"/>
    <n v="0"/>
    <n v="33318.67"/>
    <n v="33318.67"/>
    <n v="2129.83"/>
    <n v="2129.83"/>
    <n v="2129.83"/>
  </r>
  <r>
    <s v="51"/>
    <x v="2"/>
    <x v="11"/>
    <s v="ZC09F090"/>
    <x v="44"/>
    <s v="A101"/>
    <s v="FORTALECIMIENTO INSTITUCIONAL"/>
    <s v="GC00A10100004D"/>
    <s v="GC00A10100004D REMUNERACION PERSONAL"/>
    <s v="51 GASTOS EN PERSONAL"/>
    <s v="510204 Decimocuarto Sueldo"/>
    <s v="G/510204/1FA101"/>
    <s v="002"/>
    <n v="27595.759999999998"/>
    <n v="-66.67"/>
    <n v="0"/>
    <n v="27529.09"/>
    <n v="148.88"/>
    <n v="22591.38"/>
    <n v="22578.05"/>
    <n v="4937.71"/>
    <n v="4951.04"/>
    <n v="4788.83"/>
  </r>
  <r>
    <s v="51"/>
    <x v="1"/>
    <x v="2"/>
    <s v="EE11I010"/>
    <x v="21"/>
    <s v="A101"/>
    <s v="FORTALECIMIENTO INSTITUCIONAL"/>
    <s v="GC00A10100004D"/>
    <s v="GC00A10100004D REMUNERACION PERSONAL"/>
    <s v="51 GASTOS EN PERSONAL"/>
    <s v="510204 Decimocuarto Sueldo"/>
    <s v="G/510204/1IA101"/>
    <s v="002"/>
    <n v="58032.26"/>
    <n v="15.76"/>
    <n v="0"/>
    <n v="58048.02"/>
    <n v="0"/>
    <n v="54051.73"/>
    <n v="53730.07"/>
    <n v="3996.29"/>
    <n v="4317.95"/>
    <n v="3996.29"/>
  </r>
  <r>
    <s v="51"/>
    <x v="0"/>
    <x v="1"/>
    <s v="ZA01C000"/>
    <x v="19"/>
    <s v="A101"/>
    <s v="FORTALECIMIENTO INSTITUCIONAL"/>
    <s v="GC00A10100004D"/>
    <s v="GC00A10100004D REMUNERACION PERSONAL"/>
    <s v="51 GASTOS EN PERSONAL"/>
    <s v="510204 Decimocuarto Sueldo"/>
    <s v="G/510204/1CA101"/>
    <s v="002"/>
    <n v="58438.080000000002"/>
    <n v="666.67"/>
    <n v="0"/>
    <n v="59104.75"/>
    <n v="4237.84"/>
    <n v="44173.04"/>
    <n v="44173.04"/>
    <n v="14931.71"/>
    <n v="14931.71"/>
    <n v="10693.87"/>
  </r>
  <r>
    <s v="51"/>
    <x v="1"/>
    <x v="2"/>
    <s v="CF22I050"/>
    <x v="22"/>
    <s v="A101"/>
    <s v="FORTALECIMIENTO INSTITUCIONAL"/>
    <s v="GC00A10100004D"/>
    <s v="GC00A10100004D REMUNERACION PERSONAL"/>
    <s v="51 GASTOS EN PERSONAL"/>
    <s v="510204 Decimocuarto Sueldo"/>
    <s v="G/510204/1IA101"/>
    <s v="002"/>
    <n v="41393.64"/>
    <n v="15.76"/>
    <n v="0"/>
    <n v="41409.4"/>
    <n v="0"/>
    <n v="39089.49"/>
    <n v="39089.49"/>
    <n v="2319.91"/>
    <n v="2319.91"/>
    <n v="2319.91"/>
  </r>
  <r>
    <s v="51"/>
    <x v="3"/>
    <x v="15"/>
    <s v="AC67Q000"/>
    <x v="32"/>
    <s v="A101"/>
    <s v="FORTALECIMIENTO INSTITUCIONAL"/>
    <s v="GC00A10100004D"/>
    <s v="GC00A10100004D REMUNERACION PERSONAL"/>
    <s v="51 GASTOS EN PERSONAL"/>
    <s v="510204 Decimocuarto Sueldo"/>
    <s v="G/510204/2QA101"/>
    <s v="002"/>
    <n v="47886.76"/>
    <n v="11356.43"/>
    <n v="0"/>
    <n v="59243.19"/>
    <n v="372.21"/>
    <n v="38510.61"/>
    <n v="38510.61"/>
    <n v="20732.580000000002"/>
    <n v="20732.580000000002"/>
    <n v="20360.37"/>
  </r>
  <r>
    <s v="51"/>
    <x v="1"/>
    <x v="3"/>
    <s v="US33M030"/>
    <x v="8"/>
    <s v="A101"/>
    <s v="FORTALECIMIENTO INSTITUCIONAL"/>
    <s v="GC00A10100004D"/>
    <s v="GC00A10100004D REMUNERACION PERSONAL"/>
    <s v="51 GASTOS EN PERSONAL"/>
    <s v="510204 Decimocuarto Sueldo"/>
    <s v="G/510204/1MA101"/>
    <s v="002"/>
    <n v="83193.100000000006"/>
    <n v="3733.33"/>
    <n v="0"/>
    <n v="86926.43"/>
    <n v="4778.57"/>
    <n v="68353.289999999994"/>
    <n v="68353.289999999994"/>
    <n v="18573.14"/>
    <n v="18573.14"/>
    <n v="13794.57"/>
  </r>
  <r>
    <s v="51"/>
    <x v="0"/>
    <x v="1"/>
    <s v="ZA01C060"/>
    <x v="45"/>
    <s v="A101"/>
    <s v="FORTALECIMIENTO INSTITUCIONAL"/>
    <s v="GC00A10100004D"/>
    <s v="GC00A10100004D REMUNERACION PERSONAL"/>
    <s v="51 GASTOS EN PERSONAL"/>
    <s v="510204 Decimocuarto Sueldo"/>
    <s v="G/510204/1CA101"/>
    <s v="002"/>
    <n v="6898.94"/>
    <n v="0"/>
    <n v="0"/>
    <n v="6898.94"/>
    <n v="66.349999999999994"/>
    <n v="2799.16"/>
    <n v="2799.16"/>
    <n v="4099.78"/>
    <n v="4099.78"/>
    <n v="4033.43"/>
  </r>
  <r>
    <s v="51"/>
    <x v="1"/>
    <x v="2"/>
    <s v="JM40I070"/>
    <x v="12"/>
    <s v="A101"/>
    <s v="FORTALECIMIENTO INSTITUCIONAL"/>
    <s v="GC00A10100004D"/>
    <s v="GC00A10100004D REMUNERACION PERSONAL"/>
    <s v="51 GASTOS EN PERSONAL"/>
    <s v="510204 Decimocuarto Sueldo"/>
    <s v="G/510204/1IA101"/>
    <s v="001"/>
    <n v="0"/>
    <n v="400"/>
    <n v="0"/>
    <n v="400"/>
    <n v="242.22"/>
    <n v="157.78"/>
    <n v="157.78"/>
    <n v="242.22"/>
    <n v="242.22"/>
    <n v="0"/>
  </r>
  <r>
    <s v="51"/>
    <x v="1"/>
    <x v="2"/>
    <s v="JM40I070"/>
    <x v="12"/>
    <s v="A101"/>
    <s v="FORTALECIMIENTO INSTITUCIONAL"/>
    <s v="GC00A10100004D"/>
    <s v="GC00A10100004D REMUNERACION PERSONAL"/>
    <s v="51 GASTOS EN PERSONAL"/>
    <s v="510204 Decimocuarto Sueldo"/>
    <s v="G/510204/1IA101"/>
    <s v="002"/>
    <n v="27595.759999999998"/>
    <n v="2709.38"/>
    <n v="0"/>
    <n v="30305.14"/>
    <n v="0"/>
    <n v="29905.1"/>
    <n v="29905.1"/>
    <n v="400.04"/>
    <n v="400.04"/>
    <n v="400.04"/>
  </r>
  <r>
    <s v="51"/>
    <x v="2"/>
    <x v="11"/>
    <s v="ZD07F070"/>
    <x v="43"/>
    <s v="A101"/>
    <s v="FORTALECIMIENTO INSTITUCIONAL"/>
    <s v="GC00A10100004D"/>
    <s v="GC00A10100004D REMUNERACION PERSONAL"/>
    <s v="51 GASTOS EN PERSONAL"/>
    <s v="510204 Decimocuarto Sueldo"/>
    <s v="G/510204/1FA101"/>
    <s v="002"/>
    <n v="43422.74"/>
    <n v="-233.33"/>
    <n v="0"/>
    <n v="43189.41"/>
    <n v="300"/>
    <n v="38087.42"/>
    <n v="38087.42"/>
    <n v="5101.99"/>
    <n v="5101.99"/>
    <n v="4801.99"/>
  </r>
  <r>
    <s v="51"/>
    <x v="1"/>
    <x v="2"/>
    <s v="EE11I010"/>
    <x v="21"/>
    <s v="A101"/>
    <s v="FORTALECIMIENTO INSTITUCIONAL"/>
    <s v="GC00A10100004D"/>
    <s v="GC00A10100004D REMUNERACION PERSONAL"/>
    <s v="51 GASTOS EN PERSONAL"/>
    <s v="510204 Decimocuarto Sueldo"/>
    <s v="G/510204/1IA101"/>
    <s v="001"/>
    <n v="0"/>
    <n v="800"/>
    <n v="0"/>
    <n v="800"/>
    <n v="575.54999999999995"/>
    <n v="224.45"/>
    <n v="224.45"/>
    <n v="575.54999999999995"/>
    <n v="575.54999999999995"/>
    <n v="0"/>
  </r>
  <r>
    <s v="51"/>
    <x v="2"/>
    <x v="8"/>
    <s v="ZA01P000"/>
    <x v="15"/>
    <s v="A101"/>
    <s v="FORTALECIMIENTO INSTITUCIONAL"/>
    <s v="GC00A10100004D"/>
    <s v="GC00A10100004D REMUNERACION PERSONAL"/>
    <s v="51 GASTOS EN PERSONAL"/>
    <s v="510204 Decimocuarto Sueldo"/>
    <s v="G/510204/1PA101"/>
    <s v="002"/>
    <n v="26784.12"/>
    <n v="0"/>
    <n v="0"/>
    <n v="26784.12"/>
    <n v="242.22"/>
    <n v="23240.26"/>
    <n v="23240.26"/>
    <n v="3543.86"/>
    <n v="3543.86"/>
    <n v="3301.64"/>
  </r>
  <r>
    <s v="51"/>
    <x v="1"/>
    <x v="2"/>
    <s v="ZA01I000"/>
    <x v="5"/>
    <s v="A101"/>
    <s v="FORTALECIMIENTO INSTITUCIONAL"/>
    <s v="GC00A10100004D"/>
    <s v="GC00A10100004D REMUNERACION PERSONAL"/>
    <s v="51 GASTOS EN PERSONAL"/>
    <s v="510204 Decimocuarto Sueldo"/>
    <s v="G/510204/1IA101"/>
    <s v="001"/>
    <n v="0"/>
    <n v="3800"/>
    <n v="0"/>
    <n v="3800"/>
    <n v="3408.92"/>
    <n v="257.75"/>
    <n v="257.75"/>
    <n v="3542.25"/>
    <n v="3542.25"/>
    <n v="133.33000000000001"/>
  </r>
  <r>
    <s v="51"/>
    <x v="2"/>
    <x v="11"/>
    <s v="ZS03F030"/>
    <x v="38"/>
    <s v="A101"/>
    <s v="FORTALECIMIENTO INSTITUCIONAL"/>
    <s v="GC00A10100004D"/>
    <s v="GC00A10100004D REMUNERACION PERSONAL"/>
    <s v="51 GASTOS EN PERSONAL"/>
    <s v="510204 Decimocuarto Sueldo"/>
    <s v="G/510204/1FA101"/>
    <s v="002"/>
    <n v="42205.279999999999"/>
    <n v="0"/>
    <n v="0"/>
    <n v="42205.279999999999"/>
    <n v="100"/>
    <n v="37864.959999999999"/>
    <n v="37864.959999999999"/>
    <n v="4340.32"/>
    <n v="4340.32"/>
    <n v="4240.32"/>
  </r>
  <r>
    <s v="51"/>
    <x v="0"/>
    <x v="12"/>
    <s v="MC37B000"/>
    <x v="28"/>
    <s v="A101"/>
    <s v="FORTALECIMIENTO INSTITUCIONAL"/>
    <s v="GC00A10100004D"/>
    <s v="GC00A10100004D REMUNERACION PERSONAL"/>
    <s v="51 GASTOS EN PERSONAL"/>
    <s v="510204 Decimocuarto Sueldo"/>
    <s v="G/510204/1BA101"/>
    <s v="002"/>
    <n v="103078.28"/>
    <n v="-30441.94"/>
    <n v="0"/>
    <n v="72636.34"/>
    <n v="0"/>
    <n v="61771.88"/>
    <n v="61771.88"/>
    <n v="10864.46"/>
    <n v="10864.46"/>
    <n v="10864.46"/>
  </r>
  <r>
    <s v="51"/>
    <x v="0"/>
    <x v="9"/>
    <s v="ZA01E000"/>
    <x v="18"/>
    <s v="A101"/>
    <s v="FORTALECIMIENTO INSTITUCIONAL"/>
    <s v="GC00A10100004D"/>
    <s v="GC00A10100004D REMUNERACION PERSONAL"/>
    <s v="51 GASTOS EN PERSONAL"/>
    <s v="510204 Decimocuarto Sueldo"/>
    <s v="G/510204/1EA101"/>
    <s v="002"/>
    <n v="32465.599999999999"/>
    <n v="-300"/>
    <n v="0"/>
    <n v="32165.599999999999"/>
    <n v="2333.44"/>
    <n v="27812.81"/>
    <n v="27812.81"/>
    <n v="4352.79"/>
    <n v="4352.79"/>
    <n v="2019.35"/>
  </r>
  <r>
    <s v="51"/>
    <x v="1"/>
    <x v="2"/>
    <s v="SF43I080"/>
    <x v="35"/>
    <s v="A101"/>
    <s v="FORTALECIMIENTO INSTITUCIONAL"/>
    <s v="GC00A10100004D"/>
    <s v="GC00A10100004D REMUNERACION PERSONAL"/>
    <s v="51 GASTOS EN PERSONAL"/>
    <s v="510204 Decimocuarto Sueldo"/>
    <s v="G/510204/1IA101"/>
    <s v="002"/>
    <n v="30436.5"/>
    <n v="0"/>
    <n v="0"/>
    <n v="30436.5"/>
    <n v="0"/>
    <n v="28138.66"/>
    <n v="28138.66"/>
    <n v="2297.84"/>
    <n v="2297.84"/>
    <n v="2297.84"/>
  </r>
  <r>
    <s v="51"/>
    <x v="0"/>
    <x v="0"/>
    <s v="ZA01A000"/>
    <x v="1"/>
    <s v="A101"/>
    <s v="FORTALECIMIENTO INSTITUCIONAL"/>
    <s v="GC00A10100004D"/>
    <s v="GC00A10100004D REMUNERACION PERSONAL"/>
    <s v="51 GASTOS EN PERSONAL"/>
    <s v="510204 Decimocuarto Sueldo"/>
    <s v="G/510204/1AA101"/>
    <s v="002"/>
    <n v="316133.78000000003"/>
    <n v="1728.64"/>
    <n v="0"/>
    <n v="317862.42"/>
    <n v="10826.75"/>
    <n v="259941.27"/>
    <n v="259939.77"/>
    <n v="57921.15"/>
    <n v="57922.65"/>
    <n v="47094.400000000001"/>
  </r>
  <r>
    <s v="51"/>
    <x v="1"/>
    <x v="2"/>
    <s v="CB21I040"/>
    <x v="23"/>
    <s v="A101"/>
    <s v="FORTALECIMIENTO INSTITUCIONAL"/>
    <s v="GC00A10100004D"/>
    <s v="GC00A10100004D REMUNERACION PERSONAL"/>
    <s v="51 GASTOS EN PERSONAL"/>
    <s v="510204 Decimocuarto Sueldo"/>
    <s v="G/510204/1IA101"/>
    <s v="001"/>
    <n v="0"/>
    <n v="800"/>
    <n v="0"/>
    <n v="800"/>
    <n v="642.22"/>
    <n v="157.78"/>
    <n v="157.78"/>
    <n v="642.22"/>
    <n v="642.22"/>
    <n v="0"/>
  </r>
  <r>
    <s v="51"/>
    <x v="1"/>
    <x v="3"/>
    <s v="UN31M010"/>
    <x v="11"/>
    <s v="A101"/>
    <s v="FORTALECIMIENTO INSTITUCIONAL"/>
    <s v="GC00A10100004D"/>
    <s v="GC00A10100004D REMUNERACION PERSONAL"/>
    <s v="51 GASTOS EN PERSONAL"/>
    <s v="510204 Decimocuarto Sueldo"/>
    <s v="G/510204/1MA101"/>
    <s v="002"/>
    <n v="55597.34"/>
    <n v="800"/>
    <n v="0"/>
    <n v="56397.34"/>
    <n v="2515.67"/>
    <n v="46638.2"/>
    <n v="46322.64"/>
    <n v="9759.14"/>
    <n v="10074.700000000001"/>
    <n v="7243.47"/>
  </r>
  <r>
    <s v="51"/>
    <x v="2"/>
    <x v="11"/>
    <s v="ZV05F050"/>
    <x v="37"/>
    <s v="A101"/>
    <s v="FORTALECIMIENTO INSTITUCIONAL"/>
    <s v="GC00A10100004D"/>
    <s v="GC00A10100004D REMUNERACION PERSONAL"/>
    <s v="51 GASTOS EN PERSONAL"/>
    <s v="510204 Decimocuarto Sueldo"/>
    <s v="G/510204/1FA101"/>
    <s v="002"/>
    <n v="40987.82"/>
    <n v="0"/>
    <n v="0"/>
    <n v="40987.82"/>
    <n v="0"/>
    <n v="31361.19"/>
    <n v="31361.19"/>
    <n v="9626.6299999999992"/>
    <n v="9626.6299999999992"/>
    <n v="9626.6299999999992"/>
  </r>
  <r>
    <s v="51"/>
    <x v="1"/>
    <x v="2"/>
    <s v="OL41I060"/>
    <x v="42"/>
    <s v="A101"/>
    <s v="FORTALECIMIENTO INSTITUCIONAL"/>
    <s v="GC00A10100004D"/>
    <s v="GC00A10100004D REMUNERACION PERSONAL"/>
    <s v="51 GASTOS EN PERSONAL"/>
    <s v="510204 Decimocuarto Sueldo"/>
    <s v="G/510204/1IA101"/>
    <s v="001"/>
    <n v="0"/>
    <n v="800"/>
    <n v="0"/>
    <n v="800"/>
    <n v="733.33"/>
    <n v="66.67"/>
    <n v="66.67"/>
    <n v="733.33"/>
    <n v="733.33"/>
    <n v="0"/>
  </r>
  <r>
    <s v="51"/>
    <x v="2"/>
    <x v="11"/>
    <s v="RB34F010"/>
    <x v="33"/>
    <s v="A101"/>
    <s v="FORTALECIMIENTO INSTITUCIONAL"/>
    <s v="GC00A10100004D"/>
    <s v="GC00A10100004D REMUNERACION PERSONAL"/>
    <s v="51 GASTOS EN PERSONAL"/>
    <s v="510204 Decimocuarto Sueldo"/>
    <s v="G/510204/1FA101"/>
    <s v="002"/>
    <n v="8522.2199999999993"/>
    <n v="-133.33000000000001"/>
    <n v="0"/>
    <n v="8388.89"/>
    <n v="0"/>
    <n v="7578.93"/>
    <n v="7578.93"/>
    <n v="809.96"/>
    <n v="809.96"/>
    <n v="809.96"/>
  </r>
  <r>
    <s v="51"/>
    <x v="1"/>
    <x v="2"/>
    <s v="CF22I050"/>
    <x v="22"/>
    <s v="A101"/>
    <s v="FORTALECIMIENTO INSTITUCIONAL"/>
    <s v="GC00A10100004D"/>
    <s v="GC00A10100004D REMUNERACION PERSONAL"/>
    <s v="51 GASTOS EN PERSONAL"/>
    <s v="510204 Decimocuarto Sueldo"/>
    <s v="G/510204/1IA101"/>
    <s v="001"/>
    <n v="0"/>
    <n v="400"/>
    <n v="0"/>
    <n v="400"/>
    <n v="233.35"/>
    <n v="166.65"/>
    <n v="166.65"/>
    <n v="233.35"/>
    <n v="233.35"/>
    <n v="0"/>
  </r>
  <r>
    <s v="51"/>
    <x v="2"/>
    <x v="11"/>
    <s v="ZQ08F080"/>
    <x v="39"/>
    <s v="A101"/>
    <s v="FORTALECIMIENTO INSTITUCIONAL"/>
    <s v="GC00A10100004D"/>
    <s v="GC00A10100004D REMUNERACION PERSONAL"/>
    <s v="51 GASTOS EN PERSONAL"/>
    <s v="510204 Decimocuarto Sueldo"/>
    <s v="G/510204/1FA101"/>
    <s v="002"/>
    <n v="34494.699999999997"/>
    <n v="333.33"/>
    <n v="0"/>
    <n v="34828.03"/>
    <n v="0"/>
    <n v="29365.47"/>
    <n v="29365.47"/>
    <n v="5462.56"/>
    <n v="5462.56"/>
    <n v="5462.56"/>
  </r>
  <r>
    <s v="51"/>
    <x v="0"/>
    <x v="1"/>
    <s v="ZA01C030"/>
    <x v="3"/>
    <s v="A101"/>
    <s v="FORTALECIMIENTO INSTITUCIONAL"/>
    <s v="GC00A10100004D"/>
    <s v="GC00A10100004D REMUNERACION PERSONAL"/>
    <s v="51 GASTOS EN PERSONAL"/>
    <s v="510204 Decimocuarto Sueldo"/>
    <s v="G/510204/1CA101"/>
    <s v="002"/>
    <n v="77511.62"/>
    <n v="-99.99"/>
    <n v="0"/>
    <n v="77411.63"/>
    <n v="2226.6799999999998"/>
    <n v="66191.64"/>
    <n v="66191.64"/>
    <n v="11219.99"/>
    <n v="11219.99"/>
    <n v="8993.31"/>
  </r>
  <r>
    <s v="51"/>
    <x v="3"/>
    <x v="14"/>
    <s v="ZA01H000"/>
    <x v="30"/>
    <s v="A101"/>
    <s v="FORTALECIMIENTO INSTITUCIONAL"/>
    <s v="GC00A10100004D"/>
    <s v="GC00A10100004D REMUNERACION PERSONAL"/>
    <s v="51 GASTOS EN PERSONAL"/>
    <s v="510204 Decimocuarto Sueldo"/>
    <s v="G/510204/1HA101"/>
    <s v="002"/>
    <n v="7710.58"/>
    <n v="0"/>
    <n v="0"/>
    <n v="7710.58"/>
    <n v="0"/>
    <n v="5630.36"/>
    <n v="5630.36"/>
    <n v="2080.2199999999998"/>
    <n v="2080.2199999999998"/>
    <n v="2080.2199999999998"/>
  </r>
  <r>
    <s v="51"/>
    <x v="1"/>
    <x v="3"/>
    <s v="ZA01M000"/>
    <x v="6"/>
    <s v="A101"/>
    <s v="FORTALECIMIENTO INSTITUCIONAL"/>
    <s v="GC00A10100004D"/>
    <s v="GC00A10100004D REMUNERACION PERSONAL"/>
    <s v="51 GASTOS EN PERSONAL"/>
    <s v="510204 Decimocuarto Sueldo"/>
    <s v="G/510204/1MA101"/>
    <s v="002"/>
    <n v="29624.86"/>
    <n v="-3333.33"/>
    <n v="0"/>
    <n v="26291.53"/>
    <n v="7800.77"/>
    <n v="17053.63"/>
    <n v="17053.63"/>
    <n v="9237.9"/>
    <n v="9237.9"/>
    <n v="1437.13"/>
  </r>
  <r>
    <s v="51"/>
    <x v="2"/>
    <x v="11"/>
    <s v="ZT06F060"/>
    <x v="25"/>
    <s v="A101"/>
    <s v="FORTALECIMIENTO INSTITUCIONAL"/>
    <s v="GC00A10100004D"/>
    <s v="GC00A10100004D REMUNERACION PERSONAL"/>
    <s v="51 GASTOS EN PERSONAL"/>
    <s v="510204 Decimocuarto Sueldo"/>
    <s v="G/510204/1FA101"/>
    <s v="002"/>
    <n v="40582"/>
    <n v="0"/>
    <n v="0"/>
    <n v="40582"/>
    <n v="300"/>
    <n v="31675.13"/>
    <n v="31675.13"/>
    <n v="8906.8700000000008"/>
    <n v="8906.8700000000008"/>
    <n v="8606.8700000000008"/>
  </r>
  <r>
    <s v="51"/>
    <x v="0"/>
    <x v="1"/>
    <s v="ZA01C002"/>
    <x v="46"/>
    <s v="A101"/>
    <s v="FORTALECIMIENTO INSTITUCIONAL"/>
    <s v="GC00A10100004D"/>
    <s v="GC00A10100004D REMUNERACION PERSONAL"/>
    <s v="51 GASTOS EN PERSONAL"/>
    <s v="510204 Decimocuarto Sueldo"/>
    <s v="G/510204/1CA101"/>
    <s v="002"/>
    <n v="3652.38"/>
    <n v="750.8"/>
    <n v="0"/>
    <n v="4403.18"/>
    <n v="215.02"/>
    <n v="4120.82"/>
    <n v="4120.82"/>
    <n v="282.36"/>
    <n v="282.36"/>
    <n v="67.34"/>
  </r>
  <r>
    <s v="51"/>
    <x v="0"/>
    <x v="7"/>
    <s v="ZA01L000"/>
    <x v="14"/>
    <s v="A101"/>
    <s v="FORTALECIMIENTO INSTITUCIONAL"/>
    <s v="GC00A10100004D"/>
    <s v="GC00A10100004D REMUNERACION PERSONAL"/>
    <s v="51 GASTOS EN PERSONAL"/>
    <s v="510204 Decimocuarto Sueldo"/>
    <s v="G/510204/1LA101"/>
    <s v="002"/>
    <n v="16638.62"/>
    <n v="2200"/>
    <n v="0"/>
    <n v="18838.62"/>
    <n v="550.08000000000004"/>
    <n v="15427.45"/>
    <n v="15427.45"/>
    <n v="3411.17"/>
    <n v="3411.17"/>
    <n v="2861.09"/>
  </r>
  <r>
    <s v="51"/>
    <x v="2"/>
    <x v="5"/>
    <s v="ZA01N000"/>
    <x v="10"/>
    <s v="A101"/>
    <s v="FORTALECIMIENTO INSTITUCIONAL"/>
    <s v="GC00A10100004D"/>
    <s v="GC00A10100004D REMUNERACION PERSONAL"/>
    <s v="51 GASTOS EN PERSONAL"/>
    <s v="510204 Decimocuarto Sueldo"/>
    <s v="G/510204/1NA101"/>
    <s v="002"/>
    <n v="92526.96"/>
    <n v="-7500.01"/>
    <n v="0"/>
    <n v="85026.95"/>
    <n v="1307.76"/>
    <n v="77069.62"/>
    <n v="77067.64"/>
    <n v="7957.33"/>
    <n v="7959.31"/>
    <n v="6649.57"/>
  </r>
  <r>
    <s v="51"/>
    <x v="2"/>
    <x v="6"/>
    <s v="ZA01K000"/>
    <x v="17"/>
    <s v="A101"/>
    <s v="FORTALECIMIENTO INSTITUCIONAL"/>
    <s v="GC00A10100004D"/>
    <s v="GC00A10100004D REMUNERACION PERSONAL"/>
    <s v="51 GASTOS EN PERSONAL"/>
    <s v="510204 Decimocuarto Sueldo"/>
    <s v="G/510204/1KA101"/>
    <s v="002"/>
    <n v="38552.9"/>
    <n v="0"/>
    <n v="0"/>
    <n v="38552.9"/>
    <n v="386.12"/>
    <n v="32760.49"/>
    <n v="32550.49"/>
    <n v="5792.41"/>
    <n v="6002.41"/>
    <n v="5406.29"/>
  </r>
  <r>
    <s v="51"/>
    <x v="2"/>
    <x v="11"/>
    <s v="ZC09F090"/>
    <x v="44"/>
    <s v="A101"/>
    <s v="FORTALECIMIENTO INSTITUCIONAL"/>
    <s v="GC00A10100004D"/>
    <s v="GC00A10100004D REMUNERACION PERSONAL"/>
    <s v="51 GASTOS EN PERSONAL"/>
    <s v="510304 Compensación por Transporte"/>
    <s v="G/510304/1FA101"/>
    <s v="002"/>
    <n v="1056"/>
    <n v="0"/>
    <n v="0"/>
    <n v="1056"/>
    <n v="0"/>
    <n v="383"/>
    <n v="383"/>
    <n v="673"/>
    <n v="673"/>
    <n v="673"/>
  </r>
  <r>
    <s v="51"/>
    <x v="2"/>
    <x v="6"/>
    <s v="AT69K040"/>
    <x v="13"/>
    <s v="A101"/>
    <s v="FORTALECIMIENTO INSTITUCIONAL"/>
    <s v="GC00A10100004D"/>
    <s v="GC00A10100004D REMUNERACION PERSONAL"/>
    <s v="51 GASTOS EN PERSONAL"/>
    <s v="510304 Compensación por Transporte"/>
    <s v="G/510304/1KA101"/>
    <s v="002"/>
    <n v="264"/>
    <n v="0"/>
    <n v="0"/>
    <n v="264"/>
    <n v="0"/>
    <n v="84"/>
    <n v="84"/>
    <n v="180"/>
    <n v="180"/>
    <n v="180"/>
  </r>
  <r>
    <s v="51"/>
    <x v="0"/>
    <x v="9"/>
    <s v="ZA01E000"/>
    <x v="18"/>
    <s v="A101"/>
    <s v="FORTALECIMIENTO INSTITUCIONAL"/>
    <s v="GC00A10100004D"/>
    <s v="GC00A10100004D REMUNERACION PERSONAL"/>
    <s v="51 GASTOS EN PERSONAL"/>
    <s v="510304 Compensación por Transporte"/>
    <s v="G/510304/1EA101"/>
    <s v="002"/>
    <n v="1188"/>
    <n v="0"/>
    <n v="0"/>
    <n v="1188"/>
    <n v="0"/>
    <n v="305.5"/>
    <n v="305.5"/>
    <n v="882.5"/>
    <n v="882.5"/>
    <n v="882.5"/>
  </r>
  <r>
    <s v="51"/>
    <x v="2"/>
    <x v="11"/>
    <s v="ZM04F040"/>
    <x v="41"/>
    <s v="A101"/>
    <s v="FORTALECIMIENTO INSTITUCIONAL"/>
    <s v="GC00A10100004D"/>
    <s v="GC00A10100004D REMUNERACION PERSONAL"/>
    <s v="51 GASTOS EN PERSONAL"/>
    <s v="510304 Compensación por Transporte"/>
    <s v="G/510304/1FA101"/>
    <s v="002"/>
    <n v="2244"/>
    <n v="0"/>
    <n v="0"/>
    <n v="2244"/>
    <n v="0"/>
    <n v="435"/>
    <n v="435"/>
    <n v="1809"/>
    <n v="1809"/>
    <n v="1809"/>
  </r>
  <r>
    <s v="51"/>
    <x v="0"/>
    <x v="1"/>
    <s v="ZA01C030"/>
    <x v="3"/>
    <s v="A101"/>
    <s v="FORTALECIMIENTO INSTITUCIONAL"/>
    <s v="GC00A10100004D"/>
    <s v="GC00A10100004D REMUNERACION PERSONAL"/>
    <s v="51 GASTOS EN PERSONAL"/>
    <s v="510304 Compensación por Transporte"/>
    <s v="G/510304/1CA101"/>
    <s v="002"/>
    <n v="3036"/>
    <n v="0"/>
    <n v="0"/>
    <n v="3036"/>
    <n v="0"/>
    <n v="667.5"/>
    <n v="667.5"/>
    <n v="2368.5"/>
    <n v="2368.5"/>
    <n v="2368.5"/>
  </r>
  <r>
    <s v="51"/>
    <x v="0"/>
    <x v="1"/>
    <s v="ZA01C002"/>
    <x v="46"/>
    <s v="A101"/>
    <s v="FORTALECIMIENTO INSTITUCIONAL"/>
    <s v="GC00A10100004D"/>
    <s v="GC00A10100004D REMUNERACION PERSONAL"/>
    <s v="51 GASTOS EN PERSONAL"/>
    <s v="510304 Compensación por Transporte"/>
    <s v="G/510304/1CA101"/>
    <s v="002"/>
    <n v="132"/>
    <n v="0"/>
    <n v="0"/>
    <n v="132"/>
    <n v="0"/>
    <n v="52"/>
    <n v="52"/>
    <n v="80"/>
    <n v="80"/>
    <n v="80"/>
  </r>
  <r>
    <s v="51"/>
    <x v="2"/>
    <x v="6"/>
    <s v="ZA01K000"/>
    <x v="17"/>
    <s v="A101"/>
    <s v="FORTALECIMIENTO INSTITUCIONAL"/>
    <s v="GC00A10100004D"/>
    <s v="GC00A10100004D REMUNERACION PERSONAL"/>
    <s v="51 GASTOS EN PERSONAL"/>
    <s v="510304 Compensación por Transporte"/>
    <s v="G/510304/1KA101"/>
    <s v="002"/>
    <n v="924"/>
    <n v="53"/>
    <n v="0"/>
    <n v="977"/>
    <n v="0"/>
    <n v="172.5"/>
    <n v="172.5"/>
    <n v="804.5"/>
    <n v="804.5"/>
    <n v="804.5"/>
  </r>
  <r>
    <s v="51"/>
    <x v="2"/>
    <x v="11"/>
    <s v="ZD07F070"/>
    <x v="43"/>
    <s v="A101"/>
    <s v="FORTALECIMIENTO INSTITUCIONAL"/>
    <s v="GC00A10100004D"/>
    <s v="GC00A10100004D REMUNERACION PERSONAL"/>
    <s v="51 GASTOS EN PERSONAL"/>
    <s v="510304 Compensación por Transporte"/>
    <s v="G/510304/1FA101"/>
    <s v="002"/>
    <n v="1452"/>
    <n v="0"/>
    <n v="0"/>
    <n v="1452"/>
    <n v="0"/>
    <n v="406.5"/>
    <n v="406.5"/>
    <n v="1045.5"/>
    <n v="1045.5"/>
    <n v="1045.5"/>
  </r>
  <r>
    <s v="51"/>
    <x v="2"/>
    <x v="11"/>
    <s v="ZQ08F080"/>
    <x v="39"/>
    <s v="A101"/>
    <s v="FORTALECIMIENTO INSTITUCIONAL"/>
    <s v="GC00A10100004D"/>
    <s v="GC00A10100004D REMUNERACION PERSONAL"/>
    <s v="51 GASTOS EN PERSONAL"/>
    <s v="510304 Compensación por Transporte"/>
    <s v="G/510304/1FA101"/>
    <s v="002"/>
    <n v="1452"/>
    <n v="0"/>
    <n v="0"/>
    <n v="1452"/>
    <n v="0"/>
    <n v="533"/>
    <n v="533"/>
    <n v="919"/>
    <n v="919"/>
    <n v="919"/>
  </r>
  <r>
    <s v="51"/>
    <x v="2"/>
    <x v="8"/>
    <s v="ZA01P000"/>
    <x v="15"/>
    <s v="A101"/>
    <s v="FORTALECIMIENTO INSTITUCIONAL"/>
    <s v="GC00A10100004D"/>
    <s v="GC00A10100004D REMUNERACION PERSONAL"/>
    <s v="51 GASTOS EN PERSONAL"/>
    <s v="510304 Compensación por Transporte"/>
    <s v="G/510304/1PA101"/>
    <s v="002"/>
    <n v="132"/>
    <n v="0"/>
    <n v="0"/>
    <n v="132"/>
    <n v="0"/>
    <n v="52"/>
    <n v="52"/>
    <n v="80"/>
    <n v="80"/>
    <n v="80"/>
  </r>
  <r>
    <s v="51"/>
    <x v="2"/>
    <x v="11"/>
    <s v="ZN02F020"/>
    <x v="40"/>
    <s v="A101"/>
    <s v="FORTALECIMIENTO INSTITUCIONAL"/>
    <s v="GC00A10100004D"/>
    <s v="GC00A10100004D REMUNERACION PERSONAL"/>
    <s v="51 GASTOS EN PERSONAL"/>
    <s v="510304 Compensación por Transporte"/>
    <s v="G/510304/1FA101"/>
    <s v="002"/>
    <n v="7260"/>
    <n v="2150"/>
    <n v="0"/>
    <n v="9410"/>
    <n v="0"/>
    <n v="3634"/>
    <n v="3634"/>
    <n v="5776"/>
    <n v="5776"/>
    <n v="5776"/>
  </r>
  <r>
    <s v="51"/>
    <x v="0"/>
    <x v="0"/>
    <s v="ZA01A000"/>
    <x v="1"/>
    <s v="A101"/>
    <s v="FORTALECIMIENTO INSTITUCIONAL"/>
    <s v="GC00A10100004D"/>
    <s v="GC00A10100004D REMUNERACION PERSONAL"/>
    <s v="51 GASTOS EN PERSONAL"/>
    <s v="510304 Compensación por Transporte"/>
    <s v="G/510304/1AA101"/>
    <s v="002"/>
    <n v="13464"/>
    <n v="0"/>
    <n v="0"/>
    <n v="13464"/>
    <n v="0"/>
    <n v="5795"/>
    <n v="5795"/>
    <n v="7669"/>
    <n v="7669"/>
    <n v="7669"/>
  </r>
  <r>
    <s v="51"/>
    <x v="0"/>
    <x v="1"/>
    <s v="ZA01C000"/>
    <x v="19"/>
    <s v="A101"/>
    <s v="FORTALECIMIENTO INSTITUCIONAL"/>
    <s v="GC00A10100004D"/>
    <s v="GC00A10100004D REMUNERACION PERSONAL"/>
    <s v="51 GASTOS EN PERSONAL"/>
    <s v="510304 Compensación por Transporte"/>
    <s v="G/510304/1CA101"/>
    <s v="002"/>
    <n v="1848"/>
    <n v="0"/>
    <n v="0"/>
    <n v="1848"/>
    <n v="0"/>
    <n v="152"/>
    <n v="152"/>
    <n v="1696"/>
    <n v="1696"/>
    <n v="1696"/>
  </r>
  <r>
    <s v="51"/>
    <x v="0"/>
    <x v="7"/>
    <s v="ZA01L000"/>
    <x v="14"/>
    <s v="A101"/>
    <s v="FORTALECIMIENTO INSTITUCIONAL"/>
    <s v="GC00A10100004D"/>
    <s v="GC00A10100004D REMUNERACION PERSONAL"/>
    <s v="51 GASTOS EN PERSONAL"/>
    <s v="510304 Compensación por Transporte"/>
    <s v="G/510304/1LA101"/>
    <s v="002"/>
    <n v="396"/>
    <n v="0"/>
    <n v="0"/>
    <n v="396"/>
    <n v="0"/>
    <n v="62.5"/>
    <n v="62.5"/>
    <n v="333.5"/>
    <n v="333.5"/>
    <n v="333.5"/>
  </r>
  <r>
    <s v="51"/>
    <x v="0"/>
    <x v="12"/>
    <s v="MC37B000"/>
    <x v="28"/>
    <s v="A101"/>
    <s v="FORTALECIMIENTO INSTITUCIONAL"/>
    <s v="GC00A10100004D"/>
    <s v="GC00A10100004D REMUNERACION PERSONAL"/>
    <s v="51 GASTOS EN PERSONAL"/>
    <s v="510304 Compensación por Transporte"/>
    <s v="G/510304/1BA101"/>
    <s v="002"/>
    <n v="660"/>
    <n v="0"/>
    <n v="0"/>
    <n v="660"/>
    <n v="0"/>
    <n v="288"/>
    <n v="288"/>
    <n v="372"/>
    <n v="372"/>
    <n v="372"/>
  </r>
  <r>
    <s v="51"/>
    <x v="1"/>
    <x v="3"/>
    <s v="UN31M010"/>
    <x v="11"/>
    <s v="A101"/>
    <s v="FORTALECIMIENTO INSTITUCIONAL"/>
    <s v="GC00A10100004D"/>
    <s v="GC00A10100004D REMUNERACION PERSONAL"/>
    <s v="51 GASTOS EN PERSONAL"/>
    <s v="510304 Compensación por Transporte"/>
    <s v="G/510304/1MA101"/>
    <s v="002"/>
    <n v="2376"/>
    <n v="320"/>
    <n v="0"/>
    <n v="2696"/>
    <n v="0"/>
    <n v="886.5"/>
    <n v="886.5"/>
    <n v="1809.5"/>
    <n v="1809.5"/>
    <n v="1809.5"/>
  </r>
  <r>
    <s v="51"/>
    <x v="1"/>
    <x v="2"/>
    <s v="JM40I070"/>
    <x v="12"/>
    <s v="A101"/>
    <s v="FORTALECIMIENTO INSTITUCIONAL"/>
    <s v="GC00A10100004D"/>
    <s v="GC00A10100004D REMUNERACION PERSONAL"/>
    <s v="51 GASTOS EN PERSONAL"/>
    <s v="510304 Compensación por Transporte"/>
    <s v="G/510304/1IA101"/>
    <s v="002"/>
    <n v="132"/>
    <n v="0"/>
    <n v="0"/>
    <n v="132"/>
    <n v="0"/>
    <n v="52"/>
    <n v="52"/>
    <n v="80"/>
    <n v="80"/>
    <n v="80"/>
  </r>
  <r>
    <s v="51"/>
    <x v="3"/>
    <x v="14"/>
    <s v="ZA01H000"/>
    <x v="30"/>
    <s v="A101"/>
    <s v="FORTALECIMIENTO INSTITUCIONAL"/>
    <s v="GC00A10100004D"/>
    <s v="GC00A10100004D REMUNERACION PERSONAL"/>
    <s v="51 GASTOS EN PERSONAL"/>
    <s v="510304 Compensación por Transporte"/>
    <s v="G/510304/1HA101"/>
    <s v="002"/>
    <n v="264"/>
    <n v="-264"/>
    <n v="0"/>
    <n v="0"/>
    <n v="0"/>
    <n v="0"/>
    <n v="0"/>
    <n v="0"/>
    <n v="0"/>
    <n v="0"/>
  </r>
  <r>
    <s v="51"/>
    <x v="3"/>
    <x v="15"/>
    <s v="AC67Q000"/>
    <x v="32"/>
    <s v="A101"/>
    <s v="FORTALECIMIENTO INSTITUCIONAL"/>
    <s v="GC00A10100004D"/>
    <s v="GC00A10100004D REMUNERACION PERSONAL"/>
    <s v="51 GASTOS EN PERSONAL"/>
    <s v="510304 Compensación por Transporte"/>
    <s v="G/510304/2QA101"/>
    <s v="002"/>
    <n v="4224"/>
    <n v="-1300"/>
    <n v="0"/>
    <n v="2924"/>
    <n v="0"/>
    <n v="2091.5"/>
    <n v="2091.5"/>
    <n v="832.5"/>
    <n v="832.5"/>
    <n v="832.5"/>
  </r>
  <r>
    <s v="51"/>
    <x v="1"/>
    <x v="2"/>
    <s v="SF43I080"/>
    <x v="35"/>
    <s v="A101"/>
    <s v="FORTALECIMIENTO INSTITUCIONAL"/>
    <s v="GC00A10100004D"/>
    <s v="GC00A10100004D REMUNERACION PERSONAL"/>
    <s v="51 GASTOS EN PERSONAL"/>
    <s v="510304 Compensación por Transporte"/>
    <s v="G/510304/1IA101"/>
    <s v="002"/>
    <n v="396"/>
    <n v="45"/>
    <n v="0"/>
    <n v="441"/>
    <n v="0"/>
    <n v="146"/>
    <n v="146"/>
    <n v="295"/>
    <n v="295"/>
    <n v="295"/>
  </r>
  <r>
    <s v="51"/>
    <x v="1"/>
    <x v="2"/>
    <s v="ES12I020"/>
    <x v="16"/>
    <s v="A101"/>
    <s v="FORTALECIMIENTO INSTITUCIONAL"/>
    <s v="GC00A10100004D"/>
    <s v="GC00A10100004D REMUNERACION PERSONAL"/>
    <s v="51 GASTOS EN PERSONAL"/>
    <s v="510304 Compensación por Transporte"/>
    <s v="G/510304/1IA101"/>
    <s v="002"/>
    <n v="1848"/>
    <n v="454"/>
    <n v="0"/>
    <n v="2302"/>
    <n v="0"/>
    <n v="585"/>
    <n v="585"/>
    <n v="1717"/>
    <n v="1717"/>
    <n v="1717"/>
  </r>
  <r>
    <s v="51"/>
    <x v="1"/>
    <x v="2"/>
    <s v="CB21I040"/>
    <x v="23"/>
    <s v="A101"/>
    <s v="FORTALECIMIENTO INSTITUCIONAL"/>
    <s v="GC00A10100004D"/>
    <s v="GC00A10100004D REMUNERACION PERSONAL"/>
    <s v="51 GASTOS EN PERSONAL"/>
    <s v="510304 Compensación por Transporte"/>
    <s v="G/510304/1IA101"/>
    <s v="002"/>
    <n v="264"/>
    <n v="0"/>
    <n v="0"/>
    <n v="264"/>
    <n v="0"/>
    <n v="104"/>
    <n v="104"/>
    <n v="160"/>
    <n v="160"/>
    <n v="160"/>
  </r>
  <r>
    <s v="51"/>
    <x v="1"/>
    <x v="3"/>
    <s v="ZA01M000"/>
    <x v="6"/>
    <s v="A101"/>
    <s v="FORTALECIMIENTO INSTITUCIONAL"/>
    <s v="GC00A10100004D"/>
    <s v="GC00A10100004D REMUNERACION PERSONAL"/>
    <s v="51 GASTOS EN PERSONAL"/>
    <s v="510304 Compensación por Transporte"/>
    <s v="G/510304/1MA101"/>
    <s v="002"/>
    <n v="792"/>
    <n v="0"/>
    <n v="0"/>
    <n v="792"/>
    <n v="0"/>
    <n v="406"/>
    <n v="406"/>
    <n v="386"/>
    <n v="386"/>
    <n v="386"/>
  </r>
  <r>
    <s v="51"/>
    <x v="1"/>
    <x v="2"/>
    <s v="ZA01I000"/>
    <x v="5"/>
    <s v="A101"/>
    <s v="FORTALECIMIENTO INSTITUCIONAL"/>
    <s v="GC00A10100004D"/>
    <s v="GC00A10100004D REMUNERACION PERSONAL"/>
    <s v="51 GASTOS EN PERSONAL"/>
    <s v="510304 Compensación por Transporte"/>
    <s v="G/510304/1IA101"/>
    <s v="002"/>
    <n v="3696"/>
    <n v="1150"/>
    <n v="0"/>
    <n v="4846"/>
    <n v="0"/>
    <n v="1608"/>
    <n v="1608"/>
    <n v="3238"/>
    <n v="3238"/>
    <n v="3238"/>
  </r>
  <r>
    <s v="51"/>
    <x v="1"/>
    <x v="2"/>
    <s v="CF22I050"/>
    <x v="22"/>
    <s v="A101"/>
    <s v="FORTALECIMIENTO INSTITUCIONAL"/>
    <s v="GC00A10100004D"/>
    <s v="GC00A10100004D REMUNERACION PERSONAL"/>
    <s v="51 GASTOS EN PERSONAL"/>
    <s v="510304 Compensación por Transporte"/>
    <s v="G/510304/1IA101"/>
    <s v="002"/>
    <n v="924"/>
    <n v="452"/>
    <n v="0"/>
    <n v="1376"/>
    <n v="0"/>
    <n v="511.5"/>
    <n v="511.5"/>
    <n v="864.5"/>
    <n v="864.5"/>
    <n v="864.5"/>
  </r>
  <r>
    <s v="51"/>
    <x v="1"/>
    <x v="2"/>
    <s v="EQ13I030"/>
    <x v="20"/>
    <s v="A101"/>
    <s v="FORTALECIMIENTO INSTITUCIONAL"/>
    <s v="GC00A10100004D"/>
    <s v="GC00A10100004D REMUNERACION PERSONAL"/>
    <s v="51 GASTOS EN PERSONAL"/>
    <s v="510304 Compensación por Transporte"/>
    <s v="G/510304/1IA101"/>
    <s v="002"/>
    <n v="528"/>
    <n v="0"/>
    <n v="0"/>
    <n v="528"/>
    <n v="0"/>
    <n v="208"/>
    <n v="208"/>
    <n v="320"/>
    <n v="320"/>
    <n v="320"/>
  </r>
  <r>
    <s v="51"/>
    <x v="1"/>
    <x v="2"/>
    <s v="EE11I010"/>
    <x v="21"/>
    <s v="A101"/>
    <s v="FORTALECIMIENTO INSTITUCIONAL"/>
    <s v="GC00A10100004D"/>
    <s v="GC00A10100004D REMUNERACION PERSONAL"/>
    <s v="51 GASTOS EN PERSONAL"/>
    <s v="510304 Compensación por Transporte"/>
    <s v="G/510304/1IA101"/>
    <s v="002"/>
    <n v="528"/>
    <n v="265"/>
    <n v="0"/>
    <n v="793"/>
    <n v="0"/>
    <n v="293.5"/>
    <n v="293.5"/>
    <n v="499.5"/>
    <n v="499.5"/>
    <n v="499.5"/>
  </r>
  <r>
    <s v="51"/>
    <x v="1"/>
    <x v="3"/>
    <s v="UC32M020"/>
    <x v="7"/>
    <s v="A101"/>
    <s v="FORTALECIMIENTO INSTITUCIONAL"/>
    <s v="GC00A10100004D"/>
    <s v="GC00A10100004D REMUNERACION PERSONAL"/>
    <s v="51 GASTOS EN PERSONAL"/>
    <s v="510304 Compensación por Transporte"/>
    <s v="G/510304/1MA101"/>
    <s v="002"/>
    <n v="1584"/>
    <n v="242"/>
    <n v="0"/>
    <n v="1826"/>
    <n v="0"/>
    <n v="710.5"/>
    <n v="710.5"/>
    <n v="1115.5"/>
    <n v="1115.5"/>
    <n v="1115.5"/>
  </r>
  <r>
    <s v="51"/>
    <x v="2"/>
    <x v="10"/>
    <s v="ZA01D000"/>
    <x v="24"/>
    <s v="A101"/>
    <s v="FORTALECIMIENTO INSTITUCIONAL"/>
    <s v="GC00A10100004D"/>
    <s v="GC00A10100004D REMUNERACION PERSONAL"/>
    <s v="51 GASTOS EN PERSONAL"/>
    <s v="510304 Compensación por Transporte"/>
    <s v="G/510304/1DA101"/>
    <s v="002"/>
    <n v="528"/>
    <n v="0"/>
    <n v="0"/>
    <n v="528"/>
    <n v="0"/>
    <n v="102.5"/>
    <n v="102.5"/>
    <n v="425.5"/>
    <n v="425.5"/>
    <n v="425.5"/>
  </r>
  <r>
    <s v="51"/>
    <x v="2"/>
    <x v="11"/>
    <s v="ZT06F060"/>
    <x v="25"/>
    <s v="A101"/>
    <s v="FORTALECIMIENTO INSTITUCIONAL"/>
    <s v="GC00A10100004D"/>
    <s v="GC00A10100004D REMUNERACION PERSONAL"/>
    <s v="51 GASTOS EN PERSONAL"/>
    <s v="510304 Compensación por Transporte"/>
    <s v="G/510304/1FA101"/>
    <s v="002"/>
    <n v="3036"/>
    <n v="0"/>
    <n v="0"/>
    <n v="3036"/>
    <n v="0"/>
    <n v="921"/>
    <n v="921"/>
    <n v="2115"/>
    <n v="2115"/>
    <n v="2115"/>
  </r>
  <r>
    <s v="51"/>
    <x v="1"/>
    <x v="3"/>
    <s v="US33M030"/>
    <x v="8"/>
    <s v="A101"/>
    <s v="FORTALECIMIENTO INSTITUCIONAL"/>
    <s v="GC00A10100004D"/>
    <s v="GC00A10100004D REMUNERACION PERSONAL"/>
    <s v="51 GASTOS EN PERSONAL"/>
    <s v="510304 Compensación por Transporte"/>
    <s v="G/510304/1MA101"/>
    <s v="002"/>
    <n v="2640"/>
    <n v="100"/>
    <n v="0"/>
    <n v="2740"/>
    <n v="0"/>
    <n v="1596"/>
    <n v="1596"/>
    <n v="1144"/>
    <n v="1144"/>
    <n v="1144"/>
  </r>
  <r>
    <s v="51"/>
    <x v="2"/>
    <x v="11"/>
    <s v="ZV05F050"/>
    <x v="37"/>
    <s v="A101"/>
    <s v="FORTALECIMIENTO INSTITUCIONAL"/>
    <s v="GC00A10100004D"/>
    <s v="GC00A10100004D REMUNERACION PERSONAL"/>
    <s v="51 GASTOS EN PERSONAL"/>
    <s v="510304 Compensación por Transporte"/>
    <s v="G/510304/1FA101"/>
    <s v="002"/>
    <n v="1584"/>
    <n v="0"/>
    <n v="0"/>
    <n v="1584"/>
    <n v="0"/>
    <n v="247.5"/>
    <n v="247.5"/>
    <n v="1336.5"/>
    <n v="1336.5"/>
    <n v="1336.5"/>
  </r>
  <r>
    <s v="51"/>
    <x v="1"/>
    <x v="2"/>
    <s v="OL41I060"/>
    <x v="42"/>
    <s v="A101"/>
    <s v="FORTALECIMIENTO INSTITUCIONAL"/>
    <s v="GC00A10100004D"/>
    <s v="GC00A10100004D REMUNERACION PERSONAL"/>
    <s v="51 GASTOS EN PERSONAL"/>
    <s v="510304 Compensación por Transporte"/>
    <s v="G/510304/1IA101"/>
    <s v="002"/>
    <n v="264"/>
    <n v="0"/>
    <n v="0"/>
    <n v="264"/>
    <n v="0"/>
    <n v="104"/>
    <n v="104"/>
    <n v="160"/>
    <n v="160"/>
    <n v="160"/>
  </r>
  <r>
    <s v="51"/>
    <x v="2"/>
    <x v="5"/>
    <s v="ZA01N000"/>
    <x v="10"/>
    <s v="A101"/>
    <s v="FORTALECIMIENTO INSTITUCIONAL"/>
    <s v="GC00A10100004D"/>
    <s v="GC00A10100004D REMUNERACION PERSONAL"/>
    <s v="51 GASTOS EN PERSONAL"/>
    <s v="510304 Compensación por Transporte"/>
    <s v="G/510304/1NA101"/>
    <s v="002"/>
    <n v="2244"/>
    <n v="0"/>
    <n v="0"/>
    <n v="2244"/>
    <n v="0"/>
    <n v="824.5"/>
    <n v="824.5"/>
    <n v="1419.5"/>
    <n v="1419.5"/>
    <n v="1419.5"/>
  </r>
  <r>
    <s v="51"/>
    <x v="2"/>
    <x v="5"/>
    <s v="PM71N010"/>
    <x v="27"/>
    <s v="A101"/>
    <s v="FORTALECIMIENTO INSTITUCIONAL"/>
    <s v="GC00A10100004D"/>
    <s v="GC00A10100004D REMUNERACION PERSONAL"/>
    <s v="51 GASTOS EN PERSONAL"/>
    <s v="510304 Compensación por Transporte"/>
    <s v="G/510304/1NA101"/>
    <s v="002"/>
    <n v="660"/>
    <n v="0"/>
    <n v="0"/>
    <n v="660"/>
    <n v="0"/>
    <n v="508"/>
    <n v="508"/>
    <n v="152"/>
    <n v="152"/>
    <n v="152"/>
  </r>
  <r>
    <s v="51"/>
    <x v="2"/>
    <x v="11"/>
    <s v="ZS03F030"/>
    <x v="38"/>
    <s v="A101"/>
    <s v="FORTALECIMIENTO INSTITUCIONAL"/>
    <s v="GC00A10100004D"/>
    <s v="GC00A10100004D REMUNERACION PERSONAL"/>
    <s v="51 GASTOS EN PERSONAL"/>
    <s v="510304 Compensación por Transporte"/>
    <s v="G/510304/1FA101"/>
    <s v="002"/>
    <n v="2904"/>
    <n v="303"/>
    <n v="0"/>
    <n v="3207"/>
    <n v="0"/>
    <n v="968"/>
    <n v="968"/>
    <n v="2239"/>
    <n v="2239"/>
    <n v="2239"/>
  </r>
  <r>
    <s v="51"/>
    <x v="1"/>
    <x v="13"/>
    <s v="ZA01G000"/>
    <x v="29"/>
    <s v="A101"/>
    <s v="FORTALECIMIENTO INSTITUCIONAL"/>
    <s v="GC00A10100004D"/>
    <s v="GC00A10100004D REMUNERACION PERSONAL"/>
    <s v="51 GASTOS EN PERSONAL"/>
    <s v="510304 Compensación por Transporte"/>
    <s v="G/510304/1GA101"/>
    <s v="002"/>
    <n v="1584"/>
    <n v="0"/>
    <n v="0"/>
    <n v="1584"/>
    <n v="0"/>
    <n v="445.5"/>
    <n v="445.5"/>
    <n v="1138.5"/>
    <n v="1138.5"/>
    <n v="1138.5"/>
  </r>
  <r>
    <s v="51"/>
    <x v="1"/>
    <x v="2"/>
    <s v="MB42I090"/>
    <x v="26"/>
    <s v="A101"/>
    <s v="FORTALECIMIENTO INSTITUCIONAL"/>
    <s v="GC00A10100004D"/>
    <s v="GC00A10100004D REMUNERACION PERSONAL"/>
    <s v="51 GASTOS EN PERSONAL"/>
    <s v="510304 Compensación por Transporte"/>
    <s v="G/510304/1IA101"/>
    <s v="002"/>
    <n v="528"/>
    <n v="0"/>
    <n v="0"/>
    <n v="528"/>
    <n v="0"/>
    <n v="262"/>
    <n v="262"/>
    <n v="266"/>
    <n v="266"/>
    <n v="266"/>
  </r>
  <r>
    <s v="51"/>
    <x v="1"/>
    <x v="3"/>
    <s v="UC32M020"/>
    <x v="7"/>
    <s v="A101"/>
    <s v="FORTALECIMIENTO INSTITUCIONAL"/>
    <s v="GC00A10100004D"/>
    <s v="GC00A10100004D REMUNERACION PERSONAL"/>
    <s v="51 GASTOS EN PERSONAL"/>
    <s v="510306 Alimentación"/>
    <s v="G/510306/1MA101"/>
    <s v="002"/>
    <n v="12672"/>
    <n v="800"/>
    <n v="0"/>
    <n v="13472"/>
    <n v="0"/>
    <n v="7128"/>
    <n v="7128"/>
    <n v="6344"/>
    <n v="6344"/>
    <n v="6344"/>
  </r>
  <r>
    <s v="51"/>
    <x v="1"/>
    <x v="2"/>
    <s v="ES12I020"/>
    <x v="16"/>
    <s v="A101"/>
    <s v="FORTALECIMIENTO INSTITUCIONAL"/>
    <s v="GC00A10100004D"/>
    <s v="GC00A10100004D REMUNERACION PERSONAL"/>
    <s v="51 GASTOS EN PERSONAL"/>
    <s v="510306 Alimentación"/>
    <s v="G/510306/1IA101"/>
    <s v="002"/>
    <n v="14784"/>
    <n v="0"/>
    <n v="0"/>
    <n v="14784"/>
    <n v="0"/>
    <n v="6148"/>
    <n v="6148"/>
    <n v="8636"/>
    <n v="8636"/>
    <n v="8636"/>
  </r>
  <r>
    <s v="51"/>
    <x v="2"/>
    <x v="11"/>
    <s v="ZC09F090"/>
    <x v="44"/>
    <s v="A101"/>
    <s v="FORTALECIMIENTO INSTITUCIONAL"/>
    <s v="GC00A10100004D"/>
    <s v="GC00A10100004D REMUNERACION PERSONAL"/>
    <s v="51 GASTOS EN PERSONAL"/>
    <s v="510306 Alimentación"/>
    <s v="G/510306/1FA101"/>
    <s v="002"/>
    <n v="8448"/>
    <n v="0"/>
    <n v="0"/>
    <n v="8448"/>
    <n v="0"/>
    <n v="4332"/>
    <n v="4332"/>
    <n v="4116"/>
    <n v="4116"/>
    <n v="4116"/>
  </r>
  <r>
    <s v="51"/>
    <x v="2"/>
    <x v="6"/>
    <s v="ZA01K000"/>
    <x v="17"/>
    <s v="A101"/>
    <s v="FORTALECIMIENTO INSTITUCIONAL"/>
    <s v="GC00A10100004D"/>
    <s v="GC00A10100004D REMUNERACION PERSONAL"/>
    <s v="51 GASTOS EN PERSONAL"/>
    <s v="510306 Alimentación"/>
    <s v="G/510306/1KA101"/>
    <s v="002"/>
    <n v="7392"/>
    <n v="0"/>
    <n v="0"/>
    <n v="7392"/>
    <n v="0"/>
    <n v="3556"/>
    <n v="3556"/>
    <n v="3836"/>
    <n v="3836"/>
    <n v="3836"/>
  </r>
  <r>
    <s v="51"/>
    <x v="2"/>
    <x v="11"/>
    <s v="ZN02F020"/>
    <x v="40"/>
    <s v="A101"/>
    <s v="FORTALECIMIENTO INSTITUCIONAL"/>
    <s v="GC00A10100004D"/>
    <s v="GC00A10100004D REMUNERACION PERSONAL"/>
    <s v="51 GASTOS EN PERSONAL"/>
    <s v="510306 Alimentación"/>
    <s v="G/510306/1FA101"/>
    <s v="002"/>
    <n v="58080"/>
    <n v="500"/>
    <n v="0"/>
    <n v="58580"/>
    <n v="0"/>
    <n v="32024"/>
    <n v="32024"/>
    <n v="26556"/>
    <n v="26556"/>
    <n v="26556"/>
  </r>
  <r>
    <s v="51"/>
    <x v="1"/>
    <x v="2"/>
    <s v="EQ13I030"/>
    <x v="20"/>
    <s v="A101"/>
    <s v="FORTALECIMIENTO INSTITUCIONAL"/>
    <s v="GC00A10100004D"/>
    <s v="GC00A10100004D REMUNERACION PERSONAL"/>
    <s v="51 GASTOS EN PERSONAL"/>
    <s v="510306 Alimentación"/>
    <s v="G/510306/1IA101"/>
    <s v="002"/>
    <n v="4224"/>
    <n v="0"/>
    <n v="0"/>
    <n v="4224"/>
    <n v="0"/>
    <n v="1664"/>
    <n v="1664"/>
    <n v="2560"/>
    <n v="2560"/>
    <n v="2560"/>
  </r>
  <r>
    <s v="51"/>
    <x v="2"/>
    <x v="5"/>
    <s v="PM71N010"/>
    <x v="27"/>
    <s v="A101"/>
    <s v="FORTALECIMIENTO INSTITUCIONAL"/>
    <s v="GC00A10100004D"/>
    <s v="GC00A10100004D REMUNERACION PERSONAL"/>
    <s v="51 GASTOS EN PERSONAL"/>
    <s v="510306 Alimentación"/>
    <s v="G/510306/1NA101"/>
    <s v="002"/>
    <n v="5280"/>
    <n v="0"/>
    <n v="0"/>
    <n v="5280"/>
    <n v="0"/>
    <n v="4064"/>
    <n v="4064"/>
    <n v="1216"/>
    <n v="1216"/>
    <n v="1216"/>
  </r>
  <r>
    <s v="51"/>
    <x v="3"/>
    <x v="14"/>
    <s v="ZA01H000"/>
    <x v="30"/>
    <s v="A101"/>
    <s v="FORTALECIMIENTO INSTITUCIONAL"/>
    <s v="GC00A10100004D"/>
    <s v="GC00A10100004D REMUNERACION PERSONAL"/>
    <s v="51 GASTOS EN PERSONAL"/>
    <s v="510306 Alimentación"/>
    <s v="G/510306/1HA101"/>
    <s v="002"/>
    <n v="2112"/>
    <n v="-2112"/>
    <n v="0"/>
    <n v="0"/>
    <n v="0"/>
    <n v="0"/>
    <n v="0"/>
    <n v="0"/>
    <n v="0"/>
    <n v="0"/>
  </r>
  <r>
    <s v="51"/>
    <x v="1"/>
    <x v="2"/>
    <s v="JM40I070"/>
    <x v="12"/>
    <s v="A101"/>
    <s v="FORTALECIMIENTO INSTITUCIONAL"/>
    <s v="GC00A10100004D"/>
    <s v="GC00A10100004D REMUNERACION PERSONAL"/>
    <s v="51 GASTOS EN PERSONAL"/>
    <s v="510306 Alimentación"/>
    <s v="G/510306/1IA101"/>
    <s v="002"/>
    <n v="1056"/>
    <n v="0"/>
    <n v="0"/>
    <n v="1056"/>
    <n v="0"/>
    <n v="416"/>
    <n v="416"/>
    <n v="640"/>
    <n v="640"/>
    <n v="640"/>
  </r>
  <r>
    <s v="51"/>
    <x v="2"/>
    <x v="6"/>
    <s v="AT69K040"/>
    <x v="13"/>
    <s v="A101"/>
    <s v="FORTALECIMIENTO INSTITUCIONAL"/>
    <s v="GC00A10100004D"/>
    <s v="GC00A10100004D REMUNERACION PERSONAL"/>
    <s v="51 GASTOS EN PERSONAL"/>
    <s v="510306 Alimentación"/>
    <s v="G/510306/1KA101"/>
    <s v="002"/>
    <n v="2112"/>
    <n v="0"/>
    <n v="0"/>
    <n v="2112"/>
    <n v="0"/>
    <n v="1660"/>
    <n v="1660"/>
    <n v="452"/>
    <n v="452"/>
    <n v="452"/>
  </r>
  <r>
    <s v="51"/>
    <x v="2"/>
    <x v="5"/>
    <s v="ZA01N000"/>
    <x v="10"/>
    <s v="A101"/>
    <s v="FORTALECIMIENTO INSTITUCIONAL"/>
    <s v="GC00A10100004D"/>
    <s v="GC00A10100004D REMUNERACION PERSONAL"/>
    <s v="51 GASTOS EN PERSONAL"/>
    <s v="510306 Alimentación"/>
    <s v="G/510306/1NA101"/>
    <s v="002"/>
    <n v="17952"/>
    <n v="0"/>
    <n v="0"/>
    <n v="17952"/>
    <n v="0"/>
    <n v="11236"/>
    <n v="11236"/>
    <n v="6716"/>
    <n v="6716"/>
    <n v="6716"/>
  </r>
  <r>
    <s v="51"/>
    <x v="2"/>
    <x v="11"/>
    <s v="ZD07F070"/>
    <x v="43"/>
    <s v="A101"/>
    <s v="FORTALECIMIENTO INSTITUCIONAL"/>
    <s v="GC00A10100004D"/>
    <s v="GC00A10100004D REMUNERACION PERSONAL"/>
    <s v="51 GASTOS EN PERSONAL"/>
    <s v="510306 Alimentación"/>
    <s v="G/510306/1FA101"/>
    <s v="002"/>
    <n v="11616"/>
    <n v="0"/>
    <n v="0"/>
    <n v="11616"/>
    <n v="0"/>
    <n v="4916"/>
    <n v="4916"/>
    <n v="6700"/>
    <n v="6700"/>
    <n v="6700"/>
  </r>
  <r>
    <s v="51"/>
    <x v="1"/>
    <x v="2"/>
    <s v="OL41I060"/>
    <x v="42"/>
    <s v="A101"/>
    <s v="FORTALECIMIENTO INSTITUCIONAL"/>
    <s v="GC00A10100004D"/>
    <s v="GC00A10100004D REMUNERACION PERSONAL"/>
    <s v="51 GASTOS EN PERSONAL"/>
    <s v="510306 Alimentación"/>
    <s v="G/510306/1IA101"/>
    <s v="002"/>
    <n v="2112"/>
    <n v="0"/>
    <n v="0"/>
    <n v="2112"/>
    <n v="0"/>
    <n v="832"/>
    <n v="832"/>
    <n v="1280"/>
    <n v="1280"/>
    <n v="1280"/>
  </r>
  <r>
    <s v="51"/>
    <x v="2"/>
    <x v="8"/>
    <s v="ZA01P000"/>
    <x v="15"/>
    <s v="A101"/>
    <s v="FORTALECIMIENTO INSTITUCIONAL"/>
    <s v="GC00A10100004D"/>
    <s v="GC00A10100004D REMUNERACION PERSONAL"/>
    <s v="51 GASTOS EN PERSONAL"/>
    <s v="510306 Alimentación"/>
    <s v="G/510306/1PA101"/>
    <s v="002"/>
    <n v="1056"/>
    <n v="1286"/>
    <n v="0"/>
    <n v="2342"/>
    <n v="0"/>
    <n v="840"/>
    <n v="840"/>
    <n v="1502"/>
    <n v="1502"/>
    <n v="1502"/>
  </r>
  <r>
    <s v="51"/>
    <x v="0"/>
    <x v="12"/>
    <s v="MC37B000"/>
    <x v="28"/>
    <s v="A101"/>
    <s v="FORTALECIMIENTO INSTITUCIONAL"/>
    <s v="GC00A10100004D"/>
    <s v="GC00A10100004D REMUNERACION PERSONAL"/>
    <s v="51 GASTOS EN PERSONAL"/>
    <s v="510306 Alimentación"/>
    <s v="G/510306/1BA101"/>
    <s v="002"/>
    <n v="5280"/>
    <n v="0"/>
    <n v="0"/>
    <n v="5280"/>
    <n v="0"/>
    <n v="3968"/>
    <n v="3968"/>
    <n v="1312"/>
    <n v="1312"/>
    <n v="1312"/>
  </r>
  <r>
    <s v="51"/>
    <x v="2"/>
    <x v="11"/>
    <s v="ZM04F040"/>
    <x v="41"/>
    <s v="A101"/>
    <s v="FORTALECIMIENTO INSTITUCIONAL"/>
    <s v="GC00A10100004D"/>
    <s v="GC00A10100004D REMUNERACION PERSONAL"/>
    <s v="51 GASTOS EN PERSONAL"/>
    <s v="510306 Alimentación"/>
    <s v="G/510306/1FA101"/>
    <s v="002"/>
    <n v="17952"/>
    <n v="0"/>
    <n v="0"/>
    <n v="17952"/>
    <n v="0"/>
    <n v="8624"/>
    <n v="8624"/>
    <n v="9328"/>
    <n v="9328"/>
    <n v="9328"/>
  </r>
  <r>
    <s v="51"/>
    <x v="1"/>
    <x v="2"/>
    <s v="SF43I080"/>
    <x v="35"/>
    <s v="A101"/>
    <s v="FORTALECIMIENTO INSTITUCIONAL"/>
    <s v="GC00A10100004D"/>
    <s v="GC00A10100004D REMUNERACION PERSONAL"/>
    <s v="51 GASTOS EN PERSONAL"/>
    <s v="510306 Alimentación"/>
    <s v="G/510306/1IA101"/>
    <s v="002"/>
    <n v="3168"/>
    <n v="0"/>
    <n v="0"/>
    <n v="3168"/>
    <n v="0"/>
    <n v="1584"/>
    <n v="1584"/>
    <n v="1584"/>
    <n v="1584"/>
    <n v="1584"/>
  </r>
  <r>
    <s v="51"/>
    <x v="1"/>
    <x v="2"/>
    <s v="MB42I090"/>
    <x v="26"/>
    <s v="A101"/>
    <s v="FORTALECIMIENTO INSTITUCIONAL"/>
    <s v="GC00A10100004D"/>
    <s v="GC00A10100004D REMUNERACION PERSONAL"/>
    <s v="51 GASTOS EN PERSONAL"/>
    <s v="510306 Alimentación"/>
    <s v="G/510306/1IA101"/>
    <s v="002"/>
    <n v="4224"/>
    <n v="2121"/>
    <n v="0"/>
    <n v="6345"/>
    <n v="0"/>
    <n v="2356"/>
    <n v="2356"/>
    <n v="3989"/>
    <n v="3989"/>
    <n v="3989"/>
  </r>
  <r>
    <s v="51"/>
    <x v="1"/>
    <x v="3"/>
    <s v="ZA01M000"/>
    <x v="6"/>
    <s v="A101"/>
    <s v="FORTALECIMIENTO INSTITUCIONAL"/>
    <s v="GC00A10100004D"/>
    <s v="GC00A10100004D REMUNERACION PERSONAL"/>
    <s v="51 GASTOS EN PERSONAL"/>
    <s v="510306 Alimentación"/>
    <s v="G/510306/1MA101"/>
    <s v="002"/>
    <n v="6336"/>
    <n v="0"/>
    <n v="0"/>
    <n v="6336"/>
    <n v="0"/>
    <n v="4168"/>
    <n v="4168"/>
    <n v="2168"/>
    <n v="2168"/>
    <n v="2168"/>
  </r>
  <r>
    <s v="51"/>
    <x v="0"/>
    <x v="7"/>
    <s v="ZA01L000"/>
    <x v="14"/>
    <s v="A101"/>
    <s v="FORTALECIMIENTO INSTITUCIONAL"/>
    <s v="GC00A10100004D"/>
    <s v="GC00A10100004D REMUNERACION PERSONAL"/>
    <s v="51 GASTOS EN PERSONAL"/>
    <s v="510306 Alimentación"/>
    <s v="G/510306/1LA101"/>
    <s v="002"/>
    <n v="3168"/>
    <n v="0"/>
    <n v="0"/>
    <n v="3168"/>
    <n v="0"/>
    <n v="1196"/>
    <n v="1196"/>
    <n v="1972"/>
    <n v="1972"/>
    <n v="1972"/>
  </r>
  <r>
    <s v="51"/>
    <x v="2"/>
    <x v="10"/>
    <s v="ZA01D000"/>
    <x v="24"/>
    <s v="A101"/>
    <s v="FORTALECIMIENTO INSTITUCIONAL"/>
    <s v="GC00A10100004D"/>
    <s v="GC00A10100004D REMUNERACION PERSONAL"/>
    <s v="51 GASTOS EN PERSONAL"/>
    <s v="510306 Alimentación"/>
    <s v="G/510306/1DA101"/>
    <s v="002"/>
    <n v="4224"/>
    <n v="0"/>
    <n v="0"/>
    <n v="4224"/>
    <n v="0"/>
    <n v="1392"/>
    <n v="1392"/>
    <n v="2832"/>
    <n v="2832"/>
    <n v="2832"/>
  </r>
  <r>
    <s v="51"/>
    <x v="0"/>
    <x v="9"/>
    <s v="ZA01E000"/>
    <x v="18"/>
    <s v="A101"/>
    <s v="FORTALECIMIENTO INSTITUCIONAL"/>
    <s v="GC00A10100004D"/>
    <s v="GC00A10100004D REMUNERACION PERSONAL"/>
    <s v="51 GASTOS EN PERSONAL"/>
    <s v="510306 Alimentación"/>
    <s v="G/510306/1EA101"/>
    <s v="002"/>
    <n v="9504"/>
    <n v="0"/>
    <n v="0"/>
    <n v="9504"/>
    <n v="0"/>
    <n v="4836"/>
    <n v="4836"/>
    <n v="4668"/>
    <n v="4668"/>
    <n v="4668"/>
  </r>
  <r>
    <s v="51"/>
    <x v="2"/>
    <x v="11"/>
    <s v="ZQ08F080"/>
    <x v="39"/>
    <s v="A101"/>
    <s v="FORTALECIMIENTO INSTITUCIONAL"/>
    <s v="GC00A10100004D"/>
    <s v="GC00A10100004D REMUNERACION PERSONAL"/>
    <s v="51 GASTOS EN PERSONAL"/>
    <s v="510306 Alimentación"/>
    <s v="G/510306/1FA101"/>
    <s v="002"/>
    <n v="11616"/>
    <n v="0"/>
    <n v="0"/>
    <n v="11616"/>
    <n v="0"/>
    <n v="5596"/>
    <n v="5596"/>
    <n v="6020"/>
    <n v="6020"/>
    <n v="6020"/>
  </r>
  <r>
    <s v="51"/>
    <x v="1"/>
    <x v="3"/>
    <s v="US33M030"/>
    <x v="8"/>
    <s v="A101"/>
    <s v="FORTALECIMIENTO INSTITUCIONAL"/>
    <s v="GC00A10100004D"/>
    <s v="GC00A10100004D REMUNERACION PERSONAL"/>
    <s v="51 GASTOS EN PERSONAL"/>
    <s v="510306 Alimentación"/>
    <s v="G/510306/1MA101"/>
    <s v="002"/>
    <n v="21120"/>
    <n v="800"/>
    <n v="0"/>
    <n v="21920"/>
    <n v="0"/>
    <n v="13600"/>
    <n v="13600"/>
    <n v="8320"/>
    <n v="8320"/>
    <n v="8320"/>
  </r>
  <r>
    <s v="51"/>
    <x v="2"/>
    <x v="11"/>
    <s v="ZV05F050"/>
    <x v="37"/>
    <s v="A101"/>
    <s v="FORTALECIMIENTO INSTITUCIONAL"/>
    <s v="GC00A10100004D"/>
    <s v="GC00A10100004D REMUNERACION PERSONAL"/>
    <s v="51 GASTOS EN PERSONAL"/>
    <s v="510306 Alimentación"/>
    <s v="G/510306/1FA101"/>
    <s v="002"/>
    <n v="12672"/>
    <n v="0"/>
    <n v="0"/>
    <n v="12672"/>
    <n v="0"/>
    <n v="5512"/>
    <n v="5512"/>
    <n v="7160"/>
    <n v="7160"/>
    <n v="7160"/>
  </r>
  <r>
    <s v="51"/>
    <x v="1"/>
    <x v="13"/>
    <s v="ZA01G000"/>
    <x v="29"/>
    <s v="A101"/>
    <s v="FORTALECIMIENTO INSTITUCIONAL"/>
    <s v="GC00A10100004D"/>
    <s v="GC00A10100004D REMUNERACION PERSONAL"/>
    <s v="51 GASTOS EN PERSONAL"/>
    <s v="510306 Alimentación"/>
    <s v="G/510306/1GA101"/>
    <s v="002"/>
    <n v="12672"/>
    <n v="0"/>
    <n v="0"/>
    <n v="12672"/>
    <n v="0"/>
    <n v="5476"/>
    <n v="5476"/>
    <n v="7196"/>
    <n v="7196"/>
    <n v="7196"/>
  </r>
  <r>
    <s v="51"/>
    <x v="0"/>
    <x v="0"/>
    <s v="ZA01A000"/>
    <x v="1"/>
    <s v="A101"/>
    <s v="FORTALECIMIENTO INSTITUCIONAL"/>
    <s v="GC00A10100004D"/>
    <s v="GC00A10100004D REMUNERACION PERSONAL"/>
    <s v="51 GASTOS EN PERSONAL"/>
    <s v="510306 Alimentación"/>
    <s v="G/510306/1AA101"/>
    <s v="002"/>
    <n v="107712"/>
    <n v="352"/>
    <n v="0"/>
    <n v="108064"/>
    <n v="0"/>
    <n v="62868"/>
    <n v="62868"/>
    <n v="45196"/>
    <n v="45196"/>
    <n v="45196"/>
  </r>
  <r>
    <s v="51"/>
    <x v="0"/>
    <x v="1"/>
    <s v="ZA01C000"/>
    <x v="19"/>
    <s v="A101"/>
    <s v="FORTALECIMIENTO INSTITUCIONAL"/>
    <s v="GC00A10100004D"/>
    <s v="GC00A10100004D REMUNERACION PERSONAL"/>
    <s v="51 GASTOS EN PERSONAL"/>
    <s v="510306 Alimentación"/>
    <s v="G/510306/1CA101"/>
    <s v="002"/>
    <n v="14784"/>
    <n v="-352"/>
    <n v="0"/>
    <n v="14432"/>
    <n v="0"/>
    <n v="4632"/>
    <n v="4632"/>
    <n v="9800"/>
    <n v="9800"/>
    <n v="9800"/>
  </r>
  <r>
    <s v="51"/>
    <x v="2"/>
    <x v="11"/>
    <s v="ZT06F060"/>
    <x v="25"/>
    <s v="A101"/>
    <s v="FORTALECIMIENTO INSTITUCIONAL"/>
    <s v="GC00A10100004D"/>
    <s v="GC00A10100004D REMUNERACION PERSONAL"/>
    <s v="51 GASTOS EN PERSONAL"/>
    <s v="510306 Alimentación"/>
    <s v="G/510306/1FA101"/>
    <s v="002"/>
    <n v="24288"/>
    <n v="0"/>
    <n v="0"/>
    <n v="24288"/>
    <n v="0"/>
    <n v="9468"/>
    <n v="9468"/>
    <n v="14820"/>
    <n v="14820"/>
    <n v="14820"/>
  </r>
  <r>
    <s v="51"/>
    <x v="0"/>
    <x v="1"/>
    <s v="ZA01C002"/>
    <x v="46"/>
    <s v="A101"/>
    <s v="FORTALECIMIENTO INSTITUCIONAL"/>
    <s v="GC00A10100004D"/>
    <s v="GC00A10100004D REMUNERACION PERSONAL"/>
    <s v="51 GASTOS EN PERSONAL"/>
    <s v="510306 Alimentación"/>
    <s v="G/510306/1CA101"/>
    <s v="002"/>
    <n v="1056"/>
    <n v="0"/>
    <n v="0"/>
    <n v="1056"/>
    <n v="0"/>
    <n v="416"/>
    <n v="416"/>
    <n v="640"/>
    <n v="640"/>
    <n v="640"/>
  </r>
  <r>
    <s v="51"/>
    <x v="0"/>
    <x v="1"/>
    <s v="ZA01C030"/>
    <x v="3"/>
    <s v="A101"/>
    <s v="FORTALECIMIENTO INSTITUCIONAL"/>
    <s v="GC00A10100004D"/>
    <s v="GC00A10100004D REMUNERACION PERSONAL"/>
    <s v="51 GASTOS EN PERSONAL"/>
    <s v="510306 Alimentación"/>
    <s v="G/510306/1CA101"/>
    <s v="002"/>
    <n v="24288"/>
    <n v="0"/>
    <n v="0"/>
    <n v="24288"/>
    <n v="0"/>
    <n v="9788"/>
    <n v="9788"/>
    <n v="14500"/>
    <n v="14500"/>
    <n v="14500"/>
  </r>
  <r>
    <s v="51"/>
    <x v="2"/>
    <x v="11"/>
    <s v="ZS03F030"/>
    <x v="38"/>
    <s v="A101"/>
    <s v="FORTALECIMIENTO INSTITUCIONAL"/>
    <s v="GC00A10100004D"/>
    <s v="GC00A10100004D REMUNERACION PERSONAL"/>
    <s v="51 GASTOS EN PERSONAL"/>
    <s v="510306 Alimentación"/>
    <s v="G/510306/1FA101"/>
    <s v="002"/>
    <n v="23232"/>
    <n v="0"/>
    <n v="0"/>
    <n v="23232"/>
    <n v="0"/>
    <n v="12288"/>
    <n v="12288"/>
    <n v="10944"/>
    <n v="10944"/>
    <n v="10944"/>
  </r>
  <r>
    <s v="51"/>
    <x v="1"/>
    <x v="2"/>
    <s v="CF22I050"/>
    <x v="22"/>
    <s v="A101"/>
    <s v="FORTALECIMIENTO INSTITUCIONAL"/>
    <s v="GC00A10100004D"/>
    <s v="GC00A10100004D REMUNERACION PERSONAL"/>
    <s v="51 GASTOS EN PERSONAL"/>
    <s v="510306 Alimentación"/>
    <s v="G/510306/1IA101"/>
    <s v="002"/>
    <n v="7392"/>
    <n v="3615"/>
    <n v="0"/>
    <n v="11007"/>
    <n v="0"/>
    <n v="4092"/>
    <n v="4092"/>
    <n v="6915"/>
    <n v="6915"/>
    <n v="6915"/>
  </r>
  <r>
    <s v="51"/>
    <x v="1"/>
    <x v="2"/>
    <s v="EE11I010"/>
    <x v="21"/>
    <s v="A101"/>
    <s v="FORTALECIMIENTO INSTITUCIONAL"/>
    <s v="GC00A10100004D"/>
    <s v="GC00A10100004D REMUNERACION PERSONAL"/>
    <s v="51 GASTOS EN PERSONAL"/>
    <s v="510306 Alimentación"/>
    <s v="G/510306/1IA101"/>
    <s v="002"/>
    <n v="4224"/>
    <n v="2095"/>
    <n v="0"/>
    <n v="6319"/>
    <n v="0"/>
    <n v="2348"/>
    <n v="2348"/>
    <n v="3971"/>
    <n v="3971"/>
    <n v="3971"/>
  </r>
  <r>
    <s v="51"/>
    <x v="1"/>
    <x v="2"/>
    <s v="CB21I040"/>
    <x v="23"/>
    <s v="A101"/>
    <s v="FORTALECIMIENTO INSTITUCIONAL"/>
    <s v="GC00A10100004D"/>
    <s v="GC00A10100004D REMUNERACION PERSONAL"/>
    <s v="51 GASTOS EN PERSONAL"/>
    <s v="510306 Alimentación"/>
    <s v="G/510306/1IA101"/>
    <s v="002"/>
    <n v="2112"/>
    <n v="0"/>
    <n v="0"/>
    <n v="2112"/>
    <n v="0"/>
    <n v="832"/>
    <n v="832"/>
    <n v="1280"/>
    <n v="1280"/>
    <n v="1280"/>
  </r>
  <r>
    <s v="51"/>
    <x v="1"/>
    <x v="2"/>
    <s v="ZA01I000"/>
    <x v="5"/>
    <s v="A101"/>
    <s v="FORTALECIMIENTO INSTITUCIONAL"/>
    <s v="GC00A10100004D"/>
    <s v="GC00A10100004D REMUNERACION PERSONAL"/>
    <s v="51 GASTOS EN PERSONAL"/>
    <s v="510306 Alimentación"/>
    <s v="G/510306/1IA101"/>
    <s v="002"/>
    <n v="29568"/>
    <n v="0"/>
    <n v="0"/>
    <n v="29568"/>
    <n v="0"/>
    <n v="15700"/>
    <n v="15700"/>
    <n v="13868"/>
    <n v="13868"/>
    <n v="13868"/>
  </r>
  <r>
    <s v="51"/>
    <x v="3"/>
    <x v="15"/>
    <s v="AC67Q000"/>
    <x v="32"/>
    <s v="A101"/>
    <s v="FORTALECIMIENTO INSTITUCIONAL"/>
    <s v="GC00A10100004D"/>
    <s v="GC00A10100004D REMUNERACION PERSONAL"/>
    <s v="51 GASTOS EN PERSONAL"/>
    <s v="510306 Alimentación"/>
    <s v="G/510306/2QA101"/>
    <s v="002"/>
    <n v="33792"/>
    <n v="-9064"/>
    <n v="0"/>
    <n v="24728"/>
    <n v="0"/>
    <n v="18004"/>
    <n v="18004"/>
    <n v="6724"/>
    <n v="6724"/>
    <n v="6724"/>
  </r>
  <r>
    <s v="51"/>
    <x v="1"/>
    <x v="3"/>
    <s v="UN31M010"/>
    <x v="11"/>
    <s v="A101"/>
    <s v="FORTALECIMIENTO INSTITUCIONAL"/>
    <s v="GC00A10100004D"/>
    <s v="GC00A10100004D REMUNERACION PERSONAL"/>
    <s v="51 GASTOS EN PERSONAL"/>
    <s v="510306 Alimentación"/>
    <s v="G/510306/1MA101"/>
    <s v="002"/>
    <n v="19008"/>
    <n v="1600"/>
    <n v="0"/>
    <n v="20608"/>
    <n v="0"/>
    <n v="9172"/>
    <n v="9172"/>
    <n v="11436"/>
    <n v="11436"/>
    <n v="11436"/>
  </r>
  <r>
    <s v="51"/>
    <x v="0"/>
    <x v="0"/>
    <s v="ZA01A000"/>
    <x v="1"/>
    <s v="A101"/>
    <s v="FORTALECIMIENTO INSTITUCIONAL"/>
    <s v="GC00A10100004D"/>
    <s v="GC00A10100004D REMUNERACION PERSONAL"/>
    <s v="51 GASTOS EN PERSONAL"/>
    <s v="510401 Por Cargas Familiares"/>
    <s v="G/510401/1AA101"/>
    <s v="002"/>
    <n v="3811.75"/>
    <n v="0"/>
    <n v="0"/>
    <n v="3811.75"/>
    <n v="0"/>
    <n v="900"/>
    <n v="900"/>
    <n v="2911.75"/>
    <n v="2911.75"/>
    <n v="2911.75"/>
  </r>
  <r>
    <s v="51"/>
    <x v="1"/>
    <x v="2"/>
    <s v="ZA01I000"/>
    <x v="5"/>
    <s v="A101"/>
    <s v="FORTALECIMIENTO INSTITUCIONAL"/>
    <s v="GC00A10100004D"/>
    <s v="GC00A10100004D REMUNERACION PERSONAL"/>
    <s v="51 GASTOS EN PERSONAL"/>
    <s v="510401 Por Cargas Familiares"/>
    <s v="G/510401/1IA101"/>
    <s v="002"/>
    <n v="1084.2"/>
    <n v="0"/>
    <n v="0"/>
    <n v="1084.2"/>
    <n v="0"/>
    <n v="120"/>
    <n v="120"/>
    <n v="964.2"/>
    <n v="964.2"/>
    <n v="964.2"/>
  </r>
  <r>
    <s v="51"/>
    <x v="2"/>
    <x v="8"/>
    <s v="ZA01P000"/>
    <x v="15"/>
    <s v="A101"/>
    <s v="FORTALECIMIENTO INSTITUCIONAL"/>
    <s v="GC00A10100004D"/>
    <s v="GC00A10100004D REMUNERACION PERSONAL"/>
    <s v="51 GASTOS EN PERSONAL"/>
    <s v="510401 Por Cargas Familiares"/>
    <s v="G/510401/1PA101"/>
    <s v="002"/>
    <n v="36.159999999999997"/>
    <n v="62.84"/>
    <n v="0"/>
    <n v="99"/>
    <n v="0"/>
    <n v="80"/>
    <n v="80"/>
    <n v="19"/>
    <n v="19"/>
    <n v="19"/>
  </r>
  <r>
    <s v="51"/>
    <x v="1"/>
    <x v="13"/>
    <s v="ZA01G000"/>
    <x v="29"/>
    <s v="A101"/>
    <s v="FORTALECIMIENTO INSTITUCIONAL"/>
    <s v="GC00A10100004D"/>
    <s v="GC00A10100004D REMUNERACION PERSONAL"/>
    <s v="51 GASTOS EN PERSONAL"/>
    <s v="510401 Por Cargas Familiares"/>
    <s v="G/510401/1GA101"/>
    <s v="002"/>
    <n v="480.34"/>
    <n v="0"/>
    <n v="0"/>
    <n v="480.34"/>
    <n v="0"/>
    <n v="20"/>
    <n v="20"/>
    <n v="460.34"/>
    <n v="460.34"/>
    <n v="460.34"/>
  </r>
  <r>
    <s v="51"/>
    <x v="0"/>
    <x v="1"/>
    <s v="ZA01C030"/>
    <x v="3"/>
    <s v="A101"/>
    <s v="FORTALECIMIENTO INSTITUCIONAL"/>
    <s v="GC00A10100004D"/>
    <s v="GC00A10100004D REMUNERACION PERSONAL"/>
    <s v="51 GASTOS EN PERSONAL"/>
    <s v="510401 Por Cargas Familiares"/>
    <s v="G/510401/1CA101"/>
    <s v="002"/>
    <n v="849.14"/>
    <n v="0"/>
    <n v="0"/>
    <n v="849.14"/>
    <n v="0"/>
    <n v="328"/>
    <n v="328"/>
    <n v="521.14"/>
    <n v="521.14"/>
    <n v="521.14"/>
  </r>
  <r>
    <s v="51"/>
    <x v="1"/>
    <x v="3"/>
    <s v="ZA01M000"/>
    <x v="6"/>
    <s v="A101"/>
    <s v="FORTALECIMIENTO INSTITUCIONAL"/>
    <s v="GC00A10100004D"/>
    <s v="GC00A10100004D REMUNERACION PERSONAL"/>
    <s v="51 GASTOS EN PERSONAL"/>
    <s v="510401 Por Cargas Familiares"/>
    <s v="G/510401/1MA101"/>
    <s v="002"/>
    <n v="224.45"/>
    <n v="0"/>
    <n v="0"/>
    <n v="224.45"/>
    <n v="0"/>
    <n v="0"/>
    <n v="0"/>
    <n v="224.45"/>
    <n v="224.45"/>
    <n v="224.45"/>
  </r>
  <r>
    <s v="51"/>
    <x v="0"/>
    <x v="9"/>
    <s v="ZA01E000"/>
    <x v="18"/>
    <s v="A101"/>
    <s v="FORTALECIMIENTO INSTITUCIONAL"/>
    <s v="GC00A10100004D"/>
    <s v="GC00A10100004D REMUNERACION PERSONAL"/>
    <s v="51 GASTOS EN PERSONAL"/>
    <s v="510401 Por Cargas Familiares"/>
    <s v="G/510401/1EA101"/>
    <s v="002"/>
    <n v="337.41"/>
    <n v="0"/>
    <n v="0"/>
    <n v="337.41"/>
    <n v="0"/>
    <n v="80"/>
    <n v="80"/>
    <n v="257.41000000000003"/>
    <n v="257.41000000000003"/>
    <n v="257.41000000000003"/>
  </r>
  <r>
    <s v="51"/>
    <x v="1"/>
    <x v="2"/>
    <s v="OL41I060"/>
    <x v="42"/>
    <s v="A101"/>
    <s v="FORTALECIMIENTO INSTITUCIONAL"/>
    <s v="GC00A10100004D"/>
    <s v="GC00A10100004D REMUNERACION PERSONAL"/>
    <s v="51 GASTOS EN PERSONAL"/>
    <s v="510401 Por Cargas Familiares"/>
    <s v="G/510401/1IA101"/>
    <s v="002"/>
    <n v="68.09"/>
    <n v="0"/>
    <n v="0"/>
    <n v="68.09"/>
    <n v="0"/>
    <n v="0"/>
    <n v="0"/>
    <n v="68.09"/>
    <n v="68.09"/>
    <n v="68.09"/>
  </r>
  <r>
    <s v="51"/>
    <x v="1"/>
    <x v="2"/>
    <s v="MB42I090"/>
    <x v="26"/>
    <s v="A101"/>
    <s v="FORTALECIMIENTO INSTITUCIONAL"/>
    <s v="GC00A10100004D"/>
    <s v="GC00A10100004D REMUNERACION PERSONAL"/>
    <s v="51 GASTOS EN PERSONAL"/>
    <s v="510401 Por Cargas Familiares"/>
    <s v="G/510401/1IA101"/>
    <s v="002"/>
    <n v="162.29"/>
    <n v="0"/>
    <n v="0"/>
    <n v="162.29"/>
    <n v="0"/>
    <n v="0"/>
    <n v="0"/>
    <n v="162.29"/>
    <n v="162.29"/>
    <n v="162.29"/>
  </r>
  <r>
    <s v="51"/>
    <x v="1"/>
    <x v="2"/>
    <s v="JM40I070"/>
    <x v="12"/>
    <s v="A101"/>
    <s v="FORTALECIMIENTO INSTITUCIONAL"/>
    <s v="GC00A10100004D"/>
    <s v="GC00A10100004D REMUNERACION PERSONAL"/>
    <s v="51 GASTOS EN PERSONAL"/>
    <s v="510401 Por Cargas Familiares"/>
    <s v="G/510401/1IA101"/>
    <s v="002"/>
    <n v="34.049999999999997"/>
    <n v="0"/>
    <n v="0"/>
    <n v="34.049999999999997"/>
    <n v="0"/>
    <n v="0"/>
    <n v="0"/>
    <n v="34.049999999999997"/>
    <n v="34.049999999999997"/>
    <n v="34.049999999999997"/>
  </r>
  <r>
    <s v="51"/>
    <x v="1"/>
    <x v="2"/>
    <s v="EQ13I030"/>
    <x v="20"/>
    <s v="A101"/>
    <s v="FORTALECIMIENTO INSTITUCIONAL"/>
    <s v="GC00A10100004D"/>
    <s v="GC00A10100004D REMUNERACION PERSONAL"/>
    <s v="51 GASTOS EN PERSONAL"/>
    <s v="510401 Por Cargas Familiares"/>
    <s v="G/510401/1IA101"/>
    <s v="002"/>
    <n v="172.39"/>
    <n v="0"/>
    <n v="0"/>
    <n v="172.39"/>
    <n v="0"/>
    <n v="0"/>
    <n v="0"/>
    <n v="172.39"/>
    <n v="172.39"/>
    <n v="172.39"/>
  </r>
  <r>
    <s v="51"/>
    <x v="2"/>
    <x v="10"/>
    <s v="ZA01D000"/>
    <x v="24"/>
    <s v="A101"/>
    <s v="FORTALECIMIENTO INSTITUCIONAL"/>
    <s v="GC00A10100004D"/>
    <s v="GC00A10100004D REMUNERACION PERSONAL"/>
    <s v="51 GASTOS EN PERSONAL"/>
    <s v="510401 Por Cargas Familiares"/>
    <s v="G/510401/1DA101"/>
    <s v="002"/>
    <n v="141.91"/>
    <n v="0"/>
    <n v="0"/>
    <n v="141.91"/>
    <n v="0"/>
    <n v="0"/>
    <n v="0"/>
    <n v="141.91"/>
    <n v="141.91"/>
    <n v="141.91"/>
  </r>
  <r>
    <s v="51"/>
    <x v="2"/>
    <x v="11"/>
    <s v="ZT06F060"/>
    <x v="25"/>
    <s v="A101"/>
    <s v="FORTALECIMIENTO INSTITUCIONAL"/>
    <s v="GC00A10100004D"/>
    <s v="GC00A10100004D REMUNERACION PERSONAL"/>
    <s v="51 GASTOS EN PERSONAL"/>
    <s v="510401 Por Cargas Familiares"/>
    <s v="G/510401/1FA101"/>
    <s v="002"/>
    <n v="886.55"/>
    <n v="0"/>
    <n v="0"/>
    <n v="886.55"/>
    <n v="0"/>
    <n v="0"/>
    <n v="0"/>
    <n v="886.55"/>
    <n v="886.55"/>
    <n v="886.55"/>
  </r>
  <r>
    <s v="51"/>
    <x v="2"/>
    <x v="11"/>
    <s v="ZD07F070"/>
    <x v="43"/>
    <s v="A101"/>
    <s v="FORTALECIMIENTO INSTITUCIONAL"/>
    <s v="GC00A10100004D"/>
    <s v="GC00A10100004D REMUNERACION PERSONAL"/>
    <s v="51 GASTOS EN PERSONAL"/>
    <s v="510401 Por Cargas Familiares"/>
    <s v="G/510401/1FA101"/>
    <s v="002"/>
    <n v="407.42"/>
    <n v="0"/>
    <n v="0"/>
    <n v="407.42"/>
    <n v="0"/>
    <n v="0"/>
    <n v="0"/>
    <n v="407.42"/>
    <n v="407.42"/>
    <n v="407.42"/>
  </r>
  <r>
    <s v="51"/>
    <x v="2"/>
    <x v="6"/>
    <s v="AT69K040"/>
    <x v="13"/>
    <s v="A101"/>
    <s v="FORTALECIMIENTO INSTITUCIONAL"/>
    <s v="GC00A10100004D"/>
    <s v="GC00A10100004D REMUNERACION PERSONAL"/>
    <s v="51 GASTOS EN PERSONAL"/>
    <s v="510401 Por Cargas Familiares"/>
    <s v="G/510401/1KA101"/>
    <s v="002"/>
    <n v="72.58"/>
    <n v="0"/>
    <n v="0"/>
    <n v="72.58"/>
    <n v="0"/>
    <n v="0"/>
    <n v="0"/>
    <n v="72.58"/>
    <n v="72.58"/>
    <n v="72.58"/>
  </r>
  <r>
    <s v="51"/>
    <x v="3"/>
    <x v="14"/>
    <s v="ZA01H000"/>
    <x v="30"/>
    <s v="A101"/>
    <s v="FORTALECIMIENTO INSTITUCIONAL"/>
    <s v="GC00A10100004D"/>
    <s v="GC00A10100004D REMUNERACION PERSONAL"/>
    <s v="51 GASTOS EN PERSONAL"/>
    <s v="510401 Por Cargas Familiares"/>
    <s v="G/510401/1HA101"/>
    <s v="002"/>
    <n v="75.08"/>
    <n v="-75.08"/>
    <n v="0"/>
    <n v="0"/>
    <n v="0"/>
    <n v="0"/>
    <n v="0"/>
    <n v="0"/>
    <n v="0"/>
    <n v="0"/>
  </r>
  <r>
    <s v="51"/>
    <x v="0"/>
    <x v="7"/>
    <s v="ZA01L000"/>
    <x v="14"/>
    <s v="A101"/>
    <s v="FORTALECIMIENTO INSTITUCIONAL"/>
    <s v="GC00A10100004D"/>
    <s v="GC00A10100004D REMUNERACION PERSONAL"/>
    <s v="51 GASTOS EN PERSONAL"/>
    <s v="510401 Por Cargas Familiares"/>
    <s v="G/510401/1LA101"/>
    <s v="002"/>
    <n v="110.34"/>
    <n v="0"/>
    <n v="0"/>
    <n v="110.34"/>
    <n v="0"/>
    <n v="0"/>
    <n v="0"/>
    <n v="110.34"/>
    <n v="110.34"/>
    <n v="110.34"/>
  </r>
  <r>
    <s v="51"/>
    <x v="0"/>
    <x v="1"/>
    <s v="ZA01C002"/>
    <x v="46"/>
    <s v="A101"/>
    <s v="FORTALECIMIENTO INSTITUCIONAL"/>
    <s v="GC00A10100004D"/>
    <s v="GC00A10100004D REMUNERACION PERSONAL"/>
    <s v="51 GASTOS EN PERSONAL"/>
    <s v="510401 Por Cargas Familiares"/>
    <s v="G/510401/1CA101"/>
    <s v="002"/>
    <n v="37.83"/>
    <n v="0"/>
    <n v="0"/>
    <n v="37.83"/>
    <n v="0"/>
    <n v="0"/>
    <n v="0"/>
    <n v="37.83"/>
    <n v="37.83"/>
    <n v="37.83"/>
  </r>
  <r>
    <s v="51"/>
    <x v="0"/>
    <x v="1"/>
    <s v="ZA01C000"/>
    <x v="19"/>
    <s v="A101"/>
    <s v="FORTALECIMIENTO INSTITUCIONAL"/>
    <s v="GC00A10100004D"/>
    <s v="GC00A10100004D REMUNERACION PERSONAL"/>
    <s v="51 GASTOS EN PERSONAL"/>
    <s v="510401 Por Cargas Familiares"/>
    <s v="G/510401/1CA101"/>
    <s v="002"/>
    <n v="512.92999999999995"/>
    <n v="0"/>
    <n v="0"/>
    <n v="512.92999999999995"/>
    <n v="0"/>
    <n v="0"/>
    <n v="0"/>
    <n v="512.92999999999995"/>
    <n v="512.92999999999995"/>
    <n v="512.92999999999995"/>
  </r>
  <r>
    <s v="51"/>
    <x v="0"/>
    <x v="12"/>
    <s v="MC37B000"/>
    <x v="28"/>
    <s v="A101"/>
    <s v="FORTALECIMIENTO INSTITUCIONAL"/>
    <s v="GC00A10100004D"/>
    <s v="GC00A10100004D REMUNERACION PERSONAL"/>
    <s v="51 GASTOS EN PERSONAL"/>
    <s v="510401 Por Cargas Familiares"/>
    <s v="G/510401/1BA101"/>
    <s v="002"/>
    <n v="184.73"/>
    <n v="0"/>
    <n v="0"/>
    <n v="184.73"/>
    <n v="0"/>
    <n v="40"/>
    <n v="40"/>
    <n v="144.72999999999999"/>
    <n v="144.72999999999999"/>
    <n v="144.72999999999999"/>
  </r>
  <r>
    <s v="51"/>
    <x v="2"/>
    <x v="6"/>
    <s v="ZA01K000"/>
    <x v="17"/>
    <s v="A101"/>
    <s v="FORTALECIMIENTO INSTITUCIONAL"/>
    <s v="GC00A10100004D"/>
    <s v="GC00A10100004D REMUNERACION PERSONAL"/>
    <s v="51 GASTOS EN PERSONAL"/>
    <s v="510401 Por Cargas Familiares"/>
    <s v="G/510401/1KA101"/>
    <s v="002"/>
    <n v="257.55"/>
    <n v="0"/>
    <n v="0"/>
    <n v="257.55"/>
    <n v="0"/>
    <n v="80"/>
    <n v="80"/>
    <n v="177.55"/>
    <n v="177.55"/>
    <n v="177.55"/>
  </r>
  <r>
    <s v="51"/>
    <x v="2"/>
    <x v="5"/>
    <s v="ZA01N000"/>
    <x v="10"/>
    <s v="A101"/>
    <s v="FORTALECIMIENTO INSTITUCIONAL"/>
    <s v="GC00A10100004D"/>
    <s v="GC00A10100004D REMUNERACION PERSONAL"/>
    <s v="51 GASTOS EN PERSONAL"/>
    <s v="510401 Por Cargas Familiares"/>
    <s v="G/510401/1NA101"/>
    <s v="002"/>
    <n v="605.37"/>
    <n v="0"/>
    <n v="0"/>
    <n v="605.37"/>
    <n v="0"/>
    <n v="360"/>
    <n v="360"/>
    <n v="245.37"/>
    <n v="245.37"/>
    <n v="245.37"/>
  </r>
  <r>
    <s v="51"/>
    <x v="2"/>
    <x v="11"/>
    <s v="ZN02F020"/>
    <x v="40"/>
    <s v="A101"/>
    <s v="FORTALECIMIENTO INSTITUCIONAL"/>
    <s v="GC00A10100004D"/>
    <s v="GC00A10100004D REMUNERACION PERSONAL"/>
    <s v="51 GASTOS EN PERSONAL"/>
    <s v="510401 Por Cargas Familiares"/>
    <s v="G/510401/1FA101"/>
    <s v="002"/>
    <n v="1913.79"/>
    <n v="0"/>
    <n v="0"/>
    <n v="1913.79"/>
    <n v="0"/>
    <n v="1408"/>
    <n v="1408"/>
    <n v="505.79"/>
    <n v="505.79"/>
    <n v="505.79"/>
  </r>
  <r>
    <s v="51"/>
    <x v="1"/>
    <x v="2"/>
    <s v="ES12I020"/>
    <x v="16"/>
    <s v="A101"/>
    <s v="FORTALECIMIENTO INSTITUCIONAL"/>
    <s v="GC00A10100004D"/>
    <s v="GC00A10100004D REMUNERACION PERSONAL"/>
    <s v="51 GASTOS EN PERSONAL"/>
    <s v="510401 Por Cargas Familiares"/>
    <s v="G/510401/1IA101"/>
    <s v="002"/>
    <n v="611.57000000000005"/>
    <n v="0"/>
    <n v="0"/>
    <n v="611.57000000000005"/>
    <n v="0"/>
    <n v="40"/>
    <n v="40"/>
    <n v="571.57000000000005"/>
    <n v="571.57000000000005"/>
    <n v="571.57000000000005"/>
  </r>
  <r>
    <s v="51"/>
    <x v="2"/>
    <x v="11"/>
    <s v="ZM04F040"/>
    <x v="41"/>
    <s v="A101"/>
    <s v="FORTALECIMIENTO INSTITUCIONAL"/>
    <s v="GC00A10100004D"/>
    <s v="GC00A10100004D REMUNERACION PERSONAL"/>
    <s v="51 GASTOS EN PERSONAL"/>
    <s v="510401 Por Cargas Familiares"/>
    <s v="G/510401/1FA101"/>
    <s v="002"/>
    <n v="638.84"/>
    <n v="0"/>
    <n v="0"/>
    <n v="638.84"/>
    <n v="0"/>
    <n v="80"/>
    <n v="80"/>
    <n v="558.84"/>
    <n v="558.84"/>
    <n v="558.84"/>
  </r>
  <r>
    <s v="51"/>
    <x v="1"/>
    <x v="2"/>
    <s v="EE11I010"/>
    <x v="21"/>
    <s v="A101"/>
    <s v="FORTALECIMIENTO INSTITUCIONAL"/>
    <s v="GC00A10100004D"/>
    <s v="GC00A10100004D REMUNERACION PERSONAL"/>
    <s v="51 GASTOS EN PERSONAL"/>
    <s v="510401 Por Cargas Familiares"/>
    <s v="G/510401/1IA101"/>
    <s v="002"/>
    <n v="147.51"/>
    <n v="0"/>
    <n v="0"/>
    <n v="147.51"/>
    <n v="0"/>
    <n v="120"/>
    <n v="120"/>
    <n v="27.51"/>
    <n v="27.51"/>
    <n v="27.51"/>
  </r>
  <r>
    <s v="51"/>
    <x v="1"/>
    <x v="2"/>
    <s v="CF22I050"/>
    <x v="22"/>
    <s v="A101"/>
    <s v="FORTALECIMIENTO INSTITUCIONAL"/>
    <s v="GC00A10100004D"/>
    <s v="GC00A10100004D REMUNERACION PERSONAL"/>
    <s v="51 GASTOS EN PERSONAL"/>
    <s v="510401 Por Cargas Familiares"/>
    <s v="G/510401/1IA101"/>
    <s v="002"/>
    <n v="292.3"/>
    <n v="0"/>
    <n v="0"/>
    <n v="292.3"/>
    <n v="0"/>
    <n v="80"/>
    <n v="80"/>
    <n v="212.3"/>
    <n v="212.3"/>
    <n v="212.3"/>
  </r>
  <r>
    <s v="51"/>
    <x v="2"/>
    <x v="11"/>
    <s v="ZC09F090"/>
    <x v="44"/>
    <s v="A101"/>
    <s v="FORTALECIMIENTO INSTITUCIONAL"/>
    <s v="GC00A10100004D"/>
    <s v="GC00A10100004D REMUNERACION PERSONAL"/>
    <s v="51 GASTOS EN PERSONAL"/>
    <s v="510401 Por Cargas Familiares"/>
    <s v="G/510401/1FA101"/>
    <s v="002"/>
    <n v="305.01"/>
    <n v="0"/>
    <n v="0"/>
    <n v="305.01"/>
    <n v="0"/>
    <n v="80"/>
    <n v="80"/>
    <n v="225.01"/>
    <n v="225.01"/>
    <n v="225.01"/>
  </r>
  <r>
    <s v="51"/>
    <x v="1"/>
    <x v="2"/>
    <s v="CB21I040"/>
    <x v="23"/>
    <s v="A101"/>
    <s v="FORTALECIMIENTO INSTITUCIONAL"/>
    <s v="GC00A10100004D"/>
    <s v="GC00A10100004D REMUNERACION PERSONAL"/>
    <s v="51 GASTOS EN PERSONAL"/>
    <s v="510401 Por Cargas Familiares"/>
    <s v="G/510401/1IA101"/>
    <s v="002"/>
    <n v="83.74"/>
    <n v="0"/>
    <n v="0"/>
    <n v="83.74"/>
    <n v="0"/>
    <n v="48"/>
    <n v="48"/>
    <n v="35.74"/>
    <n v="35.74"/>
    <n v="35.74"/>
  </r>
  <r>
    <s v="51"/>
    <x v="2"/>
    <x v="5"/>
    <s v="PM71N010"/>
    <x v="27"/>
    <s v="A101"/>
    <s v="FORTALECIMIENTO INSTITUCIONAL"/>
    <s v="GC00A10100004D"/>
    <s v="GC00A10100004D REMUNERACION PERSONAL"/>
    <s v="51 GASTOS EN PERSONAL"/>
    <s v="510401 Por Cargas Familiares"/>
    <s v="G/510401/1NA101"/>
    <s v="002"/>
    <n v="186.28"/>
    <n v="0"/>
    <n v="0"/>
    <n v="186.28"/>
    <n v="0"/>
    <n v="168"/>
    <n v="168"/>
    <n v="18.28"/>
    <n v="18.28"/>
    <n v="18.28"/>
  </r>
  <r>
    <s v="51"/>
    <x v="3"/>
    <x v="15"/>
    <s v="AC67Q000"/>
    <x v="32"/>
    <s v="A101"/>
    <s v="FORTALECIMIENTO INSTITUCIONAL"/>
    <s v="GC00A10100004D"/>
    <s v="GC00A10100004D REMUNERACION PERSONAL"/>
    <s v="51 GASTOS EN PERSONAL"/>
    <s v="510401 Por Cargas Familiares"/>
    <s v="G/510401/2QA101"/>
    <s v="002"/>
    <n v="1274.01"/>
    <n v="-514.01"/>
    <n v="0"/>
    <n v="760"/>
    <n v="0"/>
    <n v="196"/>
    <n v="196"/>
    <n v="564"/>
    <n v="564"/>
    <n v="564"/>
  </r>
  <r>
    <s v="51"/>
    <x v="1"/>
    <x v="2"/>
    <s v="SF43I080"/>
    <x v="35"/>
    <s v="A101"/>
    <s v="FORTALECIMIENTO INSTITUCIONAL"/>
    <s v="GC00A10100004D"/>
    <s v="GC00A10100004D REMUNERACION PERSONAL"/>
    <s v="51 GASTOS EN PERSONAL"/>
    <s v="510401 Por Cargas Familiares"/>
    <s v="G/510401/1IA101"/>
    <s v="002"/>
    <n v="111.2"/>
    <n v="0"/>
    <n v="0"/>
    <n v="111.2"/>
    <n v="0"/>
    <n v="80"/>
    <n v="80"/>
    <n v="31.2"/>
    <n v="31.2"/>
    <n v="31.2"/>
  </r>
  <r>
    <s v="51"/>
    <x v="1"/>
    <x v="3"/>
    <s v="UC32M020"/>
    <x v="7"/>
    <s v="A101"/>
    <s v="FORTALECIMIENTO INSTITUCIONAL"/>
    <s v="GC00A10100004D"/>
    <s v="GC00A10100004D REMUNERACION PERSONAL"/>
    <s v="51 GASTOS EN PERSONAL"/>
    <s v="510401 Por Cargas Familiares"/>
    <s v="G/510401/1MA101"/>
    <s v="002"/>
    <n v="572.05999999999995"/>
    <n v="264"/>
    <n v="0"/>
    <n v="836.06"/>
    <n v="0"/>
    <n v="256"/>
    <n v="256"/>
    <n v="580.05999999999995"/>
    <n v="580.05999999999995"/>
    <n v="580.05999999999995"/>
  </r>
  <r>
    <s v="51"/>
    <x v="2"/>
    <x v="11"/>
    <s v="ZQ08F080"/>
    <x v="39"/>
    <s v="A101"/>
    <s v="FORTALECIMIENTO INSTITUCIONAL"/>
    <s v="GC00A10100004D"/>
    <s v="GC00A10100004D REMUNERACION PERSONAL"/>
    <s v="51 GASTOS EN PERSONAL"/>
    <s v="510401 Por Cargas Familiares"/>
    <s v="G/510401/1FA101"/>
    <s v="002"/>
    <n v="422.27"/>
    <n v="0"/>
    <n v="0"/>
    <n v="422.27"/>
    <n v="0"/>
    <n v="92"/>
    <n v="92"/>
    <n v="330.27"/>
    <n v="330.27"/>
    <n v="330.27"/>
  </r>
  <r>
    <s v="51"/>
    <x v="2"/>
    <x v="11"/>
    <s v="ZS03F030"/>
    <x v="38"/>
    <s v="A101"/>
    <s v="FORTALECIMIENTO INSTITUCIONAL"/>
    <s v="GC00A10100004D"/>
    <s v="GC00A10100004D REMUNERACION PERSONAL"/>
    <s v="51 GASTOS EN PERSONAL"/>
    <s v="510401 Por Cargas Familiares"/>
    <s v="G/510401/1FA101"/>
    <s v="002"/>
    <n v="874.17"/>
    <n v="0"/>
    <n v="0"/>
    <n v="874.17"/>
    <n v="0"/>
    <n v="328"/>
    <n v="328"/>
    <n v="546.16999999999996"/>
    <n v="546.16999999999996"/>
    <n v="546.16999999999996"/>
  </r>
  <r>
    <s v="51"/>
    <x v="1"/>
    <x v="3"/>
    <s v="US33M030"/>
    <x v="8"/>
    <s v="A101"/>
    <s v="FORTALECIMIENTO INSTITUCIONAL"/>
    <s v="GC00A10100004D"/>
    <s v="GC00A10100004D REMUNERACION PERSONAL"/>
    <s v="51 GASTOS EN PERSONAL"/>
    <s v="510401 Por Cargas Familiares"/>
    <s v="G/510401/1MA101"/>
    <s v="002"/>
    <n v="791.13"/>
    <n v="264"/>
    <n v="0"/>
    <n v="1055.1300000000001"/>
    <n v="0"/>
    <n v="400"/>
    <n v="400"/>
    <n v="655.13"/>
    <n v="655.13"/>
    <n v="655.13"/>
  </r>
  <r>
    <s v="51"/>
    <x v="2"/>
    <x v="11"/>
    <s v="ZV05F050"/>
    <x v="37"/>
    <s v="A101"/>
    <s v="FORTALECIMIENTO INSTITUCIONAL"/>
    <s v="GC00A10100004D"/>
    <s v="GC00A10100004D REMUNERACION PERSONAL"/>
    <s v="51 GASTOS EN PERSONAL"/>
    <s v="510401 Por Cargas Familiares"/>
    <s v="G/510401/1FA101"/>
    <s v="002"/>
    <n v="471.52"/>
    <n v="0"/>
    <n v="0"/>
    <n v="471.52"/>
    <n v="0"/>
    <n v="200"/>
    <n v="200"/>
    <n v="271.52"/>
    <n v="271.52"/>
    <n v="271.52"/>
  </r>
  <r>
    <s v="51"/>
    <x v="1"/>
    <x v="3"/>
    <s v="UN31M010"/>
    <x v="11"/>
    <s v="A101"/>
    <s v="FORTALECIMIENTO INSTITUCIONAL"/>
    <s v="GC00A10100004D"/>
    <s v="GC00A10100004D REMUNERACION PERSONAL"/>
    <s v="51 GASTOS EN PERSONAL"/>
    <s v="510401 Por Cargas Familiares"/>
    <s v="G/510401/1MA101"/>
    <s v="002"/>
    <n v="759.18"/>
    <n v="528"/>
    <n v="0"/>
    <n v="1287.18"/>
    <n v="0"/>
    <n v="48"/>
    <n v="48"/>
    <n v="1239.18"/>
    <n v="1239.18"/>
    <n v="1239.18"/>
  </r>
  <r>
    <s v="51"/>
    <x v="0"/>
    <x v="1"/>
    <s v="ZA01C030"/>
    <x v="3"/>
    <s v="A101"/>
    <s v="FORTALECIMIENTO INSTITUCIONAL"/>
    <s v="GC00A10100004D"/>
    <s v="GC00A10100004D REMUNERACION PERSONAL"/>
    <s v="51 GASTOS EN PERSONAL"/>
    <s v="510408 Subsidio de Antigüedad"/>
    <s v="G/510408/1CA101"/>
    <s v="002"/>
    <n v="5094.8599999999997"/>
    <n v="0"/>
    <n v="0"/>
    <n v="5094.8599999999997"/>
    <n v="0"/>
    <n v="4103.59"/>
    <n v="4103.59"/>
    <n v="991.27"/>
    <n v="991.27"/>
    <n v="991.27"/>
  </r>
  <r>
    <s v="51"/>
    <x v="1"/>
    <x v="2"/>
    <s v="EE11I010"/>
    <x v="21"/>
    <s v="A101"/>
    <s v="FORTALECIMIENTO INSTITUCIONAL"/>
    <s v="GC00A10100004D"/>
    <s v="GC00A10100004D REMUNERACION PERSONAL"/>
    <s v="51 GASTOS EN PERSONAL"/>
    <s v="510408 Subsidio de Antigüedad"/>
    <s v="G/510408/1IA101"/>
    <s v="002"/>
    <n v="885.08"/>
    <n v="316"/>
    <n v="0"/>
    <n v="1201.08"/>
    <n v="0"/>
    <n v="983.5"/>
    <n v="983.5"/>
    <n v="217.58"/>
    <n v="217.58"/>
    <n v="217.58"/>
  </r>
  <r>
    <s v="51"/>
    <x v="2"/>
    <x v="11"/>
    <s v="ZS03F030"/>
    <x v="38"/>
    <s v="A101"/>
    <s v="FORTALECIMIENTO INSTITUCIONAL"/>
    <s v="GC00A10100004D"/>
    <s v="GC00A10100004D REMUNERACION PERSONAL"/>
    <s v="51 GASTOS EN PERSONAL"/>
    <s v="510408 Subsidio de Antigüedad"/>
    <s v="G/510408/1FA101"/>
    <s v="002"/>
    <n v="5245.01"/>
    <n v="1680"/>
    <n v="0"/>
    <n v="6925.01"/>
    <n v="0"/>
    <n v="5580.7"/>
    <n v="5580.7"/>
    <n v="1344.31"/>
    <n v="1344.31"/>
    <n v="1344.31"/>
  </r>
  <r>
    <s v="51"/>
    <x v="2"/>
    <x v="11"/>
    <s v="ZQ08F080"/>
    <x v="39"/>
    <s v="A101"/>
    <s v="FORTALECIMIENTO INSTITUCIONAL"/>
    <s v="GC00A10100004D"/>
    <s v="GC00A10100004D REMUNERACION PERSONAL"/>
    <s v="51 GASTOS EN PERSONAL"/>
    <s v="510408 Subsidio de Antigüedad"/>
    <s v="G/510408/1FA101"/>
    <s v="002"/>
    <n v="2533.64"/>
    <n v="0"/>
    <n v="0"/>
    <n v="2533.64"/>
    <n v="0"/>
    <n v="2397.21"/>
    <n v="2397.21"/>
    <n v="136.43"/>
    <n v="136.43"/>
    <n v="136.43"/>
  </r>
  <r>
    <s v="51"/>
    <x v="1"/>
    <x v="2"/>
    <s v="EQ13I030"/>
    <x v="20"/>
    <s v="A101"/>
    <s v="FORTALECIMIENTO INSTITUCIONAL"/>
    <s v="GC00A10100004D"/>
    <s v="GC00A10100004D REMUNERACION PERSONAL"/>
    <s v="51 GASTOS EN PERSONAL"/>
    <s v="510408 Subsidio de Antigüedad"/>
    <s v="G/510408/1IA101"/>
    <s v="002"/>
    <n v="1034.32"/>
    <n v="345"/>
    <n v="0"/>
    <n v="1379.32"/>
    <n v="0"/>
    <n v="1149.2"/>
    <n v="1149.2"/>
    <n v="230.12"/>
    <n v="230.12"/>
    <n v="230.12"/>
  </r>
  <r>
    <s v="51"/>
    <x v="0"/>
    <x v="1"/>
    <s v="ZA01C002"/>
    <x v="46"/>
    <s v="A101"/>
    <s v="FORTALECIMIENTO INSTITUCIONAL"/>
    <s v="GC00A10100004D"/>
    <s v="GC00A10100004D REMUNERACION PERSONAL"/>
    <s v="51 GASTOS EN PERSONAL"/>
    <s v="510408 Subsidio de Antigüedad"/>
    <s v="G/510408/1CA101"/>
    <s v="002"/>
    <n v="226.99"/>
    <n v="78"/>
    <n v="0"/>
    <n v="304.99"/>
    <n v="0"/>
    <n v="252.2"/>
    <n v="252.2"/>
    <n v="52.79"/>
    <n v="52.79"/>
    <n v="52.79"/>
  </r>
  <r>
    <s v="51"/>
    <x v="1"/>
    <x v="2"/>
    <s v="ES12I020"/>
    <x v="16"/>
    <s v="A101"/>
    <s v="FORTALECIMIENTO INSTITUCIONAL"/>
    <s v="GC00A10100004D"/>
    <s v="GC00A10100004D REMUNERACION PERSONAL"/>
    <s v="51 GASTOS EN PERSONAL"/>
    <s v="510408 Subsidio de Antigüedad"/>
    <s v="G/510408/1IA101"/>
    <s v="002"/>
    <n v="3669.4"/>
    <n v="0"/>
    <n v="0"/>
    <n v="3669.4"/>
    <n v="0"/>
    <n v="3160.55"/>
    <n v="3160.55"/>
    <n v="508.85"/>
    <n v="508.85"/>
    <n v="508.85"/>
  </r>
  <r>
    <s v="51"/>
    <x v="2"/>
    <x v="11"/>
    <s v="ZM04F040"/>
    <x v="41"/>
    <s v="A101"/>
    <s v="FORTALECIMIENTO INSTITUCIONAL"/>
    <s v="GC00A10100004D"/>
    <s v="GC00A10100004D REMUNERACION PERSONAL"/>
    <s v="51 GASTOS EN PERSONAL"/>
    <s v="510408 Subsidio de Antigüedad"/>
    <s v="G/510408/1FA101"/>
    <s v="002"/>
    <n v="3833.02"/>
    <n v="840"/>
    <n v="0"/>
    <n v="4673.0200000000004"/>
    <n v="0"/>
    <n v="3886.64"/>
    <n v="3886.64"/>
    <n v="786.38"/>
    <n v="786.38"/>
    <n v="786.38"/>
  </r>
  <r>
    <s v="51"/>
    <x v="2"/>
    <x v="11"/>
    <s v="ZV05F050"/>
    <x v="37"/>
    <s v="A101"/>
    <s v="FORTALECIMIENTO INSTITUCIONAL"/>
    <s v="GC00A10100004D"/>
    <s v="GC00A10100004D REMUNERACION PERSONAL"/>
    <s v="51 GASTOS EN PERSONAL"/>
    <s v="510408 Subsidio de Antigüedad"/>
    <s v="G/510408/1FA101"/>
    <s v="002"/>
    <n v="2829.1"/>
    <n v="0"/>
    <n v="0"/>
    <n v="2829.1"/>
    <n v="0"/>
    <n v="2602.56"/>
    <n v="2602.56"/>
    <n v="226.54"/>
    <n v="226.54"/>
    <n v="226.54"/>
  </r>
  <r>
    <s v="51"/>
    <x v="2"/>
    <x v="10"/>
    <s v="ZA01D000"/>
    <x v="24"/>
    <s v="A101"/>
    <s v="FORTALECIMIENTO INSTITUCIONAL"/>
    <s v="GC00A10100004D"/>
    <s v="GC00A10100004D REMUNERACION PERSONAL"/>
    <s v="51 GASTOS EN PERSONAL"/>
    <s v="510408 Subsidio de Antigüedad"/>
    <s v="G/510408/1DA101"/>
    <s v="002"/>
    <n v="851.44"/>
    <n v="0"/>
    <n v="0"/>
    <n v="851.44"/>
    <n v="0"/>
    <n v="232.7"/>
    <n v="232.7"/>
    <n v="618.74"/>
    <n v="618.74"/>
    <n v="618.74"/>
  </r>
  <r>
    <s v="51"/>
    <x v="2"/>
    <x v="11"/>
    <s v="ZN02F020"/>
    <x v="40"/>
    <s v="A101"/>
    <s v="FORTALECIMIENTO INSTITUCIONAL"/>
    <s v="GC00A10100004D"/>
    <s v="GC00A10100004D REMUNERACION PERSONAL"/>
    <s v="51 GASTOS EN PERSONAL"/>
    <s v="510408 Subsidio de Antigüedad"/>
    <s v="G/510408/1FA101"/>
    <s v="002"/>
    <n v="11482.71"/>
    <n v="0"/>
    <n v="0"/>
    <n v="11482.71"/>
    <n v="0"/>
    <n v="8209.74"/>
    <n v="8209.74"/>
    <n v="3272.97"/>
    <n v="3272.97"/>
    <n v="3272.97"/>
  </r>
  <r>
    <s v="51"/>
    <x v="0"/>
    <x v="9"/>
    <s v="ZA01E000"/>
    <x v="18"/>
    <s v="A101"/>
    <s v="FORTALECIMIENTO INSTITUCIONAL"/>
    <s v="GC00A10100004D"/>
    <s v="GC00A10100004D REMUNERACION PERSONAL"/>
    <s v="51 GASTOS EN PERSONAL"/>
    <s v="510408 Subsidio de Antigüedad"/>
    <s v="G/510408/1EA101"/>
    <s v="002"/>
    <n v="2024.46"/>
    <n v="0"/>
    <n v="0"/>
    <n v="2024.46"/>
    <n v="0"/>
    <n v="2005.3"/>
    <n v="2005.3"/>
    <n v="19.16"/>
    <n v="19.16"/>
    <n v="19.16"/>
  </r>
  <r>
    <s v="51"/>
    <x v="3"/>
    <x v="15"/>
    <s v="AC67Q000"/>
    <x v="32"/>
    <s v="A101"/>
    <s v="FORTALECIMIENTO INSTITUCIONAL"/>
    <s v="GC00A10100004D"/>
    <s v="GC00A10100004D REMUNERACION PERSONAL"/>
    <s v="51 GASTOS EN PERSONAL"/>
    <s v="510408 Subsidio de Antigüedad"/>
    <s v="G/510408/2QA101"/>
    <s v="002"/>
    <n v="7644.06"/>
    <n v="909.32"/>
    <n v="0"/>
    <n v="8553.3799999999992"/>
    <n v="0"/>
    <n v="7039.62"/>
    <n v="7039.62"/>
    <n v="1513.76"/>
    <n v="1513.76"/>
    <n v="1513.76"/>
  </r>
  <r>
    <s v="51"/>
    <x v="2"/>
    <x v="11"/>
    <s v="ZT06F060"/>
    <x v="25"/>
    <s v="A101"/>
    <s v="FORTALECIMIENTO INSTITUCIONAL"/>
    <s v="GC00A10100004D"/>
    <s v="GC00A10100004D REMUNERACION PERSONAL"/>
    <s v="51 GASTOS EN PERSONAL"/>
    <s v="510408 Subsidio de Antigüedad"/>
    <s v="G/510408/1FA101"/>
    <s v="002"/>
    <n v="5319.27"/>
    <n v="0"/>
    <n v="0"/>
    <n v="5319.27"/>
    <n v="0"/>
    <n v="5032.83"/>
    <n v="5032.83"/>
    <n v="286.44"/>
    <n v="286.44"/>
    <n v="286.44"/>
  </r>
  <r>
    <s v="51"/>
    <x v="1"/>
    <x v="2"/>
    <s v="CB21I040"/>
    <x v="23"/>
    <s v="A101"/>
    <s v="FORTALECIMIENTO INSTITUCIONAL"/>
    <s v="GC00A10100004D"/>
    <s v="GC00A10100004D REMUNERACION PERSONAL"/>
    <s v="51 GASTOS EN PERSONAL"/>
    <s v="510408 Subsidio de Antigüedad"/>
    <s v="G/510408/1IA101"/>
    <s v="002"/>
    <n v="502.42"/>
    <n v="0"/>
    <n v="0"/>
    <n v="502.42"/>
    <n v="0"/>
    <n v="461.84"/>
    <n v="461.84"/>
    <n v="40.58"/>
    <n v="40.58"/>
    <n v="40.58"/>
  </r>
  <r>
    <s v="51"/>
    <x v="0"/>
    <x v="1"/>
    <s v="ZA01C000"/>
    <x v="19"/>
    <s v="A101"/>
    <s v="FORTALECIMIENTO INSTITUCIONAL"/>
    <s v="GC00A10100004D"/>
    <s v="GC00A10100004D REMUNERACION PERSONAL"/>
    <s v="51 GASTOS EN PERSONAL"/>
    <s v="510408 Subsidio de Antigüedad"/>
    <s v="G/510408/1CA101"/>
    <s v="002"/>
    <n v="3077.59"/>
    <n v="-97.48"/>
    <n v="0"/>
    <n v="2980.11"/>
    <n v="0"/>
    <n v="2289.66"/>
    <n v="2289.66"/>
    <n v="690.45"/>
    <n v="690.45"/>
    <n v="690.45"/>
  </r>
  <r>
    <s v="51"/>
    <x v="1"/>
    <x v="2"/>
    <s v="CF22I050"/>
    <x v="22"/>
    <s v="A101"/>
    <s v="FORTALECIMIENTO INSTITUCIONAL"/>
    <s v="GC00A10100004D"/>
    <s v="GC00A10100004D REMUNERACION PERSONAL"/>
    <s v="51 GASTOS EN PERSONAL"/>
    <s v="510408 Subsidio de Antigüedad"/>
    <s v="G/510408/1IA101"/>
    <s v="002"/>
    <n v="1753.8"/>
    <n v="601"/>
    <n v="0"/>
    <n v="2354.8000000000002"/>
    <n v="0"/>
    <n v="1948.7"/>
    <n v="1948.7"/>
    <n v="406.1"/>
    <n v="406.1"/>
    <n v="406.1"/>
  </r>
  <r>
    <s v="51"/>
    <x v="3"/>
    <x v="14"/>
    <s v="ZA01H000"/>
    <x v="30"/>
    <s v="A101"/>
    <s v="FORTALECIMIENTO INSTITUCIONAL"/>
    <s v="GC00A10100004D"/>
    <s v="GC00A10100004D REMUNERACION PERSONAL"/>
    <s v="51 GASTOS EN PERSONAL"/>
    <s v="510408 Subsidio de Antigüedad"/>
    <s v="G/510408/1HA101"/>
    <s v="002"/>
    <n v="450.48"/>
    <n v="-450.48"/>
    <n v="0"/>
    <n v="0"/>
    <n v="0"/>
    <n v="0"/>
    <n v="0"/>
    <n v="0"/>
    <n v="0"/>
    <n v="0"/>
  </r>
  <r>
    <s v="51"/>
    <x v="2"/>
    <x v="6"/>
    <s v="AT69K040"/>
    <x v="13"/>
    <s v="A101"/>
    <s v="FORTALECIMIENTO INSTITUCIONAL"/>
    <s v="GC00A10100004D"/>
    <s v="GC00A10100004D REMUNERACION PERSONAL"/>
    <s v="51 GASTOS EN PERSONAL"/>
    <s v="510408 Subsidio de Antigüedad"/>
    <s v="G/510408/1KA101"/>
    <s v="002"/>
    <n v="435.48"/>
    <n v="0"/>
    <n v="0"/>
    <n v="435.48"/>
    <n v="0"/>
    <n v="193.48"/>
    <n v="193.48"/>
    <n v="242"/>
    <n v="242"/>
    <n v="242"/>
  </r>
  <r>
    <s v="51"/>
    <x v="1"/>
    <x v="3"/>
    <s v="UC32M020"/>
    <x v="7"/>
    <s v="A101"/>
    <s v="FORTALECIMIENTO INSTITUCIONAL"/>
    <s v="GC00A10100004D"/>
    <s v="GC00A10100004D REMUNERACION PERSONAL"/>
    <s v="51 GASTOS EN PERSONAL"/>
    <s v="510408 Subsidio de Antigüedad"/>
    <s v="G/510408/1MA101"/>
    <s v="002"/>
    <n v="3432.33"/>
    <n v="29.58"/>
    <n v="0"/>
    <n v="3461.91"/>
    <n v="0"/>
    <n v="2965.72"/>
    <n v="2965.72"/>
    <n v="496.19"/>
    <n v="496.19"/>
    <n v="496.19"/>
  </r>
  <r>
    <s v="51"/>
    <x v="2"/>
    <x v="5"/>
    <s v="PM71N010"/>
    <x v="27"/>
    <s v="A101"/>
    <s v="FORTALECIMIENTO INSTITUCIONAL"/>
    <s v="GC00A10100004D"/>
    <s v="GC00A10100004D REMUNERACION PERSONAL"/>
    <s v="51 GASTOS EN PERSONAL"/>
    <s v="510408 Subsidio de Antigüedad"/>
    <s v="G/510408/1NA101"/>
    <s v="002"/>
    <n v="1117.68"/>
    <n v="375"/>
    <n v="0"/>
    <n v="1492.68"/>
    <n v="0"/>
    <n v="1241.8"/>
    <n v="1241.8"/>
    <n v="250.88"/>
    <n v="250.88"/>
    <n v="250.88"/>
  </r>
  <r>
    <s v="51"/>
    <x v="2"/>
    <x v="6"/>
    <s v="ZA01K000"/>
    <x v="17"/>
    <s v="A101"/>
    <s v="FORTALECIMIENTO INSTITUCIONAL"/>
    <s v="GC00A10100004D"/>
    <s v="GC00A10100004D REMUNERACION PERSONAL"/>
    <s v="51 GASTOS EN PERSONAL"/>
    <s v="510408 Subsidio de Antigüedad"/>
    <s v="G/510408/1KA101"/>
    <s v="002"/>
    <n v="1545.3"/>
    <n v="0"/>
    <n v="0"/>
    <n v="1545.3"/>
    <n v="0"/>
    <n v="1078.3699999999999"/>
    <n v="1078.3699999999999"/>
    <n v="466.93"/>
    <n v="466.93"/>
    <n v="466.93"/>
  </r>
  <r>
    <s v="51"/>
    <x v="2"/>
    <x v="5"/>
    <s v="ZA01N000"/>
    <x v="10"/>
    <s v="A101"/>
    <s v="FORTALECIMIENTO INSTITUCIONAL"/>
    <s v="GC00A10100004D"/>
    <s v="GC00A10100004D REMUNERACION PERSONAL"/>
    <s v="51 GASTOS EN PERSONAL"/>
    <s v="510408 Subsidio de Antigüedad"/>
    <s v="G/510408/1NA101"/>
    <s v="002"/>
    <n v="3632.23"/>
    <n v="0"/>
    <n v="0"/>
    <n v="3632.23"/>
    <n v="0"/>
    <n v="2713.37"/>
    <n v="2713.37"/>
    <n v="918.86"/>
    <n v="918.86"/>
    <n v="918.86"/>
  </r>
  <r>
    <s v="51"/>
    <x v="0"/>
    <x v="12"/>
    <s v="MC37B000"/>
    <x v="28"/>
    <s v="A101"/>
    <s v="FORTALECIMIENTO INSTITUCIONAL"/>
    <s v="GC00A10100004D"/>
    <s v="GC00A10100004D REMUNERACION PERSONAL"/>
    <s v="51 GASTOS EN PERSONAL"/>
    <s v="510408 Subsidio de Antigüedad"/>
    <s v="G/510408/1BA101"/>
    <s v="002"/>
    <n v="1108.3900000000001"/>
    <n v="227.15"/>
    <n v="0"/>
    <n v="1335.54"/>
    <n v="0"/>
    <n v="1110.5999999999999"/>
    <n v="1110.5999999999999"/>
    <n v="224.94"/>
    <n v="224.94"/>
    <n v="224.94"/>
  </r>
  <r>
    <s v="51"/>
    <x v="0"/>
    <x v="0"/>
    <s v="ZA01A000"/>
    <x v="1"/>
    <s v="A101"/>
    <s v="FORTALECIMIENTO INSTITUCIONAL"/>
    <s v="GC00A10100004D"/>
    <s v="GC00A10100004D REMUNERACION PERSONAL"/>
    <s v="51 GASTOS EN PERSONAL"/>
    <s v="510408 Subsidio de Antigüedad"/>
    <s v="G/510408/1AA101"/>
    <s v="002"/>
    <n v="22870.53"/>
    <n v="5897.48"/>
    <n v="0"/>
    <n v="28768.01"/>
    <n v="0"/>
    <n v="23977.77"/>
    <n v="23977.77"/>
    <n v="4790.24"/>
    <n v="4790.24"/>
    <n v="4790.24"/>
  </r>
  <r>
    <s v="51"/>
    <x v="1"/>
    <x v="2"/>
    <s v="SF43I080"/>
    <x v="35"/>
    <s v="A101"/>
    <s v="FORTALECIMIENTO INSTITUCIONAL"/>
    <s v="GC00A10100004D"/>
    <s v="GC00A10100004D REMUNERACION PERSONAL"/>
    <s v="51 GASTOS EN PERSONAL"/>
    <s v="510408 Subsidio de Antigüedad"/>
    <s v="G/510408/1IA101"/>
    <s v="002"/>
    <n v="667.19"/>
    <n v="0"/>
    <n v="0"/>
    <n v="667.19"/>
    <n v="0"/>
    <n v="642.1"/>
    <n v="642.1"/>
    <n v="25.09"/>
    <n v="25.09"/>
    <n v="25.09"/>
  </r>
  <r>
    <s v="51"/>
    <x v="1"/>
    <x v="3"/>
    <s v="ZA01M000"/>
    <x v="6"/>
    <s v="A101"/>
    <s v="FORTALECIMIENTO INSTITUCIONAL"/>
    <s v="GC00A10100004D"/>
    <s v="GC00A10100004D REMUNERACION PERSONAL"/>
    <s v="51 GASTOS EN PERSONAL"/>
    <s v="510408 Subsidio de Antigüedad"/>
    <s v="G/510408/1MA101"/>
    <s v="002"/>
    <n v="1346.71"/>
    <n v="0"/>
    <n v="0"/>
    <n v="1346.71"/>
    <n v="0"/>
    <n v="1147.6400000000001"/>
    <n v="1147.6400000000001"/>
    <n v="199.07"/>
    <n v="199.07"/>
    <n v="199.07"/>
  </r>
  <r>
    <s v="51"/>
    <x v="2"/>
    <x v="11"/>
    <s v="ZC09F090"/>
    <x v="44"/>
    <s v="A101"/>
    <s v="FORTALECIMIENTO INSTITUCIONAL"/>
    <s v="GC00A10100004D"/>
    <s v="GC00A10100004D REMUNERACION PERSONAL"/>
    <s v="51 GASTOS EN PERSONAL"/>
    <s v="510408 Subsidio de Antigüedad"/>
    <s v="G/510408/1FA101"/>
    <s v="002"/>
    <n v="1830.06"/>
    <n v="220"/>
    <n v="0"/>
    <n v="2050.06"/>
    <n v="0"/>
    <n v="2033.4"/>
    <n v="2033.4"/>
    <n v="16.66"/>
    <n v="16.66"/>
    <n v="16.66"/>
  </r>
  <r>
    <s v="51"/>
    <x v="1"/>
    <x v="2"/>
    <s v="OL41I060"/>
    <x v="42"/>
    <s v="A101"/>
    <s v="FORTALECIMIENTO INSTITUCIONAL"/>
    <s v="GC00A10100004D"/>
    <s v="GC00A10100004D REMUNERACION PERSONAL"/>
    <s v="51 GASTOS EN PERSONAL"/>
    <s v="510408 Subsidio de Antigüedad"/>
    <s v="G/510408/1IA101"/>
    <s v="002"/>
    <n v="408.55"/>
    <n v="0"/>
    <n v="0"/>
    <n v="408.55"/>
    <n v="0"/>
    <n v="261.08"/>
    <n v="261.08"/>
    <n v="147.47"/>
    <n v="147.47"/>
    <n v="147.47"/>
  </r>
  <r>
    <s v="51"/>
    <x v="1"/>
    <x v="3"/>
    <s v="UN31M010"/>
    <x v="11"/>
    <s v="A101"/>
    <s v="FORTALECIMIENTO INSTITUCIONAL"/>
    <s v="GC00A10100004D"/>
    <s v="GC00A10100004D REMUNERACION PERSONAL"/>
    <s v="51 GASTOS EN PERSONAL"/>
    <s v="510408 Subsidio de Antigüedad"/>
    <s v="G/510408/1MA101"/>
    <s v="002"/>
    <n v="4555.0600000000004"/>
    <n v="-47.12"/>
    <n v="0"/>
    <n v="4507.9399999999996"/>
    <n v="0"/>
    <n v="4293.54"/>
    <n v="4293.54"/>
    <n v="214.4"/>
    <n v="214.4"/>
    <n v="214.4"/>
  </r>
  <r>
    <s v="51"/>
    <x v="1"/>
    <x v="13"/>
    <s v="ZA01G000"/>
    <x v="29"/>
    <s v="A101"/>
    <s v="FORTALECIMIENTO INSTITUCIONAL"/>
    <s v="GC00A10100004D"/>
    <s v="GC00A10100004D REMUNERACION PERSONAL"/>
    <s v="51 GASTOS EN PERSONAL"/>
    <s v="510408 Subsidio de Antigüedad"/>
    <s v="G/510408/1GA101"/>
    <s v="002"/>
    <n v="2882.04"/>
    <n v="650"/>
    <n v="0"/>
    <n v="3532.04"/>
    <n v="0"/>
    <n v="3037.85"/>
    <n v="3037.85"/>
    <n v="494.19"/>
    <n v="494.19"/>
    <n v="494.19"/>
  </r>
  <r>
    <s v="51"/>
    <x v="2"/>
    <x v="11"/>
    <s v="ZD07F070"/>
    <x v="43"/>
    <s v="A101"/>
    <s v="FORTALECIMIENTO INSTITUCIONAL"/>
    <s v="GC00A10100004D"/>
    <s v="GC00A10100004D REMUNERACION PERSONAL"/>
    <s v="51 GASTOS EN PERSONAL"/>
    <s v="510408 Subsidio de Antigüedad"/>
    <s v="G/510408/1FA101"/>
    <s v="002"/>
    <n v="2444.5100000000002"/>
    <n v="0"/>
    <n v="0"/>
    <n v="2444.5100000000002"/>
    <n v="0"/>
    <n v="2117.4"/>
    <n v="2117.4"/>
    <n v="327.11"/>
    <n v="327.11"/>
    <n v="327.11"/>
  </r>
  <r>
    <s v="51"/>
    <x v="1"/>
    <x v="2"/>
    <s v="JM40I070"/>
    <x v="12"/>
    <s v="A101"/>
    <s v="FORTALECIMIENTO INSTITUCIONAL"/>
    <s v="GC00A10100004D"/>
    <s v="GC00A10100004D REMUNERACION PERSONAL"/>
    <s v="51 GASTOS EN PERSONAL"/>
    <s v="510408 Subsidio de Antigüedad"/>
    <s v="G/510408/1IA101"/>
    <s v="002"/>
    <n v="204.27"/>
    <n v="0"/>
    <n v="0"/>
    <n v="204.27"/>
    <n v="0"/>
    <n v="130.54"/>
    <n v="130.54"/>
    <n v="73.73"/>
    <n v="73.73"/>
    <n v="73.73"/>
  </r>
  <r>
    <s v="51"/>
    <x v="2"/>
    <x v="8"/>
    <s v="ZA01P000"/>
    <x v="15"/>
    <s v="A101"/>
    <s v="FORTALECIMIENTO INSTITUCIONAL"/>
    <s v="GC00A10100004D"/>
    <s v="GC00A10100004D REMUNERACION PERSONAL"/>
    <s v="51 GASTOS EN PERSONAL"/>
    <s v="510408 Subsidio de Antigüedad"/>
    <s v="G/510408/1PA101"/>
    <s v="002"/>
    <n v="216.98"/>
    <n v="76"/>
    <n v="0"/>
    <n v="292.98"/>
    <n v="0"/>
    <n v="241.1"/>
    <n v="241.1"/>
    <n v="51.88"/>
    <n v="51.88"/>
    <n v="51.88"/>
  </r>
  <r>
    <s v="51"/>
    <x v="0"/>
    <x v="7"/>
    <s v="ZA01L000"/>
    <x v="14"/>
    <s v="A101"/>
    <s v="FORTALECIMIENTO INSTITUCIONAL"/>
    <s v="GC00A10100004D"/>
    <s v="GC00A10100004D REMUNERACION PERSONAL"/>
    <s v="51 GASTOS EN PERSONAL"/>
    <s v="510408 Subsidio de Antigüedad"/>
    <s v="G/510408/1LA101"/>
    <s v="002"/>
    <n v="662.05"/>
    <n v="0"/>
    <n v="0"/>
    <n v="662.05"/>
    <n v="0"/>
    <n v="612.20000000000005"/>
    <n v="612.20000000000005"/>
    <n v="49.85"/>
    <n v="49.85"/>
    <n v="49.85"/>
  </r>
  <r>
    <s v="51"/>
    <x v="1"/>
    <x v="3"/>
    <s v="US33M030"/>
    <x v="8"/>
    <s v="A101"/>
    <s v="FORTALECIMIENTO INSTITUCIONAL"/>
    <s v="GC00A10100004D"/>
    <s v="GC00A10100004D REMUNERACION PERSONAL"/>
    <s v="51 GASTOS EN PERSONAL"/>
    <s v="510408 Subsidio de Antigüedad"/>
    <s v="G/510408/1MA101"/>
    <s v="002"/>
    <n v="4746.79"/>
    <n v="1186.48"/>
    <n v="0"/>
    <n v="5933.27"/>
    <n v="0"/>
    <n v="4932.5200000000004"/>
    <n v="4932.5200000000004"/>
    <n v="1000.75"/>
    <n v="1000.75"/>
    <n v="1000.75"/>
  </r>
  <r>
    <s v="51"/>
    <x v="1"/>
    <x v="2"/>
    <s v="ZA01I000"/>
    <x v="5"/>
    <s v="A101"/>
    <s v="FORTALECIMIENTO INSTITUCIONAL"/>
    <s v="GC00A10100004D"/>
    <s v="GC00A10100004D REMUNERACION PERSONAL"/>
    <s v="51 GASTOS EN PERSONAL"/>
    <s v="510408 Subsidio de Antigüedad"/>
    <s v="G/510408/1IA101"/>
    <s v="002"/>
    <n v="6505.21"/>
    <n v="1336"/>
    <n v="0"/>
    <n v="7841.21"/>
    <n v="0"/>
    <n v="6582.77"/>
    <n v="6582.77"/>
    <n v="1258.44"/>
    <n v="1258.44"/>
    <n v="1258.44"/>
  </r>
  <r>
    <s v="51"/>
    <x v="1"/>
    <x v="2"/>
    <s v="MB42I090"/>
    <x v="26"/>
    <s v="A101"/>
    <s v="FORTALECIMIENTO INSTITUCIONAL"/>
    <s v="GC00A10100004D"/>
    <s v="GC00A10100004D REMUNERACION PERSONAL"/>
    <s v="51 GASTOS EN PERSONAL"/>
    <s v="510408 Subsidio de Antigüedad"/>
    <s v="G/510408/1IA101"/>
    <s v="002"/>
    <n v="973.73"/>
    <n v="330"/>
    <n v="0"/>
    <n v="1303.73"/>
    <n v="0"/>
    <n v="1081.9000000000001"/>
    <n v="1081.9000000000001"/>
    <n v="221.83"/>
    <n v="221.83"/>
    <n v="221.83"/>
  </r>
  <r>
    <s v="51"/>
    <x v="1"/>
    <x v="3"/>
    <s v="UC32M020"/>
    <x v="7"/>
    <s v="A101"/>
    <s v="FORTALECIMIENTO INSTITUCIONAL"/>
    <s v="GC00A10100004D"/>
    <s v="GC00A10100004D REMUNERACION PERSONAL"/>
    <s v="51 GASTOS EN PERSONAL"/>
    <s v="510507 Honorarios"/>
    <s v="G/510507/1MA101"/>
    <s v="002"/>
    <n v="12543.73"/>
    <n v="0"/>
    <n v="0"/>
    <n v="12543.73"/>
    <n v="0"/>
    <n v="8418.66"/>
    <n v="8418.66"/>
    <n v="4125.07"/>
    <n v="4125.07"/>
    <n v="4125.07"/>
  </r>
  <r>
    <s v="51"/>
    <x v="2"/>
    <x v="6"/>
    <s v="ZA01K000"/>
    <x v="17"/>
    <s v="A101"/>
    <s v="FORTALECIMIENTO INSTITUCIONAL"/>
    <s v="GC00A10100004D"/>
    <s v="GC00A10100004D REMUNERACION PERSONAL"/>
    <s v="51 GASTOS EN PERSONAL"/>
    <s v="510507 Honorarios"/>
    <s v="G/510507/1KA101"/>
    <s v="002"/>
    <n v="6094.01"/>
    <n v="0"/>
    <n v="0"/>
    <n v="6094.01"/>
    <n v="0"/>
    <n v="2356.8000000000002"/>
    <n v="2356.8000000000002"/>
    <n v="3737.21"/>
    <n v="3737.21"/>
    <n v="3737.21"/>
  </r>
  <r>
    <s v="51"/>
    <x v="2"/>
    <x v="11"/>
    <s v="ZV05F050"/>
    <x v="37"/>
    <s v="A101"/>
    <s v="FORTALECIMIENTO INSTITUCIONAL"/>
    <s v="GC00A10100004D"/>
    <s v="GC00A10100004D REMUNERACION PERSONAL"/>
    <s v="51 GASTOS EN PERSONAL"/>
    <s v="510507 Honorarios"/>
    <s v="G/510507/1FA101"/>
    <s v="002"/>
    <n v="4962.9399999999996"/>
    <n v="0"/>
    <n v="0"/>
    <n v="4962.9399999999996"/>
    <n v="0"/>
    <n v="1800"/>
    <n v="1800"/>
    <n v="3162.94"/>
    <n v="3162.94"/>
    <n v="3162.94"/>
  </r>
  <r>
    <s v="51"/>
    <x v="2"/>
    <x v="10"/>
    <s v="ZA01D000"/>
    <x v="24"/>
    <s v="A101"/>
    <s v="FORTALECIMIENTO INSTITUCIONAL"/>
    <s v="GC00A10100004D"/>
    <s v="GC00A10100004D REMUNERACION PERSONAL"/>
    <s v="51 GASTOS EN PERSONAL"/>
    <s v="510507 Honorarios"/>
    <s v="G/510507/1DA101"/>
    <s v="002"/>
    <n v="9832.32"/>
    <n v="0"/>
    <n v="0"/>
    <n v="9832.32"/>
    <n v="0"/>
    <n v="8279.5400000000009"/>
    <n v="8279.5400000000009"/>
    <n v="1552.78"/>
    <n v="1552.78"/>
    <n v="1552.78"/>
  </r>
  <r>
    <s v="51"/>
    <x v="2"/>
    <x v="11"/>
    <s v="ZN02F020"/>
    <x v="40"/>
    <s v="A101"/>
    <s v="FORTALECIMIENTO INSTITUCIONAL"/>
    <s v="GC00A10100004D"/>
    <s v="GC00A10100004D REMUNERACION PERSONAL"/>
    <s v="51 GASTOS EN PERSONAL"/>
    <s v="510507 Honorarios"/>
    <s v="G/510507/1FA101"/>
    <s v="002"/>
    <n v="5618.63"/>
    <n v="9321.16"/>
    <n v="0"/>
    <n v="14939.79"/>
    <n v="0"/>
    <n v="14939.79"/>
    <n v="14939.79"/>
    <n v="0"/>
    <n v="0"/>
    <n v="0"/>
  </r>
  <r>
    <s v="51"/>
    <x v="0"/>
    <x v="12"/>
    <s v="MC37B000"/>
    <x v="28"/>
    <s v="A101"/>
    <s v="FORTALECIMIENTO INSTITUCIONAL"/>
    <s v="GC00A10100004D"/>
    <s v="GC00A10100004D REMUNERACION PERSONAL"/>
    <s v="51 GASTOS EN PERSONAL"/>
    <s v="510507 Honorarios"/>
    <s v="G/510507/1BA101"/>
    <s v="002"/>
    <n v="10426.629999999999"/>
    <n v="33627.35"/>
    <n v="0"/>
    <n v="44053.98"/>
    <n v="0"/>
    <n v="20833.060000000001"/>
    <n v="20833.060000000001"/>
    <n v="23220.92"/>
    <n v="23220.92"/>
    <n v="23220.92"/>
  </r>
  <r>
    <s v="51"/>
    <x v="2"/>
    <x v="11"/>
    <s v="ZQ08F080"/>
    <x v="39"/>
    <s v="A101"/>
    <s v="FORTALECIMIENTO INSTITUCIONAL"/>
    <s v="GC00A10100004D"/>
    <s v="GC00A10100004D REMUNERACION PERSONAL"/>
    <s v="51 GASTOS EN PERSONAL"/>
    <s v="510507 Honorarios"/>
    <s v="G/510507/1FA101"/>
    <s v="002"/>
    <n v="3791.81"/>
    <n v="3510"/>
    <n v="0"/>
    <n v="7301.81"/>
    <n v="0"/>
    <n v="6664.2"/>
    <n v="6664.2"/>
    <n v="637.61"/>
    <n v="637.61"/>
    <n v="637.61"/>
  </r>
  <r>
    <s v="51"/>
    <x v="3"/>
    <x v="14"/>
    <s v="ZA01H000"/>
    <x v="30"/>
    <s v="A101"/>
    <s v="FORTALECIMIENTO INSTITUCIONAL"/>
    <s v="GC00A10100004D"/>
    <s v="GC00A10100004D REMUNERACION PERSONAL"/>
    <s v="51 GASTOS EN PERSONAL"/>
    <s v="510507 Honorarios"/>
    <s v="G/510507/1HA101"/>
    <s v="002"/>
    <n v="8804.9500000000007"/>
    <n v="-5204.95"/>
    <n v="0"/>
    <n v="3600"/>
    <n v="0"/>
    <n v="3600"/>
    <n v="3600"/>
    <n v="0"/>
    <n v="0"/>
    <n v="0"/>
  </r>
  <r>
    <s v="51"/>
    <x v="0"/>
    <x v="7"/>
    <s v="ZA01L000"/>
    <x v="14"/>
    <s v="A101"/>
    <s v="FORTALECIMIENTO INSTITUCIONAL"/>
    <s v="GC00A10100004D"/>
    <s v="GC00A10100004D REMUNERACION PERSONAL"/>
    <s v="51 GASTOS EN PERSONAL"/>
    <s v="510507 Honorarios"/>
    <s v="G/510507/1LA101"/>
    <s v="002"/>
    <n v="2154.48"/>
    <n v="11007.57"/>
    <n v="0"/>
    <n v="13162.05"/>
    <n v="0"/>
    <n v="13162.05"/>
    <n v="13162.05"/>
    <n v="0"/>
    <n v="0"/>
    <n v="0"/>
  </r>
  <r>
    <s v="51"/>
    <x v="1"/>
    <x v="3"/>
    <s v="US33M030"/>
    <x v="8"/>
    <s v="A101"/>
    <s v="FORTALECIMIENTO INSTITUCIONAL"/>
    <s v="GC00A10100004D"/>
    <s v="GC00A10100004D REMUNERACION PERSONAL"/>
    <s v="51 GASTOS EN PERSONAL"/>
    <s v="510507 Honorarios"/>
    <s v="G/510507/1MA101"/>
    <s v="002"/>
    <n v="12516.01"/>
    <n v="0"/>
    <n v="0"/>
    <n v="12516.01"/>
    <n v="0"/>
    <n v="8782.7999999999993"/>
    <n v="8782.7999999999993"/>
    <n v="3733.21"/>
    <n v="3733.21"/>
    <n v="3733.21"/>
  </r>
  <r>
    <s v="51"/>
    <x v="2"/>
    <x v="11"/>
    <s v="ZS03F030"/>
    <x v="38"/>
    <s v="A101"/>
    <s v="FORTALECIMIENTO INSTITUCIONAL"/>
    <s v="GC00A10100004D"/>
    <s v="GC00A10100004D REMUNERACION PERSONAL"/>
    <s v="51 GASTOS EN PERSONAL"/>
    <s v="510507 Honorarios"/>
    <s v="G/510507/1FA101"/>
    <s v="002"/>
    <n v="4000.9"/>
    <n v="0"/>
    <n v="0"/>
    <n v="4000.9"/>
    <n v="0"/>
    <n v="3610.2"/>
    <n v="3610.2"/>
    <n v="390.7"/>
    <n v="390.7"/>
    <n v="390.7"/>
  </r>
  <r>
    <s v="51"/>
    <x v="1"/>
    <x v="3"/>
    <s v="UN31M010"/>
    <x v="11"/>
    <s v="A101"/>
    <s v="FORTALECIMIENTO INSTITUCIONAL"/>
    <s v="GC00A10100004D"/>
    <s v="GC00A10100004D REMUNERACION PERSONAL"/>
    <s v="51 GASTOS EN PERSONAL"/>
    <s v="510507 Honorarios"/>
    <s v="G/510507/1MA101"/>
    <s v="002"/>
    <n v="8977.4599999999991"/>
    <n v="2234.0700000000002"/>
    <n v="0"/>
    <n v="11211.53"/>
    <n v="0"/>
    <n v="11211.13"/>
    <n v="11211.13"/>
    <n v="0.4"/>
    <n v="0.4"/>
    <n v="0.4"/>
  </r>
  <r>
    <s v="51"/>
    <x v="2"/>
    <x v="11"/>
    <s v="ZT06F060"/>
    <x v="25"/>
    <s v="A101"/>
    <s v="FORTALECIMIENTO INSTITUCIONAL"/>
    <s v="GC00A10100004D"/>
    <s v="GC00A10100004D REMUNERACION PERSONAL"/>
    <s v="51 GASTOS EN PERSONAL"/>
    <s v="510507 Honorarios"/>
    <s v="G/510507/1FA101"/>
    <s v="002"/>
    <n v="5936.71"/>
    <n v="0"/>
    <n v="0"/>
    <n v="5936.71"/>
    <n v="0"/>
    <n v="5071.67"/>
    <n v="5071.67"/>
    <n v="865.04"/>
    <n v="865.04"/>
    <n v="865.04"/>
  </r>
  <r>
    <s v="51"/>
    <x v="1"/>
    <x v="13"/>
    <s v="ZA01G000"/>
    <x v="29"/>
    <s v="A101"/>
    <s v="FORTALECIMIENTO INSTITUCIONAL"/>
    <s v="GC00A10100004D"/>
    <s v="GC00A10100004D REMUNERACION PERSONAL"/>
    <s v="51 GASTOS EN PERSONAL"/>
    <s v="510507 Honorarios"/>
    <s v="G/510507/1GA101"/>
    <s v="002"/>
    <n v="17424.580000000002"/>
    <n v="0"/>
    <n v="0"/>
    <n v="17424.580000000002"/>
    <n v="0"/>
    <n v="6125.27"/>
    <n v="6125.27"/>
    <n v="11299.31"/>
    <n v="11299.31"/>
    <n v="11299.31"/>
  </r>
  <r>
    <s v="51"/>
    <x v="0"/>
    <x v="0"/>
    <s v="RP36A010"/>
    <x v="2"/>
    <s v="A101"/>
    <s v="FORTALECIMIENTO INSTITUCIONAL"/>
    <s v="GC00A10100004D"/>
    <s v="GC00A10100004D REMUNERACION PERSONAL"/>
    <s v="51 GASTOS EN PERSONAL"/>
    <s v="510507 Honorarios"/>
    <s v="G/510507/1AA101"/>
    <s v="002"/>
    <n v="18457.03"/>
    <n v="0"/>
    <n v="0"/>
    <n v="18457.03"/>
    <n v="0"/>
    <n v="14742.59"/>
    <n v="14742.59"/>
    <n v="3714.44"/>
    <n v="3714.44"/>
    <n v="3714.44"/>
  </r>
  <r>
    <s v="51"/>
    <x v="0"/>
    <x v="1"/>
    <s v="ZA01C030"/>
    <x v="3"/>
    <s v="A101"/>
    <s v="FORTALECIMIENTO INSTITUCIONAL"/>
    <s v="GC00A10100004D"/>
    <s v="GC00A10100004D REMUNERACION PERSONAL"/>
    <s v="51 GASTOS EN PERSONAL"/>
    <s v="510507 Honorarios"/>
    <s v="G/510507/1CA101"/>
    <s v="002"/>
    <n v="22033.47"/>
    <n v="5407.76"/>
    <n v="0"/>
    <n v="27441.23"/>
    <n v="0"/>
    <n v="27441.23"/>
    <n v="27441.23"/>
    <n v="0"/>
    <n v="0"/>
    <n v="0"/>
  </r>
  <r>
    <s v="51"/>
    <x v="0"/>
    <x v="1"/>
    <s v="ZA01C002"/>
    <x v="46"/>
    <s v="A101"/>
    <s v="FORTALECIMIENTO INSTITUCIONAL"/>
    <s v="GC00A10100004D"/>
    <s v="GC00A10100004D REMUNERACION PERSONAL"/>
    <s v="51 GASTOS EN PERSONAL"/>
    <s v="510507 Honorarios"/>
    <s v="G/510507/1CA101"/>
    <s v="002"/>
    <n v="1077.17"/>
    <n v="0"/>
    <n v="0"/>
    <n v="1077.17"/>
    <n v="0"/>
    <n v="402.4"/>
    <n v="402.4"/>
    <n v="674.77"/>
    <n v="674.77"/>
    <n v="674.77"/>
  </r>
  <r>
    <s v="51"/>
    <x v="1"/>
    <x v="2"/>
    <s v="CF22I050"/>
    <x v="22"/>
    <s v="A101"/>
    <s v="FORTALECIMIENTO INSTITUCIONAL"/>
    <s v="GC00A10100004D"/>
    <s v="GC00A10100004D REMUNERACION PERSONAL"/>
    <s v="51 GASTOS EN PERSONAL"/>
    <s v="510507 Honorarios"/>
    <s v="G/510507/1IA101"/>
    <s v="002"/>
    <n v="5259.63"/>
    <n v="0"/>
    <n v="0"/>
    <n v="5259.63"/>
    <n v="0"/>
    <n v="2777.81"/>
    <n v="2777.81"/>
    <n v="2481.8200000000002"/>
    <n v="2481.8200000000002"/>
    <n v="2481.8200000000002"/>
  </r>
  <r>
    <s v="51"/>
    <x v="1"/>
    <x v="2"/>
    <s v="OL41I060"/>
    <x v="42"/>
    <s v="A101"/>
    <s v="FORTALECIMIENTO INSTITUCIONAL"/>
    <s v="GC00A10100004D"/>
    <s v="GC00A10100004D REMUNERACION PERSONAL"/>
    <s v="51 GASTOS EN PERSONAL"/>
    <s v="510507 Honorarios"/>
    <s v="G/510507/1IA101"/>
    <s v="002"/>
    <n v="1556.93"/>
    <n v="2535"/>
    <n v="0"/>
    <n v="4091.93"/>
    <n v="0"/>
    <n v="2532.6999999999998"/>
    <n v="2532.6999999999998"/>
    <n v="1559.23"/>
    <n v="1559.23"/>
    <n v="1559.23"/>
  </r>
  <r>
    <s v="51"/>
    <x v="2"/>
    <x v="11"/>
    <s v="ZC09F090"/>
    <x v="44"/>
    <s v="A101"/>
    <s v="FORTALECIMIENTO INSTITUCIONAL"/>
    <s v="GC00A10100004D"/>
    <s v="GC00A10100004D REMUNERACION PERSONAL"/>
    <s v="51 GASTOS EN PERSONAL"/>
    <s v="510507 Honorarios"/>
    <s v="G/510507/1FA101"/>
    <s v="002"/>
    <n v="6160.25"/>
    <n v="4424.74"/>
    <n v="0"/>
    <n v="10584.99"/>
    <n v="0"/>
    <n v="10584.99"/>
    <n v="10584.99"/>
    <n v="0"/>
    <n v="0"/>
    <n v="0"/>
  </r>
  <r>
    <s v="51"/>
    <x v="1"/>
    <x v="2"/>
    <s v="MB42I090"/>
    <x v="26"/>
    <s v="A101"/>
    <s v="FORTALECIMIENTO INSTITUCIONAL"/>
    <s v="GC00A10100004D"/>
    <s v="GC00A10100004D REMUNERACION PERSONAL"/>
    <s v="51 GASTOS EN PERSONAL"/>
    <s v="510507 Honorarios"/>
    <s v="G/510507/1IA101"/>
    <s v="002"/>
    <n v="3824.9"/>
    <n v="0"/>
    <n v="0"/>
    <n v="3824.9"/>
    <n v="0"/>
    <n v="1688.47"/>
    <n v="1688.47"/>
    <n v="2136.4299999999998"/>
    <n v="2136.4299999999998"/>
    <n v="2136.4299999999998"/>
  </r>
  <r>
    <s v="51"/>
    <x v="0"/>
    <x v="1"/>
    <s v="ZA01C060"/>
    <x v="45"/>
    <s v="A101"/>
    <s v="FORTALECIMIENTO INSTITUCIONAL"/>
    <s v="GC00A10100004D"/>
    <s v="GC00A10100004D REMUNERACION PERSONAL"/>
    <s v="51 GASTOS EN PERSONAL"/>
    <s v="510507 Honorarios"/>
    <s v="G/510507/1CA101"/>
    <s v="002"/>
    <n v="1390.79"/>
    <n v="3125"/>
    <n v="0"/>
    <n v="4515.79"/>
    <n v="0"/>
    <n v="4491.67"/>
    <n v="4491.67"/>
    <n v="24.12"/>
    <n v="24.12"/>
    <n v="24.12"/>
  </r>
  <r>
    <s v="51"/>
    <x v="2"/>
    <x v="11"/>
    <s v="RB34F010"/>
    <x v="33"/>
    <s v="A101"/>
    <s v="FORTALECIMIENTO INSTITUCIONAL"/>
    <s v="GC00A10100004D"/>
    <s v="GC00A10100004D REMUNERACION PERSONAL"/>
    <s v="51 GASTOS EN PERSONAL"/>
    <s v="510507 Honorarios"/>
    <s v="G/510507/1FA101"/>
    <s v="002"/>
    <n v="3782.44"/>
    <n v="1700"/>
    <n v="0"/>
    <n v="5482.44"/>
    <n v="0"/>
    <n v="5466.66"/>
    <n v="5466.66"/>
    <n v="15.78"/>
    <n v="15.78"/>
    <n v="15.78"/>
  </r>
  <r>
    <s v="51"/>
    <x v="0"/>
    <x v="9"/>
    <s v="ZA01E000"/>
    <x v="18"/>
    <s v="A101"/>
    <s v="FORTALECIMIENTO INSTITUCIONAL"/>
    <s v="GC00A10100004D"/>
    <s v="GC00A10100004D REMUNERACION PERSONAL"/>
    <s v="51 GASTOS EN PERSONAL"/>
    <s v="510507 Honorarios"/>
    <s v="G/510507/1EA101"/>
    <s v="002"/>
    <n v="5784.98"/>
    <n v="11044.95"/>
    <n v="0"/>
    <n v="16829.93"/>
    <n v="0"/>
    <n v="16828.27"/>
    <n v="16828.27"/>
    <n v="1.66"/>
    <n v="1.66"/>
    <n v="1.66"/>
  </r>
  <r>
    <s v="51"/>
    <x v="1"/>
    <x v="2"/>
    <s v="EE11I010"/>
    <x v="21"/>
    <s v="A101"/>
    <s v="FORTALECIMIENTO INSTITUCIONAL"/>
    <s v="GC00A10100004D"/>
    <s v="GC00A10100004D REMUNERACION PERSONAL"/>
    <s v="51 GASTOS EN PERSONAL"/>
    <s v="510507 Honorarios"/>
    <s v="G/510507/1IA101"/>
    <s v="002"/>
    <n v="2932.17"/>
    <n v="2210"/>
    <n v="0"/>
    <n v="5142.17"/>
    <n v="0"/>
    <n v="2205.9"/>
    <n v="2205.9"/>
    <n v="2936.27"/>
    <n v="2936.27"/>
    <n v="2936.27"/>
  </r>
  <r>
    <s v="51"/>
    <x v="2"/>
    <x v="11"/>
    <s v="ZD07F070"/>
    <x v="43"/>
    <s v="A101"/>
    <s v="FORTALECIMIENTO INSTITUCIONAL"/>
    <s v="GC00A10100004D"/>
    <s v="GC00A10100004D REMUNERACION PERSONAL"/>
    <s v="51 GASTOS EN PERSONAL"/>
    <s v="510507 Honorarios"/>
    <s v="G/510507/1FA101"/>
    <s v="002"/>
    <n v="10035.540000000001"/>
    <n v="0"/>
    <n v="0"/>
    <n v="10035.540000000001"/>
    <n v="0"/>
    <n v="5306.44"/>
    <n v="5306.44"/>
    <n v="4729.1000000000004"/>
    <n v="4729.1000000000004"/>
    <n v="4729.1000000000004"/>
  </r>
  <r>
    <s v="51"/>
    <x v="2"/>
    <x v="8"/>
    <s v="FS66P020"/>
    <x v="36"/>
    <s v="A101"/>
    <s v="FORTALECIMIENTO INSTITUCIONAL"/>
    <s v="GC00A10100004D"/>
    <s v="GC00A10100004D REMUNERACION PERSONAL"/>
    <s v="51 GASTOS EN PERSONAL"/>
    <s v="510507 Honorarios"/>
    <s v="G/510507/1PA101"/>
    <s v="002"/>
    <n v="3661.27"/>
    <n v="-1830.63"/>
    <n v="0"/>
    <n v="1830.64"/>
    <n v="0"/>
    <n v="0"/>
    <n v="0"/>
    <n v="1830.64"/>
    <n v="1830.64"/>
    <n v="1830.64"/>
  </r>
  <r>
    <s v="51"/>
    <x v="1"/>
    <x v="2"/>
    <s v="EQ13I030"/>
    <x v="20"/>
    <s v="A101"/>
    <s v="FORTALECIMIENTO INSTITUCIONAL"/>
    <s v="GC00A10100004D"/>
    <s v="GC00A10100004D REMUNERACION PERSONAL"/>
    <s v="51 GASTOS EN PERSONAL"/>
    <s v="510507 Honorarios"/>
    <s v="G/510507/1IA101"/>
    <s v="002"/>
    <n v="2796.77"/>
    <n v="0"/>
    <n v="0"/>
    <n v="2796.77"/>
    <n v="0"/>
    <n v="599.13"/>
    <n v="599.13"/>
    <n v="2197.64"/>
    <n v="2197.64"/>
    <n v="2197.64"/>
  </r>
  <r>
    <s v="51"/>
    <x v="2"/>
    <x v="11"/>
    <s v="ZM04F040"/>
    <x v="41"/>
    <s v="A101"/>
    <s v="FORTALECIMIENTO INSTITUCIONAL"/>
    <s v="GC00A10100004D"/>
    <s v="GC00A10100004D REMUNERACION PERSONAL"/>
    <s v="51 GASTOS EN PERSONAL"/>
    <s v="510507 Honorarios"/>
    <s v="G/510507/1FA101"/>
    <s v="002"/>
    <n v="15161.78"/>
    <n v="0"/>
    <n v="0"/>
    <n v="15161.78"/>
    <n v="0"/>
    <n v="3350"/>
    <n v="3350"/>
    <n v="11811.78"/>
    <n v="11811.78"/>
    <n v="11811.78"/>
  </r>
  <r>
    <s v="51"/>
    <x v="1"/>
    <x v="2"/>
    <s v="ES12I020"/>
    <x v="16"/>
    <s v="A101"/>
    <s v="FORTALECIMIENTO INSTITUCIONAL"/>
    <s v="GC00A10100004D"/>
    <s v="GC00A10100004D REMUNERACION PERSONAL"/>
    <s v="51 GASTOS EN PERSONAL"/>
    <s v="510507 Honorarios"/>
    <s v="G/510507/1IA101"/>
    <s v="002"/>
    <n v="6639.29"/>
    <n v="0"/>
    <n v="0"/>
    <n v="6639.29"/>
    <n v="0"/>
    <n v="1742.93"/>
    <n v="1742.93"/>
    <n v="4896.3599999999997"/>
    <n v="4896.3599999999997"/>
    <n v="4896.3599999999997"/>
  </r>
  <r>
    <s v="51"/>
    <x v="2"/>
    <x v="11"/>
    <s v="ZA01F000"/>
    <x v="31"/>
    <s v="A101"/>
    <s v="FORTALECIMIENTO INSTITUCIONAL"/>
    <s v="GC00A10100004D"/>
    <s v="GC00A10100004D REMUNERACION PERSONAL"/>
    <s v="51 GASTOS EN PERSONAL"/>
    <s v="510507 Honorarios"/>
    <s v="G/510507/1FA101"/>
    <s v="002"/>
    <n v="3057.43"/>
    <n v="16949.580000000002"/>
    <n v="0"/>
    <n v="20007.009999999998"/>
    <n v="0"/>
    <n v="20006.669999999998"/>
    <n v="20006.669999999998"/>
    <n v="0.34"/>
    <n v="0.34"/>
    <n v="0.34"/>
  </r>
  <r>
    <s v="51"/>
    <x v="3"/>
    <x v="15"/>
    <s v="AC67Q000"/>
    <x v="32"/>
    <s v="A101"/>
    <s v="FORTALECIMIENTO INSTITUCIONAL"/>
    <s v="GC00A10100004D"/>
    <s v="GC00A10100004D REMUNERACION PERSONAL"/>
    <s v="51 GASTOS EN PERSONAL"/>
    <s v="510507 Honorarios"/>
    <s v="G/510507/2QA101"/>
    <s v="002"/>
    <n v="10426.629999999999"/>
    <n v="24500"/>
    <n v="0"/>
    <n v="34926.629999999997"/>
    <n v="0"/>
    <n v="33904.17"/>
    <n v="33904.17"/>
    <n v="1022.46"/>
    <n v="1022.46"/>
    <n v="1022.46"/>
  </r>
  <r>
    <s v="51"/>
    <x v="2"/>
    <x v="8"/>
    <s v="ZA01P000"/>
    <x v="15"/>
    <s v="A101"/>
    <s v="FORTALECIMIENTO INSTITUCIONAL"/>
    <s v="GC00A10100004D"/>
    <s v="GC00A10100004D REMUNERACION PERSONAL"/>
    <s v="51 GASTOS EN PERSONAL"/>
    <s v="510507 Honorarios"/>
    <s v="G/510507/1PA101"/>
    <s v="002"/>
    <n v="8806.02"/>
    <n v="0"/>
    <n v="0"/>
    <n v="8806.02"/>
    <n v="0"/>
    <n v="7100.43"/>
    <n v="7100.43"/>
    <n v="1705.59"/>
    <n v="1705.59"/>
    <n v="1705.59"/>
  </r>
  <r>
    <s v="51"/>
    <x v="0"/>
    <x v="0"/>
    <s v="ZA01A000"/>
    <x v="1"/>
    <s v="A101"/>
    <s v="FORTALECIMIENTO INSTITUCIONAL"/>
    <s v="GC00A10100004D"/>
    <s v="GC00A10100004D REMUNERACION PERSONAL"/>
    <s v="51 GASTOS EN PERSONAL"/>
    <s v="510507 Honorarios"/>
    <s v="G/510507/1AA101"/>
    <s v="002"/>
    <n v="44364.78"/>
    <n v="14872.37"/>
    <n v="0"/>
    <n v="59237.15"/>
    <n v="0"/>
    <n v="59236.72"/>
    <n v="59236.72"/>
    <n v="0.43"/>
    <n v="0.43"/>
    <n v="0.43"/>
  </r>
  <r>
    <s v="51"/>
    <x v="1"/>
    <x v="2"/>
    <s v="ZA01I000"/>
    <x v="5"/>
    <s v="A101"/>
    <s v="FORTALECIMIENTO INSTITUCIONAL"/>
    <s v="GC00A10100004D"/>
    <s v="GC00A10100004D REMUNERACION PERSONAL"/>
    <s v="51 GASTOS EN PERSONAL"/>
    <s v="510507 Honorarios"/>
    <s v="G/510507/1IA101"/>
    <s v="002"/>
    <n v="17426.21"/>
    <n v="32667.33"/>
    <n v="0"/>
    <n v="50093.54"/>
    <n v="0"/>
    <n v="50091.98"/>
    <n v="50091.98"/>
    <n v="1.56"/>
    <n v="1.56"/>
    <n v="1.56"/>
  </r>
  <r>
    <s v="51"/>
    <x v="1"/>
    <x v="4"/>
    <s v="ZA01J000"/>
    <x v="9"/>
    <s v="A101"/>
    <s v="FORTALECIMIENTO INSTITUCIONAL"/>
    <s v="GC00A10100004D"/>
    <s v="GC00A10100004D REMUNERACION PERSONAL"/>
    <s v="51 GASTOS EN PERSONAL"/>
    <s v="510507 Honorarios"/>
    <s v="G/510507/1JA101"/>
    <s v="002"/>
    <n v="3825.77"/>
    <n v="0"/>
    <n v="0"/>
    <n v="3825.77"/>
    <n v="0"/>
    <n v="3575"/>
    <n v="3575"/>
    <n v="250.77"/>
    <n v="250.77"/>
    <n v="250.77"/>
  </r>
  <r>
    <s v="51"/>
    <x v="1"/>
    <x v="2"/>
    <s v="SF43I080"/>
    <x v="35"/>
    <s v="A101"/>
    <s v="FORTALECIMIENTO INSTITUCIONAL"/>
    <s v="GC00A10100004D"/>
    <s v="GC00A10100004D REMUNERACION PERSONAL"/>
    <s v="51 GASTOS EN PERSONAL"/>
    <s v="510507 Honorarios"/>
    <s v="G/510507/1IA101"/>
    <s v="002"/>
    <n v="2297.33"/>
    <n v="0"/>
    <n v="0"/>
    <n v="2297.33"/>
    <n v="0"/>
    <n v="1089.33"/>
    <n v="1089.33"/>
    <n v="1208"/>
    <n v="1208"/>
    <n v="1208"/>
  </r>
  <r>
    <s v="51"/>
    <x v="1"/>
    <x v="3"/>
    <s v="ZA01M000"/>
    <x v="6"/>
    <s v="A101"/>
    <s v="FORTALECIMIENTO INSTITUCIONAL"/>
    <s v="GC00A10100004D"/>
    <s v="GC00A10100004D REMUNERACION PERSONAL"/>
    <s v="51 GASTOS EN PERSONAL"/>
    <s v="510507 Honorarios"/>
    <s v="G/510507/1MA101"/>
    <s v="002"/>
    <n v="4835.6899999999996"/>
    <n v="23764.14"/>
    <n v="0"/>
    <n v="28599.83"/>
    <n v="0"/>
    <n v="28598.16"/>
    <n v="28598.16"/>
    <n v="1.67"/>
    <n v="1.67"/>
    <n v="1.67"/>
  </r>
  <r>
    <s v="51"/>
    <x v="2"/>
    <x v="5"/>
    <s v="PM71N010"/>
    <x v="27"/>
    <s v="A101"/>
    <s v="FORTALECIMIENTO INSTITUCIONAL"/>
    <s v="GC00A10100004D"/>
    <s v="GC00A10100004D REMUNERACION PERSONAL"/>
    <s v="51 GASTOS EN PERSONAL"/>
    <s v="510507 Honorarios"/>
    <s v="G/510507/1NA101"/>
    <s v="002"/>
    <n v="34227.129999999997"/>
    <n v="0"/>
    <n v="0"/>
    <n v="34227.129999999997"/>
    <n v="0"/>
    <n v="6938.21"/>
    <n v="6938.21"/>
    <n v="27288.92"/>
    <n v="27288.92"/>
    <n v="27288.92"/>
  </r>
  <r>
    <s v="51"/>
    <x v="2"/>
    <x v="11"/>
    <s v="TM68F100"/>
    <x v="34"/>
    <s v="A101"/>
    <s v="FORTALECIMIENTO INSTITUCIONAL"/>
    <s v="GC00A10100004D"/>
    <s v="GC00A10100004D REMUNERACION PERSONAL"/>
    <s v="51 GASTOS EN PERSONAL"/>
    <s v="510507 Honorarios"/>
    <s v="G/510507/1FA101"/>
    <s v="002"/>
    <n v="2843.71"/>
    <n v="750"/>
    <n v="0"/>
    <n v="3593.71"/>
    <n v="0"/>
    <n v="3030"/>
    <n v="3030"/>
    <n v="563.71"/>
    <n v="563.71"/>
    <n v="563.71"/>
  </r>
  <r>
    <s v="51"/>
    <x v="2"/>
    <x v="5"/>
    <s v="ZA01N000"/>
    <x v="10"/>
    <s v="A101"/>
    <s v="FORTALECIMIENTO INSTITUCIONAL"/>
    <s v="GC00A10100004D"/>
    <s v="GC00A10100004D REMUNERACION PERSONAL"/>
    <s v="51 GASTOS EN PERSONAL"/>
    <s v="510507 Honorarios"/>
    <s v="G/510507/1NA101"/>
    <s v="002"/>
    <n v="37975.72"/>
    <n v="5130"/>
    <n v="0"/>
    <n v="43105.72"/>
    <n v="0"/>
    <n v="43104.92"/>
    <n v="43104.92"/>
    <n v="0.8"/>
    <n v="0.8"/>
    <n v="0.8"/>
  </r>
  <r>
    <s v="51"/>
    <x v="1"/>
    <x v="2"/>
    <s v="JM40I070"/>
    <x v="12"/>
    <s v="A101"/>
    <s v="FORTALECIMIENTO INSTITUCIONAL"/>
    <s v="GC00A10100004D"/>
    <s v="GC00A10100004D REMUNERACION PERSONAL"/>
    <s v="51 GASTOS EN PERSONAL"/>
    <s v="510507 Honorarios"/>
    <s v="G/510507/1IA101"/>
    <s v="002"/>
    <n v="3932.26"/>
    <n v="0"/>
    <n v="0"/>
    <n v="3932.26"/>
    <n v="0"/>
    <n v="0"/>
    <n v="0"/>
    <n v="3932.26"/>
    <n v="3932.26"/>
    <n v="3932.26"/>
  </r>
  <r>
    <s v="51"/>
    <x v="1"/>
    <x v="2"/>
    <s v="CB21I040"/>
    <x v="23"/>
    <s v="A101"/>
    <s v="FORTALECIMIENTO INSTITUCIONAL"/>
    <s v="GC00A10100004D"/>
    <s v="GC00A10100004D REMUNERACION PERSONAL"/>
    <s v="51 GASTOS EN PERSONAL"/>
    <s v="510507 Honorarios"/>
    <s v="G/510507/1IA101"/>
    <s v="002"/>
    <n v="2574.8200000000002"/>
    <n v="0"/>
    <n v="0"/>
    <n v="2574.8200000000002"/>
    <n v="0"/>
    <n v="0"/>
    <n v="0"/>
    <n v="2574.8200000000002"/>
    <n v="2574.8200000000002"/>
    <n v="2574.8200000000002"/>
  </r>
  <r>
    <s v="51"/>
    <x v="0"/>
    <x v="1"/>
    <s v="ZA01C000"/>
    <x v="19"/>
    <s v="A101"/>
    <s v="FORTALECIMIENTO INSTITUCIONAL"/>
    <s v="GC00A10100004D"/>
    <s v="GC00A10100004D REMUNERACION PERSONAL"/>
    <s v="51 GASTOS EN PERSONAL"/>
    <s v="510507 Honorarios"/>
    <s v="G/510507/1CA101"/>
    <s v="002"/>
    <n v="15104.24"/>
    <n v="2706"/>
    <n v="0"/>
    <n v="17810.240000000002"/>
    <n v="0"/>
    <n v="15585.87"/>
    <n v="15585.87"/>
    <n v="2224.37"/>
    <n v="2224.37"/>
    <n v="2224.37"/>
  </r>
  <r>
    <s v="51"/>
    <x v="2"/>
    <x v="6"/>
    <s v="AT69K040"/>
    <x v="13"/>
    <s v="A101"/>
    <s v="FORTALECIMIENTO INSTITUCIONAL"/>
    <s v="GC00A10100004D"/>
    <s v="GC00A10100004D REMUNERACION PERSONAL"/>
    <s v="51 GASTOS EN PERSONAL"/>
    <s v="510507 Honorarios"/>
    <s v="G/510507/1KA101"/>
    <s v="002"/>
    <n v="257002"/>
    <n v="0"/>
    <n v="0"/>
    <n v="257002"/>
    <n v="0"/>
    <n v="48458.559999999998"/>
    <n v="48458.559999999998"/>
    <n v="208543.44"/>
    <n v="208543.44"/>
    <n v="208543.44"/>
  </r>
  <r>
    <s v="51"/>
    <x v="1"/>
    <x v="2"/>
    <s v="ES12I020"/>
    <x v="16"/>
    <s v="A101"/>
    <s v="FORTALECIMIENTO INSTITUCIONAL"/>
    <s v="GC00A10100004D"/>
    <s v="GC00A10100004D REMUNERACION PERSONAL"/>
    <s v="51 GASTOS EN PERSONAL"/>
    <s v="510509 Horas Extraordinarias y Suplementarias"/>
    <s v="G/510509/1IA101"/>
    <s v="002"/>
    <n v="1663.77"/>
    <n v="0"/>
    <n v="0"/>
    <n v="1663.77"/>
    <n v="0"/>
    <n v="194.53"/>
    <n v="194.53"/>
    <n v="1469.24"/>
    <n v="1469.24"/>
    <n v="1469.24"/>
  </r>
  <r>
    <s v="51"/>
    <x v="1"/>
    <x v="2"/>
    <s v="CF22I050"/>
    <x v="22"/>
    <s v="A101"/>
    <s v="FORTALECIMIENTO INSTITUCIONAL"/>
    <s v="GC00A10100004D"/>
    <s v="GC00A10100004D REMUNERACION PERSONAL"/>
    <s v="51 GASTOS EN PERSONAL"/>
    <s v="510509 Horas Extraordinarias y Suplementarias"/>
    <s v="G/510509/1IA101"/>
    <s v="002"/>
    <n v="1105.57"/>
    <n v="0"/>
    <n v="0"/>
    <n v="1105.57"/>
    <n v="0"/>
    <n v="517.03"/>
    <n v="517.03"/>
    <n v="588.54"/>
    <n v="588.54"/>
    <n v="588.54"/>
  </r>
  <r>
    <s v="51"/>
    <x v="2"/>
    <x v="11"/>
    <s v="TM68F100"/>
    <x v="34"/>
    <s v="A101"/>
    <s v="FORTALECIMIENTO INSTITUCIONAL"/>
    <s v="GC00A10100004D"/>
    <s v="GC00A10100004D REMUNERACION PERSONAL"/>
    <s v="51 GASTOS EN PERSONAL"/>
    <s v="510509 Horas Extraordinarias y Suplementarias"/>
    <s v="G/510509/1FA101"/>
    <s v="002"/>
    <n v="6964.56"/>
    <n v="0"/>
    <n v="0"/>
    <n v="6964.56"/>
    <n v="0"/>
    <n v="5686.83"/>
    <n v="5686.83"/>
    <n v="1277.73"/>
    <n v="1277.73"/>
    <n v="1277.73"/>
  </r>
  <r>
    <s v="51"/>
    <x v="2"/>
    <x v="10"/>
    <s v="ZA01D000"/>
    <x v="24"/>
    <s v="A101"/>
    <s v="FORTALECIMIENTO INSTITUCIONAL"/>
    <s v="GC00A10100004D"/>
    <s v="GC00A10100004D REMUNERACION PERSONAL"/>
    <s v="51 GASTOS EN PERSONAL"/>
    <s v="510509 Horas Extraordinarias y Suplementarias"/>
    <s v="G/510509/1DA101"/>
    <s v="002"/>
    <n v="7213.01"/>
    <n v="0"/>
    <n v="0"/>
    <n v="7213.01"/>
    <n v="0"/>
    <n v="186.25"/>
    <n v="186.25"/>
    <n v="7026.76"/>
    <n v="7026.76"/>
    <n v="7026.76"/>
  </r>
  <r>
    <s v="51"/>
    <x v="2"/>
    <x v="11"/>
    <s v="ZV05F050"/>
    <x v="37"/>
    <s v="A101"/>
    <s v="FORTALECIMIENTO INSTITUCIONAL"/>
    <s v="GC00A10100004D"/>
    <s v="GC00A10100004D REMUNERACION PERSONAL"/>
    <s v="51 GASTOS EN PERSONAL"/>
    <s v="510509 Horas Extraordinarias y Suplementarias"/>
    <s v="G/510509/1FA101"/>
    <s v="002"/>
    <n v="20856"/>
    <n v="0"/>
    <n v="0"/>
    <n v="20856"/>
    <n v="0"/>
    <n v="11580.66"/>
    <n v="11580.66"/>
    <n v="9275.34"/>
    <n v="9275.34"/>
    <n v="9275.34"/>
  </r>
  <r>
    <s v="51"/>
    <x v="2"/>
    <x v="11"/>
    <s v="ZT06F060"/>
    <x v="25"/>
    <s v="A101"/>
    <s v="FORTALECIMIENTO INSTITUCIONAL"/>
    <s v="GC00A10100004D"/>
    <s v="GC00A10100004D REMUNERACION PERSONAL"/>
    <s v="51 GASTOS EN PERSONAL"/>
    <s v="510509 Horas Extraordinarias y Suplementarias"/>
    <s v="G/510509/1FA101"/>
    <s v="002"/>
    <n v="27525.55"/>
    <n v="0"/>
    <n v="0"/>
    <n v="27525.55"/>
    <n v="0"/>
    <n v="12332.8"/>
    <n v="12332.8"/>
    <n v="15192.75"/>
    <n v="15192.75"/>
    <n v="15192.75"/>
  </r>
  <r>
    <s v="51"/>
    <x v="2"/>
    <x v="11"/>
    <s v="ZS03F030"/>
    <x v="38"/>
    <s v="A101"/>
    <s v="FORTALECIMIENTO INSTITUCIONAL"/>
    <s v="GC00A10100004D"/>
    <s v="GC00A10100004D REMUNERACION PERSONAL"/>
    <s v="51 GASTOS EN PERSONAL"/>
    <s v="510509 Horas Extraordinarias y Suplementarias"/>
    <s v="G/510509/1FA101"/>
    <s v="002"/>
    <n v="42312.45"/>
    <n v="0"/>
    <n v="0"/>
    <n v="42312.45"/>
    <n v="0"/>
    <n v="14908.94"/>
    <n v="14908.94"/>
    <n v="27403.51"/>
    <n v="27403.51"/>
    <n v="27403.51"/>
  </r>
  <r>
    <s v="51"/>
    <x v="2"/>
    <x v="11"/>
    <s v="ZQ08F080"/>
    <x v="39"/>
    <s v="A101"/>
    <s v="FORTALECIMIENTO INSTITUCIONAL"/>
    <s v="GC00A10100004D"/>
    <s v="GC00A10100004D REMUNERACION PERSONAL"/>
    <s v="51 GASTOS EN PERSONAL"/>
    <s v="510509 Horas Extraordinarias y Suplementarias"/>
    <s v="G/510509/1FA101"/>
    <s v="002"/>
    <n v="17767.060000000001"/>
    <n v="0"/>
    <n v="0"/>
    <n v="17767.060000000001"/>
    <n v="0"/>
    <n v="10414.07"/>
    <n v="10414.07"/>
    <n v="7352.99"/>
    <n v="7352.99"/>
    <n v="7352.99"/>
  </r>
  <r>
    <s v="51"/>
    <x v="2"/>
    <x v="11"/>
    <s v="ZN02F020"/>
    <x v="40"/>
    <s v="A101"/>
    <s v="FORTALECIMIENTO INSTITUCIONAL"/>
    <s v="GC00A10100004D"/>
    <s v="GC00A10100004D REMUNERACION PERSONAL"/>
    <s v="51 GASTOS EN PERSONAL"/>
    <s v="510509 Horas Extraordinarias y Suplementarias"/>
    <s v="G/510509/1FA101"/>
    <s v="002"/>
    <n v="18437.34"/>
    <n v="0"/>
    <n v="0"/>
    <n v="18437.34"/>
    <n v="0"/>
    <n v="8386.24"/>
    <n v="8386.24"/>
    <n v="10051.1"/>
    <n v="10051.1"/>
    <n v="10051.1"/>
  </r>
  <r>
    <s v="51"/>
    <x v="1"/>
    <x v="3"/>
    <s v="UC32M020"/>
    <x v="7"/>
    <s v="A101"/>
    <s v="FORTALECIMIENTO INSTITUCIONAL"/>
    <s v="GC00A10100004D"/>
    <s v="GC00A10100004D REMUNERACION PERSONAL"/>
    <s v="51 GASTOS EN PERSONAL"/>
    <s v="510509 Horas Extraordinarias y Suplementarias"/>
    <s v="G/510509/1MA101"/>
    <s v="002"/>
    <n v="1290.8499999999999"/>
    <n v="0"/>
    <n v="0"/>
    <n v="1290.8499999999999"/>
    <n v="0"/>
    <n v="0"/>
    <n v="0"/>
    <n v="1290.8499999999999"/>
    <n v="1290.8499999999999"/>
    <n v="1290.8499999999999"/>
  </r>
  <r>
    <s v="51"/>
    <x v="2"/>
    <x v="11"/>
    <s v="ZD07F070"/>
    <x v="43"/>
    <s v="A101"/>
    <s v="FORTALECIMIENTO INSTITUCIONAL"/>
    <s v="GC00A10100004D"/>
    <s v="GC00A10100004D REMUNERACION PERSONAL"/>
    <s v="51 GASTOS EN PERSONAL"/>
    <s v="510509 Horas Extraordinarias y Suplementarias"/>
    <s v="G/510509/1FA101"/>
    <s v="002"/>
    <n v="8831"/>
    <n v="0"/>
    <n v="0"/>
    <n v="8831"/>
    <n v="0"/>
    <n v="8626.93"/>
    <n v="8626.93"/>
    <n v="204.07"/>
    <n v="204.07"/>
    <n v="204.07"/>
  </r>
  <r>
    <s v="51"/>
    <x v="0"/>
    <x v="0"/>
    <s v="ZA01A000"/>
    <x v="1"/>
    <s v="A101"/>
    <s v="FORTALECIMIENTO INSTITUCIONAL"/>
    <s v="GC00A10100004D"/>
    <s v="GC00A10100004D REMUNERACION PERSONAL"/>
    <s v="51 GASTOS EN PERSONAL"/>
    <s v="510509 Horas Extraordinarias y Suplementarias"/>
    <s v="G/510509/1AA101"/>
    <s v="002"/>
    <n v="216182.93"/>
    <n v="0"/>
    <n v="0"/>
    <n v="216182.93"/>
    <n v="0"/>
    <n v="135261.43"/>
    <n v="135261.43"/>
    <n v="80921.5"/>
    <n v="80921.5"/>
    <n v="80921.5"/>
  </r>
  <r>
    <s v="51"/>
    <x v="2"/>
    <x v="6"/>
    <s v="AT69K040"/>
    <x v="13"/>
    <s v="A101"/>
    <s v="FORTALECIMIENTO INSTITUCIONAL"/>
    <s v="GC00A10100004D"/>
    <s v="GC00A10100004D REMUNERACION PERSONAL"/>
    <s v="51 GASTOS EN PERSONAL"/>
    <s v="510509 Horas Extraordinarias y Suplementarias"/>
    <s v="G/510509/1KA101"/>
    <s v="002"/>
    <n v="227902.93"/>
    <n v="0"/>
    <n v="0"/>
    <n v="227902.93"/>
    <n v="0"/>
    <n v="136995.34"/>
    <n v="136995.34"/>
    <n v="90907.59"/>
    <n v="90907.59"/>
    <n v="90907.59"/>
  </r>
  <r>
    <s v="51"/>
    <x v="2"/>
    <x v="11"/>
    <s v="ZC09F090"/>
    <x v="44"/>
    <s v="A101"/>
    <s v="FORTALECIMIENTO INSTITUCIONAL"/>
    <s v="GC00A10100004D"/>
    <s v="GC00A10100004D REMUNERACION PERSONAL"/>
    <s v="51 GASTOS EN PERSONAL"/>
    <s v="510509 Horas Extraordinarias y Suplementarias"/>
    <s v="G/510509/1FA101"/>
    <s v="002"/>
    <n v="10800.01"/>
    <n v="0"/>
    <n v="0"/>
    <n v="10800.01"/>
    <n v="0"/>
    <n v="6257.19"/>
    <n v="6257.19"/>
    <n v="4542.82"/>
    <n v="4542.82"/>
    <n v="4542.82"/>
  </r>
  <r>
    <s v="51"/>
    <x v="2"/>
    <x v="11"/>
    <s v="ZM04F040"/>
    <x v="41"/>
    <s v="A101"/>
    <s v="FORTALECIMIENTO INSTITUCIONAL"/>
    <s v="GC00A10100004D"/>
    <s v="GC00A10100004D REMUNERACION PERSONAL"/>
    <s v="51 GASTOS EN PERSONAL"/>
    <s v="510509 Horas Extraordinarias y Suplementarias"/>
    <s v="G/510509/1FA101"/>
    <s v="002"/>
    <n v="32163.01"/>
    <n v="0"/>
    <n v="0"/>
    <n v="32163.01"/>
    <n v="0"/>
    <n v="24762.3"/>
    <n v="24762.3"/>
    <n v="7400.71"/>
    <n v="7400.71"/>
    <n v="7400.71"/>
  </r>
  <r>
    <s v="51"/>
    <x v="1"/>
    <x v="4"/>
    <s v="ZA01J000"/>
    <x v="9"/>
    <s v="A101"/>
    <s v="FORTALECIMIENTO INSTITUCIONAL"/>
    <s v="GC00A10100004D"/>
    <s v="GC00A10100004D REMUNERACION PERSONAL"/>
    <s v="51 GASTOS EN PERSONAL"/>
    <s v="510509 Horas Extraordinarias y Suplementarias"/>
    <s v="G/510509/1JA101"/>
    <s v="002"/>
    <n v="9165.7900000000009"/>
    <n v="0"/>
    <n v="0"/>
    <n v="9165.7900000000009"/>
    <n v="0"/>
    <n v="0"/>
    <n v="0"/>
    <n v="9165.7900000000009"/>
    <n v="9165.7900000000009"/>
    <n v="9165.7900000000009"/>
  </r>
  <r>
    <s v="51"/>
    <x v="2"/>
    <x v="8"/>
    <s v="FS66P020"/>
    <x v="36"/>
    <s v="A101"/>
    <s v="FORTALECIMIENTO INSTITUCIONAL"/>
    <s v="GC00A10100004D"/>
    <s v="GC00A10100004D REMUNERACION PERSONAL"/>
    <s v="51 GASTOS EN PERSONAL"/>
    <s v="510509 Horas Extraordinarias y Suplementarias"/>
    <s v="G/510509/1PA101"/>
    <s v="002"/>
    <n v="13297.33"/>
    <n v="-5698.03"/>
    <n v="0"/>
    <n v="7599.3"/>
    <n v="0"/>
    <n v="1901.27"/>
    <n v="1901.27"/>
    <n v="5698.03"/>
    <n v="5698.03"/>
    <n v="5698.03"/>
  </r>
  <r>
    <s v="51"/>
    <x v="2"/>
    <x v="5"/>
    <s v="ZA01N000"/>
    <x v="10"/>
    <s v="A101"/>
    <s v="FORTALECIMIENTO INSTITUCIONAL"/>
    <s v="GC00A10100004D"/>
    <s v="GC00A10100004D REMUNERACION PERSONAL"/>
    <s v="51 GASTOS EN PERSONAL"/>
    <s v="510509 Horas Extraordinarias y Suplementarias"/>
    <s v="G/510509/1NA101"/>
    <s v="002"/>
    <n v="70078.179999999993"/>
    <n v="0"/>
    <n v="0"/>
    <n v="70078.179999999993"/>
    <n v="0"/>
    <n v="69103.48"/>
    <n v="69103.48"/>
    <n v="974.7"/>
    <n v="974.7"/>
    <n v="974.7"/>
  </r>
  <r>
    <s v="51"/>
    <x v="1"/>
    <x v="3"/>
    <s v="ZA01M000"/>
    <x v="6"/>
    <s v="A101"/>
    <s v="FORTALECIMIENTO INSTITUCIONAL"/>
    <s v="GC00A10100004D"/>
    <s v="GC00A10100004D REMUNERACION PERSONAL"/>
    <s v="51 GASTOS EN PERSONAL"/>
    <s v="510509 Horas Extraordinarias y Suplementarias"/>
    <s v="G/510509/1MA101"/>
    <s v="002"/>
    <n v="1997.44"/>
    <n v="1719.54"/>
    <n v="0"/>
    <n v="3716.98"/>
    <n v="0"/>
    <n v="3711.68"/>
    <n v="3711.68"/>
    <n v="5.3"/>
    <n v="5.3"/>
    <n v="5.3"/>
  </r>
  <r>
    <s v="51"/>
    <x v="1"/>
    <x v="2"/>
    <s v="ZA01I000"/>
    <x v="5"/>
    <s v="A101"/>
    <s v="FORTALECIMIENTO INSTITUCIONAL"/>
    <s v="GC00A10100004D"/>
    <s v="GC00A10100004D REMUNERACION PERSONAL"/>
    <s v="51 GASTOS EN PERSONAL"/>
    <s v="510509 Horas Extraordinarias y Suplementarias"/>
    <s v="G/510509/1IA101"/>
    <s v="002"/>
    <n v="16304.03"/>
    <n v="0"/>
    <n v="0"/>
    <n v="16304.03"/>
    <n v="0"/>
    <n v="6406.08"/>
    <n v="6406.08"/>
    <n v="9897.9500000000007"/>
    <n v="9897.9500000000007"/>
    <n v="9897.9500000000007"/>
  </r>
  <r>
    <s v="51"/>
    <x v="1"/>
    <x v="13"/>
    <s v="ZA01G000"/>
    <x v="29"/>
    <s v="A101"/>
    <s v="FORTALECIMIENTO INSTITUCIONAL"/>
    <s v="GC00A10100004D"/>
    <s v="GC00A10100004D REMUNERACION PERSONAL"/>
    <s v="51 GASTOS EN PERSONAL"/>
    <s v="510509 Horas Extraordinarias y Suplementarias"/>
    <s v="G/510509/1GA101"/>
    <s v="002"/>
    <n v="73869.960000000006"/>
    <n v="0"/>
    <n v="0"/>
    <n v="73869.960000000006"/>
    <n v="0"/>
    <n v="38642.839999999997"/>
    <n v="38642.839999999997"/>
    <n v="35227.120000000003"/>
    <n v="35227.120000000003"/>
    <n v="35227.120000000003"/>
  </r>
  <r>
    <s v="51"/>
    <x v="1"/>
    <x v="3"/>
    <s v="US33M030"/>
    <x v="8"/>
    <s v="A101"/>
    <s v="FORTALECIMIENTO INSTITUCIONAL"/>
    <s v="GC00A10100004D"/>
    <s v="GC00A10100004D REMUNERACION PERSONAL"/>
    <s v="51 GASTOS EN PERSONAL"/>
    <s v="510509 Horas Extraordinarias y Suplementarias"/>
    <s v="G/510509/1MA101"/>
    <s v="002"/>
    <n v="14033.49"/>
    <n v="0"/>
    <n v="0"/>
    <n v="14033.49"/>
    <n v="0"/>
    <n v="11496.38"/>
    <n v="11496.38"/>
    <n v="2537.11"/>
    <n v="2537.11"/>
    <n v="2537.11"/>
  </r>
  <r>
    <s v="51"/>
    <x v="1"/>
    <x v="2"/>
    <s v="CB21I040"/>
    <x v="23"/>
    <s v="A101"/>
    <s v="FORTALECIMIENTO INSTITUCIONAL"/>
    <s v="GC00A10100004D"/>
    <s v="GC00A10100004D REMUNERACION PERSONAL"/>
    <s v="51 GASTOS EN PERSONAL"/>
    <s v="510509 Horas Extraordinarias y Suplementarias"/>
    <s v="G/510509/1IA101"/>
    <s v="002"/>
    <n v="0"/>
    <n v="175"/>
    <n v="0"/>
    <n v="175"/>
    <n v="0"/>
    <n v="174.04"/>
    <n v="174.04"/>
    <n v="0.96"/>
    <n v="0.96"/>
    <n v="0.96"/>
  </r>
  <r>
    <s v="51"/>
    <x v="1"/>
    <x v="3"/>
    <s v="UN31M010"/>
    <x v="11"/>
    <s v="A101"/>
    <s v="FORTALECIMIENTO INSTITUCIONAL"/>
    <s v="GC00A10100004D"/>
    <s v="GC00A10100004D REMUNERACION PERSONAL"/>
    <s v="51 GASTOS EN PERSONAL"/>
    <s v="510509 Horas Extraordinarias y Suplementarias"/>
    <s v="G/510509/1MA101"/>
    <s v="002"/>
    <n v="1840.7"/>
    <n v="0"/>
    <n v="0"/>
    <n v="1840.7"/>
    <n v="0"/>
    <n v="1620.98"/>
    <n v="1620.98"/>
    <n v="219.72"/>
    <n v="219.72"/>
    <n v="219.72"/>
  </r>
  <r>
    <s v="51"/>
    <x v="1"/>
    <x v="2"/>
    <s v="EQ13I030"/>
    <x v="20"/>
    <s v="A101"/>
    <s v="FORTALECIMIENTO INSTITUCIONAL"/>
    <s v="GC00A10100004D"/>
    <s v="GC00A10100004D REMUNERACION PERSONAL"/>
    <s v="51 GASTOS EN PERSONAL"/>
    <s v="510509 Horas Extraordinarias y Suplementarias"/>
    <s v="G/510509/1IA101"/>
    <s v="002"/>
    <n v="0"/>
    <n v="201"/>
    <n v="0"/>
    <n v="201"/>
    <n v="0"/>
    <n v="200.81"/>
    <n v="200.81"/>
    <n v="0.19"/>
    <n v="0.19"/>
    <n v="0.19"/>
  </r>
  <r>
    <s v="51"/>
    <x v="0"/>
    <x v="1"/>
    <s v="ZA01C060"/>
    <x v="45"/>
    <s v="A101"/>
    <s v="FORTALECIMIENTO INSTITUCIONAL"/>
    <s v="GC00A10100004D"/>
    <s v="GC00A10100004D REMUNERACION PERSONAL"/>
    <s v="51 GASTOS EN PERSONAL"/>
    <s v="510509 Horas Extraordinarias y Suplementarias"/>
    <s v="G/510509/1CA101"/>
    <s v="002"/>
    <n v="3815.88"/>
    <n v="0"/>
    <n v="0"/>
    <n v="3815.88"/>
    <n v="0"/>
    <n v="0"/>
    <n v="0"/>
    <n v="3815.88"/>
    <n v="3815.88"/>
    <n v="3815.88"/>
  </r>
  <r>
    <s v="51"/>
    <x v="2"/>
    <x v="8"/>
    <s v="ZA01P000"/>
    <x v="15"/>
    <s v="A101"/>
    <s v="FORTALECIMIENTO INSTITUCIONAL"/>
    <s v="GC00A10100004D"/>
    <s v="GC00A10100004D REMUNERACION PERSONAL"/>
    <s v="51 GASTOS EN PERSONAL"/>
    <s v="510509 Horas Extraordinarias y Suplementarias"/>
    <s v="G/510509/1PA101"/>
    <s v="002"/>
    <n v="2833"/>
    <n v="0"/>
    <n v="0"/>
    <n v="2833"/>
    <n v="0"/>
    <n v="0"/>
    <n v="0"/>
    <n v="2833"/>
    <n v="2833"/>
    <n v="2833"/>
  </r>
  <r>
    <s v="51"/>
    <x v="2"/>
    <x v="5"/>
    <s v="PM71N010"/>
    <x v="27"/>
    <s v="A101"/>
    <s v="FORTALECIMIENTO INSTITUCIONAL"/>
    <s v="GC00A10100004D"/>
    <s v="GC00A10100004D REMUNERACION PERSONAL"/>
    <s v="51 GASTOS EN PERSONAL"/>
    <s v="510509 Horas Extraordinarias y Suplementarias"/>
    <s v="G/510509/1NA101"/>
    <s v="002"/>
    <n v="245070.02"/>
    <n v="0"/>
    <n v="0"/>
    <n v="245070.02"/>
    <n v="0"/>
    <n v="219999.53"/>
    <n v="219999.53"/>
    <n v="25070.49"/>
    <n v="25070.49"/>
    <n v="25070.49"/>
  </r>
  <r>
    <s v="51"/>
    <x v="3"/>
    <x v="14"/>
    <s v="ZA01H000"/>
    <x v="30"/>
    <s v="A101"/>
    <s v="FORTALECIMIENTO INSTITUCIONAL"/>
    <s v="GC00A10100004D"/>
    <s v="GC00A10100004D REMUNERACION PERSONAL"/>
    <s v="51 GASTOS EN PERSONAL"/>
    <s v="510509 Horas Extraordinarias y Suplementarias"/>
    <s v="G/510509/1HA101"/>
    <s v="002"/>
    <n v="1369.54"/>
    <n v="-1369.54"/>
    <n v="0"/>
    <n v="0"/>
    <n v="0"/>
    <n v="0"/>
    <n v="0"/>
    <n v="0"/>
    <n v="0"/>
    <n v="0"/>
  </r>
  <r>
    <s v="51"/>
    <x v="2"/>
    <x v="11"/>
    <s v="ZA01F000"/>
    <x v="31"/>
    <s v="A101"/>
    <s v="FORTALECIMIENTO INSTITUCIONAL"/>
    <s v="GC00A10100004D"/>
    <s v="GC00A10100004D REMUNERACION PERSONAL"/>
    <s v="51 GASTOS EN PERSONAL"/>
    <s v="510509 Horas Extraordinarias y Suplementarias"/>
    <s v="G/510509/1FA101"/>
    <s v="002"/>
    <n v="4021.74"/>
    <n v="0"/>
    <n v="0"/>
    <n v="4021.74"/>
    <n v="0"/>
    <n v="0"/>
    <n v="0"/>
    <n v="4021.74"/>
    <n v="4021.74"/>
    <n v="4021.74"/>
  </r>
  <r>
    <s v="51"/>
    <x v="3"/>
    <x v="15"/>
    <s v="AC67Q000"/>
    <x v="32"/>
    <s v="A101"/>
    <s v="FORTALECIMIENTO INSTITUCIONAL"/>
    <s v="GC00A10100004D"/>
    <s v="GC00A10100004D REMUNERACION PERSONAL"/>
    <s v="51 GASTOS EN PERSONAL"/>
    <s v="510509 Horas Extraordinarias y Suplementarias"/>
    <s v="G/510509/2QA101"/>
    <s v="002"/>
    <n v="2895.84"/>
    <n v="-2895.84"/>
    <n v="0"/>
    <n v="0"/>
    <n v="0"/>
    <n v="0"/>
    <n v="0"/>
    <n v="0"/>
    <n v="0"/>
    <n v="0"/>
  </r>
  <r>
    <s v="51"/>
    <x v="0"/>
    <x v="9"/>
    <s v="ZA01E000"/>
    <x v="18"/>
    <s v="A101"/>
    <s v="FORTALECIMIENTO INSTITUCIONAL"/>
    <s v="GC00A10100004D"/>
    <s v="GC00A10100004D REMUNERACION PERSONAL"/>
    <s v="51 GASTOS EN PERSONAL"/>
    <s v="510509 Horas Extraordinarias y Suplementarias"/>
    <s v="G/510509/1EA101"/>
    <s v="002"/>
    <n v="88535.360000000001"/>
    <n v="0"/>
    <n v="0"/>
    <n v="88535.360000000001"/>
    <n v="0"/>
    <n v="50708.55"/>
    <n v="50708.55"/>
    <n v="37826.81"/>
    <n v="37826.81"/>
    <n v="37826.81"/>
  </r>
  <r>
    <s v="51"/>
    <x v="0"/>
    <x v="12"/>
    <s v="MC37B000"/>
    <x v="28"/>
    <s v="A101"/>
    <s v="FORTALECIMIENTO INSTITUCIONAL"/>
    <s v="GC00A10100004D"/>
    <s v="GC00A10100004D REMUNERACION PERSONAL"/>
    <s v="51 GASTOS EN PERSONAL"/>
    <s v="510509 Horas Extraordinarias y Suplementarias"/>
    <s v="G/510509/1BA101"/>
    <s v="002"/>
    <n v="2895.84"/>
    <n v="44816.79"/>
    <n v="0"/>
    <n v="47712.63"/>
    <n v="0"/>
    <n v="40387.5"/>
    <n v="40387.5"/>
    <n v="7325.13"/>
    <n v="7325.13"/>
    <n v="7325.13"/>
  </r>
  <r>
    <s v="51"/>
    <x v="0"/>
    <x v="0"/>
    <s v="RP36A010"/>
    <x v="2"/>
    <s v="A101"/>
    <s v="FORTALECIMIENTO INSTITUCIONAL"/>
    <s v="GC00A10100004D"/>
    <s v="GC00A10100004D REMUNERACION PERSONAL"/>
    <s v="51 GASTOS EN PERSONAL"/>
    <s v="510509 Horas Extraordinarias y Suplementarias"/>
    <s v="G/510509/1AA101"/>
    <s v="002"/>
    <n v="10243.32"/>
    <n v="24102.080000000002"/>
    <n v="0"/>
    <n v="34345.4"/>
    <n v="0"/>
    <n v="33342.22"/>
    <n v="33342.22"/>
    <n v="1003.18"/>
    <n v="1003.18"/>
    <n v="1003.18"/>
  </r>
  <r>
    <s v="51"/>
    <x v="2"/>
    <x v="6"/>
    <s v="ZA01K000"/>
    <x v="17"/>
    <s v="A101"/>
    <s v="FORTALECIMIENTO INSTITUCIONAL"/>
    <s v="GC00A10100004D"/>
    <s v="GC00A10100004D REMUNERACION PERSONAL"/>
    <s v="51 GASTOS EN PERSONAL"/>
    <s v="510509 Horas Extraordinarias y Suplementarias"/>
    <s v="G/510509/1KA101"/>
    <s v="002"/>
    <n v="86531.43"/>
    <n v="0"/>
    <n v="0"/>
    <n v="86531.43"/>
    <n v="0"/>
    <n v="3889.81"/>
    <n v="3889.81"/>
    <n v="82641.62"/>
    <n v="82641.62"/>
    <n v="82641.62"/>
  </r>
  <r>
    <s v="51"/>
    <x v="0"/>
    <x v="7"/>
    <s v="ZA01L000"/>
    <x v="14"/>
    <s v="A101"/>
    <s v="FORTALECIMIENTO INSTITUCIONAL"/>
    <s v="GC00A10100004D"/>
    <s v="GC00A10100004D REMUNERACION PERSONAL"/>
    <s v="51 GASTOS EN PERSONAL"/>
    <s v="510509 Horas Extraordinarias y Suplementarias"/>
    <s v="G/510509/1LA101"/>
    <s v="002"/>
    <n v="946.53"/>
    <n v="0"/>
    <n v="0"/>
    <n v="946.53"/>
    <n v="0"/>
    <n v="173.52"/>
    <n v="173.52"/>
    <n v="773.01"/>
    <n v="773.01"/>
    <n v="773.01"/>
  </r>
  <r>
    <s v="51"/>
    <x v="0"/>
    <x v="1"/>
    <s v="ZA01C002"/>
    <x v="46"/>
    <s v="A101"/>
    <s v="FORTALECIMIENTO INSTITUCIONAL"/>
    <s v="GC00A10100004D"/>
    <s v="GC00A10100004D REMUNERACION PERSONAL"/>
    <s v="51 GASTOS EN PERSONAL"/>
    <s v="510509 Horas Extraordinarias y Suplementarias"/>
    <s v="G/510509/1CA101"/>
    <s v="002"/>
    <n v="758.71"/>
    <n v="0"/>
    <n v="0"/>
    <n v="758.71"/>
    <n v="0"/>
    <n v="368.87"/>
    <n v="368.87"/>
    <n v="389.84"/>
    <n v="389.84"/>
    <n v="389.84"/>
  </r>
  <r>
    <s v="51"/>
    <x v="0"/>
    <x v="1"/>
    <s v="ZA01C000"/>
    <x v="19"/>
    <s v="A101"/>
    <s v="FORTALECIMIENTO INSTITUCIONAL"/>
    <s v="GC00A10100004D"/>
    <s v="GC00A10100004D REMUNERACION PERSONAL"/>
    <s v="51 GASTOS EN PERSONAL"/>
    <s v="510509 Horas Extraordinarias y Suplementarias"/>
    <s v="G/510509/1CA101"/>
    <s v="002"/>
    <n v="28282.68"/>
    <n v="0"/>
    <n v="0"/>
    <n v="28282.68"/>
    <n v="0"/>
    <n v="5635.66"/>
    <n v="5635.66"/>
    <n v="22647.02"/>
    <n v="22647.02"/>
    <n v="22647.02"/>
  </r>
  <r>
    <s v="51"/>
    <x v="0"/>
    <x v="1"/>
    <s v="ZA01C030"/>
    <x v="3"/>
    <s v="A101"/>
    <s v="FORTALECIMIENTO INSTITUCIONAL"/>
    <s v="GC00A10100004D"/>
    <s v="GC00A10100004D REMUNERACION PERSONAL"/>
    <s v="51 GASTOS EN PERSONAL"/>
    <s v="510509 Horas Extraordinarias y Suplementarias"/>
    <s v="G/510509/1CA101"/>
    <s v="002"/>
    <n v="130278.49"/>
    <n v="0"/>
    <n v="0"/>
    <n v="130278.49"/>
    <n v="0"/>
    <n v="34365.94"/>
    <n v="34365.94"/>
    <n v="95912.55"/>
    <n v="95912.55"/>
    <n v="95912.55"/>
  </r>
  <r>
    <s v="51"/>
    <x v="2"/>
    <x v="8"/>
    <s v="ZA01P000"/>
    <x v="15"/>
    <s v="A101"/>
    <s v="FORTALECIMIENTO INSTITUCIONAL"/>
    <s v="GC00A10100004D"/>
    <s v="GC00A10100004D REMUNERACION PERSONAL"/>
    <s v="51 GASTOS EN PERSONAL"/>
    <s v="510510 Servicios Personales por Contrato"/>
    <s v="G/510510/1PA101"/>
    <s v="002"/>
    <n v="13140"/>
    <n v="0"/>
    <n v="0"/>
    <n v="13140"/>
    <n v="5475"/>
    <n v="7665"/>
    <n v="7665"/>
    <n v="5475"/>
    <n v="5475"/>
    <n v="0"/>
  </r>
  <r>
    <s v="51"/>
    <x v="1"/>
    <x v="2"/>
    <s v="OL41I060"/>
    <x v="42"/>
    <s v="A101"/>
    <s v="FORTALECIMIENTO INSTITUCIONAL"/>
    <s v="GC00A10100004D"/>
    <s v="GC00A10100004D REMUNERACION PERSONAL"/>
    <s v="51 GASTOS EN PERSONAL"/>
    <s v="510510 Servicios Personales por Contrato"/>
    <s v="G/510510/1IA101"/>
    <s v="001"/>
    <n v="0"/>
    <n v="19608"/>
    <n v="0"/>
    <n v="19608"/>
    <n v="15523"/>
    <n v="4085"/>
    <n v="4085"/>
    <n v="15523"/>
    <n v="15523"/>
    <n v="0"/>
  </r>
  <r>
    <s v="51"/>
    <x v="1"/>
    <x v="2"/>
    <s v="ZA01I000"/>
    <x v="5"/>
    <s v="A101"/>
    <s v="FORTALECIMIENTO INSTITUCIONAL"/>
    <s v="GC00A10100004D"/>
    <s v="GC00A10100004D REMUNERACION PERSONAL"/>
    <s v="51 GASTOS EN PERSONAL"/>
    <s v="510510 Servicios Personales por Contrato"/>
    <s v="G/510510/1IA101"/>
    <s v="002"/>
    <n v="435156"/>
    <n v="234326"/>
    <n v="0"/>
    <n v="669482"/>
    <n v="250438.79"/>
    <n v="418893.21"/>
    <n v="418893.21"/>
    <n v="250588.79"/>
    <n v="250588.79"/>
    <n v="150"/>
  </r>
  <r>
    <s v="51"/>
    <x v="2"/>
    <x v="11"/>
    <s v="ZA01F000"/>
    <x v="31"/>
    <s v="A101"/>
    <s v="FORTALECIMIENTO INSTITUCIONAL"/>
    <s v="GC00A10100004D"/>
    <s v="GC00A10100004D REMUNERACION PERSONAL"/>
    <s v="51 GASTOS EN PERSONAL"/>
    <s v="510510 Servicios Personales por Contrato"/>
    <s v="G/510510/1FA101"/>
    <s v="002"/>
    <n v="227328"/>
    <n v="2961.66"/>
    <n v="0"/>
    <n v="230289.66"/>
    <n v="117933"/>
    <n v="112306.66"/>
    <n v="112306.66"/>
    <n v="117983"/>
    <n v="117983"/>
    <n v="50"/>
  </r>
  <r>
    <s v="51"/>
    <x v="0"/>
    <x v="12"/>
    <s v="MC37B000"/>
    <x v="28"/>
    <s v="A101"/>
    <s v="FORTALECIMIENTO INSTITUCIONAL"/>
    <s v="GC00A10100004D"/>
    <s v="GC00A10100004D REMUNERACION PERSONAL"/>
    <s v="51 GASTOS EN PERSONAL"/>
    <s v="510510 Servicios Personales por Contrato"/>
    <s v="G/510510/1BA101"/>
    <s v="002"/>
    <n v="1531932"/>
    <n v="194181.65"/>
    <n v="0"/>
    <n v="1726113.65"/>
    <n v="0"/>
    <n v="1721980.49"/>
    <n v="1721980.49"/>
    <n v="4133.16"/>
    <n v="4133.16"/>
    <n v="4133.16"/>
  </r>
  <r>
    <s v="51"/>
    <x v="1"/>
    <x v="2"/>
    <s v="CF22I050"/>
    <x v="22"/>
    <s v="A101"/>
    <s v="FORTALECIMIENTO INSTITUCIONAL"/>
    <s v="GC00A10100004D"/>
    <s v="GC00A10100004D REMUNERACION PERSONAL"/>
    <s v="51 GASTOS EN PERSONAL"/>
    <s v="510510 Servicios Personales por Contrato"/>
    <s v="G/510510/1IA101"/>
    <s v="001"/>
    <n v="0"/>
    <n v="9804"/>
    <n v="0"/>
    <n v="9804"/>
    <n v="5719"/>
    <n v="4085"/>
    <n v="4085"/>
    <n v="5719"/>
    <n v="5719"/>
    <n v="0"/>
  </r>
  <r>
    <s v="51"/>
    <x v="3"/>
    <x v="15"/>
    <s v="AC67Q000"/>
    <x v="32"/>
    <s v="A101"/>
    <s v="FORTALECIMIENTO INSTITUCIONAL"/>
    <s v="GC00A10100004D"/>
    <s v="GC00A10100004D REMUNERACION PERSONAL"/>
    <s v="51 GASTOS EN PERSONAL"/>
    <s v="510510 Servicios Personales por Contrato"/>
    <s v="G/510510/2QA101"/>
    <s v="002"/>
    <n v="45600"/>
    <n v="0"/>
    <n v="0"/>
    <n v="45600"/>
    <n v="19170"/>
    <n v="26430"/>
    <n v="26430"/>
    <n v="19170"/>
    <n v="19170"/>
    <n v="0"/>
  </r>
  <r>
    <s v="51"/>
    <x v="0"/>
    <x v="1"/>
    <s v="ZA01C030"/>
    <x v="3"/>
    <s v="A101"/>
    <s v="FORTALECIMIENTO INSTITUCIONAL"/>
    <s v="GC00A10100004D"/>
    <s v="GC00A10100004D REMUNERACION PERSONAL"/>
    <s v="51 GASTOS EN PERSONAL"/>
    <s v="510510 Servicios Personales por Contrato"/>
    <s v="G/510510/1CA101"/>
    <s v="002"/>
    <n v="998400"/>
    <n v="0"/>
    <n v="0"/>
    <n v="998400"/>
    <n v="184760.93"/>
    <n v="777639.07"/>
    <n v="777639.07"/>
    <n v="220760.93"/>
    <n v="220760.93"/>
    <n v="36000"/>
  </r>
  <r>
    <s v="51"/>
    <x v="2"/>
    <x v="5"/>
    <s v="ZA01N000"/>
    <x v="10"/>
    <s v="A101"/>
    <s v="FORTALECIMIENTO INSTITUCIONAL"/>
    <s v="GC00A10100004D"/>
    <s v="GC00A10100004D REMUNERACION PERSONAL"/>
    <s v="51 GASTOS EN PERSONAL"/>
    <s v="510510 Servicios Personales por Contrato"/>
    <s v="G/510510/1NA101"/>
    <s v="002"/>
    <n v="435000"/>
    <n v="-18750"/>
    <n v="0"/>
    <n v="416250"/>
    <n v="80645"/>
    <n v="335605"/>
    <n v="335605"/>
    <n v="80645"/>
    <n v="80645"/>
    <n v="0"/>
  </r>
  <r>
    <s v="51"/>
    <x v="2"/>
    <x v="10"/>
    <s v="ZA01D000"/>
    <x v="24"/>
    <s v="A101"/>
    <s v="FORTALECIMIENTO INSTITUCIONAL"/>
    <s v="GC00A10100004D"/>
    <s v="GC00A10100004D REMUNERACION PERSONAL"/>
    <s v="51 GASTOS EN PERSONAL"/>
    <s v="510510 Servicios Personales por Contrato"/>
    <s v="G/510510/1DA101"/>
    <s v="002"/>
    <n v="0"/>
    <n v="8556"/>
    <n v="0"/>
    <n v="8556"/>
    <n v="2614.33"/>
    <n v="5941.67"/>
    <n v="5941.67"/>
    <n v="2614.33"/>
    <n v="2614.33"/>
    <n v="0"/>
  </r>
  <r>
    <s v="51"/>
    <x v="2"/>
    <x v="11"/>
    <s v="ZM04F040"/>
    <x v="41"/>
    <s v="A101"/>
    <s v="FORTALECIMIENTO INSTITUCIONAL"/>
    <s v="GC00A10100004D"/>
    <s v="GC00A10100004D REMUNERACION PERSONAL"/>
    <s v="51 GASTOS EN PERSONAL"/>
    <s v="510510 Servicios Personales por Contrato"/>
    <s v="G/510510/1FA101"/>
    <s v="002"/>
    <n v="18516"/>
    <n v="10665"/>
    <n v="0"/>
    <n v="29181"/>
    <n v="9687.77"/>
    <n v="977.23"/>
    <n v="977.23"/>
    <n v="28203.77"/>
    <n v="28203.77"/>
    <n v="18516"/>
  </r>
  <r>
    <s v="51"/>
    <x v="1"/>
    <x v="2"/>
    <s v="ZA01I000"/>
    <x v="5"/>
    <s v="A101"/>
    <s v="FORTALECIMIENTO INSTITUCIONAL"/>
    <s v="GC00A10100004D"/>
    <s v="GC00A10100004D REMUNERACION PERSONAL"/>
    <s v="51 GASTOS EN PERSONAL"/>
    <s v="510510 Servicios Personales por Contrato"/>
    <s v="G/510510/1IA101"/>
    <s v="001"/>
    <n v="0"/>
    <n v="93138"/>
    <n v="0"/>
    <n v="93138"/>
    <n v="86819.87"/>
    <n v="6318.13"/>
    <n v="6318.13"/>
    <n v="86819.87"/>
    <n v="86819.87"/>
    <n v="0"/>
  </r>
  <r>
    <s v="51"/>
    <x v="0"/>
    <x v="1"/>
    <s v="ZA01C060"/>
    <x v="45"/>
    <s v="A101"/>
    <s v="FORTALECIMIENTO INSTITUCIONAL"/>
    <s v="GC00A10100004D"/>
    <s v="GC00A10100004D REMUNERACION PERSONAL"/>
    <s v="51 GASTOS EN PERSONAL"/>
    <s v="510510 Servicios Personales por Contrato"/>
    <s v="G/510510/1CA101"/>
    <s v="002"/>
    <n v="8088"/>
    <n v="0"/>
    <n v="0"/>
    <n v="8088"/>
    <n v="2696"/>
    <n v="5392"/>
    <n v="5392"/>
    <n v="2696"/>
    <n v="2696"/>
    <n v="0"/>
  </r>
  <r>
    <s v="51"/>
    <x v="2"/>
    <x v="11"/>
    <s v="ZT06F060"/>
    <x v="25"/>
    <s v="A101"/>
    <s v="FORTALECIMIENTO INSTITUCIONAL"/>
    <s v="GC00A10100004D"/>
    <s v="GC00A10100004D REMUNERACION PERSONAL"/>
    <s v="51 GASTOS EN PERSONAL"/>
    <s v="510510 Servicios Personales por Contrato"/>
    <s v="G/510510/1FA101"/>
    <s v="002"/>
    <n v="6516"/>
    <n v="10992"/>
    <n v="0"/>
    <n v="17508"/>
    <n v="10121.799999999999"/>
    <n v="870.2"/>
    <n v="870.2"/>
    <n v="16637.8"/>
    <n v="16637.8"/>
    <n v="6516"/>
  </r>
  <r>
    <s v="51"/>
    <x v="1"/>
    <x v="3"/>
    <s v="ZA01M000"/>
    <x v="6"/>
    <s v="A101"/>
    <s v="FORTALECIMIENTO INSTITUCIONAL"/>
    <s v="GC00A10100004D"/>
    <s v="GC00A10100004D REMUNERACION PERSONAL"/>
    <s v="51 GASTOS EN PERSONAL"/>
    <s v="510510 Servicios Personales por Contrato"/>
    <s v="G/510510/1MA101"/>
    <s v="002"/>
    <n v="668928"/>
    <n v="-137760"/>
    <n v="0"/>
    <n v="531168"/>
    <n v="228464.83"/>
    <n v="302703.17"/>
    <n v="302703.17"/>
    <n v="228464.83"/>
    <n v="228464.83"/>
    <n v="0"/>
  </r>
  <r>
    <s v="51"/>
    <x v="0"/>
    <x v="9"/>
    <s v="ZA01E000"/>
    <x v="18"/>
    <s v="A101"/>
    <s v="FORTALECIMIENTO INSTITUCIONAL"/>
    <s v="GC00A10100004D"/>
    <s v="GC00A10100004D REMUNERACION PERSONAL"/>
    <s v="51 GASTOS EN PERSONAL"/>
    <s v="510510 Servicios Personales por Contrato"/>
    <s v="G/510510/1EA101"/>
    <s v="002"/>
    <n v="435960"/>
    <n v="0"/>
    <n v="0"/>
    <n v="435960"/>
    <n v="124255.96"/>
    <n v="311704.03999999998"/>
    <n v="311704.03999999998"/>
    <n v="124255.96"/>
    <n v="124255.96"/>
    <n v="0"/>
  </r>
  <r>
    <s v="51"/>
    <x v="2"/>
    <x v="5"/>
    <s v="PM71N010"/>
    <x v="27"/>
    <s v="A101"/>
    <s v="FORTALECIMIENTO INSTITUCIONAL"/>
    <s v="GC00A10100004D"/>
    <s v="GC00A10100004D REMUNERACION PERSONAL"/>
    <s v="51 GASTOS EN PERSONAL"/>
    <s v="510510 Servicios Personales por Contrato"/>
    <s v="G/510510/1NA101"/>
    <s v="002"/>
    <n v="1857516"/>
    <n v="0"/>
    <n v="0"/>
    <n v="1857516"/>
    <n v="460997"/>
    <n v="1396519"/>
    <n v="1396519"/>
    <n v="460997"/>
    <n v="460997"/>
    <n v="0"/>
  </r>
  <r>
    <s v="51"/>
    <x v="2"/>
    <x v="11"/>
    <s v="ZS03F030"/>
    <x v="38"/>
    <s v="A101"/>
    <s v="FORTALECIMIENTO INSTITUCIONAL"/>
    <s v="GC00A10100004D"/>
    <s v="GC00A10100004D REMUNERACION PERSONAL"/>
    <s v="51 GASTOS EN PERSONAL"/>
    <s v="510510 Servicios Personales por Contrato"/>
    <s v="G/510510/1FA101"/>
    <s v="002"/>
    <n v="0"/>
    <n v="5220"/>
    <n v="0"/>
    <n v="5220"/>
    <n v="5220"/>
    <n v="0"/>
    <n v="0"/>
    <n v="5220"/>
    <n v="5220"/>
    <n v="0"/>
  </r>
  <r>
    <s v="51"/>
    <x v="2"/>
    <x v="11"/>
    <s v="ZV05F050"/>
    <x v="37"/>
    <s v="A101"/>
    <s v="FORTALECIMIENTO INSTITUCIONAL"/>
    <s v="GC00A10100004D"/>
    <s v="GC00A10100004D REMUNERACION PERSONAL"/>
    <s v="51 GASTOS EN PERSONAL"/>
    <s v="510510 Servicios Personales por Contrato"/>
    <s v="G/510510/1FA101"/>
    <s v="002"/>
    <n v="8556"/>
    <n v="-8556"/>
    <n v="0"/>
    <n v="0"/>
    <n v="0"/>
    <n v="0"/>
    <n v="0"/>
    <n v="0"/>
    <n v="0"/>
    <n v="0"/>
  </r>
  <r>
    <s v="51"/>
    <x v="1"/>
    <x v="4"/>
    <s v="ZA01J000"/>
    <x v="9"/>
    <s v="A101"/>
    <s v="FORTALECIMIENTO INSTITUCIONAL"/>
    <s v="GC00A10100004D"/>
    <s v="GC00A10100004D REMUNERACION PERSONAL"/>
    <s v="51 GASTOS EN PERSONAL"/>
    <s v="510510 Servicios Personales por Contrato"/>
    <s v="G/510510/1JA101"/>
    <s v="002"/>
    <n v="54600"/>
    <n v="18750"/>
    <n v="0"/>
    <n v="73350"/>
    <n v="40300"/>
    <n v="33050"/>
    <n v="33050"/>
    <n v="40300"/>
    <n v="40300"/>
    <n v="0"/>
  </r>
  <r>
    <s v="51"/>
    <x v="2"/>
    <x v="11"/>
    <s v="RB34F010"/>
    <x v="33"/>
    <s v="A101"/>
    <s v="FORTALECIMIENTO INSTITUCIONAL"/>
    <s v="GC00A10100004D"/>
    <s v="GC00A10100004D REMUNERACION PERSONAL"/>
    <s v="51 GASTOS EN PERSONAL"/>
    <s v="510510 Servicios Personales por Contrato"/>
    <s v="G/510510/1FA101"/>
    <s v="002"/>
    <n v="30000"/>
    <n v="0"/>
    <n v="0"/>
    <n v="30000"/>
    <n v="5000"/>
    <n v="25000"/>
    <n v="25000"/>
    <n v="5000"/>
    <n v="5000"/>
    <n v="0"/>
  </r>
  <r>
    <s v="51"/>
    <x v="2"/>
    <x v="11"/>
    <s v="ZN02F020"/>
    <x v="40"/>
    <s v="A101"/>
    <s v="FORTALECIMIENTO INSTITUCIONAL"/>
    <s v="GC00A10100004D"/>
    <s v="GC00A10100004D REMUNERACION PERSONAL"/>
    <s v="51 GASTOS EN PERSONAL"/>
    <s v="510510 Servicios Personales por Contrato"/>
    <s v="G/510510/1FA101"/>
    <s v="002"/>
    <n v="0"/>
    <n v="23259"/>
    <n v="0"/>
    <n v="23259"/>
    <n v="23259"/>
    <n v="0"/>
    <n v="0"/>
    <n v="23259"/>
    <n v="23259"/>
    <n v="0"/>
  </r>
  <r>
    <s v="51"/>
    <x v="1"/>
    <x v="3"/>
    <s v="UC32M020"/>
    <x v="7"/>
    <s v="A101"/>
    <s v="FORTALECIMIENTO INSTITUCIONAL"/>
    <s v="GC00A10100004D"/>
    <s v="GC00A10100004D REMUNERACION PERSONAL"/>
    <s v="51 GASTOS EN PERSONAL"/>
    <s v="510510 Servicios Personales por Contrato"/>
    <s v="G/510510/1MA101"/>
    <s v="002"/>
    <n v="1198236"/>
    <n v="-955113"/>
    <n v="0"/>
    <n v="243123"/>
    <n v="94115.83"/>
    <n v="149007.17000000001"/>
    <n v="149007.17000000001"/>
    <n v="94115.83"/>
    <n v="94115.83"/>
    <n v="0"/>
  </r>
  <r>
    <s v="51"/>
    <x v="2"/>
    <x v="8"/>
    <s v="FS66P020"/>
    <x v="36"/>
    <s v="A101"/>
    <s v="FORTALECIMIENTO INSTITUCIONAL"/>
    <s v="GC00A10100004D"/>
    <s v="GC00A10100004D REMUNERACION PERSONAL"/>
    <s v="51 GASTOS EN PERSONAL"/>
    <s v="510510 Servicios Personales por Contrato"/>
    <s v="G/510510/1PA101"/>
    <s v="002"/>
    <n v="138828"/>
    <n v="-73832"/>
    <n v="0"/>
    <n v="64996"/>
    <n v="26998"/>
    <n v="37998"/>
    <n v="37998"/>
    <n v="26998"/>
    <n v="26998"/>
    <n v="0"/>
  </r>
  <r>
    <s v="51"/>
    <x v="1"/>
    <x v="2"/>
    <s v="MB42I090"/>
    <x v="26"/>
    <s v="A101"/>
    <s v="FORTALECIMIENTO INSTITUCIONAL"/>
    <s v="GC00A10100004D"/>
    <s v="GC00A10100004D REMUNERACION PERSONAL"/>
    <s v="51 GASTOS EN PERSONAL"/>
    <s v="510510 Servicios Personales por Contrato"/>
    <s v="G/510510/1IA101"/>
    <s v="001"/>
    <n v="0"/>
    <n v="19608"/>
    <n v="0"/>
    <n v="19608"/>
    <n v="9204.8700000000008"/>
    <n v="10403.129999999999"/>
    <n v="10403.129999999999"/>
    <n v="9204.8700000000008"/>
    <n v="9204.8700000000008"/>
    <n v="0"/>
  </r>
  <r>
    <s v="51"/>
    <x v="1"/>
    <x v="3"/>
    <s v="US33M030"/>
    <x v="8"/>
    <s v="A101"/>
    <s v="FORTALECIMIENTO INSTITUCIONAL"/>
    <s v="GC00A10100004D"/>
    <s v="GC00A10100004D REMUNERACION PERSONAL"/>
    <s v="51 GASTOS EN PERSONAL"/>
    <s v="510510 Servicios Personales por Contrato"/>
    <s v="G/510510/1MA101"/>
    <s v="002"/>
    <n v="43236"/>
    <n v="297326"/>
    <n v="0"/>
    <n v="340562"/>
    <n v="133861.39000000001"/>
    <n v="206700.61"/>
    <n v="206700.61"/>
    <n v="133861.39000000001"/>
    <n v="133861.39000000001"/>
    <n v="0"/>
  </r>
  <r>
    <s v="51"/>
    <x v="2"/>
    <x v="6"/>
    <s v="AT69K040"/>
    <x v="13"/>
    <s v="A101"/>
    <s v="FORTALECIMIENTO INSTITUCIONAL"/>
    <s v="GC00A10100004D"/>
    <s v="GC00A10100004D REMUNERACION PERSONAL"/>
    <s v="51 GASTOS EN PERSONAL"/>
    <s v="510510 Servicios Personales por Contrato"/>
    <s v="G/510510/1KA101"/>
    <s v="002"/>
    <n v="504408"/>
    <n v="97670"/>
    <n v="0"/>
    <n v="602078"/>
    <n v="83020.100000000006"/>
    <n v="391649.37"/>
    <n v="391649.37"/>
    <n v="210428.63"/>
    <n v="210428.63"/>
    <n v="127408.53"/>
  </r>
  <r>
    <s v="51"/>
    <x v="1"/>
    <x v="3"/>
    <s v="UN31M010"/>
    <x v="11"/>
    <s v="A101"/>
    <s v="FORTALECIMIENTO INSTITUCIONAL"/>
    <s v="GC00A10100004D"/>
    <s v="GC00A10100004D REMUNERACION PERSONAL"/>
    <s v="51 GASTOS EN PERSONAL"/>
    <s v="510510 Servicios Personales por Contrato"/>
    <s v="G/510510/1MA101"/>
    <s v="002"/>
    <n v="54144"/>
    <n v="333288"/>
    <n v="0"/>
    <n v="387432"/>
    <n v="105216.41"/>
    <n v="282215.59000000003"/>
    <n v="282215.59000000003"/>
    <n v="105216.41"/>
    <n v="105216.41"/>
    <n v="0"/>
  </r>
  <r>
    <s v="51"/>
    <x v="1"/>
    <x v="2"/>
    <s v="JM40I070"/>
    <x v="12"/>
    <s v="A101"/>
    <s v="FORTALECIMIENTO INSTITUCIONAL"/>
    <s v="GC00A10100004D"/>
    <s v="GC00A10100004D REMUNERACION PERSONAL"/>
    <s v="51 GASTOS EN PERSONAL"/>
    <s v="510510 Servicios Personales por Contrato"/>
    <s v="G/510510/1IA101"/>
    <s v="001"/>
    <n v="0"/>
    <n v="9804"/>
    <n v="0"/>
    <n v="9804"/>
    <n v="3485.87"/>
    <n v="6318.13"/>
    <n v="6318.13"/>
    <n v="3485.87"/>
    <n v="3485.87"/>
    <n v="0"/>
  </r>
  <r>
    <s v="51"/>
    <x v="1"/>
    <x v="13"/>
    <s v="ZA01G000"/>
    <x v="29"/>
    <s v="A101"/>
    <s v="FORTALECIMIENTO INSTITUCIONAL"/>
    <s v="GC00A10100004D"/>
    <s v="GC00A10100004D REMUNERACION PERSONAL"/>
    <s v="51 GASTOS EN PERSONAL"/>
    <s v="510510 Servicios Personales por Contrato"/>
    <s v="G/510510/1GA101"/>
    <s v="002"/>
    <n v="173280"/>
    <n v="7692"/>
    <n v="0"/>
    <n v="180972"/>
    <n v="35675.57"/>
    <n v="145296.43"/>
    <n v="145296.43"/>
    <n v="35675.57"/>
    <n v="35675.57"/>
    <n v="0"/>
  </r>
  <r>
    <s v="51"/>
    <x v="0"/>
    <x v="1"/>
    <s v="ZA01C000"/>
    <x v="19"/>
    <s v="A101"/>
    <s v="FORTALECIMIENTO INSTITUCIONAL"/>
    <s v="GC00A10100004D"/>
    <s v="GC00A10100004D REMUNERACION PERSONAL"/>
    <s v="51 GASTOS EN PERSONAL"/>
    <s v="510510 Servicios Personales por Contrato"/>
    <s v="G/510510/1CA101"/>
    <s v="002"/>
    <n v="787200"/>
    <n v="-30000"/>
    <n v="0"/>
    <n v="757200"/>
    <n v="315690"/>
    <n v="345510"/>
    <n v="345510"/>
    <n v="411690"/>
    <n v="411690"/>
    <n v="96000"/>
  </r>
  <r>
    <s v="51"/>
    <x v="3"/>
    <x v="14"/>
    <s v="ZA01H000"/>
    <x v="30"/>
    <s v="A101"/>
    <s v="FORTALECIMIENTO INSTITUCIONAL"/>
    <s v="GC00A10100004D"/>
    <s v="GC00A10100004D REMUNERACION PERSONAL"/>
    <s v="51 GASTOS EN PERSONAL"/>
    <s v="510510 Servicios Personales por Contrato"/>
    <s v="G/510510/1HA101"/>
    <s v="002"/>
    <n v="60600"/>
    <n v="-24600"/>
    <n v="0"/>
    <n v="36000"/>
    <n v="6000"/>
    <n v="30000"/>
    <n v="30000"/>
    <n v="6000"/>
    <n v="6000"/>
    <n v="0"/>
  </r>
  <r>
    <s v="51"/>
    <x v="0"/>
    <x v="0"/>
    <s v="RP36A010"/>
    <x v="2"/>
    <s v="A101"/>
    <s v="FORTALECIMIENTO INSTITUCIONAL"/>
    <s v="GC00A10100004D"/>
    <s v="GC00A10100004D REMUNERACION PERSONAL"/>
    <s v="51 GASTOS EN PERSONAL"/>
    <s v="510510 Servicios Personales por Contrato"/>
    <s v="G/510510/1AA101"/>
    <s v="002"/>
    <n v="231084"/>
    <n v="0"/>
    <n v="0"/>
    <n v="231084"/>
    <n v="81540.17"/>
    <n v="149543.82999999999"/>
    <n v="149543.82999999999"/>
    <n v="81540.17"/>
    <n v="81540.17"/>
    <n v="0"/>
  </r>
  <r>
    <s v="51"/>
    <x v="2"/>
    <x v="11"/>
    <s v="ZC09F090"/>
    <x v="44"/>
    <s v="A101"/>
    <s v="FORTALECIMIENTO INSTITUCIONAL"/>
    <s v="GC00A10100004D"/>
    <s v="GC00A10100004D REMUNERACION PERSONAL"/>
    <s v="51 GASTOS EN PERSONAL"/>
    <s v="510510 Servicios Personales por Contrato"/>
    <s v="G/510510/1FA101"/>
    <s v="002"/>
    <n v="9804"/>
    <n v="5772"/>
    <n v="0"/>
    <n v="15576"/>
    <n v="5930.93"/>
    <n v="9645.07"/>
    <n v="9645.07"/>
    <n v="5930.93"/>
    <n v="5930.93"/>
    <n v="0"/>
  </r>
  <r>
    <s v="51"/>
    <x v="1"/>
    <x v="2"/>
    <s v="EE11I010"/>
    <x v="21"/>
    <s v="A101"/>
    <s v="FORTALECIMIENTO INSTITUCIONAL"/>
    <s v="GC00A10100004D"/>
    <s v="GC00A10100004D REMUNERACION PERSONAL"/>
    <s v="51 GASTOS EN PERSONAL"/>
    <s v="510510 Servicios Personales por Contrato"/>
    <s v="G/510510/1IA101"/>
    <s v="001"/>
    <n v="0"/>
    <n v="19608"/>
    <n v="0"/>
    <n v="19608"/>
    <n v="9204.8700000000008"/>
    <n v="10403.129999999999"/>
    <n v="10403.129999999999"/>
    <n v="9204.8700000000008"/>
    <n v="9204.8700000000008"/>
    <n v="0"/>
  </r>
  <r>
    <s v="51"/>
    <x v="0"/>
    <x v="0"/>
    <s v="ZA01A000"/>
    <x v="1"/>
    <s v="A101"/>
    <s v="FORTALECIMIENTO INSTITUCIONAL"/>
    <s v="GC00A10100004D"/>
    <s v="GC00A10100004D REMUNERACION PERSONAL"/>
    <s v="51 GASTOS EN PERSONAL"/>
    <s v="510510 Servicios Personales por Contrato"/>
    <s v="G/510510/1AA101"/>
    <s v="002"/>
    <n v="1100460"/>
    <n v="99110.399999999994"/>
    <n v="0"/>
    <n v="1199570.3999999999"/>
    <n v="450549.83"/>
    <n v="626252.17000000004"/>
    <n v="626252.17000000004"/>
    <n v="573318.23"/>
    <n v="573318.23"/>
    <n v="122768.4"/>
  </r>
  <r>
    <s v="51"/>
    <x v="1"/>
    <x v="2"/>
    <s v="EQ13I030"/>
    <x v="20"/>
    <s v="A101"/>
    <s v="FORTALECIMIENTO INSTITUCIONAL"/>
    <s v="GC00A10100004D"/>
    <s v="GC00A10100004D REMUNERACION PERSONAL"/>
    <s v="51 GASTOS EN PERSONAL"/>
    <s v="510510 Servicios Personales por Contrato"/>
    <s v="G/510510/1IA101"/>
    <s v="001"/>
    <n v="0"/>
    <n v="9804"/>
    <n v="0"/>
    <n v="9804"/>
    <n v="3676.5"/>
    <n v="6127.5"/>
    <n v="6127.5"/>
    <n v="3676.5"/>
    <n v="3676.5"/>
    <n v="0"/>
  </r>
  <r>
    <s v="51"/>
    <x v="2"/>
    <x v="11"/>
    <s v="ZD07F070"/>
    <x v="43"/>
    <s v="A101"/>
    <s v="FORTALECIMIENTO INSTITUCIONAL"/>
    <s v="GC00A10100004D"/>
    <s v="GC00A10100004D REMUNERACION PERSONAL"/>
    <s v="51 GASTOS EN PERSONAL"/>
    <s v="510510 Servicios Personales por Contrato"/>
    <s v="G/510510/1FA101"/>
    <s v="002"/>
    <n v="0"/>
    <n v="14478"/>
    <n v="0"/>
    <n v="14478"/>
    <n v="11827.54"/>
    <n v="2650.46"/>
    <n v="2650.46"/>
    <n v="11827.54"/>
    <n v="11827.54"/>
    <n v="0"/>
  </r>
  <r>
    <s v="51"/>
    <x v="0"/>
    <x v="7"/>
    <s v="ZA01L000"/>
    <x v="14"/>
    <s v="A101"/>
    <s v="FORTALECIMIENTO INSTITUCIONAL"/>
    <s v="GC00A10100004D"/>
    <s v="GC00A10100004D REMUNERACION PERSONAL"/>
    <s v="51 GASTOS EN PERSONAL"/>
    <s v="510510 Servicios Personales por Contrato"/>
    <s v="G/510510/1LA101"/>
    <s v="002"/>
    <n v="252372"/>
    <n v="27305"/>
    <n v="0"/>
    <n v="279677"/>
    <n v="57.63"/>
    <n v="236482.37"/>
    <n v="236482.37"/>
    <n v="43194.63"/>
    <n v="43194.63"/>
    <n v="43137"/>
  </r>
  <r>
    <s v="51"/>
    <x v="0"/>
    <x v="1"/>
    <s v="ZA01C002"/>
    <x v="46"/>
    <s v="A101"/>
    <s v="FORTALECIMIENTO INSTITUCIONAL"/>
    <s v="GC00A10100004D"/>
    <s v="GC00A10100004D REMUNERACION PERSONAL"/>
    <s v="51 GASTOS EN PERSONAL"/>
    <s v="510510 Servicios Personales por Contrato"/>
    <s v="G/510510/1CA101"/>
    <s v="002"/>
    <n v="42072"/>
    <n v="30000"/>
    <n v="0"/>
    <n v="72072"/>
    <n v="13018"/>
    <n v="59054"/>
    <n v="59054"/>
    <n v="13018"/>
    <n v="13018"/>
    <n v="0"/>
  </r>
  <r>
    <s v="51"/>
    <x v="1"/>
    <x v="2"/>
    <s v="CB21I040"/>
    <x v="23"/>
    <s v="A101"/>
    <s v="FORTALECIMIENTO INSTITUCIONAL"/>
    <s v="GC00A10100004D"/>
    <s v="GC00A10100004D REMUNERACION PERSONAL"/>
    <s v="51 GASTOS EN PERSONAL"/>
    <s v="510510 Servicios Personales por Contrato"/>
    <s v="G/510510/1IA101"/>
    <s v="001"/>
    <n v="0"/>
    <n v="19608"/>
    <n v="0"/>
    <n v="19608"/>
    <n v="12963.07"/>
    <n v="6644.93"/>
    <n v="6644.93"/>
    <n v="12963.07"/>
    <n v="12963.07"/>
    <n v="0"/>
  </r>
  <r>
    <s v="51"/>
    <x v="2"/>
    <x v="6"/>
    <s v="ZA01K000"/>
    <x v="17"/>
    <s v="A101"/>
    <s v="FORTALECIMIENTO INSTITUCIONAL"/>
    <s v="GC00A10100004D"/>
    <s v="GC00A10100004D REMUNERACION PERSONAL"/>
    <s v="51 GASTOS EN PERSONAL"/>
    <s v="510510 Servicios Personales por Contrato"/>
    <s v="G/510510/1KA101"/>
    <s v="002"/>
    <n v="164400"/>
    <n v="0"/>
    <n v="0"/>
    <n v="164400"/>
    <n v="24450"/>
    <n v="109950"/>
    <n v="109950"/>
    <n v="54450"/>
    <n v="54450"/>
    <n v="30000"/>
  </r>
  <r>
    <s v="51"/>
    <x v="1"/>
    <x v="3"/>
    <s v="ZA01M000"/>
    <x v="6"/>
    <s v="A101"/>
    <s v="FORTALECIMIENTO INSTITUCIONAL"/>
    <s v="GC00A10100004D"/>
    <s v="GC00A10100004D REMUNERACION PERSONAL"/>
    <s v="51 GASTOS EN PERSONAL"/>
    <s v="510512 Subrogación"/>
    <s v="G/510512/1MA101"/>
    <s v="002"/>
    <n v="9353.16"/>
    <n v="0"/>
    <n v="0"/>
    <n v="9353.16"/>
    <n v="0"/>
    <n v="1320"/>
    <n v="1320"/>
    <n v="8033.16"/>
    <n v="8033.16"/>
    <n v="8033.16"/>
  </r>
  <r>
    <s v="51"/>
    <x v="2"/>
    <x v="5"/>
    <s v="ZA01N000"/>
    <x v="10"/>
    <s v="A101"/>
    <s v="FORTALECIMIENTO INSTITUCIONAL"/>
    <s v="GC00A10100004D"/>
    <s v="GC00A10100004D REMUNERACION PERSONAL"/>
    <s v="51 GASTOS EN PERSONAL"/>
    <s v="510512 Subrogación"/>
    <s v="G/510512/1NA101"/>
    <s v="002"/>
    <n v="6990.7"/>
    <n v="0"/>
    <n v="0"/>
    <n v="6990.7"/>
    <n v="0"/>
    <n v="319.67"/>
    <n v="319.67"/>
    <n v="6671.03"/>
    <n v="6671.03"/>
    <n v="6671.03"/>
  </r>
  <r>
    <s v="51"/>
    <x v="1"/>
    <x v="4"/>
    <s v="ZA01J000"/>
    <x v="9"/>
    <s v="A101"/>
    <s v="FORTALECIMIENTO INSTITUCIONAL"/>
    <s v="GC00A10100004D"/>
    <s v="GC00A10100004D REMUNERACION PERSONAL"/>
    <s v="51 GASTOS EN PERSONAL"/>
    <s v="510512 Subrogación"/>
    <s v="G/510512/1JA101"/>
    <s v="002"/>
    <n v="5025.43"/>
    <n v="0"/>
    <n v="0"/>
    <n v="5025.43"/>
    <n v="0"/>
    <n v="325"/>
    <n v="325"/>
    <n v="4700.43"/>
    <n v="4700.43"/>
    <n v="4700.43"/>
  </r>
  <r>
    <s v="51"/>
    <x v="0"/>
    <x v="1"/>
    <s v="ZA01C030"/>
    <x v="3"/>
    <s v="A101"/>
    <s v="FORTALECIMIENTO INSTITUCIONAL"/>
    <s v="GC00A10100004D"/>
    <s v="GC00A10100004D REMUNERACION PERSONAL"/>
    <s v="51 GASTOS EN PERSONAL"/>
    <s v="510512 Subrogación"/>
    <s v="G/510512/1CA101"/>
    <s v="002"/>
    <n v="5240.82"/>
    <n v="4431"/>
    <n v="0"/>
    <n v="9671.82"/>
    <n v="0"/>
    <n v="9671"/>
    <n v="9671"/>
    <n v="0.82"/>
    <n v="0.82"/>
    <n v="0.82"/>
  </r>
  <r>
    <s v="51"/>
    <x v="0"/>
    <x v="1"/>
    <s v="ZA01C002"/>
    <x v="46"/>
    <s v="A101"/>
    <s v="FORTALECIMIENTO INSTITUCIONAL"/>
    <s v="GC00A10100004D"/>
    <s v="GC00A10100004D REMUNERACION PERSONAL"/>
    <s v="51 GASTOS EN PERSONAL"/>
    <s v="510512 Subrogación"/>
    <s v="G/510512/1CA101"/>
    <s v="002"/>
    <n v="1765.1"/>
    <n v="0"/>
    <n v="0"/>
    <n v="1765.1"/>
    <n v="0"/>
    <n v="33.33"/>
    <n v="33.33"/>
    <n v="1731.77"/>
    <n v="1731.77"/>
    <n v="1731.77"/>
  </r>
  <r>
    <s v="51"/>
    <x v="1"/>
    <x v="13"/>
    <s v="ZA01G000"/>
    <x v="29"/>
    <s v="A101"/>
    <s v="FORTALECIMIENTO INSTITUCIONAL"/>
    <s v="GC00A10100004D"/>
    <s v="GC00A10100004D REMUNERACION PERSONAL"/>
    <s v="51 GASTOS EN PERSONAL"/>
    <s v="510512 Subrogación"/>
    <s v="G/510512/1GA101"/>
    <s v="002"/>
    <n v="4680.32"/>
    <n v="0"/>
    <n v="0"/>
    <n v="4680.32"/>
    <n v="0"/>
    <n v="654"/>
    <n v="654"/>
    <n v="4026.32"/>
    <n v="4026.32"/>
    <n v="4026.32"/>
  </r>
  <r>
    <s v="51"/>
    <x v="1"/>
    <x v="3"/>
    <s v="US33M030"/>
    <x v="8"/>
    <s v="A101"/>
    <s v="FORTALECIMIENTO INSTITUCIONAL"/>
    <s v="GC00A10100004D"/>
    <s v="GC00A10100004D REMUNERACION PERSONAL"/>
    <s v="51 GASTOS EN PERSONAL"/>
    <s v="510512 Subrogación"/>
    <s v="G/510512/1MA101"/>
    <s v="002"/>
    <n v="5286.67"/>
    <n v="0"/>
    <n v="0"/>
    <n v="5286.67"/>
    <n v="0"/>
    <n v="223.2"/>
    <n v="223.2"/>
    <n v="5063.47"/>
    <n v="5063.47"/>
    <n v="5063.47"/>
  </r>
  <r>
    <s v="51"/>
    <x v="2"/>
    <x v="11"/>
    <s v="RB34F010"/>
    <x v="33"/>
    <s v="A101"/>
    <s v="FORTALECIMIENTO INSTITUCIONAL"/>
    <s v="GC00A10100004D"/>
    <s v="GC00A10100004D REMUNERACION PERSONAL"/>
    <s v="51 GASTOS EN PERSONAL"/>
    <s v="510512 Subrogación"/>
    <s v="G/510512/1FA101"/>
    <s v="002"/>
    <n v="3556.91"/>
    <n v="0"/>
    <n v="0"/>
    <n v="3556.91"/>
    <n v="0"/>
    <n v="200"/>
    <n v="200"/>
    <n v="3356.91"/>
    <n v="3356.91"/>
    <n v="3356.91"/>
  </r>
  <r>
    <s v="51"/>
    <x v="1"/>
    <x v="3"/>
    <s v="UC32M020"/>
    <x v="7"/>
    <s v="A101"/>
    <s v="FORTALECIMIENTO INSTITUCIONAL"/>
    <s v="GC00A10100004D"/>
    <s v="GC00A10100004D REMUNERACION PERSONAL"/>
    <s v="51 GASTOS EN PERSONAL"/>
    <s v="510512 Subrogación"/>
    <s v="G/510512/1MA101"/>
    <s v="002"/>
    <n v="3635.4"/>
    <n v="0"/>
    <n v="0"/>
    <n v="3635.4"/>
    <n v="0"/>
    <n v="214.5"/>
    <n v="214.5"/>
    <n v="3420.9"/>
    <n v="3420.9"/>
    <n v="3420.9"/>
  </r>
  <r>
    <s v="51"/>
    <x v="0"/>
    <x v="9"/>
    <s v="ZA01E000"/>
    <x v="18"/>
    <s v="A101"/>
    <s v="FORTALECIMIENTO INSTITUCIONAL"/>
    <s v="GC00A10100004D"/>
    <s v="GC00A10100004D REMUNERACION PERSONAL"/>
    <s v="51 GASTOS EN PERSONAL"/>
    <s v="510512 Subrogación"/>
    <s v="G/510512/1EA101"/>
    <s v="002"/>
    <n v="1678.99"/>
    <n v="0"/>
    <n v="0"/>
    <n v="1678.99"/>
    <n v="0"/>
    <n v="729.07"/>
    <n v="729.07"/>
    <n v="949.92"/>
    <n v="949.92"/>
    <n v="949.92"/>
  </r>
  <r>
    <s v="51"/>
    <x v="0"/>
    <x v="1"/>
    <s v="ZA01C000"/>
    <x v="19"/>
    <s v="A101"/>
    <s v="FORTALECIMIENTO INSTITUCIONAL"/>
    <s v="GC00A10100004D"/>
    <s v="GC00A10100004D REMUNERACION PERSONAL"/>
    <s v="51 GASTOS EN PERSONAL"/>
    <s v="510512 Subrogación"/>
    <s v="G/510512/1CA101"/>
    <s v="002"/>
    <n v="8299.35"/>
    <n v="0"/>
    <n v="0"/>
    <n v="8299.35"/>
    <n v="0"/>
    <n v="0"/>
    <n v="0"/>
    <n v="8299.35"/>
    <n v="8299.35"/>
    <n v="8299.35"/>
  </r>
  <r>
    <s v="51"/>
    <x v="0"/>
    <x v="1"/>
    <s v="ZA01C060"/>
    <x v="45"/>
    <s v="A101"/>
    <s v="FORTALECIMIENTO INSTITUCIONAL"/>
    <s v="GC00A10100004D"/>
    <s v="GC00A10100004D REMUNERACION PERSONAL"/>
    <s v="51 GASTOS EN PERSONAL"/>
    <s v="510512 Subrogación"/>
    <s v="G/510512/1CA101"/>
    <s v="002"/>
    <n v="439.33"/>
    <n v="1000"/>
    <n v="0"/>
    <n v="1439.33"/>
    <n v="0"/>
    <n v="1200"/>
    <n v="1200"/>
    <n v="239.33"/>
    <n v="239.33"/>
    <n v="239.33"/>
  </r>
  <r>
    <s v="51"/>
    <x v="2"/>
    <x v="5"/>
    <s v="PM71N010"/>
    <x v="27"/>
    <s v="A101"/>
    <s v="FORTALECIMIENTO INSTITUCIONAL"/>
    <s v="GC00A10100004D"/>
    <s v="GC00A10100004D REMUNERACION PERSONAL"/>
    <s v="51 GASTOS EN PERSONAL"/>
    <s v="510512 Subrogación"/>
    <s v="G/510512/1NA101"/>
    <s v="002"/>
    <n v="19015.07"/>
    <n v="0"/>
    <n v="0"/>
    <n v="19015.07"/>
    <n v="0"/>
    <n v="1393.34"/>
    <n v="1393.34"/>
    <n v="17621.73"/>
    <n v="17621.73"/>
    <n v="17621.73"/>
  </r>
  <r>
    <s v="51"/>
    <x v="3"/>
    <x v="14"/>
    <s v="ZA01H000"/>
    <x v="30"/>
    <s v="A101"/>
    <s v="FORTALECIMIENTO INSTITUCIONAL"/>
    <s v="GC00A10100004D"/>
    <s v="GC00A10100004D REMUNERACION PERSONAL"/>
    <s v="51 GASTOS EN PERSONAL"/>
    <s v="510512 Subrogación"/>
    <s v="G/510512/1HA101"/>
    <s v="002"/>
    <n v="2076.64"/>
    <n v="-2076.64"/>
    <n v="0"/>
    <n v="0"/>
    <n v="0"/>
    <n v="0"/>
    <n v="0"/>
    <n v="0"/>
    <n v="0"/>
    <n v="0"/>
  </r>
  <r>
    <s v="51"/>
    <x v="2"/>
    <x v="11"/>
    <s v="ZC09F090"/>
    <x v="44"/>
    <s v="A101"/>
    <s v="FORTALECIMIENTO INSTITUCIONAL"/>
    <s v="GC00A10100004D"/>
    <s v="GC00A10100004D REMUNERACION PERSONAL"/>
    <s v="51 GASTOS EN PERSONAL"/>
    <s v="510512 Subrogación"/>
    <s v="G/510512/1FA101"/>
    <s v="002"/>
    <n v="3422.36"/>
    <n v="0"/>
    <n v="0"/>
    <n v="3422.36"/>
    <n v="0"/>
    <n v="0"/>
    <n v="0"/>
    <n v="3422.36"/>
    <n v="3422.36"/>
    <n v="3422.36"/>
  </r>
  <r>
    <s v="51"/>
    <x v="2"/>
    <x v="11"/>
    <s v="ZD07F070"/>
    <x v="43"/>
    <s v="A101"/>
    <s v="FORTALECIMIENTO INSTITUCIONAL"/>
    <s v="GC00A10100004D"/>
    <s v="GC00A10100004D REMUNERACION PERSONAL"/>
    <s v="51 GASTOS EN PERSONAL"/>
    <s v="510512 Subrogación"/>
    <s v="G/510512/1FA101"/>
    <s v="002"/>
    <n v="6108.14"/>
    <n v="0"/>
    <n v="0"/>
    <n v="6108.14"/>
    <n v="0"/>
    <n v="0"/>
    <n v="0"/>
    <n v="6108.14"/>
    <n v="6108.14"/>
    <n v="6108.14"/>
  </r>
  <r>
    <s v="51"/>
    <x v="1"/>
    <x v="2"/>
    <s v="CB21I040"/>
    <x v="23"/>
    <s v="A101"/>
    <s v="FORTALECIMIENTO INSTITUCIONAL"/>
    <s v="GC00A10100004D"/>
    <s v="GC00A10100004D REMUNERACION PERSONAL"/>
    <s v="51 GASTOS EN PERSONAL"/>
    <s v="510512 Subrogación"/>
    <s v="G/510512/1IA101"/>
    <s v="002"/>
    <n v="1176.28"/>
    <n v="0"/>
    <n v="0"/>
    <n v="1176.28"/>
    <n v="0"/>
    <n v="0"/>
    <n v="0"/>
    <n v="1176.28"/>
    <n v="1176.28"/>
    <n v="1176.28"/>
  </r>
  <r>
    <s v="51"/>
    <x v="1"/>
    <x v="2"/>
    <s v="ES12I020"/>
    <x v="16"/>
    <s v="A101"/>
    <s v="FORTALECIMIENTO INSTITUCIONAL"/>
    <s v="GC00A10100004D"/>
    <s v="GC00A10100004D REMUNERACION PERSONAL"/>
    <s v="51 GASTOS EN PERSONAL"/>
    <s v="510512 Subrogación"/>
    <s v="G/510512/1IA101"/>
    <s v="002"/>
    <n v="2925.97"/>
    <n v="0"/>
    <n v="0"/>
    <n v="2925.97"/>
    <n v="0"/>
    <n v="0"/>
    <n v="0"/>
    <n v="2925.97"/>
    <n v="2925.97"/>
    <n v="2925.97"/>
  </r>
  <r>
    <s v="51"/>
    <x v="2"/>
    <x v="10"/>
    <s v="ZA01D000"/>
    <x v="24"/>
    <s v="A101"/>
    <s v="FORTALECIMIENTO INSTITUCIONAL"/>
    <s v="GC00A10100004D"/>
    <s v="GC00A10100004D REMUNERACION PERSONAL"/>
    <s v="51 GASTOS EN PERSONAL"/>
    <s v="510512 Subrogación"/>
    <s v="G/510512/1DA101"/>
    <s v="002"/>
    <n v="3663.04"/>
    <n v="0"/>
    <n v="0"/>
    <n v="3663.04"/>
    <n v="0"/>
    <n v="410"/>
    <n v="410"/>
    <n v="3253.04"/>
    <n v="3253.04"/>
    <n v="3253.04"/>
  </r>
  <r>
    <s v="51"/>
    <x v="0"/>
    <x v="0"/>
    <s v="RP36A010"/>
    <x v="2"/>
    <s v="A101"/>
    <s v="FORTALECIMIENTO INSTITUCIONAL"/>
    <s v="GC00A10100004D"/>
    <s v="GC00A10100004D REMUNERACION PERSONAL"/>
    <s v="51 GASTOS EN PERSONAL"/>
    <s v="510512 Subrogación"/>
    <s v="G/510512/1AA101"/>
    <s v="002"/>
    <n v="16920.57"/>
    <n v="0"/>
    <n v="0"/>
    <n v="16920.57"/>
    <n v="0"/>
    <n v="2425.9699999999998"/>
    <n v="2425.9699999999998"/>
    <n v="14494.6"/>
    <n v="14494.6"/>
    <n v="14494.6"/>
  </r>
  <r>
    <s v="51"/>
    <x v="1"/>
    <x v="2"/>
    <s v="JM40I070"/>
    <x v="12"/>
    <s v="A101"/>
    <s v="FORTALECIMIENTO INSTITUCIONAL"/>
    <s v="GC00A10100004D"/>
    <s v="GC00A10100004D REMUNERACION PERSONAL"/>
    <s v="51 GASTOS EN PERSONAL"/>
    <s v="510512 Subrogación"/>
    <s v="G/510512/1IA101"/>
    <s v="002"/>
    <n v="2580.37"/>
    <n v="0"/>
    <n v="0"/>
    <n v="2580.37"/>
    <n v="0"/>
    <n v="0"/>
    <n v="0"/>
    <n v="2580.37"/>
    <n v="2580.37"/>
    <n v="2580.37"/>
  </r>
  <r>
    <s v="51"/>
    <x v="2"/>
    <x v="11"/>
    <s v="ZV05F050"/>
    <x v="37"/>
    <s v="A101"/>
    <s v="FORTALECIMIENTO INSTITUCIONAL"/>
    <s v="GC00A10100004D"/>
    <s v="GC00A10100004D REMUNERACION PERSONAL"/>
    <s v="51 GASTOS EN PERSONAL"/>
    <s v="510512 Subrogación"/>
    <s v="G/510512/1FA101"/>
    <s v="002"/>
    <n v="6150.4"/>
    <n v="0"/>
    <n v="0"/>
    <n v="6150.4"/>
    <n v="0"/>
    <n v="1615.33"/>
    <n v="1615.33"/>
    <n v="4535.07"/>
    <n v="4535.07"/>
    <n v="4535.07"/>
  </r>
  <r>
    <s v="51"/>
    <x v="1"/>
    <x v="2"/>
    <s v="MB42I090"/>
    <x v="26"/>
    <s v="A101"/>
    <s v="FORTALECIMIENTO INSTITUCIONAL"/>
    <s v="GC00A10100004D"/>
    <s v="GC00A10100004D REMUNERACION PERSONAL"/>
    <s v="51 GASTOS EN PERSONAL"/>
    <s v="510512 Subrogación"/>
    <s v="G/510512/1IA101"/>
    <s v="002"/>
    <n v="1616.59"/>
    <n v="0"/>
    <n v="0"/>
    <n v="1616.59"/>
    <n v="0"/>
    <n v="0"/>
    <n v="0"/>
    <n v="1616.59"/>
    <n v="1616.59"/>
    <n v="1616.59"/>
  </r>
  <r>
    <s v="51"/>
    <x v="2"/>
    <x v="8"/>
    <s v="ZA01P000"/>
    <x v="15"/>
    <s v="A101"/>
    <s v="FORTALECIMIENTO INSTITUCIONAL"/>
    <s v="GC00A10100004D"/>
    <s v="GC00A10100004D REMUNERACION PERSONAL"/>
    <s v="51 GASTOS EN PERSONAL"/>
    <s v="510512 Subrogación"/>
    <s v="G/510512/1PA101"/>
    <s v="002"/>
    <n v="3542.65"/>
    <n v="1430"/>
    <n v="0"/>
    <n v="4972.6499999999996"/>
    <n v="0"/>
    <n v="4972.25"/>
    <n v="4972.25"/>
    <n v="0.4"/>
    <n v="0.4"/>
    <n v="0.4"/>
  </r>
  <r>
    <s v="51"/>
    <x v="2"/>
    <x v="11"/>
    <s v="ZM04F040"/>
    <x v="41"/>
    <s v="A101"/>
    <s v="FORTALECIMIENTO INSTITUCIONAL"/>
    <s v="GC00A10100004D"/>
    <s v="GC00A10100004D REMUNERACION PERSONAL"/>
    <s v="51 GASTOS EN PERSONAL"/>
    <s v="510512 Subrogación"/>
    <s v="G/510512/1FA101"/>
    <s v="002"/>
    <n v="8830.42"/>
    <n v="0"/>
    <n v="0"/>
    <n v="8830.42"/>
    <n v="0"/>
    <n v="756.87"/>
    <n v="756.87"/>
    <n v="8073.55"/>
    <n v="8073.55"/>
    <n v="8073.55"/>
  </r>
  <r>
    <s v="51"/>
    <x v="2"/>
    <x v="11"/>
    <s v="ZT06F060"/>
    <x v="25"/>
    <s v="A101"/>
    <s v="FORTALECIMIENTO INSTITUCIONAL"/>
    <s v="GC00A10100004D"/>
    <s v="GC00A10100004D REMUNERACION PERSONAL"/>
    <s v="51 GASTOS EN PERSONAL"/>
    <s v="510512 Subrogación"/>
    <s v="G/510512/1FA101"/>
    <s v="002"/>
    <n v="3027.59"/>
    <n v="1056"/>
    <n v="0"/>
    <n v="4083.59"/>
    <n v="0"/>
    <n v="2932.87"/>
    <n v="2932.87"/>
    <n v="1150.72"/>
    <n v="1150.72"/>
    <n v="1150.72"/>
  </r>
  <r>
    <s v="51"/>
    <x v="1"/>
    <x v="3"/>
    <s v="UN31M010"/>
    <x v="11"/>
    <s v="A101"/>
    <s v="FORTALECIMIENTO INSTITUCIONAL"/>
    <s v="GC00A10100004D"/>
    <s v="GC00A10100004D REMUNERACION PERSONAL"/>
    <s v="51 GASTOS EN PERSONAL"/>
    <s v="510512 Subrogación"/>
    <s v="G/510512/1MA101"/>
    <s v="002"/>
    <n v="3760.77"/>
    <n v="0"/>
    <n v="0"/>
    <n v="3760.77"/>
    <n v="0"/>
    <n v="0"/>
    <n v="0"/>
    <n v="3760.77"/>
    <n v="3760.77"/>
    <n v="3760.77"/>
  </r>
  <r>
    <s v="51"/>
    <x v="1"/>
    <x v="2"/>
    <s v="SF43I080"/>
    <x v="35"/>
    <s v="A101"/>
    <s v="FORTALECIMIENTO INSTITUCIONAL"/>
    <s v="GC00A10100004D"/>
    <s v="GC00A10100004D REMUNERACION PERSONAL"/>
    <s v="51 GASTOS EN PERSONAL"/>
    <s v="510512 Subrogación"/>
    <s v="G/510512/1IA101"/>
    <s v="002"/>
    <n v="1276.3"/>
    <n v="0"/>
    <n v="0"/>
    <n v="1276.3"/>
    <n v="0"/>
    <n v="0"/>
    <n v="0"/>
    <n v="1276.3"/>
    <n v="1276.3"/>
    <n v="1276.3"/>
  </r>
  <r>
    <s v="51"/>
    <x v="2"/>
    <x v="11"/>
    <s v="ZS03F030"/>
    <x v="38"/>
    <s v="A101"/>
    <s v="FORTALECIMIENTO INSTITUCIONAL"/>
    <s v="GC00A10100004D"/>
    <s v="GC00A10100004D REMUNERACION PERSONAL"/>
    <s v="51 GASTOS EN PERSONAL"/>
    <s v="510512 Subrogación"/>
    <s v="G/510512/1FA101"/>
    <s v="002"/>
    <n v="6222.72"/>
    <n v="0"/>
    <n v="0"/>
    <n v="6222.72"/>
    <n v="0"/>
    <n v="5122.3"/>
    <n v="5122.3"/>
    <n v="1100.42"/>
    <n v="1100.42"/>
    <n v="1100.42"/>
  </r>
  <r>
    <s v="51"/>
    <x v="2"/>
    <x v="11"/>
    <s v="ZN02F020"/>
    <x v="40"/>
    <s v="A101"/>
    <s v="FORTALECIMIENTO INSTITUCIONAL"/>
    <s v="GC00A10100004D"/>
    <s v="GC00A10100004D REMUNERACION PERSONAL"/>
    <s v="51 GASTOS EN PERSONAL"/>
    <s v="510512 Subrogación"/>
    <s v="G/510512/1FA101"/>
    <s v="002"/>
    <n v="4121.46"/>
    <n v="848.01"/>
    <n v="0"/>
    <n v="4969.47"/>
    <n v="0"/>
    <n v="4969.47"/>
    <n v="4969.47"/>
    <n v="0"/>
    <n v="0"/>
    <n v="0"/>
  </r>
  <r>
    <s v="51"/>
    <x v="1"/>
    <x v="2"/>
    <s v="OL41I060"/>
    <x v="42"/>
    <s v="A101"/>
    <s v="FORTALECIMIENTO INSTITUCIONAL"/>
    <s v="GC00A10100004D"/>
    <s v="GC00A10100004D REMUNERACION PERSONAL"/>
    <s v="51 GASTOS EN PERSONAL"/>
    <s v="510512 Subrogación"/>
    <s v="G/510512/1IA101"/>
    <s v="002"/>
    <n v="973.94"/>
    <n v="0"/>
    <n v="0"/>
    <n v="973.94"/>
    <n v="0"/>
    <n v="0"/>
    <n v="0"/>
    <n v="973.94"/>
    <n v="973.94"/>
    <n v="973.94"/>
  </r>
  <r>
    <s v="51"/>
    <x v="2"/>
    <x v="6"/>
    <s v="ZA01K000"/>
    <x v="17"/>
    <s v="A101"/>
    <s v="FORTALECIMIENTO INSTITUCIONAL"/>
    <s v="GC00A10100004D"/>
    <s v="GC00A10100004D REMUNERACION PERSONAL"/>
    <s v="51 GASTOS EN PERSONAL"/>
    <s v="510512 Subrogación"/>
    <s v="G/510512/1KA101"/>
    <s v="002"/>
    <n v="4385.5600000000004"/>
    <n v="0"/>
    <n v="0"/>
    <n v="4385.5600000000004"/>
    <n v="0"/>
    <n v="475"/>
    <n v="475"/>
    <n v="3910.56"/>
    <n v="3910.56"/>
    <n v="3910.56"/>
  </r>
  <r>
    <s v="51"/>
    <x v="2"/>
    <x v="11"/>
    <s v="ZQ08F080"/>
    <x v="39"/>
    <s v="A101"/>
    <s v="FORTALECIMIENTO INSTITUCIONAL"/>
    <s v="GC00A10100004D"/>
    <s v="GC00A10100004D REMUNERACION PERSONAL"/>
    <s v="51 GASTOS EN PERSONAL"/>
    <s v="510512 Subrogación"/>
    <s v="G/510512/1FA101"/>
    <s v="002"/>
    <n v="3779.56"/>
    <n v="0"/>
    <n v="0"/>
    <n v="3779.56"/>
    <n v="0"/>
    <n v="762.7"/>
    <n v="762.7"/>
    <n v="3016.86"/>
    <n v="3016.86"/>
    <n v="3016.86"/>
  </r>
  <r>
    <s v="51"/>
    <x v="0"/>
    <x v="12"/>
    <s v="MC37B000"/>
    <x v="28"/>
    <s v="A101"/>
    <s v="FORTALECIMIENTO INSTITUCIONAL"/>
    <s v="GC00A10100004D"/>
    <s v="GC00A10100004D REMUNERACION PERSONAL"/>
    <s v="51 GASTOS EN PERSONAL"/>
    <s v="510512 Subrogación"/>
    <s v="G/510512/1BA101"/>
    <s v="002"/>
    <n v="2459.2399999999998"/>
    <n v="11601.24"/>
    <n v="0"/>
    <n v="14060.48"/>
    <n v="0"/>
    <n v="6081.89"/>
    <n v="6081.89"/>
    <n v="7978.59"/>
    <n v="7978.59"/>
    <n v="7978.59"/>
  </r>
  <r>
    <s v="51"/>
    <x v="1"/>
    <x v="2"/>
    <s v="ZA01I000"/>
    <x v="5"/>
    <s v="A101"/>
    <s v="FORTALECIMIENTO INSTITUCIONAL"/>
    <s v="GC00A10100004D"/>
    <s v="GC00A10100004D REMUNERACION PERSONAL"/>
    <s v="51 GASTOS EN PERSONAL"/>
    <s v="510512 Subrogación"/>
    <s v="G/510512/1IA101"/>
    <s v="002"/>
    <n v="7202.16"/>
    <n v="0"/>
    <n v="0"/>
    <n v="7202.16"/>
    <n v="0"/>
    <n v="0"/>
    <n v="0"/>
    <n v="7202.16"/>
    <n v="7202.16"/>
    <n v="7202.16"/>
  </r>
  <r>
    <s v="51"/>
    <x v="0"/>
    <x v="7"/>
    <s v="ZA01L000"/>
    <x v="14"/>
    <s v="A101"/>
    <s v="FORTALECIMIENTO INSTITUCIONAL"/>
    <s v="GC00A10100004D"/>
    <s v="GC00A10100004D REMUNERACION PERSONAL"/>
    <s v="51 GASTOS EN PERSONAL"/>
    <s v="510512 Subrogación"/>
    <s v="G/510512/1LA101"/>
    <s v="002"/>
    <n v="7048.22"/>
    <n v="0"/>
    <n v="0"/>
    <n v="7048.22"/>
    <n v="0"/>
    <n v="294"/>
    <n v="294"/>
    <n v="6754.22"/>
    <n v="6754.22"/>
    <n v="6754.22"/>
  </r>
  <r>
    <s v="51"/>
    <x v="1"/>
    <x v="2"/>
    <s v="EQ13I030"/>
    <x v="20"/>
    <s v="A101"/>
    <s v="FORTALECIMIENTO INSTITUCIONAL"/>
    <s v="GC00A10100004D"/>
    <s v="GC00A10100004D REMUNERACION PERSONAL"/>
    <s v="51 GASTOS EN PERSONAL"/>
    <s v="510512 Subrogación"/>
    <s v="G/510512/1IA101"/>
    <s v="002"/>
    <n v="1645.41"/>
    <n v="0"/>
    <n v="0"/>
    <n v="1645.41"/>
    <n v="0"/>
    <n v="0"/>
    <n v="0"/>
    <n v="1645.41"/>
    <n v="1645.41"/>
    <n v="1645.41"/>
  </r>
  <r>
    <s v="51"/>
    <x v="1"/>
    <x v="2"/>
    <s v="EE11I010"/>
    <x v="21"/>
    <s v="A101"/>
    <s v="FORTALECIMIENTO INSTITUCIONAL"/>
    <s v="GC00A10100004D"/>
    <s v="GC00A10100004D REMUNERACION PERSONAL"/>
    <s v="51 GASTOS EN PERSONAL"/>
    <s v="510512 Subrogación"/>
    <s v="G/510512/1IA101"/>
    <s v="002"/>
    <n v="1374.81"/>
    <n v="0"/>
    <n v="0"/>
    <n v="1374.81"/>
    <n v="0"/>
    <n v="0"/>
    <n v="0"/>
    <n v="1374.81"/>
    <n v="1374.81"/>
    <n v="1374.81"/>
  </r>
  <r>
    <s v="51"/>
    <x v="0"/>
    <x v="0"/>
    <s v="ZA01A000"/>
    <x v="1"/>
    <s v="A101"/>
    <s v="FORTALECIMIENTO INSTITUCIONAL"/>
    <s v="GC00A10100004D"/>
    <s v="GC00A10100004D REMUNERACION PERSONAL"/>
    <s v="51 GASTOS EN PERSONAL"/>
    <s v="510512 Subrogación"/>
    <s v="G/510512/1AA101"/>
    <s v="002"/>
    <n v="22647.1"/>
    <n v="12595"/>
    <n v="0"/>
    <n v="35242.1"/>
    <n v="0"/>
    <n v="24375.439999999999"/>
    <n v="24375.439999999999"/>
    <n v="10866.66"/>
    <n v="10866.66"/>
    <n v="10866.66"/>
  </r>
  <r>
    <s v="51"/>
    <x v="2"/>
    <x v="6"/>
    <s v="AT69K040"/>
    <x v="13"/>
    <s v="A101"/>
    <s v="FORTALECIMIENTO INSTITUCIONAL"/>
    <s v="GC00A10100004D"/>
    <s v="GC00A10100004D REMUNERACION PERSONAL"/>
    <s v="51 GASTOS EN PERSONAL"/>
    <s v="510512 Subrogación"/>
    <s v="G/510512/1KA101"/>
    <s v="002"/>
    <n v="36799.160000000003"/>
    <n v="0"/>
    <n v="0"/>
    <n v="36799.160000000003"/>
    <n v="0"/>
    <n v="4662.6000000000004"/>
    <n v="4662.6000000000004"/>
    <n v="32136.560000000001"/>
    <n v="32136.560000000001"/>
    <n v="32136.560000000001"/>
  </r>
  <r>
    <s v="51"/>
    <x v="1"/>
    <x v="2"/>
    <s v="CF22I050"/>
    <x v="22"/>
    <s v="A101"/>
    <s v="FORTALECIMIENTO INSTITUCIONAL"/>
    <s v="GC00A10100004D"/>
    <s v="GC00A10100004D REMUNERACION PERSONAL"/>
    <s v="51 GASTOS EN PERSONAL"/>
    <s v="510512 Subrogación"/>
    <s v="G/510512/1IA101"/>
    <s v="002"/>
    <n v="1905.31"/>
    <n v="0"/>
    <n v="0"/>
    <n v="1905.31"/>
    <n v="0"/>
    <n v="0"/>
    <n v="0"/>
    <n v="1905.31"/>
    <n v="1905.31"/>
    <n v="1905.31"/>
  </r>
  <r>
    <s v="51"/>
    <x v="2"/>
    <x v="11"/>
    <s v="TM68F100"/>
    <x v="34"/>
    <s v="A101"/>
    <s v="FORTALECIMIENTO INSTITUCIONAL"/>
    <s v="GC00A10100004D"/>
    <s v="GC00A10100004D REMUNERACION PERSONAL"/>
    <s v="51 GASTOS EN PERSONAL"/>
    <s v="510512 Subrogación"/>
    <s v="G/510512/1FA101"/>
    <s v="002"/>
    <n v="6704.68"/>
    <n v="0"/>
    <n v="0"/>
    <n v="6704.68"/>
    <n v="0"/>
    <n v="731"/>
    <n v="731"/>
    <n v="5973.68"/>
    <n v="5973.68"/>
    <n v="5973.68"/>
  </r>
  <r>
    <s v="51"/>
    <x v="2"/>
    <x v="11"/>
    <s v="ZA01F000"/>
    <x v="31"/>
    <s v="A101"/>
    <s v="FORTALECIMIENTO INSTITUCIONAL"/>
    <s v="GC00A10100004D"/>
    <s v="GC00A10100004D REMUNERACION PERSONAL"/>
    <s v="51 GASTOS EN PERSONAL"/>
    <s v="510512 Subrogación"/>
    <s v="G/510512/1FA101"/>
    <s v="002"/>
    <n v="12953.1"/>
    <n v="0"/>
    <n v="0"/>
    <n v="12953.1"/>
    <n v="0"/>
    <n v="240"/>
    <n v="240"/>
    <n v="12713.1"/>
    <n v="12713.1"/>
    <n v="12713.1"/>
  </r>
  <r>
    <s v="51"/>
    <x v="2"/>
    <x v="8"/>
    <s v="FS66P020"/>
    <x v="36"/>
    <s v="A101"/>
    <s v="FORTALECIMIENTO INSTITUCIONAL"/>
    <s v="GC00A10100004D"/>
    <s v="GC00A10100004D REMUNERACION PERSONAL"/>
    <s v="51 GASTOS EN PERSONAL"/>
    <s v="510512 Subrogación"/>
    <s v="G/510512/1PA101"/>
    <s v="002"/>
    <n v="6034.04"/>
    <n v="-2758.93"/>
    <n v="0"/>
    <n v="3275.11"/>
    <n v="0"/>
    <n v="516.16999999999996"/>
    <n v="516.16999999999996"/>
    <n v="2758.94"/>
    <n v="2758.94"/>
    <n v="2758.94"/>
  </r>
  <r>
    <s v="51"/>
    <x v="3"/>
    <x v="15"/>
    <s v="AC67Q000"/>
    <x v="32"/>
    <s v="A101"/>
    <s v="FORTALECIMIENTO INSTITUCIONAL"/>
    <s v="GC00A10100004D"/>
    <s v="GC00A10100004D REMUNERACION PERSONAL"/>
    <s v="51 GASTOS EN PERSONAL"/>
    <s v="510512 Subrogación"/>
    <s v="G/510512/2QA101"/>
    <s v="002"/>
    <n v="2459.2399999999998"/>
    <n v="0"/>
    <n v="0"/>
    <n v="2459.2399999999998"/>
    <n v="0"/>
    <n v="368.33"/>
    <n v="368.33"/>
    <n v="2090.91"/>
    <n v="2090.91"/>
    <n v="2090.91"/>
  </r>
  <r>
    <s v="51"/>
    <x v="0"/>
    <x v="1"/>
    <s v="ZA01C002"/>
    <x v="46"/>
    <s v="A101"/>
    <s v="FORTALECIMIENTO INSTITUCIONAL"/>
    <s v="GC00A10100004D"/>
    <s v="GC00A10100004D REMUNERACION PERSONAL"/>
    <s v="51 GASTOS EN PERSONAL"/>
    <s v="510513 Encargos"/>
    <s v="G/510513/1CA101"/>
    <s v="002"/>
    <n v="530.20000000000005"/>
    <n v="0"/>
    <n v="0"/>
    <n v="530.20000000000005"/>
    <n v="0"/>
    <n v="0"/>
    <n v="0"/>
    <n v="530.20000000000005"/>
    <n v="530.20000000000005"/>
    <n v="530.20000000000005"/>
  </r>
  <r>
    <s v="51"/>
    <x v="1"/>
    <x v="2"/>
    <s v="SF43I080"/>
    <x v="35"/>
    <s v="A101"/>
    <s v="FORTALECIMIENTO INSTITUCIONAL"/>
    <s v="GC00A10100004D"/>
    <s v="GC00A10100004D REMUNERACION PERSONAL"/>
    <s v="51 GASTOS EN PERSONAL"/>
    <s v="510513 Encargos"/>
    <s v="G/510513/1IA101"/>
    <s v="002"/>
    <n v="5552.6"/>
    <n v="2689.4"/>
    <n v="0"/>
    <n v="8242"/>
    <n v="0"/>
    <n v="8240"/>
    <n v="8240"/>
    <n v="2"/>
    <n v="2"/>
    <n v="2"/>
  </r>
  <r>
    <s v="51"/>
    <x v="2"/>
    <x v="11"/>
    <s v="RB34F010"/>
    <x v="33"/>
    <s v="A101"/>
    <s v="FORTALECIMIENTO INSTITUCIONAL"/>
    <s v="GC00A10100004D"/>
    <s v="GC00A10100004D REMUNERACION PERSONAL"/>
    <s v="51 GASTOS EN PERSONAL"/>
    <s v="510513 Encargos"/>
    <s v="G/510513/1FA101"/>
    <s v="002"/>
    <n v="19252.419999999998"/>
    <n v="0"/>
    <n v="0"/>
    <n v="19252.419999999998"/>
    <n v="0"/>
    <n v="0"/>
    <n v="0"/>
    <n v="19252.419999999998"/>
    <n v="19252.419999999998"/>
    <n v="19252.419999999998"/>
  </r>
  <r>
    <s v="51"/>
    <x v="0"/>
    <x v="9"/>
    <s v="ZA01E000"/>
    <x v="18"/>
    <s v="A101"/>
    <s v="FORTALECIMIENTO INSTITUCIONAL"/>
    <s v="GC00A10100004D"/>
    <s v="GC00A10100004D REMUNERACION PERSONAL"/>
    <s v="51 GASTOS EN PERSONAL"/>
    <s v="510513 Encargos"/>
    <s v="G/510513/1EA101"/>
    <s v="002"/>
    <n v="3357.98"/>
    <n v="10857.15"/>
    <n v="0"/>
    <n v="14215.13"/>
    <n v="0"/>
    <n v="14214.13"/>
    <n v="14214.13"/>
    <n v="1"/>
    <n v="1"/>
    <n v="1"/>
  </r>
  <r>
    <s v="51"/>
    <x v="1"/>
    <x v="4"/>
    <s v="ZA01J000"/>
    <x v="9"/>
    <s v="A101"/>
    <s v="FORTALECIMIENTO INSTITUCIONAL"/>
    <s v="GC00A10100004D"/>
    <s v="GC00A10100004D REMUNERACION PERSONAL"/>
    <s v="51 GASTOS EN PERSONAL"/>
    <s v="510513 Encargos"/>
    <s v="G/510513/1JA101"/>
    <s v="002"/>
    <n v="1729.74"/>
    <n v="0"/>
    <n v="0"/>
    <n v="1729.74"/>
    <n v="0"/>
    <n v="0"/>
    <n v="0"/>
    <n v="1729.74"/>
    <n v="1729.74"/>
    <n v="1729.74"/>
  </r>
  <r>
    <s v="51"/>
    <x v="2"/>
    <x v="11"/>
    <s v="ZM04F040"/>
    <x v="41"/>
    <s v="A101"/>
    <s v="FORTALECIMIENTO INSTITUCIONAL"/>
    <s v="GC00A10100004D"/>
    <s v="GC00A10100004D REMUNERACION PERSONAL"/>
    <s v="51 GASTOS EN PERSONAL"/>
    <s v="510513 Encargos"/>
    <s v="G/510513/1FA101"/>
    <s v="002"/>
    <n v="5507.83"/>
    <n v="0"/>
    <n v="0"/>
    <n v="5507.83"/>
    <n v="0"/>
    <n v="1261"/>
    <n v="1261"/>
    <n v="4246.83"/>
    <n v="4246.83"/>
    <n v="4246.83"/>
  </r>
  <r>
    <s v="51"/>
    <x v="0"/>
    <x v="1"/>
    <s v="ZA01C060"/>
    <x v="45"/>
    <s v="A101"/>
    <s v="FORTALECIMIENTO INSTITUCIONAL"/>
    <s v="GC00A10100004D"/>
    <s v="GC00A10100004D REMUNERACION PERSONAL"/>
    <s v="51 GASTOS EN PERSONAL"/>
    <s v="510513 Encargos"/>
    <s v="G/510513/1CA101"/>
    <s v="002"/>
    <n v="878.65"/>
    <n v="380"/>
    <n v="0"/>
    <n v="1258.6500000000001"/>
    <n v="0"/>
    <n v="378"/>
    <n v="378"/>
    <n v="880.65"/>
    <n v="880.65"/>
    <n v="880.65"/>
  </r>
  <r>
    <s v="51"/>
    <x v="2"/>
    <x v="6"/>
    <s v="ZA01K000"/>
    <x v="17"/>
    <s v="A101"/>
    <s v="FORTALECIMIENTO INSTITUCIONAL"/>
    <s v="GC00A10100004D"/>
    <s v="GC00A10100004D REMUNERACION PERSONAL"/>
    <s v="51 GASTOS EN PERSONAL"/>
    <s v="510513 Encargos"/>
    <s v="G/510513/1KA101"/>
    <s v="002"/>
    <n v="4771.13"/>
    <n v="1055.54"/>
    <n v="0"/>
    <n v="5826.67"/>
    <n v="0"/>
    <n v="5826.67"/>
    <n v="5826.67"/>
    <n v="0"/>
    <n v="0"/>
    <n v="0"/>
  </r>
  <r>
    <s v="51"/>
    <x v="2"/>
    <x v="11"/>
    <s v="ZN02F020"/>
    <x v="40"/>
    <s v="A101"/>
    <s v="FORTALECIMIENTO INSTITUCIONAL"/>
    <s v="GC00A10100004D"/>
    <s v="GC00A10100004D REMUNERACION PERSONAL"/>
    <s v="51 GASTOS EN PERSONAL"/>
    <s v="510513 Encargos"/>
    <s v="G/510513/1FA101"/>
    <s v="002"/>
    <n v="9242.93"/>
    <n v="0"/>
    <n v="0"/>
    <n v="9242.93"/>
    <n v="0"/>
    <n v="4920.67"/>
    <n v="4920.67"/>
    <n v="4322.26"/>
    <n v="4322.26"/>
    <n v="4322.26"/>
  </r>
  <r>
    <s v="51"/>
    <x v="1"/>
    <x v="2"/>
    <s v="OL41I060"/>
    <x v="42"/>
    <s v="A101"/>
    <s v="FORTALECIMIENTO INSTITUCIONAL"/>
    <s v="GC00A10100004D"/>
    <s v="GC00A10100004D REMUNERACION PERSONAL"/>
    <s v="51 GASTOS EN PERSONAL"/>
    <s v="510513 Encargos"/>
    <s v="G/510513/1IA101"/>
    <s v="002"/>
    <n v="3947.87"/>
    <n v="0"/>
    <n v="0"/>
    <n v="3947.87"/>
    <n v="0"/>
    <n v="0"/>
    <n v="0"/>
    <n v="3947.87"/>
    <n v="3947.87"/>
    <n v="3947.87"/>
  </r>
  <r>
    <s v="51"/>
    <x v="0"/>
    <x v="0"/>
    <s v="ZA01A000"/>
    <x v="1"/>
    <s v="A101"/>
    <s v="FORTALECIMIENTO INSTITUCIONAL"/>
    <s v="GC00A10100004D"/>
    <s v="GC00A10100004D REMUNERACION PERSONAL"/>
    <s v="51 GASTOS EN PERSONAL"/>
    <s v="510513 Encargos"/>
    <s v="G/510513/1AA101"/>
    <s v="002"/>
    <n v="21294.2"/>
    <n v="21626.65"/>
    <n v="0"/>
    <n v="42920.85"/>
    <n v="0"/>
    <n v="42898.35"/>
    <n v="42898.35"/>
    <n v="22.5"/>
    <n v="22.5"/>
    <n v="22.5"/>
  </r>
  <r>
    <s v="51"/>
    <x v="0"/>
    <x v="7"/>
    <s v="ZA01L000"/>
    <x v="14"/>
    <s v="A101"/>
    <s v="FORTALECIMIENTO INSTITUCIONAL"/>
    <s v="GC00A10100004D"/>
    <s v="GC00A10100004D REMUNERACION PERSONAL"/>
    <s v="51 GASTOS EN PERSONAL"/>
    <s v="510513 Encargos"/>
    <s v="G/510513/1LA101"/>
    <s v="002"/>
    <n v="1696.45"/>
    <n v="0"/>
    <n v="0"/>
    <n v="1696.45"/>
    <n v="0"/>
    <n v="0"/>
    <n v="0"/>
    <n v="1696.45"/>
    <n v="1696.45"/>
    <n v="1696.45"/>
  </r>
  <r>
    <s v="51"/>
    <x v="1"/>
    <x v="3"/>
    <s v="ZA01M000"/>
    <x v="6"/>
    <s v="A101"/>
    <s v="FORTALECIMIENTO INSTITUCIONAL"/>
    <s v="GC00A10100004D"/>
    <s v="GC00A10100004D REMUNERACION PERSONAL"/>
    <s v="51 GASTOS EN PERSONAL"/>
    <s v="510513 Encargos"/>
    <s v="G/510513/1MA101"/>
    <s v="002"/>
    <n v="2706.32"/>
    <n v="2477"/>
    <n v="0"/>
    <n v="5183.32"/>
    <n v="0"/>
    <n v="5183.22"/>
    <n v="5183.22"/>
    <n v="0.1"/>
    <n v="0.1"/>
    <n v="0.1"/>
  </r>
  <r>
    <s v="51"/>
    <x v="0"/>
    <x v="1"/>
    <s v="ZA01C000"/>
    <x v="19"/>
    <s v="A101"/>
    <s v="FORTALECIMIENTO INSTITUCIONAL"/>
    <s v="GC00A10100004D"/>
    <s v="GC00A10100004D REMUNERACION PERSONAL"/>
    <s v="51 GASTOS EN PERSONAL"/>
    <s v="510513 Encargos"/>
    <s v="G/510513/1CA101"/>
    <s v="002"/>
    <n v="83700.19"/>
    <n v="0"/>
    <n v="0"/>
    <n v="83700.19"/>
    <n v="0"/>
    <n v="31330.67"/>
    <n v="31330.67"/>
    <n v="52369.52"/>
    <n v="52369.52"/>
    <n v="52369.52"/>
  </r>
  <r>
    <s v="51"/>
    <x v="2"/>
    <x v="8"/>
    <s v="ZA01P000"/>
    <x v="15"/>
    <s v="A101"/>
    <s v="FORTALECIMIENTO INSTITUCIONAL"/>
    <s v="GC00A10100004D"/>
    <s v="GC00A10100004D REMUNERACION PERSONAL"/>
    <s v="51 GASTOS EN PERSONAL"/>
    <s v="510513 Encargos"/>
    <s v="G/510513/1PA101"/>
    <s v="002"/>
    <n v="3085.3"/>
    <n v="1221.3599999999999"/>
    <n v="0"/>
    <n v="4306.66"/>
    <n v="0"/>
    <n v="4306.66"/>
    <n v="4306.66"/>
    <n v="0"/>
    <n v="0"/>
    <n v="0"/>
  </r>
  <r>
    <s v="51"/>
    <x v="1"/>
    <x v="13"/>
    <s v="ZA01G000"/>
    <x v="29"/>
    <s v="A101"/>
    <s v="FORTALECIMIENTO INSTITUCIONAL"/>
    <s v="GC00A10100004D"/>
    <s v="GC00A10100004D REMUNERACION PERSONAL"/>
    <s v="51 GASTOS EN PERSONAL"/>
    <s v="510513 Encargos"/>
    <s v="G/510513/1GA101"/>
    <s v="002"/>
    <n v="9360.64"/>
    <n v="2324.36"/>
    <n v="0"/>
    <n v="11685"/>
    <n v="0"/>
    <n v="11685"/>
    <n v="11685"/>
    <n v="0"/>
    <n v="0"/>
    <n v="0"/>
  </r>
  <r>
    <s v="51"/>
    <x v="2"/>
    <x v="5"/>
    <s v="ZA01N000"/>
    <x v="10"/>
    <s v="A101"/>
    <s v="FORTALECIMIENTO INSTITUCIONAL"/>
    <s v="GC00A10100004D"/>
    <s v="GC00A10100004D REMUNERACION PERSONAL"/>
    <s v="51 GASTOS EN PERSONAL"/>
    <s v="510513 Encargos"/>
    <s v="G/510513/1NA101"/>
    <s v="002"/>
    <n v="5981.41"/>
    <n v="170"/>
    <n v="0"/>
    <n v="6151.41"/>
    <n v="0"/>
    <n v="6147.83"/>
    <n v="6147.83"/>
    <n v="3.58"/>
    <n v="3.58"/>
    <n v="3.58"/>
  </r>
  <r>
    <s v="51"/>
    <x v="2"/>
    <x v="6"/>
    <s v="AT69K040"/>
    <x v="13"/>
    <s v="A101"/>
    <s v="FORTALECIMIENTO INSTITUCIONAL"/>
    <s v="GC00A10100004D"/>
    <s v="GC00A10100004D REMUNERACION PERSONAL"/>
    <s v="51 GASTOS EN PERSONAL"/>
    <s v="510513 Encargos"/>
    <s v="G/510513/1KA101"/>
    <s v="002"/>
    <n v="70517.399999999994"/>
    <n v="0"/>
    <n v="0"/>
    <n v="70517.399999999994"/>
    <n v="0"/>
    <n v="47764.14"/>
    <n v="47764.14"/>
    <n v="22753.26"/>
    <n v="22753.26"/>
    <n v="22753.26"/>
  </r>
  <r>
    <s v="51"/>
    <x v="1"/>
    <x v="3"/>
    <s v="UN31M010"/>
    <x v="11"/>
    <s v="A101"/>
    <s v="FORTALECIMIENTO INSTITUCIONAL"/>
    <s v="GC00A10100004D"/>
    <s v="GC00A10100004D REMUNERACION PERSONAL"/>
    <s v="51 GASTOS EN PERSONAL"/>
    <s v="510513 Encargos"/>
    <s v="G/510513/1MA101"/>
    <s v="002"/>
    <n v="7521.53"/>
    <n v="0"/>
    <n v="0"/>
    <n v="7521.53"/>
    <n v="0"/>
    <n v="183.3"/>
    <n v="183.3"/>
    <n v="7338.23"/>
    <n v="7338.23"/>
    <n v="7338.23"/>
  </r>
  <r>
    <s v="51"/>
    <x v="0"/>
    <x v="1"/>
    <s v="ZA01C030"/>
    <x v="3"/>
    <s v="A101"/>
    <s v="FORTALECIMIENTO INSTITUCIONAL"/>
    <s v="GC00A10100004D"/>
    <s v="GC00A10100004D REMUNERACION PERSONAL"/>
    <s v="51 GASTOS EN PERSONAL"/>
    <s v="510513 Encargos"/>
    <s v="G/510513/1CA101"/>
    <s v="002"/>
    <n v="10481.629999999999"/>
    <n v="2520"/>
    <n v="0"/>
    <n v="13001.63"/>
    <n v="0"/>
    <n v="13000"/>
    <n v="13000"/>
    <n v="1.63"/>
    <n v="1.63"/>
    <n v="1.63"/>
  </r>
  <r>
    <s v="51"/>
    <x v="1"/>
    <x v="2"/>
    <s v="ZA01I000"/>
    <x v="5"/>
    <s v="A101"/>
    <s v="FORTALECIMIENTO INSTITUCIONAL"/>
    <s v="GC00A10100004D"/>
    <s v="GC00A10100004D REMUNERACION PERSONAL"/>
    <s v="51 GASTOS EN PERSONAL"/>
    <s v="510513 Encargos"/>
    <s v="G/510513/1IA101"/>
    <s v="002"/>
    <n v="30404.33"/>
    <n v="0"/>
    <n v="0"/>
    <n v="30404.33"/>
    <n v="0"/>
    <n v="485.67"/>
    <n v="485.67"/>
    <n v="29918.66"/>
    <n v="29918.66"/>
    <n v="29918.66"/>
  </r>
  <r>
    <s v="51"/>
    <x v="2"/>
    <x v="11"/>
    <s v="ZD07F070"/>
    <x v="43"/>
    <s v="A101"/>
    <s v="FORTALECIMIENTO INSTITUCIONAL"/>
    <s v="GC00A10100004D"/>
    <s v="GC00A10100004D REMUNERACION PERSONAL"/>
    <s v="51 GASTOS EN PERSONAL"/>
    <s v="510513 Encargos"/>
    <s v="G/510513/1FA101"/>
    <s v="002"/>
    <n v="5216.28"/>
    <n v="0"/>
    <n v="0"/>
    <n v="5216.28"/>
    <n v="0"/>
    <n v="3248.83"/>
    <n v="3248.83"/>
    <n v="1967.45"/>
    <n v="1967.45"/>
    <n v="1967.45"/>
  </r>
  <r>
    <s v="51"/>
    <x v="0"/>
    <x v="0"/>
    <s v="RP36A010"/>
    <x v="2"/>
    <s v="A101"/>
    <s v="FORTALECIMIENTO INSTITUCIONAL"/>
    <s v="GC00A10100004D"/>
    <s v="GC00A10100004D REMUNERACION PERSONAL"/>
    <s v="51 GASTOS EN PERSONAL"/>
    <s v="510513 Encargos"/>
    <s v="G/510513/1AA101"/>
    <s v="002"/>
    <n v="11841.14"/>
    <n v="0"/>
    <n v="0"/>
    <n v="11841.14"/>
    <n v="0"/>
    <n v="10966.67"/>
    <n v="10966.67"/>
    <n v="874.47"/>
    <n v="874.47"/>
    <n v="874.47"/>
  </r>
  <r>
    <s v="51"/>
    <x v="1"/>
    <x v="3"/>
    <s v="UC32M020"/>
    <x v="7"/>
    <s v="A101"/>
    <s v="FORTALECIMIENTO INSTITUCIONAL"/>
    <s v="GC00A10100004D"/>
    <s v="GC00A10100004D REMUNERACION PERSONAL"/>
    <s v="51 GASTOS EN PERSONAL"/>
    <s v="510513 Encargos"/>
    <s v="G/510513/1MA101"/>
    <s v="002"/>
    <n v="7270.8"/>
    <n v="0"/>
    <n v="0"/>
    <n v="7270.8"/>
    <n v="0"/>
    <n v="3735.47"/>
    <n v="3735.47"/>
    <n v="3535.33"/>
    <n v="3535.33"/>
    <n v="3535.33"/>
  </r>
  <r>
    <s v="51"/>
    <x v="1"/>
    <x v="3"/>
    <s v="US33M030"/>
    <x v="8"/>
    <s v="A101"/>
    <s v="FORTALECIMIENTO INSTITUCIONAL"/>
    <s v="GC00A10100004D"/>
    <s v="GC00A10100004D REMUNERACION PERSONAL"/>
    <s v="51 GASTOS EN PERSONAL"/>
    <s v="510513 Encargos"/>
    <s v="G/510513/1MA101"/>
    <s v="002"/>
    <n v="10573.35"/>
    <n v="0"/>
    <n v="0"/>
    <n v="10573.35"/>
    <n v="0"/>
    <n v="0"/>
    <n v="0"/>
    <n v="10573.35"/>
    <n v="10573.35"/>
    <n v="10573.35"/>
  </r>
  <r>
    <s v="51"/>
    <x v="2"/>
    <x v="8"/>
    <s v="FS66P020"/>
    <x v="36"/>
    <s v="A101"/>
    <s v="FORTALECIMIENTO INSTITUCIONAL"/>
    <s v="GC00A10100004D"/>
    <s v="GC00A10100004D REMUNERACION PERSONAL"/>
    <s v="51 GASTOS EN PERSONAL"/>
    <s v="510513 Encargos"/>
    <s v="G/510513/1PA101"/>
    <s v="002"/>
    <n v="6068.08"/>
    <n v="-2468.08"/>
    <n v="0"/>
    <n v="3600"/>
    <n v="0"/>
    <n v="3600"/>
    <n v="3600"/>
    <n v="0"/>
    <n v="0"/>
    <n v="0"/>
  </r>
  <r>
    <s v="51"/>
    <x v="2"/>
    <x v="11"/>
    <s v="ZQ08F080"/>
    <x v="39"/>
    <s v="A101"/>
    <s v="FORTALECIMIENTO INSTITUCIONAL"/>
    <s v="GC00A10100004D"/>
    <s v="GC00A10100004D REMUNERACION PERSONAL"/>
    <s v="51 GASTOS EN PERSONAL"/>
    <s v="510513 Encargos"/>
    <s v="G/510513/1FA101"/>
    <s v="002"/>
    <n v="9413.1200000000008"/>
    <n v="0"/>
    <n v="0"/>
    <n v="9413.1200000000008"/>
    <n v="0"/>
    <n v="5934.97"/>
    <n v="5934.97"/>
    <n v="3478.15"/>
    <n v="3478.15"/>
    <n v="3478.15"/>
  </r>
  <r>
    <s v="51"/>
    <x v="2"/>
    <x v="11"/>
    <s v="ZV05F050"/>
    <x v="37"/>
    <s v="A101"/>
    <s v="FORTALECIMIENTO INSTITUCIONAL"/>
    <s v="GC00A10100004D"/>
    <s v="GC00A10100004D REMUNERACION PERSONAL"/>
    <s v="51 GASTOS EN PERSONAL"/>
    <s v="510513 Encargos"/>
    <s v="G/510513/1FA101"/>
    <s v="002"/>
    <n v="12479.8"/>
    <n v="1025"/>
    <n v="0"/>
    <n v="13504.8"/>
    <n v="0"/>
    <n v="4189.1400000000003"/>
    <n v="4189.1400000000003"/>
    <n v="9315.66"/>
    <n v="9315.66"/>
    <n v="9315.66"/>
  </r>
  <r>
    <s v="51"/>
    <x v="1"/>
    <x v="2"/>
    <s v="EQ13I030"/>
    <x v="20"/>
    <s v="A101"/>
    <s v="FORTALECIMIENTO INSTITUCIONAL"/>
    <s v="GC00A10100004D"/>
    <s v="GC00A10100004D REMUNERACION PERSONAL"/>
    <s v="51 GASTOS EN PERSONAL"/>
    <s v="510513 Encargos"/>
    <s v="G/510513/1IA101"/>
    <s v="002"/>
    <n v="14090.81"/>
    <n v="0"/>
    <n v="0"/>
    <n v="14090.81"/>
    <n v="0"/>
    <n v="4380"/>
    <n v="4380"/>
    <n v="9710.81"/>
    <n v="9710.81"/>
    <n v="9710.81"/>
  </r>
  <r>
    <s v="51"/>
    <x v="1"/>
    <x v="2"/>
    <s v="ES12I020"/>
    <x v="16"/>
    <s v="A101"/>
    <s v="FORTALECIMIENTO INSTITUCIONAL"/>
    <s v="GC00A10100004D"/>
    <s v="GC00A10100004D REMUNERACION PERSONAL"/>
    <s v="51 GASTOS EN PERSONAL"/>
    <s v="510513 Encargos"/>
    <s v="G/510513/1IA101"/>
    <s v="002"/>
    <n v="12851.93"/>
    <n v="0"/>
    <n v="0"/>
    <n v="12851.93"/>
    <n v="0"/>
    <n v="0"/>
    <n v="0"/>
    <n v="12851.93"/>
    <n v="12851.93"/>
    <n v="12851.93"/>
  </r>
  <r>
    <s v="51"/>
    <x v="2"/>
    <x v="10"/>
    <s v="ZA01D000"/>
    <x v="24"/>
    <s v="A101"/>
    <s v="FORTALECIMIENTO INSTITUCIONAL"/>
    <s v="GC00A10100004D"/>
    <s v="GC00A10100004D REMUNERACION PERSONAL"/>
    <s v="51 GASTOS EN PERSONAL"/>
    <s v="510513 Encargos"/>
    <s v="G/510513/1DA101"/>
    <s v="002"/>
    <n v="3326.09"/>
    <n v="0"/>
    <n v="0"/>
    <n v="3326.09"/>
    <n v="0"/>
    <n v="2806.8"/>
    <n v="2806.8"/>
    <n v="519.29"/>
    <n v="519.29"/>
    <n v="519.29"/>
  </r>
  <r>
    <s v="51"/>
    <x v="3"/>
    <x v="15"/>
    <s v="AC67Q000"/>
    <x v="32"/>
    <s v="A101"/>
    <s v="FORTALECIMIENTO INSTITUCIONAL"/>
    <s v="GC00A10100004D"/>
    <s v="GC00A10100004D REMUNERACION PERSONAL"/>
    <s v="51 GASTOS EN PERSONAL"/>
    <s v="510513 Encargos"/>
    <s v="G/510513/2QA101"/>
    <s v="002"/>
    <n v="4918.47"/>
    <n v="0"/>
    <n v="0"/>
    <n v="4918.47"/>
    <n v="0"/>
    <n v="1706.73"/>
    <n v="1706.73"/>
    <n v="3211.74"/>
    <n v="3211.74"/>
    <n v="3211.74"/>
  </r>
  <r>
    <s v="51"/>
    <x v="1"/>
    <x v="2"/>
    <s v="EE11I010"/>
    <x v="21"/>
    <s v="A101"/>
    <s v="FORTALECIMIENTO INSTITUCIONAL"/>
    <s v="GC00A10100004D"/>
    <s v="GC00A10100004D REMUNERACION PERSONAL"/>
    <s v="51 GASTOS EN PERSONAL"/>
    <s v="510513 Encargos"/>
    <s v="G/510513/1IA101"/>
    <s v="002"/>
    <n v="2749.61"/>
    <n v="0"/>
    <n v="0"/>
    <n v="2749.61"/>
    <n v="0"/>
    <n v="0"/>
    <n v="0"/>
    <n v="2749.61"/>
    <n v="2749.61"/>
    <n v="2749.61"/>
  </r>
  <r>
    <s v="51"/>
    <x v="1"/>
    <x v="2"/>
    <s v="CF22I050"/>
    <x v="22"/>
    <s v="A101"/>
    <s v="FORTALECIMIENTO INSTITUCIONAL"/>
    <s v="GC00A10100004D"/>
    <s v="GC00A10100004D REMUNERACION PERSONAL"/>
    <s v="51 GASTOS EN PERSONAL"/>
    <s v="510513 Encargos"/>
    <s v="G/510513/1IA101"/>
    <s v="002"/>
    <n v="7810.62"/>
    <n v="0"/>
    <n v="0"/>
    <n v="7810.62"/>
    <n v="0"/>
    <n v="5170"/>
    <n v="5170"/>
    <n v="2640.62"/>
    <n v="2640.62"/>
    <n v="2640.62"/>
  </r>
  <r>
    <s v="51"/>
    <x v="2"/>
    <x v="11"/>
    <s v="ZA01F000"/>
    <x v="31"/>
    <s v="A101"/>
    <s v="FORTALECIMIENTO INSTITUCIONAL"/>
    <s v="GC00A10100004D"/>
    <s v="GC00A10100004D REMUNERACION PERSONAL"/>
    <s v="51 GASTOS EN PERSONAL"/>
    <s v="510513 Encargos"/>
    <s v="G/510513/1FA101"/>
    <s v="002"/>
    <n v="11936.24"/>
    <n v="0"/>
    <n v="0"/>
    <n v="11936.24"/>
    <n v="0"/>
    <n v="550"/>
    <n v="550"/>
    <n v="11386.24"/>
    <n v="11386.24"/>
    <n v="11386.24"/>
  </r>
  <r>
    <s v="51"/>
    <x v="2"/>
    <x v="11"/>
    <s v="TM68F100"/>
    <x v="34"/>
    <s v="A101"/>
    <s v="FORTALECIMIENTO INSTITUCIONAL"/>
    <s v="GC00A10100004D"/>
    <s v="GC00A10100004D REMUNERACION PERSONAL"/>
    <s v="51 GASTOS EN PERSONAL"/>
    <s v="510513 Encargos"/>
    <s v="G/510513/1FA101"/>
    <s v="002"/>
    <n v="7409.36"/>
    <n v="0"/>
    <n v="0"/>
    <n v="7409.36"/>
    <n v="0"/>
    <n v="780"/>
    <n v="780"/>
    <n v="6629.36"/>
    <n v="6629.36"/>
    <n v="6629.36"/>
  </r>
  <r>
    <s v="51"/>
    <x v="1"/>
    <x v="2"/>
    <s v="CB21I040"/>
    <x v="23"/>
    <s v="A101"/>
    <s v="FORTALECIMIENTO INSTITUCIONAL"/>
    <s v="GC00A10100004D"/>
    <s v="GC00A10100004D REMUNERACION PERSONAL"/>
    <s v="51 GASTOS EN PERSONAL"/>
    <s v="510513 Encargos"/>
    <s v="G/510513/1IA101"/>
    <s v="002"/>
    <n v="2352.56"/>
    <n v="0"/>
    <n v="0"/>
    <n v="2352.56"/>
    <n v="0"/>
    <n v="0"/>
    <n v="0"/>
    <n v="2352.56"/>
    <n v="2352.56"/>
    <n v="2352.56"/>
  </r>
  <r>
    <s v="51"/>
    <x v="2"/>
    <x v="11"/>
    <s v="ZS03F030"/>
    <x v="38"/>
    <s v="A101"/>
    <s v="FORTALECIMIENTO INSTITUCIONAL"/>
    <s v="GC00A10100004D"/>
    <s v="GC00A10100004D REMUNERACION PERSONAL"/>
    <s v="51 GASTOS EN PERSONAL"/>
    <s v="510513 Encargos"/>
    <s v="G/510513/1FA101"/>
    <s v="002"/>
    <n v="4445.4399999999996"/>
    <n v="0"/>
    <n v="0"/>
    <n v="4445.4399999999996"/>
    <n v="0"/>
    <n v="0"/>
    <n v="0"/>
    <n v="4445.4399999999996"/>
    <n v="4445.4399999999996"/>
    <n v="4445.4399999999996"/>
  </r>
  <r>
    <s v="51"/>
    <x v="2"/>
    <x v="11"/>
    <s v="ZC09F090"/>
    <x v="44"/>
    <s v="A101"/>
    <s v="FORTALECIMIENTO INSTITUCIONAL"/>
    <s v="GC00A10100004D"/>
    <s v="GC00A10100004D REMUNERACION PERSONAL"/>
    <s v="51 GASTOS EN PERSONAL"/>
    <s v="510513 Encargos"/>
    <s v="G/510513/1FA101"/>
    <s v="002"/>
    <n v="27767.72"/>
    <n v="0"/>
    <n v="0"/>
    <n v="27767.72"/>
    <n v="0"/>
    <n v="0"/>
    <n v="0"/>
    <n v="27767.72"/>
    <n v="27767.72"/>
    <n v="27767.72"/>
  </r>
  <r>
    <s v="51"/>
    <x v="2"/>
    <x v="5"/>
    <s v="PM71N010"/>
    <x v="27"/>
    <s v="A101"/>
    <s v="FORTALECIMIENTO INSTITUCIONAL"/>
    <s v="GC00A10100004D"/>
    <s v="GC00A10100004D REMUNERACION PERSONAL"/>
    <s v="51 GASTOS EN PERSONAL"/>
    <s v="510513 Encargos"/>
    <s v="G/510513/1NA101"/>
    <s v="002"/>
    <n v="38030.15"/>
    <n v="0"/>
    <n v="0"/>
    <n v="38030.15"/>
    <n v="0"/>
    <n v="0"/>
    <n v="0"/>
    <n v="38030.15"/>
    <n v="38030.15"/>
    <n v="38030.15"/>
  </r>
  <r>
    <s v="51"/>
    <x v="1"/>
    <x v="2"/>
    <s v="JM40I070"/>
    <x v="12"/>
    <s v="A101"/>
    <s v="FORTALECIMIENTO INSTITUCIONAL"/>
    <s v="GC00A10100004D"/>
    <s v="GC00A10100004D REMUNERACION PERSONAL"/>
    <s v="51 GASTOS EN PERSONAL"/>
    <s v="510513 Encargos"/>
    <s v="G/510513/1IA101"/>
    <s v="002"/>
    <n v="35160.74"/>
    <n v="0"/>
    <n v="0"/>
    <n v="35160.74"/>
    <n v="0"/>
    <n v="6500"/>
    <n v="6500"/>
    <n v="28660.74"/>
    <n v="28660.74"/>
    <n v="28660.74"/>
  </r>
  <r>
    <s v="51"/>
    <x v="0"/>
    <x v="12"/>
    <s v="MC37B000"/>
    <x v="28"/>
    <s v="A101"/>
    <s v="FORTALECIMIENTO INSTITUCIONAL"/>
    <s v="GC00A10100004D"/>
    <s v="GC00A10100004D REMUNERACION PERSONAL"/>
    <s v="51 GASTOS EN PERSONAL"/>
    <s v="510513 Encargos"/>
    <s v="G/510513/1BA101"/>
    <s v="002"/>
    <n v="4918.47"/>
    <n v="6264"/>
    <n v="0"/>
    <n v="11182.47"/>
    <n v="0"/>
    <n v="4566.3"/>
    <n v="4566.3"/>
    <n v="6616.17"/>
    <n v="6616.17"/>
    <n v="6616.17"/>
  </r>
  <r>
    <s v="51"/>
    <x v="2"/>
    <x v="11"/>
    <s v="ZT06F060"/>
    <x v="25"/>
    <s v="A101"/>
    <s v="FORTALECIMIENTO INSTITUCIONAL"/>
    <s v="GC00A10100004D"/>
    <s v="GC00A10100004D REMUNERACION PERSONAL"/>
    <s v="51 GASTOS EN PERSONAL"/>
    <s v="510513 Encargos"/>
    <s v="G/510513/1FA101"/>
    <s v="002"/>
    <n v="16555.189999999999"/>
    <n v="3559.3"/>
    <n v="0"/>
    <n v="20114.490000000002"/>
    <n v="0"/>
    <n v="20111.75"/>
    <n v="20111.75"/>
    <n v="2.74"/>
    <n v="2.74"/>
    <n v="2.74"/>
  </r>
  <r>
    <s v="51"/>
    <x v="1"/>
    <x v="2"/>
    <s v="MB42I090"/>
    <x v="26"/>
    <s v="A101"/>
    <s v="FORTALECIMIENTO INSTITUCIONAL"/>
    <s v="GC00A10100004D"/>
    <s v="GC00A10100004D REMUNERACION PERSONAL"/>
    <s v="51 GASTOS EN PERSONAL"/>
    <s v="510513 Encargos"/>
    <s v="G/510513/1IA101"/>
    <s v="002"/>
    <n v="6233.19"/>
    <n v="0"/>
    <n v="0"/>
    <n v="6233.19"/>
    <n v="0"/>
    <n v="0"/>
    <n v="0"/>
    <n v="6233.19"/>
    <n v="6233.19"/>
    <n v="6233.19"/>
  </r>
  <r>
    <s v="51"/>
    <x v="3"/>
    <x v="14"/>
    <s v="ZA01H000"/>
    <x v="30"/>
    <s v="A101"/>
    <s v="FORTALECIMIENTO INSTITUCIONAL"/>
    <s v="GC00A10100004D"/>
    <s v="GC00A10100004D REMUNERACION PERSONAL"/>
    <s v="51 GASTOS EN PERSONAL"/>
    <s v="510513 Encargos"/>
    <s v="G/510513/1HA101"/>
    <s v="002"/>
    <n v="1653.28"/>
    <n v="-1653.28"/>
    <n v="0"/>
    <n v="0"/>
    <n v="0"/>
    <n v="0"/>
    <n v="0"/>
    <n v="0"/>
    <n v="0"/>
    <n v="0"/>
  </r>
  <r>
    <s v="51"/>
    <x v="1"/>
    <x v="3"/>
    <s v="UN31M010"/>
    <x v="11"/>
    <s v="A101"/>
    <s v="FORTALECIMIENTO INSTITUCIONAL"/>
    <s v="GC00A10100004D"/>
    <s v="GC00A10100004D REMUNERACION PERSONAL"/>
    <s v="51 GASTOS EN PERSONAL"/>
    <s v="510601 Aporte Patronal"/>
    <s v="G/510601/1MA101"/>
    <s v="002"/>
    <n v="316003.33"/>
    <n v="-5989.35"/>
    <n v="0"/>
    <n v="310013.98"/>
    <n v="27994.6"/>
    <n v="224767.52"/>
    <n v="224684.16"/>
    <n v="85246.46"/>
    <n v="85329.82"/>
    <n v="57251.86"/>
  </r>
  <r>
    <s v="51"/>
    <x v="1"/>
    <x v="2"/>
    <s v="JM40I070"/>
    <x v="12"/>
    <s v="A101"/>
    <s v="FORTALECIMIENTO INSTITUCIONAL"/>
    <s v="GC00A10100004D"/>
    <s v="GC00A10100004D REMUNERACION PERSONAL"/>
    <s v="51 GASTOS EN PERSONAL"/>
    <s v="510601 Aporte Patronal"/>
    <s v="G/510601/1IA101"/>
    <s v="001"/>
    <n v="0"/>
    <n v="1240.21"/>
    <n v="0"/>
    <n v="1240.21"/>
    <n v="535.71"/>
    <n v="704.5"/>
    <n v="704.5"/>
    <n v="535.71"/>
    <n v="535.71"/>
    <n v="0"/>
  </r>
  <r>
    <s v="51"/>
    <x v="1"/>
    <x v="4"/>
    <s v="ZA01J000"/>
    <x v="9"/>
    <s v="A101"/>
    <s v="FORTALECIMIENTO INSTITUCIONAL"/>
    <s v="GC00A10100004D"/>
    <s v="GC00A10100004D REMUNERACION PERSONAL"/>
    <s v="51 GASTOS EN PERSONAL"/>
    <s v="510601 Aporte Patronal"/>
    <s v="G/510601/1JA101"/>
    <s v="002"/>
    <n v="90000.7"/>
    <n v="34781.93"/>
    <n v="0"/>
    <n v="124782.63"/>
    <n v="5097.9399999999996"/>
    <n v="70651.42"/>
    <n v="70651.42"/>
    <n v="54131.21"/>
    <n v="54131.21"/>
    <n v="49033.27"/>
  </r>
  <r>
    <s v="51"/>
    <x v="1"/>
    <x v="3"/>
    <s v="ZA01M000"/>
    <x v="6"/>
    <s v="A101"/>
    <s v="FORTALECIMIENTO INSTITUCIONAL"/>
    <s v="GC00A10100004D"/>
    <s v="GC00A10100004D REMUNERACION PERSONAL"/>
    <s v="51 GASTOS EN PERSONAL"/>
    <s v="510601 Aporte Patronal"/>
    <s v="G/510601/1MA101"/>
    <s v="002"/>
    <n v="186999.8"/>
    <n v="-16877.23"/>
    <n v="0"/>
    <n v="170122.57"/>
    <n v="26541.8"/>
    <n v="119442.76"/>
    <n v="119442.76"/>
    <n v="50679.81"/>
    <n v="50679.81"/>
    <n v="24138.01"/>
  </r>
  <r>
    <s v="51"/>
    <x v="1"/>
    <x v="3"/>
    <s v="US33M030"/>
    <x v="8"/>
    <s v="A101"/>
    <s v="FORTALECIMIENTO INSTITUCIONAL"/>
    <s v="GC00A10100004D"/>
    <s v="GC00A10100004D REMUNERACION PERSONAL"/>
    <s v="51 GASTOS EN PERSONAL"/>
    <s v="510601 Aporte Patronal"/>
    <s v="G/510601/1MA101"/>
    <s v="002"/>
    <n v="455986.48"/>
    <n v="18372.07"/>
    <n v="0"/>
    <n v="474358.55"/>
    <n v="16021.55"/>
    <n v="325764.38"/>
    <n v="325764.38"/>
    <n v="148594.17000000001"/>
    <n v="148594.17000000001"/>
    <n v="132572.62"/>
  </r>
  <r>
    <s v="51"/>
    <x v="1"/>
    <x v="13"/>
    <s v="ZA01G000"/>
    <x v="29"/>
    <s v="A101"/>
    <s v="FORTALECIMIENTO INSTITUCIONAL"/>
    <s v="GC00A10100004D"/>
    <s v="GC00A10100004D REMUNERACION PERSONAL"/>
    <s v="51 GASTOS EN PERSONAL"/>
    <s v="510601 Aporte Patronal"/>
    <s v="G/510601/1GA101"/>
    <s v="002"/>
    <n v="348877.76"/>
    <n v="1365.95"/>
    <n v="0"/>
    <n v="350243.71"/>
    <n v="4204.82"/>
    <n v="267421.89"/>
    <n v="267421.89"/>
    <n v="82821.820000000007"/>
    <n v="82821.820000000007"/>
    <n v="78617"/>
  </r>
  <r>
    <s v="51"/>
    <x v="2"/>
    <x v="5"/>
    <s v="ZA01N000"/>
    <x v="10"/>
    <s v="A101"/>
    <s v="FORTALECIMIENTO INSTITUCIONAL"/>
    <s v="GC00A10100004D"/>
    <s v="GC00A10100004D REMUNERACION PERSONAL"/>
    <s v="51 GASTOS EN PERSONAL"/>
    <s v="510601 Aporte Patronal"/>
    <s v="G/510601/1NA101"/>
    <s v="002"/>
    <n v="432810.25"/>
    <n v="-35081.43"/>
    <n v="0"/>
    <n v="397728.82"/>
    <n v="8686.5"/>
    <n v="326107.53999999998"/>
    <n v="326107.53999999998"/>
    <n v="71621.279999999999"/>
    <n v="71621.279999999999"/>
    <n v="62934.78"/>
  </r>
  <r>
    <s v="51"/>
    <x v="1"/>
    <x v="2"/>
    <s v="MB42I090"/>
    <x v="26"/>
    <s v="A101"/>
    <s v="FORTALECIMIENTO INSTITUCIONAL"/>
    <s v="GC00A10100004D"/>
    <s v="GC00A10100004D REMUNERACION PERSONAL"/>
    <s v="51 GASTOS EN PERSONAL"/>
    <s v="510601 Aporte Patronal"/>
    <s v="G/510601/1IA101"/>
    <s v="001"/>
    <n v="0"/>
    <n v="2480.41"/>
    <n v="0"/>
    <n v="2480.41"/>
    <n v="1320.41"/>
    <n v="1160"/>
    <n v="1160"/>
    <n v="1320.41"/>
    <n v="1320.41"/>
    <n v="0"/>
  </r>
  <r>
    <s v="51"/>
    <x v="1"/>
    <x v="2"/>
    <s v="EQ13I030"/>
    <x v="20"/>
    <s v="A101"/>
    <s v="FORTALECIMIENTO INSTITUCIONAL"/>
    <s v="GC00A10100004D"/>
    <s v="GC00A10100004D REMUNERACION PERSONAL"/>
    <s v="51 GASTOS EN PERSONAL"/>
    <s v="510601 Aporte Patronal"/>
    <s v="G/510601/1IA101"/>
    <s v="001"/>
    <n v="0"/>
    <n v="1240.21"/>
    <n v="0"/>
    <n v="1240.21"/>
    <n v="556.96"/>
    <n v="683.25"/>
    <n v="683.25"/>
    <n v="556.96"/>
    <n v="556.96"/>
    <n v="0"/>
  </r>
  <r>
    <s v="51"/>
    <x v="1"/>
    <x v="2"/>
    <s v="OL41I060"/>
    <x v="42"/>
    <s v="A101"/>
    <s v="FORTALECIMIENTO INSTITUCIONAL"/>
    <s v="GC00A10100004D"/>
    <s v="GC00A10100004D REMUNERACION PERSONAL"/>
    <s v="51 GASTOS EN PERSONAL"/>
    <s v="510601 Aporte Patronal"/>
    <s v="G/510601/1IA101"/>
    <s v="001"/>
    <n v="0"/>
    <n v="2480.41"/>
    <n v="0"/>
    <n v="2480.41"/>
    <n v="2024.91"/>
    <n v="455.5"/>
    <n v="455.5"/>
    <n v="2024.91"/>
    <n v="2024.91"/>
    <n v="0"/>
  </r>
  <r>
    <s v="51"/>
    <x v="1"/>
    <x v="2"/>
    <s v="EE11I010"/>
    <x v="21"/>
    <s v="A101"/>
    <s v="FORTALECIMIENTO INSTITUCIONAL"/>
    <s v="GC00A10100004D"/>
    <s v="GC00A10100004D REMUNERACION PERSONAL"/>
    <s v="51 GASTOS EN PERSONAL"/>
    <s v="510601 Aporte Patronal"/>
    <s v="G/510601/1IA101"/>
    <s v="001"/>
    <n v="0"/>
    <n v="2480.41"/>
    <n v="0"/>
    <n v="2480.41"/>
    <n v="1320.41"/>
    <n v="1160"/>
    <n v="1160"/>
    <n v="1320.41"/>
    <n v="1320.41"/>
    <n v="0"/>
  </r>
  <r>
    <s v="51"/>
    <x v="1"/>
    <x v="2"/>
    <s v="CB21I040"/>
    <x v="23"/>
    <s v="A101"/>
    <s v="FORTALECIMIENTO INSTITUCIONAL"/>
    <s v="GC00A10100004D"/>
    <s v="GC00A10100004D REMUNERACION PERSONAL"/>
    <s v="51 GASTOS EN PERSONAL"/>
    <s v="510601 Aporte Patronal"/>
    <s v="G/510601/1IA101"/>
    <s v="001"/>
    <n v="0"/>
    <n v="2480.41"/>
    <n v="0"/>
    <n v="2480.41"/>
    <n v="1739.47"/>
    <n v="740.94"/>
    <n v="740.94"/>
    <n v="1739.47"/>
    <n v="1739.47"/>
    <n v="0"/>
  </r>
  <r>
    <s v="51"/>
    <x v="1"/>
    <x v="2"/>
    <s v="CF22I050"/>
    <x v="22"/>
    <s v="A101"/>
    <s v="FORTALECIMIENTO INSTITUCIONAL"/>
    <s v="GC00A10100004D"/>
    <s v="GC00A10100004D REMUNERACION PERSONAL"/>
    <s v="51 GASTOS EN PERSONAL"/>
    <s v="510601 Aporte Patronal"/>
    <s v="G/510601/1IA101"/>
    <s v="001"/>
    <n v="0"/>
    <n v="1240.21"/>
    <n v="0"/>
    <n v="1240.21"/>
    <n v="784.71"/>
    <n v="455.5"/>
    <n v="455.5"/>
    <n v="784.71"/>
    <n v="784.71"/>
    <n v="0"/>
  </r>
  <r>
    <s v="51"/>
    <x v="1"/>
    <x v="3"/>
    <s v="UC32M020"/>
    <x v="7"/>
    <s v="A101"/>
    <s v="FORTALECIMIENTO INSTITUCIONAL"/>
    <s v="GC00A10100004D"/>
    <s v="GC00A10100004D REMUNERACION PERSONAL"/>
    <s v="51 GASTOS EN PERSONAL"/>
    <s v="510601 Aporte Patronal"/>
    <s v="G/510601/1MA101"/>
    <s v="002"/>
    <n v="362403.38"/>
    <n v="-171247.84"/>
    <n v="0"/>
    <n v="191155.54"/>
    <n v="11353.89"/>
    <n v="166631.42000000001"/>
    <n v="166631.42000000001"/>
    <n v="24524.12"/>
    <n v="24524.12"/>
    <n v="13170.23"/>
  </r>
  <r>
    <s v="51"/>
    <x v="1"/>
    <x v="2"/>
    <s v="ZA01I000"/>
    <x v="5"/>
    <s v="A101"/>
    <s v="FORTALECIMIENTO INSTITUCIONAL"/>
    <s v="GC00A10100004D"/>
    <s v="GC00A10100004D REMUNERACION PERSONAL"/>
    <s v="51 GASTOS EN PERSONAL"/>
    <s v="510601 Aporte Patronal"/>
    <s v="G/510601/1IA101"/>
    <s v="002"/>
    <n v="680530.36"/>
    <n v="-128086.92"/>
    <n v="0"/>
    <n v="552443.43999999994"/>
    <n v="33219.86"/>
    <n v="398798.29"/>
    <n v="398798.29"/>
    <n v="153645.15"/>
    <n v="153645.15"/>
    <n v="120425.29"/>
  </r>
  <r>
    <s v="51"/>
    <x v="2"/>
    <x v="5"/>
    <s v="PM71N010"/>
    <x v="27"/>
    <s v="A101"/>
    <s v="FORTALECIMIENTO INSTITUCIONAL"/>
    <s v="GC00A10100004D"/>
    <s v="GC00A10100004D REMUNERACION PERSONAL"/>
    <s v="51 GASTOS EN PERSONAL"/>
    <s v="510601 Aporte Patronal"/>
    <s v="G/510601/1NA101"/>
    <s v="002"/>
    <n v="1973331.61"/>
    <n v="0"/>
    <n v="0"/>
    <n v="1973331.61"/>
    <n v="58326.25"/>
    <n v="1563183.55"/>
    <n v="1563183.55"/>
    <n v="410148.06"/>
    <n v="410148.06"/>
    <n v="351821.81"/>
  </r>
  <r>
    <s v="51"/>
    <x v="1"/>
    <x v="2"/>
    <s v="ZA01I000"/>
    <x v="5"/>
    <s v="A101"/>
    <s v="FORTALECIMIENTO INSTITUCIONAL"/>
    <s v="GC00A10100004D"/>
    <s v="GC00A10100004D REMUNERACION PERSONAL"/>
    <s v="51 GASTOS EN PERSONAL"/>
    <s v="510601 Aporte Patronal"/>
    <s v="G/510601/1IA101"/>
    <s v="001"/>
    <n v="0"/>
    <n v="11781.91"/>
    <n v="0"/>
    <n v="11781.91"/>
    <n v="9680.5"/>
    <n v="704.5"/>
    <n v="704.5"/>
    <n v="11077.41"/>
    <n v="11077.41"/>
    <n v="1396.91"/>
  </r>
  <r>
    <s v="51"/>
    <x v="2"/>
    <x v="11"/>
    <s v="ZA01F000"/>
    <x v="31"/>
    <s v="A101"/>
    <s v="FORTALECIMIENTO INSTITUCIONAL"/>
    <s v="GC00A10100004D"/>
    <s v="GC00A10100004D REMUNERACION PERSONAL"/>
    <s v="51 GASTOS EN PERSONAL"/>
    <s v="510601 Aporte Patronal"/>
    <s v="G/510601/1FA101"/>
    <s v="002"/>
    <n v="90137.32"/>
    <n v="464.51"/>
    <n v="0"/>
    <n v="90601.83"/>
    <n v="13941.99"/>
    <n v="57716.49"/>
    <n v="57716.49"/>
    <n v="32885.339999999997"/>
    <n v="32885.339999999997"/>
    <n v="18943.349999999999"/>
  </r>
  <r>
    <s v="51"/>
    <x v="0"/>
    <x v="1"/>
    <s v="ZA01C060"/>
    <x v="45"/>
    <s v="A101"/>
    <s v="FORTALECIMIENTO INSTITUCIONAL"/>
    <s v="GC00A10100004D"/>
    <s v="GC00A10100004D REMUNERACION PERSONAL"/>
    <s v="51 GASTOS EN PERSONAL"/>
    <s v="510601 Aporte Patronal"/>
    <s v="G/510601/1CA101"/>
    <s v="002"/>
    <n v="49344.11"/>
    <n v="0"/>
    <n v="0"/>
    <n v="49344.11"/>
    <n v="341.05"/>
    <n v="23612.99"/>
    <n v="23612.99"/>
    <n v="25731.119999999999"/>
    <n v="25731.119999999999"/>
    <n v="25390.07"/>
  </r>
  <r>
    <s v="51"/>
    <x v="0"/>
    <x v="9"/>
    <s v="ZA01E000"/>
    <x v="18"/>
    <s v="A101"/>
    <s v="FORTALECIMIENTO INSTITUCIONAL"/>
    <s v="GC00A10100004D"/>
    <s v="GC00A10100004D REMUNERACION PERSONAL"/>
    <s v="51 GASTOS EN PERSONAL"/>
    <s v="510601 Aporte Patronal"/>
    <s v="G/510601/1EA101"/>
    <s v="002"/>
    <n v="161652.18"/>
    <n v="-1100.04"/>
    <n v="0"/>
    <n v="160552.14000000001"/>
    <n v="14181.77"/>
    <n v="126476.84"/>
    <n v="126476.84"/>
    <n v="34075.300000000003"/>
    <n v="34075.300000000003"/>
    <n v="19893.53"/>
  </r>
  <r>
    <s v="51"/>
    <x v="2"/>
    <x v="10"/>
    <s v="ZA01D000"/>
    <x v="24"/>
    <s v="A101"/>
    <s v="FORTALECIMIENTO INSTITUCIONAL"/>
    <s v="GC00A10100004D"/>
    <s v="GC00A10100004D REMUNERACION PERSONAL"/>
    <s v="51 GASTOS EN PERSONAL"/>
    <s v="510601 Aporte Patronal"/>
    <s v="G/510601/1DA101"/>
    <s v="002"/>
    <n v="160063.41"/>
    <n v="-289.95"/>
    <n v="0"/>
    <n v="159773.46"/>
    <n v="246.56"/>
    <n v="124556.87"/>
    <n v="124556.87"/>
    <n v="35216.589999999997"/>
    <n v="35216.589999999997"/>
    <n v="34970.03"/>
  </r>
  <r>
    <s v="51"/>
    <x v="2"/>
    <x v="11"/>
    <s v="RB34F010"/>
    <x v="33"/>
    <s v="A101"/>
    <s v="FORTALECIMIENTO INSTITUCIONAL"/>
    <s v="GC00A10100004D"/>
    <s v="GC00A10100004D REMUNERACION PERSONAL"/>
    <s v="51 GASTOS EN PERSONAL"/>
    <s v="510601 Aporte Patronal"/>
    <s v="G/510601/1FA101"/>
    <s v="002"/>
    <n v="59221.73"/>
    <n v="-464.51"/>
    <n v="0"/>
    <n v="58757.22"/>
    <n v="632.5"/>
    <n v="48072.01"/>
    <n v="48072.01"/>
    <n v="10685.21"/>
    <n v="10685.21"/>
    <n v="10052.709999999999"/>
  </r>
  <r>
    <s v="51"/>
    <x v="2"/>
    <x v="11"/>
    <s v="ZT06F060"/>
    <x v="25"/>
    <s v="A101"/>
    <s v="FORTALECIMIENTO INSTITUCIONAL"/>
    <s v="GC00A10100004D"/>
    <s v="GC00A10100004D REMUNERACION PERSONAL"/>
    <s v="51 GASTOS EN PERSONAL"/>
    <s v="510601 Aporte Patronal"/>
    <s v="G/510601/1FA101"/>
    <s v="002"/>
    <n v="155426.1"/>
    <n v="0"/>
    <n v="0"/>
    <n v="155426.1"/>
    <n v="1280.4100000000001"/>
    <n v="113023.74"/>
    <n v="113023.74"/>
    <n v="42402.36"/>
    <n v="42402.36"/>
    <n v="41121.949999999997"/>
  </r>
  <r>
    <s v="51"/>
    <x v="1"/>
    <x v="2"/>
    <s v="OL41I060"/>
    <x v="42"/>
    <s v="A101"/>
    <s v="FORTALECIMIENTO INSTITUCIONAL"/>
    <s v="GC00A10100004D"/>
    <s v="GC00A10100004D REMUNERACION PERSONAL"/>
    <s v="51 GASTOS EN PERSONAL"/>
    <s v="510601 Aporte Patronal"/>
    <s v="G/510601/1IA101"/>
    <s v="002"/>
    <n v="90499.39"/>
    <n v="-769.47"/>
    <n v="0"/>
    <n v="89729.919999999998"/>
    <n v="0"/>
    <n v="73373.69"/>
    <n v="73373.69"/>
    <n v="16356.23"/>
    <n v="16356.23"/>
    <n v="16356.23"/>
  </r>
  <r>
    <s v="51"/>
    <x v="2"/>
    <x v="8"/>
    <s v="ZA01P000"/>
    <x v="15"/>
    <s v="A101"/>
    <s v="FORTALECIMIENTO INSTITUCIONAL"/>
    <s v="GC00A10100004D"/>
    <s v="GC00A10100004D REMUNERACION PERSONAL"/>
    <s v="51 GASTOS EN PERSONAL"/>
    <s v="510601 Aporte Patronal"/>
    <s v="G/510601/1PA101"/>
    <s v="002"/>
    <n v="157668.42000000001"/>
    <n v="0"/>
    <n v="0"/>
    <n v="157668.42000000001"/>
    <n v="969.61"/>
    <n v="125414.38"/>
    <n v="125414.38"/>
    <n v="32254.04"/>
    <n v="32254.04"/>
    <n v="31284.43"/>
  </r>
  <r>
    <s v="51"/>
    <x v="2"/>
    <x v="11"/>
    <s v="ZS03F030"/>
    <x v="38"/>
    <s v="A101"/>
    <s v="FORTALECIMIENTO INSTITUCIONAL"/>
    <s v="GC00A10100004D"/>
    <s v="GC00A10100004D REMUNERACION PERSONAL"/>
    <s v="51 GASTOS EN PERSONAL"/>
    <s v="510601 Aporte Patronal"/>
    <s v="G/510601/1FA101"/>
    <s v="002"/>
    <n v="172079.88"/>
    <n v="0"/>
    <n v="0"/>
    <n v="172079.88"/>
    <n v="660.33"/>
    <n v="137846.04999999999"/>
    <n v="137846.04999999999"/>
    <n v="34233.83"/>
    <n v="34233.83"/>
    <n v="33573.5"/>
  </r>
  <r>
    <s v="51"/>
    <x v="2"/>
    <x v="6"/>
    <s v="ZA01K000"/>
    <x v="17"/>
    <s v="A101"/>
    <s v="FORTALECIMIENTO INSTITUCIONAL"/>
    <s v="GC00A10100004D"/>
    <s v="GC00A10100004D REMUNERACION PERSONAL"/>
    <s v="51 GASTOS EN PERSONAL"/>
    <s v="510601 Aporte Patronal"/>
    <s v="G/510601/1KA101"/>
    <s v="002"/>
    <n v="188855.85"/>
    <n v="0"/>
    <n v="0"/>
    <n v="188855.85"/>
    <n v="2355.69"/>
    <n v="144449.19"/>
    <n v="144362.75"/>
    <n v="44406.66"/>
    <n v="44493.1"/>
    <n v="42050.97"/>
  </r>
  <r>
    <s v="51"/>
    <x v="1"/>
    <x v="2"/>
    <s v="MB42I090"/>
    <x v="26"/>
    <s v="A101"/>
    <s v="FORTALECIMIENTO INSTITUCIONAL"/>
    <s v="GC00A10100004D"/>
    <s v="GC00A10100004D REMUNERACION PERSONAL"/>
    <s v="51 GASTOS EN PERSONAL"/>
    <s v="510601 Aporte Patronal"/>
    <s v="G/510601/1IA101"/>
    <s v="002"/>
    <n v="131130.31"/>
    <n v="-836.59"/>
    <n v="0"/>
    <n v="130293.72"/>
    <n v="0"/>
    <n v="107082.64"/>
    <n v="107082.64"/>
    <n v="23211.08"/>
    <n v="23211.08"/>
    <n v="23211.08"/>
  </r>
  <r>
    <s v="51"/>
    <x v="0"/>
    <x v="12"/>
    <s v="MC37B000"/>
    <x v="28"/>
    <s v="A101"/>
    <s v="FORTALECIMIENTO INSTITUCIONAL"/>
    <s v="GC00A10100004D"/>
    <s v="GC00A10100004D REMUNERACION PERSONAL"/>
    <s v="51 GASTOS EN PERSONAL"/>
    <s v="510601 Aporte Patronal"/>
    <s v="G/510601/1BA101"/>
    <s v="002"/>
    <n v="497904.25"/>
    <n v="25449"/>
    <n v="0"/>
    <n v="523353.25"/>
    <n v="0"/>
    <n v="450572.01"/>
    <n v="450572.01"/>
    <n v="72781.240000000005"/>
    <n v="72781.240000000005"/>
    <n v="72781.240000000005"/>
  </r>
  <r>
    <s v="51"/>
    <x v="3"/>
    <x v="14"/>
    <s v="ZA01H000"/>
    <x v="30"/>
    <s v="A101"/>
    <s v="FORTALECIMIENTO INSTITUCIONAL"/>
    <s v="GC00A10100004D"/>
    <s v="GC00A10100004D REMUNERACION PERSONAL"/>
    <s v="51 GASTOS EN PERSONAL"/>
    <s v="510601 Aporte Patronal"/>
    <s v="G/510601/1HA101"/>
    <s v="002"/>
    <n v="61790.01"/>
    <n v="0"/>
    <n v="0"/>
    <n v="61790.01"/>
    <n v="759"/>
    <n v="41819.85"/>
    <n v="41819.85"/>
    <n v="19970.16"/>
    <n v="19970.16"/>
    <n v="19211.16"/>
  </r>
  <r>
    <s v="51"/>
    <x v="2"/>
    <x v="11"/>
    <s v="TM68F100"/>
    <x v="34"/>
    <s v="A101"/>
    <s v="FORTALECIMIENTO INSTITUCIONAL"/>
    <s v="GC00A10100004D"/>
    <s v="GC00A10100004D REMUNERACION PERSONAL"/>
    <s v="51 GASTOS EN PERSONAL"/>
    <s v="510601 Aporte Patronal"/>
    <s v="G/510601/1FA101"/>
    <s v="002"/>
    <n v="61691.519999999997"/>
    <n v="585.57000000000005"/>
    <n v="0"/>
    <n v="62277.09"/>
    <n v="0"/>
    <n v="43550.59"/>
    <n v="43550.59"/>
    <n v="18726.5"/>
    <n v="18726.5"/>
    <n v="18726.5"/>
  </r>
  <r>
    <s v="51"/>
    <x v="2"/>
    <x v="11"/>
    <s v="ZN02F020"/>
    <x v="40"/>
    <s v="A101"/>
    <s v="FORTALECIMIENTO INSTITUCIONAL"/>
    <s v="GC00A10100004D"/>
    <s v="GC00A10100004D REMUNERACION PERSONAL"/>
    <s v="51 GASTOS EN PERSONAL"/>
    <s v="510601 Aporte Patronal"/>
    <s v="G/510601/1FA101"/>
    <s v="002"/>
    <n v="240936.49"/>
    <n v="232.25"/>
    <n v="0"/>
    <n v="241168.74"/>
    <n v="2942.26"/>
    <n v="178289.37"/>
    <n v="178289.37"/>
    <n v="62879.37"/>
    <n v="62879.37"/>
    <n v="59937.11"/>
  </r>
  <r>
    <s v="51"/>
    <x v="0"/>
    <x v="7"/>
    <s v="ZA01L000"/>
    <x v="14"/>
    <s v="A101"/>
    <s v="FORTALECIMIENTO INSTITUCIONAL"/>
    <s v="GC00A10100004D"/>
    <s v="GC00A10100004D REMUNERACION PERSONAL"/>
    <s v="51 GASTOS EN PERSONAL"/>
    <s v="510601 Aporte Patronal"/>
    <s v="G/510601/1LA101"/>
    <s v="002"/>
    <n v="109331.43"/>
    <n v="13050.5"/>
    <n v="0"/>
    <n v="122381.93"/>
    <n v="3.9"/>
    <n v="95010.18"/>
    <n v="95010.18"/>
    <n v="27371.75"/>
    <n v="27371.75"/>
    <n v="27367.85"/>
  </r>
  <r>
    <s v="51"/>
    <x v="1"/>
    <x v="2"/>
    <s v="JM40I070"/>
    <x v="12"/>
    <s v="A101"/>
    <s v="FORTALECIMIENTO INSTITUCIONAL"/>
    <s v="GC00A10100004D"/>
    <s v="GC00A10100004D REMUNERACION PERSONAL"/>
    <s v="51 GASTOS EN PERSONAL"/>
    <s v="510601 Aporte Patronal"/>
    <s v="G/510601/1IA101"/>
    <s v="002"/>
    <n v="95061.15"/>
    <n v="0"/>
    <n v="0"/>
    <n v="95061.15"/>
    <n v="0"/>
    <n v="91046.01"/>
    <n v="91046.01"/>
    <n v="4015.14"/>
    <n v="4015.14"/>
    <n v="4015.14"/>
  </r>
  <r>
    <s v="51"/>
    <x v="1"/>
    <x v="2"/>
    <s v="CB21I040"/>
    <x v="23"/>
    <s v="A101"/>
    <s v="FORTALECIMIENTO INSTITUCIONAL"/>
    <s v="GC00A10100004D"/>
    <s v="GC00A10100004D REMUNERACION PERSONAL"/>
    <s v="51 GASTOS EN PERSONAL"/>
    <s v="510601 Aporte Patronal"/>
    <s v="G/510601/1IA101"/>
    <s v="002"/>
    <n v="133965.54"/>
    <n v="-1071.4000000000001"/>
    <n v="0"/>
    <n v="132894.14000000001"/>
    <n v="0"/>
    <n v="103992.22"/>
    <n v="103992.22"/>
    <n v="28901.919999999998"/>
    <n v="28901.919999999998"/>
    <n v="28901.919999999998"/>
  </r>
  <r>
    <s v="51"/>
    <x v="2"/>
    <x v="11"/>
    <s v="ZM04F040"/>
    <x v="41"/>
    <s v="A101"/>
    <s v="FORTALECIMIENTO INSTITUCIONAL"/>
    <s v="GC00A10100004D"/>
    <s v="GC00A10100004D REMUNERACION PERSONAL"/>
    <s v="51 GASTOS EN PERSONAL"/>
    <s v="510601 Aporte Patronal"/>
    <s v="G/510601/1FA101"/>
    <s v="002"/>
    <n v="188041.38"/>
    <n v="0"/>
    <n v="0"/>
    <n v="188041.38"/>
    <n v="1225.5"/>
    <n v="143294.42000000001"/>
    <n v="143294.42000000001"/>
    <n v="44746.96"/>
    <n v="44746.96"/>
    <n v="43521.46"/>
  </r>
  <r>
    <s v="51"/>
    <x v="0"/>
    <x v="0"/>
    <s v="ZA01A000"/>
    <x v="1"/>
    <s v="A101"/>
    <s v="FORTALECIMIENTO INSTITUCIONAL"/>
    <s v="GC00A10100004D"/>
    <s v="GC00A10100004D REMUNERACION PERSONAL"/>
    <s v="51 GASTOS EN PERSONAL"/>
    <s v="510601 Aporte Patronal"/>
    <s v="G/510601/1AA101"/>
    <s v="002"/>
    <n v="1328531.1399999999"/>
    <n v="10969.91"/>
    <n v="0"/>
    <n v="1339501.05"/>
    <n v="53072.9"/>
    <n v="966943.29"/>
    <n v="966943.29"/>
    <n v="372557.76"/>
    <n v="372557.76"/>
    <n v="319484.86"/>
  </r>
  <r>
    <s v="51"/>
    <x v="2"/>
    <x v="11"/>
    <s v="ZD07F070"/>
    <x v="43"/>
    <s v="A101"/>
    <s v="FORTALECIMIENTO INSTITUCIONAL"/>
    <s v="GC00A10100004D"/>
    <s v="GC00A10100004D REMUNERACION PERSONAL"/>
    <s v="51 GASTOS EN PERSONAL"/>
    <s v="510601 Aporte Patronal"/>
    <s v="G/510601/1FA101"/>
    <s v="002"/>
    <n v="186255.44"/>
    <n v="-812.89"/>
    <n v="0"/>
    <n v="185442.55"/>
    <n v="1496.19"/>
    <n v="142614.59"/>
    <n v="142614.59"/>
    <n v="42827.96"/>
    <n v="42827.96"/>
    <n v="41331.769999999997"/>
  </r>
  <r>
    <s v="51"/>
    <x v="0"/>
    <x v="0"/>
    <s v="RP36A010"/>
    <x v="2"/>
    <s v="A101"/>
    <s v="FORTALECIMIENTO INSTITUCIONAL"/>
    <s v="GC00A10100004D"/>
    <s v="GC00A10100004D REMUNERACION PERSONAL"/>
    <s v="51 GASTOS EN PERSONAL"/>
    <s v="510601 Aporte Patronal"/>
    <s v="G/510601/1AA101"/>
    <s v="002"/>
    <n v="445060.19"/>
    <n v="-1277.43"/>
    <n v="0"/>
    <n v="443782.76"/>
    <n v="8005.96"/>
    <n v="357114"/>
    <n v="357047.97"/>
    <n v="86668.76"/>
    <n v="86734.79"/>
    <n v="78662.8"/>
  </r>
  <r>
    <s v="51"/>
    <x v="1"/>
    <x v="2"/>
    <s v="EQ13I030"/>
    <x v="20"/>
    <s v="A101"/>
    <s v="FORTALECIMIENTO INSTITUCIONAL"/>
    <s v="GC00A10100004D"/>
    <s v="GC00A10100004D REMUNERACION PERSONAL"/>
    <s v="51 GASTOS EN PERSONAL"/>
    <s v="510601 Aporte Patronal"/>
    <s v="G/510601/1IA101"/>
    <s v="002"/>
    <n v="137058.79"/>
    <n v="-1200.71"/>
    <n v="0"/>
    <n v="135858.07999999999"/>
    <n v="0"/>
    <n v="108619.79"/>
    <n v="108619.79"/>
    <n v="27238.29"/>
    <n v="27238.29"/>
    <n v="27238.29"/>
  </r>
  <r>
    <s v="51"/>
    <x v="2"/>
    <x v="8"/>
    <s v="FS66P020"/>
    <x v="36"/>
    <s v="A101"/>
    <s v="FORTALECIMIENTO INSTITUCIONAL"/>
    <s v="GC00A10100004D"/>
    <s v="GC00A10100004D REMUNERACION PERSONAL"/>
    <s v="51 GASTOS EN PERSONAL"/>
    <s v="510601 Aporte Patronal"/>
    <s v="G/510601/1PA101"/>
    <s v="002"/>
    <n v="277089.65000000002"/>
    <n v="-7948.25"/>
    <n v="0"/>
    <n v="269141.40000000002"/>
    <n v="4351.37"/>
    <n v="209580.6"/>
    <n v="209580.6"/>
    <n v="59560.800000000003"/>
    <n v="59560.800000000003"/>
    <n v="55209.43"/>
  </r>
  <r>
    <s v="51"/>
    <x v="1"/>
    <x v="2"/>
    <s v="CF22I050"/>
    <x v="22"/>
    <s v="A101"/>
    <s v="FORTALECIMIENTO INSTITUCIONAL"/>
    <s v="GC00A10100004D"/>
    <s v="GC00A10100004D REMUNERACION PERSONAL"/>
    <s v="51 GASTOS EN PERSONAL"/>
    <s v="510601 Aporte Patronal"/>
    <s v="G/510601/1IA101"/>
    <s v="002"/>
    <n v="149995.06"/>
    <n v="-1071.4000000000001"/>
    <n v="0"/>
    <n v="148923.66"/>
    <n v="0"/>
    <n v="119680.21"/>
    <n v="119680.21"/>
    <n v="29243.45"/>
    <n v="29243.45"/>
    <n v="29243.45"/>
  </r>
  <r>
    <s v="51"/>
    <x v="1"/>
    <x v="2"/>
    <s v="EE11I010"/>
    <x v="21"/>
    <s v="A101"/>
    <s v="FORTALECIMIENTO INSTITUCIONAL"/>
    <s v="GC00A10100004D"/>
    <s v="GC00A10100004D REMUNERACION PERSONAL"/>
    <s v="51 GASTOS EN PERSONAL"/>
    <s v="510601 Aporte Patronal"/>
    <s v="G/510601/1IA101"/>
    <s v="002"/>
    <n v="209252.87"/>
    <n v="-1071.4000000000001"/>
    <n v="0"/>
    <n v="208181.47"/>
    <n v="0"/>
    <n v="164986.23999999999"/>
    <n v="164986.23999999999"/>
    <n v="43195.23"/>
    <n v="43195.23"/>
    <n v="43195.23"/>
  </r>
  <r>
    <s v="51"/>
    <x v="2"/>
    <x v="11"/>
    <s v="ZC09F090"/>
    <x v="44"/>
    <s v="A101"/>
    <s v="FORTALECIMIENTO INSTITUCIONAL"/>
    <s v="GC00A10100004D"/>
    <s v="GC00A10100004D REMUNERACION PERSONAL"/>
    <s v="51 GASTOS EN PERSONAL"/>
    <s v="510601 Aporte Patronal"/>
    <s v="G/510601/1FA101"/>
    <s v="002"/>
    <n v="114694.88"/>
    <n v="-232.25"/>
    <n v="0"/>
    <n v="114462.63"/>
    <n v="750.27"/>
    <n v="87265.08"/>
    <n v="87189.18"/>
    <n v="27197.55"/>
    <n v="27273.45"/>
    <n v="26447.279999999999"/>
  </r>
  <r>
    <s v="51"/>
    <x v="2"/>
    <x v="6"/>
    <s v="AT69K040"/>
    <x v="13"/>
    <s v="A101"/>
    <s v="FORTALECIMIENTO INSTITUCIONAL"/>
    <s v="GC00A10100004D"/>
    <s v="GC00A10100004D REMUNERACION PERSONAL"/>
    <s v="51 GASTOS EN PERSONAL"/>
    <s v="510601 Aporte Patronal"/>
    <s v="G/510601/1KA101"/>
    <s v="002"/>
    <n v="3556103"/>
    <n v="19090.11"/>
    <n v="0"/>
    <n v="3575193.11"/>
    <n v="10476.77"/>
    <n v="2889126.69"/>
    <n v="2889126.69"/>
    <n v="686066.42"/>
    <n v="686066.42"/>
    <n v="675589.65"/>
  </r>
  <r>
    <s v="51"/>
    <x v="3"/>
    <x v="15"/>
    <s v="AC67Q000"/>
    <x v="32"/>
    <s v="A101"/>
    <s v="FORTALECIMIENTO INSTITUCIONAL"/>
    <s v="GC00A10100004D"/>
    <s v="GC00A10100004D REMUNERACION PERSONAL"/>
    <s v="51 GASTOS EN PERSONAL"/>
    <s v="510601 Aporte Patronal"/>
    <s v="G/510601/2QA101"/>
    <s v="002"/>
    <n v="199948.26"/>
    <n v="-11180.33"/>
    <n v="0"/>
    <n v="188767.93"/>
    <n v="1582.87"/>
    <n v="148682.19"/>
    <n v="148682.19"/>
    <n v="40085.74"/>
    <n v="40085.74"/>
    <n v="38502.870000000003"/>
  </r>
  <r>
    <s v="51"/>
    <x v="2"/>
    <x v="11"/>
    <s v="ZV05F050"/>
    <x v="37"/>
    <s v="A101"/>
    <s v="FORTALECIMIENTO INSTITUCIONAL"/>
    <s v="GC00A10100004D"/>
    <s v="GC00A10100004D REMUNERACION PERSONAL"/>
    <s v="51 GASTOS EN PERSONAL"/>
    <s v="510601 Aporte Patronal"/>
    <s v="G/510601/1FA101"/>
    <s v="002"/>
    <n v="171142.33"/>
    <n v="603.87"/>
    <n v="0"/>
    <n v="171746.2"/>
    <n v="0"/>
    <n v="124041.23"/>
    <n v="124041.23"/>
    <n v="47704.97"/>
    <n v="47704.97"/>
    <n v="47704.97"/>
  </r>
  <r>
    <s v="51"/>
    <x v="1"/>
    <x v="2"/>
    <s v="ES12I020"/>
    <x v="16"/>
    <s v="A101"/>
    <s v="FORTALECIMIENTO INSTITUCIONAL"/>
    <s v="GC00A10100004D"/>
    <s v="GC00A10100004D REMUNERACION PERSONAL"/>
    <s v="51 GASTOS EN PERSONAL"/>
    <s v="510601 Aporte Patronal"/>
    <s v="G/510601/1IA101"/>
    <s v="002"/>
    <n v="242185.19"/>
    <n v="0"/>
    <n v="0"/>
    <n v="242185.19"/>
    <n v="0"/>
    <n v="188059.97"/>
    <n v="188059.97"/>
    <n v="54125.22"/>
    <n v="54125.22"/>
    <n v="54125.22"/>
  </r>
  <r>
    <s v="51"/>
    <x v="2"/>
    <x v="11"/>
    <s v="ZQ08F080"/>
    <x v="39"/>
    <s v="A101"/>
    <s v="FORTALECIMIENTO INSTITUCIONAL"/>
    <s v="GC00A10100004D"/>
    <s v="GC00A10100004D REMUNERACION PERSONAL"/>
    <s v="51 GASTOS EN PERSONAL"/>
    <s v="510601 Aporte Patronal"/>
    <s v="G/510601/1FA101"/>
    <s v="002"/>
    <n v="138591.46"/>
    <n v="1272.5999999999999"/>
    <n v="0"/>
    <n v="139864.06"/>
    <n v="0"/>
    <n v="108280.35"/>
    <n v="108280.35"/>
    <n v="31583.71"/>
    <n v="31583.71"/>
    <n v="31583.71"/>
  </r>
  <r>
    <s v="51"/>
    <x v="0"/>
    <x v="1"/>
    <s v="ZA01C030"/>
    <x v="3"/>
    <s v="A101"/>
    <s v="FORTALECIMIENTO INSTITUCIONAL"/>
    <s v="GC00A10100004D"/>
    <s v="GC00A10100004D REMUNERACION PERSONAL"/>
    <s v="51 GASTOS EN PERSONAL"/>
    <s v="510601 Aporte Patronal"/>
    <s v="G/510601/1CA101"/>
    <s v="002"/>
    <n v="502531.86"/>
    <n v="-170.05"/>
    <n v="0"/>
    <n v="502361.81"/>
    <n v="21962.76"/>
    <n v="396853.92"/>
    <n v="396853.92"/>
    <n v="105507.89"/>
    <n v="105507.89"/>
    <n v="83545.13"/>
  </r>
  <r>
    <s v="51"/>
    <x v="1"/>
    <x v="2"/>
    <s v="SF43I080"/>
    <x v="35"/>
    <s v="A101"/>
    <s v="FORTALECIMIENTO INSTITUCIONAL"/>
    <s v="GC00A10100004D"/>
    <s v="GC00A10100004D REMUNERACION PERSONAL"/>
    <s v="51 GASTOS EN PERSONAL"/>
    <s v="510601 Aporte Patronal"/>
    <s v="G/510601/1IA101"/>
    <s v="002"/>
    <n v="104701.53"/>
    <n v="0"/>
    <n v="0"/>
    <n v="104701.53"/>
    <n v="0"/>
    <n v="84196.9"/>
    <n v="84196.9"/>
    <n v="20504.63"/>
    <n v="20504.63"/>
    <n v="20504.63"/>
  </r>
  <r>
    <s v="51"/>
    <x v="0"/>
    <x v="1"/>
    <s v="ZA01C000"/>
    <x v="19"/>
    <s v="A101"/>
    <s v="FORTALECIMIENTO INSTITUCIONAL"/>
    <s v="GC00A10100004D"/>
    <s v="GC00A10100004D REMUNERACION PERSONAL"/>
    <s v="51 GASTOS EN PERSONAL"/>
    <s v="510601 Aporte Patronal"/>
    <s v="G/510601/1CA101"/>
    <s v="002"/>
    <n v="381005.8"/>
    <n v="1851.2"/>
    <n v="0"/>
    <n v="382857"/>
    <n v="38377.42"/>
    <n v="263576.14"/>
    <n v="263576.14"/>
    <n v="119280.86"/>
    <n v="119280.86"/>
    <n v="80903.44"/>
  </r>
  <r>
    <s v="51"/>
    <x v="0"/>
    <x v="1"/>
    <s v="ZA01C002"/>
    <x v="46"/>
    <s v="A101"/>
    <s v="FORTALECIMIENTO INSTITUCIONAL"/>
    <s v="GC00A10100004D"/>
    <s v="GC00A10100004D REMUNERACION PERSONAL"/>
    <s v="51 GASTOS EN PERSONAL"/>
    <s v="510601 Aporte Patronal"/>
    <s v="G/510601/1CA101"/>
    <s v="002"/>
    <n v="17743.310000000001"/>
    <n v="3795"/>
    <n v="0"/>
    <n v="21538.31"/>
    <n v="1591.65"/>
    <n v="19149.16"/>
    <n v="19149.16"/>
    <n v="2389.15"/>
    <n v="2389.15"/>
    <n v="797.5"/>
  </r>
  <r>
    <s v="51"/>
    <x v="1"/>
    <x v="2"/>
    <s v="CB21I040"/>
    <x v="23"/>
    <s v="A101"/>
    <s v="FORTALECIMIENTO INSTITUCIONAL"/>
    <s v="GC00A10100004D"/>
    <s v="GC00A10100004D REMUNERACION PERSONAL"/>
    <s v="51 GASTOS EN PERSONAL"/>
    <s v="510602 Fondo de Reserva"/>
    <s v="G/510602/1IA101"/>
    <s v="001"/>
    <n v="0"/>
    <n v="1634"/>
    <n v="0"/>
    <n v="1634"/>
    <n v="1634"/>
    <n v="0"/>
    <n v="0"/>
    <n v="1634"/>
    <n v="1634"/>
    <n v="0"/>
  </r>
  <r>
    <s v="51"/>
    <x v="0"/>
    <x v="7"/>
    <s v="ZA01L000"/>
    <x v="14"/>
    <s v="A101"/>
    <s v="FORTALECIMIENTO INSTITUCIONAL"/>
    <s v="GC00A10100004D"/>
    <s v="GC00A10100004D REMUNERACION PERSONAL"/>
    <s v="51 GASTOS EN PERSONAL"/>
    <s v="510602 Fondo de Reserva"/>
    <s v="G/510602/1LA101"/>
    <s v="002"/>
    <n v="72096.03"/>
    <n v="6707.27"/>
    <n v="0"/>
    <n v="78803.3"/>
    <n v="10570.34"/>
    <n v="44635.32"/>
    <n v="44635.32"/>
    <n v="34167.980000000003"/>
    <n v="34167.980000000003"/>
    <n v="23597.64"/>
  </r>
  <r>
    <s v="51"/>
    <x v="1"/>
    <x v="2"/>
    <s v="CF22I050"/>
    <x v="22"/>
    <s v="A101"/>
    <s v="FORTALECIMIENTO INSTITUCIONAL"/>
    <s v="GC00A10100004D"/>
    <s v="GC00A10100004D REMUNERACION PERSONAL"/>
    <s v="51 GASTOS EN PERSONAL"/>
    <s v="510602 Fondo de Reserva"/>
    <s v="G/510602/1IA101"/>
    <s v="001"/>
    <n v="0"/>
    <n v="817"/>
    <n v="0"/>
    <n v="817"/>
    <n v="817"/>
    <n v="0"/>
    <n v="0"/>
    <n v="817"/>
    <n v="817"/>
    <n v="0"/>
  </r>
  <r>
    <s v="51"/>
    <x v="1"/>
    <x v="2"/>
    <s v="EQ13I030"/>
    <x v="20"/>
    <s v="A101"/>
    <s v="FORTALECIMIENTO INSTITUCIONAL"/>
    <s v="GC00A10100004D"/>
    <s v="GC00A10100004D REMUNERACION PERSONAL"/>
    <s v="51 GASTOS EN PERSONAL"/>
    <s v="510602 Fondo de Reserva"/>
    <s v="G/510602/1IA101"/>
    <s v="002"/>
    <n v="99866.14"/>
    <n v="-790.98"/>
    <n v="0"/>
    <n v="99075.16"/>
    <n v="0"/>
    <n v="78148.98"/>
    <n v="78148.98"/>
    <n v="20926.18"/>
    <n v="20926.18"/>
    <n v="20926.18"/>
  </r>
  <r>
    <s v="51"/>
    <x v="1"/>
    <x v="2"/>
    <s v="CB21I040"/>
    <x v="23"/>
    <s v="A101"/>
    <s v="FORTALECIMIENTO INSTITUCIONAL"/>
    <s v="GC00A10100004D"/>
    <s v="GC00A10100004D REMUNERACION PERSONAL"/>
    <s v="51 GASTOS EN PERSONAL"/>
    <s v="510602 Fondo de Reserva"/>
    <s v="G/510602/1IA101"/>
    <s v="002"/>
    <n v="97625.73"/>
    <n v="-800.78"/>
    <n v="0"/>
    <n v="96824.95"/>
    <n v="0"/>
    <n v="74252.39"/>
    <n v="74252.39"/>
    <n v="22572.560000000001"/>
    <n v="22572.560000000001"/>
    <n v="22572.560000000001"/>
  </r>
  <r>
    <s v="51"/>
    <x v="1"/>
    <x v="2"/>
    <s v="OL41I060"/>
    <x v="42"/>
    <s v="A101"/>
    <s v="FORTALECIMIENTO INSTITUCIONAL"/>
    <s v="GC00A10100004D"/>
    <s v="GC00A10100004D REMUNERACION PERSONAL"/>
    <s v="51 GASTOS EN PERSONAL"/>
    <s v="510602 Fondo de Reserva"/>
    <s v="G/510602/1IA101"/>
    <s v="001"/>
    <n v="0"/>
    <n v="1634"/>
    <n v="0"/>
    <n v="1634"/>
    <n v="1634"/>
    <n v="0"/>
    <n v="0"/>
    <n v="1634"/>
    <n v="1634"/>
    <n v="0"/>
  </r>
  <r>
    <s v="51"/>
    <x v="0"/>
    <x v="1"/>
    <s v="ZA01C000"/>
    <x v="19"/>
    <s v="A101"/>
    <s v="FORTALECIMIENTO INSTITUCIONAL"/>
    <s v="GC00A10100004D"/>
    <s v="GC00A10100004D REMUNERACION PERSONAL"/>
    <s v="51 GASTOS EN PERSONAL"/>
    <s v="510602 Fondo de Reserva"/>
    <s v="G/510602/1CA101"/>
    <s v="002"/>
    <n v="251329.86"/>
    <n v="1211.2"/>
    <n v="0"/>
    <n v="252541.06"/>
    <n v="41561.11"/>
    <n v="135720.06"/>
    <n v="135720.06"/>
    <n v="116821"/>
    <n v="116821"/>
    <n v="75259.89"/>
  </r>
  <r>
    <s v="51"/>
    <x v="0"/>
    <x v="0"/>
    <s v="ZA01A000"/>
    <x v="1"/>
    <s v="A101"/>
    <s v="FORTALECIMIENTO INSTITUCIONAL"/>
    <s v="GC00A10100004D"/>
    <s v="GC00A10100004D REMUNERACION PERSONAL"/>
    <s v="51 GASTOS EN PERSONAL"/>
    <s v="510602 Fondo de Reserva"/>
    <s v="G/510602/1AA101"/>
    <s v="002"/>
    <n v="877696.24"/>
    <n v="7234.42"/>
    <n v="0"/>
    <n v="884930.66"/>
    <n v="71935.199999999997"/>
    <n v="559486.94999999995"/>
    <n v="559486.94999999995"/>
    <n v="325443.71000000002"/>
    <n v="325443.71000000002"/>
    <n v="253508.51"/>
  </r>
  <r>
    <s v="51"/>
    <x v="1"/>
    <x v="2"/>
    <s v="ZA01I000"/>
    <x v="5"/>
    <s v="A101"/>
    <s v="FORTALECIMIENTO INSTITUCIONAL"/>
    <s v="GC00A10100004D"/>
    <s v="GC00A10100004D REMUNERACION PERSONAL"/>
    <s v="51 GASTOS EN PERSONAL"/>
    <s v="510602 Fondo de Reserva"/>
    <s v="G/510602/1IA101"/>
    <s v="001"/>
    <n v="0"/>
    <n v="7761.5"/>
    <n v="0"/>
    <n v="7761.5"/>
    <n v="7761.5"/>
    <n v="0"/>
    <n v="0"/>
    <n v="7761.5"/>
    <n v="7761.5"/>
    <n v="0"/>
  </r>
  <r>
    <s v="51"/>
    <x v="1"/>
    <x v="3"/>
    <s v="US33M030"/>
    <x v="8"/>
    <s v="A101"/>
    <s v="FORTALECIMIENTO INSTITUCIONAL"/>
    <s v="GC00A10100004D"/>
    <s v="GC00A10100004D REMUNERACION PERSONAL"/>
    <s v="51 GASTOS EN PERSONAL"/>
    <s v="510602 Fondo de Reserva"/>
    <s v="G/510602/1MA101"/>
    <s v="002"/>
    <n v="300907.52000000002"/>
    <n v="12070.08"/>
    <n v="0"/>
    <n v="312977.59999999998"/>
    <n v="26376.75"/>
    <n v="208459.8"/>
    <n v="208459.8"/>
    <n v="104517.8"/>
    <n v="104517.8"/>
    <n v="78141.05"/>
  </r>
  <r>
    <s v="51"/>
    <x v="0"/>
    <x v="0"/>
    <s v="RP36A010"/>
    <x v="2"/>
    <s v="A101"/>
    <s v="FORTALECIMIENTO INSTITUCIONAL"/>
    <s v="GC00A10100004D"/>
    <s v="GC00A10100004D REMUNERACION PERSONAL"/>
    <s v="51 GASTOS EN PERSONAL"/>
    <s v="510602 Fondo de Reserva"/>
    <s v="G/510602/1AA101"/>
    <s v="002"/>
    <n v="293188.53000000003"/>
    <n v="-841.16"/>
    <n v="0"/>
    <n v="292347.37"/>
    <n v="13589.45"/>
    <n v="207904.6"/>
    <n v="207861.12"/>
    <n v="84442.77"/>
    <n v="84486.25"/>
    <n v="70853.320000000007"/>
  </r>
  <r>
    <s v="51"/>
    <x v="1"/>
    <x v="2"/>
    <s v="CF22I050"/>
    <x v="22"/>
    <s v="A101"/>
    <s v="FORTALECIMIENTO INSTITUCIONAL"/>
    <s v="GC00A10100004D"/>
    <s v="GC00A10100004D REMUNERACION PERSONAL"/>
    <s v="51 GASTOS EN PERSONAL"/>
    <s v="510602 Fondo de Reserva"/>
    <s v="G/510602/1IA101"/>
    <s v="002"/>
    <n v="108972.66"/>
    <n v="-800.78"/>
    <n v="0"/>
    <n v="108171.88"/>
    <n v="0"/>
    <n v="85095.73"/>
    <n v="85095.73"/>
    <n v="23076.15"/>
    <n v="23076.15"/>
    <n v="23076.15"/>
  </r>
  <r>
    <s v="51"/>
    <x v="1"/>
    <x v="3"/>
    <s v="UN31M010"/>
    <x v="11"/>
    <s v="A101"/>
    <s v="FORTALECIMIENTO INSTITUCIONAL"/>
    <s v="GC00A10100004D"/>
    <s v="GC00A10100004D REMUNERACION PERSONAL"/>
    <s v="51 GASTOS EN PERSONAL"/>
    <s v="510602 Fondo de Reserva"/>
    <s v="G/510602/1MA101"/>
    <s v="002"/>
    <n v="208670.95"/>
    <n v="-5368.11"/>
    <n v="0"/>
    <n v="203302.84"/>
    <n v="27564.2"/>
    <n v="133871"/>
    <n v="133816.10999999999"/>
    <n v="69431.839999999997"/>
    <n v="69486.73"/>
    <n v="41867.64"/>
  </r>
  <r>
    <s v="51"/>
    <x v="2"/>
    <x v="8"/>
    <s v="FS66P020"/>
    <x v="36"/>
    <s v="A101"/>
    <s v="FORTALECIMIENTO INSTITUCIONAL"/>
    <s v="GC00A10100004D"/>
    <s v="GC00A10100004D REMUNERACION PERSONAL"/>
    <s v="51 GASTOS EN PERSONAL"/>
    <s v="510602 Fondo de Reserva"/>
    <s v="G/510602/1PA101"/>
    <s v="002"/>
    <n v="182536"/>
    <n v="-5236"/>
    <n v="0"/>
    <n v="177300"/>
    <n v="2187.62"/>
    <n v="122138.63"/>
    <n v="122138.63"/>
    <n v="55161.37"/>
    <n v="55161.37"/>
    <n v="52973.75"/>
  </r>
  <r>
    <s v="51"/>
    <x v="1"/>
    <x v="2"/>
    <s v="EE11I010"/>
    <x v="21"/>
    <s v="A101"/>
    <s v="FORTALECIMIENTO INSTITUCIONAL"/>
    <s v="GC00A10100004D"/>
    <s v="GC00A10100004D REMUNERACION PERSONAL"/>
    <s v="51 GASTOS EN PERSONAL"/>
    <s v="510602 Fondo de Reserva"/>
    <s v="G/510602/1IA101"/>
    <s v="001"/>
    <n v="0"/>
    <n v="1634"/>
    <n v="0"/>
    <n v="1634"/>
    <n v="1634"/>
    <n v="0"/>
    <n v="0"/>
    <n v="1634"/>
    <n v="1634"/>
    <n v="0"/>
  </r>
  <r>
    <s v="51"/>
    <x v="2"/>
    <x v="11"/>
    <s v="ZQ08F080"/>
    <x v="39"/>
    <s v="A101"/>
    <s v="FORTALECIMIENTO INSTITUCIONAL"/>
    <s v="GC00A10100004D"/>
    <s v="GC00A10100004D REMUNERACION PERSONAL"/>
    <s v="51 GASTOS EN PERSONAL"/>
    <s v="510602 Fondo de Reserva"/>
    <s v="G/510602/1FA101"/>
    <s v="002"/>
    <n v="91576.9"/>
    <n v="838.33"/>
    <n v="0"/>
    <n v="92415.23"/>
    <n v="0"/>
    <n v="60273.62"/>
    <n v="60273.62"/>
    <n v="32141.61"/>
    <n v="32141.61"/>
    <n v="32141.61"/>
  </r>
  <r>
    <s v="51"/>
    <x v="0"/>
    <x v="1"/>
    <s v="ZA01C002"/>
    <x v="46"/>
    <s v="A101"/>
    <s v="FORTALECIMIENTO INSTITUCIONAL"/>
    <s v="GC00A10100004D"/>
    <s v="GC00A10100004D REMUNERACION PERSONAL"/>
    <s v="51 GASTOS EN PERSONAL"/>
    <s v="510602 Fondo de Reserva"/>
    <s v="G/510602/1CA101"/>
    <s v="002"/>
    <n v="11713.53"/>
    <n v="2500"/>
    <n v="0"/>
    <n v="14213.53"/>
    <n v="3694.11"/>
    <n v="8438"/>
    <n v="8438"/>
    <n v="5775.53"/>
    <n v="5775.53"/>
    <n v="2081.42"/>
  </r>
  <r>
    <s v="51"/>
    <x v="1"/>
    <x v="3"/>
    <s v="ZA01M000"/>
    <x v="6"/>
    <s v="A101"/>
    <s v="FORTALECIMIENTO INSTITUCIONAL"/>
    <s v="GC00A10100004D"/>
    <s v="GC00A10100004D REMUNERACION PERSONAL"/>
    <s v="51 GASTOS EN PERSONAL"/>
    <s v="510602 Fondo de Reserva"/>
    <s v="G/510602/1MA101"/>
    <s v="002"/>
    <n v="123336.13"/>
    <n v="-11118"/>
    <n v="0"/>
    <n v="112218.13"/>
    <n v="35026.57"/>
    <n v="43759.69"/>
    <n v="43759.69"/>
    <n v="68458.44"/>
    <n v="68458.44"/>
    <n v="33431.870000000003"/>
  </r>
  <r>
    <s v="51"/>
    <x v="0"/>
    <x v="1"/>
    <s v="ZA01C060"/>
    <x v="45"/>
    <s v="A101"/>
    <s v="FORTALECIMIENTO INSTITUCIONAL"/>
    <s v="GC00A10100004D"/>
    <s v="GC00A10100004D REMUNERACION PERSONAL"/>
    <s v="51 GASTOS EN PERSONAL"/>
    <s v="510602 Fondo de Reserva"/>
    <s v="G/510602/1CA101"/>
    <s v="002"/>
    <n v="32506"/>
    <n v="0"/>
    <n v="0"/>
    <n v="32506"/>
    <n v="674"/>
    <n v="6807.34"/>
    <n v="6807.34"/>
    <n v="25698.66"/>
    <n v="25698.66"/>
    <n v="25024.66"/>
  </r>
  <r>
    <s v="51"/>
    <x v="2"/>
    <x v="5"/>
    <s v="ZA01N000"/>
    <x v="10"/>
    <s v="A101"/>
    <s v="FORTALECIMIENTO INSTITUCIONAL"/>
    <s v="GC00A10100004D"/>
    <s v="GC00A10100004D REMUNERACION PERSONAL"/>
    <s v="51 GASTOS EN PERSONAL"/>
    <s v="510602 Fondo de Reserva"/>
    <s v="G/510602/1NA101"/>
    <s v="002"/>
    <n v="285517.53999999998"/>
    <n v="-23110.33"/>
    <n v="0"/>
    <n v="262407.21000000002"/>
    <n v="20450.689999999999"/>
    <n v="174942.81"/>
    <n v="174942.81"/>
    <n v="87464.4"/>
    <n v="87464.4"/>
    <n v="67013.710000000006"/>
  </r>
  <r>
    <s v="51"/>
    <x v="1"/>
    <x v="4"/>
    <s v="ZA01J000"/>
    <x v="9"/>
    <s v="A101"/>
    <s v="FORTALECIMIENTO INSTITUCIONAL"/>
    <s v="GC00A10100004D"/>
    <s v="GC00A10100004D REMUNERACION PERSONAL"/>
    <s v="51 GASTOS EN PERSONAL"/>
    <s v="510602 Fondo de Reserva"/>
    <s v="G/510602/1JA101"/>
    <s v="002"/>
    <n v="59289"/>
    <n v="22913"/>
    <n v="0"/>
    <n v="82202"/>
    <n v="5122.6000000000004"/>
    <n v="37926.28"/>
    <n v="37926.28"/>
    <n v="44275.72"/>
    <n v="44275.72"/>
    <n v="39153.120000000003"/>
  </r>
  <r>
    <s v="51"/>
    <x v="0"/>
    <x v="9"/>
    <s v="ZA01E000"/>
    <x v="18"/>
    <s v="A101"/>
    <s v="FORTALECIMIENTO INSTITUCIONAL"/>
    <s v="GC00A10100004D"/>
    <s v="GC00A10100004D REMUNERACION PERSONAL"/>
    <s v="51 GASTOS EN PERSONAL"/>
    <s v="510602 Fondo de Reserva"/>
    <s v="G/510602/1EA101"/>
    <s v="002"/>
    <n v="106712.51"/>
    <n v="-724.67"/>
    <n v="0"/>
    <n v="105987.84"/>
    <n v="24914.92"/>
    <n v="60462.84"/>
    <n v="60462.84"/>
    <n v="45525"/>
    <n v="45525"/>
    <n v="20610.080000000002"/>
  </r>
  <r>
    <s v="51"/>
    <x v="1"/>
    <x v="2"/>
    <s v="ZA01I000"/>
    <x v="5"/>
    <s v="A101"/>
    <s v="FORTALECIMIENTO INSTITUCIONAL"/>
    <s v="GC00A10100004D"/>
    <s v="GC00A10100004D REMUNERACION PERSONAL"/>
    <s v="51 GASTOS EN PERSONAL"/>
    <s v="510602 Fondo de Reserva"/>
    <s v="G/510602/1IA101"/>
    <s v="002"/>
    <n v="488627.02"/>
    <n v="-91036.52"/>
    <n v="0"/>
    <n v="397590.5"/>
    <n v="47449.42"/>
    <n v="240131.34"/>
    <n v="240131.34"/>
    <n v="157459.16"/>
    <n v="157459.16"/>
    <n v="110009.74"/>
  </r>
  <r>
    <s v="51"/>
    <x v="2"/>
    <x v="11"/>
    <s v="RB34F010"/>
    <x v="33"/>
    <s v="A101"/>
    <s v="FORTALECIMIENTO INSTITUCIONAL"/>
    <s v="GC00A10100004D"/>
    <s v="GC00A10100004D REMUNERACION PERSONAL"/>
    <s v="51 GASTOS EN PERSONAL"/>
    <s v="510602 Fondo de Reserva"/>
    <s v="G/510602/1FA101"/>
    <s v="002"/>
    <n v="39013"/>
    <n v="-306"/>
    <n v="0"/>
    <n v="38707"/>
    <n v="417.5"/>
    <n v="23020.51"/>
    <n v="23020.51"/>
    <n v="15686.49"/>
    <n v="15686.49"/>
    <n v="15268.99"/>
  </r>
  <r>
    <s v="51"/>
    <x v="1"/>
    <x v="2"/>
    <s v="EQ13I030"/>
    <x v="20"/>
    <s v="A101"/>
    <s v="FORTALECIMIENTO INSTITUCIONAL"/>
    <s v="GC00A10100004D"/>
    <s v="GC00A10100004D REMUNERACION PERSONAL"/>
    <s v="51 GASTOS EN PERSONAL"/>
    <s v="510602 Fondo de Reserva"/>
    <s v="G/510602/1IA101"/>
    <s v="001"/>
    <n v="0"/>
    <n v="817"/>
    <n v="0"/>
    <n v="817"/>
    <n v="817"/>
    <n v="0"/>
    <n v="0"/>
    <n v="817"/>
    <n v="817"/>
    <n v="0"/>
  </r>
  <r>
    <s v="51"/>
    <x v="1"/>
    <x v="2"/>
    <s v="MB42I090"/>
    <x v="26"/>
    <s v="A101"/>
    <s v="FORTALECIMIENTO INSTITUCIONAL"/>
    <s v="GC00A10100004D"/>
    <s v="GC00A10100004D REMUNERACION PERSONAL"/>
    <s v="51 GASTOS EN PERSONAL"/>
    <s v="510602 Fondo de Reserva"/>
    <s v="G/510602/1IA101"/>
    <s v="001"/>
    <n v="0"/>
    <n v="1634"/>
    <n v="0"/>
    <n v="1634"/>
    <n v="1634"/>
    <n v="0"/>
    <n v="0"/>
    <n v="1634"/>
    <n v="1634"/>
    <n v="0"/>
  </r>
  <r>
    <s v="51"/>
    <x v="2"/>
    <x v="8"/>
    <s v="ZA01P000"/>
    <x v="15"/>
    <s v="A101"/>
    <s v="FORTALECIMIENTO INSTITUCIONAL"/>
    <s v="GC00A10100004D"/>
    <s v="GC00A10100004D REMUNERACION PERSONAL"/>
    <s v="51 GASTOS EN PERSONAL"/>
    <s v="510602 Fondo de Reserva"/>
    <s v="G/510602/1PA101"/>
    <s v="002"/>
    <n v="103889.71"/>
    <n v="0"/>
    <n v="0"/>
    <n v="103889.71"/>
    <n v="638.95000000000005"/>
    <n v="67378.600000000006"/>
    <n v="67378.600000000006"/>
    <n v="36511.11"/>
    <n v="36511.11"/>
    <n v="35872.160000000003"/>
  </r>
  <r>
    <s v="51"/>
    <x v="1"/>
    <x v="13"/>
    <s v="ZA01G000"/>
    <x v="29"/>
    <s v="A101"/>
    <s v="FORTALECIMIENTO INSTITUCIONAL"/>
    <s v="GC00A10100004D"/>
    <s v="GC00A10100004D REMUNERACION PERSONAL"/>
    <s v="51 GASTOS EN PERSONAL"/>
    <s v="510602 Fondo de Reserva"/>
    <s v="G/510602/1GA101"/>
    <s v="002"/>
    <n v="230143.68"/>
    <n v="899.83"/>
    <n v="0"/>
    <n v="231043.51"/>
    <n v="7017.4"/>
    <n v="162440.74"/>
    <n v="162440.74"/>
    <n v="68602.77"/>
    <n v="68602.77"/>
    <n v="61585.37"/>
  </r>
  <r>
    <s v="51"/>
    <x v="2"/>
    <x v="11"/>
    <s v="ZV05F050"/>
    <x v="37"/>
    <s v="A101"/>
    <s v="FORTALECIMIENTO INSTITUCIONAL"/>
    <s v="GC00A10100004D"/>
    <s v="GC00A10100004D REMUNERACION PERSONAL"/>
    <s v="51 GASTOS EN PERSONAL"/>
    <s v="510602 Fondo de Reserva"/>
    <s v="G/510602/1FA101"/>
    <s v="002"/>
    <n v="113052.6"/>
    <n v="620"/>
    <n v="0"/>
    <n v="113672.6"/>
    <n v="0"/>
    <n v="70690.259999999995"/>
    <n v="70690.259999999995"/>
    <n v="42982.34"/>
    <n v="42982.34"/>
    <n v="42982.34"/>
  </r>
  <r>
    <s v="51"/>
    <x v="2"/>
    <x v="6"/>
    <s v="ZA01K000"/>
    <x v="17"/>
    <s v="A101"/>
    <s v="FORTALECIMIENTO INSTITUCIONAL"/>
    <s v="GC00A10100004D"/>
    <s v="GC00A10100004D REMUNERACION PERSONAL"/>
    <s v="51 GASTOS EN PERSONAL"/>
    <s v="510602 Fondo de Reserva"/>
    <s v="G/510602/1KA101"/>
    <s v="002"/>
    <n v="124580.63"/>
    <n v="0"/>
    <n v="0"/>
    <n v="124580.63"/>
    <n v="7644.14"/>
    <n v="80018.41"/>
    <n v="79961.490000000005"/>
    <n v="44562.22"/>
    <n v="44619.14"/>
    <n v="36918.080000000002"/>
  </r>
  <r>
    <s v="51"/>
    <x v="0"/>
    <x v="12"/>
    <s v="MC37B000"/>
    <x v="28"/>
    <s v="A101"/>
    <s v="FORTALECIMIENTO INSTITUCIONAL"/>
    <s v="GC00A10100004D"/>
    <s v="GC00A10100004D REMUNERACION PERSONAL"/>
    <s v="51 GASTOS EN PERSONAL"/>
    <s v="510602 Fondo de Reserva"/>
    <s v="G/510602/1BA101"/>
    <s v="002"/>
    <n v="328121.86"/>
    <n v="-120764.91"/>
    <n v="0"/>
    <n v="207356.95"/>
    <n v="0"/>
    <n v="175704.2"/>
    <n v="175704.2"/>
    <n v="31652.75"/>
    <n v="31652.75"/>
    <n v="31652.75"/>
  </r>
  <r>
    <s v="51"/>
    <x v="0"/>
    <x v="1"/>
    <s v="ZA01C030"/>
    <x v="3"/>
    <s v="A101"/>
    <s v="FORTALECIMIENTO INSTITUCIONAL"/>
    <s v="GC00A10100004D"/>
    <s v="GC00A10100004D REMUNERACION PERSONAL"/>
    <s v="51 GASTOS EN PERSONAL"/>
    <s v="510602 Fondo de Reserva"/>
    <s v="G/510602/1CA101"/>
    <s v="002"/>
    <n v="331608.03999999998"/>
    <n v="-112"/>
    <n v="0"/>
    <n v="331496.03999999998"/>
    <n v="38322.14"/>
    <n v="194809.22"/>
    <n v="194809.22"/>
    <n v="136686.82"/>
    <n v="136686.82"/>
    <n v="98364.68"/>
  </r>
  <r>
    <s v="51"/>
    <x v="1"/>
    <x v="2"/>
    <s v="JM40I070"/>
    <x v="12"/>
    <s v="A101"/>
    <s v="FORTALECIMIENTO INSTITUCIONAL"/>
    <s v="GC00A10100004D"/>
    <s v="GC00A10100004D REMUNERACION PERSONAL"/>
    <s v="51 GASTOS EN PERSONAL"/>
    <s v="510602 Fondo de Reserva"/>
    <s v="G/510602/1IA101"/>
    <s v="001"/>
    <n v="0"/>
    <n v="817"/>
    <n v="0"/>
    <n v="817"/>
    <n v="817"/>
    <n v="0"/>
    <n v="0"/>
    <n v="817"/>
    <n v="817"/>
    <n v="0"/>
  </r>
  <r>
    <s v="51"/>
    <x v="2"/>
    <x v="11"/>
    <s v="TM68F100"/>
    <x v="34"/>
    <s v="A101"/>
    <s v="FORTALECIMIENTO INSTITUCIONAL"/>
    <s v="GC00A10100004D"/>
    <s v="GC00A10100004D REMUNERACION PERSONAL"/>
    <s v="51 GASTOS EN PERSONAL"/>
    <s v="510602 Fondo de Reserva"/>
    <s v="G/510602/1FA101"/>
    <s v="002"/>
    <n v="40640"/>
    <n v="385.75"/>
    <n v="0"/>
    <n v="41025.75"/>
    <n v="0"/>
    <n v="24172.36"/>
    <n v="24172.36"/>
    <n v="16853.39"/>
    <n v="16853.39"/>
    <n v="16853.39"/>
  </r>
  <r>
    <s v="51"/>
    <x v="3"/>
    <x v="14"/>
    <s v="ZA01H000"/>
    <x v="30"/>
    <s v="A101"/>
    <s v="FORTALECIMIENTO INSTITUCIONAL"/>
    <s v="GC00A10100004D"/>
    <s v="GC00A10100004D REMUNERACION PERSONAL"/>
    <s v="51 GASTOS EN PERSONAL"/>
    <s v="510602 Fondo de Reserva"/>
    <s v="G/510602/1HA101"/>
    <s v="002"/>
    <n v="40754.339999999997"/>
    <n v="0"/>
    <n v="0"/>
    <n v="40754.339999999997"/>
    <n v="501"/>
    <n v="21346.93"/>
    <n v="21346.93"/>
    <n v="19407.41"/>
    <n v="19407.41"/>
    <n v="18906.41"/>
  </r>
  <r>
    <s v="51"/>
    <x v="2"/>
    <x v="11"/>
    <s v="ZN02F020"/>
    <x v="40"/>
    <s v="A101"/>
    <s v="FORTALECIMIENTO INSTITUCIONAL"/>
    <s v="GC00A10100004D"/>
    <s v="GC00A10100004D REMUNERACION PERSONAL"/>
    <s v="51 GASTOS EN PERSONAL"/>
    <s v="510602 Fondo de Reserva"/>
    <s v="G/510602/1FA101"/>
    <s v="002"/>
    <n v="159980.42000000001"/>
    <n v="153"/>
    <n v="0"/>
    <n v="160133.42000000001"/>
    <n v="1938.25"/>
    <n v="106029.65"/>
    <n v="106029.65"/>
    <n v="54103.77"/>
    <n v="54103.77"/>
    <n v="52165.52"/>
  </r>
  <r>
    <s v="51"/>
    <x v="1"/>
    <x v="2"/>
    <s v="MB42I090"/>
    <x v="26"/>
    <s v="A101"/>
    <s v="FORTALECIMIENTO INSTITUCIONAL"/>
    <s v="GC00A10100004D"/>
    <s v="GC00A10100004D REMUNERACION PERSONAL"/>
    <s v="51 GASTOS EN PERSONAL"/>
    <s v="510602 Fondo de Reserva"/>
    <s v="G/510602/1IA101"/>
    <s v="002"/>
    <n v="96405.81"/>
    <n v="-625.33000000000004"/>
    <n v="0"/>
    <n v="95780.479999999996"/>
    <n v="0"/>
    <n v="76139.839999999997"/>
    <n v="76139.839999999997"/>
    <n v="19640.64"/>
    <n v="19640.64"/>
    <n v="19640.64"/>
  </r>
  <r>
    <s v="51"/>
    <x v="2"/>
    <x v="11"/>
    <s v="ZS03F030"/>
    <x v="38"/>
    <s v="A101"/>
    <s v="FORTALECIMIENTO INSTITUCIONAL"/>
    <s v="GC00A10100004D"/>
    <s v="GC00A10100004D REMUNERACION PERSONAL"/>
    <s v="51 GASTOS EN PERSONAL"/>
    <s v="510602 Fondo de Reserva"/>
    <s v="G/510602/1FA101"/>
    <s v="002"/>
    <n v="113935.47"/>
    <n v="0"/>
    <n v="0"/>
    <n v="113935.47"/>
    <n v="435"/>
    <n v="78015.8"/>
    <n v="78015.8"/>
    <n v="35919.67"/>
    <n v="35919.67"/>
    <n v="35484.67"/>
  </r>
  <r>
    <s v="51"/>
    <x v="1"/>
    <x v="2"/>
    <s v="OL41I060"/>
    <x v="42"/>
    <s v="A101"/>
    <s v="FORTALECIMIENTO INSTITUCIONAL"/>
    <s v="GC00A10100004D"/>
    <s v="GC00A10100004D REMUNERACION PERSONAL"/>
    <s v="51 GASTOS EN PERSONAL"/>
    <s v="510602 Fondo de Reserva"/>
    <s v="G/510602/1IA101"/>
    <s v="002"/>
    <n v="66204.86"/>
    <n v="-506.89"/>
    <n v="0"/>
    <n v="65697.97"/>
    <n v="0"/>
    <n v="52431.37"/>
    <n v="52431.37"/>
    <n v="13266.6"/>
    <n v="13266.6"/>
    <n v="13266.6"/>
  </r>
  <r>
    <s v="51"/>
    <x v="2"/>
    <x v="11"/>
    <s v="ZT06F060"/>
    <x v="25"/>
    <s v="A101"/>
    <s v="FORTALECIMIENTO INSTITUCIONAL"/>
    <s v="GC00A10100004D"/>
    <s v="GC00A10100004D REMUNERACION PERSONAL"/>
    <s v="51 GASTOS EN PERSONAL"/>
    <s v="510602 Fondo de Reserva"/>
    <s v="G/510602/1FA101"/>
    <s v="002"/>
    <n v="102972.76"/>
    <n v="0"/>
    <n v="0"/>
    <n v="102972.76"/>
    <n v="916"/>
    <n v="65691.59"/>
    <n v="65691.59"/>
    <n v="37281.17"/>
    <n v="37281.17"/>
    <n v="36365.17"/>
  </r>
  <r>
    <s v="51"/>
    <x v="3"/>
    <x v="15"/>
    <s v="AC67Q000"/>
    <x v="32"/>
    <s v="A101"/>
    <s v="FORTALECIMIENTO INSTITUCIONAL"/>
    <s v="GC00A10100004D"/>
    <s v="GC00A10100004D REMUNERACION PERSONAL"/>
    <s v="51 GASTOS EN PERSONAL"/>
    <s v="510602 Fondo de Reserva"/>
    <s v="G/510602/2QA101"/>
    <s v="002"/>
    <n v="132557.49"/>
    <n v="-32820.65"/>
    <n v="0"/>
    <n v="99736.84"/>
    <n v="2621.69"/>
    <n v="69110.94"/>
    <n v="69110.94"/>
    <n v="30625.9"/>
    <n v="30625.9"/>
    <n v="28004.21"/>
  </r>
  <r>
    <s v="51"/>
    <x v="2"/>
    <x v="10"/>
    <s v="ZA01D000"/>
    <x v="24"/>
    <s v="A101"/>
    <s v="FORTALECIMIENTO INSTITUCIONAL"/>
    <s v="GC00A10100004D"/>
    <s v="GC00A10100004D REMUNERACION PERSONAL"/>
    <s v="51 GASTOS EN PERSONAL"/>
    <s v="510602 Fondo de Reserva"/>
    <s v="G/510602/1DA101"/>
    <s v="002"/>
    <n v="105537.1"/>
    <n v="-191"/>
    <n v="0"/>
    <n v="105346.1"/>
    <n v="713"/>
    <n v="63213.93"/>
    <n v="63213.93"/>
    <n v="42132.17"/>
    <n v="42132.17"/>
    <n v="41419.17"/>
  </r>
  <r>
    <s v="51"/>
    <x v="2"/>
    <x v="11"/>
    <s v="ZA01F000"/>
    <x v="31"/>
    <s v="A101"/>
    <s v="FORTALECIMIENTO INSTITUCIONAL"/>
    <s v="GC00A10100004D"/>
    <s v="GC00A10100004D REMUNERACION PERSONAL"/>
    <s v="51 GASTOS EN PERSONAL"/>
    <s v="510602 Fondo de Reserva"/>
    <s v="G/510602/1FA101"/>
    <s v="002"/>
    <n v="59379"/>
    <n v="306"/>
    <n v="0"/>
    <n v="59685"/>
    <n v="13336.36"/>
    <n v="25870.47"/>
    <n v="25870.47"/>
    <n v="33814.53"/>
    <n v="33814.53"/>
    <n v="20478.169999999998"/>
  </r>
  <r>
    <s v="51"/>
    <x v="1"/>
    <x v="2"/>
    <s v="SF43I080"/>
    <x v="35"/>
    <s v="A101"/>
    <s v="FORTALECIMIENTO INSTITUCIONAL"/>
    <s v="GC00A10100004D"/>
    <s v="GC00A10100004D REMUNERACION PERSONAL"/>
    <s v="51 GASTOS EN PERSONAL"/>
    <s v="510602 Fondo de Reserva"/>
    <s v="G/510602/1IA101"/>
    <s v="002"/>
    <n v="77244.3"/>
    <n v="0"/>
    <n v="0"/>
    <n v="77244.3"/>
    <n v="0"/>
    <n v="59960.04"/>
    <n v="59960.04"/>
    <n v="17284.259999999998"/>
    <n v="17284.259999999998"/>
    <n v="17284.259999999998"/>
  </r>
  <r>
    <s v="51"/>
    <x v="1"/>
    <x v="2"/>
    <s v="JM40I070"/>
    <x v="12"/>
    <s v="A101"/>
    <s v="FORTALECIMIENTO INSTITUCIONAL"/>
    <s v="GC00A10100004D"/>
    <s v="GC00A10100004D REMUNERACION PERSONAL"/>
    <s v="51 GASTOS EN PERSONAL"/>
    <s v="510602 Fondo de Reserva"/>
    <s v="G/510602/1IA101"/>
    <s v="002"/>
    <n v="70207.429999999993"/>
    <n v="0"/>
    <n v="0"/>
    <n v="70207.429999999993"/>
    <n v="0"/>
    <n v="64504.03"/>
    <n v="64504.03"/>
    <n v="5703.4"/>
    <n v="5703.4"/>
    <n v="5703.4"/>
  </r>
  <r>
    <s v="51"/>
    <x v="1"/>
    <x v="2"/>
    <s v="ES12I020"/>
    <x v="16"/>
    <s v="A101"/>
    <s v="FORTALECIMIENTO INSTITUCIONAL"/>
    <s v="GC00A10100004D"/>
    <s v="GC00A10100004D REMUNERACION PERSONAL"/>
    <s v="51 GASTOS EN PERSONAL"/>
    <s v="510602 Fondo de Reserva"/>
    <s v="G/510602/1IA101"/>
    <s v="002"/>
    <n v="178203.78"/>
    <n v="0"/>
    <n v="0"/>
    <n v="178203.78"/>
    <n v="0"/>
    <n v="135183.98000000001"/>
    <n v="135183.98000000001"/>
    <n v="43019.8"/>
    <n v="43019.8"/>
    <n v="43019.8"/>
  </r>
  <r>
    <s v="51"/>
    <x v="1"/>
    <x v="3"/>
    <s v="UC32M020"/>
    <x v="7"/>
    <s v="A101"/>
    <s v="FORTALECIMIENTO INSTITUCIONAL"/>
    <s v="GC00A10100004D"/>
    <s v="GC00A10100004D REMUNERACION PERSONAL"/>
    <s v="51 GASTOS EN PERSONAL"/>
    <s v="510602 Fondo de Reserva"/>
    <s v="G/510602/1MA101"/>
    <s v="002"/>
    <n v="239114.25"/>
    <n v="-113007.09"/>
    <n v="0"/>
    <n v="126107.16"/>
    <n v="17376.3"/>
    <n v="106484.87"/>
    <n v="106484.87"/>
    <n v="19622.29"/>
    <n v="19622.29"/>
    <n v="2245.9899999999998"/>
  </r>
  <r>
    <s v="51"/>
    <x v="2"/>
    <x v="11"/>
    <s v="ZD07F070"/>
    <x v="43"/>
    <s v="A101"/>
    <s v="FORTALECIMIENTO INSTITUCIONAL"/>
    <s v="GC00A10100004D"/>
    <s v="GC00A10100004D REMUNERACION PERSONAL"/>
    <s v="51 GASTOS EN PERSONAL"/>
    <s v="510602 Fondo de Reserva"/>
    <s v="G/510602/1FA101"/>
    <s v="002"/>
    <n v="122966.31"/>
    <n v="-535.5"/>
    <n v="0"/>
    <n v="122430.81"/>
    <n v="1206.5"/>
    <n v="87649.78"/>
    <n v="87649.78"/>
    <n v="34781.03"/>
    <n v="34781.03"/>
    <n v="33574.53"/>
  </r>
  <r>
    <s v="51"/>
    <x v="1"/>
    <x v="2"/>
    <s v="EE11I010"/>
    <x v="21"/>
    <s v="A101"/>
    <s v="FORTALECIMIENTO INSTITUCIONAL"/>
    <s v="GC00A10100004D"/>
    <s v="GC00A10100004D REMUNERACION PERSONAL"/>
    <s v="51 GASTOS EN PERSONAL"/>
    <s v="510602 Fondo de Reserva"/>
    <s v="G/510602/1IA101"/>
    <s v="002"/>
    <n v="154218.54999999999"/>
    <n v="-800.78"/>
    <n v="0"/>
    <n v="153417.76999999999"/>
    <n v="0"/>
    <n v="118390.99"/>
    <n v="118390.99"/>
    <n v="35026.78"/>
    <n v="35026.78"/>
    <n v="35026.78"/>
  </r>
  <r>
    <s v="51"/>
    <x v="2"/>
    <x v="5"/>
    <s v="PM71N010"/>
    <x v="27"/>
    <s v="A101"/>
    <s v="FORTALECIMIENTO INSTITUCIONAL"/>
    <s v="GC00A10100004D"/>
    <s v="GC00A10100004D REMUNERACION PERSONAL"/>
    <s v="51 GASTOS EN PERSONAL"/>
    <s v="510602 Fondo de Reserva"/>
    <s v="G/510602/1NA101"/>
    <s v="002"/>
    <n v="1300077.6599999999"/>
    <n v="0"/>
    <n v="0"/>
    <n v="1300077.6599999999"/>
    <n v="38367.4"/>
    <n v="1022320.91"/>
    <n v="1022320.91"/>
    <n v="277756.75"/>
    <n v="277756.75"/>
    <n v="239389.35"/>
  </r>
  <r>
    <s v="51"/>
    <x v="2"/>
    <x v="6"/>
    <s v="AT69K040"/>
    <x v="13"/>
    <s v="A101"/>
    <s v="FORTALECIMIENTO INSTITUCIONAL"/>
    <s v="GC00A10100004D"/>
    <s v="GC00A10100004D REMUNERACION PERSONAL"/>
    <s v="51 GASTOS EN PERSONAL"/>
    <s v="510602 Fondo de Reserva"/>
    <s v="G/510602/1KA101"/>
    <s v="002"/>
    <n v="2342671.66"/>
    <n v="649.13"/>
    <n v="0"/>
    <n v="2343320.79"/>
    <n v="14054.81"/>
    <n v="1796177.7"/>
    <n v="1796177.7"/>
    <n v="547143.09"/>
    <n v="547143.09"/>
    <n v="533088.28"/>
  </r>
  <r>
    <s v="51"/>
    <x v="2"/>
    <x v="11"/>
    <s v="ZC09F090"/>
    <x v="44"/>
    <s v="A101"/>
    <s v="FORTALECIMIENTO INSTITUCIONAL"/>
    <s v="GC00A10100004D"/>
    <s v="GC00A10100004D REMUNERACION PERSONAL"/>
    <s v="51 GASTOS EN PERSONAL"/>
    <s v="510602 Fondo de Reserva"/>
    <s v="G/510602/1FA101"/>
    <s v="002"/>
    <n v="75757.5"/>
    <n v="-153"/>
    <n v="0"/>
    <n v="75604.5"/>
    <n v="617.4"/>
    <n v="45872.09"/>
    <n v="45822.11"/>
    <n v="29732.41"/>
    <n v="29782.39"/>
    <n v="29115.01"/>
  </r>
  <r>
    <s v="51"/>
    <x v="2"/>
    <x v="11"/>
    <s v="ZM04F040"/>
    <x v="41"/>
    <s v="A101"/>
    <s v="FORTALECIMIENTO INSTITUCIONAL"/>
    <s v="GC00A10100004D"/>
    <s v="GC00A10100004D REMUNERACION PERSONAL"/>
    <s v="51 GASTOS EN PERSONAL"/>
    <s v="510602 Fondo de Reserva"/>
    <s v="G/510602/1FA101"/>
    <s v="002"/>
    <n v="124295.27"/>
    <n v="0"/>
    <n v="0"/>
    <n v="124295.27"/>
    <n v="888.75"/>
    <n v="89166.11"/>
    <n v="89166.11"/>
    <n v="35129.160000000003"/>
    <n v="35129.160000000003"/>
    <n v="34240.410000000003"/>
  </r>
  <r>
    <s v="51"/>
    <x v="0"/>
    <x v="0"/>
    <s v="RP36A010"/>
    <x v="2"/>
    <s v="A101"/>
    <s v="FORTALECIMIENTO INSTITUCIONAL"/>
    <s v="GC00A10100004D"/>
    <s v="GC00A10100004D REMUNERACION PERSONAL"/>
    <s v="51 GASTOS EN PERSONAL"/>
    <s v="510705 Restitución de Puesto"/>
    <s v="G/510705/1AA101"/>
    <s v="002"/>
    <n v="0"/>
    <n v="68607.66"/>
    <n v="0"/>
    <n v="68607.66"/>
    <n v="0"/>
    <n v="62473.93"/>
    <n v="62473.93"/>
    <n v="6133.73"/>
    <n v="6133.73"/>
    <n v="6133.73"/>
  </r>
  <r>
    <s v="51"/>
    <x v="2"/>
    <x v="11"/>
    <s v="ZM04F040"/>
    <x v="41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2"/>
    <n v="19156.16"/>
    <n v="-1500"/>
    <n v="0"/>
    <n v="17656.16"/>
    <n v="0"/>
    <n v="10319.86"/>
    <n v="10319.86"/>
    <n v="7336.3"/>
    <n v="7336.3"/>
    <n v="7336.3"/>
  </r>
  <r>
    <s v="51"/>
    <x v="2"/>
    <x v="11"/>
    <s v="ZC09F090"/>
    <x v="44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2"/>
    <n v="6245.34"/>
    <n v="0"/>
    <n v="0"/>
    <n v="6245.34"/>
    <n v="0"/>
    <n v="3716.99"/>
    <n v="1458.49"/>
    <n v="2528.35"/>
    <n v="4786.8500000000004"/>
    <n v="2528.35"/>
  </r>
  <r>
    <s v="51"/>
    <x v="2"/>
    <x v="11"/>
    <s v="ZD07F070"/>
    <x v="43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2"/>
    <n v="16952.91"/>
    <n v="0"/>
    <n v="0"/>
    <n v="16952.91"/>
    <n v="0"/>
    <n v="15467.82"/>
    <n v="15467.82"/>
    <n v="1485.09"/>
    <n v="1485.09"/>
    <n v="1485.09"/>
  </r>
  <r>
    <s v="51"/>
    <x v="2"/>
    <x v="11"/>
    <s v="TM68F100"/>
    <x v="34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2"/>
    <n v="4580.43"/>
    <n v="0"/>
    <n v="0"/>
    <n v="4580.43"/>
    <n v="0"/>
    <n v="1506.27"/>
    <n v="1506.26"/>
    <n v="3074.16"/>
    <n v="3074.17"/>
    <n v="3074.16"/>
  </r>
  <r>
    <s v="51"/>
    <x v="2"/>
    <x v="11"/>
    <s v="ZN02F020"/>
    <x v="40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2"/>
    <n v="20289.509999999998"/>
    <n v="0"/>
    <n v="0"/>
    <n v="20289.509999999998"/>
    <n v="0"/>
    <n v="9051.8700000000008"/>
    <n v="9051.8700000000008"/>
    <n v="11237.64"/>
    <n v="11237.64"/>
    <n v="11237.64"/>
  </r>
  <r>
    <s v="51"/>
    <x v="2"/>
    <x v="11"/>
    <s v="ZA01F000"/>
    <x v="31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2"/>
    <n v="10260.27"/>
    <n v="-1300"/>
    <n v="0"/>
    <n v="8960.27"/>
    <n v="0"/>
    <n v="1008.36"/>
    <n v="1008.36"/>
    <n v="7951.91"/>
    <n v="7951.91"/>
    <n v="7951.91"/>
  </r>
  <r>
    <s v="51"/>
    <x v="3"/>
    <x v="15"/>
    <s v="AC67Q000"/>
    <x v="32"/>
    <s v="A101"/>
    <s v="FORTALECIMIENTO INSTITUCIONAL"/>
    <s v="GC00A10100004D"/>
    <s v="GC00A10100004D REMUNERACION PERSONAL"/>
    <s v="51 GASTOS EN PERSONAL"/>
    <s v="510707 Compensación por Vacaciones no Gozadas por"/>
    <s v="G/510707/2QA101"/>
    <s v="002"/>
    <n v="29650"/>
    <n v="-4022.2"/>
    <n v="0"/>
    <n v="25627.8"/>
    <n v="0"/>
    <n v="16581.93"/>
    <n v="16581.93"/>
    <n v="9045.8700000000008"/>
    <n v="9045.8700000000008"/>
    <n v="9045.8700000000008"/>
  </r>
  <r>
    <s v="51"/>
    <x v="2"/>
    <x v="10"/>
    <s v="ZA01D000"/>
    <x v="24"/>
    <s v="A101"/>
    <s v="FORTALECIMIENTO INSTITUCIONAL"/>
    <s v="GC00A10100004D"/>
    <s v="GC00A10100004D REMUNERACION PERSONAL"/>
    <s v="51 GASTOS EN PERSONAL"/>
    <s v="510707 Compensación por Vacaciones no Gozadas por"/>
    <s v="G/510707/1DA101"/>
    <s v="002"/>
    <n v="25809.79"/>
    <n v="0"/>
    <n v="0"/>
    <n v="25809.79"/>
    <n v="0"/>
    <n v="590"/>
    <n v="0"/>
    <n v="25219.79"/>
    <n v="25809.79"/>
    <n v="25219.79"/>
  </r>
  <r>
    <s v="51"/>
    <x v="2"/>
    <x v="11"/>
    <s v="ZQ08F080"/>
    <x v="39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2"/>
    <n v="6467.65"/>
    <n v="-550"/>
    <n v="0"/>
    <n v="5917.65"/>
    <n v="0"/>
    <n v="5141.17"/>
    <n v="5141.17"/>
    <n v="776.48"/>
    <n v="776.48"/>
    <n v="776.48"/>
  </r>
  <r>
    <s v="51"/>
    <x v="2"/>
    <x v="11"/>
    <s v="ZS03F030"/>
    <x v="38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2"/>
    <n v="14447.68"/>
    <n v="-850"/>
    <n v="0"/>
    <n v="13597.68"/>
    <n v="0"/>
    <n v="12869.42"/>
    <n v="12869.42"/>
    <n v="728.26"/>
    <n v="728.26"/>
    <n v="728.26"/>
  </r>
  <r>
    <s v="51"/>
    <x v="2"/>
    <x v="11"/>
    <s v="ZV05F050"/>
    <x v="37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2"/>
    <n v="13977.57"/>
    <n v="0"/>
    <n v="0"/>
    <n v="13977.57"/>
    <n v="0"/>
    <n v="5410.62"/>
    <n v="5410.62"/>
    <n v="8566.9500000000007"/>
    <n v="8566.9500000000007"/>
    <n v="8566.9500000000007"/>
  </r>
  <r>
    <s v="51"/>
    <x v="1"/>
    <x v="2"/>
    <s v="CB21I040"/>
    <x v="23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2"/>
    <n v="7649.22"/>
    <n v="0"/>
    <n v="0"/>
    <n v="7649.22"/>
    <n v="0"/>
    <n v="1119.27"/>
    <n v="1119.27"/>
    <n v="6529.95"/>
    <n v="6529.95"/>
    <n v="6529.95"/>
  </r>
  <r>
    <s v="51"/>
    <x v="2"/>
    <x v="5"/>
    <s v="ZA01N000"/>
    <x v="10"/>
    <s v="A101"/>
    <s v="FORTALECIMIENTO INSTITUCIONAL"/>
    <s v="GC00A10100004D"/>
    <s v="GC00A10100004D REMUNERACION PERSONAL"/>
    <s v="51 GASTOS EN PERSONAL"/>
    <s v="510707 Compensación por Vacaciones no Gozadas por"/>
    <s v="G/510707/1NA101"/>
    <s v="002"/>
    <n v="38261.24"/>
    <n v="0"/>
    <n v="0"/>
    <n v="38261.24"/>
    <n v="0"/>
    <n v="10255.99"/>
    <n v="9162.66"/>
    <n v="28005.25"/>
    <n v="29098.58"/>
    <n v="28005.25"/>
  </r>
  <r>
    <s v="51"/>
    <x v="1"/>
    <x v="3"/>
    <s v="ZA01M000"/>
    <x v="6"/>
    <s v="A101"/>
    <s v="FORTALECIMIENTO INSTITUCIONAL"/>
    <s v="GC00A10100004D"/>
    <s v="GC00A10100004D REMUNERACION PERSONAL"/>
    <s v="51 GASTOS EN PERSONAL"/>
    <s v="510707 Compensación por Vacaciones no Gozadas por"/>
    <s v="G/510707/1MA101"/>
    <s v="002"/>
    <n v="8795.5400000000009"/>
    <n v="0"/>
    <n v="0"/>
    <n v="8795.5400000000009"/>
    <n v="0"/>
    <n v="7440.63"/>
    <n v="7440.63"/>
    <n v="1354.91"/>
    <n v="1354.91"/>
    <n v="1354.91"/>
  </r>
  <r>
    <s v="51"/>
    <x v="1"/>
    <x v="4"/>
    <s v="ZA01J000"/>
    <x v="9"/>
    <s v="A101"/>
    <s v="FORTALECIMIENTO INSTITUCIONAL"/>
    <s v="GC00A10100004D"/>
    <s v="GC00A10100004D REMUNERACION PERSONAL"/>
    <s v="51 GASTOS EN PERSONAL"/>
    <s v="510707 Compensación por Vacaciones no Gozadas por"/>
    <s v="G/510707/1JA101"/>
    <s v="002"/>
    <n v="6665.3"/>
    <n v="0"/>
    <n v="0"/>
    <n v="6665.3"/>
    <n v="0"/>
    <n v="30.6"/>
    <n v="30.6"/>
    <n v="6634.7"/>
    <n v="6634.7"/>
    <n v="6634.7"/>
  </r>
  <r>
    <s v="51"/>
    <x v="1"/>
    <x v="2"/>
    <s v="ZA01I000"/>
    <x v="5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2"/>
    <n v="46814.06"/>
    <n v="0"/>
    <n v="0"/>
    <n v="46814.06"/>
    <n v="0"/>
    <n v="8342.52"/>
    <n v="8342.52"/>
    <n v="38471.54"/>
    <n v="38471.54"/>
    <n v="38471.54"/>
  </r>
  <r>
    <s v="51"/>
    <x v="1"/>
    <x v="13"/>
    <s v="ZA01G000"/>
    <x v="29"/>
    <s v="A101"/>
    <s v="FORTALECIMIENTO INSTITUCIONAL"/>
    <s v="GC00A10100004D"/>
    <s v="GC00A10100004D REMUNERACION PERSONAL"/>
    <s v="51 GASTOS EN PERSONAL"/>
    <s v="510707 Compensación por Vacaciones no Gozadas por"/>
    <s v="G/510707/1GA101"/>
    <s v="002"/>
    <n v="30422.080000000002"/>
    <n v="-9989.77"/>
    <n v="0"/>
    <n v="20432.310000000001"/>
    <n v="0"/>
    <n v="7002.77"/>
    <n v="4876.07"/>
    <n v="13429.54"/>
    <n v="15556.24"/>
    <n v="13429.54"/>
  </r>
  <r>
    <s v="51"/>
    <x v="1"/>
    <x v="3"/>
    <s v="US33M030"/>
    <x v="8"/>
    <s v="A101"/>
    <s v="FORTALECIMIENTO INSTITUCIONAL"/>
    <s v="GC00A10100004D"/>
    <s v="GC00A10100004D REMUNERACION PERSONAL"/>
    <s v="51 GASTOS EN PERSONAL"/>
    <s v="510707 Compensación por Vacaciones no Gozadas por"/>
    <s v="G/510707/1MA101"/>
    <s v="002"/>
    <n v="34363.379999999997"/>
    <n v="0"/>
    <n v="0"/>
    <n v="34363.379999999997"/>
    <n v="0"/>
    <n v="7363.71"/>
    <n v="7363.71"/>
    <n v="26999.67"/>
    <n v="26999.67"/>
    <n v="26999.67"/>
  </r>
  <r>
    <s v="51"/>
    <x v="2"/>
    <x v="5"/>
    <s v="PM71N010"/>
    <x v="27"/>
    <s v="A101"/>
    <s v="FORTALECIMIENTO INSTITUCIONAL"/>
    <s v="GC00A10100004D"/>
    <s v="GC00A10100004D REMUNERACION PERSONAL"/>
    <s v="51 GASTOS EN PERSONAL"/>
    <s v="510707 Compensación por Vacaciones no Gozadas por"/>
    <s v="G/510707/1NA101"/>
    <s v="002"/>
    <n v="76607.67"/>
    <n v="0"/>
    <n v="0"/>
    <n v="76607.67"/>
    <n v="0"/>
    <n v="6786.2"/>
    <n v="6786.2"/>
    <n v="69821.47"/>
    <n v="69821.47"/>
    <n v="69821.47"/>
  </r>
  <r>
    <s v="51"/>
    <x v="1"/>
    <x v="2"/>
    <s v="OL41I060"/>
    <x v="42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2"/>
    <n v="6330.59"/>
    <n v="0"/>
    <n v="0"/>
    <n v="6330.59"/>
    <n v="0"/>
    <n v="109.97"/>
    <n v="109.97"/>
    <n v="6220.62"/>
    <n v="6220.62"/>
    <n v="6220.62"/>
  </r>
  <r>
    <s v="51"/>
    <x v="1"/>
    <x v="2"/>
    <s v="MB42I090"/>
    <x v="26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2"/>
    <n v="10507.86"/>
    <n v="0"/>
    <n v="0"/>
    <n v="10507.86"/>
    <n v="0"/>
    <n v="288.72000000000003"/>
    <n v="288.72000000000003"/>
    <n v="10219.14"/>
    <n v="10219.14"/>
    <n v="10219.14"/>
  </r>
  <r>
    <s v="51"/>
    <x v="1"/>
    <x v="2"/>
    <s v="ES12I020"/>
    <x v="16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2"/>
    <n v="12018.78"/>
    <n v="0"/>
    <n v="0"/>
    <n v="12018.78"/>
    <n v="0"/>
    <n v="1161.54"/>
    <n v="1161.54"/>
    <n v="10857.24"/>
    <n v="10857.24"/>
    <n v="10857.24"/>
  </r>
  <r>
    <s v="51"/>
    <x v="1"/>
    <x v="2"/>
    <s v="EQ13I030"/>
    <x v="20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2"/>
    <n v="10695.13"/>
    <n v="-201"/>
    <n v="0"/>
    <n v="10494.13"/>
    <n v="0"/>
    <n v="880.37"/>
    <n v="880.37"/>
    <n v="9613.76"/>
    <n v="9613.76"/>
    <n v="9613.76"/>
  </r>
  <r>
    <s v="51"/>
    <x v="1"/>
    <x v="2"/>
    <s v="EE11I010"/>
    <x v="21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2"/>
    <n v="8936.24"/>
    <n v="0"/>
    <n v="0"/>
    <n v="8936.24"/>
    <n v="0"/>
    <n v="2589.27"/>
    <n v="1444.33"/>
    <n v="6346.97"/>
    <n v="7491.91"/>
    <n v="6346.97"/>
  </r>
  <r>
    <s v="51"/>
    <x v="2"/>
    <x v="8"/>
    <s v="FS66P020"/>
    <x v="36"/>
    <s v="A101"/>
    <s v="FORTALECIMIENTO INSTITUCIONAL"/>
    <s v="GC00A10100004D"/>
    <s v="GC00A10100004D REMUNERACION PERSONAL"/>
    <s v="51 GASTOS EN PERSONAL"/>
    <s v="510707 Compensación por Vacaciones no Gozadas por"/>
    <s v="G/510707/1PA101"/>
    <s v="002"/>
    <n v="19721.25"/>
    <n v="-8307.48"/>
    <n v="0"/>
    <n v="11413.77"/>
    <n v="0"/>
    <n v="4256.3500000000004"/>
    <n v="4256.34"/>
    <n v="7157.42"/>
    <n v="7157.43"/>
    <n v="7157.42"/>
  </r>
  <r>
    <s v="51"/>
    <x v="0"/>
    <x v="1"/>
    <s v="ZA01C060"/>
    <x v="45"/>
    <s v="A101"/>
    <s v="FORTALECIMIENTO INSTITUCIONAL"/>
    <s v="GC00A10100004D"/>
    <s v="GC00A10100004D REMUNERACION PERSONAL"/>
    <s v="51 GASTOS EN PERSONAL"/>
    <s v="510707 Compensación por Vacaciones no Gozadas por"/>
    <s v="G/510707/1CA101"/>
    <s v="002"/>
    <n v="2855.6"/>
    <n v="0"/>
    <n v="0"/>
    <n v="2855.6"/>
    <n v="0"/>
    <n v="0"/>
    <n v="0"/>
    <n v="2855.6"/>
    <n v="2855.6"/>
    <n v="2855.6"/>
  </r>
  <r>
    <s v="51"/>
    <x v="0"/>
    <x v="12"/>
    <s v="MC37B000"/>
    <x v="28"/>
    <s v="A101"/>
    <s v="FORTALECIMIENTO INSTITUCIONAL"/>
    <s v="GC00A10100004D"/>
    <s v="GC00A10100004D REMUNERACION PERSONAL"/>
    <s v="51 GASTOS EN PERSONAL"/>
    <s v="510707 Compensación por Vacaciones no Gozadas por"/>
    <s v="G/510707/1BA101"/>
    <s v="002"/>
    <n v="29650"/>
    <n v="1140.96"/>
    <n v="0"/>
    <n v="30790.959999999999"/>
    <n v="0"/>
    <n v="0"/>
    <n v="0"/>
    <n v="30790.959999999999"/>
    <n v="30790.959999999999"/>
    <n v="30790.959999999999"/>
  </r>
  <r>
    <s v="51"/>
    <x v="1"/>
    <x v="2"/>
    <s v="JM40I070"/>
    <x v="12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2"/>
    <n v="13772.4"/>
    <n v="0"/>
    <n v="0"/>
    <n v="13772.4"/>
    <n v="0"/>
    <n v="0"/>
    <n v="0"/>
    <n v="13772.4"/>
    <n v="13772.4"/>
    <n v="13772.4"/>
  </r>
  <r>
    <s v="51"/>
    <x v="2"/>
    <x v="11"/>
    <s v="ZT06F060"/>
    <x v="25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2"/>
    <n v="13179.35"/>
    <n v="-550"/>
    <n v="0"/>
    <n v="12629.35"/>
    <n v="0"/>
    <n v="1130.7"/>
    <n v="1130.7"/>
    <n v="11498.65"/>
    <n v="11498.65"/>
    <n v="11498.65"/>
  </r>
  <r>
    <s v="51"/>
    <x v="1"/>
    <x v="2"/>
    <s v="CF22I050"/>
    <x v="22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2"/>
    <n v="12384.5"/>
    <n v="0"/>
    <n v="0"/>
    <n v="12384.5"/>
    <n v="0"/>
    <n v="0"/>
    <n v="0"/>
    <n v="12384.5"/>
    <n v="12384.5"/>
    <n v="12384.5"/>
  </r>
  <r>
    <s v="51"/>
    <x v="1"/>
    <x v="3"/>
    <s v="UN31M010"/>
    <x v="11"/>
    <s v="A101"/>
    <s v="FORTALECIMIENTO INSTITUCIONAL"/>
    <s v="GC00A10100004D"/>
    <s v="GC00A10100004D REMUNERACION PERSONAL"/>
    <s v="51 GASTOS EN PERSONAL"/>
    <s v="510707 Compensación por Vacaciones no Gozadas por"/>
    <s v="G/510707/1MA101"/>
    <s v="002"/>
    <n v="24444.99"/>
    <n v="0"/>
    <n v="0"/>
    <n v="24444.99"/>
    <n v="0"/>
    <n v="10111.84"/>
    <n v="8229.17"/>
    <n v="14333.15"/>
    <n v="16215.82"/>
    <n v="14333.15"/>
  </r>
  <r>
    <s v="51"/>
    <x v="1"/>
    <x v="3"/>
    <s v="UC32M020"/>
    <x v="7"/>
    <s v="A101"/>
    <s v="FORTALECIMIENTO INSTITUCIONAL"/>
    <s v="GC00A10100004D"/>
    <s v="GC00A10100004D REMUNERACION PERSONAL"/>
    <s v="51 GASTOS EN PERSONAL"/>
    <s v="510707 Compensación por Vacaciones no Gozadas por"/>
    <s v="G/510707/1MA101"/>
    <s v="002"/>
    <n v="23630.06"/>
    <n v="0"/>
    <n v="0"/>
    <n v="23630.06"/>
    <n v="0"/>
    <n v="8463.09"/>
    <n v="8463.09"/>
    <n v="15166.97"/>
    <n v="15166.97"/>
    <n v="15166.97"/>
  </r>
  <r>
    <s v="51"/>
    <x v="2"/>
    <x v="6"/>
    <s v="AT69K040"/>
    <x v="13"/>
    <s v="A101"/>
    <s v="FORTALECIMIENTO INSTITUCIONAL"/>
    <s v="GC00A10100004D"/>
    <s v="GC00A10100004D REMUNERACION PERSONAL"/>
    <s v="51 GASTOS EN PERSONAL"/>
    <s v="510707 Compensación por Vacaciones no Gozadas por"/>
    <s v="G/510707/1KA101"/>
    <s v="002"/>
    <n v="189194.33"/>
    <n v="0"/>
    <n v="0"/>
    <n v="189194.33"/>
    <n v="0"/>
    <n v="46516.7"/>
    <n v="46516.55"/>
    <n v="142677.63"/>
    <n v="142677.78"/>
    <n v="142677.63"/>
  </r>
  <r>
    <s v="51"/>
    <x v="0"/>
    <x v="0"/>
    <s v="ZA01A000"/>
    <x v="1"/>
    <s v="A101"/>
    <s v="FORTALECIMIENTO INSTITUCIONAL"/>
    <s v="GC00A10100004D"/>
    <s v="GC00A10100004D REMUNERACION PERSONAL"/>
    <s v="51 GASTOS EN PERSONAL"/>
    <s v="510707 Compensación por Vacaciones no Gozadas por"/>
    <s v="G/510707/1AA101"/>
    <s v="002"/>
    <n v="115206.15"/>
    <n v="0"/>
    <n v="0"/>
    <n v="115206.15"/>
    <n v="0"/>
    <n v="54822.2"/>
    <n v="53307.93"/>
    <n v="60383.95"/>
    <n v="61898.22"/>
    <n v="60383.95"/>
  </r>
  <r>
    <s v="51"/>
    <x v="0"/>
    <x v="0"/>
    <s v="RP36A010"/>
    <x v="2"/>
    <s v="A101"/>
    <s v="FORTALECIMIENTO INSTITUCIONAL"/>
    <s v="GC00A10100004D"/>
    <s v="GC00A10100004D REMUNERACION PERSONAL"/>
    <s v="51 GASTOS EN PERSONAL"/>
    <s v="510707 Compensación por Vacaciones no Gozadas por"/>
    <s v="G/510707/1AA101"/>
    <s v="002"/>
    <n v="61573.46"/>
    <n v="-39102.080000000002"/>
    <n v="0"/>
    <n v="22471.38"/>
    <n v="0"/>
    <n v="3525.76"/>
    <n v="3525.76"/>
    <n v="18945.62"/>
    <n v="18945.62"/>
    <n v="18945.62"/>
  </r>
  <r>
    <s v="51"/>
    <x v="0"/>
    <x v="7"/>
    <s v="ZA01L000"/>
    <x v="14"/>
    <s v="A101"/>
    <s v="FORTALECIMIENTO INSTITUCIONAL"/>
    <s v="GC00A10100004D"/>
    <s v="GC00A10100004D REMUNERACION PERSONAL"/>
    <s v="51 GASTOS EN PERSONAL"/>
    <s v="510707 Compensación por Vacaciones no Gozadas por"/>
    <s v="G/510707/1LA101"/>
    <s v="002"/>
    <n v="30020.13"/>
    <n v="-6459.66"/>
    <n v="0"/>
    <n v="23560.47"/>
    <n v="0"/>
    <n v="14621.33"/>
    <n v="14621.33"/>
    <n v="8939.14"/>
    <n v="8939.14"/>
    <n v="8939.14"/>
  </r>
  <r>
    <s v="51"/>
    <x v="3"/>
    <x v="14"/>
    <s v="ZA01H000"/>
    <x v="30"/>
    <s v="A101"/>
    <s v="FORTALECIMIENTO INSTITUCIONAL"/>
    <s v="GC00A10100004D"/>
    <s v="GC00A10100004D REMUNERACION PERSONAL"/>
    <s v="51 GASTOS EN PERSONAL"/>
    <s v="510707 Compensación por Vacaciones no Gozadas por"/>
    <s v="G/510707/1HA101"/>
    <s v="002"/>
    <n v="5748.16"/>
    <n v="0"/>
    <n v="0"/>
    <n v="5748.16"/>
    <n v="0"/>
    <n v="3490.47"/>
    <n v="3490.47"/>
    <n v="2257.69"/>
    <n v="2257.69"/>
    <n v="2257.69"/>
  </r>
  <r>
    <s v="51"/>
    <x v="2"/>
    <x v="8"/>
    <s v="ZA01P000"/>
    <x v="15"/>
    <s v="A101"/>
    <s v="FORTALECIMIENTO INSTITUCIONAL"/>
    <s v="GC00A10100004D"/>
    <s v="GC00A10100004D REMUNERACION PERSONAL"/>
    <s v="51 GASTOS EN PERSONAL"/>
    <s v="510707 Compensación por Vacaciones no Gozadas por"/>
    <s v="G/510707/1PA101"/>
    <s v="002"/>
    <n v="10027.09"/>
    <n v="0"/>
    <n v="0"/>
    <n v="10027.09"/>
    <n v="0"/>
    <n v="3315.79"/>
    <n v="1749.79"/>
    <n v="6711.3"/>
    <n v="8277.2999999999993"/>
    <n v="6711.3"/>
  </r>
  <r>
    <s v="51"/>
    <x v="2"/>
    <x v="6"/>
    <s v="ZA01K000"/>
    <x v="17"/>
    <s v="A101"/>
    <s v="FORTALECIMIENTO INSTITUCIONAL"/>
    <s v="GC00A10100004D"/>
    <s v="GC00A10100004D REMUNERACION PERSONAL"/>
    <s v="51 GASTOS EN PERSONAL"/>
    <s v="510707 Compensación por Vacaciones no Gozadas por"/>
    <s v="G/510707/1KA101"/>
    <s v="002"/>
    <n v="15506.16"/>
    <n v="0"/>
    <n v="0"/>
    <n v="15506.16"/>
    <n v="0"/>
    <n v="3050.88"/>
    <n v="2145.46"/>
    <n v="12455.28"/>
    <n v="13360.7"/>
    <n v="12455.28"/>
  </r>
  <r>
    <s v="51"/>
    <x v="0"/>
    <x v="9"/>
    <s v="ZA01E000"/>
    <x v="18"/>
    <s v="A101"/>
    <s v="FORTALECIMIENTO INSTITUCIONAL"/>
    <s v="GC00A10100004D"/>
    <s v="GC00A10100004D REMUNERACION PERSONAL"/>
    <s v="51 GASTOS EN PERSONAL"/>
    <s v="510707 Compensación por Vacaciones no Gozadas por"/>
    <s v="G/510707/1EA101"/>
    <s v="002"/>
    <n v="10913.5"/>
    <n v="5100"/>
    <n v="0"/>
    <n v="16013.5"/>
    <n v="0"/>
    <n v="15542.14"/>
    <n v="15542.14"/>
    <n v="471.36"/>
    <n v="471.36"/>
    <n v="471.36"/>
  </r>
  <r>
    <s v="51"/>
    <x v="2"/>
    <x v="11"/>
    <s v="RB34F010"/>
    <x v="33"/>
    <s v="A101"/>
    <s v="FORTALECIMIENTO INSTITUCIONAL"/>
    <s v="GC00A10100004D"/>
    <s v="GC00A10100004D REMUNERACION PERSONAL"/>
    <s v="51 GASTOS EN PERSONAL"/>
    <s v="510707 Compensación por Vacaciones no Gozadas por"/>
    <s v="G/510707/1FA101"/>
    <s v="002"/>
    <n v="7619.89"/>
    <n v="-900"/>
    <n v="0"/>
    <n v="6719.89"/>
    <n v="0"/>
    <n v="3225.25"/>
    <n v="3225.25"/>
    <n v="3494.64"/>
    <n v="3494.64"/>
    <n v="3494.64"/>
  </r>
  <r>
    <s v="51"/>
    <x v="1"/>
    <x v="2"/>
    <s v="SF43I080"/>
    <x v="35"/>
    <s v="A101"/>
    <s v="FORTALECIMIENTO INSTITUCIONAL"/>
    <s v="GC00A10100004D"/>
    <s v="GC00A10100004D REMUNERACION PERSONAL"/>
    <s v="51 GASTOS EN PERSONAL"/>
    <s v="510707 Compensación por Vacaciones no Gozadas por"/>
    <s v="G/510707/1IA101"/>
    <s v="002"/>
    <n v="8295.93"/>
    <n v="0"/>
    <n v="0"/>
    <n v="8295.93"/>
    <n v="0"/>
    <n v="0"/>
    <n v="0"/>
    <n v="8295.93"/>
    <n v="8295.93"/>
    <n v="8295.93"/>
  </r>
  <r>
    <s v="51"/>
    <x v="0"/>
    <x v="1"/>
    <s v="ZA01C002"/>
    <x v="46"/>
    <s v="A101"/>
    <s v="FORTALECIMIENTO INSTITUCIONAL"/>
    <s v="GC00A10100004D"/>
    <s v="GC00A10100004D REMUNERACION PERSONAL"/>
    <s v="51 GASTOS EN PERSONAL"/>
    <s v="510707 Compensación por Vacaciones no Gozadas por"/>
    <s v="G/510707/1CA101"/>
    <s v="002"/>
    <n v="1723.14"/>
    <n v="0"/>
    <n v="0"/>
    <n v="1723.14"/>
    <n v="0"/>
    <n v="0"/>
    <n v="0"/>
    <n v="1723.14"/>
    <n v="1723.14"/>
    <n v="1723.14"/>
  </r>
  <r>
    <s v="51"/>
    <x v="0"/>
    <x v="1"/>
    <s v="ZA01C030"/>
    <x v="3"/>
    <s v="A101"/>
    <s v="FORTALECIMIENTO INSTITUCIONAL"/>
    <s v="GC00A10100004D"/>
    <s v="GC00A10100004D REMUNERACION PERSONAL"/>
    <s v="51 GASTOS EN PERSONAL"/>
    <s v="510707 Compensación por Vacaciones no Gozadas por"/>
    <s v="G/510707/1CA101"/>
    <s v="002"/>
    <n v="54598.63"/>
    <n v="0"/>
    <n v="0"/>
    <n v="54598.63"/>
    <n v="0"/>
    <n v="1834.9"/>
    <n v="1834.9"/>
    <n v="52763.73"/>
    <n v="52763.73"/>
    <n v="52763.73"/>
  </r>
  <r>
    <s v="51"/>
    <x v="0"/>
    <x v="1"/>
    <s v="ZA01C000"/>
    <x v="19"/>
    <s v="A101"/>
    <s v="FORTALECIMIENTO INSTITUCIONAL"/>
    <s v="GC00A10100004D"/>
    <s v="GC00A10100004D REMUNERACION PERSONAL"/>
    <s v="51 GASTOS EN PERSONAL"/>
    <s v="510707 Compensación por Vacaciones no Gozadas por"/>
    <s v="G/510707/1CA101"/>
    <s v="002"/>
    <n v="32479.54"/>
    <n v="0"/>
    <n v="0"/>
    <n v="32479.54"/>
    <n v="0"/>
    <n v="2150"/>
    <n v="2150"/>
    <n v="30329.54"/>
    <n v="30329.54"/>
    <n v="30329.54"/>
  </r>
  <r>
    <s v="53"/>
    <x v="1"/>
    <x v="2"/>
    <s v="SF43I080"/>
    <x v="35"/>
    <s v="A101"/>
    <s v="FORTALECIMIENTO INSTITUCIONAL"/>
    <s v="GC00A10100001D"/>
    <s v="GC00A10100001D GASTOS ADMINISTRATIVOS"/>
    <s v="53 BIENES Y SERVICIOS DE CONSUMO"/>
    <s v="530101  Agua Potable"/>
    <s v="G/530101/1IA101"/>
    <s v="001"/>
    <n v="6000"/>
    <n v="0"/>
    <n v="0"/>
    <n v="6000"/>
    <n v="0"/>
    <n v="5210.12"/>
    <n v="1572.62"/>
    <n v="789.88"/>
    <n v="4427.38"/>
    <n v="789.88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101  Agua Potable"/>
    <s v="G/530101/1BA101"/>
    <s v="002"/>
    <n v="4150.6899999999996"/>
    <n v="4000"/>
    <n v="0"/>
    <n v="8150.69"/>
    <n v="0"/>
    <n v="8150.69"/>
    <n v="3607.11"/>
    <n v="0"/>
    <n v="4543.58"/>
    <n v="0"/>
  </r>
  <r>
    <s v="53"/>
    <x v="1"/>
    <x v="2"/>
    <s v="EE11I010"/>
    <x v="21"/>
    <s v="A101"/>
    <s v="FORTALECIMIENTO INSTITUCIONAL"/>
    <s v="GC00A10100001D"/>
    <s v="GC00A10100001D GASTOS ADMINISTRATIVOS"/>
    <s v="53 BIENES Y SERVICIOS DE CONSUMO"/>
    <s v="530101  Agua Potable"/>
    <s v="G/530101/1IA101"/>
    <s v="001"/>
    <n v="14000"/>
    <n v="0"/>
    <n v="0"/>
    <n v="14000"/>
    <n v="0"/>
    <n v="14000"/>
    <n v="8078.7"/>
    <n v="0"/>
    <n v="5921.3"/>
    <n v="0"/>
  </r>
  <r>
    <s v="53"/>
    <x v="1"/>
    <x v="3"/>
    <s v="UC32M020"/>
    <x v="7"/>
    <s v="A101"/>
    <s v="FORTALECIMIENTO INSTITUCIONAL"/>
    <s v="GC00A10100001D"/>
    <s v="GC00A10100001D GASTOS ADMINISTRATIVOS"/>
    <s v="53 BIENES Y SERVICIOS DE CONSUMO"/>
    <s v="530101  Agua Potable"/>
    <s v="G/530101/1MA101"/>
    <s v="001"/>
    <n v="7016"/>
    <n v="0"/>
    <n v="0"/>
    <n v="7016"/>
    <n v="0"/>
    <n v="7016"/>
    <n v="5444.23"/>
    <n v="0"/>
    <n v="1571.77"/>
    <n v="0"/>
  </r>
  <r>
    <s v="53"/>
    <x v="1"/>
    <x v="2"/>
    <s v="EQ13I030"/>
    <x v="20"/>
    <s v="A101"/>
    <s v="FORTALECIMIENTO INSTITUCIONAL"/>
    <s v="GC00A10100001D"/>
    <s v="GC00A10100001D GASTOS ADMINISTRATIVOS"/>
    <s v="53 BIENES Y SERVICIOS DE CONSUMO"/>
    <s v="530101  Agua Potable"/>
    <s v="G/530101/1IA101"/>
    <s v="001"/>
    <n v="16000"/>
    <n v="0"/>
    <n v="0"/>
    <n v="16000"/>
    <n v="0"/>
    <n v="16000"/>
    <n v="8308.9599999999991"/>
    <n v="0"/>
    <n v="7691.04"/>
    <n v="0"/>
  </r>
  <r>
    <s v="53"/>
    <x v="2"/>
    <x v="11"/>
    <s v="ZT06F060"/>
    <x v="25"/>
    <s v="A101"/>
    <s v="FORTALECIMIENTO INSTITUCIONAL"/>
    <s v="GC00A10100001D"/>
    <s v="GC00A10100001D GASTOS ADMINISTRATIVOS"/>
    <s v="53 BIENES Y SERVICIOS DE CONSUMO"/>
    <s v="530101  Agua Potable"/>
    <s v="G/530101/1FA101"/>
    <s v="001"/>
    <n v="12000"/>
    <n v="0"/>
    <n v="0"/>
    <n v="12000"/>
    <n v="0"/>
    <n v="12000"/>
    <n v="7724.5"/>
    <n v="0"/>
    <n v="4275.5"/>
    <n v="0"/>
  </r>
  <r>
    <s v="53"/>
    <x v="1"/>
    <x v="3"/>
    <s v="UN31M010"/>
    <x v="11"/>
    <s v="A101"/>
    <s v="FORTALECIMIENTO INSTITUCIONAL"/>
    <s v="GC00A10100001D"/>
    <s v="GC00A10100001D GASTOS ADMINISTRATIVOS"/>
    <s v="53 BIENES Y SERVICIOS DE CONSUMO"/>
    <s v="530101  Agua Potable"/>
    <s v="G/530101/1MA101"/>
    <s v="001"/>
    <n v="9000"/>
    <n v="0"/>
    <n v="0"/>
    <n v="9000"/>
    <n v="0"/>
    <n v="9000"/>
    <n v="3721.1"/>
    <n v="0"/>
    <n v="5278.9"/>
    <n v="0"/>
  </r>
  <r>
    <s v="53"/>
    <x v="1"/>
    <x v="2"/>
    <s v="ES12I020"/>
    <x v="16"/>
    <s v="A101"/>
    <s v="FORTALECIMIENTO INSTITUCIONAL"/>
    <s v="GC00A10100001D"/>
    <s v="GC00A10100001D GASTOS ADMINISTRATIVOS"/>
    <s v="53 BIENES Y SERVICIOS DE CONSUMO"/>
    <s v="530101  Agua Potable"/>
    <s v="G/530101/1IA101"/>
    <s v="001"/>
    <n v="24300"/>
    <n v="0"/>
    <n v="0"/>
    <n v="24300"/>
    <n v="0"/>
    <n v="24300"/>
    <n v="9212.27"/>
    <n v="0"/>
    <n v="15087.73"/>
    <n v="0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0101  Agua Potable"/>
    <s v="G/530101/1MA101"/>
    <s v="001"/>
    <n v="12200"/>
    <n v="0"/>
    <n v="0"/>
    <n v="12200"/>
    <n v="0"/>
    <n v="6280.07"/>
    <n v="6280.07"/>
    <n v="5919.93"/>
    <n v="5919.93"/>
    <n v="5919.93"/>
  </r>
  <r>
    <s v="53"/>
    <x v="2"/>
    <x v="5"/>
    <s v="PM71N010"/>
    <x v="27"/>
    <s v="A101"/>
    <s v="FORTALECIMIENTO INSTITUCIONAL"/>
    <s v="GC00A10100001D"/>
    <s v="GC00A10100001D GASTOS ADMINISTRATIVOS"/>
    <s v="53 BIENES Y SERVICIOS DE CONSUMO"/>
    <s v="530101  Agua Potable"/>
    <s v="G/530101/1NA101"/>
    <s v="001"/>
    <n v="50000"/>
    <n v="0"/>
    <n v="0"/>
    <n v="50000"/>
    <n v="0"/>
    <n v="50000"/>
    <n v="41072.5"/>
    <n v="0"/>
    <n v="8927.5"/>
    <n v="0"/>
  </r>
  <r>
    <s v="53"/>
    <x v="1"/>
    <x v="2"/>
    <s v="CF22I050"/>
    <x v="22"/>
    <s v="A101"/>
    <s v="FORTALECIMIENTO INSTITUCIONAL"/>
    <s v="GC00A10100001D"/>
    <s v="GC00A10100001D GASTOS ADMINISTRATIVOS"/>
    <s v="53 BIENES Y SERVICIOS DE CONSUMO"/>
    <s v="530101  Agua Potable"/>
    <s v="G/530101/1IA101"/>
    <s v="001"/>
    <n v="2700"/>
    <n v="0"/>
    <n v="0"/>
    <n v="2700"/>
    <n v="0"/>
    <n v="2700"/>
    <n v="905.68"/>
    <n v="0"/>
    <n v="1794.32"/>
    <n v="0"/>
  </r>
  <r>
    <s v="53"/>
    <x v="2"/>
    <x v="11"/>
    <s v="ZC09F090"/>
    <x v="44"/>
    <s v="A101"/>
    <s v="FORTALECIMIENTO INSTITUCIONAL"/>
    <s v="GC00A10100001D"/>
    <s v="GC00A10100001D GASTOS ADMINISTRATIVOS"/>
    <s v="53 BIENES Y SERVICIOS DE CONSUMO"/>
    <s v="530101  Agua Potable"/>
    <s v="G/530101/1FA101"/>
    <s v="001"/>
    <n v="10000"/>
    <n v="0"/>
    <n v="0"/>
    <n v="10000"/>
    <n v="0"/>
    <n v="6000"/>
    <n v="2987.7"/>
    <n v="4000"/>
    <n v="7012.3"/>
    <n v="4000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0101  Agua Potable"/>
    <s v="G/530101/1IA101"/>
    <s v="001"/>
    <n v="15000"/>
    <n v="0"/>
    <n v="0"/>
    <n v="15000"/>
    <n v="0"/>
    <n v="15000"/>
    <n v="4947.5600000000004"/>
    <n v="0"/>
    <n v="10052.44"/>
    <n v="0"/>
  </r>
  <r>
    <s v="53"/>
    <x v="2"/>
    <x v="11"/>
    <s v="ZD07F070"/>
    <x v="43"/>
    <s v="A101"/>
    <s v="FORTALECIMIENTO INSTITUCIONAL"/>
    <s v="GC00A10100001D"/>
    <s v="GC00A10100001D GASTOS ADMINISTRATIVOS"/>
    <s v="53 BIENES Y SERVICIOS DE CONSUMO"/>
    <s v="530101  Agua Potable"/>
    <s v="G/530101/1FA101"/>
    <s v="001"/>
    <n v="8500"/>
    <n v="3500"/>
    <n v="0"/>
    <n v="12000"/>
    <n v="0"/>
    <n v="7828.74"/>
    <n v="7828.74"/>
    <n v="4171.26"/>
    <n v="4171.26"/>
    <n v="4171.26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0101  Agua Potable"/>
    <s v="G/530101/1IA101"/>
    <s v="001"/>
    <n v="10000"/>
    <n v="0"/>
    <n v="0"/>
    <n v="10000"/>
    <n v="0"/>
    <n v="0"/>
    <n v="0"/>
    <n v="10000"/>
    <n v="10000"/>
    <n v="10000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101  Agua Potable"/>
    <s v="G/530101/1FA101"/>
    <s v="001"/>
    <n v="33000"/>
    <n v="-7950.88"/>
    <n v="0"/>
    <n v="25049.119999999999"/>
    <n v="0"/>
    <n v="25049.119999999999"/>
    <n v="20554.849999999999"/>
    <n v="0"/>
    <n v="4494.2700000000004"/>
    <n v="0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101  Agua Potable"/>
    <s v="G/530101/1AA101"/>
    <s v="002"/>
    <n v="6000"/>
    <n v="-3000"/>
    <n v="0"/>
    <n v="3000"/>
    <n v="0"/>
    <n v="2136.7399999999998"/>
    <n v="1477.08"/>
    <n v="863.26"/>
    <n v="1522.92"/>
    <n v="863.26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101  Agua Potable"/>
    <s v="G/530101/1PA101"/>
    <s v="001"/>
    <n v="3600"/>
    <n v="0"/>
    <n v="0"/>
    <n v="3600"/>
    <n v="0"/>
    <n v="3600"/>
    <n v="1778.48"/>
    <n v="0"/>
    <n v="1821.52"/>
    <n v="0"/>
  </r>
  <r>
    <s v="53"/>
    <x v="2"/>
    <x v="11"/>
    <s v="ZQ08F080"/>
    <x v="39"/>
    <s v="A101"/>
    <s v="FORTALECIMIENTO INSTITUCIONAL"/>
    <s v="GC00A10100001D"/>
    <s v="GC00A10100001D GASTOS ADMINISTRATIVOS"/>
    <s v="53 BIENES Y SERVICIOS DE CONSUMO"/>
    <s v="530101  Agua Potable"/>
    <s v="G/530101/1FA101"/>
    <s v="001"/>
    <n v="7000"/>
    <n v="0"/>
    <n v="0"/>
    <n v="7000"/>
    <n v="0"/>
    <n v="7000"/>
    <n v="3876.48"/>
    <n v="0"/>
    <n v="3123.52"/>
    <n v="0"/>
  </r>
  <r>
    <s v="53"/>
    <x v="2"/>
    <x v="11"/>
    <s v="ZS03F030"/>
    <x v="38"/>
    <s v="A101"/>
    <s v="FORTALECIMIENTO INSTITUCIONAL"/>
    <s v="GC00A10100001D"/>
    <s v="GC00A10100001D GASTOS ADMINISTRATIVOS"/>
    <s v="53 BIENES Y SERVICIOS DE CONSUMO"/>
    <s v="530101  Agua Potable"/>
    <s v="G/530101/1FA101"/>
    <s v="001"/>
    <n v="10000"/>
    <n v="14259"/>
    <n v="0"/>
    <n v="24259"/>
    <n v="0"/>
    <n v="24259"/>
    <n v="13900.63"/>
    <n v="0"/>
    <n v="10358.370000000001"/>
    <n v="0"/>
  </r>
  <r>
    <s v="53"/>
    <x v="2"/>
    <x v="6"/>
    <s v="AT69K040"/>
    <x v="13"/>
    <s v="A101"/>
    <s v="FORTALECIMIENTO INSTITUCIONAL"/>
    <s v="GC00A10100001D"/>
    <s v="GC00A10100001D GASTOS ADMINISTRATIVOS"/>
    <s v="53 BIENES Y SERVICIOS DE CONSUMO"/>
    <s v="530101  Agua Potable"/>
    <s v="G/530101/1KA101"/>
    <s v="001"/>
    <n v="0"/>
    <n v="28000"/>
    <n v="0"/>
    <n v="28000"/>
    <n v="0"/>
    <n v="28000"/>
    <n v="8273.9500000000007"/>
    <n v="0"/>
    <n v="19726.05"/>
    <n v="0"/>
  </r>
  <r>
    <s v="53"/>
    <x v="2"/>
    <x v="11"/>
    <s v="ZM04F040"/>
    <x v="41"/>
    <s v="A101"/>
    <s v="FORTALECIMIENTO INSTITUCIONAL"/>
    <s v="GC00A10100001D"/>
    <s v="GC00A10100001D GASTOS ADMINISTRATIVOS"/>
    <s v="53 BIENES Y SERVICIOS DE CONSUMO"/>
    <s v="530101  Agua Potable"/>
    <s v="G/530101/1FA101"/>
    <s v="001"/>
    <n v="22220"/>
    <n v="0"/>
    <n v="0"/>
    <n v="22220"/>
    <n v="0"/>
    <n v="22220"/>
    <n v="6419.19"/>
    <n v="0"/>
    <n v="15800.81"/>
    <n v="0"/>
  </r>
  <r>
    <s v="53"/>
    <x v="2"/>
    <x v="11"/>
    <s v="ZV05F050"/>
    <x v="37"/>
    <s v="A101"/>
    <s v="FORTALECIMIENTO INSTITUCIONAL"/>
    <s v="GC00A10100001D"/>
    <s v="GC00A10100001D GASTOS ADMINISTRATIVOS"/>
    <s v="53 BIENES Y SERVICIOS DE CONSUMO"/>
    <s v="530101  Agua Potable"/>
    <s v="G/530101/1FA101"/>
    <s v="001"/>
    <n v="16800"/>
    <n v="-3800"/>
    <n v="0"/>
    <n v="13000"/>
    <n v="0"/>
    <n v="9000"/>
    <n v="6728.02"/>
    <n v="4000"/>
    <n v="6271.98"/>
    <n v="4000"/>
  </r>
  <r>
    <s v="53"/>
    <x v="1"/>
    <x v="2"/>
    <s v="OL41I060"/>
    <x v="42"/>
    <s v="A101"/>
    <s v="FORTALECIMIENTO INSTITUCIONAL"/>
    <s v="GC00A10100001D"/>
    <s v="GC00A10100001D GASTOS ADMINISTRATIVOS"/>
    <s v="53 BIENES Y SERVICIOS DE CONSUMO"/>
    <s v="530101  Agua Potable"/>
    <s v="G/530101/1IA101"/>
    <s v="001"/>
    <n v="5600"/>
    <n v="0"/>
    <n v="0"/>
    <n v="5600"/>
    <n v="0"/>
    <n v="5600"/>
    <n v="1044.3699999999999"/>
    <n v="0"/>
    <n v="4555.63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101  Agua Potable"/>
    <s v="G/530101/1AA101"/>
    <s v="002"/>
    <n v="200000"/>
    <n v="0"/>
    <n v="0"/>
    <n v="200000"/>
    <n v="0"/>
    <n v="112827.4"/>
    <n v="64822.82"/>
    <n v="87172.6"/>
    <n v="135177.18"/>
    <n v="87172.6"/>
  </r>
  <r>
    <s v="53"/>
    <x v="1"/>
    <x v="2"/>
    <s v="JM40I070"/>
    <x v="12"/>
    <s v="A101"/>
    <s v="FORTALECIMIENTO INSTITUCIONAL"/>
    <s v="GC00A10100001D"/>
    <s v="GC00A10100001D GASTOS ADMINISTRATIVOS"/>
    <s v="53 BIENES Y SERVICIOS DE CONSUMO"/>
    <s v="530101  Agua Potable"/>
    <s v="G/530101/1IA101"/>
    <s v="001"/>
    <n v="8000"/>
    <n v="0"/>
    <n v="0"/>
    <n v="8000"/>
    <n v="0"/>
    <n v="8000"/>
    <n v="2168.66"/>
    <n v="0"/>
    <n v="5831.34"/>
    <n v="0"/>
  </r>
  <r>
    <s v="53"/>
    <x v="2"/>
    <x v="11"/>
    <s v="ZT06F060"/>
    <x v="25"/>
    <s v="A101"/>
    <s v="FORTALECIMIENTO INSTITUCIONAL"/>
    <s v="GC00A10100001D"/>
    <s v="GC00A10100001D GASTOS ADMINISTRATIVOS"/>
    <s v="53 BIENES Y SERVICIOS DE CONSUMO"/>
    <s v="530104 Energía Eléctrica"/>
    <s v="G/530104/1FA101"/>
    <s v="001"/>
    <n v="17000"/>
    <n v="0"/>
    <n v="0"/>
    <n v="17000"/>
    <n v="0"/>
    <n v="17000"/>
    <n v="10391.719999999999"/>
    <n v="0"/>
    <n v="6608.28"/>
    <n v="0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104 Energía Eléctrica"/>
    <s v="G/530104/1PA101"/>
    <s v="001"/>
    <n v="16000"/>
    <n v="-2000"/>
    <n v="0"/>
    <n v="14000"/>
    <n v="0"/>
    <n v="14000"/>
    <n v="10541.6"/>
    <n v="0"/>
    <n v="3458.4"/>
    <n v="0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104 Energía Eléctrica"/>
    <s v="G/530104/1BA101"/>
    <s v="002"/>
    <n v="11716.85"/>
    <n v="9000"/>
    <n v="0"/>
    <n v="20716.849999999999"/>
    <n v="0"/>
    <n v="20716.849999999999"/>
    <n v="12898.14"/>
    <n v="0"/>
    <n v="7818.71"/>
    <n v="0"/>
  </r>
  <r>
    <s v="53"/>
    <x v="1"/>
    <x v="2"/>
    <s v="EE11I010"/>
    <x v="21"/>
    <s v="A101"/>
    <s v="FORTALECIMIENTO INSTITUCIONAL"/>
    <s v="GC00A10100001D"/>
    <s v="GC00A10100001D GASTOS ADMINISTRATIVOS"/>
    <s v="53 BIENES Y SERVICIOS DE CONSUMO"/>
    <s v="530104 Energía Eléctrica"/>
    <s v="G/530104/1IA101"/>
    <s v="001"/>
    <n v="18000"/>
    <n v="0"/>
    <n v="0"/>
    <n v="18000"/>
    <n v="0"/>
    <n v="18000"/>
    <n v="10170.69"/>
    <n v="0"/>
    <n v="7829.31"/>
    <n v="0"/>
  </r>
  <r>
    <s v="53"/>
    <x v="1"/>
    <x v="2"/>
    <s v="EQ13I030"/>
    <x v="20"/>
    <s v="A101"/>
    <s v="FORTALECIMIENTO INSTITUCIONAL"/>
    <s v="GC00A10100001D"/>
    <s v="GC00A10100001D GASTOS ADMINISTRATIVOS"/>
    <s v="53 BIENES Y SERVICIOS DE CONSUMO"/>
    <s v="530104 Energía Eléctrica"/>
    <s v="G/530104/1IA101"/>
    <s v="001"/>
    <n v="9000"/>
    <n v="0"/>
    <n v="0"/>
    <n v="9000"/>
    <n v="0"/>
    <n v="9000"/>
    <n v="3134.2"/>
    <n v="0"/>
    <n v="5865.8"/>
    <n v="0"/>
  </r>
  <r>
    <s v="53"/>
    <x v="1"/>
    <x v="2"/>
    <s v="ES12I020"/>
    <x v="16"/>
    <s v="A101"/>
    <s v="FORTALECIMIENTO INSTITUCIONAL"/>
    <s v="GC00A10100001D"/>
    <s v="GC00A10100001D GASTOS ADMINISTRATIVOS"/>
    <s v="53 BIENES Y SERVICIOS DE CONSUMO"/>
    <s v="530104 Energía Eléctrica"/>
    <s v="G/530104/1IA101"/>
    <s v="001"/>
    <n v="24700"/>
    <n v="0"/>
    <n v="0"/>
    <n v="24700"/>
    <n v="0"/>
    <n v="24700"/>
    <n v="8749.43"/>
    <n v="0"/>
    <n v="15950.57"/>
    <n v="0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0104 Energía Eléctrica"/>
    <s v="G/530104/1IA101"/>
    <s v="001"/>
    <n v="28000"/>
    <n v="0"/>
    <n v="0"/>
    <n v="28000"/>
    <n v="0"/>
    <n v="28000"/>
    <n v="12238.39"/>
    <n v="0"/>
    <n v="15761.61"/>
    <n v="0"/>
  </r>
  <r>
    <s v="53"/>
    <x v="1"/>
    <x v="2"/>
    <s v="CF22I050"/>
    <x v="22"/>
    <s v="A101"/>
    <s v="FORTALECIMIENTO INSTITUCIONAL"/>
    <s v="GC00A10100001D"/>
    <s v="GC00A10100001D GASTOS ADMINISTRATIVOS"/>
    <s v="53 BIENES Y SERVICIOS DE CONSUMO"/>
    <s v="530104 Energía Eléctrica"/>
    <s v="G/530104/1IA101"/>
    <s v="001"/>
    <n v="15000"/>
    <n v="0"/>
    <n v="0"/>
    <n v="15000"/>
    <n v="0"/>
    <n v="15000"/>
    <n v="8318.9"/>
    <n v="0"/>
    <n v="6681.1"/>
    <n v="0"/>
  </r>
  <r>
    <s v="53"/>
    <x v="3"/>
    <x v="15"/>
    <s v="AC67Q000"/>
    <x v="32"/>
    <s v="A101"/>
    <s v="FORTALECIMIENTO INSTITUCIONAL"/>
    <s v="GC00A10100001D"/>
    <s v="GC00A10100001D GASTOS ADMINISTRATIVOS"/>
    <s v="53 BIENES Y SERVICIOS DE CONSUMO"/>
    <s v="530104 Energía Eléctrica"/>
    <s v="G/530104/1QA101"/>
    <s v="001"/>
    <n v="1000"/>
    <n v="2041.4"/>
    <n v="0"/>
    <n v="3041.4"/>
    <n v="0"/>
    <n v="2659.14"/>
    <n v="1899.17"/>
    <n v="382.26"/>
    <n v="1142.23"/>
    <n v="382.26"/>
  </r>
  <r>
    <s v="53"/>
    <x v="2"/>
    <x v="11"/>
    <s v="ZM04F040"/>
    <x v="41"/>
    <s v="A101"/>
    <s v="FORTALECIMIENTO INSTITUCIONAL"/>
    <s v="GC00A10100001D"/>
    <s v="GC00A10100001D GASTOS ADMINISTRATIVOS"/>
    <s v="53 BIENES Y SERVICIOS DE CONSUMO"/>
    <s v="530104 Energía Eléctrica"/>
    <s v="G/530104/1FA101"/>
    <s v="001"/>
    <n v="41900"/>
    <n v="0"/>
    <n v="0"/>
    <n v="41900"/>
    <n v="0"/>
    <n v="31900"/>
    <n v="16316.07"/>
    <n v="10000"/>
    <n v="25583.93"/>
    <n v="1000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104 Energía Eléctrica"/>
    <s v="G/530104/1AA101"/>
    <s v="002"/>
    <n v="600000"/>
    <n v="-8840"/>
    <n v="0"/>
    <n v="591160"/>
    <n v="0"/>
    <n v="471671.4"/>
    <n v="345032.09"/>
    <n v="119488.6"/>
    <n v="246127.91"/>
    <n v="119488.6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104 Energía Eléctrica"/>
    <s v="G/530104/1AA101"/>
    <s v="002"/>
    <n v="37500"/>
    <n v="1000"/>
    <n v="0"/>
    <n v="38500"/>
    <n v="0"/>
    <n v="24922.17"/>
    <n v="24869.21"/>
    <n v="13577.83"/>
    <n v="13630.79"/>
    <n v="13577.83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0104 Energía Eléctrica"/>
    <s v="G/530104/1IA101"/>
    <s v="001"/>
    <n v="9000"/>
    <n v="0"/>
    <n v="0"/>
    <n v="9000"/>
    <n v="0"/>
    <n v="0"/>
    <n v="0"/>
    <n v="9000"/>
    <n v="9000"/>
    <n v="9000"/>
  </r>
  <r>
    <s v="53"/>
    <x v="1"/>
    <x v="2"/>
    <s v="JM40I070"/>
    <x v="12"/>
    <s v="A101"/>
    <s v="FORTALECIMIENTO INSTITUCIONAL"/>
    <s v="GC00A10100001D"/>
    <s v="GC00A10100001D GASTOS ADMINISTRATIVOS"/>
    <s v="53 BIENES Y SERVICIOS DE CONSUMO"/>
    <s v="530104 Energía Eléctrica"/>
    <s v="G/530104/1IA101"/>
    <s v="001"/>
    <n v="9000"/>
    <n v="0"/>
    <n v="0"/>
    <n v="9000"/>
    <n v="0"/>
    <n v="9000"/>
    <n v="2507.35"/>
    <n v="0"/>
    <n v="6492.65"/>
    <n v="0"/>
  </r>
  <r>
    <s v="53"/>
    <x v="1"/>
    <x v="3"/>
    <s v="UC32M020"/>
    <x v="7"/>
    <s v="A101"/>
    <s v="FORTALECIMIENTO INSTITUCIONAL"/>
    <s v="GC00A10100001D"/>
    <s v="GC00A10100001D GASTOS ADMINISTRATIVOS"/>
    <s v="53 BIENES Y SERVICIOS DE CONSUMO"/>
    <s v="530104 Energía Eléctrica"/>
    <s v="G/530104/1MA101"/>
    <s v="001"/>
    <n v="11000"/>
    <n v="0"/>
    <n v="0"/>
    <n v="11000"/>
    <n v="0"/>
    <n v="11000"/>
    <n v="8845.98"/>
    <n v="0"/>
    <n v="2154.02"/>
    <n v="0"/>
  </r>
  <r>
    <s v="53"/>
    <x v="1"/>
    <x v="3"/>
    <s v="UN31M010"/>
    <x v="11"/>
    <s v="A101"/>
    <s v="FORTALECIMIENTO INSTITUCIONAL"/>
    <s v="GC00A10100001D"/>
    <s v="GC00A10100001D GASTOS ADMINISTRATIVOS"/>
    <s v="53 BIENES Y SERVICIOS DE CONSUMO"/>
    <s v="530104 Energía Eléctrica"/>
    <s v="G/530104/1MA101"/>
    <s v="001"/>
    <n v="18000"/>
    <n v="0"/>
    <n v="0"/>
    <n v="18000"/>
    <n v="0"/>
    <n v="18000"/>
    <n v="11420.42"/>
    <n v="0"/>
    <n v="6579.58"/>
    <n v="0"/>
  </r>
  <r>
    <s v="53"/>
    <x v="2"/>
    <x v="11"/>
    <s v="TM68F100"/>
    <x v="34"/>
    <s v="A101"/>
    <s v="FORTALECIMIENTO INSTITUCIONAL"/>
    <s v="GC00A10100001D"/>
    <s v="GC00A10100001D GASTOS ADMINISTRATIVOS"/>
    <s v="53 BIENES Y SERVICIOS DE CONSUMO"/>
    <s v="530104 Energía Eléctrica"/>
    <s v="G/530104/1FA101"/>
    <s v="001"/>
    <n v="4200"/>
    <n v="0"/>
    <n v="0"/>
    <n v="4200"/>
    <n v="0"/>
    <n v="2656.1"/>
    <n v="2006.14"/>
    <n v="1543.9"/>
    <n v="2193.86"/>
    <n v="1543.9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0104 Energía Eléctrica"/>
    <s v="G/530104/1MA101"/>
    <s v="001"/>
    <n v="15000"/>
    <n v="-3000"/>
    <n v="0"/>
    <n v="12000"/>
    <n v="0"/>
    <n v="7350.9"/>
    <n v="7350.9"/>
    <n v="4649.1000000000004"/>
    <n v="4649.1000000000004"/>
    <n v="4649.1000000000004"/>
  </r>
  <r>
    <s v="53"/>
    <x v="2"/>
    <x v="11"/>
    <s v="ZC09F090"/>
    <x v="44"/>
    <s v="A101"/>
    <s v="FORTALECIMIENTO INSTITUCIONAL"/>
    <s v="GC00A10100001D"/>
    <s v="GC00A10100001D GASTOS ADMINISTRATIVOS"/>
    <s v="53 BIENES Y SERVICIOS DE CONSUMO"/>
    <s v="530104 Energía Eléctrica"/>
    <s v="G/530104/1FA101"/>
    <s v="001"/>
    <n v="10000"/>
    <n v="0"/>
    <n v="0"/>
    <n v="10000"/>
    <n v="0"/>
    <n v="10000"/>
    <n v="8786.3700000000008"/>
    <n v="0"/>
    <n v="1213.6300000000001"/>
    <n v="0"/>
  </r>
  <r>
    <s v="53"/>
    <x v="1"/>
    <x v="2"/>
    <s v="SF43I080"/>
    <x v="35"/>
    <s v="A101"/>
    <s v="FORTALECIMIENTO INSTITUCIONAL"/>
    <s v="GC00A10100001D"/>
    <s v="GC00A10100001D GASTOS ADMINISTRATIVOS"/>
    <s v="53 BIENES Y SERVICIOS DE CONSUMO"/>
    <s v="530104 Energía Eléctrica"/>
    <s v="G/530104/1IA101"/>
    <s v="001"/>
    <n v="5811.51"/>
    <n v="0"/>
    <n v="0"/>
    <n v="5811.51"/>
    <n v="0"/>
    <n v="4307.6000000000004"/>
    <n v="2191.88"/>
    <n v="1503.91"/>
    <n v="3619.63"/>
    <n v="1503.91"/>
  </r>
  <r>
    <s v="53"/>
    <x v="2"/>
    <x v="11"/>
    <s v="ZV05F050"/>
    <x v="37"/>
    <s v="A101"/>
    <s v="FORTALECIMIENTO INSTITUCIONAL"/>
    <s v="GC00A10100001D"/>
    <s v="GC00A10100001D GASTOS ADMINISTRATIVOS"/>
    <s v="53 BIENES Y SERVICIOS DE CONSUMO"/>
    <s v="530104 Energía Eléctrica"/>
    <s v="G/530104/1FA101"/>
    <s v="001"/>
    <n v="37200"/>
    <n v="0"/>
    <n v="0"/>
    <n v="37200"/>
    <n v="0"/>
    <n v="22200"/>
    <n v="18340.009999999998"/>
    <n v="15000"/>
    <n v="18859.990000000002"/>
    <n v="15000"/>
  </r>
  <r>
    <s v="53"/>
    <x v="2"/>
    <x v="11"/>
    <s v="ZD07F070"/>
    <x v="43"/>
    <s v="A101"/>
    <s v="FORTALECIMIENTO INSTITUCIONAL"/>
    <s v="GC00A10100001D"/>
    <s v="GC00A10100001D GASTOS ADMINISTRATIVOS"/>
    <s v="53 BIENES Y SERVICIOS DE CONSUMO"/>
    <s v="530104 Energía Eléctrica"/>
    <s v="G/530104/1FA101"/>
    <s v="001"/>
    <n v="17000"/>
    <n v="0"/>
    <n v="0"/>
    <n v="17000"/>
    <n v="0"/>
    <n v="11484.31"/>
    <n v="11463.59"/>
    <n v="5515.69"/>
    <n v="5536.41"/>
    <n v="5515.69"/>
  </r>
  <r>
    <s v="53"/>
    <x v="2"/>
    <x v="6"/>
    <s v="AT69K040"/>
    <x v="13"/>
    <s v="A101"/>
    <s v="FORTALECIMIENTO INSTITUCIONAL"/>
    <s v="GC00A10100001D"/>
    <s v="GC00A10100001D GASTOS ADMINISTRATIVOS"/>
    <s v="53 BIENES Y SERVICIOS DE CONSUMO"/>
    <s v="530104 Energía Eléctrica"/>
    <s v="G/530104/1KA101"/>
    <s v="001"/>
    <n v="0"/>
    <n v="55000"/>
    <n v="0"/>
    <n v="55000"/>
    <n v="0"/>
    <n v="55000"/>
    <n v="32917.9"/>
    <n v="0"/>
    <n v="22082.1"/>
    <n v="0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104 Energía Eléctrica"/>
    <s v="G/530104/1FA101"/>
    <s v="001"/>
    <n v="30000"/>
    <n v="0"/>
    <n v="0"/>
    <n v="30000"/>
    <n v="0"/>
    <n v="25624.73"/>
    <n v="17619.669999999998"/>
    <n v="4375.2700000000004"/>
    <n v="12380.33"/>
    <n v="4375.2700000000004"/>
  </r>
  <r>
    <s v="53"/>
    <x v="2"/>
    <x v="11"/>
    <s v="ZS03F030"/>
    <x v="38"/>
    <s v="A101"/>
    <s v="FORTALECIMIENTO INSTITUCIONAL"/>
    <s v="GC00A10100001D"/>
    <s v="GC00A10100001D GASTOS ADMINISTRATIVOS"/>
    <s v="53 BIENES Y SERVICIOS DE CONSUMO"/>
    <s v="530104 Energía Eléctrica"/>
    <s v="G/530104/1FA101"/>
    <s v="001"/>
    <n v="24000"/>
    <n v="-7259"/>
    <n v="0"/>
    <n v="16741"/>
    <n v="0"/>
    <n v="16741"/>
    <n v="12941.23"/>
    <n v="0"/>
    <n v="3799.77"/>
    <n v="0"/>
  </r>
  <r>
    <s v="53"/>
    <x v="1"/>
    <x v="2"/>
    <s v="OL41I060"/>
    <x v="42"/>
    <s v="A101"/>
    <s v="FORTALECIMIENTO INSTITUCIONAL"/>
    <s v="GC00A10100001D"/>
    <s v="GC00A10100001D GASTOS ADMINISTRATIVOS"/>
    <s v="53 BIENES Y SERVICIOS DE CONSUMO"/>
    <s v="530104 Energía Eléctrica"/>
    <s v="G/530104/1IA101"/>
    <s v="001"/>
    <n v="6600"/>
    <n v="0"/>
    <n v="0"/>
    <n v="6600"/>
    <n v="0"/>
    <n v="6600"/>
    <n v="2509.41"/>
    <n v="0"/>
    <n v="4090.59"/>
    <n v="0"/>
  </r>
  <r>
    <s v="53"/>
    <x v="2"/>
    <x v="11"/>
    <s v="ZQ08F080"/>
    <x v="39"/>
    <s v="A101"/>
    <s v="FORTALECIMIENTO INSTITUCIONAL"/>
    <s v="GC00A10100001D"/>
    <s v="GC00A10100001D GASTOS ADMINISTRATIVOS"/>
    <s v="53 BIENES Y SERVICIOS DE CONSUMO"/>
    <s v="530104 Energía Eléctrica"/>
    <s v="G/530104/1FA101"/>
    <s v="001"/>
    <n v="13050"/>
    <n v="0"/>
    <n v="0"/>
    <n v="13050"/>
    <n v="0"/>
    <n v="13050"/>
    <n v="3674.7"/>
    <n v="0"/>
    <n v="9375.2999999999993"/>
    <n v="0"/>
  </r>
  <r>
    <s v="53"/>
    <x v="2"/>
    <x v="5"/>
    <s v="PM71N010"/>
    <x v="27"/>
    <s v="A101"/>
    <s v="FORTALECIMIENTO INSTITUCIONAL"/>
    <s v="GC00A10100001D"/>
    <s v="GC00A10100001D GASTOS ADMINISTRATIVOS"/>
    <s v="53 BIENES Y SERVICIOS DE CONSUMO"/>
    <s v="530104 Energía Eléctrica"/>
    <s v="G/530104/1NA101"/>
    <s v="001"/>
    <n v="50000"/>
    <n v="0"/>
    <n v="0"/>
    <n v="50000"/>
    <n v="0"/>
    <n v="50000"/>
    <n v="39614.28"/>
    <n v="0"/>
    <n v="10385.719999999999"/>
    <n v="0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105 Telecomunicaciones"/>
    <s v="G/530105/1PA101"/>
    <s v="001"/>
    <n v="10600"/>
    <n v="-1688"/>
    <n v="0"/>
    <n v="8912"/>
    <n v="0"/>
    <n v="8912"/>
    <n v="5859.97"/>
    <n v="0"/>
    <n v="3052.03"/>
    <n v="0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105 Telecomunicaciones"/>
    <s v="G/530105/1FA101"/>
    <s v="001"/>
    <n v="12000"/>
    <n v="0"/>
    <n v="0"/>
    <n v="12000"/>
    <n v="0"/>
    <n v="5647.13"/>
    <n v="5227.33"/>
    <n v="6352.87"/>
    <n v="6772.67"/>
    <n v="6352.87"/>
  </r>
  <r>
    <s v="53"/>
    <x v="2"/>
    <x v="11"/>
    <s v="ZD07F070"/>
    <x v="43"/>
    <s v="A101"/>
    <s v="FORTALECIMIENTO INSTITUCIONAL"/>
    <s v="GC00A10100001D"/>
    <s v="GC00A10100001D GASTOS ADMINISTRATIVOS"/>
    <s v="53 BIENES Y SERVICIOS DE CONSUMO"/>
    <s v="530105 Telecomunicaciones"/>
    <s v="G/530105/1FA101"/>
    <s v="001"/>
    <n v="8500"/>
    <n v="2200"/>
    <n v="0"/>
    <n v="10700"/>
    <n v="0"/>
    <n v="1993.92"/>
    <n v="1993.92"/>
    <n v="8706.08"/>
    <n v="8706.08"/>
    <n v="8706.08"/>
  </r>
  <r>
    <s v="53"/>
    <x v="0"/>
    <x v="0"/>
    <s v="ZA01A009"/>
    <x v="0"/>
    <s v="A101"/>
    <s v="FORTALECIMIENTO INSTITUCIONAL"/>
    <s v="GC00A10100001D"/>
    <s v="GC00A10100001D GASTOS ADMINISTRATIVOS"/>
    <s v="53 BIENES Y SERVICIOS DE CONSUMO"/>
    <s v="530105 Telecomunicaciones"/>
    <s v="G/530105/1AA101"/>
    <s v="002"/>
    <n v="12285.16"/>
    <n v="0"/>
    <n v="0"/>
    <n v="12285.16"/>
    <n v="0"/>
    <n v="0"/>
    <n v="0"/>
    <n v="12285.16"/>
    <n v="12285.16"/>
    <n v="12285.16"/>
  </r>
  <r>
    <s v="53"/>
    <x v="2"/>
    <x v="11"/>
    <s v="ZC09F090"/>
    <x v="44"/>
    <s v="A101"/>
    <s v="FORTALECIMIENTO INSTITUCIONAL"/>
    <s v="GC00A10100001D"/>
    <s v="GC00A10100001D GASTOS ADMINISTRATIVOS"/>
    <s v="53 BIENES Y SERVICIOS DE CONSUMO"/>
    <s v="530105 Telecomunicaciones"/>
    <s v="G/530105/1FA101"/>
    <s v="001"/>
    <n v="4000"/>
    <n v="0"/>
    <n v="0"/>
    <n v="4000"/>
    <n v="0"/>
    <n v="2500"/>
    <n v="1032.42"/>
    <n v="1500"/>
    <n v="2967.58"/>
    <n v="1500"/>
  </r>
  <r>
    <s v="53"/>
    <x v="1"/>
    <x v="2"/>
    <s v="CF22I050"/>
    <x v="22"/>
    <s v="A101"/>
    <s v="FORTALECIMIENTO INSTITUCIONAL"/>
    <s v="GC00A10100001D"/>
    <s v="GC00A10100001D GASTOS ADMINISTRATIVOS"/>
    <s v="53 BIENES Y SERVICIOS DE CONSUMO"/>
    <s v="530105 Telecomunicaciones"/>
    <s v="G/530105/1IA101"/>
    <s v="001"/>
    <n v="2000"/>
    <n v="0"/>
    <n v="0"/>
    <n v="2000"/>
    <n v="0"/>
    <n v="2000"/>
    <n v="395.8"/>
    <n v="0"/>
    <n v="1604.2"/>
    <n v="0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0105 Telecomunicaciones"/>
    <s v="G/530105/1IA101"/>
    <s v="001"/>
    <n v="20000"/>
    <n v="0"/>
    <n v="0"/>
    <n v="20000"/>
    <n v="0"/>
    <n v="20000"/>
    <n v="10728.44"/>
    <n v="0"/>
    <n v="9271.56"/>
    <n v="0"/>
  </r>
  <r>
    <s v="53"/>
    <x v="2"/>
    <x v="11"/>
    <s v="ZS03F030"/>
    <x v="38"/>
    <s v="A101"/>
    <s v="FORTALECIMIENTO INSTITUCIONAL"/>
    <s v="GC00A10100001D"/>
    <s v="GC00A10100001D GASTOS ADMINISTRATIVOS"/>
    <s v="53 BIENES Y SERVICIOS DE CONSUMO"/>
    <s v="530105 Telecomunicaciones"/>
    <s v="G/530105/1FA101"/>
    <s v="001"/>
    <n v="3700"/>
    <n v="0"/>
    <n v="0"/>
    <n v="3700"/>
    <n v="0"/>
    <n v="3700"/>
    <n v="1732.41"/>
    <n v="0"/>
    <n v="1967.59"/>
    <n v="0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0105 Telecomunicaciones"/>
    <s v="G/530105/1MA101"/>
    <s v="001"/>
    <n v="18000"/>
    <n v="-9000"/>
    <n v="0"/>
    <n v="9000"/>
    <n v="0"/>
    <n v="5287"/>
    <n v="5287"/>
    <n v="3713"/>
    <n v="3713"/>
    <n v="3713"/>
  </r>
  <r>
    <s v="53"/>
    <x v="1"/>
    <x v="3"/>
    <s v="UN31M010"/>
    <x v="11"/>
    <s v="A101"/>
    <s v="FORTALECIMIENTO INSTITUCIONAL"/>
    <s v="GC00A10100001D"/>
    <s v="GC00A10100001D GASTOS ADMINISTRATIVOS"/>
    <s v="53 BIENES Y SERVICIOS DE CONSUMO"/>
    <s v="530105 Telecomunicaciones"/>
    <s v="G/530105/1MA101"/>
    <s v="001"/>
    <n v="6000"/>
    <n v="0"/>
    <n v="0"/>
    <n v="6000"/>
    <n v="0"/>
    <n v="6000"/>
    <n v="3924.22"/>
    <n v="0"/>
    <n v="2075.7800000000002"/>
    <n v="0"/>
  </r>
  <r>
    <s v="53"/>
    <x v="0"/>
    <x v="0"/>
    <s v="ZA01A000"/>
    <x v="1"/>
    <s v="A101"/>
    <s v="FORTALECIMIENTO INSTITUCIONAL"/>
    <s v="GC00A10100001D"/>
    <s v="GC00A10100001D GASTOS ADMINISTRATIVOS"/>
    <s v="53 BIENES Y SERVICIOS DE CONSUMO"/>
    <s v="530105 Telecomunicaciones"/>
    <s v="G/530105/1AA101"/>
    <s v="002"/>
    <n v="1700"/>
    <n v="0"/>
    <n v="0"/>
    <n v="1700"/>
    <n v="0"/>
    <n v="0"/>
    <n v="0"/>
    <n v="1700"/>
    <n v="1700"/>
    <n v="1700"/>
  </r>
  <r>
    <s v="53"/>
    <x v="1"/>
    <x v="3"/>
    <s v="UC32M020"/>
    <x v="7"/>
    <s v="A101"/>
    <s v="FORTALECIMIENTO INSTITUCIONAL"/>
    <s v="GC00A10100001D"/>
    <s v="GC00A10100001D GASTOS ADMINISTRATIVOS"/>
    <s v="53 BIENES Y SERVICIOS DE CONSUMO"/>
    <s v="530105 Telecomunicaciones"/>
    <s v="G/530105/1MA101"/>
    <s v="001"/>
    <n v="4000"/>
    <n v="0"/>
    <n v="0"/>
    <n v="4000"/>
    <n v="0"/>
    <n v="4000"/>
    <n v="3008.12"/>
    <n v="0"/>
    <n v="991.88"/>
    <n v="0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0105 Telecomunicaciones"/>
    <s v="G/530105/1IA101"/>
    <s v="001"/>
    <n v="500"/>
    <n v="0"/>
    <n v="0"/>
    <n v="500"/>
    <n v="0"/>
    <n v="500"/>
    <n v="415.65"/>
    <n v="0"/>
    <n v="84.35"/>
    <n v="0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105 Telecomunicaciones"/>
    <s v="G/530105/1BA101"/>
    <s v="002"/>
    <n v="5000"/>
    <n v="658.56"/>
    <n v="0"/>
    <n v="5658.56"/>
    <n v="8.85"/>
    <n v="5649.71"/>
    <n v="3264.83"/>
    <n v="8.85"/>
    <n v="2393.73"/>
    <n v="0"/>
  </r>
  <r>
    <s v="53"/>
    <x v="2"/>
    <x v="5"/>
    <s v="PM71N010"/>
    <x v="27"/>
    <s v="A101"/>
    <s v="FORTALECIMIENTO INSTITUCIONAL"/>
    <s v="GC00A10100001D"/>
    <s v="GC00A10100001D GASTOS ADMINISTRATIVOS"/>
    <s v="53 BIENES Y SERVICIOS DE CONSUMO"/>
    <s v="530105 Telecomunicaciones"/>
    <s v="G/530105/1NA101"/>
    <s v="001"/>
    <n v="20000"/>
    <n v="0"/>
    <n v="0"/>
    <n v="20000"/>
    <n v="0"/>
    <n v="20000"/>
    <n v="15501.26"/>
    <n v="0"/>
    <n v="4498.74"/>
    <n v="0"/>
  </r>
  <r>
    <s v="53"/>
    <x v="1"/>
    <x v="2"/>
    <s v="OL41I060"/>
    <x v="42"/>
    <s v="A101"/>
    <s v="FORTALECIMIENTO INSTITUCIONAL"/>
    <s v="GC00A10100001D"/>
    <s v="GC00A10100001D GASTOS ADMINISTRATIVOS"/>
    <s v="53 BIENES Y SERVICIOS DE CONSUMO"/>
    <s v="530105 Telecomunicaciones"/>
    <s v="G/530105/1IA101"/>
    <s v="001"/>
    <n v="500"/>
    <n v="0"/>
    <n v="0"/>
    <n v="500"/>
    <n v="0"/>
    <n v="500"/>
    <n v="323.18"/>
    <n v="0"/>
    <n v="176.82"/>
    <n v="0"/>
  </r>
  <r>
    <s v="53"/>
    <x v="2"/>
    <x v="11"/>
    <s v="ZQ08F080"/>
    <x v="39"/>
    <s v="A101"/>
    <s v="FORTALECIMIENTO INSTITUCIONAL"/>
    <s v="GC00A10100001D"/>
    <s v="GC00A10100001D GASTOS ADMINISTRATIVOS"/>
    <s v="53 BIENES Y SERVICIOS DE CONSUMO"/>
    <s v="530105 Telecomunicaciones"/>
    <s v="G/530105/1FA101"/>
    <s v="001"/>
    <n v="9210.66"/>
    <n v="-921.06"/>
    <n v="0"/>
    <n v="8289.6"/>
    <n v="74.64"/>
    <n v="8214.9599999999991"/>
    <n v="1948.12"/>
    <n v="74.64"/>
    <n v="6341.48"/>
    <n v="0"/>
  </r>
  <r>
    <s v="53"/>
    <x v="2"/>
    <x v="11"/>
    <s v="ZT06F060"/>
    <x v="25"/>
    <s v="A101"/>
    <s v="FORTALECIMIENTO INSTITUCIONAL"/>
    <s v="GC00A10100001D"/>
    <s v="GC00A10100001D GASTOS ADMINISTRATIVOS"/>
    <s v="53 BIENES Y SERVICIOS DE CONSUMO"/>
    <s v="530105 Telecomunicaciones"/>
    <s v="G/530105/1FA101"/>
    <s v="001"/>
    <n v="6000"/>
    <n v="0"/>
    <n v="0"/>
    <n v="6000"/>
    <n v="0"/>
    <n v="6000"/>
    <n v="2805.83"/>
    <n v="0"/>
    <n v="3194.17"/>
    <n v="0"/>
  </r>
  <r>
    <s v="53"/>
    <x v="1"/>
    <x v="2"/>
    <s v="ES12I020"/>
    <x v="16"/>
    <s v="A101"/>
    <s v="FORTALECIMIENTO INSTITUCIONAL"/>
    <s v="GC00A10100001D"/>
    <s v="GC00A10100001D GASTOS ADMINISTRATIVOS"/>
    <s v="53 BIENES Y SERVICIOS DE CONSUMO"/>
    <s v="530105 Telecomunicaciones"/>
    <s v="G/530105/1IA101"/>
    <s v="001"/>
    <n v="5000"/>
    <n v="0"/>
    <n v="0"/>
    <n v="5000"/>
    <n v="108"/>
    <n v="4850"/>
    <n v="4654.37"/>
    <n v="150"/>
    <n v="345.63"/>
    <n v="42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105 Telecomunicaciones"/>
    <s v="G/530105/1AA101"/>
    <s v="002"/>
    <n v="150000"/>
    <n v="0"/>
    <n v="0"/>
    <n v="150000"/>
    <n v="2058.15"/>
    <n v="112380.29"/>
    <n v="103900.69"/>
    <n v="37619.71"/>
    <n v="46099.31"/>
    <n v="35561.56"/>
  </r>
  <r>
    <s v="53"/>
    <x v="3"/>
    <x v="15"/>
    <s v="AC67Q000"/>
    <x v="32"/>
    <s v="A101"/>
    <s v="FORTALECIMIENTO INSTITUCIONAL"/>
    <s v="GC00A10100001D"/>
    <s v="GC00A10100001D GASTOS ADMINISTRATIVOS"/>
    <s v="53 BIENES Y SERVICIOS DE CONSUMO"/>
    <s v="530105 Telecomunicaciones"/>
    <s v="G/530105/1QA101"/>
    <s v="001"/>
    <n v="1500"/>
    <n v="1206.5999999999999"/>
    <n v="0"/>
    <n v="2706.6"/>
    <n v="0"/>
    <n v="2706.6"/>
    <n v="2087.9499999999998"/>
    <n v="0"/>
    <n v="618.65"/>
    <n v="0"/>
  </r>
  <r>
    <s v="53"/>
    <x v="2"/>
    <x v="11"/>
    <s v="ZV05F050"/>
    <x v="37"/>
    <s v="A101"/>
    <s v="FORTALECIMIENTO INSTITUCIONAL"/>
    <s v="GC00A10100001D"/>
    <s v="GC00A10100001D GASTOS ADMINISTRATIVOS"/>
    <s v="53 BIENES Y SERVICIOS DE CONSUMO"/>
    <s v="530105 Telecomunicaciones"/>
    <s v="G/530105/1FA101"/>
    <s v="001"/>
    <n v="10000"/>
    <n v="-4000"/>
    <n v="0"/>
    <n v="6000"/>
    <n v="0"/>
    <n v="4500"/>
    <n v="3651.49"/>
    <n v="1500"/>
    <n v="2348.5100000000002"/>
    <n v="1500"/>
  </r>
  <r>
    <s v="53"/>
    <x v="2"/>
    <x v="6"/>
    <s v="AT69K040"/>
    <x v="13"/>
    <s v="A101"/>
    <s v="FORTALECIMIENTO INSTITUCIONAL"/>
    <s v="GC00A10100001D"/>
    <s v="GC00A10100001D GASTOS ADMINISTRATIVOS"/>
    <s v="53 BIENES Y SERVICIOS DE CONSUMO"/>
    <s v="530105 Telecomunicaciones"/>
    <s v="G/530105/1KA101"/>
    <s v="001"/>
    <n v="273995.59000000003"/>
    <n v="-90386"/>
    <n v="0"/>
    <n v="183609.59"/>
    <n v="0"/>
    <n v="153000"/>
    <n v="39403.760000000002"/>
    <n v="30609.59"/>
    <n v="144205.82999999999"/>
    <n v="30609.59"/>
  </r>
  <r>
    <s v="53"/>
    <x v="2"/>
    <x v="11"/>
    <s v="ZM04F040"/>
    <x v="41"/>
    <s v="A101"/>
    <s v="FORTALECIMIENTO INSTITUCIONAL"/>
    <s v="GC00A10100001D"/>
    <s v="GC00A10100001D GASTOS ADMINISTRATIVOS"/>
    <s v="53 BIENES Y SERVICIOS DE CONSUMO"/>
    <s v="530105 Telecomunicaciones"/>
    <s v="G/530105/1FA101"/>
    <s v="001"/>
    <n v="5000"/>
    <n v="0"/>
    <n v="0"/>
    <n v="5000"/>
    <n v="0"/>
    <n v="3177.28"/>
    <n v="2390.6"/>
    <n v="1822.72"/>
    <n v="2609.4"/>
    <n v="1822.72"/>
  </r>
  <r>
    <s v="53"/>
    <x v="1"/>
    <x v="2"/>
    <s v="EE11I010"/>
    <x v="21"/>
    <s v="A101"/>
    <s v="FORTALECIMIENTO INSTITUCIONAL"/>
    <s v="GC00A10100001D"/>
    <s v="GC00A10100001D GASTOS ADMINISTRATIVOS"/>
    <s v="53 BIENES Y SERVICIOS DE CONSUMO"/>
    <s v="530105 Telecomunicaciones"/>
    <s v="G/530105/1IA101"/>
    <s v="001"/>
    <n v="1400"/>
    <n v="0"/>
    <n v="0"/>
    <n v="1400"/>
    <n v="0"/>
    <n v="1400"/>
    <n v="864.28"/>
    <n v="0"/>
    <n v="535.72"/>
    <n v="0"/>
  </r>
  <r>
    <s v="53"/>
    <x v="1"/>
    <x v="2"/>
    <s v="SF43I080"/>
    <x v="35"/>
    <s v="A101"/>
    <s v="FORTALECIMIENTO INSTITUCIONAL"/>
    <s v="GC00A10100001D"/>
    <s v="GC00A10100001D GASTOS ADMINISTRATIVOS"/>
    <s v="53 BIENES Y SERVICIOS DE CONSUMO"/>
    <s v="530105 Telecomunicaciones"/>
    <s v="G/530105/1IA101"/>
    <s v="001"/>
    <n v="700"/>
    <n v="0"/>
    <n v="0"/>
    <n v="700"/>
    <n v="0"/>
    <n v="540.1"/>
    <n v="400.69"/>
    <n v="159.9"/>
    <n v="299.31"/>
    <n v="159.9"/>
  </r>
  <r>
    <s v="53"/>
    <x v="2"/>
    <x v="11"/>
    <s v="TM68F100"/>
    <x v="34"/>
    <s v="A101"/>
    <s v="FORTALECIMIENTO INSTITUCIONAL"/>
    <s v="GC00A10100001D"/>
    <s v="GC00A10100001D GASTOS ADMINISTRATIVOS"/>
    <s v="53 BIENES Y SERVICIOS DE CONSUMO"/>
    <s v="530105 Telecomunicaciones"/>
    <s v="G/530105/1FA101"/>
    <s v="001"/>
    <n v="250"/>
    <n v="0"/>
    <n v="0"/>
    <n v="250"/>
    <n v="0"/>
    <n v="97.09"/>
    <n v="80.099999999999994"/>
    <n v="152.91"/>
    <n v="169.9"/>
    <n v="152.91"/>
  </r>
  <r>
    <s v="53"/>
    <x v="1"/>
    <x v="2"/>
    <s v="EQ13I030"/>
    <x v="20"/>
    <s v="A101"/>
    <s v="FORTALECIMIENTO INSTITUCIONAL"/>
    <s v="GC00A10100001D"/>
    <s v="GC00A10100001D GASTOS ADMINISTRATIVOS"/>
    <s v="53 BIENES Y SERVICIOS DE CONSUMO"/>
    <s v="530105 Telecomunicaciones"/>
    <s v="G/530105/1IA101"/>
    <s v="001"/>
    <n v="4100"/>
    <n v="0"/>
    <n v="0"/>
    <n v="4100"/>
    <n v="0"/>
    <n v="4100"/>
    <n v="813.12"/>
    <n v="0"/>
    <n v="3286.88"/>
    <n v="0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106  Servicio de Correo"/>
    <s v="G/530106/1AA101"/>
    <s v="002"/>
    <n v="500"/>
    <n v="-320"/>
    <n v="0"/>
    <n v="180"/>
    <n v="0"/>
    <n v="106.62"/>
    <n v="106.61"/>
    <n v="73.38"/>
    <n v="73.39"/>
    <n v="73.38"/>
  </r>
  <r>
    <s v="53"/>
    <x v="2"/>
    <x v="6"/>
    <s v="AT69K040"/>
    <x v="13"/>
    <s v="A101"/>
    <s v="FORTALECIMIENTO INSTITUCIONAL"/>
    <s v="GC00A10100001D"/>
    <s v="GC00A10100001D GASTOS ADMINISTRATIVOS"/>
    <s v="53 BIENES Y SERVICIOS DE CONSUMO"/>
    <s v="530106  Servicio de Correo"/>
    <s v="G/530106/1KA101"/>
    <s v="001"/>
    <n v="0"/>
    <n v="516550.44"/>
    <n v="0"/>
    <n v="516550.44"/>
    <n v="82166.22"/>
    <n v="146702.53"/>
    <n v="146489.17000000001"/>
    <n v="369847.91"/>
    <n v="370061.27"/>
    <n v="287681.69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106  Servicio de Correo"/>
    <s v="G/530106/1FA101"/>
    <s v="001"/>
    <n v="25"/>
    <n v="0"/>
    <n v="0"/>
    <n v="25"/>
    <n v="0"/>
    <n v="0"/>
    <n v="0"/>
    <n v="25"/>
    <n v="25"/>
    <n v="25"/>
  </r>
  <r>
    <s v="53"/>
    <x v="0"/>
    <x v="1"/>
    <s v="ZA01C002"/>
    <x v="46"/>
    <s v="A101"/>
    <s v="FORTALECIMIENTO INSTITUCIONAL"/>
    <s v="GC00A10100001D"/>
    <s v="GC00A10100001D GASTOS ADMINISTRATIVOS"/>
    <s v="53 BIENES Y SERVICIOS DE CONSUMO"/>
    <s v="530106  Servicio de Correo"/>
    <s v="G/530106/1CA101"/>
    <s v="002"/>
    <n v="100"/>
    <n v="0"/>
    <n v="0"/>
    <n v="100"/>
    <n v="0"/>
    <n v="0"/>
    <n v="0"/>
    <n v="100"/>
    <n v="100"/>
    <n v="100"/>
  </r>
  <r>
    <s v="53"/>
    <x v="2"/>
    <x v="10"/>
    <s v="ZA01D000"/>
    <x v="24"/>
    <s v="A101"/>
    <s v="FORTALECIMIENTO INSTITUCIONAL"/>
    <s v="GC00A10100001D"/>
    <s v="GC00A10100001D GASTOS ADMINISTRATIVOS"/>
    <s v="53 BIENES Y SERVICIOS DE CONSUMO"/>
    <s v="530106  Servicio de Correo"/>
    <s v="G/530106/1DA101"/>
    <s v="001"/>
    <n v="46000"/>
    <n v="0"/>
    <n v="0"/>
    <n v="46000"/>
    <n v="0"/>
    <n v="11584"/>
    <n v="3920"/>
    <n v="34416"/>
    <n v="42080"/>
    <n v="34416"/>
  </r>
  <r>
    <s v="53"/>
    <x v="2"/>
    <x v="11"/>
    <s v="ZQ08F080"/>
    <x v="39"/>
    <s v="A101"/>
    <s v="FORTALECIMIENTO INSTITUCIONAL"/>
    <s v="GC00A10100001D"/>
    <s v="GC00A10100001D GASTOS ADMINISTRATIVOS"/>
    <s v="53 BIENES Y SERVICIOS DE CONSUMO"/>
    <s v="530106  Servicio de Correo"/>
    <s v="G/530106/1FA101"/>
    <s v="001"/>
    <n v="5800"/>
    <n v="-594.24"/>
    <n v="0"/>
    <n v="5205.76"/>
    <n v="0"/>
    <n v="5205.76"/>
    <n v="1756.95"/>
    <n v="0"/>
    <n v="3448.81"/>
    <n v="0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0106  Servicio de Correo"/>
    <s v="G/530106/1IA101"/>
    <s v="001"/>
    <n v="1000"/>
    <n v="0"/>
    <n v="0"/>
    <n v="1000"/>
    <n v="0"/>
    <n v="0"/>
    <n v="0"/>
    <n v="1000"/>
    <n v="1000"/>
    <n v="100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106  Servicio de Correo"/>
    <s v="G/530106/1AA101"/>
    <s v="002"/>
    <n v="100000"/>
    <n v="0"/>
    <n v="0"/>
    <n v="100000"/>
    <n v="56739.15"/>
    <n v="14330.3"/>
    <n v="6377.46"/>
    <n v="85669.7"/>
    <n v="93622.54"/>
    <n v="28930.55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106  Servicio de Correo"/>
    <s v="G/530106/1BA101"/>
    <s v="002"/>
    <n v="273000"/>
    <n v="-45441.24"/>
    <n v="0"/>
    <n v="227558.76"/>
    <n v="24640"/>
    <n v="172616.68"/>
    <n v="130044.46"/>
    <n v="54942.080000000002"/>
    <n v="97514.3"/>
    <n v="30302.080000000002"/>
  </r>
  <r>
    <s v="53"/>
    <x v="2"/>
    <x v="11"/>
    <s v="ZS03F030"/>
    <x v="38"/>
    <s v="A101"/>
    <s v="FORTALECIMIENTO INSTITUCIONAL"/>
    <s v="GC00A10100001D"/>
    <s v="GC00A10100001D GASTOS ADMINISTRATIVOS"/>
    <s v="53 BIENES Y SERVICIOS DE CONSUMO"/>
    <s v="530201 Transporte de Personal"/>
    <s v="G/530201/1FA101"/>
    <s v="001"/>
    <n v="33000"/>
    <n v="0"/>
    <n v="0"/>
    <n v="33000"/>
    <n v="0"/>
    <n v="28490"/>
    <n v="5753.85"/>
    <n v="4510"/>
    <n v="27246.15"/>
    <n v="4510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0201 Transporte de Personal"/>
    <s v="G/530201/1MA101"/>
    <s v="001"/>
    <n v="70000"/>
    <n v="-40980"/>
    <n v="0"/>
    <n v="29020"/>
    <n v="0"/>
    <n v="11220"/>
    <n v="10336.81"/>
    <n v="17800"/>
    <n v="18683.189999999999"/>
    <n v="17800"/>
  </r>
  <r>
    <s v="53"/>
    <x v="2"/>
    <x v="11"/>
    <s v="ZC09F090"/>
    <x v="44"/>
    <s v="A101"/>
    <s v="FORTALECIMIENTO INSTITUCIONAL"/>
    <s v="GC00A10100001D"/>
    <s v="GC00A10100001D GASTOS ADMINISTRATIVOS"/>
    <s v="53 BIENES Y SERVICIOS DE CONSUMO"/>
    <s v="530201 Transporte de Personal"/>
    <s v="G/530201/1FA101"/>
    <s v="001"/>
    <n v="39000"/>
    <n v="-8257.2000000000007"/>
    <n v="0"/>
    <n v="30742.799999999999"/>
    <n v="0"/>
    <n v="18990"/>
    <n v="4897.82"/>
    <n v="11752.8"/>
    <n v="25844.98"/>
    <n v="11752.8"/>
  </r>
  <r>
    <s v="53"/>
    <x v="2"/>
    <x v="11"/>
    <s v="ZD07F070"/>
    <x v="43"/>
    <s v="A101"/>
    <s v="FORTALECIMIENTO INSTITUCIONAL"/>
    <s v="GC00A10100001D"/>
    <s v="GC00A10100001D GASTOS ADMINISTRATIVOS"/>
    <s v="53 BIENES Y SERVICIOS DE CONSUMO"/>
    <s v="530201 Transporte de Personal"/>
    <s v="G/530201/1FA101"/>
    <s v="001"/>
    <n v="31800"/>
    <n v="-4300"/>
    <n v="0"/>
    <n v="27500"/>
    <n v="0"/>
    <n v="27500"/>
    <n v="17500"/>
    <n v="0"/>
    <n v="10000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201 Transporte de Personal"/>
    <s v="G/530201/1AA101"/>
    <s v="002"/>
    <n v="400000"/>
    <n v="0"/>
    <n v="0"/>
    <n v="400000"/>
    <n v="17817.71"/>
    <n v="214795.5"/>
    <n v="126517.84"/>
    <n v="185204.5"/>
    <n v="273482.15999999997"/>
    <n v="167386.79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201 Transporte de Personal"/>
    <s v="G/530201/1FA101"/>
    <s v="001"/>
    <n v="95000"/>
    <n v="-8500"/>
    <n v="0"/>
    <n v="86500"/>
    <n v="0"/>
    <n v="83136.63"/>
    <n v="29804.91"/>
    <n v="3363.37"/>
    <n v="56695.09"/>
    <n v="3363.37"/>
  </r>
  <r>
    <s v="53"/>
    <x v="1"/>
    <x v="3"/>
    <s v="UN31M010"/>
    <x v="11"/>
    <s v="A101"/>
    <s v="FORTALECIMIENTO INSTITUCIONAL"/>
    <s v="GC00A10100001D"/>
    <s v="GC00A10100001D GASTOS ADMINISTRATIVOS"/>
    <s v="53 BIENES Y SERVICIOS DE CONSUMO"/>
    <s v="530201 Transporte de Personal"/>
    <s v="G/530201/1MA101"/>
    <s v="001"/>
    <n v="30000"/>
    <n v="0"/>
    <n v="0"/>
    <n v="30000"/>
    <n v="0"/>
    <n v="20648.72"/>
    <n v="15649.73"/>
    <n v="9351.2800000000007"/>
    <n v="14350.27"/>
    <n v="9351.2800000000007"/>
  </r>
  <r>
    <s v="53"/>
    <x v="2"/>
    <x v="11"/>
    <s v="ZQ08F080"/>
    <x v="39"/>
    <s v="A101"/>
    <s v="FORTALECIMIENTO INSTITUCIONAL"/>
    <s v="GC00A10100001D"/>
    <s v="GC00A10100001D GASTOS ADMINISTRATIVOS"/>
    <s v="53 BIENES Y SERVICIOS DE CONSUMO"/>
    <s v="530201 Transporte de Personal"/>
    <s v="G/530201/1FA101"/>
    <s v="001"/>
    <n v="53170"/>
    <n v="-11312.08"/>
    <n v="0"/>
    <n v="41857.919999999998"/>
    <n v="0"/>
    <n v="21583.94"/>
    <n v="1883.42"/>
    <n v="20273.98"/>
    <n v="39974.5"/>
    <n v="20273.98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201 Transporte de Personal"/>
    <s v="G/530201/1AA101"/>
    <s v="002"/>
    <n v="81500"/>
    <n v="-2950.45"/>
    <n v="0"/>
    <n v="78549.55"/>
    <n v="2250"/>
    <n v="75784.3"/>
    <n v="38754.68"/>
    <n v="2765.25"/>
    <n v="39794.870000000003"/>
    <n v="515.25"/>
  </r>
  <r>
    <s v="53"/>
    <x v="2"/>
    <x v="11"/>
    <s v="ZT06F060"/>
    <x v="25"/>
    <s v="A101"/>
    <s v="FORTALECIMIENTO INSTITUCIONAL"/>
    <s v="GC00A10100001D"/>
    <s v="GC00A10100001D GASTOS ADMINISTRATIVOS"/>
    <s v="53 BIENES Y SERVICIOS DE CONSUMO"/>
    <s v="530201 Transporte de Personal"/>
    <s v="G/530201/1FA101"/>
    <s v="001"/>
    <n v="60000"/>
    <n v="0"/>
    <n v="0"/>
    <n v="60000"/>
    <n v="0"/>
    <n v="37000"/>
    <n v="7099.68"/>
    <n v="23000"/>
    <n v="52900.32"/>
    <n v="23000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201 Transporte de Personal"/>
    <s v="G/530201/1BA101"/>
    <s v="002"/>
    <n v="59900"/>
    <n v="-11295.52"/>
    <n v="0"/>
    <n v="48604.480000000003"/>
    <n v="0"/>
    <n v="48152.91"/>
    <n v="27806.61"/>
    <n v="451.57"/>
    <n v="20797.87"/>
    <n v="451.57"/>
  </r>
  <r>
    <s v="53"/>
    <x v="2"/>
    <x v="11"/>
    <s v="TM68F100"/>
    <x v="34"/>
    <s v="A101"/>
    <s v="FORTALECIMIENTO INSTITUCIONAL"/>
    <s v="GC00A10100001D"/>
    <s v="GC00A10100001D GASTOS ADMINISTRATIVOS"/>
    <s v="53 BIENES Y SERVICIOS DE CONSUMO"/>
    <s v="530201 Transporte de Personal"/>
    <s v="G/530201/1FA101"/>
    <s v="001"/>
    <n v="24200"/>
    <n v="0"/>
    <n v="0"/>
    <n v="24200"/>
    <n v="0"/>
    <n v="9071.25"/>
    <n v="5783.75"/>
    <n v="15128.75"/>
    <n v="18416.25"/>
    <n v="15128.75"/>
  </r>
  <r>
    <s v="53"/>
    <x v="2"/>
    <x v="11"/>
    <s v="ZV05F050"/>
    <x v="37"/>
    <s v="A101"/>
    <s v="FORTALECIMIENTO INSTITUCIONAL"/>
    <s v="GC00A10100001D"/>
    <s v="GC00A10100001D GASTOS ADMINISTRATIVOS"/>
    <s v="53 BIENES Y SERVICIOS DE CONSUMO"/>
    <s v="530201 Transporte de Personal"/>
    <s v="G/530201/1FA101"/>
    <s v="001"/>
    <n v="65000"/>
    <n v="-13696.33"/>
    <n v="0"/>
    <n v="51303.67"/>
    <n v="0"/>
    <n v="26552.53"/>
    <n v="14037.88"/>
    <n v="24751.14"/>
    <n v="37265.79"/>
    <n v="24751.14"/>
  </r>
  <r>
    <s v="53"/>
    <x v="2"/>
    <x v="5"/>
    <s v="PM71N010"/>
    <x v="27"/>
    <s v="A101"/>
    <s v="FORTALECIMIENTO INSTITUCIONAL"/>
    <s v="GC00A10100001D"/>
    <s v="GC00A10100001D GASTOS ADMINISTRATIVOS"/>
    <s v="53 BIENES Y SERVICIOS DE CONSUMO"/>
    <s v="530202 Fletes y Maniobras"/>
    <s v="G/530202/1NA101"/>
    <s v="001"/>
    <n v="500"/>
    <n v="678"/>
    <n v="0"/>
    <n v="1178"/>
    <n v="0"/>
    <n v="477.97"/>
    <n v="111.38"/>
    <n v="700.03"/>
    <n v="1066.6199999999999"/>
    <n v="700.03"/>
  </r>
  <r>
    <s v="53"/>
    <x v="1"/>
    <x v="2"/>
    <s v="CF22I050"/>
    <x v="22"/>
    <s v="A101"/>
    <s v="FORTALECIMIENTO INSTITUCIONAL"/>
    <s v="GC00A10100001D"/>
    <s v="GC00A10100001D GASTOS ADMINISTRATIVOS"/>
    <s v="53 BIENES Y SERVICIOS DE CONSUMO"/>
    <s v="530202 Fletes y Maniobras"/>
    <s v="G/530202/1IA101"/>
    <s v="001"/>
    <n v="180"/>
    <n v="0"/>
    <n v="0"/>
    <n v="180"/>
    <n v="0"/>
    <n v="60"/>
    <n v="60"/>
    <n v="120"/>
    <n v="120"/>
    <n v="120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202 Fletes y Maniobras"/>
    <s v="G/530202/1BA101"/>
    <s v="002"/>
    <n v="4370"/>
    <n v="7950.88"/>
    <n v="0"/>
    <n v="12320.88"/>
    <n v="0"/>
    <n v="7938"/>
    <n v="3763.2"/>
    <n v="4382.88"/>
    <n v="8557.68"/>
    <n v="4382.88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202 Fletes y Maniobras"/>
    <s v="G/530202/1AA101"/>
    <s v="002"/>
    <n v="1000"/>
    <n v="0"/>
    <n v="0"/>
    <n v="1000"/>
    <n v="0"/>
    <n v="1000"/>
    <n v="0"/>
    <n v="0"/>
    <n v="1000"/>
    <n v="0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0203 Almacenamiento, Embalaje, Desembalaje, Enva"/>
    <s v="G/530203/1IA101"/>
    <s v="001"/>
    <n v="2000"/>
    <n v="0"/>
    <n v="0"/>
    <n v="2000"/>
    <n v="0"/>
    <n v="0"/>
    <n v="0"/>
    <n v="2000"/>
    <n v="2000"/>
    <n v="2000"/>
  </r>
  <r>
    <s v="53"/>
    <x v="1"/>
    <x v="2"/>
    <s v="ES12I020"/>
    <x v="16"/>
    <s v="A101"/>
    <s v="FORTALECIMIENTO INSTITUCIONAL"/>
    <s v="GC00A10100001D"/>
    <s v="GC00A10100001D GASTOS ADMINISTRATIVOS"/>
    <s v="53 BIENES Y SERVICIOS DE CONSUMO"/>
    <s v="530203 Almacenamiento, Embalaje, Desembalaje, Enva"/>
    <s v="G/530203/1IA101"/>
    <s v="001"/>
    <n v="800"/>
    <n v="0"/>
    <n v="0"/>
    <n v="800"/>
    <n v="0"/>
    <n v="0"/>
    <n v="0"/>
    <n v="800"/>
    <n v="800"/>
    <n v="800"/>
  </r>
  <r>
    <s v="53"/>
    <x v="2"/>
    <x v="11"/>
    <s v="ZD07F070"/>
    <x v="43"/>
    <s v="A101"/>
    <s v="FORTALECIMIENTO INSTITUCIONAL"/>
    <s v="GC00A10100001D"/>
    <s v="GC00A10100001D GASTOS ADMINISTRATIVOS"/>
    <s v="53 BIENES Y SERVICIOS DE CONSUMO"/>
    <s v="530203 Almacenamiento, Embalaje, Desembalaje, Enva"/>
    <s v="G/530203/1FA101"/>
    <s v="001"/>
    <n v="0"/>
    <n v="500"/>
    <n v="0"/>
    <n v="500"/>
    <n v="0"/>
    <n v="0"/>
    <n v="0"/>
    <n v="500"/>
    <n v="500"/>
    <n v="500"/>
  </r>
  <r>
    <s v="53"/>
    <x v="2"/>
    <x v="11"/>
    <s v="ZM04F040"/>
    <x v="41"/>
    <s v="A101"/>
    <s v="FORTALECIMIENTO INSTITUCIONAL"/>
    <s v="GC00A10100001D"/>
    <s v="GC00A10100001D GASTOS ADMINISTRATIVOS"/>
    <s v="53 BIENES Y SERVICIOS DE CONSUMO"/>
    <s v="530203 Almacenamiento, Embalaje, Desembalaje, Enva"/>
    <s v="G/530203/1FA101"/>
    <s v="001"/>
    <n v="0"/>
    <n v="2000"/>
    <n v="0"/>
    <n v="2000"/>
    <n v="0"/>
    <n v="0"/>
    <n v="0"/>
    <n v="2000"/>
    <n v="2000"/>
    <n v="2000"/>
  </r>
  <r>
    <s v="53"/>
    <x v="2"/>
    <x v="10"/>
    <s v="ZA01D000"/>
    <x v="24"/>
    <s v="A101"/>
    <s v="FORTALECIMIENTO INSTITUCIONAL"/>
    <s v="GC00A10100001D"/>
    <s v="GC00A10100001D GASTOS ADMINISTRATIVOS"/>
    <s v="53 BIENES Y SERVICIOS DE CONSUMO"/>
    <s v="530203 Almacenamiento, Embalaje, Desembalaje, Enva"/>
    <s v="G/530203/1DA101"/>
    <s v="001"/>
    <n v="19000"/>
    <n v="-10000"/>
    <n v="0"/>
    <n v="9000"/>
    <n v="9000"/>
    <n v="0"/>
    <n v="0"/>
    <n v="9000"/>
    <n v="9000"/>
    <n v="0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0203 Almacenamiento, Embalaje, Desembalaje, Enva"/>
    <s v="G/530203/1MA101"/>
    <s v="001"/>
    <n v="3000"/>
    <n v="-1400"/>
    <n v="0"/>
    <n v="1600"/>
    <n v="0"/>
    <n v="0"/>
    <n v="0"/>
    <n v="1600"/>
    <n v="1600"/>
    <n v="160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203 Almacenamiento, Embalaje, Desembalaje, Enva"/>
    <s v="G/530203/1AA101"/>
    <s v="002"/>
    <n v="8000"/>
    <n v="0"/>
    <n v="0"/>
    <n v="8000"/>
    <n v="2510.48"/>
    <n v="5489.52"/>
    <n v="0"/>
    <n v="2510.48"/>
    <n v="8000"/>
    <n v="0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203 Almacenamiento, Embalaje, Desembalaje, Enva"/>
    <s v="G/530203/1FA101"/>
    <s v="001"/>
    <n v="2000"/>
    <n v="0"/>
    <n v="0"/>
    <n v="2000"/>
    <n v="0"/>
    <n v="0"/>
    <n v="0"/>
    <n v="2000"/>
    <n v="2000"/>
    <n v="2000"/>
  </r>
  <r>
    <s v="53"/>
    <x v="1"/>
    <x v="3"/>
    <s v="UN31M010"/>
    <x v="11"/>
    <s v="A101"/>
    <s v="FORTALECIMIENTO INSTITUCIONAL"/>
    <s v="GC00A10100001D"/>
    <s v="GC00A10100001D GASTOS ADMINISTRATIVOS"/>
    <s v="53 BIENES Y SERVICIOS DE CONSUMO"/>
    <s v="530203 Almacenamiento, Embalaje, Desembalaje, Enva"/>
    <s v="G/530203/1MA101"/>
    <s v="001"/>
    <n v="600"/>
    <n v="2100"/>
    <n v="0"/>
    <n v="2700"/>
    <n v="1848.56"/>
    <n v="0"/>
    <n v="0"/>
    <n v="2700"/>
    <n v="2700"/>
    <n v="851.44"/>
  </r>
  <r>
    <s v="53"/>
    <x v="2"/>
    <x v="11"/>
    <s v="ZV05F050"/>
    <x v="37"/>
    <s v="A101"/>
    <s v="FORTALECIMIENTO INSTITUCIONAL"/>
    <s v="GC00A10100001D"/>
    <s v="GC00A10100001D GASTOS ADMINISTRATIVOS"/>
    <s v="53 BIENES Y SERVICIOS DE CONSUMO"/>
    <s v="530203 Almacenamiento, Embalaje, Desembalaje, Enva"/>
    <s v="G/530203/1FA101"/>
    <s v="001"/>
    <n v="0"/>
    <n v="1344"/>
    <n v="0"/>
    <n v="1344"/>
    <n v="0"/>
    <n v="0"/>
    <n v="0"/>
    <n v="1344"/>
    <n v="1344"/>
    <n v="1344"/>
  </r>
  <r>
    <s v="53"/>
    <x v="1"/>
    <x v="2"/>
    <s v="JM40I070"/>
    <x v="12"/>
    <s v="A101"/>
    <s v="FORTALECIMIENTO INSTITUCIONAL"/>
    <s v="GC00A10100001D"/>
    <s v="GC00A10100001D GASTOS ADMINISTRATIVOS"/>
    <s v="53 BIENES Y SERVICIOS DE CONSUMO"/>
    <s v="530203 Almacenamiento, Embalaje, Desembalaje, Enva"/>
    <s v="G/530203/1IA101"/>
    <s v="001"/>
    <n v="1120"/>
    <n v="0"/>
    <n v="0"/>
    <n v="1120"/>
    <n v="0"/>
    <n v="0"/>
    <n v="0"/>
    <n v="1120"/>
    <n v="1120"/>
    <n v="1120"/>
  </r>
  <r>
    <s v="53"/>
    <x v="1"/>
    <x v="2"/>
    <s v="OL41I060"/>
    <x v="42"/>
    <s v="A101"/>
    <s v="FORTALECIMIENTO INSTITUCIONAL"/>
    <s v="GC00A10100001D"/>
    <s v="GC00A10100001D GASTOS ADMINISTRATIVOS"/>
    <s v="53 BIENES Y SERVICIOS DE CONSUMO"/>
    <s v="530204 Edición, Impresión, Reproducción, Public"/>
    <s v="G/530204/1IA101"/>
    <s v="001"/>
    <n v="1500"/>
    <n v="0"/>
    <n v="0"/>
    <n v="1500"/>
    <n v="0"/>
    <n v="0"/>
    <n v="0"/>
    <n v="1500"/>
    <n v="1500"/>
    <n v="150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204 Edición, Impresión, Reproducción, Public"/>
    <s v="G/530204/1AA101"/>
    <s v="002"/>
    <n v="1000"/>
    <n v="5264"/>
    <n v="0"/>
    <n v="6264"/>
    <n v="5264"/>
    <n v="1000"/>
    <n v="344.12"/>
    <n v="5264"/>
    <n v="5919.88"/>
    <n v="0"/>
  </r>
  <r>
    <s v="53"/>
    <x v="0"/>
    <x v="1"/>
    <s v="ZA01C002"/>
    <x v="46"/>
    <s v="A101"/>
    <s v="FORTALECIMIENTO INSTITUCIONAL"/>
    <s v="GC00A10100001D"/>
    <s v="GC00A10100001D GASTOS ADMINISTRATIVOS"/>
    <s v="53 BIENES Y SERVICIOS DE CONSUMO"/>
    <s v="530204 Edición, Impresión, Reproducción, Public"/>
    <s v="G/530204/1CA101"/>
    <s v="002"/>
    <n v="300"/>
    <n v="0"/>
    <n v="0"/>
    <n v="300"/>
    <n v="0"/>
    <n v="0"/>
    <n v="0"/>
    <n v="300"/>
    <n v="300"/>
    <n v="300"/>
  </r>
  <r>
    <s v="53"/>
    <x v="1"/>
    <x v="13"/>
    <s v="ZA01G000"/>
    <x v="29"/>
    <s v="A101"/>
    <s v="FORTALECIMIENTO INSTITUCIONAL"/>
    <s v="GC00A10100001D"/>
    <s v="GC00A10100001D GASTOS ADMINISTRATIVOS"/>
    <s v="53 BIENES Y SERVICIOS DE CONSUMO"/>
    <s v="530204 Edición, Impresión, Reproducción, Public"/>
    <s v="G/530204/1GA101"/>
    <s v="001"/>
    <n v="8000"/>
    <n v="0"/>
    <n v="0"/>
    <n v="8000"/>
    <n v="0"/>
    <n v="0"/>
    <n v="0"/>
    <n v="8000"/>
    <n v="8000"/>
    <n v="8000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204 Edición, Impresión, Reproducción, Public"/>
    <s v="G/530204/1AA101"/>
    <s v="002"/>
    <n v="0"/>
    <n v="768.73"/>
    <n v="0"/>
    <n v="768.73"/>
    <n v="0"/>
    <n v="50"/>
    <n v="50"/>
    <n v="718.73"/>
    <n v="718.73"/>
    <n v="718.73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0204 Edición, Impresión, Reproducción, Public"/>
    <s v="G/530204/1IA101"/>
    <s v="001"/>
    <n v="7000"/>
    <n v="0"/>
    <n v="0"/>
    <n v="7000"/>
    <n v="0"/>
    <n v="0"/>
    <n v="0"/>
    <n v="7000"/>
    <n v="7000"/>
    <n v="7000"/>
  </r>
  <r>
    <s v="53"/>
    <x v="2"/>
    <x v="10"/>
    <s v="ZA01D000"/>
    <x v="24"/>
    <s v="A101"/>
    <s v="FORTALECIMIENTO INSTITUCIONAL"/>
    <s v="GC00A10100001D"/>
    <s v="GC00A10100001D GASTOS ADMINISTRATIVOS"/>
    <s v="53 BIENES Y SERVICIOS DE CONSUMO"/>
    <s v="530204 Edición, Impresión, Reproducción, Public"/>
    <s v="G/530204/1DA101"/>
    <s v="001"/>
    <n v="18000"/>
    <n v="-18000"/>
    <n v="0"/>
    <n v="0"/>
    <n v="0"/>
    <n v="0"/>
    <n v="0"/>
    <n v="0"/>
    <n v="0"/>
    <n v="0"/>
  </r>
  <r>
    <s v="53"/>
    <x v="2"/>
    <x v="11"/>
    <s v="ZS03F030"/>
    <x v="38"/>
    <s v="A101"/>
    <s v="FORTALECIMIENTO INSTITUCIONAL"/>
    <s v="GC00A10100001D"/>
    <s v="GC00A10100001D GASTOS ADMINISTRATIVOS"/>
    <s v="53 BIENES Y SERVICIOS DE CONSUMO"/>
    <s v="530204 Edición, Impresión, Reproducción, Public"/>
    <s v="G/530204/1FA101"/>
    <s v="001"/>
    <n v="15000"/>
    <n v="-3000"/>
    <n v="0"/>
    <n v="12000"/>
    <n v="4286.6400000000003"/>
    <n v="3553.36"/>
    <n v="3553.36"/>
    <n v="8446.64"/>
    <n v="8446.64"/>
    <n v="4160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0204 Edición, Impresión, Reproducción, Public"/>
    <s v="G/530204/1IA101"/>
    <s v="001"/>
    <n v="3000"/>
    <n v="4000"/>
    <n v="0"/>
    <n v="7000"/>
    <n v="0"/>
    <n v="3136"/>
    <n v="3136"/>
    <n v="3864"/>
    <n v="3864"/>
    <n v="3864"/>
  </r>
  <r>
    <s v="53"/>
    <x v="1"/>
    <x v="2"/>
    <s v="ES12I020"/>
    <x v="16"/>
    <s v="A101"/>
    <s v="FORTALECIMIENTO INSTITUCIONAL"/>
    <s v="GC00A10100001D"/>
    <s v="GC00A10100001D GASTOS ADMINISTRATIVOS"/>
    <s v="53 BIENES Y SERVICIOS DE CONSUMO"/>
    <s v="530204 Edición, Impresión, Reproducción, Public"/>
    <s v="G/530204/1IA101"/>
    <s v="001"/>
    <n v="10000"/>
    <n v="0"/>
    <n v="0"/>
    <n v="10000"/>
    <n v="0"/>
    <n v="4780.6000000000004"/>
    <n v="4780.59"/>
    <n v="5219.3999999999996"/>
    <n v="5219.41"/>
    <n v="5219.3999999999996"/>
  </r>
  <r>
    <s v="53"/>
    <x v="1"/>
    <x v="2"/>
    <s v="EQ13I030"/>
    <x v="20"/>
    <s v="A101"/>
    <s v="FORTALECIMIENTO INSTITUCIONAL"/>
    <s v="GC00A10100001D"/>
    <s v="GC00A10100001D GASTOS ADMINISTRATIVOS"/>
    <s v="53 BIENES Y SERVICIOS DE CONSUMO"/>
    <s v="530204 Edición, Impresión, Reproducción, Public"/>
    <s v="G/530204/1IA101"/>
    <s v="001"/>
    <n v="2000"/>
    <n v="-2000"/>
    <n v="0"/>
    <n v="0"/>
    <n v="0"/>
    <n v="0"/>
    <n v="0"/>
    <n v="0"/>
    <n v="0"/>
    <n v="0"/>
  </r>
  <r>
    <s v="53"/>
    <x v="2"/>
    <x v="5"/>
    <s v="PM71N010"/>
    <x v="27"/>
    <s v="A101"/>
    <s v="FORTALECIMIENTO INSTITUCIONAL"/>
    <s v="GC00A10100001D"/>
    <s v="GC00A10100001D GASTOS ADMINISTRATIVOS"/>
    <s v="53 BIENES Y SERVICIOS DE CONSUMO"/>
    <s v="530204 Edición, Impresión, Reproducción, Public"/>
    <s v="G/530204/1NA101"/>
    <s v="001"/>
    <n v="200"/>
    <n v="0"/>
    <n v="0"/>
    <n v="200"/>
    <n v="0"/>
    <n v="200"/>
    <n v="31.19"/>
    <n v="0"/>
    <n v="168.81"/>
    <n v="0"/>
  </r>
  <r>
    <s v="53"/>
    <x v="2"/>
    <x v="11"/>
    <s v="ZC09F090"/>
    <x v="44"/>
    <s v="A101"/>
    <s v="FORTALECIMIENTO INSTITUCIONAL"/>
    <s v="GC00A10100001D"/>
    <s v="GC00A10100001D GASTOS ADMINISTRATIVOS"/>
    <s v="53 BIENES Y SERVICIOS DE CONSUMO"/>
    <s v="530204 Edición, Impresión, Reproducción, Public"/>
    <s v="G/530204/1FA101"/>
    <s v="001"/>
    <n v="5700"/>
    <n v="0"/>
    <n v="0"/>
    <n v="5700"/>
    <n v="3432.93"/>
    <n v="0"/>
    <n v="0"/>
    <n v="5700"/>
    <n v="5700"/>
    <n v="2267.0700000000002"/>
  </r>
  <r>
    <s v="53"/>
    <x v="2"/>
    <x v="6"/>
    <s v="AT69K040"/>
    <x v="13"/>
    <s v="A101"/>
    <s v="FORTALECIMIENTO INSTITUCIONAL"/>
    <s v="GC00A10100001D"/>
    <s v="GC00A10100001D GASTOS ADMINISTRATIVOS"/>
    <s v="53 BIENES Y SERVICIOS DE CONSUMO"/>
    <s v="530204 Edición, Impresión, Reproducción, Public"/>
    <s v="G/530204/1KA101"/>
    <s v="001"/>
    <n v="161055.12"/>
    <n v="7056"/>
    <n v="0"/>
    <n v="168111.12"/>
    <n v="0"/>
    <n v="23400.27"/>
    <n v="15578.55"/>
    <n v="144710.85"/>
    <n v="152532.57"/>
    <n v="144710.85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204 Edición, Impresión, Reproducción, Public"/>
    <s v="G/530204/1BA101"/>
    <s v="002"/>
    <n v="10000"/>
    <n v="15000"/>
    <n v="0"/>
    <n v="25000"/>
    <n v="537.6"/>
    <n v="8023.2"/>
    <n v="7823.2"/>
    <n v="16976.8"/>
    <n v="17176.8"/>
    <n v="16439.2"/>
  </r>
  <r>
    <s v="53"/>
    <x v="3"/>
    <x v="15"/>
    <s v="AC67Q000"/>
    <x v="32"/>
    <s v="A101"/>
    <s v="FORTALECIMIENTO INSTITUCIONAL"/>
    <s v="GC00A10100001D"/>
    <s v="GC00A10100001D GASTOS ADMINISTRATIVOS"/>
    <s v="53 BIENES Y SERVICIOS DE CONSUMO"/>
    <s v="530204 Edición, Impresión, Reproducción, Public"/>
    <s v="G/530204/1QA101"/>
    <s v="001"/>
    <n v="1000"/>
    <n v="0"/>
    <n v="0"/>
    <n v="1000"/>
    <n v="0"/>
    <n v="182.5"/>
    <n v="0"/>
    <n v="817.5"/>
    <n v="1000"/>
    <n v="817.5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204 Edición, Impresión, Reproducción, Public"/>
    <s v="G/530204/1PA101"/>
    <s v="001"/>
    <n v="7000"/>
    <n v="2031.25"/>
    <n v="0"/>
    <n v="9031.25"/>
    <n v="0"/>
    <n v="9031.23"/>
    <n v="80.349999999999994"/>
    <n v="0.02"/>
    <n v="8950.9"/>
    <n v="0.02"/>
  </r>
  <r>
    <s v="53"/>
    <x v="0"/>
    <x v="0"/>
    <s v="ZA01A003"/>
    <x v="48"/>
    <s v="A101"/>
    <s v="FORTALECIMIENTO INSTITUCIONAL"/>
    <s v="GC00A10100001D"/>
    <s v="GC00A10100001D GASTOS ADMINISTRATIVOS"/>
    <s v="53 BIENES Y SERVICIOS DE CONSUMO"/>
    <s v="530204 Edición, Impresión, Reproducción, Public"/>
    <s v="G/530204/1AA101"/>
    <s v="002"/>
    <n v="2100"/>
    <n v="0"/>
    <n v="0"/>
    <n v="2100"/>
    <n v="0"/>
    <n v="0"/>
    <n v="0"/>
    <n v="2100"/>
    <n v="2100"/>
    <n v="2100"/>
  </r>
  <r>
    <s v="53"/>
    <x v="0"/>
    <x v="0"/>
    <s v="ZA01A005"/>
    <x v="49"/>
    <s v="A101"/>
    <s v="FORTALECIMIENTO INSTITUCIONAL"/>
    <s v="GC00A10100001D"/>
    <s v="GC00A10100001D GASTOS ADMINISTRATIVOS"/>
    <s v="53 BIENES Y SERVICIOS DE CONSUMO"/>
    <s v="530204 Edición, Impresión, Reproducción, Public"/>
    <s v="G/530204/1AA101"/>
    <s v="002"/>
    <n v="12000"/>
    <n v="0"/>
    <n v="0"/>
    <n v="12000"/>
    <n v="0"/>
    <n v="0"/>
    <n v="0"/>
    <n v="12000"/>
    <n v="12000"/>
    <n v="12000"/>
  </r>
  <r>
    <s v="53"/>
    <x v="0"/>
    <x v="0"/>
    <s v="ZA01A009"/>
    <x v="0"/>
    <s v="A101"/>
    <s v="FORTALECIMIENTO INSTITUCIONAL"/>
    <s v="GC00A10100001D"/>
    <s v="GC00A10100001D GASTOS ADMINISTRATIVOS"/>
    <s v="53 BIENES Y SERVICIOS DE CONSUMO"/>
    <s v="530204 Edición, Impresión, Reproducción, Public"/>
    <s v="G/530204/1AA101"/>
    <s v="002"/>
    <n v="4900"/>
    <n v="11666.83"/>
    <n v="0"/>
    <n v="16566.830000000002"/>
    <n v="0"/>
    <n v="6666.03"/>
    <n v="6666.03"/>
    <n v="9900.7999999999993"/>
    <n v="9900.7999999999993"/>
    <n v="9900.7999999999993"/>
  </r>
  <r>
    <s v="53"/>
    <x v="2"/>
    <x v="11"/>
    <s v="ZV05F050"/>
    <x v="37"/>
    <s v="A101"/>
    <s v="FORTALECIMIENTO INSTITUCIONAL"/>
    <s v="GC00A10100001D"/>
    <s v="GC00A10100001D GASTOS ADMINISTRATIVOS"/>
    <s v="53 BIENES Y SERVICIOS DE CONSUMO"/>
    <s v="530204 Edición, Impresión, Reproducción, Public"/>
    <s v="G/530204/1FA101"/>
    <s v="001"/>
    <n v="0"/>
    <n v="2531.0500000000002"/>
    <n v="0"/>
    <n v="2531.0500000000002"/>
    <n v="0"/>
    <n v="0"/>
    <n v="0"/>
    <n v="2531.0500000000002"/>
    <n v="2531.0500000000002"/>
    <n v="2531.0500000000002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204 Edición, Impresión, Reproducción, Public"/>
    <s v="G/530204/1FA101"/>
    <s v="001"/>
    <n v="55000"/>
    <n v="0"/>
    <n v="0"/>
    <n v="55000"/>
    <n v="0"/>
    <n v="8345.01"/>
    <n v="6340.6"/>
    <n v="46654.99"/>
    <n v="48659.4"/>
    <n v="46654.99"/>
  </r>
  <r>
    <s v="53"/>
    <x v="2"/>
    <x v="6"/>
    <s v="ZA01K000"/>
    <x v="17"/>
    <s v="A101"/>
    <s v="FORTALECIMIENTO INSTITUCIONAL"/>
    <s v="GC00A10100001D"/>
    <s v="GC00A10100001D GASTOS ADMINISTRATIVOS"/>
    <s v="53 BIENES Y SERVICIOS DE CONSUMO"/>
    <s v="530204 Edición, Impresión, Reproducción, Public"/>
    <s v="G/530204/1KA101"/>
    <s v="001"/>
    <n v="1750"/>
    <n v="0"/>
    <n v="0"/>
    <n v="1750"/>
    <n v="0"/>
    <n v="0"/>
    <n v="0"/>
    <n v="1750"/>
    <n v="1750"/>
    <n v="1750"/>
  </r>
  <r>
    <s v="53"/>
    <x v="1"/>
    <x v="2"/>
    <s v="CF22I050"/>
    <x v="22"/>
    <s v="A101"/>
    <s v="FORTALECIMIENTO INSTITUCIONAL"/>
    <s v="GC00A10100001D"/>
    <s v="GC00A10100001D GASTOS ADMINISTRATIVOS"/>
    <s v="53 BIENES Y SERVICIOS DE CONSUMO"/>
    <s v="530204 Edición, Impresión, Reproducción, Public"/>
    <s v="G/530204/1IA101"/>
    <s v="001"/>
    <n v="130"/>
    <n v="0"/>
    <n v="0"/>
    <n v="130"/>
    <n v="0"/>
    <n v="0"/>
    <n v="0"/>
    <n v="130"/>
    <n v="130"/>
    <n v="130"/>
  </r>
  <r>
    <s v="53"/>
    <x v="2"/>
    <x v="11"/>
    <s v="ZD07F070"/>
    <x v="43"/>
    <s v="A101"/>
    <s v="FORTALECIMIENTO INSTITUCIONAL"/>
    <s v="GC00A10100001D"/>
    <s v="GC00A10100001D GASTOS ADMINISTRATIVOS"/>
    <s v="53 BIENES Y SERVICIOS DE CONSUMO"/>
    <s v="530204 Edición, Impresión, Reproducción, Public"/>
    <s v="G/530204/1FA101"/>
    <s v="001"/>
    <n v="2000"/>
    <n v="0"/>
    <n v="0"/>
    <n v="2000"/>
    <n v="0"/>
    <n v="2000"/>
    <n v="1139.19"/>
    <n v="0"/>
    <n v="860.81"/>
    <n v="0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0204 Edición, Impresión, Reproducción, Public"/>
    <s v="G/530204/1MA101"/>
    <s v="001"/>
    <n v="35000"/>
    <n v="0"/>
    <n v="0"/>
    <n v="35000"/>
    <n v="0"/>
    <n v="6804"/>
    <n v="6804"/>
    <n v="28196"/>
    <n v="28196"/>
    <n v="28196"/>
  </r>
  <r>
    <s v="53"/>
    <x v="1"/>
    <x v="13"/>
    <s v="ZA01G000"/>
    <x v="29"/>
    <s v="A101"/>
    <s v="FORTALECIMIENTO INSTITUCIONAL"/>
    <s v="GC00A10100001D"/>
    <s v="GC00A10100001D GASTOS ADMINISTRATIVOS"/>
    <s v="53 BIENES Y SERVICIOS DE CONSUMO"/>
    <s v="530205 Espectáculos Culturales y Sociales"/>
    <s v="G/530205/1GA101"/>
    <s v="001"/>
    <n v="9200"/>
    <n v="0"/>
    <n v="0"/>
    <n v="9200"/>
    <n v="0"/>
    <n v="0"/>
    <n v="0"/>
    <n v="9200"/>
    <n v="9200"/>
    <n v="9200"/>
  </r>
  <r>
    <s v="53"/>
    <x v="1"/>
    <x v="2"/>
    <s v="ES12I020"/>
    <x v="16"/>
    <s v="A101"/>
    <s v="FORTALECIMIENTO INSTITUCIONAL"/>
    <s v="GC00A10100001D"/>
    <s v="GC00A10100001D GASTOS ADMINISTRATIVOS"/>
    <s v="53 BIENES Y SERVICIOS DE CONSUMO"/>
    <s v="530205 Espectáculos Culturales y Sociales"/>
    <s v="G/530205/1IA101"/>
    <s v="001"/>
    <n v="41000"/>
    <n v="-15237"/>
    <n v="0"/>
    <n v="25763"/>
    <n v="371"/>
    <n v="23391.200000000001"/>
    <n v="11761.12"/>
    <n v="2371.8000000000002"/>
    <n v="14001.88"/>
    <n v="2000.8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0205 Espectáculos Culturales y Sociales"/>
    <s v="G/530205/1IA101"/>
    <s v="001"/>
    <n v="8000"/>
    <n v="-4800"/>
    <n v="0"/>
    <n v="3200"/>
    <n v="0"/>
    <n v="0"/>
    <n v="0"/>
    <n v="3200"/>
    <n v="3200"/>
    <n v="3200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0205 Espectáculos Culturales y Sociales"/>
    <s v="G/530205/1IA101"/>
    <s v="001"/>
    <n v="3000"/>
    <n v="0"/>
    <n v="0"/>
    <n v="3000"/>
    <n v="0"/>
    <n v="0"/>
    <n v="0"/>
    <n v="3000"/>
    <n v="3000"/>
    <n v="3000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205 Espectáculos Culturales y Sociales"/>
    <s v="G/530205/1BA101"/>
    <s v="002"/>
    <n v="10000"/>
    <n v="-10000"/>
    <n v="0"/>
    <n v="0"/>
    <n v="0"/>
    <n v="0"/>
    <n v="0"/>
    <n v="0"/>
    <n v="0"/>
    <n v="0"/>
  </r>
  <r>
    <s v="53"/>
    <x v="1"/>
    <x v="2"/>
    <s v="CF22I050"/>
    <x v="22"/>
    <s v="A101"/>
    <s v="FORTALECIMIENTO INSTITUCIONAL"/>
    <s v="GC00A10100001D"/>
    <s v="GC00A10100001D GASTOS ADMINISTRATIVOS"/>
    <s v="53 BIENES Y SERVICIOS DE CONSUMO"/>
    <s v="530205 Espectáculos Culturales y Sociales"/>
    <s v="G/530205/1IA101"/>
    <s v="001"/>
    <n v="7000"/>
    <n v="0"/>
    <n v="0"/>
    <n v="7000"/>
    <n v="0"/>
    <n v="0"/>
    <n v="0"/>
    <n v="7000"/>
    <n v="7000"/>
    <n v="7000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207 Difusión, Información y Publicidad"/>
    <s v="G/530207/1FA101"/>
    <s v="001"/>
    <n v="3000"/>
    <n v="0"/>
    <n v="0"/>
    <n v="3000"/>
    <n v="0"/>
    <n v="0"/>
    <n v="0"/>
    <n v="3000"/>
    <n v="3000"/>
    <n v="3000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0207 Difusión, Información y Publicidad"/>
    <s v="G/530207/1MA101"/>
    <s v="001"/>
    <n v="5000"/>
    <n v="-5000"/>
    <n v="0"/>
    <n v="0"/>
    <n v="0"/>
    <n v="0"/>
    <n v="0"/>
    <n v="0"/>
    <n v="0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207 Difusión, Información y Publicidad"/>
    <s v="G/530207/1AA101"/>
    <s v="002"/>
    <n v="7500"/>
    <n v="0"/>
    <n v="0"/>
    <n v="7500"/>
    <n v="0"/>
    <n v="0"/>
    <n v="0"/>
    <n v="7500"/>
    <n v="7500"/>
    <n v="7500"/>
  </r>
  <r>
    <s v="53"/>
    <x v="1"/>
    <x v="2"/>
    <s v="ZA01I000"/>
    <x v="5"/>
    <s v="A101"/>
    <s v="FORTALECIMIENTO INSTITUCIONAL"/>
    <s v="GC00A10100001D"/>
    <s v="GC00A10100001D GASTOS ADMINISTRATIVOS"/>
    <s v="53 BIENES Y SERVICIOS DE CONSUMO"/>
    <s v="530207 Difusión, Información y Publicidad"/>
    <s v="G/530207/1IA101"/>
    <s v="001"/>
    <n v="2000"/>
    <n v="0"/>
    <n v="0"/>
    <n v="2000"/>
    <n v="0"/>
    <n v="0"/>
    <n v="0"/>
    <n v="2000"/>
    <n v="2000"/>
    <n v="2000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207 Difusión, Información y Publicidad"/>
    <s v="G/530207/1AA101"/>
    <s v="002"/>
    <n v="1200"/>
    <n v="-1200"/>
    <n v="0"/>
    <n v="0"/>
    <n v="0"/>
    <n v="0"/>
    <n v="0"/>
    <n v="0"/>
    <n v="0"/>
    <n v="0"/>
  </r>
  <r>
    <s v="53"/>
    <x v="1"/>
    <x v="3"/>
    <s v="UN31M010"/>
    <x v="11"/>
    <s v="A101"/>
    <s v="FORTALECIMIENTO INSTITUCIONAL"/>
    <s v="GC00A10100001D"/>
    <s v="GC00A10100001D GASTOS ADMINISTRATIVOS"/>
    <s v="53 BIENES Y SERVICIOS DE CONSUMO"/>
    <s v="530207 Difusión, Información y Publicidad"/>
    <s v="G/530207/1MA101"/>
    <s v="001"/>
    <n v="500"/>
    <n v="0"/>
    <n v="0"/>
    <n v="500"/>
    <n v="0"/>
    <n v="0"/>
    <n v="0"/>
    <n v="500"/>
    <n v="500"/>
    <n v="500"/>
  </r>
  <r>
    <s v="53"/>
    <x v="2"/>
    <x v="11"/>
    <s v="ZM04F040"/>
    <x v="41"/>
    <s v="A101"/>
    <s v="FORTALECIMIENTO INSTITUCIONAL"/>
    <s v="GC00A10100001D"/>
    <s v="GC00A10100001D GASTOS ADMINISTRATIVOS"/>
    <s v="53 BIENES Y SERVICIOS DE CONSUMO"/>
    <s v="530207 Difusión, Información y Publicidad"/>
    <s v="G/530207/1FA101"/>
    <s v="001"/>
    <n v="1000"/>
    <n v="0"/>
    <n v="0"/>
    <n v="1000"/>
    <n v="0"/>
    <n v="0"/>
    <n v="0"/>
    <n v="1000"/>
    <n v="1000"/>
    <n v="1000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208 Servicio de Seguridad y Vigilancia"/>
    <s v="G/530208/1PA101"/>
    <s v="002"/>
    <n v="0"/>
    <n v="12405.04"/>
    <n v="0"/>
    <n v="12405.04"/>
    <n v="0"/>
    <n v="0"/>
    <n v="0"/>
    <n v="12405.04"/>
    <n v="12405.04"/>
    <n v="12405.04"/>
  </r>
  <r>
    <s v="53"/>
    <x v="2"/>
    <x v="11"/>
    <s v="ZD07F070"/>
    <x v="43"/>
    <s v="A101"/>
    <s v="FORTALECIMIENTO INSTITUCIONAL"/>
    <s v="GC00A10100001D"/>
    <s v="GC00A10100001D GASTOS ADMINISTRATIVOS"/>
    <s v="53 BIENES Y SERVICIOS DE CONSUMO"/>
    <s v="530208 Servicio de Seguridad y Vigilancia"/>
    <s v="G/530208/1FA101"/>
    <s v="001"/>
    <n v="400000"/>
    <n v="26300"/>
    <n v="0"/>
    <n v="426300"/>
    <n v="0"/>
    <n v="403110.40000000002"/>
    <n v="403110.40000000002"/>
    <n v="23189.599999999999"/>
    <n v="23189.599999999999"/>
    <n v="23189.599999999999"/>
  </r>
  <r>
    <s v="53"/>
    <x v="2"/>
    <x v="11"/>
    <s v="ZM04F040"/>
    <x v="41"/>
    <s v="A101"/>
    <s v="FORTALECIMIENTO INSTITUCIONAL"/>
    <s v="GC00A10100001D"/>
    <s v="GC00A10100001D GASTOS ADMINISTRATIVOS"/>
    <s v="53 BIENES Y SERVICIOS DE CONSUMO"/>
    <s v="530208 Servicio de Seguridad y Vigilancia"/>
    <s v="G/530208/1FA101"/>
    <s v="001"/>
    <n v="528000"/>
    <n v="-58700"/>
    <n v="0"/>
    <n v="469300"/>
    <n v="105148.59"/>
    <n v="364000"/>
    <n v="287619.43"/>
    <n v="105300"/>
    <n v="181680.57"/>
    <n v="151.41"/>
  </r>
  <r>
    <s v="53"/>
    <x v="2"/>
    <x v="11"/>
    <s v="ZV05F050"/>
    <x v="37"/>
    <s v="A101"/>
    <s v="FORTALECIMIENTO INSTITUCIONAL"/>
    <s v="GC00A10100001D"/>
    <s v="GC00A10100001D GASTOS ADMINISTRATIVOS"/>
    <s v="53 BIENES Y SERVICIOS DE CONSUMO"/>
    <s v="530208 Servicio de Seguridad y Vigilancia"/>
    <s v="G/530208/1FA101"/>
    <s v="001"/>
    <n v="380000"/>
    <n v="-23569.3"/>
    <n v="0"/>
    <n v="356430.7"/>
    <n v="0"/>
    <n v="282086.82"/>
    <n v="201934.13"/>
    <n v="74343.88"/>
    <n v="154496.57"/>
    <n v="74343.88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208 Servicio de Seguridad y Vigilancia"/>
    <s v="G/530208/1FA101"/>
    <s v="001"/>
    <n v="525000"/>
    <n v="0"/>
    <n v="0"/>
    <n v="525000"/>
    <n v="0"/>
    <n v="416605.12"/>
    <n v="315749.37"/>
    <n v="108394.88"/>
    <n v="209250.63"/>
    <n v="108394.88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208 Servicio de Seguridad y Vigilancia"/>
    <s v="G/530208/1BA101"/>
    <s v="002"/>
    <n v="180000"/>
    <n v="45287.65"/>
    <n v="0"/>
    <n v="225287.65"/>
    <n v="9941.65"/>
    <n v="214471.18"/>
    <n v="157407.16"/>
    <n v="10816.47"/>
    <n v="67880.490000000005"/>
    <n v="874.82"/>
  </r>
  <r>
    <s v="53"/>
    <x v="2"/>
    <x v="11"/>
    <s v="ZT06F060"/>
    <x v="25"/>
    <s v="A101"/>
    <s v="FORTALECIMIENTO INSTITUCIONAL"/>
    <s v="GC00A10100001D"/>
    <s v="GC00A10100001D GASTOS ADMINISTRATIVOS"/>
    <s v="53 BIENES Y SERVICIOS DE CONSUMO"/>
    <s v="530208 Servicio de Seguridad y Vigilancia"/>
    <s v="G/530208/1FA101"/>
    <s v="001"/>
    <n v="211000"/>
    <n v="0"/>
    <n v="0"/>
    <n v="211000"/>
    <n v="0"/>
    <n v="197118.88"/>
    <n v="82132.850000000006"/>
    <n v="13881.12"/>
    <n v="128867.15"/>
    <n v="13881.12"/>
  </r>
  <r>
    <s v="53"/>
    <x v="2"/>
    <x v="11"/>
    <s v="ZQ08F080"/>
    <x v="39"/>
    <s v="A101"/>
    <s v="FORTALECIMIENTO INSTITUCIONAL"/>
    <s v="GC00A10100001D"/>
    <s v="GC00A10100001D GASTOS ADMINISTRATIVOS"/>
    <s v="53 BIENES Y SERVICIOS DE CONSUMO"/>
    <s v="530208 Servicio de Seguridad y Vigilancia"/>
    <s v="G/530208/1FA101"/>
    <s v="001"/>
    <n v="330000"/>
    <n v="37920"/>
    <n v="0"/>
    <n v="367920"/>
    <n v="0"/>
    <n v="260910.05"/>
    <n v="195558.03"/>
    <n v="107009.95"/>
    <n v="172361.97"/>
    <n v="107009.95"/>
  </r>
  <r>
    <s v="53"/>
    <x v="2"/>
    <x v="11"/>
    <s v="ZS03F030"/>
    <x v="38"/>
    <s v="A101"/>
    <s v="FORTALECIMIENTO INSTITUCIONAL"/>
    <s v="GC00A10100001D"/>
    <s v="GC00A10100001D GASTOS ADMINISTRATIVOS"/>
    <s v="53 BIENES Y SERVICIOS DE CONSUMO"/>
    <s v="530208 Servicio de Seguridad y Vigilancia"/>
    <s v="G/530208/1FA101"/>
    <s v="001"/>
    <n v="312000"/>
    <n v="0"/>
    <n v="0"/>
    <n v="312000"/>
    <n v="4838.3999999999996"/>
    <n v="306439.84000000003"/>
    <n v="228589.68"/>
    <n v="5560.16"/>
    <n v="83410.320000000007"/>
    <n v="721.76"/>
  </r>
  <r>
    <s v="53"/>
    <x v="1"/>
    <x v="2"/>
    <s v="JM40I070"/>
    <x v="12"/>
    <s v="A101"/>
    <s v="FORTALECIMIENTO INSTITUCIONAL"/>
    <s v="GC00A10100001D"/>
    <s v="GC00A10100001D GASTOS ADMINISTRATIVOS"/>
    <s v="53 BIENES Y SERVICIOS DE CONSUMO"/>
    <s v="530208 Servicio de Seguridad y Vigilancia"/>
    <s v="G/530208/1IA101"/>
    <s v="001"/>
    <n v="60000"/>
    <n v="0"/>
    <n v="0"/>
    <n v="60000"/>
    <n v="0"/>
    <n v="35473.760000000002"/>
    <n v="8899.2000000000007"/>
    <n v="24526.240000000002"/>
    <n v="51100.800000000003"/>
    <n v="24526.240000000002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208 Servicio de Seguridad y Vigilancia"/>
    <s v="G/530208/1PA101"/>
    <s v="001"/>
    <n v="570990.34"/>
    <n v="34525.620000000003"/>
    <n v="0"/>
    <n v="605515.96"/>
    <n v="40249.69"/>
    <n v="543881.23"/>
    <n v="488149"/>
    <n v="61634.73"/>
    <n v="117366.96"/>
    <n v="21385.040000000001"/>
  </r>
  <r>
    <s v="53"/>
    <x v="1"/>
    <x v="2"/>
    <s v="ES12I020"/>
    <x v="16"/>
    <s v="A101"/>
    <s v="FORTALECIMIENTO INSTITUCIONAL"/>
    <s v="GC00A10100001D"/>
    <s v="GC00A10100001D GASTOS ADMINISTRATIVOS"/>
    <s v="53 BIENES Y SERVICIOS DE CONSUMO"/>
    <s v="530208 Servicio de Seguridad y Vigilancia"/>
    <s v="G/530208/1IA101"/>
    <s v="001"/>
    <n v="184800"/>
    <n v="-60346.720000000001"/>
    <n v="0"/>
    <n v="124453.28"/>
    <n v="0"/>
    <n v="124453.28"/>
    <n v="93339.9"/>
    <n v="0"/>
    <n v="31113.38"/>
    <n v="0"/>
  </r>
  <r>
    <s v="53"/>
    <x v="1"/>
    <x v="2"/>
    <s v="CF22I050"/>
    <x v="22"/>
    <s v="A101"/>
    <s v="FORTALECIMIENTO INSTITUCIONAL"/>
    <s v="GC00A10100001D"/>
    <s v="GC00A10100001D GASTOS ADMINISTRATIVOS"/>
    <s v="53 BIENES Y SERVICIOS DE CONSUMO"/>
    <s v="530208 Servicio de Seguridad y Vigilancia"/>
    <s v="G/530208/1IA101"/>
    <s v="001"/>
    <n v="98560"/>
    <n v="0"/>
    <n v="0"/>
    <n v="98560"/>
    <n v="23016"/>
    <n v="70240"/>
    <n v="52969.63"/>
    <n v="28320"/>
    <n v="45590.37"/>
    <n v="5304"/>
  </r>
  <r>
    <s v="53"/>
    <x v="1"/>
    <x v="2"/>
    <s v="EQ13I030"/>
    <x v="20"/>
    <s v="A101"/>
    <s v="FORTALECIMIENTO INSTITUCIONAL"/>
    <s v="GC00A10100001D"/>
    <s v="GC00A10100001D GASTOS ADMINISTRATIVOS"/>
    <s v="53 BIENES Y SERVICIOS DE CONSUMO"/>
    <s v="530208 Servicio de Seguridad y Vigilancia"/>
    <s v="G/530208/1IA101"/>
    <s v="001"/>
    <n v="167000"/>
    <n v="-47272"/>
    <n v="0"/>
    <n v="119728"/>
    <n v="0"/>
    <n v="119728"/>
    <n v="85223.96"/>
    <n v="0"/>
    <n v="34504.04"/>
    <n v="0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208 Servicio de Seguridad y Vigilancia"/>
    <s v="G/530208/1AA101"/>
    <s v="002"/>
    <n v="134000"/>
    <n v="20278.68"/>
    <n v="0"/>
    <n v="154278.68"/>
    <n v="0.01"/>
    <n v="143183.23000000001"/>
    <n v="91618.59"/>
    <n v="11095.45"/>
    <n v="62660.09"/>
    <n v="11095.44"/>
  </r>
  <r>
    <s v="53"/>
    <x v="1"/>
    <x v="2"/>
    <s v="OL41I060"/>
    <x v="42"/>
    <s v="A101"/>
    <s v="FORTALECIMIENTO INSTITUCIONAL"/>
    <s v="GC00A10100001D"/>
    <s v="GC00A10100001D GASTOS ADMINISTRATIVOS"/>
    <s v="53 BIENES Y SERVICIOS DE CONSUMO"/>
    <s v="530208 Servicio de Seguridad y Vigilancia"/>
    <s v="G/530208/1IA101"/>
    <s v="001"/>
    <n v="108305"/>
    <n v="-19713"/>
    <n v="0"/>
    <n v="88592"/>
    <n v="39326.129999999997"/>
    <n v="49265.87"/>
    <n v="35138.050000000003"/>
    <n v="39326.129999999997"/>
    <n v="53453.95"/>
    <n v="0"/>
  </r>
  <r>
    <s v="53"/>
    <x v="2"/>
    <x v="11"/>
    <s v="TM68F100"/>
    <x v="34"/>
    <s v="A101"/>
    <s v="FORTALECIMIENTO INSTITUCIONAL"/>
    <s v="GC00A10100001D"/>
    <s v="GC00A10100001D GASTOS ADMINISTRATIVOS"/>
    <s v="53 BIENES Y SERVICIOS DE CONSUMO"/>
    <s v="530208 Servicio de Seguridad y Vigilancia"/>
    <s v="G/530208/1FA101"/>
    <s v="001"/>
    <n v="33000"/>
    <n v="0"/>
    <n v="0"/>
    <n v="33000"/>
    <n v="0"/>
    <n v="24059.24"/>
    <n v="18377.240000000002"/>
    <n v="8940.76"/>
    <n v="14622.76"/>
    <n v="8940.76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0208 Servicio de Seguridad y Vigilancia"/>
    <s v="G/530208/1MA101"/>
    <s v="001"/>
    <n v="150000"/>
    <n v="-25154.560000000001"/>
    <n v="0"/>
    <n v="124845.44"/>
    <n v="0"/>
    <n v="98840"/>
    <n v="88956"/>
    <n v="26005.439999999999"/>
    <n v="35889.440000000002"/>
    <n v="26005.439999999999"/>
  </r>
  <r>
    <s v="53"/>
    <x v="1"/>
    <x v="2"/>
    <s v="SF43I080"/>
    <x v="35"/>
    <s v="A101"/>
    <s v="FORTALECIMIENTO INSTITUCIONAL"/>
    <s v="GC00A10100001D"/>
    <s v="GC00A10100001D GASTOS ADMINISTRATIVOS"/>
    <s v="53 BIENES Y SERVICIOS DE CONSUMO"/>
    <s v="530208 Servicio de Seguridad y Vigilancia"/>
    <s v="G/530208/1IA101"/>
    <s v="001"/>
    <n v="122000"/>
    <n v="-188.78"/>
    <n v="0"/>
    <n v="121811.22"/>
    <n v="0"/>
    <n v="94254.79"/>
    <n v="70770.039999999994"/>
    <n v="27556.43"/>
    <n v="51041.18"/>
    <n v="27556.43"/>
  </r>
  <r>
    <s v="53"/>
    <x v="1"/>
    <x v="3"/>
    <s v="UC32M020"/>
    <x v="7"/>
    <s v="A101"/>
    <s v="FORTALECIMIENTO INSTITUCIONAL"/>
    <s v="GC00A10100001D"/>
    <s v="GC00A10100001D GASTOS ADMINISTRATIVOS"/>
    <s v="53 BIENES Y SERVICIOS DE CONSUMO"/>
    <s v="530208 Servicio de Seguridad y Vigilancia"/>
    <s v="G/530208/1MA101"/>
    <s v="001"/>
    <n v="97000"/>
    <n v="-32708.39"/>
    <n v="0"/>
    <n v="64291.61"/>
    <n v="0"/>
    <n v="64291.61"/>
    <n v="47471.26"/>
    <n v="0"/>
    <n v="16820.349999999999"/>
    <n v="0"/>
  </r>
  <r>
    <s v="53"/>
    <x v="1"/>
    <x v="3"/>
    <s v="UN31M010"/>
    <x v="11"/>
    <s v="A101"/>
    <s v="FORTALECIMIENTO INSTITUCIONAL"/>
    <s v="GC00A10100001D"/>
    <s v="GC00A10100001D GASTOS ADMINISTRATIVOS"/>
    <s v="53 BIENES Y SERVICIOS DE CONSUMO"/>
    <s v="530208 Servicio de Seguridad y Vigilancia"/>
    <s v="G/530208/1MA101"/>
    <s v="001"/>
    <n v="92000"/>
    <n v="41100"/>
    <n v="0"/>
    <n v="133100"/>
    <n v="6533.35"/>
    <n v="77412.13"/>
    <n v="57311.77"/>
    <n v="55687.87"/>
    <n v="75788.23"/>
    <n v="49154.52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0208 Servicio de Seguridad y Vigilancia"/>
    <s v="G/530208/1IA101"/>
    <s v="001"/>
    <n v="105000"/>
    <n v="-25000"/>
    <n v="0"/>
    <n v="80000"/>
    <n v="0"/>
    <n v="69437.759999999995"/>
    <n v="52078.32"/>
    <n v="10562.24"/>
    <n v="27921.68"/>
    <n v="10562.24"/>
  </r>
  <r>
    <s v="53"/>
    <x v="2"/>
    <x v="11"/>
    <s v="ZC09F090"/>
    <x v="44"/>
    <s v="A101"/>
    <s v="FORTALECIMIENTO INSTITUCIONAL"/>
    <s v="GC00A10100001D"/>
    <s v="GC00A10100001D GASTOS ADMINISTRATIVOS"/>
    <s v="53 BIENES Y SERVICIOS DE CONSUMO"/>
    <s v="530208 Servicio de Seguridad y Vigilancia"/>
    <s v="G/530208/1FA101"/>
    <s v="001"/>
    <n v="171000"/>
    <n v="-1642.8"/>
    <n v="0"/>
    <n v="169357.2"/>
    <n v="0"/>
    <n v="161733.82"/>
    <n v="122151.36"/>
    <n v="7623.38"/>
    <n v="47205.84"/>
    <n v="7623.38"/>
  </r>
  <r>
    <s v="53"/>
    <x v="1"/>
    <x v="2"/>
    <s v="EE11I010"/>
    <x v="21"/>
    <s v="A101"/>
    <s v="FORTALECIMIENTO INSTITUCIONAL"/>
    <s v="GC00A10100001D"/>
    <s v="GC00A10100001D GASTOS ADMINISTRATIVOS"/>
    <s v="53 BIENES Y SERVICIOS DE CONSUMO"/>
    <s v="530208 Servicio de Seguridad y Vigilancia"/>
    <s v="G/530208/1IA101"/>
    <s v="001"/>
    <n v="200000"/>
    <n v="0"/>
    <n v="0"/>
    <n v="200000"/>
    <n v="0"/>
    <n v="198844.79999999999"/>
    <n v="149133.6"/>
    <n v="1155.2"/>
    <n v="50866.400000000001"/>
    <n v="1155.2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208 Servicio de Seguridad y Vigilancia"/>
    <s v="G/530208/1AA101"/>
    <s v="002"/>
    <n v="5000000"/>
    <n v="-1314.29"/>
    <n v="0"/>
    <n v="4998685.71"/>
    <n v="0"/>
    <n v="3461920"/>
    <n v="2596439.9700000002"/>
    <n v="1536765.71"/>
    <n v="2402245.7400000002"/>
    <n v="1536765.71"/>
  </r>
  <r>
    <s v="53"/>
    <x v="2"/>
    <x v="6"/>
    <s v="AT69K040"/>
    <x v="13"/>
    <s v="A101"/>
    <s v="FORTALECIMIENTO INSTITUCIONAL"/>
    <s v="GC00A10100001D"/>
    <s v="GC00A10100001D GASTOS ADMINISTRATIVOS"/>
    <s v="53 BIENES Y SERVICIOS DE CONSUMO"/>
    <s v="530208 Servicio de Seguridad y Vigilancia"/>
    <s v="G/530208/1KA101"/>
    <s v="001"/>
    <n v="1576573.21"/>
    <n v="-1273276.07"/>
    <n v="0"/>
    <n v="303297.14"/>
    <n v="0"/>
    <n v="0"/>
    <n v="0"/>
    <n v="303297.14"/>
    <n v="303297.14"/>
    <n v="303297.14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0208 Servicio de Seguridad y Vigilancia"/>
    <s v="G/530208/1IA101"/>
    <s v="001"/>
    <n v="150000"/>
    <n v="-29000"/>
    <n v="0"/>
    <n v="121000"/>
    <n v="9000"/>
    <n v="112000"/>
    <n v="83999.97"/>
    <n v="9000"/>
    <n v="37000.03"/>
    <n v="0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209 Servicios de Aseo, Lavado de Vestimenta"/>
    <s v="G/530209/1PA101"/>
    <s v="001"/>
    <n v="168000"/>
    <n v="-11672.15"/>
    <n v="0"/>
    <n v="156327.85"/>
    <n v="6739.04"/>
    <n v="149588.81"/>
    <n v="112191.57"/>
    <n v="6739.04"/>
    <n v="44136.28"/>
    <n v="0"/>
  </r>
  <r>
    <s v="53"/>
    <x v="2"/>
    <x v="11"/>
    <s v="ZS03F030"/>
    <x v="38"/>
    <s v="A101"/>
    <s v="FORTALECIMIENTO INSTITUCIONAL"/>
    <s v="GC00A10100001D"/>
    <s v="GC00A10100001D GASTOS ADMINISTRATIVOS"/>
    <s v="53 BIENES Y SERVICIOS DE CONSUMO"/>
    <s v="530209 Servicios de Aseo, Lavado de Vestimenta"/>
    <s v="G/530209/1FA101"/>
    <s v="001"/>
    <n v="186000"/>
    <n v="-7095.2"/>
    <n v="0"/>
    <n v="178904.8"/>
    <n v="0"/>
    <n v="172396.47"/>
    <n v="65301.29"/>
    <n v="6508.33"/>
    <n v="113603.51"/>
    <n v="6508.33"/>
  </r>
  <r>
    <s v="53"/>
    <x v="2"/>
    <x v="11"/>
    <s v="ZC09F090"/>
    <x v="44"/>
    <s v="A101"/>
    <s v="FORTALECIMIENTO INSTITUCIONAL"/>
    <s v="GC00A10100001D"/>
    <s v="GC00A10100001D GASTOS ADMINISTRATIVOS"/>
    <s v="53 BIENES Y SERVICIOS DE CONSUMO"/>
    <s v="530209 Servicios de Aseo, Lavado de Vestimenta"/>
    <s v="G/530209/1FA101"/>
    <s v="001"/>
    <n v="90000"/>
    <n v="0"/>
    <n v="0"/>
    <n v="90000"/>
    <n v="0"/>
    <n v="89989.54"/>
    <n v="30526.11"/>
    <n v="10.46"/>
    <n v="59473.89"/>
    <n v="10.46"/>
  </r>
  <r>
    <s v="53"/>
    <x v="1"/>
    <x v="2"/>
    <s v="ES12I020"/>
    <x v="16"/>
    <s v="A101"/>
    <s v="FORTALECIMIENTO INSTITUCIONAL"/>
    <s v="GC00A10100001D"/>
    <s v="GC00A10100001D GASTOS ADMINISTRATIVOS"/>
    <s v="53 BIENES Y SERVICIOS DE CONSUMO"/>
    <s v="530209 Servicios de Aseo, Lavado de Vestimenta"/>
    <s v="G/530209/1IA101"/>
    <s v="001"/>
    <n v="179021"/>
    <n v="-29000"/>
    <n v="0"/>
    <n v="150021"/>
    <n v="0"/>
    <n v="123076.8"/>
    <n v="104428.8"/>
    <n v="26944.2"/>
    <n v="45592.2"/>
    <n v="26944.2"/>
  </r>
  <r>
    <s v="53"/>
    <x v="2"/>
    <x v="11"/>
    <s v="ZQ08F080"/>
    <x v="39"/>
    <s v="A101"/>
    <s v="FORTALECIMIENTO INSTITUCIONAL"/>
    <s v="GC00A10100001D"/>
    <s v="GC00A10100001D GASTOS ADMINISTRATIVOS"/>
    <s v="53 BIENES Y SERVICIOS DE CONSUMO"/>
    <s v="530209 Servicios de Aseo, Lavado de Vestimenta"/>
    <s v="G/530209/1FA101"/>
    <s v="001"/>
    <n v="147000"/>
    <n v="4873.8599999999997"/>
    <n v="0"/>
    <n v="151873.85999999999"/>
    <n v="7.4"/>
    <n v="151866.46"/>
    <n v="85752.63"/>
    <n v="7.4"/>
    <n v="66121.23"/>
    <n v="0"/>
  </r>
  <r>
    <s v="53"/>
    <x v="1"/>
    <x v="2"/>
    <s v="CF22I050"/>
    <x v="22"/>
    <s v="A101"/>
    <s v="FORTALECIMIENTO INSTITUCIONAL"/>
    <s v="GC00A10100001D"/>
    <s v="GC00A10100001D GASTOS ADMINISTRATIVOS"/>
    <s v="53 BIENES Y SERVICIOS DE CONSUMO"/>
    <s v="530209 Servicios de Aseo, Lavado de Vestimenta"/>
    <s v="G/530209/1IA101"/>
    <s v="001"/>
    <n v="113000"/>
    <n v="0"/>
    <n v="0"/>
    <n v="113000"/>
    <n v="17799.96"/>
    <n v="89510.399999999994"/>
    <n v="18648"/>
    <n v="23489.599999999999"/>
    <n v="94352"/>
    <n v="5689.64"/>
  </r>
  <r>
    <s v="53"/>
    <x v="1"/>
    <x v="2"/>
    <s v="EQ13I030"/>
    <x v="20"/>
    <s v="A101"/>
    <s v="FORTALECIMIENTO INSTITUCIONAL"/>
    <s v="GC00A10100001D"/>
    <s v="GC00A10100001D GASTOS ADMINISTRATIVOS"/>
    <s v="53 BIENES Y SERVICIOS DE CONSUMO"/>
    <s v="530209 Servicios de Aseo, Lavado de Vestimenta"/>
    <s v="G/530209/1IA101"/>
    <s v="001"/>
    <n v="110000"/>
    <n v="-44643.33"/>
    <n v="0"/>
    <n v="65356.67"/>
    <n v="14195.9"/>
    <n v="51160.77"/>
    <n v="28783.17"/>
    <n v="14195.9"/>
    <n v="36573.5"/>
    <n v="0"/>
  </r>
  <r>
    <s v="53"/>
    <x v="2"/>
    <x v="5"/>
    <s v="PM71N010"/>
    <x v="27"/>
    <s v="A101"/>
    <s v="FORTALECIMIENTO INSTITUCIONAL"/>
    <s v="GC00A10100001D"/>
    <s v="GC00A10100001D GASTOS ADMINISTRATIVOS"/>
    <s v="53 BIENES Y SERVICIOS DE CONSUMO"/>
    <s v="530209 Servicios de Aseo, Lavado de Vestimenta"/>
    <s v="G/530209/1NA101"/>
    <s v="001"/>
    <n v="234000"/>
    <n v="18753"/>
    <n v="0"/>
    <n v="252753"/>
    <n v="0"/>
    <n v="252753"/>
    <n v="193207.5"/>
    <n v="0"/>
    <n v="59545.5"/>
    <n v="0"/>
  </r>
  <r>
    <s v="53"/>
    <x v="1"/>
    <x v="2"/>
    <s v="OL41I060"/>
    <x v="42"/>
    <s v="A101"/>
    <s v="FORTALECIMIENTO INSTITUCIONAL"/>
    <s v="GC00A10100001D"/>
    <s v="GC00A10100001D GASTOS ADMINISTRATIVOS"/>
    <s v="53 BIENES Y SERVICIOS DE CONSUMO"/>
    <s v="530209 Servicios de Aseo, Lavado de Vestimenta"/>
    <s v="G/530209/1IA101"/>
    <s v="001"/>
    <n v="69000"/>
    <n v="0"/>
    <n v="0"/>
    <n v="69000"/>
    <n v="0"/>
    <n v="67101.55"/>
    <n v="24211.15"/>
    <n v="1898.45"/>
    <n v="44788.85"/>
    <n v="1898.45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209 Servicios de Aseo, Lavado de Vestimenta"/>
    <s v="G/530209/1BA101"/>
    <s v="002"/>
    <n v="68000"/>
    <n v="-4083.35"/>
    <n v="0"/>
    <n v="63916.65"/>
    <n v="1803.2"/>
    <n v="61980.75"/>
    <n v="43109.09"/>
    <n v="1935.9"/>
    <n v="20807.560000000001"/>
    <n v="132.69999999999999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0209 Servicios de Aseo, Lavado de Vestimenta"/>
    <s v="G/530209/1IA101"/>
    <s v="001"/>
    <n v="120000"/>
    <n v="-8000"/>
    <n v="0"/>
    <n v="112000"/>
    <n v="112"/>
    <n v="111888"/>
    <n v="55011.6"/>
    <n v="112"/>
    <n v="56988.4"/>
    <n v="0"/>
  </r>
  <r>
    <s v="53"/>
    <x v="2"/>
    <x v="11"/>
    <s v="ZT06F060"/>
    <x v="25"/>
    <s v="A101"/>
    <s v="FORTALECIMIENTO INSTITUCIONAL"/>
    <s v="GC00A10100001D"/>
    <s v="GC00A10100001D GASTOS ADMINISTRATIVOS"/>
    <s v="53 BIENES Y SERVICIOS DE CONSUMO"/>
    <s v="530209 Servicios de Aseo, Lavado de Vestimenta"/>
    <s v="G/530209/1FA101"/>
    <s v="001"/>
    <n v="82000"/>
    <n v="0"/>
    <n v="0"/>
    <n v="82000"/>
    <n v="0"/>
    <n v="81989.509999999995"/>
    <n v="21624.42"/>
    <n v="10.49"/>
    <n v="60375.58"/>
    <n v="10.49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209 Servicios de Aseo, Lavado de Vestimenta"/>
    <s v="G/530209/1AA101"/>
    <s v="002"/>
    <n v="93000"/>
    <n v="-11279.4"/>
    <n v="0"/>
    <n v="81720.600000000006"/>
    <n v="20143.41"/>
    <n v="58496.14"/>
    <n v="58496.14"/>
    <n v="23224.46"/>
    <n v="23224.46"/>
    <n v="3081.05"/>
  </r>
  <r>
    <s v="53"/>
    <x v="2"/>
    <x v="6"/>
    <s v="AT69K040"/>
    <x v="13"/>
    <s v="A101"/>
    <s v="FORTALECIMIENTO INSTITUCIONAL"/>
    <s v="GC00A10100001D"/>
    <s v="GC00A10100001D GASTOS ADMINISTRATIVOS"/>
    <s v="53 BIENES Y SERVICIOS DE CONSUMO"/>
    <s v="530209 Servicios de Aseo, Lavado de Vestimenta"/>
    <s v="G/530209/1KA101"/>
    <s v="001"/>
    <n v="413177.28"/>
    <n v="149305.28"/>
    <n v="0"/>
    <n v="562482.56000000006"/>
    <n v="58077.62"/>
    <n v="503763.05"/>
    <n v="282561.77"/>
    <n v="58719.51"/>
    <n v="279920.78999999998"/>
    <n v="641.89"/>
  </r>
  <r>
    <s v="53"/>
    <x v="1"/>
    <x v="2"/>
    <s v="SF43I080"/>
    <x v="35"/>
    <s v="A101"/>
    <s v="FORTALECIMIENTO INSTITUCIONAL"/>
    <s v="GC00A10100001D"/>
    <s v="GC00A10100001D GASTOS ADMINISTRATIVOS"/>
    <s v="53 BIENES Y SERVICIOS DE CONSUMO"/>
    <s v="530209 Servicios de Aseo, Lavado de Vestimenta"/>
    <s v="G/530209/1IA101"/>
    <s v="001"/>
    <n v="63000"/>
    <n v="0"/>
    <n v="0"/>
    <n v="63000"/>
    <n v="0"/>
    <n v="62194.81"/>
    <n v="27814.91"/>
    <n v="805.19"/>
    <n v="35185.089999999997"/>
    <n v="805.19"/>
  </r>
  <r>
    <s v="53"/>
    <x v="2"/>
    <x v="11"/>
    <s v="TM68F100"/>
    <x v="34"/>
    <s v="A101"/>
    <s v="FORTALECIMIENTO INSTITUCIONAL"/>
    <s v="GC00A10100001D"/>
    <s v="GC00A10100001D GASTOS ADMINISTRATIVOS"/>
    <s v="53 BIENES Y SERVICIOS DE CONSUMO"/>
    <s v="530209 Servicios de Aseo, Lavado de Vestimenta"/>
    <s v="G/530209/1FA101"/>
    <s v="001"/>
    <n v="11000"/>
    <n v="0"/>
    <n v="0"/>
    <n v="11000"/>
    <n v="0"/>
    <n v="7413.27"/>
    <n v="5695.2"/>
    <n v="3586.73"/>
    <n v="5304.8"/>
    <n v="3586.73"/>
  </r>
  <r>
    <s v="53"/>
    <x v="2"/>
    <x v="11"/>
    <s v="ZV05F050"/>
    <x v="37"/>
    <s v="A101"/>
    <s v="FORTALECIMIENTO INSTITUCIONAL"/>
    <s v="GC00A10100001D"/>
    <s v="GC00A10100001D GASTOS ADMINISTRATIVOS"/>
    <s v="53 BIENES Y SERVICIOS DE CONSUMO"/>
    <s v="530209 Servicios de Aseo, Lavado de Vestimenta"/>
    <s v="G/530209/1FA101"/>
    <s v="001"/>
    <n v="125000"/>
    <n v="0"/>
    <n v="0"/>
    <n v="125000"/>
    <n v="0"/>
    <n v="85714.06"/>
    <n v="54608.160000000003"/>
    <n v="39285.94"/>
    <n v="70391.839999999997"/>
    <n v="39285.94"/>
  </r>
  <r>
    <s v="53"/>
    <x v="1"/>
    <x v="2"/>
    <s v="EE11I010"/>
    <x v="21"/>
    <s v="A101"/>
    <s v="FORTALECIMIENTO INSTITUCIONAL"/>
    <s v="GC00A10100001D"/>
    <s v="GC00A10100001D GASTOS ADMINISTRATIVOS"/>
    <s v="53 BIENES Y SERVICIOS DE CONSUMO"/>
    <s v="530209 Servicios de Aseo, Lavado de Vestimenta"/>
    <s v="G/530209/1IA101"/>
    <s v="001"/>
    <n v="180000"/>
    <n v="0"/>
    <n v="0"/>
    <n v="180000"/>
    <n v="0"/>
    <n v="173722.75"/>
    <n v="65281.85"/>
    <n v="6277.25"/>
    <n v="114718.15"/>
    <n v="6277.25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209 Servicios de Aseo, Lavado de Vestimenta"/>
    <s v="G/530209/1FA101"/>
    <s v="001"/>
    <n v="157000"/>
    <n v="0"/>
    <n v="0"/>
    <n v="157000"/>
    <n v="0"/>
    <n v="156090.41"/>
    <n v="78045.179999999993"/>
    <n v="909.59"/>
    <n v="78954.820000000007"/>
    <n v="909.59"/>
  </r>
  <r>
    <s v="53"/>
    <x v="1"/>
    <x v="3"/>
    <s v="UC32M020"/>
    <x v="7"/>
    <s v="A101"/>
    <s v="FORTALECIMIENTO INSTITUCIONAL"/>
    <s v="GC00A10100001D"/>
    <s v="GC00A10100001D GASTOS ADMINISTRATIVOS"/>
    <s v="53 BIENES Y SERVICIOS DE CONSUMO"/>
    <s v="530209 Servicios de Aseo, Lavado de Vestimenta"/>
    <s v="G/530209/1MA101"/>
    <s v="001"/>
    <n v="78000"/>
    <n v="32708.39"/>
    <n v="0"/>
    <n v="110708.39"/>
    <n v="3800.01"/>
    <n v="68879.839999999997"/>
    <n v="49477.73"/>
    <n v="41828.550000000003"/>
    <n v="61230.66"/>
    <n v="38028.54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209 Servicios de Aseo, Lavado de Vestimenta"/>
    <s v="G/530209/1AA101"/>
    <s v="002"/>
    <n v="3200000"/>
    <n v="0"/>
    <n v="0"/>
    <n v="3200000"/>
    <n v="0.01"/>
    <n v="2795945.48"/>
    <n v="2003942.67"/>
    <n v="404054.52"/>
    <n v="1196057.33"/>
    <n v="404054.51"/>
  </r>
  <r>
    <s v="53"/>
    <x v="1"/>
    <x v="3"/>
    <s v="UN31M010"/>
    <x v="11"/>
    <s v="A101"/>
    <s v="FORTALECIMIENTO INSTITUCIONAL"/>
    <s v="GC00A10100001D"/>
    <s v="GC00A10100001D GASTOS ADMINISTRATIVOS"/>
    <s v="53 BIENES Y SERVICIOS DE CONSUMO"/>
    <s v="530209 Servicios de Aseo, Lavado de Vestimenta"/>
    <s v="G/530209/1MA101"/>
    <s v="001"/>
    <n v="133380"/>
    <n v="-67700"/>
    <n v="0"/>
    <n v="65680"/>
    <n v="283.88"/>
    <n v="61201.53"/>
    <n v="39319.85"/>
    <n v="4478.47"/>
    <n v="26360.15"/>
    <n v="4194.59"/>
  </r>
  <r>
    <s v="53"/>
    <x v="2"/>
    <x v="11"/>
    <s v="ZM04F040"/>
    <x v="41"/>
    <s v="A101"/>
    <s v="FORTALECIMIENTO INSTITUCIONAL"/>
    <s v="GC00A10100001D"/>
    <s v="GC00A10100001D GASTOS ADMINISTRATIVOS"/>
    <s v="53 BIENES Y SERVICIOS DE CONSUMO"/>
    <s v="530209 Servicios de Aseo, Lavado de Vestimenta"/>
    <s v="G/530209/1FA101"/>
    <s v="001"/>
    <n v="196000"/>
    <n v="0"/>
    <n v="0"/>
    <n v="196000"/>
    <n v="0"/>
    <n v="195897.54"/>
    <n v="100401.09"/>
    <n v="102.46"/>
    <n v="95598.91"/>
    <n v="102.46"/>
  </r>
  <r>
    <s v="53"/>
    <x v="1"/>
    <x v="2"/>
    <s v="JM40I070"/>
    <x v="12"/>
    <s v="A101"/>
    <s v="FORTALECIMIENTO INSTITUCIONAL"/>
    <s v="GC00A10100001D"/>
    <s v="GC00A10100001D GASTOS ADMINISTRATIVOS"/>
    <s v="53 BIENES Y SERVICIOS DE CONSUMO"/>
    <s v="530209 Servicios de Aseo, Lavado de Vestimenta"/>
    <s v="G/530209/1IA101"/>
    <s v="001"/>
    <n v="41000"/>
    <n v="0"/>
    <n v="0"/>
    <n v="41000"/>
    <n v="0"/>
    <n v="0"/>
    <n v="0"/>
    <n v="41000"/>
    <n v="41000"/>
    <n v="41000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0209 Servicios de Aseo, Lavado de Vestimenta"/>
    <s v="G/530209/1IA101"/>
    <s v="001"/>
    <n v="121000"/>
    <n v="-600"/>
    <n v="0"/>
    <n v="120400"/>
    <n v="0"/>
    <n v="117957.1"/>
    <n v="55293.61"/>
    <n v="2442.9"/>
    <n v="65106.39"/>
    <n v="2442.9"/>
  </r>
  <r>
    <s v="53"/>
    <x v="2"/>
    <x v="11"/>
    <s v="ZD07F070"/>
    <x v="43"/>
    <s v="A101"/>
    <s v="FORTALECIMIENTO INSTITUCIONAL"/>
    <s v="GC00A10100001D"/>
    <s v="GC00A10100001D GASTOS ADMINISTRATIVOS"/>
    <s v="53 BIENES Y SERVICIOS DE CONSUMO"/>
    <s v="530209 Servicios de Aseo, Lavado de Vestimenta"/>
    <s v="G/530209/1FA101"/>
    <s v="001"/>
    <n v="94000"/>
    <n v="-300"/>
    <n v="0"/>
    <n v="93700"/>
    <n v="0"/>
    <n v="93687.679999999993"/>
    <n v="50747.51"/>
    <n v="12.32"/>
    <n v="42952.49"/>
    <n v="12.32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221 Servicios Personales Eventuales sin Relació"/>
    <s v="G/530221/1AA101"/>
    <s v="002"/>
    <n v="0"/>
    <n v="7056"/>
    <n v="0"/>
    <n v="7056"/>
    <n v="7056"/>
    <n v="0"/>
    <n v="0"/>
    <n v="7056"/>
    <n v="7056"/>
    <n v="0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0225 Servicio de Incineración de Documentos Públ"/>
    <s v="G/530225/1MA101"/>
    <s v="001"/>
    <n v="1500"/>
    <n v="0"/>
    <n v="0"/>
    <n v="1500"/>
    <n v="0"/>
    <n v="0"/>
    <n v="0"/>
    <n v="1500"/>
    <n v="1500"/>
    <n v="1500"/>
  </r>
  <r>
    <s v="53"/>
    <x v="0"/>
    <x v="0"/>
    <s v="ZA01A005"/>
    <x v="49"/>
    <s v="A101"/>
    <s v="FORTALECIMIENTO INSTITUCIONAL"/>
    <s v="GC00A10100001D"/>
    <s v="GC00A10100001D GASTOS ADMINISTRATIVOS"/>
    <s v="53 BIENES Y SERVICIOS DE CONSUMO"/>
    <s v="530230 Digitalización de Información y Datos Pú"/>
    <s v="G/530230/1AA101"/>
    <s v="002"/>
    <n v="28000"/>
    <n v="0"/>
    <n v="0"/>
    <n v="28000"/>
    <n v="0"/>
    <n v="0"/>
    <n v="0"/>
    <n v="28000"/>
    <n v="28000"/>
    <n v="28000"/>
  </r>
  <r>
    <s v="53"/>
    <x v="0"/>
    <x v="0"/>
    <s v="ZA01A006"/>
    <x v="50"/>
    <s v="A101"/>
    <s v="FORTALECIMIENTO INSTITUCIONAL"/>
    <s v="GC00A10100001D"/>
    <s v="GC00A10100001D GASTOS ADMINISTRATIVOS"/>
    <s v="53 BIENES Y SERVICIOS DE CONSUMO"/>
    <s v="530230 Digitalización de Información y Datos Pú"/>
    <s v="G/530230/1AA101"/>
    <s v="002"/>
    <n v="16000"/>
    <n v="0"/>
    <n v="0"/>
    <n v="16000"/>
    <n v="0"/>
    <n v="0"/>
    <n v="0"/>
    <n v="16000"/>
    <n v="16000"/>
    <n v="16000"/>
  </r>
  <r>
    <s v="53"/>
    <x v="3"/>
    <x v="15"/>
    <s v="AC67Q000"/>
    <x v="32"/>
    <s v="A101"/>
    <s v="FORTALECIMIENTO INSTITUCIONAL"/>
    <s v="GC00A10100001D"/>
    <s v="GC00A10100001D GASTOS ADMINISTRATIVOS"/>
    <s v="53 BIENES Y SERVICIOS DE CONSUMO"/>
    <s v="530230 Digitalización de Información y Datos Pú"/>
    <s v="G/530230/1QA101"/>
    <s v="001"/>
    <n v="5400"/>
    <n v="-4343.08"/>
    <n v="0"/>
    <n v="1056.92"/>
    <n v="0"/>
    <n v="0"/>
    <n v="0"/>
    <n v="1056.92"/>
    <n v="1056.92"/>
    <n v="1056.92"/>
  </r>
  <r>
    <s v="53"/>
    <x v="0"/>
    <x v="1"/>
    <s v="ZA01C030"/>
    <x v="3"/>
    <s v="A101"/>
    <s v="FORTALECIMIENTO INSTITUCIONAL"/>
    <s v="GC00A10100001D"/>
    <s v="GC00A10100001D GASTOS ADMINISTRATIVOS"/>
    <s v="53 BIENES Y SERVICIOS DE CONSUMO"/>
    <s v="530230 Digitalización de Información y Datos Pú"/>
    <s v="G/530230/1CA101"/>
    <s v="002"/>
    <n v="24700"/>
    <n v="0"/>
    <n v="0"/>
    <n v="24700"/>
    <n v="0"/>
    <n v="0"/>
    <n v="0"/>
    <n v="24700"/>
    <n v="24700"/>
    <n v="24700"/>
  </r>
  <r>
    <s v="53"/>
    <x v="2"/>
    <x v="10"/>
    <s v="ZA01D000"/>
    <x v="24"/>
    <s v="A101"/>
    <s v="FORTALECIMIENTO INSTITUCIONAL"/>
    <s v="GC00A10100001D"/>
    <s v="GC00A10100001D GASTOS ADMINISTRATIVOS"/>
    <s v="53 BIENES Y SERVICIOS DE CONSUMO"/>
    <s v="530230 Digitalización de Información y Datos Pú"/>
    <s v="G/530230/1DA101"/>
    <s v="001"/>
    <n v="14000"/>
    <n v="-14000"/>
    <n v="0"/>
    <n v="0"/>
    <n v="0"/>
    <n v="0"/>
    <n v="0"/>
    <n v="0"/>
    <n v="0"/>
    <n v="0"/>
  </r>
  <r>
    <s v="53"/>
    <x v="2"/>
    <x v="6"/>
    <s v="AT69K040"/>
    <x v="13"/>
    <s v="A101"/>
    <s v="FORTALECIMIENTO INSTITUCIONAL"/>
    <s v="GC00A10100001D"/>
    <s v="GC00A10100001D GASTOS ADMINISTRATIVOS"/>
    <s v="53 BIENES Y SERVICIOS DE CONSUMO"/>
    <s v="530235 Servicio de Alimentación"/>
    <s v="G/530235/1KA101"/>
    <s v="001"/>
    <n v="282141.90000000002"/>
    <n v="0"/>
    <n v="0"/>
    <n v="282141.90000000002"/>
    <n v="46173.599999999999"/>
    <n v="185070.05"/>
    <n v="175020.36"/>
    <n v="97071.85"/>
    <n v="107121.54"/>
    <n v="50898.25"/>
  </r>
  <r>
    <s v="53"/>
    <x v="0"/>
    <x v="1"/>
    <s v="ZA01C000"/>
    <x v="19"/>
    <s v="A101"/>
    <s v="FORTALECIMIENTO INSTITUCIONAL"/>
    <s v="GC00A10100001D"/>
    <s v="GC00A10100001D GASTOS ADMINISTRATIVOS"/>
    <s v="53 BIENES Y SERVICIOS DE CONSUMO"/>
    <s v="530235 Servicio de Alimentación"/>
    <s v="G/530235/1CA101"/>
    <s v="002"/>
    <n v="42272.73"/>
    <n v="0"/>
    <n v="0"/>
    <n v="42272.73"/>
    <n v="0"/>
    <n v="0"/>
    <n v="0"/>
    <n v="42272.73"/>
    <n v="42272.73"/>
    <n v="42272.73"/>
  </r>
  <r>
    <s v="53"/>
    <x v="1"/>
    <x v="2"/>
    <s v="ES12I020"/>
    <x v="16"/>
    <s v="A101"/>
    <s v="FORTALECIMIENTO INSTITUCIONAL"/>
    <s v="GC00A10100001D"/>
    <s v="GC00A10100001D GASTOS ADMINISTRATIVOS"/>
    <s v="53 BIENES Y SERVICIOS DE CONSUMO"/>
    <s v="530235 Servicio de Alimentación"/>
    <s v="G/530235/1IA101"/>
    <s v="001"/>
    <n v="800"/>
    <n v="0"/>
    <n v="0"/>
    <n v="800"/>
    <n v="0"/>
    <n v="0"/>
    <n v="0"/>
    <n v="800"/>
    <n v="800"/>
    <n v="800"/>
  </r>
  <r>
    <s v="53"/>
    <x v="0"/>
    <x v="0"/>
    <s v="ZA01A000"/>
    <x v="1"/>
    <s v="A101"/>
    <s v="FORTALECIMIENTO INSTITUCIONAL"/>
    <s v="GC00A10100001D"/>
    <s v="GC00A10100001D GASTOS ADMINISTRATIVOS"/>
    <s v="53 BIENES Y SERVICIOS DE CONSUMO"/>
    <s v="530235 Servicio de Alimentación"/>
    <s v="G/530235/1AA101"/>
    <s v="002"/>
    <n v="1000"/>
    <n v="-313.22000000000003"/>
    <n v="0"/>
    <n v="686.78"/>
    <n v="0"/>
    <n v="0"/>
    <n v="0"/>
    <n v="686.78"/>
    <n v="686.78"/>
    <n v="686.78"/>
  </r>
  <r>
    <s v="53"/>
    <x v="2"/>
    <x v="10"/>
    <s v="ZA01D000"/>
    <x v="24"/>
    <s v="A101"/>
    <s v="FORTALECIMIENTO INSTITUCIONAL"/>
    <s v="GC00A10100001D"/>
    <s v="GC00A10100001D GASTOS ADMINISTRATIVOS"/>
    <s v="53 BIENES Y SERVICIOS DE CONSUMO"/>
    <s v="530241 Servicio de Monitoreo de la Información en"/>
    <s v="G/530241/1DA101"/>
    <s v="001"/>
    <n v="5824"/>
    <n v="-5824"/>
    <n v="0"/>
    <n v="0"/>
    <n v="0"/>
    <n v="0"/>
    <n v="0"/>
    <n v="0"/>
    <n v="0"/>
    <n v="0"/>
  </r>
  <r>
    <s v="53"/>
    <x v="2"/>
    <x v="11"/>
    <s v="ZM04F040"/>
    <x v="41"/>
    <s v="A101"/>
    <s v="FORTALECIMIENTO INSTITUCIONAL"/>
    <s v="GC00A10100001D"/>
    <s v="GC00A10100001D GASTOS ADMINISTRATIVOS"/>
    <s v="53 BIENES Y SERVICIOS DE CONSUMO"/>
    <s v="530243 Garantía extendida de bienes"/>
    <s v="G/530243/1FA101"/>
    <s v="001"/>
    <n v="0"/>
    <n v="2050"/>
    <n v="0"/>
    <n v="2050"/>
    <n v="0"/>
    <n v="0"/>
    <n v="0"/>
    <n v="2050"/>
    <n v="2050"/>
    <n v="2050"/>
  </r>
  <r>
    <s v="53"/>
    <x v="2"/>
    <x v="11"/>
    <s v="ZD07F070"/>
    <x v="43"/>
    <s v="A101"/>
    <s v="FORTALECIMIENTO INSTITUCIONAL"/>
    <s v="GC00A10100001D"/>
    <s v="GC00A10100001D GASTOS ADMINISTRATIVOS"/>
    <s v="53 BIENES Y SERVICIOS DE CONSUMO"/>
    <s v="530246 Servicios de Identificación, Marcación, Aut"/>
    <s v="G/530246/1FA101"/>
    <s v="001"/>
    <n v="0"/>
    <n v="7840"/>
    <n v="0"/>
    <n v="7840"/>
    <n v="0"/>
    <n v="7840"/>
    <n v="3920"/>
    <n v="0"/>
    <n v="3920"/>
    <n v="0"/>
  </r>
  <r>
    <s v="53"/>
    <x v="2"/>
    <x v="11"/>
    <s v="ZT06F060"/>
    <x v="25"/>
    <s v="A101"/>
    <s v="FORTALECIMIENTO INSTITUCIONAL"/>
    <s v="GC00A10100001D"/>
    <s v="GC00A10100001D GASTOS ADMINISTRATIVOS"/>
    <s v="53 BIENES Y SERVICIOS DE CONSUMO"/>
    <s v="530246 Servicios de Identificación, Marcación, Aut"/>
    <s v="G/530246/1FA101"/>
    <s v="001"/>
    <n v="2000"/>
    <n v="0"/>
    <n v="0"/>
    <n v="2000"/>
    <n v="212.48"/>
    <n v="1787.52"/>
    <n v="0"/>
    <n v="212.48"/>
    <n v="2000"/>
    <n v="0"/>
  </r>
  <r>
    <s v="53"/>
    <x v="2"/>
    <x v="11"/>
    <s v="ZV05F050"/>
    <x v="37"/>
    <s v="A101"/>
    <s v="FORTALECIMIENTO INSTITUCIONAL"/>
    <s v="GC00A10100001D"/>
    <s v="GC00A10100001D GASTOS ADMINISTRATIVOS"/>
    <s v="53 BIENES Y SERVICIOS DE CONSUMO"/>
    <s v="530246 Servicios de Identificación, Marcación, Aut"/>
    <s v="G/530246/1FA101"/>
    <s v="001"/>
    <n v="2000"/>
    <n v="0"/>
    <n v="0"/>
    <n v="2000"/>
    <n v="0"/>
    <n v="1456"/>
    <n v="0"/>
    <n v="544"/>
    <n v="2000"/>
    <n v="544"/>
  </r>
  <r>
    <s v="53"/>
    <x v="2"/>
    <x v="6"/>
    <s v="ZA01K000"/>
    <x v="17"/>
    <s v="A101"/>
    <s v="FORTALECIMIENTO INSTITUCIONAL"/>
    <s v="GC00A10100001D"/>
    <s v="GC00A10100001D GASTOS ADMINISTRATIVOS"/>
    <s v="53 BIENES Y SERVICIOS DE CONSUMO"/>
    <s v="530249 Eventos Públicos Promocionales"/>
    <s v="G/530249/1KA101"/>
    <s v="001"/>
    <n v="5500"/>
    <n v="0"/>
    <n v="0"/>
    <n v="5500"/>
    <n v="0"/>
    <n v="5500"/>
    <n v="5500"/>
    <n v="0"/>
    <n v="0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249 Eventos Públicos Promocionales"/>
    <s v="G/530249/1AA101"/>
    <s v="002"/>
    <n v="60000"/>
    <n v="0"/>
    <n v="0"/>
    <n v="60000"/>
    <n v="0"/>
    <n v="0"/>
    <n v="0"/>
    <n v="60000"/>
    <n v="60000"/>
    <n v="60000"/>
  </r>
  <r>
    <s v="53"/>
    <x v="0"/>
    <x v="0"/>
    <s v="ZA01A000"/>
    <x v="1"/>
    <s v="A101"/>
    <s v="FORTALECIMIENTO INSTITUCIONAL"/>
    <s v="GC00A10100001D"/>
    <s v="GC00A10100001D GASTOS ADMINISTRATIVOS"/>
    <s v="53 BIENES Y SERVICIOS DE CONSUMO"/>
    <s v="530301 Pasajes al Interior"/>
    <s v="G/530301/1AA101"/>
    <s v="002"/>
    <n v="4000"/>
    <n v="313.22000000000003"/>
    <n v="0"/>
    <n v="4313.22"/>
    <n v="74.39"/>
    <n v="1230.83"/>
    <n v="1230.83"/>
    <n v="3082.39"/>
    <n v="3082.39"/>
    <n v="3008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301 Pasajes al Interior"/>
    <s v="G/530301/1AA101"/>
    <s v="002"/>
    <n v="2000"/>
    <n v="0"/>
    <n v="0"/>
    <n v="2000"/>
    <n v="0"/>
    <n v="2000"/>
    <n v="751.32"/>
    <n v="0"/>
    <n v="1248.68"/>
    <n v="0"/>
  </r>
  <r>
    <s v="53"/>
    <x v="1"/>
    <x v="3"/>
    <s v="ZA01M000"/>
    <x v="6"/>
    <s v="A101"/>
    <s v="FORTALECIMIENTO INSTITUCIONAL"/>
    <s v="GC00A10100001D"/>
    <s v="GC00A10100001D GASTOS ADMINISTRATIVOS"/>
    <s v="53 BIENES Y SERVICIOS DE CONSUMO"/>
    <s v="530301 Pasajes al Interior"/>
    <s v="G/530301/1MA101"/>
    <s v="001"/>
    <n v="0"/>
    <n v="700"/>
    <n v="0"/>
    <n v="700"/>
    <n v="700"/>
    <n v="0"/>
    <n v="0"/>
    <n v="700"/>
    <n v="700"/>
    <n v="0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301 Pasajes al Interior"/>
    <s v="G/530301/1PA101"/>
    <s v="001"/>
    <n v="1000"/>
    <n v="-992.5"/>
    <n v="0"/>
    <n v="7.5"/>
    <n v="0"/>
    <n v="4.75"/>
    <n v="4.75"/>
    <n v="2.75"/>
    <n v="2.75"/>
    <n v="2.75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302 Pasajes al Exterior"/>
    <s v="G/530302/1PA101"/>
    <s v="001"/>
    <n v="5000"/>
    <n v="-5000"/>
    <n v="0"/>
    <n v="0"/>
    <n v="0"/>
    <n v="0"/>
    <n v="0"/>
    <n v="0"/>
    <n v="0"/>
    <n v="0"/>
  </r>
  <r>
    <s v="53"/>
    <x v="0"/>
    <x v="1"/>
    <s v="ZA01C002"/>
    <x v="46"/>
    <s v="A101"/>
    <s v="FORTALECIMIENTO INSTITUCIONAL"/>
    <s v="GC00A10100001D"/>
    <s v="GC00A10100001D GASTOS ADMINISTRATIVOS"/>
    <s v="53 BIENES Y SERVICIOS DE CONSUMO"/>
    <s v="530302 Pasajes al Exterior"/>
    <s v="G/530302/1CA101"/>
    <s v="002"/>
    <n v="30000"/>
    <n v="0"/>
    <n v="0"/>
    <n v="30000"/>
    <n v="0"/>
    <n v="4517.18"/>
    <n v="4517.18"/>
    <n v="25482.82"/>
    <n v="25482.82"/>
    <n v="25482.82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303 Viáticos y Subsistencias en el Interior"/>
    <s v="G/530303/1PA101"/>
    <s v="001"/>
    <n v="500"/>
    <n v="-500"/>
    <n v="0"/>
    <n v="0"/>
    <n v="0"/>
    <n v="0"/>
    <n v="0"/>
    <n v="0"/>
    <n v="0"/>
    <n v="0"/>
  </r>
  <r>
    <s v="53"/>
    <x v="0"/>
    <x v="0"/>
    <s v="ZA01A000"/>
    <x v="1"/>
    <s v="A101"/>
    <s v="FORTALECIMIENTO INSTITUCIONAL"/>
    <s v="GC00A10100001D"/>
    <s v="GC00A10100001D GASTOS ADMINISTRATIVOS"/>
    <s v="53 BIENES Y SERVICIOS DE CONSUMO"/>
    <s v="530303 Viáticos y Subsistencias en el Interior"/>
    <s v="G/530303/1AA101"/>
    <s v="002"/>
    <n v="6200"/>
    <n v="0"/>
    <n v="0"/>
    <n v="6200"/>
    <n v="0"/>
    <n v="160"/>
    <n v="160"/>
    <n v="6040"/>
    <n v="6040"/>
    <n v="6040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304 Viáticos y Subsistencias en el Exterior"/>
    <s v="G/530304/1PA101"/>
    <s v="001"/>
    <n v="1500"/>
    <n v="-1500"/>
    <n v="0"/>
    <n v="0"/>
    <n v="0"/>
    <n v="0"/>
    <n v="0"/>
    <n v="0"/>
    <n v="0"/>
    <n v="0"/>
  </r>
  <r>
    <s v="53"/>
    <x v="0"/>
    <x v="0"/>
    <s v="ZA01A000"/>
    <x v="1"/>
    <s v="A101"/>
    <s v="FORTALECIMIENTO INSTITUCIONAL"/>
    <s v="GC00A10100001D"/>
    <s v="GC00A10100001D GASTOS ADMINISTRATIVOS"/>
    <s v="53 BIENES Y SERVICIOS DE CONSUMO"/>
    <s v="530304 Viáticos y Subsistencias en el Exterior"/>
    <s v="G/530304/1AA101"/>
    <s v="002"/>
    <n v="5100"/>
    <n v="0"/>
    <n v="0"/>
    <n v="5100"/>
    <n v="0"/>
    <n v="2107.15"/>
    <n v="2107.15"/>
    <n v="2992.85"/>
    <n v="2992.85"/>
    <n v="2992.85"/>
  </r>
  <r>
    <s v="53"/>
    <x v="2"/>
    <x v="11"/>
    <s v="ZD07F070"/>
    <x v="43"/>
    <s v="A101"/>
    <s v="FORTALECIMIENTO INSTITUCIONAL"/>
    <s v="GC00A10100001D"/>
    <s v="GC00A10100001D GASTOS ADMINISTRATIVOS"/>
    <s v="53 BIENES Y SERVICIOS DE CONSUMO"/>
    <s v="530402 Edificios, Locales, Residencias y Cablea"/>
    <s v="G/530402/1FA101"/>
    <s v="001"/>
    <n v="100000"/>
    <n v="-44140"/>
    <n v="0"/>
    <n v="55860"/>
    <n v="10404.81"/>
    <n v="19940.330000000002"/>
    <n v="18372.330000000002"/>
    <n v="35919.67"/>
    <n v="37487.67"/>
    <n v="25514.86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402 Edificios, Locales, Residencias y Cablea"/>
    <s v="G/530402/1PA101"/>
    <s v="001"/>
    <n v="50"/>
    <n v="-50"/>
    <n v="0"/>
    <n v="0"/>
    <n v="0"/>
    <n v="0"/>
    <n v="0"/>
    <n v="0"/>
    <n v="0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402 Edificios, Locales, Residencias y Cablea"/>
    <s v="G/530402/1AA101"/>
    <s v="002"/>
    <n v="325000"/>
    <n v="7840"/>
    <n v="0"/>
    <n v="332840"/>
    <n v="478.13"/>
    <n v="143284.5"/>
    <n v="74588.3"/>
    <n v="189555.5"/>
    <n v="258251.7"/>
    <n v="189077.37"/>
  </r>
  <r>
    <s v="53"/>
    <x v="1"/>
    <x v="2"/>
    <s v="EE11I010"/>
    <x v="21"/>
    <s v="A101"/>
    <s v="FORTALECIMIENTO INSTITUCIONAL"/>
    <s v="GC00A10100001D"/>
    <s v="GC00A10100001D GASTOS ADMINISTRATIVOS"/>
    <s v="53 BIENES Y SERVICIOS DE CONSUMO"/>
    <s v="530402 Edificios, Locales, Residencias y Cablea"/>
    <s v="G/530402/1IA101"/>
    <s v="001"/>
    <n v="42180"/>
    <n v="0"/>
    <n v="0"/>
    <n v="42180"/>
    <n v="0"/>
    <n v="0"/>
    <n v="0"/>
    <n v="42180"/>
    <n v="42180"/>
    <n v="42180"/>
  </r>
  <r>
    <s v="53"/>
    <x v="2"/>
    <x v="11"/>
    <s v="ZM04F040"/>
    <x v="41"/>
    <s v="A101"/>
    <s v="FORTALECIMIENTO INSTITUCIONAL"/>
    <s v="GC00A10100001D"/>
    <s v="GC00A10100001D GASTOS ADMINISTRATIVOS"/>
    <s v="53 BIENES Y SERVICIOS DE CONSUMO"/>
    <s v="530402 Edificios, Locales, Residencias y Cablea"/>
    <s v="G/530402/1FA101"/>
    <s v="001"/>
    <n v="100000"/>
    <n v="-22951.64"/>
    <n v="0"/>
    <n v="77048.36"/>
    <n v="3500"/>
    <n v="0"/>
    <n v="0"/>
    <n v="77048.36"/>
    <n v="77048.36"/>
    <n v="73548.36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402 Edificios, Locales, Residencias y Cablea"/>
    <s v="G/530402/1AA101"/>
    <s v="002"/>
    <n v="0"/>
    <n v="12327.19"/>
    <n v="0"/>
    <n v="12327.19"/>
    <n v="0"/>
    <n v="11968.23"/>
    <n v="5113.47"/>
    <n v="358.96"/>
    <n v="7213.72"/>
    <n v="358.96"/>
  </r>
  <r>
    <s v="53"/>
    <x v="2"/>
    <x v="11"/>
    <s v="TM68F100"/>
    <x v="34"/>
    <s v="A101"/>
    <s v="FORTALECIMIENTO INSTITUCIONAL"/>
    <s v="GC00A10100001D"/>
    <s v="GC00A10100001D GASTOS ADMINISTRATIVOS"/>
    <s v="53 BIENES Y SERVICIOS DE CONSUMO"/>
    <s v="530402 Edificios, Locales, Residencias y Cablea"/>
    <s v="G/530402/1FA101"/>
    <s v="001"/>
    <n v="50000"/>
    <n v="-14000"/>
    <n v="0"/>
    <n v="36000"/>
    <n v="6000"/>
    <n v="0"/>
    <n v="0"/>
    <n v="36000"/>
    <n v="36000"/>
    <n v="30000"/>
  </r>
  <r>
    <s v="53"/>
    <x v="2"/>
    <x v="6"/>
    <s v="AT69K040"/>
    <x v="13"/>
    <s v="A101"/>
    <s v="FORTALECIMIENTO INSTITUCIONAL"/>
    <s v="GC00A10100001D"/>
    <s v="GC00A10100001D GASTOS ADMINISTRATIVOS"/>
    <s v="53 BIENES Y SERVICIOS DE CONSUMO"/>
    <s v="530402 Edificios, Locales, Residencias y Cablea"/>
    <s v="G/530402/1KA101"/>
    <s v="001"/>
    <n v="0"/>
    <n v="158333.32999999999"/>
    <n v="0"/>
    <n v="158333.32999999999"/>
    <n v="18230.59"/>
    <n v="33675.96"/>
    <n v="0"/>
    <n v="124657.37"/>
    <n v="158333.32999999999"/>
    <n v="106426.78"/>
  </r>
  <r>
    <s v="53"/>
    <x v="2"/>
    <x v="11"/>
    <s v="ZC09F090"/>
    <x v="44"/>
    <s v="A101"/>
    <s v="FORTALECIMIENTO INSTITUCIONAL"/>
    <s v="GC00A10100001D"/>
    <s v="GC00A10100001D GASTOS ADMINISTRATIVOS"/>
    <s v="53 BIENES Y SERVICIOS DE CONSUMO"/>
    <s v="530402 Edificios, Locales, Residencias y Cablea"/>
    <s v="G/530402/1FA101"/>
    <s v="001"/>
    <n v="24000"/>
    <n v="0"/>
    <n v="0"/>
    <n v="24000"/>
    <n v="0"/>
    <n v="0"/>
    <n v="0"/>
    <n v="24000"/>
    <n v="24000"/>
    <n v="24000"/>
  </r>
  <r>
    <s v="53"/>
    <x v="2"/>
    <x v="11"/>
    <s v="ZS03F030"/>
    <x v="38"/>
    <s v="A101"/>
    <s v="FORTALECIMIENTO INSTITUCIONAL"/>
    <s v="GC00A10100001D"/>
    <s v="GC00A10100001D GASTOS ADMINISTRATIVOS"/>
    <s v="53 BIENES Y SERVICIOS DE CONSUMO"/>
    <s v="530402 Edificios, Locales, Residencias y Cablea"/>
    <s v="G/530402/1FA101"/>
    <s v="001"/>
    <n v="7000"/>
    <n v="0"/>
    <n v="0"/>
    <n v="7000"/>
    <n v="0"/>
    <n v="0"/>
    <n v="0"/>
    <n v="7000"/>
    <n v="7000"/>
    <n v="7000"/>
  </r>
  <r>
    <s v="53"/>
    <x v="1"/>
    <x v="2"/>
    <s v="JM40I070"/>
    <x v="12"/>
    <s v="A101"/>
    <s v="FORTALECIMIENTO INSTITUCIONAL"/>
    <s v="GC00A10100001D"/>
    <s v="GC00A10100001D GASTOS ADMINISTRATIVOS"/>
    <s v="53 BIENES Y SERVICIOS DE CONSUMO"/>
    <s v="530402 Edificios, Locales, Residencias y Cablea"/>
    <s v="G/530402/1IA101"/>
    <s v="001"/>
    <n v="10000"/>
    <n v="0"/>
    <n v="0"/>
    <n v="10000"/>
    <n v="0"/>
    <n v="0"/>
    <n v="0"/>
    <n v="10000"/>
    <n v="10000"/>
    <n v="10000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0402 Edificios, Locales, Residencias y Cablea"/>
    <s v="G/530402/1IA101"/>
    <s v="001"/>
    <n v="30000"/>
    <n v="14800"/>
    <n v="0"/>
    <n v="44800"/>
    <n v="25933.599999999999"/>
    <n v="18866.400000000001"/>
    <n v="4406.6400000000003"/>
    <n v="25933.599999999999"/>
    <n v="40393.360000000001"/>
    <n v="0"/>
  </r>
  <r>
    <s v="53"/>
    <x v="2"/>
    <x v="8"/>
    <s v="ZA01P000"/>
    <x v="15"/>
    <s v="A101"/>
    <s v="FORTALECIMIENTO INSTITUCIONAL"/>
    <s v="GC00A10100001D"/>
    <s v="GC00A10100001D GASTOS ADMINISTRATIVOS"/>
    <s v="53 BIENES Y SERVICIOS DE CONSUMO"/>
    <s v="530402 Edificios, Locales, Residencias y Cablea"/>
    <s v="G/530402/1PA101"/>
    <s v="001"/>
    <n v="5000"/>
    <n v="0"/>
    <n v="0"/>
    <n v="5000"/>
    <n v="0"/>
    <n v="0"/>
    <n v="0"/>
    <n v="5000"/>
    <n v="5000"/>
    <n v="5000"/>
  </r>
  <r>
    <s v="53"/>
    <x v="1"/>
    <x v="3"/>
    <s v="ZA01M000"/>
    <x v="6"/>
    <s v="A101"/>
    <s v="FORTALECIMIENTO INSTITUCIONAL"/>
    <s v="GC00A10100001D"/>
    <s v="GC00A10100001D GASTOS ADMINISTRATIVOS"/>
    <s v="53 BIENES Y SERVICIOS DE CONSUMO"/>
    <s v="530402 Edificios, Locales, Residencias y Cablea"/>
    <s v="G/530402/1MA101"/>
    <s v="001"/>
    <n v="100000"/>
    <n v="-8810"/>
    <n v="0"/>
    <n v="91190"/>
    <n v="0"/>
    <n v="0"/>
    <n v="0"/>
    <n v="91190"/>
    <n v="91190"/>
    <n v="91190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0402 Edificios, Locales, Residencias y Cablea"/>
    <s v="G/530402/1MA101"/>
    <s v="001"/>
    <n v="15000"/>
    <n v="32040.959999999999"/>
    <n v="0"/>
    <n v="47040.959999999999"/>
    <n v="0"/>
    <n v="42903.16"/>
    <n v="42903.16"/>
    <n v="4137.8"/>
    <n v="4137.8"/>
    <n v="4137.8"/>
  </r>
  <r>
    <s v="53"/>
    <x v="1"/>
    <x v="2"/>
    <s v="ZA01I000"/>
    <x v="5"/>
    <s v="A101"/>
    <s v="FORTALECIMIENTO INSTITUCIONAL"/>
    <s v="GC00A10100001D"/>
    <s v="GC00A10100001D GASTOS ADMINISTRATIVOS"/>
    <s v="53 BIENES Y SERVICIOS DE CONSUMO"/>
    <s v="530402 Edificios, Locales, Residencias y Cablea"/>
    <s v="G/530402/1IA101"/>
    <s v="001"/>
    <n v="445300"/>
    <n v="-268103.18"/>
    <n v="0"/>
    <n v="177196.82"/>
    <n v="0"/>
    <n v="0"/>
    <n v="0"/>
    <n v="177196.82"/>
    <n v="177196.82"/>
    <n v="177196.82"/>
  </r>
  <r>
    <s v="53"/>
    <x v="1"/>
    <x v="13"/>
    <s v="ZA01G000"/>
    <x v="29"/>
    <s v="A101"/>
    <s v="FORTALECIMIENTO INSTITUCIONAL"/>
    <s v="GC00A10100001D"/>
    <s v="GC00A10100001D GASTOS ADMINISTRATIVOS"/>
    <s v="53 BIENES Y SERVICIOS DE CONSUMO"/>
    <s v="530402 Edificios, Locales, Residencias y Cablea"/>
    <s v="G/530402/1GA101"/>
    <s v="001"/>
    <n v="15000"/>
    <n v="0"/>
    <n v="0"/>
    <n v="15000"/>
    <n v="0"/>
    <n v="0"/>
    <n v="0"/>
    <n v="15000"/>
    <n v="15000"/>
    <n v="15000"/>
  </r>
  <r>
    <s v="53"/>
    <x v="2"/>
    <x v="10"/>
    <s v="ZA01D000"/>
    <x v="24"/>
    <s v="A101"/>
    <s v="FORTALECIMIENTO INSTITUCIONAL"/>
    <s v="GC00A10100001D"/>
    <s v="GC00A10100001D GASTOS ADMINISTRATIVOS"/>
    <s v="53 BIENES Y SERVICIOS DE CONSUMO"/>
    <s v="530402 Edificios, Locales, Residencias y Cablea"/>
    <s v="G/530402/1DA101"/>
    <s v="001"/>
    <n v="60000"/>
    <n v="-1687.05"/>
    <n v="0"/>
    <n v="58312.95"/>
    <n v="0"/>
    <n v="0"/>
    <n v="0"/>
    <n v="58312.95"/>
    <n v="58312.95"/>
    <n v="58312.95"/>
  </r>
  <r>
    <s v="53"/>
    <x v="2"/>
    <x v="6"/>
    <s v="ZA01K000"/>
    <x v="17"/>
    <s v="A101"/>
    <s v="FORTALECIMIENTO INSTITUCIONAL"/>
    <s v="GC00A10100001D"/>
    <s v="GC00A10100001D GASTOS ADMINISTRATIVOS"/>
    <s v="53 BIENES Y SERVICIOS DE CONSUMO"/>
    <s v="530402 Edificios, Locales, Residencias y Cablea"/>
    <s v="G/530402/1KA101"/>
    <s v="001"/>
    <n v="50000"/>
    <n v="0"/>
    <n v="0"/>
    <n v="50000"/>
    <n v="0"/>
    <n v="0"/>
    <n v="0"/>
    <n v="50000"/>
    <n v="50000"/>
    <n v="50000"/>
  </r>
  <r>
    <s v="53"/>
    <x v="2"/>
    <x v="11"/>
    <s v="ZQ08F080"/>
    <x v="39"/>
    <s v="A101"/>
    <s v="FORTALECIMIENTO INSTITUCIONAL"/>
    <s v="GC00A10100001D"/>
    <s v="GC00A10100001D GASTOS ADMINISTRATIVOS"/>
    <s v="53 BIENES Y SERVICIOS DE CONSUMO"/>
    <s v="530402 Edificios, Locales, Residencias y Cablea"/>
    <s v="G/530402/1FA101"/>
    <s v="001"/>
    <n v="44500"/>
    <n v="0"/>
    <n v="0"/>
    <n v="44500"/>
    <n v="0"/>
    <n v="6923.3"/>
    <n v="0"/>
    <n v="37576.699999999997"/>
    <n v="44500"/>
    <n v="37576.699999999997"/>
  </r>
  <r>
    <s v="53"/>
    <x v="0"/>
    <x v="0"/>
    <s v="ZA01A002"/>
    <x v="4"/>
    <s v="A101"/>
    <s v="FORTALECIMIENTO INSTITUCIONAL"/>
    <s v="GC00A10100001D"/>
    <s v="GC00A10100001D GASTOS ADMINISTRATIVOS"/>
    <s v="53 BIENES Y SERVICIOS DE CONSUMO"/>
    <s v="530402 Edificios, Locales, Residencias y Cablea"/>
    <s v="G/530402/1AA101"/>
    <s v="002"/>
    <n v="25000"/>
    <n v="0"/>
    <n v="0"/>
    <n v="25000"/>
    <n v="0"/>
    <n v="0"/>
    <n v="0"/>
    <n v="25000"/>
    <n v="25000"/>
    <n v="25000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0402 Edificios, Locales, Residencias y Cablea"/>
    <s v="G/530402/1IA101"/>
    <s v="001"/>
    <n v="33700"/>
    <n v="12500"/>
    <n v="0"/>
    <n v="46200"/>
    <n v="3866"/>
    <n v="4228"/>
    <n v="4228"/>
    <n v="41972"/>
    <n v="41972"/>
    <n v="38106"/>
  </r>
  <r>
    <s v="53"/>
    <x v="2"/>
    <x v="5"/>
    <s v="PM71N010"/>
    <x v="27"/>
    <s v="A101"/>
    <s v="FORTALECIMIENTO INSTITUCIONAL"/>
    <s v="GC00A10100001D"/>
    <s v="GC00A10100001D GASTOS ADMINISTRATIVOS"/>
    <s v="53 BIENES Y SERVICIOS DE CONSUMO"/>
    <s v="530402 Edificios, Locales, Residencias y Cablea"/>
    <s v="G/530402/1NA101"/>
    <s v="001"/>
    <n v="100000"/>
    <n v="-99800"/>
    <n v="0"/>
    <n v="200"/>
    <n v="0"/>
    <n v="200"/>
    <n v="0"/>
    <n v="0"/>
    <n v="200"/>
    <n v="0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402 Edificios, Locales, Residencias y Cablea"/>
    <s v="G/530402/1BA101"/>
    <s v="002"/>
    <n v="6000"/>
    <n v="7950.88"/>
    <n v="0"/>
    <n v="13950.88"/>
    <n v="0"/>
    <n v="8249.92"/>
    <n v="7424.6"/>
    <n v="5700.96"/>
    <n v="6526.28"/>
    <n v="5700.96"/>
  </r>
  <r>
    <s v="53"/>
    <x v="2"/>
    <x v="11"/>
    <s v="ZV05F050"/>
    <x v="37"/>
    <s v="A101"/>
    <s v="FORTALECIMIENTO INSTITUCIONAL"/>
    <s v="GC00A10100001D"/>
    <s v="GC00A10100001D GASTOS ADMINISTRATIVOS"/>
    <s v="53 BIENES Y SERVICIOS DE CONSUMO"/>
    <s v="530402 Edificios, Locales, Residencias y Cablea"/>
    <s v="G/530402/1FA101"/>
    <s v="001"/>
    <n v="53000"/>
    <n v="-47861.06"/>
    <n v="0"/>
    <n v="5138.9399999999996"/>
    <n v="0"/>
    <n v="4938.9399999999996"/>
    <n v="3554.21"/>
    <n v="200"/>
    <n v="1584.73"/>
    <n v="200"/>
  </r>
  <r>
    <s v="53"/>
    <x v="1"/>
    <x v="2"/>
    <s v="ES12I020"/>
    <x v="16"/>
    <s v="A101"/>
    <s v="FORTALECIMIENTO INSTITUCIONAL"/>
    <s v="GC00A10100001D"/>
    <s v="GC00A10100001D GASTOS ADMINISTRATIVOS"/>
    <s v="53 BIENES Y SERVICIOS DE CONSUMO"/>
    <s v="530402 Edificios, Locales, Residencias y Cablea"/>
    <s v="G/530402/1IA101"/>
    <s v="001"/>
    <n v="30936"/>
    <n v="106583.72"/>
    <n v="0"/>
    <n v="137519.72"/>
    <n v="1.1200000000000001"/>
    <n v="41120.68"/>
    <n v="36664.980000000003"/>
    <n v="96399.039999999994"/>
    <n v="100854.74"/>
    <n v="96397.92"/>
  </r>
  <r>
    <s v="53"/>
    <x v="1"/>
    <x v="2"/>
    <s v="EQ13I030"/>
    <x v="20"/>
    <s v="A101"/>
    <s v="FORTALECIMIENTO INSTITUCIONAL"/>
    <s v="GC00A10100001D"/>
    <s v="GC00A10100001D GASTOS ADMINISTRATIVOS"/>
    <s v="53 BIENES Y SERVICIOS DE CONSUMO"/>
    <s v="530402 Edificios, Locales, Residencias y Cablea"/>
    <s v="G/530402/1IA101"/>
    <s v="001"/>
    <n v="4000"/>
    <n v="96915.33"/>
    <n v="0"/>
    <n v="100915.33"/>
    <n v="0"/>
    <n v="0"/>
    <n v="0"/>
    <n v="100915.33"/>
    <n v="100915.33"/>
    <n v="100915.33"/>
  </r>
  <r>
    <s v="53"/>
    <x v="1"/>
    <x v="2"/>
    <s v="OL41I060"/>
    <x v="42"/>
    <s v="A101"/>
    <s v="FORTALECIMIENTO INSTITUCIONAL"/>
    <s v="GC00A10100001D"/>
    <s v="GC00A10100001D GASTOS ADMINISTRATIVOS"/>
    <s v="53 BIENES Y SERVICIOS DE CONSUMO"/>
    <s v="530402 Edificios, Locales, Residencias y Cablea"/>
    <s v="G/530402/1IA101"/>
    <s v="001"/>
    <n v="13345"/>
    <n v="19713"/>
    <n v="0"/>
    <n v="33058"/>
    <n v="32995.68"/>
    <n v="0"/>
    <n v="0"/>
    <n v="33058"/>
    <n v="33058"/>
    <n v="62.32"/>
  </r>
  <r>
    <s v="53"/>
    <x v="2"/>
    <x v="11"/>
    <s v="ZT06F060"/>
    <x v="25"/>
    <s v="A101"/>
    <s v="FORTALECIMIENTO INSTITUCIONAL"/>
    <s v="GC00A10100001D"/>
    <s v="GC00A10100001D GASTOS ADMINISTRATIVOS"/>
    <s v="53 BIENES Y SERVICIOS DE CONSUMO"/>
    <s v="530402 Edificios, Locales, Residencias y Cablea"/>
    <s v="G/530402/1FA101"/>
    <s v="001"/>
    <n v="100000"/>
    <n v="-28501.26"/>
    <n v="0"/>
    <n v="71498.740000000005"/>
    <n v="0"/>
    <n v="0"/>
    <n v="0"/>
    <n v="71498.740000000005"/>
    <n v="71498.740000000005"/>
    <n v="71498.740000000005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402 Edificios, Locales, Residencias y Cablea"/>
    <s v="G/530402/1FA101"/>
    <s v="001"/>
    <n v="24000"/>
    <n v="0"/>
    <n v="0"/>
    <n v="24000"/>
    <n v="0"/>
    <n v="0"/>
    <n v="0"/>
    <n v="24000"/>
    <n v="24000"/>
    <n v="24000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0403 Mobiliarios (Instalación, Mantenimiento"/>
    <s v="G/530403/1IA101"/>
    <s v="001"/>
    <n v="5000"/>
    <n v="2000"/>
    <n v="0"/>
    <n v="7000"/>
    <n v="3.25"/>
    <n v="6940.75"/>
    <n v="6940.75"/>
    <n v="59.25"/>
    <n v="59.25"/>
    <n v="56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403 Mobiliarios (Instalación, Mantenimiento"/>
    <s v="G/530403/1AA101"/>
    <s v="002"/>
    <n v="5000"/>
    <n v="0"/>
    <n v="0"/>
    <n v="5000"/>
    <n v="0"/>
    <n v="1000"/>
    <n v="0"/>
    <n v="4000"/>
    <n v="5000"/>
    <n v="4000"/>
  </r>
  <r>
    <s v="53"/>
    <x v="2"/>
    <x v="5"/>
    <s v="PM71N010"/>
    <x v="27"/>
    <s v="A101"/>
    <s v="FORTALECIMIENTO INSTITUCIONAL"/>
    <s v="GC00A10100001D"/>
    <s v="GC00A10100001D GASTOS ADMINISTRATIVOS"/>
    <s v="53 BIENES Y SERVICIOS DE CONSUMO"/>
    <s v="530403 Mobiliarios (Instalación, Mantenimiento"/>
    <s v="G/530403/1NA101"/>
    <s v="001"/>
    <n v="17000"/>
    <n v="-1211.5"/>
    <n v="0"/>
    <n v="15788.5"/>
    <n v="0"/>
    <n v="200"/>
    <n v="0"/>
    <n v="15588.5"/>
    <n v="15788.5"/>
    <n v="15588.5"/>
  </r>
  <r>
    <s v="53"/>
    <x v="2"/>
    <x v="11"/>
    <s v="ZV05F050"/>
    <x v="37"/>
    <s v="A101"/>
    <s v="FORTALECIMIENTO INSTITUCIONAL"/>
    <s v="GC00A10100001D"/>
    <s v="GC00A10100001D GASTOS ADMINISTRATIVOS"/>
    <s v="53 BIENES Y SERVICIOS DE CONSUMO"/>
    <s v="530403 Mobiliarios (Instalación, Mantenimiento"/>
    <s v="G/530403/1FA101"/>
    <s v="001"/>
    <n v="0"/>
    <n v="4480"/>
    <n v="0"/>
    <n v="4480"/>
    <n v="0"/>
    <n v="0"/>
    <n v="0"/>
    <n v="4480"/>
    <n v="4480"/>
    <n v="4480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403 Mobiliarios (Instalación, Mantenimiento"/>
    <s v="G/530403/1PA101"/>
    <s v="001"/>
    <n v="50"/>
    <n v="-50"/>
    <n v="0"/>
    <n v="0"/>
    <n v="0"/>
    <n v="0"/>
    <n v="0"/>
    <n v="0"/>
    <n v="0"/>
    <n v="0"/>
  </r>
  <r>
    <s v="53"/>
    <x v="0"/>
    <x v="0"/>
    <s v="ZA01A009"/>
    <x v="0"/>
    <s v="A101"/>
    <s v="FORTALECIMIENTO INSTITUCIONAL"/>
    <s v="GC00A10100001D"/>
    <s v="GC00A10100001D GASTOS ADMINISTRATIVOS"/>
    <s v="53 BIENES Y SERVICIOS DE CONSUMO"/>
    <s v="530403 Mobiliarios (Instalación, Mantenimiento"/>
    <s v="G/530403/1AA101"/>
    <s v="002"/>
    <n v="2000"/>
    <n v="0"/>
    <n v="0"/>
    <n v="2000"/>
    <n v="0"/>
    <n v="0"/>
    <n v="0"/>
    <n v="2000"/>
    <n v="2000"/>
    <n v="2000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403 Mobiliarios (Instalación, Mantenimiento"/>
    <s v="G/530403/1FA101"/>
    <s v="001"/>
    <n v="3000"/>
    <n v="0"/>
    <n v="0"/>
    <n v="3000"/>
    <n v="0"/>
    <n v="0"/>
    <n v="0"/>
    <n v="3000"/>
    <n v="3000"/>
    <n v="3000"/>
  </r>
  <r>
    <s v="53"/>
    <x v="1"/>
    <x v="2"/>
    <s v="ES12I020"/>
    <x v="16"/>
    <s v="A101"/>
    <s v="FORTALECIMIENTO INSTITUCIONAL"/>
    <s v="GC00A10100001D"/>
    <s v="GC00A10100001D GASTOS ADMINISTRATIVOS"/>
    <s v="53 BIENES Y SERVICIOS DE CONSUMO"/>
    <s v="530403 Mobiliarios (Instalación, Mantenimiento"/>
    <s v="G/530403/1IA101"/>
    <s v="001"/>
    <n v="17000"/>
    <n v="0"/>
    <n v="0"/>
    <n v="17000"/>
    <n v="14315.84"/>
    <n v="0"/>
    <n v="0"/>
    <n v="17000"/>
    <n v="17000"/>
    <n v="2684.16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0403 Mobiliarios (Instalación, Mantenimiento"/>
    <s v="G/530403/1MA101"/>
    <s v="001"/>
    <n v="5000"/>
    <n v="-5000"/>
    <n v="0"/>
    <n v="0"/>
    <n v="0"/>
    <n v="0"/>
    <n v="0"/>
    <n v="0"/>
    <n v="0"/>
    <n v="0"/>
  </r>
  <r>
    <s v="53"/>
    <x v="1"/>
    <x v="2"/>
    <s v="ZA01I000"/>
    <x v="5"/>
    <s v="A101"/>
    <s v="FORTALECIMIENTO INSTITUCIONAL"/>
    <s v="GC00A10100001D"/>
    <s v="GC00A10100001D GASTOS ADMINISTRATIVOS"/>
    <s v="53 BIENES Y SERVICIOS DE CONSUMO"/>
    <s v="530403 Mobiliarios (Instalación, Mantenimiento"/>
    <s v="G/530403/1IA101"/>
    <s v="001"/>
    <n v="4000"/>
    <n v="0"/>
    <n v="0"/>
    <n v="4000"/>
    <n v="0"/>
    <n v="0"/>
    <n v="0"/>
    <n v="4000"/>
    <n v="4000"/>
    <n v="4000"/>
  </r>
  <r>
    <s v="53"/>
    <x v="2"/>
    <x v="11"/>
    <s v="ZQ08F080"/>
    <x v="39"/>
    <s v="A101"/>
    <s v="FORTALECIMIENTO INSTITUCIONAL"/>
    <s v="GC00A10100001D"/>
    <s v="GC00A10100001D GASTOS ADMINISTRATIVOS"/>
    <s v="53 BIENES Y SERVICIOS DE CONSUMO"/>
    <s v="530403 Mobiliarios (Instalación, Mantenimiento"/>
    <s v="G/530403/1FA101"/>
    <s v="001"/>
    <n v="1500"/>
    <n v="0"/>
    <n v="0"/>
    <n v="1500"/>
    <n v="0"/>
    <n v="0"/>
    <n v="0"/>
    <n v="1500"/>
    <n v="1500"/>
    <n v="1500"/>
  </r>
  <r>
    <s v="53"/>
    <x v="1"/>
    <x v="2"/>
    <s v="EQ13I030"/>
    <x v="20"/>
    <s v="A101"/>
    <s v="FORTALECIMIENTO INSTITUCIONAL"/>
    <s v="GC00A10100001D"/>
    <s v="GC00A10100001D GASTOS ADMINISTRATIVOS"/>
    <s v="53 BIENES Y SERVICIOS DE CONSUMO"/>
    <s v="530403 Mobiliarios (Instalación, Mantenimiento"/>
    <s v="G/530403/1IA101"/>
    <s v="001"/>
    <n v="600"/>
    <n v="-600"/>
    <n v="0"/>
    <n v="0"/>
    <n v="0"/>
    <n v="0"/>
    <n v="0"/>
    <n v="0"/>
    <n v="0"/>
    <n v="0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403 Mobiliarios (Instalación, Mantenimiento"/>
    <s v="G/530403/1AA101"/>
    <s v="002"/>
    <n v="0"/>
    <n v="179.2"/>
    <n v="0"/>
    <n v="179.2"/>
    <n v="0"/>
    <n v="156.80000000000001"/>
    <n v="78.400000000000006"/>
    <n v="22.4"/>
    <n v="100.8"/>
    <n v="22.4"/>
  </r>
  <r>
    <s v="53"/>
    <x v="2"/>
    <x v="6"/>
    <s v="AT69K040"/>
    <x v="13"/>
    <s v="A101"/>
    <s v="FORTALECIMIENTO INSTITUCIONAL"/>
    <s v="GC00A10100001D"/>
    <s v="GC00A10100001D GASTOS ADMINISTRATIVOS"/>
    <s v="53 BIENES Y SERVICIOS DE CONSUMO"/>
    <s v="530403 Mobiliarios (Instalación, Mantenimiento"/>
    <s v="G/530403/1KA101"/>
    <s v="001"/>
    <n v="0"/>
    <n v="40200"/>
    <n v="0"/>
    <n v="40200"/>
    <n v="0"/>
    <n v="200"/>
    <n v="48.52"/>
    <n v="40000"/>
    <n v="40151.480000000003"/>
    <n v="40000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0404 Maquinarias y Equipos (Instalación, Mant"/>
    <s v="G/530404/1IA101"/>
    <s v="001"/>
    <n v="2000"/>
    <n v="1500"/>
    <n v="0"/>
    <n v="3500"/>
    <n v="0.72"/>
    <n v="3437.28"/>
    <n v="3274.88"/>
    <n v="62.72"/>
    <n v="225.12"/>
    <n v="62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0404 Maquinarias y Equipos (Instalación, Mant"/>
    <s v="G/530404/1IA101"/>
    <s v="001"/>
    <n v="5000"/>
    <n v="0"/>
    <n v="0"/>
    <n v="5000"/>
    <n v="0"/>
    <n v="0"/>
    <n v="0"/>
    <n v="5000"/>
    <n v="5000"/>
    <n v="5000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404 Maquinarias y Equipos (Instalación, Mant"/>
    <s v="G/530404/1BA101"/>
    <s v="002"/>
    <n v="1300"/>
    <n v="1980"/>
    <n v="0"/>
    <n v="3280"/>
    <n v="985.6"/>
    <n v="1841.28"/>
    <n v="1141.28"/>
    <n v="1438.72"/>
    <n v="2138.7199999999998"/>
    <n v="453.12"/>
  </r>
  <r>
    <s v="53"/>
    <x v="2"/>
    <x v="11"/>
    <s v="ZS03F030"/>
    <x v="38"/>
    <s v="A101"/>
    <s v="FORTALECIMIENTO INSTITUCIONAL"/>
    <s v="GC00A10100001D"/>
    <s v="GC00A10100001D GASTOS ADMINISTRATIVOS"/>
    <s v="53 BIENES Y SERVICIOS DE CONSUMO"/>
    <s v="530404 Maquinarias y Equipos (Instalación, Mant"/>
    <s v="G/530404/1FA101"/>
    <s v="001"/>
    <n v="5000"/>
    <n v="0"/>
    <n v="0"/>
    <n v="5000"/>
    <n v="1196"/>
    <n v="1904"/>
    <n v="1904"/>
    <n v="3096"/>
    <n v="3096"/>
    <n v="1900"/>
  </r>
  <r>
    <s v="53"/>
    <x v="2"/>
    <x v="11"/>
    <s v="ZQ08F080"/>
    <x v="39"/>
    <s v="A101"/>
    <s v="FORTALECIMIENTO INSTITUCIONAL"/>
    <s v="GC00A10100001D"/>
    <s v="GC00A10100001D GASTOS ADMINISTRATIVOS"/>
    <s v="53 BIENES Y SERVICIOS DE CONSUMO"/>
    <s v="530404 Maquinarias y Equipos (Instalación, Mant"/>
    <s v="G/530404/1FA101"/>
    <s v="001"/>
    <n v="12000"/>
    <n v="0"/>
    <n v="0"/>
    <n v="12000"/>
    <n v="0.01"/>
    <n v="11757.33"/>
    <n v="5075.84"/>
    <n v="242.67"/>
    <n v="6924.16"/>
    <n v="242.66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404 Maquinarias y Equipos (Instalación, Mant"/>
    <s v="G/530404/1PA101"/>
    <s v="001"/>
    <n v="23874.22"/>
    <n v="-11397.24"/>
    <n v="0"/>
    <n v="12476.98"/>
    <n v="0"/>
    <n v="12476.98"/>
    <n v="3191.36"/>
    <n v="0"/>
    <n v="9285.6200000000008"/>
    <n v="0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404 Maquinarias y Equipos (Instalación, Mant"/>
    <s v="G/530404/1FA101"/>
    <s v="001"/>
    <n v="10000"/>
    <n v="0"/>
    <n v="0"/>
    <n v="10000"/>
    <n v="3360"/>
    <n v="28"/>
    <n v="28"/>
    <n v="9972"/>
    <n v="9972"/>
    <n v="6612"/>
  </r>
  <r>
    <s v="53"/>
    <x v="2"/>
    <x v="5"/>
    <s v="PM71N010"/>
    <x v="27"/>
    <s v="A101"/>
    <s v="FORTALECIMIENTO INSTITUCIONAL"/>
    <s v="GC00A10100001D"/>
    <s v="GC00A10100001D GASTOS ADMINISTRATIVOS"/>
    <s v="53 BIENES Y SERVICIOS DE CONSUMO"/>
    <s v="530404 Maquinarias y Equipos (Instalación, Mant"/>
    <s v="G/530404/1NA101"/>
    <s v="001"/>
    <n v="10000"/>
    <n v="-1850"/>
    <n v="0"/>
    <n v="8150"/>
    <n v="0"/>
    <n v="200"/>
    <n v="0"/>
    <n v="7950"/>
    <n v="8150"/>
    <n v="7950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0404 Maquinarias y Equipos (Instalación, Mant"/>
    <s v="G/530404/1MA101"/>
    <s v="001"/>
    <n v="170000"/>
    <n v="-119040.96000000001"/>
    <n v="0"/>
    <n v="50959.040000000001"/>
    <n v="1998.08"/>
    <n v="25122.66"/>
    <n v="15207.56"/>
    <n v="25836.38"/>
    <n v="35751.480000000003"/>
    <n v="23838.3"/>
  </r>
  <r>
    <s v="53"/>
    <x v="1"/>
    <x v="2"/>
    <s v="EQ13I030"/>
    <x v="20"/>
    <s v="A101"/>
    <s v="FORTALECIMIENTO INSTITUCIONAL"/>
    <s v="GC00A10100001D"/>
    <s v="GC00A10100001D GASTOS ADMINISTRATIVOS"/>
    <s v="53 BIENES Y SERVICIOS DE CONSUMO"/>
    <s v="530404 Maquinarias y Equipos (Instalación, Mant"/>
    <s v="G/530404/1IA101"/>
    <s v="001"/>
    <n v="500"/>
    <n v="-500"/>
    <n v="0"/>
    <n v="0"/>
    <n v="0"/>
    <n v="0"/>
    <n v="0"/>
    <n v="0"/>
    <n v="0"/>
    <n v="0"/>
  </r>
  <r>
    <s v="53"/>
    <x v="1"/>
    <x v="2"/>
    <s v="OL41I060"/>
    <x v="42"/>
    <s v="A101"/>
    <s v="FORTALECIMIENTO INSTITUCIONAL"/>
    <s v="GC00A10100001D"/>
    <s v="GC00A10100001D GASTOS ADMINISTRATIVOS"/>
    <s v="53 BIENES Y SERVICIOS DE CONSUMO"/>
    <s v="530404 Maquinarias y Equipos (Instalación, Mant"/>
    <s v="G/530404/1IA101"/>
    <s v="001"/>
    <n v="1000"/>
    <n v="0"/>
    <n v="0"/>
    <n v="1000"/>
    <n v="0"/>
    <n v="0"/>
    <n v="0"/>
    <n v="1000"/>
    <n v="1000"/>
    <n v="100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404 Maquinarias y Equipos (Instalación, Mant"/>
    <s v="G/530404/1AA101"/>
    <s v="002"/>
    <n v="184512"/>
    <n v="0"/>
    <n v="0"/>
    <n v="184512"/>
    <n v="15462.14"/>
    <n v="87614.36"/>
    <n v="68067.33"/>
    <n v="96897.64"/>
    <n v="116444.67"/>
    <n v="81435.5"/>
  </r>
  <r>
    <s v="53"/>
    <x v="1"/>
    <x v="2"/>
    <s v="ES12I020"/>
    <x v="16"/>
    <s v="A101"/>
    <s v="FORTALECIMIENTO INSTITUCIONAL"/>
    <s v="GC00A10100001D"/>
    <s v="GC00A10100001D GASTOS ADMINISTRATIVOS"/>
    <s v="53 BIENES Y SERVICIOS DE CONSUMO"/>
    <s v="530404 Maquinarias y Equipos (Instalación, Mant"/>
    <s v="G/530404/1IA101"/>
    <s v="001"/>
    <n v="6000"/>
    <n v="1000"/>
    <n v="0"/>
    <n v="7000"/>
    <n v="981.73"/>
    <n v="3046.27"/>
    <n v="1657.53"/>
    <n v="3953.73"/>
    <n v="5342.47"/>
    <n v="2972"/>
  </r>
  <r>
    <s v="53"/>
    <x v="2"/>
    <x v="11"/>
    <s v="ZM04F040"/>
    <x v="41"/>
    <s v="A101"/>
    <s v="FORTALECIMIENTO INSTITUCIONAL"/>
    <s v="GC00A10100001D"/>
    <s v="GC00A10100001D GASTOS ADMINISTRATIVOS"/>
    <s v="53 BIENES Y SERVICIOS DE CONSUMO"/>
    <s v="530404 Maquinarias y Equipos (Instalación, Mant"/>
    <s v="G/530404/1FA101"/>
    <s v="001"/>
    <n v="0"/>
    <n v="6200"/>
    <n v="0"/>
    <n v="6200"/>
    <n v="2000"/>
    <n v="0"/>
    <n v="0"/>
    <n v="6200"/>
    <n v="6200"/>
    <n v="4200"/>
  </r>
  <r>
    <s v="53"/>
    <x v="1"/>
    <x v="2"/>
    <s v="ZA01I000"/>
    <x v="5"/>
    <s v="A101"/>
    <s v="FORTALECIMIENTO INSTITUCIONAL"/>
    <s v="GC00A10100001D"/>
    <s v="GC00A10100001D GASTOS ADMINISTRATIVOS"/>
    <s v="53 BIENES Y SERVICIOS DE CONSUMO"/>
    <s v="530404 Maquinarias y Equipos (Instalación, Mant"/>
    <s v="G/530404/1IA101"/>
    <s v="001"/>
    <n v="14000"/>
    <n v="0"/>
    <n v="0"/>
    <n v="14000"/>
    <n v="0"/>
    <n v="0"/>
    <n v="0"/>
    <n v="14000"/>
    <n v="14000"/>
    <n v="14000"/>
  </r>
  <r>
    <s v="53"/>
    <x v="2"/>
    <x v="10"/>
    <s v="ZA01D000"/>
    <x v="24"/>
    <s v="A101"/>
    <s v="FORTALECIMIENTO INSTITUCIONAL"/>
    <s v="GC00A10100001D"/>
    <s v="GC00A10100001D GASTOS ADMINISTRATIVOS"/>
    <s v="53 BIENES Y SERVICIOS DE CONSUMO"/>
    <s v="530404 Maquinarias y Equipos (Instalación, Mant"/>
    <s v="G/530404/1DA101"/>
    <s v="001"/>
    <n v="6000"/>
    <n v="11750"/>
    <n v="0"/>
    <n v="17750"/>
    <n v="0"/>
    <n v="0"/>
    <n v="0"/>
    <n v="17750"/>
    <n v="17750"/>
    <n v="17750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404 Maquinarias y Equipos (Instalación, Mant"/>
    <s v="G/530404/1AA101"/>
    <s v="002"/>
    <n v="1000"/>
    <n v="1020.14"/>
    <n v="0"/>
    <n v="2020.14"/>
    <n v="0"/>
    <n v="1669.74"/>
    <n v="901.88"/>
    <n v="350.4"/>
    <n v="1118.26"/>
    <n v="350.4"/>
  </r>
  <r>
    <s v="53"/>
    <x v="2"/>
    <x v="11"/>
    <s v="ZV05F050"/>
    <x v="37"/>
    <s v="A101"/>
    <s v="FORTALECIMIENTO INSTITUCIONAL"/>
    <s v="GC00A10100001D"/>
    <s v="GC00A10100001D GASTOS ADMINISTRATIVOS"/>
    <s v="53 BIENES Y SERVICIOS DE CONSUMO"/>
    <s v="530404 Maquinarias y Equipos (Instalación, Mant"/>
    <s v="G/530404/1FA101"/>
    <s v="001"/>
    <n v="3000"/>
    <n v="16734.12"/>
    <n v="0"/>
    <n v="19734.12"/>
    <n v="265.44"/>
    <n v="6613.62"/>
    <n v="106"/>
    <n v="13120.5"/>
    <n v="19628.12"/>
    <n v="12855.06"/>
  </r>
  <r>
    <s v="53"/>
    <x v="2"/>
    <x v="11"/>
    <s v="ZC09F090"/>
    <x v="44"/>
    <s v="A101"/>
    <s v="FORTALECIMIENTO INSTITUCIONAL"/>
    <s v="GC00A10100001D"/>
    <s v="GC00A10100001D GASTOS ADMINISTRATIVOS"/>
    <s v="53 BIENES Y SERVICIOS DE CONSUMO"/>
    <s v="530404 Maquinarias y Equipos (Instalación, Mant"/>
    <s v="G/530404/1FA101"/>
    <s v="001"/>
    <n v="0"/>
    <n v="5124.3"/>
    <n v="0"/>
    <n v="5124.3"/>
    <n v="0"/>
    <n v="5124.29"/>
    <n v="5124.29"/>
    <n v="0.01"/>
    <n v="0.01"/>
    <n v="0.01"/>
  </r>
  <r>
    <s v="53"/>
    <x v="2"/>
    <x v="11"/>
    <s v="ZD07F070"/>
    <x v="43"/>
    <s v="A101"/>
    <s v="FORTALECIMIENTO INSTITUCIONAL"/>
    <s v="GC00A10100001D"/>
    <s v="GC00A10100001D GASTOS ADMINISTRATIVOS"/>
    <s v="53 BIENES Y SERVICIOS DE CONSUMO"/>
    <s v="530404 Maquinarias y Equipos (Instalación, Mant"/>
    <s v="G/530404/1FA101"/>
    <s v="001"/>
    <n v="3000"/>
    <n v="0"/>
    <n v="0"/>
    <n v="3000"/>
    <n v="0"/>
    <n v="560"/>
    <n v="560"/>
    <n v="2440"/>
    <n v="2440"/>
    <n v="2440"/>
  </r>
  <r>
    <s v="53"/>
    <x v="3"/>
    <x v="15"/>
    <s v="AC67Q000"/>
    <x v="32"/>
    <s v="A101"/>
    <s v="FORTALECIMIENTO INSTITUCIONAL"/>
    <s v="GC00A10100001D"/>
    <s v="GC00A10100001D GASTOS ADMINISTRATIVOS"/>
    <s v="53 BIENES Y SERVICIOS DE CONSUMO"/>
    <s v="530404 Maquinarias y Equipos (Instalación, Mant"/>
    <s v="G/530404/1QA101"/>
    <s v="001"/>
    <n v="7500"/>
    <n v="-948"/>
    <n v="0"/>
    <n v="6552"/>
    <n v="0"/>
    <n v="6552"/>
    <n v="4914"/>
    <n v="0"/>
    <n v="1638"/>
    <n v="0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405 Vehículos (Servicio para Mantenimiento y Re"/>
    <s v="G/530405/1BA101"/>
    <s v="002"/>
    <n v="0"/>
    <n v="14700"/>
    <n v="0"/>
    <n v="14700"/>
    <n v="0"/>
    <n v="4081.62"/>
    <n v="3225.5"/>
    <n v="10618.38"/>
    <n v="11474.5"/>
    <n v="10618.38"/>
  </r>
  <r>
    <s v="53"/>
    <x v="1"/>
    <x v="2"/>
    <s v="ES12I020"/>
    <x v="16"/>
    <s v="A101"/>
    <s v="FORTALECIMIENTO INSTITUCIONAL"/>
    <s v="GC00A10100001D"/>
    <s v="GC00A10100001D GASTOS ADMINISTRATIVOS"/>
    <s v="53 BIENES Y SERVICIOS DE CONSUMO"/>
    <s v="530405 Vehículos (Servicio para Mantenimiento y Re"/>
    <s v="G/530405/1IA101"/>
    <s v="001"/>
    <n v="2000"/>
    <n v="0"/>
    <n v="0"/>
    <n v="2000"/>
    <n v="0"/>
    <n v="340.48"/>
    <n v="340.48"/>
    <n v="1659.52"/>
    <n v="1659.52"/>
    <n v="1659.52"/>
  </r>
  <r>
    <s v="53"/>
    <x v="2"/>
    <x v="11"/>
    <s v="ZC09F090"/>
    <x v="44"/>
    <s v="A101"/>
    <s v="FORTALECIMIENTO INSTITUCIONAL"/>
    <s v="GC00A10100001D"/>
    <s v="GC00A10100001D GASTOS ADMINISTRATIVOS"/>
    <s v="53 BIENES Y SERVICIOS DE CONSUMO"/>
    <s v="530405 Vehículos (Servicio para Mantenimiento y Re"/>
    <s v="G/530405/1FA101"/>
    <s v="001"/>
    <n v="5000"/>
    <n v="10375.700000000001"/>
    <n v="0"/>
    <n v="15375.7"/>
    <n v="0"/>
    <n v="5463.92"/>
    <n v="5463.92"/>
    <n v="9911.7800000000007"/>
    <n v="9911.7800000000007"/>
    <n v="9911.7800000000007"/>
  </r>
  <r>
    <s v="53"/>
    <x v="2"/>
    <x v="11"/>
    <s v="ZV05F050"/>
    <x v="37"/>
    <s v="A101"/>
    <s v="FORTALECIMIENTO INSTITUCIONAL"/>
    <s v="GC00A10100001D"/>
    <s v="GC00A10100001D GASTOS ADMINISTRATIVOS"/>
    <s v="53 BIENES Y SERVICIOS DE CONSUMO"/>
    <s v="530405 Vehículos (Servicio para Mantenimiento y Re"/>
    <s v="G/530405/1FA101"/>
    <s v="001"/>
    <n v="3000"/>
    <n v="7237.73"/>
    <n v="0"/>
    <n v="10237.73"/>
    <n v="38.08"/>
    <n v="7452.03"/>
    <n v="30.27"/>
    <n v="2785.7"/>
    <n v="10207.459999999999"/>
    <n v="2747.62"/>
  </r>
  <r>
    <s v="53"/>
    <x v="1"/>
    <x v="3"/>
    <s v="UN31M010"/>
    <x v="11"/>
    <s v="A101"/>
    <s v="FORTALECIMIENTO INSTITUCIONAL"/>
    <s v="GC00A10100001D"/>
    <s v="GC00A10100001D GASTOS ADMINISTRATIVOS"/>
    <s v="53 BIENES Y SERVICIOS DE CONSUMO"/>
    <s v="530405 Vehículos (Servicio para Mantenimiento y Re"/>
    <s v="G/530405/1MA101"/>
    <s v="001"/>
    <n v="10000"/>
    <n v="2000"/>
    <n v="0"/>
    <n v="12000"/>
    <n v="0"/>
    <n v="1220.8"/>
    <n v="918.4"/>
    <n v="10779.2"/>
    <n v="11081.6"/>
    <n v="10779.2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0405 Vehículos (Servicio para Mantenimiento y Re"/>
    <s v="G/530405/1MA101"/>
    <s v="001"/>
    <n v="16000"/>
    <n v="-3000"/>
    <n v="0"/>
    <n v="13000"/>
    <n v="2084.3200000000002"/>
    <n v="647.4"/>
    <n v="67.239999999999995"/>
    <n v="12352.6"/>
    <n v="12932.76"/>
    <n v="10268.280000000001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405 Vehículos (Servicio para Mantenimiento y Re"/>
    <s v="G/530405/1AA101"/>
    <s v="002"/>
    <n v="266406"/>
    <n v="0"/>
    <n v="0"/>
    <n v="266406"/>
    <n v="2059.29"/>
    <n v="189000.82"/>
    <n v="61286.9"/>
    <n v="77405.179999999993"/>
    <n v="205119.1"/>
    <n v="75345.89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0405 Vehículos (Servicio para Mantenimiento y Re"/>
    <s v="G/530405/1IA101"/>
    <s v="001"/>
    <n v="4000"/>
    <n v="0"/>
    <n v="0"/>
    <n v="4000"/>
    <n v="0"/>
    <n v="2000"/>
    <n v="1851.36"/>
    <n v="2000"/>
    <n v="2148.64"/>
    <n v="2000"/>
  </r>
  <r>
    <s v="53"/>
    <x v="2"/>
    <x v="11"/>
    <s v="ZM04F040"/>
    <x v="41"/>
    <s v="A101"/>
    <s v="FORTALECIMIENTO INSTITUCIONAL"/>
    <s v="GC00A10100001D"/>
    <s v="GC00A10100001D GASTOS ADMINISTRATIVOS"/>
    <s v="53 BIENES Y SERVICIOS DE CONSUMO"/>
    <s v="530405 Vehículos (Servicio para Mantenimiento y Re"/>
    <s v="G/530405/1FA101"/>
    <s v="001"/>
    <n v="0"/>
    <n v="10000"/>
    <n v="0"/>
    <n v="10000"/>
    <n v="0"/>
    <n v="10000"/>
    <n v="6177.57"/>
    <n v="0"/>
    <n v="3822.43"/>
    <n v="0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0405 Vehículos (Servicio para Mantenimiento y Re"/>
    <s v="G/530405/1IA101"/>
    <s v="001"/>
    <n v="600"/>
    <n v="0"/>
    <n v="0"/>
    <n v="600"/>
    <n v="0"/>
    <n v="0"/>
    <n v="0"/>
    <n v="600"/>
    <n v="600"/>
    <n v="600"/>
  </r>
  <r>
    <s v="53"/>
    <x v="1"/>
    <x v="2"/>
    <s v="CF22I050"/>
    <x v="22"/>
    <s v="A101"/>
    <s v="FORTALECIMIENTO INSTITUCIONAL"/>
    <s v="GC00A10100001D"/>
    <s v="GC00A10100001D GASTOS ADMINISTRATIVOS"/>
    <s v="53 BIENES Y SERVICIOS DE CONSUMO"/>
    <s v="530405 Vehículos (Servicio para Mantenimiento y Re"/>
    <s v="G/530405/1IA101"/>
    <s v="001"/>
    <n v="1000"/>
    <n v="0"/>
    <n v="0"/>
    <n v="1000"/>
    <n v="1000"/>
    <n v="0"/>
    <n v="0"/>
    <n v="1000"/>
    <n v="1000"/>
    <n v="0"/>
  </r>
  <r>
    <s v="53"/>
    <x v="1"/>
    <x v="2"/>
    <s v="EE11I010"/>
    <x v="21"/>
    <s v="A101"/>
    <s v="FORTALECIMIENTO INSTITUCIONAL"/>
    <s v="GC00A10100001D"/>
    <s v="GC00A10100001D GASTOS ADMINISTRATIVOS"/>
    <s v="53 BIENES Y SERVICIOS DE CONSUMO"/>
    <s v="530405 Vehículos (Servicio para Mantenimiento y Re"/>
    <s v="G/530405/1IA101"/>
    <s v="001"/>
    <n v="900"/>
    <n v="0"/>
    <n v="0"/>
    <n v="900"/>
    <n v="0"/>
    <n v="0"/>
    <n v="0"/>
    <n v="900"/>
    <n v="900"/>
    <n v="900"/>
  </r>
  <r>
    <s v="53"/>
    <x v="2"/>
    <x v="11"/>
    <s v="ZQ08F080"/>
    <x v="39"/>
    <s v="A101"/>
    <s v="FORTALECIMIENTO INSTITUCIONAL"/>
    <s v="GC00A10100001D"/>
    <s v="GC00A10100001D GASTOS ADMINISTRATIVOS"/>
    <s v="53 BIENES Y SERVICIOS DE CONSUMO"/>
    <s v="530405 Vehículos (Servicio para Mantenimiento y Re"/>
    <s v="G/530405/1FA101"/>
    <s v="001"/>
    <n v="14000"/>
    <n v="1176.04"/>
    <n v="0"/>
    <n v="15176.04"/>
    <n v="0"/>
    <n v="15176.04"/>
    <n v="2396.8000000000002"/>
    <n v="0"/>
    <n v="12779.24"/>
    <n v="0"/>
  </r>
  <r>
    <s v="53"/>
    <x v="2"/>
    <x v="11"/>
    <s v="ZD07F070"/>
    <x v="43"/>
    <s v="A101"/>
    <s v="FORTALECIMIENTO INSTITUCIONAL"/>
    <s v="GC00A10100001D"/>
    <s v="GC00A10100001D GASTOS ADMINISTRATIVOS"/>
    <s v="53 BIENES Y SERVICIOS DE CONSUMO"/>
    <s v="530405 Vehículos (Servicio para Mantenimiento y Re"/>
    <s v="G/530405/1FA101"/>
    <s v="001"/>
    <n v="3000"/>
    <n v="3800"/>
    <n v="0"/>
    <n v="6800"/>
    <n v="270"/>
    <n v="5509"/>
    <n v="2149"/>
    <n v="1291"/>
    <n v="4651"/>
    <n v="1021"/>
  </r>
  <r>
    <s v="53"/>
    <x v="2"/>
    <x v="11"/>
    <s v="TM68F100"/>
    <x v="34"/>
    <s v="A101"/>
    <s v="FORTALECIMIENTO INSTITUCIONAL"/>
    <s v="GC00A10100001D"/>
    <s v="GC00A10100001D GASTOS ADMINISTRATIVOS"/>
    <s v="53 BIENES Y SERVICIOS DE CONSUMO"/>
    <s v="530405 Vehículos (Servicio para Mantenimiento y Re"/>
    <s v="G/530405/1FA101"/>
    <s v="001"/>
    <n v="0"/>
    <n v="266"/>
    <n v="0"/>
    <n v="266"/>
    <n v="84"/>
    <n v="182"/>
    <n v="182"/>
    <n v="84"/>
    <n v="84"/>
    <n v="0"/>
  </r>
  <r>
    <s v="53"/>
    <x v="2"/>
    <x v="11"/>
    <s v="ZS03F030"/>
    <x v="38"/>
    <s v="A101"/>
    <s v="FORTALECIMIENTO INSTITUCIONAL"/>
    <s v="GC00A10100001D"/>
    <s v="GC00A10100001D GASTOS ADMINISTRATIVOS"/>
    <s v="53 BIENES Y SERVICIOS DE CONSUMO"/>
    <s v="530405 Vehículos (Servicio para Mantenimiento y Re"/>
    <s v="G/530405/1FA101"/>
    <s v="001"/>
    <n v="27800"/>
    <n v="-4000"/>
    <n v="0"/>
    <n v="23800"/>
    <n v="0"/>
    <n v="16576"/>
    <n v="7659.06"/>
    <n v="7224"/>
    <n v="16140.94"/>
    <n v="7224"/>
  </r>
  <r>
    <s v="53"/>
    <x v="2"/>
    <x v="11"/>
    <s v="ZT06F060"/>
    <x v="25"/>
    <s v="A101"/>
    <s v="FORTALECIMIENTO INSTITUCIONAL"/>
    <s v="GC00A10100001D"/>
    <s v="GC00A10100001D GASTOS ADMINISTRATIVOS"/>
    <s v="53 BIENES Y SERVICIOS DE CONSUMO"/>
    <s v="530405 Vehículos (Servicio para Mantenimiento y Re"/>
    <s v="G/530405/1FA101"/>
    <s v="001"/>
    <n v="0"/>
    <n v="18836.599999999999"/>
    <n v="0"/>
    <n v="18836.599999999999"/>
    <n v="0"/>
    <n v="0"/>
    <n v="0"/>
    <n v="18836.599999999999"/>
    <n v="18836.599999999999"/>
    <n v="18836.599999999999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405 Vehículos (Servicio para Mantenimiento y Re"/>
    <s v="G/530405/1FA101"/>
    <s v="001"/>
    <n v="11000"/>
    <n v="8500"/>
    <n v="0"/>
    <n v="19500"/>
    <n v="0"/>
    <n v="6348.07"/>
    <n v="4457.03"/>
    <n v="13151.93"/>
    <n v="15042.97"/>
    <n v="13151.93"/>
  </r>
  <r>
    <s v="53"/>
    <x v="3"/>
    <x v="15"/>
    <s v="AC67Q000"/>
    <x v="32"/>
    <s v="A101"/>
    <s v="FORTALECIMIENTO INSTITUCIONAL"/>
    <s v="GC00A10100001D"/>
    <s v="GC00A10100001D GASTOS ADMINISTRATIVOS"/>
    <s v="53 BIENES Y SERVICIOS DE CONSUMO"/>
    <s v="530405 Vehículos (Servicio para Mantenimiento y Re"/>
    <s v="G/530405/1QA101"/>
    <s v="001"/>
    <n v="7500"/>
    <n v="0"/>
    <n v="0"/>
    <n v="7500"/>
    <n v="0"/>
    <n v="7498.69"/>
    <n v="323.69"/>
    <n v="1.31"/>
    <n v="7176.31"/>
    <n v="1.31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405 Vehículos (Servicio para Mantenimiento y Re"/>
    <s v="G/530405/1PA101"/>
    <s v="001"/>
    <n v="7000"/>
    <n v="-931.84"/>
    <n v="0"/>
    <n v="6068.16"/>
    <n v="0"/>
    <n v="6068.16"/>
    <n v="3302.88"/>
    <n v="0"/>
    <n v="2765.28"/>
    <n v="0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405 Vehículos (Servicio para Mantenimiento y Re"/>
    <s v="G/530405/1AA101"/>
    <s v="002"/>
    <n v="0"/>
    <n v="7318.98"/>
    <n v="0"/>
    <n v="7318.98"/>
    <n v="0"/>
    <n v="7151.98"/>
    <n v="2097.48"/>
    <n v="167"/>
    <n v="5221.5"/>
    <n v="167"/>
  </r>
  <r>
    <s v="53"/>
    <x v="3"/>
    <x v="15"/>
    <s v="AC67Q000"/>
    <x v="32"/>
    <s v="A101"/>
    <s v="FORTALECIMIENTO INSTITUCIONAL"/>
    <s v="GC00A10100001D"/>
    <s v="GC00A10100001D GASTOS ADMINISTRATIVOS"/>
    <s v="53 BIENES Y SERVICIOS DE CONSUMO"/>
    <s v="530406 Herramientas (Mantenimiento y Reparación)"/>
    <s v="G/530406/1QA101"/>
    <s v="001"/>
    <n v="500"/>
    <n v="-500"/>
    <n v="0"/>
    <n v="0"/>
    <n v="0"/>
    <n v="0"/>
    <n v="0"/>
    <n v="0"/>
    <n v="0"/>
    <n v="0"/>
  </r>
  <r>
    <s v="53"/>
    <x v="2"/>
    <x v="8"/>
    <s v="ZA01P000"/>
    <x v="15"/>
    <s v="A101"/>
    <s v="FORTALECIMIENTO INSTITUCIONAL"/>
    <s v="GC00A10100001D"/>
    <s v="GC00A10100001D GASTOS ADMINISTRATIVOS"/>
    <s v="53 BIENES Y SERVICIOS DE CONSUMO"/>
    <s v="530418 Mantenimiento de Áreas Verdes y Arreglo de"/>
    <s v="G/530418/1PA101"/>
    <s v="001"/>
    <n v="2000"/>
    <n v="0"/>
    <n v="0"/>
    <n v="2000"/>
    <n v="0"/>
    <n v="0"/>
    <n v="0"/>
    <n v="2000"/>
    <n v="2000"/>
    <n v="2000"/>
  </r>
  <r>
    <s v="53"/>
    <x v="2"/>
    <x v="6"/>
    <s v="AT69K040"/>
    <x v="13"/>
    <s v="A101"/>
    <s v="FORTALECIMIENTO INSTITUCIONAL"/>
    <s v="GC00A10100001D"/>
    <s v="GC00A10100001D GASTOS ADMINISTRATIVOS"/>
    <s v="53 BIENES Y SERVICIOS DE CONSUMO"/>
    <s v="530418 Mantenimiento de Áreas Verdes y Arreglo de"/>
    <s v="G/530418/1KA101"/>
    <s v="001"/>
    <n v="0"/>
    <n v="56000"/>
    <n v="0"/>
    <n v="56000"/>
    <n v="0.46"/>
    <n v="55999.54"/>
    <n v="10500.03"/>
    <n v="0.46"/>
    <n v="45499.97"/>
    <n v="0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0418 Mantenimiento de Áreas Verdes y Arreglo de"/>
    <s v="G/530418/1IA101"/>
    <s v="001"/>
    <n v="0"/>
    <n v="4250"/>
    <n v="0"/>
    <n v="4250"/>
    <n v="16.399999999999999"/>
    <n v="4233.6000000000004"/>
    <n v="2116.8000000000002"/>
    <n v="16.399999999999999"/>
    <n v="2133.1999999999998"/>
    <n v="0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0419 Bienes Deportivos (Instalación, Mantenimien"/>
    <s v="G/530419/1IA101"/>
    <s v="001"/>
    <n v="0"/>
    <n v="5000"/>
    <n v="0"/>
    <n v="5000"/>
    <n v="0"/>
    <n v="0"/>
    <n v="0"/>
    <n v="5000"/>
    <n v="5000"/>
    <n v="5000"/>
  </r>
  <r>
    <s v="53"/>
    <x v="2"/>
    <x v="11"/>
    <s v="ZM04F040"/>
    <x v="41"/>
    <s v="A101"/>
    <s v="FORTALECIMIENTO INSTITUCIONAL"/>
    <s v="GC00A10100001D"/>
    <s v="GC00A10100001D GASTOS ADMINISTRATIVOS"/>
    <s v="53 BIENES Y SERVICIOS DE CONSUMO"/>
    <s v="530502 Edificios, Locales y Residencias, Parque"/>
    <s v="G/530502/1FA101"/>
    <s v="001"/>
    <n v="18000"/>
    <n v="0"/>
    <n v="0"/>
    <n v="18000"/>
    <n v="2338.9"/>
    <n v="15661.1"/>
    <n v="15661.1"/>
    <n v="2338.9"/>
    <n v="2338.9"/>
    <n v="0"/>
  </r>
  <r>
    <s v="53"/>
    <x v="2"/>
    <x v="6"/>
    <s v="AT69K040"/>
    <x v="13"/>
    <s v="A101"/>
    <s v="FORTALECIMIENTO INSTITUCIONAL"/>
    <s v="GC00A10100001D"/>
    <s v="GC00A10100001D GASTOS ADMINISTRATIVOS"/>
    <s v="53 BIENES Y SERVICIOS DE CONSUMO"/>
    <s v="530502 Edificios, Locales y Residencias, Parque"/>
    <s v="G/530502/1KA101"/>
    <s v="001"/>
    <n v="660156.9"/>
    <n v="232331.02"/>
    <n v="0"/>
    <n v="892487.92"/>
    <n v="0.05"/>
    <n v="682205.95"/>
    <n v="392028.82"/>
    <n v="210281.97"/>
    <n v="500459.1"/>
    <n v="210281.92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502 Edificios, Locales y Residencias, Parque"/>
    <s v="G/530502/1PA101"/>
    <s v="001"/>
    <n v="11201.44"/>
    <n v="-6021.44"/>
    <n v="0"/>
    <n v="5180"/>
    <n v="0"/>
    <n v="5180"/>
    <n v="5100"/>
    <n v="0"/>
    <n v="80"/>
    <n v="0"/>
  </r>
  <r>
    <s v="53"/>
    <x v="0"/>
    <x v="0"/>
    <s v="ZA01A003"/>
    <x v="48"/>
    <s v="A101"/>
    <s v="FORTALECIMIENTO INSTITUCIONAL"/>
    <s v="GC00A10100001D"/>
    <s v="GC00A10100001D GASTOS ADMINISTRATIVOS"/>
    <s v="53 BIENES Y SERVICIOS DE CONSUMO"/>
    <s v="530502 Edificios, Locales y Residencias, Parque"/>
    <s v="G/530502/1AA101"/>
    <s v="002"/>
    <n v="320"/>
    <n v="0"/>
    <n v="0"/>
    <n v="320"/>
    <n v="0"/>
    <n v="0"/>
    <n v="0"/>
    <n v="320"/>
    <n v="320"/>
    <n v="320"/>
  </r>
  <r>
    <s v="53"/>
    <x v="0"/>
    <x v="0"/>
    <s v="ZA01A008"/>
    <x v="51"/>
    <s v="A101"/>
    <s v="FORTALECIMIENTO INSTITUCIONAL"/>
    <s v="GC00A10100001D"/>
    <s v="GC00A10100001D GASTOS ADMINISTRATIVOS"/>
    <s v="53 BIENES Y SERVICIOS DE CONSUMO"/>
    <s v="530502 Edificios, Locales y Residencias, Parque"/>
    <s v="G/530502/1AA101"/>
    <s v="002"/>
    <n v="157000"/>
    <n v="0"/>
    <n v="0"/>
    <n v="157000"/>
    <n v="0"/>
    <n v="46500"/>
    <n v="35816.54"/>
    <n v="110500"/>
    <n v="121183.46"/>
    <n v="110500"/>
  </r>
  <r>
    <s v="53"/>
    <x v="2"/>
    <x v="11"/>
    <s v="TM68F100"/>
    <x v="34"/>
    <s v="A101"/>
    <s v="FORTALECIMIENTO INSTITUCIONAL"/>
    <s v="GC00A10100001D"/>
    <s v="GC00A10100001D GASTOS ADMINISTRATIVOS"/>
    <s v="53 BIENES Y SERVICIOS DE CONSUMO"/>
    <s v="530502 Edificios, Locales y Residencias, Parque"/>
    <s v="G/530502/1FA101"/>
    <s v="001"/>
    <n v="80000"/>
    <n v="0"/>
    <n v="0"/>
    <n v="80000"/>
    <n v="0"/>
    <n v="71000"/>
    <n v="65000"/>
    <n v="9000"/>
    <n v="15000"/>
    <n v="9000"/>
  </r>
  <r>
    <s v="53"/>
    <x v="2"/>
    <x v="11"/>
    <s v="ZT06F060"/>
    <x v="25"/>
    <s v="A101"/>
    <s v="FORTALECIMIENTO INSTITUCIONAL"/>
    <s v="GC00A10100001D"/>
    <s v="GC00A10100001D GASTOS ADMINISTRATIVOS"/>
    <s v="53 BIENES Y SERVICIOS DE CONSUMO"/>
    <s v="530502 Edificios, Locales y Residencias, Parque"/>
    <s v="G/530502/1FA101"/>
    <s v="001"/>
    <n v="47000"/>
    <n v="5801.26"/>
    <n v="0"/>
    <n v="52801.26"/>
    <n v="0"/>
    <n v="51386.74"/>
    <n v="42880.88"/>
    <n v="1414.52"/>
    <n v="9920.3799999999992"/>
    <n v="1414.52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502 Edificios, Locales y Residencias, Parque"/>
    <s v="G/530502/1BA101"/>
    <s v="002"/>
    <n v="160000"/>
    <n v="81291.98"/>
    <n v="0"/>
    <n v="241291.98"/>
    <n v="11065.62"/>
    <n v="229642.67"/>
    <n v="160858.6"/>
    <n v="11649.31"/>
    <n v="80433.38"/>
    <n v="583.69000000000005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502 Edificios, Locales y Residencias, Parque"/>
    <s v="G/530502/1AA101"/>
    <s v="002"/>
    <n v="250000"/>
    <n v="99440"/>
    <n v="0"/>
    <n v="349440"/>
    <n v="0"/>
    <n v="349440"/>
    <n v="291200"/>
    <n v="0"/>
    <n v="58240"/>
    <n v="0"/>
  </r>
  <r>
    <s v="53"/>
    <x v="0"/>
    <x v="0"/>
    <s v="ZA01A009"/>
    <x v="0"/>
    <s v="A101"/>
    <s v="FORTALECIMIENTO INSTITUCIONAL"/>
    <s v="GC00A10100001D"/>
    <s v="GC00A10100001D GASTOS ADMINISTRATIVOS"/>
    <s v="53 BIENES Y SERVICIOS DE CONSUMO"/>
    <s v="530503 Mobiliario (Arrendamiento)"/>
    <s v="G/530503/1AA101"/>
    <s v="002"/>
    <n v="20000"/>
    <n v="-11666.83"/>
    <n v="0"/>
    <n v="8333.17"/>
    <n v="0"/>
    <n v="0"/>
    <n v="0"/>
    <n v="8333.17"/>
    <n v="8333.17"/>
    <n v="8333.17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504 Maquinarias y Equipos (Arrendamientos)"/>
    <s v="G/530504/1AA101"/>
    <s v="002"/>
    <n v="76802"/>
    <n v="0"/>
    <n v="0"/>
    <n v="76802"/>
    <n v="0"/>
    <n v="57138.44"/>
    <n v="6844.06"/>
    <n v="19663.560000000001"/>
    <n v="69957.94"/>
    <n v="19663.560000000001"/>
  </r>
  <r>
    <s v="53"/>
    <x v="2"/>
    <x v="11"/>
    <s v="TM68F100"/>
    <x v="34"/>
    <s v="A101"/>
    <s v="FORTALECIMIENTO INSTITUCIONAL"/>
    <s v="GC00A10100001D"/>
    <s v="GC00A10100001D GASTOS ADMINISTRATIVOS"/>
    <s v="53 BIENES Y SERVICIOS DE CONSUMO"/>
    <s v="530505 Vehículos (Arrendamiento)"/>
    <s v="G/530505/1FA101"/>
    <s v="001"/>
    <n v="6800"/>
    <n v="-1051.07"/>
    <n v="0"/>
    <n v="5748.93"/>
    <n v="0"/>
    <n v="0"/>
    <n v="0"/>
    <n v="5748.93"/>
    <n v="5748.93"/>
    <n v="5748.93"/>
  </r>
  <r>
    <s v="53"/>
    <x v="1"/>
    <x v="3"/>
    <s v="UN31M010"/>
    <x v="11"/>
    <s v="A101"/>
    <s v="FORTALECIMIENTO INSTITUCIONAL"/>
    <s v="GC00A10100001D"/>
    <s v="GC00A10100001D GASTOS ADMINISTRATIVOS"/>
    <s v="53 BIENES Y SERVICIOS DE CONSUMO"/>
    <s v="530505 Vehículos (Arrendamiento)"/>
    <s v="G/530505/1MA101"/>
    <s v="001"/>
    <n v="100"/>
    <n v="0"/>
    <n v="0"/>
    <n v="100"/>
    <n v="0"/>
    <n v="0"/>
    <n v="0"/>
    <n v="100"/>
    <n v="100"/>
    <n v="100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505 Vehículos (Arrendamiento)"/>
    <s v="G/530505/1FA101"/>
    <s v="001"/>
    <n v="76000"/>
    <n v="0"/>
    <n v="0"/>
    <n v="76000"/>
    <n v="0"/>
    <n v="9416.34"/>
    <n v="9416.34"/>
    <n v="66583.66"/>
    <n v="66583.66"/>
    <n v="66583.66"/>
  </r>
  <r>
    <s v="53"/>
    <x v="2"/>
    <x v="11"/>
    <s v="ZQ08F080"/>
    <x v="39"/>
    <s v="A101"/>
    <s v="FORTALECIMIENTO INSTITUCIONAL"/>
    <s v="GC00A10100001D"/>
    <s v="GC00A10100001D GASTOS ADMINISTRATIVOS"/>
    <s v="53 BIENES Y SERVICIOS DE CONSUMO"/>
    <s v="530505 Vehículos (Arrendamiento)"/>
    <s v="G/530505/1FA101"/>
    <s v="001"/>
    <n v="87500"/>
    <n v="-38874.11"/>
    <n v="0"/>
    <n v="48625.89"/>
    <n v="0"/>
    <n v="2556.6999999999998"/>
    <n v="2556.6999999999998"/>
    <n v="46069.19"/>
    <n v="46069.19"/>
    <n v="46069.19"/>
  </r>
  <r>
    <s v="53"/>
    <x v="2"/>
    <x v="11"/>
    <s v="ZC09F090"/>
    <x v="44"/>
    <s v="A101"/>
    <s v="FORTALECIMIENTO INSTITUCIONAL"/>
    <s v="GC00A10100001D"/>
    <s v="GC00A10100001D GASTOS ADMINISTRATIVOS"/>
    <s v="53 BIENES Y SERVICIOS DE CONSUMO"/>
    <s v="530505 Vehículos (Arrendamiento)"/>
    <s v="G/530505/1FA101"/>
    <s v="001"/>
    <n v="66000"/>
    <n v="-7600"/>
    <n v="0"/>
    <n v="58400"/>
    <n v="0"/>
    <n v="0"/>
    <n v="0"/>
    <n v="58400"/>
    <n v="58400"/>
    <n v="5840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505 Vehículos (Arrendamiento)"/>
    <s v="G/530505/1AA101"/>
    <s v="002"/>
    <n v="0"/>
    <n v="1314.29"/>
    <n v="0"/>
    <n v="1314.29"/>
    <n v="0"/>
    <n v="1314.29"/>
    <n v="1314.29"/>
    <n v="0"/>
    <n v="0"/>
    <n v="0"/>
  </r>
  <r>
    <s v="53"/>
    <x v="2"/>
    <x v="10"/>
    <s v="ZA01D000"/>
    <x v="24"/>
    <s v="A101"/>
    <s v="FORTALECIMIENTO INSTITUCIONAL"/>
    <s v="GC00A10100001D"/>
    <s v="GC00A10100001D GASTOS ADMINISTRATIVOS"/>
    <s v="53 BIENES Y SERVICIOS DE CONSUMO"/>
    <s v="530505 Vehículos (Arrendamiento)"/>
    <s v="G/530505/1DA101"/>
    <s v="001"/>
    <n v="0"/>
    <n v="1595.05"/>
    <n v="0"/>
    <n v="1595.05"/>
    <n v="0"/>
    <n v="1595.05"/>
    <n v="1595.05"/>
    <n v="0"/>
    <n v="0"/>
    <n v="0"/>
  </r>
  <r>
    <s v="53"/>
    <x v="2"/>
    <x v="11"/>
    <s v="ZD07F070"/>
    <x v="43"/>
    <s v="A101"/>
    <s v="FORTALECIMIENTO INSTITUCIONAL"/>
    <s v="GC00A10100001D"/>
    <s v="GC00A10100001D GASTOS ADMINISTRATIVOS"/>
    <s v="53 BIENES Y SERVICIOS DE CONSUMO"/>
    <s v="530505 Vehículos (Arrendamiento)"/>
    <s v="G/530505/1FA101"/>
    <s v="001"/>
    <n v="94000"/>
    <n v="-12000"/>
    <n v="0"/>
    <n v="82000"/>
    <n v="5915.42"/>
    <n v="75421.88"/>
    <n v="51760.1"/>
    <n v="6578.12"/>
    <n v="30239.9"/>
    <n v="662.7"/>
  </r>
  <r>
    <s v="53"/>
    <x v="2"/>
    <x v="11"/>
    <s v="ZT06F060"/>
    <x v="25"/>
    <s v="A101"/>
    <s v="FORTALECIMIENTO INSTITUCIONAL"/>
    <s v="GC00A10100001D"/>
    <s v="GC00A10100001D GASTOS ADMINISTRATIVOS"/>
    <s v="53 BIENES Y SERVICIOS DE CONSUMO"/>
    <s v="530505 Vehículos (Arrendamiento)"/>
    <s v="G/530505/1FA101"/>
    <s v="001"/>
    <n v="113000"/>
    <n v="-18836.599999999999"/>
    <n v="0"/>
    <n v="94163.4"/>
    <n v="0"/>
    <n v="60277.77"/>
    <n v="0"/>
    <n v="33885.629999999997"/>
    <n v="94163.4"/>
    <n v="33885.629999999997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505 Vehículos (Arrendamiento)"/>
    <s v="G/530505/1BA101"/>
    <s v="002"/>
    <n v="400000"/>
    <n v="-253185.02"/>
    <n v="0"/>
    <n v="146814.98000000001"/>
    <n v="0"/>
    <n v="146112.53"/>
    <n v="146112.51"/>
    <n v="702.45"/>
    <n v="702.47"/>
    <n v="702.45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601 Consultoría, Asesoría e Investigación Es"/>
    <s v="G/530601/1AA101"/>
    <s v="002"/>
    <n v="0"/>
    <n v="4513.26"/>
    <n v="0"/>
    <n v="4513.26"/>
    <n v="0"/>
    <n v="4480"/>
    <n v="0"/>
    <n v="33.26"/>
    <n v="4513.26"/>
    <n v="33.26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602 Servicio de Auditoría"/>
    <s v="G/530602/1AA101"/>
    <s v="002"/>
    <n v="0"/>
    <n v="3920"/>
    <n v="0"/>
    <n v="3920"/>
    <n v="0"/>
    <n v="3920"/>
    <n v="3920"/>
    <n v="0"/>
    <n v="0"/>
    <n v="0"/>
  </r>
  <r>
    <s v="53"/>
    <x v="2"/>
    <x v="10"/>
    <s v="ZA01D000"/>
    <x v="24"/>
    <s v="A101"/>
    <s v="FORTALECIMIENTO INSTITUCIONAL"/>
    <s v="GC00A10100001D"/>
    <s v="GC00A10100001D GASTOS ADMINISTRATIVOS"/>
    <s v="53 BIENES Y SERVICIOS DE CONSUMO"/>
    <s v="530602 Servicio de Auditoría"/>
    <s v="G/530602/1DA101"/>
    <s v="001"/>
    <n v="0"/>
    <n v="1344"/>
    <n v="0"/>
    <n v="1344"/>
    <n v="0"/>
    <n v="0"/>
    <n v="0"/>
    <n v="1344"/>
    <n v="1344"/>
    <n v="1344"/>
  </r>
  <r>
    <s v="53"/>
    <x v="0"/>
    <x v="0"/>
    <s v="ZA01A003"/>
    <x v="48"/>
    <s v="A101"/>
    <s v="FORTALECIMIENTO INSTITUCIONAL"/>
    <s v="GC00A10100001D"/>
    <s v="GC00A10100001D GASTOS ADMINISTRATIVOS"/>
    <s v="53 BIENES Y SERVICIOS DE CONSUMO"/>
    <s v="530602 Servicio de Auditoría"/>
    <s v="G/530602/1AA101"/>
    <s v="002"/>
    <n v="650000"/>
    <n v="-896"/>
    <n v="0"/>
    <n v="649104"/>
    <n v="0"/>
    <n v="0"/>
    <n v="0"/>
    <n v="649104"/>
    <n v="649104"/>
    <n v="649104"/>
  </r>
  <r>
    <s v="53"/>
    <x v="0"/>
    <x v="0"/>
    <s v="ZA01A002"/>
    <x v="4"/>
    <s v="A101"/>
    <s v="FORTALECIMIENTO INSTITUCIONAL"/>
    <s v="GC00A10100001D"/>
    <s v="GC00A10100001D GASTOS ADMINISTRATIVOS"/>
    <s v="53 BIENES Y SERVICIOS DE CONSUMO"/>
    <s v="530606 Honorarios por Contratos Civiles de Servici"/>
    <s v="G/530606/1AA101"/>
    <s v="002"/>
    <n v="12000"/>
    <n v="0"/>
    <n v="0"/>
    <n v="12000"/>
    <n v="0"/>
    <n v="0"/>
    <n v="0"/>
    <n v="12000"/>
    <n v="12000"/>
    <n v="12000"/>
  </r>
  <r>
    <s v="53"/>
    <x v="2"/>
    <x v="10"/>
    <s v="ZA01D000"/>
    <x v="24"/>
    <s v="A101"/>
    <s v="FORTALECIMIENTO INSTITUCIONAL"/>
    <s v="GC00A10100001D"/>
    <s v="GC00A10100001D GASTOS ADMINISTRATIVOS"/>
    <s v="53 BIENES Y SERVICIOS DE CONSUMO"/>
    <s v="530609 Investigaciones Profesionales y Análisis"/>
    <s v="G/530609/1DA101"/>
    <s v="001"/>
    <n v="0"/>
    <n v="3396"/>
    <n v="0"/>
    <n v="3396"/>
    <n v="0"/>
    <n v="3000"/>
    <n v="0"/>
    <n v="396"/>
    <n v="3396"/>
    <n v="396"/>
  </r>
  <r>
    <s v="53"/>
    <x v="0"/>
    <x v="0"/>
    <s v="ZA01A002"/>
    <x v="4"/>
    <s v="A101"/>
    <s v="FORTALECIMIENTO INSTITUCIONAL"/>
    <s v="GC00A10100001D"/>
    <s v="GC00A10100001D GASTOS ADMINISTRATIVOS"/>
    <s v="53 BIENES Y SERVICIOS DE CONSUMO"/>
    <s v="530612 Capacitación a Servidores Publicos"/>
    <s v="G/530612/1AA101"/>
    <s v="002"/>
    <n v="15000"/>
    <n v="0"/>
    <n v="0"/>
    <n v="15000"/>
    <n v="0"/>
    <n v="0"/>
    <n v="0"/>
    <n v="15000"/>
    <n v="15000"/>
    <n v="15000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0701 Desarrollo, Actualización, Asistencia Técni"/>
    <s v="G/530701/1IA101"/>
    <s v="001"/>
    <n v="0"/>
    <n v="2300"/>
    <n v="0"/>
    <n v="2300"/>
    <n v="0"/>
    <n v="0"/>
    <n v="0"/>
    <n v="2300"/>
    <n v="2300"/>
    <n v="2300"/>
  </r>
  <r>
    <s v="53"/>
    <x v="2"/>
    <x v="11"/>
    <s v="ZV05F050"/>
    <x v="37"/>
    <s v="A101"/>
    <s v="FORTALECIMIENTO INSTITUCIONAL"/>
    <s v="GC00A10100001D"/>
    <s v="GC00A10100001D GASTOS ADMINISTRATIVOS"/>
    <s v="53 BIENES Y SERVICIOS DE CONSUMO"/>
    <s v="530701 Desarrollo, Actualización, Asistencia Técni"/>
    <s v="G/530701/1FA101"/>
    <s v="001"/>
    <n v="0"/>
    <n v="18000"/>
    <n v="0"/>
    <n v="18000"/>
    <n v="0"/>
    <n v="78.400000000000006"/>
    <n v="78.400000000000006"/>
    <n v="17921.599999999999"/>
    <n v="17921.599999999999"/>
    <n v="17921.599999999999"/>
  </r>
  <r>
    <s v="53"/>
    <x v="2"/>
    <x v="11"/>
    <s v="ZM04F040"/>
    <x v="41"/>
    <s v="A101"/>
    <s v="FORTALECIMIENTO INSTITUCIONAL"/>
    <s v="GC00A10100001D"/>
    <s v="GC00A10100001D GASTOS ADMINISTRATIVOS"/>
    <s v="53 BIENES Y SERVICIOS DE CONSUMO"/>
    <s v="530702 Arrendamiento y Licencias de Uso de Paquete"/>
    <s v="G/530702/1FA101"/>
    <s v="001"/>
    <n v="0"/>
    <n v="7951.64"/>
    <n v="0"/>
    <n v="7951.64"/>
    <n v="0"/>
    <n v="0"/>
    <n v="0"/>
    <n v="7951.64"/>
    <n v="7951.64"/>
    <n v="7951.64"/>
  </r>
  <r>
    <s v="53"/>
    <x v="0"/>
    <x v="0"/>
    <s v="ZA01A003"/>
    <x v="48"/>
    <s v="A101"/>
    <s v="FORTALECIMIENTO INSTITUCIONAL"/>
    <s v="GC00A10100001D"/>
    <s v="GC00A10100001D GASTOS ADMINISTRATIVOS"/>
    <s v="53 BIENES Y SERVICIOS DE CONSUMO"/>
    <s v="530702 Arrendamiento y Licencias de Uso de Paquete"/>
    <s v="G/530702/1AA101"/>
    <s v="002"/>
    <n v="0"/>
    <n v="1321.6"/>
    <n v="0"/>
    <n v="1321.6"/>
    <n v="0"/>
    <n v="0"/>
    <n v="0"/>
    <n v="1321.6"/>
    <n v="1321.6"/>
    <n v="1321.6"/>
  </r>
  <r>
    <s v="53"/>
    <x v="2"/>
    <x v="11"/>
    <s v="ZS03F030"/>
    <x v="38"/>
    <s v="A101"/>
    <s v="FORTALECIMIENTO INSTITUCIONAL"/>
    <s v="GC00A10100001D"/>
    <s v="GC00A10100001D GASTOS ADMINISTRATIVOS"/>
    <s v="53 BIENES Y SERVICIOS DE CONSUMO"/>
    <s v="530702 Arrendamiento y Licencias de Uso de Paquete"/>
    <s v="G/530702/1FA101"/>
    <s v="001"/>
    <n v="0"/>
    <n v="7095.2"/>
    <n v="0"/>
    <n v="7095.2"/>
    <n v="0"/>
    <n v="0"/>
    <n v="0"/>
    <n v="7095.2"/>
    <n v="7095.2"/>
    <n v="7095.2"/>
  </r>
  <r>
    <s v="53"/>
    <x v="0"/>
    <x v="0"/>
    <s v="ZA01A002"/>
    <x v="4"/>
    <s v="A101"/>
    <s v="FORTALECIMIENTO INSTITUCIONAL"/>
    <s v="GC00A10100001D"/>
    <s v="GC00A10100001D GASTOS ADMINISTRATIVOS"/>
    <s v="53 BIENES Y SERVICIOS DE CONSUMO"/>
    <s v="530702 Arrendamiento y Licencias de Uso de Paquete"/>
    <s v="G/530702/1AA101"/>
    <s v="002"/>
    <n v="160000"/>
    <n v="0"/>
    <n v="0"/>
    <n v="160000"/>
    <n v="0"/>
    <n v="0"/>
    <n v="0"/>
    <n v="160000"/>
    <n v="160000"/>
    <n v="160000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702 Arrendamiento y Licencias de Uso de Paquete"/>
    <s v="G/530702/1AA101"/>
    <s v="002"/>
    <n v="0"/>
    <n v="64.989999999999995"/>
    <n v="0"/>
    <n v="64.989999999999995"/>
    <n v="0"/>
    <n v="0"/>
    <n v="0"/>
    <n v="64.989999999999995"/>
    <n v="64.989999999999995"/>
    <n v="64.989999999999995"/>
  </r>
  <r>
    <s v="53"/>
    <x v="2"/>
    <x v="11"/>
    <s v="ZQ08F080"/>
    <x v="39"/>
    <s v="A101"/>
    <s v="FORTALECIMIENTO INSTITUCIONAL"/>
    <s v="GC00A10100001D"/>
    <s v="GC00A10100001D GASTOS ADMINISTRATIVOS"/>
    <s v="53 BIENES Y SERVICIOS DE CONSUMO"/>
    <s v="530704 Mantenimiento y Reparación de Equipos y Sis"/>
    <s v="G/530704/1FA101"/>
    <s v="001"/>
    <n v="7000"/>
    <n v="0"/>
    <n v="0"/>
    <n v="7000"/>
    <n v="5501.74"/>
    <n v="1064.44"/>
    <n v="0"/>
    <n v="5935.56"/>
    <n v="7000"/>
    <n v="433.82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704 Mantenimiento y Reparación de Equipos y Sis"/>
    <s v="G/530704/1AA101"/>
    <s v="002"/>
    <n v="0"/>
    <n v="10463.469999999999"/>
    <n v="0"/>
    <n v="10463.469999999999"/>
    <n v="0"/>
    <n v="8940.44"/>
    <n v="7081.15"/>
    <n v="1523.03"/>
    <n v="3382.32"/>
    <n v="1523.03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704 Mantenimiento y Reparación de Equipos y Sis"/>
    <s v="G/530704/1PA101"/>
    <s v="001"/>
    <n v="7250"/>
    <n v="-150.32"/>
    <n v="0"/>
    <n v="7099.68"/>
    <n v="0"/>
    <n v="7099.68"/>
    <n v="0"/>
    <n v="0"/>
    <n v="7099.68"/>
    <n v="0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0704 Mantenimiento y Reparación de Equipos y Sis"/>
    <s v="G/530704/1IA101"/>
    <s v="001"/>
    <n v="4000"/>
    <n v="0"/>
    <n v="0"/>
    <n v="4000"/>
    <n v="0"/>
    <n v="0"/>
    <n v="0"/>
    <n v="4000"/>
    <n v="4000"/>
    <n v="4000"/>
  </r>
  <r>
    <s v="53"/>
    <x v="2"/>
    <x v="11"/>
    <s v="ZD07F070"/>
    <x v="43"/>
    <s v="A101"/>
    <s v="FORTALECIMIENTO INSTITUCIONAL"/>
    <s v="GC00A10100001D"/>
    <s v="GC00A10100001D GASTOS ADMINISTRATIVOS"/>
    <s v="53 BIENES Y SERVICIOS DE CONSUMO"/>
    <s v="530704 Mantenimiento y Reparación de Equipos y Sis"/>
    <s v="G/530704/1FA101"/>
    <s v="001"/>
    <n v="0"/>
    <n v="5500"/>
    <n v="0"/>
    <n v="5500"/>
    <n v="0"/>
    <n v="67.2"/>
    <n v="67.2"/>
    <n v="5432.8"/>
    <n v="5432.8"/>
    <n v="5432.8"/>
  </r>
  <r>
    <s v="53"/>
    <x v="0"/>
    <x v="0"/>
    <s v="ZA01A004"/>
    <x v="52"/>
    <s v="A101"/>
    <s v="FORTALECIMIENTO INSTITUCIONAL"/>
    <s v="GC00A10100001D"/>
    <s v="GC00A10100001D GASTOS ADMINISTRATIVOS"/>
    <s v="53 BIENES Y SERVICIOS DE CONSUMO"/>
    <s v="530704 Mantenimiento y Reparación de Equipos y Sis"/>
    <s v="G/530704/1AA101"/>
    <s v="002"/>
    <n v="1000"/>
    <n v="0"/>
    <n v="0"/>
    <n v="1000"/>
    <n v="0"/>
    <n v="0"/>
    <n v="0"/>
    <n v="1000"/>
    <n v="1000"/>
    <n v="1000"/>
  </r>
  <r>
    <s v="53"/>
    <x v="2"/>
    <x v="11"/>
    <s v="ZC09F090"/>
    <x v="44"/>
    <s v="A101"/>
    <s v="FORTALECIMIENTO INSTITUCIONAL"/>
    <s v="GC00A10100001D"/>
    <s v="GC00A10100001D GASTOS ADMINISTRATIVOS"/>
    <s v="53 BIENES Y SERVICIOS DE CONSUMO"/>
    <s v="530704 Mantenimiento y Reparación de Equipos y Sis"/>
    <s v="G/530704/1FA101"/>
    <s v="001"/>
    <n v="7000"/>
    <n v="-2500"/>
    <n v="0"/>
    <n v="4500"/>
    <n v="0"/>
    <n v="0"/>
    <n v="0"/>
    <n v="4500"/>
    <n v="4500"/>
    <n v="4500"/>
  </r>
  <r>
    <s v="53"/>
    <x v="2"/>
    <x v="8"/>
    <s v="ZA01P000"/>
    <x v="15"/>
    <s v="A101"/>
    <s v="FORTALECIMIENTO INSTITUCIONAL"/>
    <s v="GC00A10100001D"/>
    <s v="GC00A10100001D GASTOS ADMINISTRATIVOS"/>
    <s v="53 BIENES Y SERVICIOS DE CONSUMO"/>
    <s v="530704 Mantenimiento y Reparación de Equipos y Sis"/>
    <s v="G/530704/1PA101"/>
    <s v="001"/>
    <n v="500"/>
    <n v="0"/>
    <n v="0"/>
    <n v="500"/>
    <n v="180"/>
    <n v="0"/>
    <n v="0"/>
    <n v="500"/>
    <n v="500"/>
    <n v="320"/>
  </r>
  <r>
    <s v="53"/>
    <x v="1"/>
    <x v="2"/>
    <s v="ES12I020"/>
    <x v="16"/>
    <s v="A101"/>
    <s v="FORTALECIMIENTO INSTITUCIONAL"/>
    <s v="GC00A10100001D"/>
    <s v="GC00A10100001D GASTOS ADMINISTRATIVOS"/>
    <s v="53 BIENES Y SERVICIOS DE CONSUMO"/>
    <s v="530704 Mantenimiento y Reparación de Equipos y Sis"/>
    <s v="G/530704/1IA101"/>
    <s v="001"/>
    <n v="3000"/>
    <n v="0"/>
    <n v="0"/>
    <n v="3000"/>
    <n v="0"/>
    <n v="672"/>
    <n v="672"/>
    <n v="2328"/>
    <n v="2328"/>
    <n v="2328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704 Mantenimiento y Reparación de Equipos y Sis"/>
    <s v="G/530704/1AA101"/>
    <s v="002"/>
    <n v="1000"/>
    <n v="0"/>
    <n v="0"/>
    <n v="1000"/>
    <n v="0"/>
    <n v="1000"/>
    <n v="0"/>
    <n v="0"/>
    <n v="1000"/>
    <n v="0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0704 Mantenimiento y Reparación de Equipos y Sis"/>
    <s v="G/530704/1MA101"/>
    <s v="001"/>
    <n v="8000"/>
    <n v="-5751.43"/>
    <n v="0"/>
    <n v="2248.5700000000002"/>
    <n v="0"/>
    <n v="2248.5700000000002"/>
    <n v="2019.97"/>
    <n v="0"/>
    <n v="228.6"/>
    <n v="0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0704 Mantenimiento y Reparación de Equipos y Sis"/>
    <s v="G/530704/1IA101"/>
    <s v="001"/>
    <n v="3000"/>
    <n v="4000"/>
    <n v="0"/>
    <n v="7000"/>
    <n v="0"/>
    <n v="0"/>
    <n v="0"/>
    <n v="7000"/>
    <n v="7000"/>
    <n v="7000"/>
  </r>
  <r>
    <s v="53"/>
    <x v="1"/>
    <x v="2"/>
    <s v="JM40I070"/>
    <x v="12"/>
    <s v="A101"/>
    <s v="FORTALECIMIENTO INSTITUCIONAL"/>
    <s v="GC00A10100001D"/>
    <s v="GC00A10100001D GASTOS ADMINISTRATIVOS"/>
    <s v="53 BIENES Y SERVICIOS DE CONSUMO"/>
    <s v="530704 Mantenimiento y Reparación de Equipos y Sis"/>
    <s v="G/530704/1IA101"/>
    <s v="001"/>
    <n v="1200"/>
    <n v="0"/>
    <n v="0"/>
    <n v="1200"/>
    <n v="0"/>
    <n v="0"/>
    <n v="0"/>
    <n v="1200"/>
    <n v="1200"/>
    <n v="1200"/>
  </r>
  <r>
    <s v="53"/>
    <x v="2"/>
    <x v="10"/>
    <s v="ZA01D000"/>
    <x v="24"/>
    <s v="A101"/>
    <s v="FORTALECIMIENTO INSTITUCIONAL"/>
    <s v="GC00A10100001D"/>
    <s v="GC00A10100001D GASTOS ADMINISTRATIVOS"/>
    <s v="53 BIENES Y SERVICIOS DE CONSUMO"/>
    <s v="530704 Mantenimiento y Reparación de Equipos y Sis"/>
    <s v="G/530704/1DA101"/>
    <s v="001"/>
    <n v="0"/>
    <n v="5000"/>
    <n v="0"/>
    <n v="5000"/>
    <n v="0"/>
    <n v="0"/>
    <n v="0"/>
    <n v="5000"/>
    <n v="5000"/>
    <n v="5000"/>
  </r>
  <r>
    <s v="53"/>
    <x v="2"/>
    <x v="11"/>
    <s v="ZV05F050"/>
    <x v="37"/>
    <s v="A101"/>
    <s v="FORTALECIMIENTO INSTITUCIONAL"/>
    <s v="GC00A10100001D"/>
    <s v="GC00A10100001D GASTOS ADMINISTRATIVOS"/>
    <s v="53 BIENES Y SERVICIOS DE CONSUMO"/>
    <s v="530704 Mantenimiento y Reparación de Equipos y Sis"/>
    <s v="G/530704/1FA101"/>
    <s v="001"/>
    <n v="1000"/>
    <n v="5000"/>
    <n v="0"/>
    <n v="6000"/>
    <n v="0"/>
    <n v="0"/>
    <n v="0"/>
    <n v="6000"/>
    <n v="6000"/>
    <n v="6000"/>
  </r>
  <r>
    <s v="53"/>
    <x v="2"/>
    <x v="11"/>
    <s v="ZM04F040"/>
    <x v="41"/>
    <s v="A101"/>
    <s v="FORTALECIMIENTO INSTITUCIONAL"/>
    <s v="GC00A10100001D"/>
    <s v="GC00A10100001D GASTOS ADMINISTRATIVOS"/>
    <s v="53 BIENES Y SERVICIOS DE CONSUMO"/>
    <s v="530704 Mantenimiento y Reparación de Equipos y Sis"/>
    <s v="G/530704/1FA101"/>
    <s v="001"/>
    <n v="0"/>
    <n v="5000"/>
    <n v="0"/>
    <n v="5000"/>
    <n v="0"/>
    <n v="0"/>
    <n v="0"/>
    <n v="5000"/>
    <n v="5000"/>
    <n v="5000"/>
  </r>
  <r>
    <s v="53"/>
    <x v="2"/>
    <x v="11"/>
    <s v="TM68F100"/>
    <x v="34"/>
    <s v="A101"/>
    <s v="FORTALECIMIENTO INSTITUCIONAL"/>
    <s v="GC00A10100001D"/>
    <s v="GC00A10100001D GASTOS ADMINISTRATIVOS"/>
    <s v="53 BIENES Y SERVICIOS DE CONSUMO"/>
    <s v="530704 Mantenimiento y Reparación de Equipos y Sis"/>
    <s v="G/530704/1FA101"/>
    <s v="001"/>
    <n v="700"/>
    <n v="0"/>
    <n v="0"/>
    <n v="700"/>
    <n v="0"/>
    <n v="0"/>
    <n v="0"/>
    <n v="700"/>
    <n v="700"/>
    <n v="700"/>
  </r>
  <r>
    <s v="53"/>
    <x v="3"/>
    <x v="15"/>
    <s v="AC67Q000"/>
    <x v="32"/>
    <s v="A101"/>
    <s v="FORTALECIMIENTO INSTITUCIONAL"/>
    <s v="GC00A10100001D"/>
    <s v="GC00A10100001D GASTOS ADMINISTRATIVOS"/>
    <s v="53 BIENES Y SERVICIOS DE CONSUMO"/>
    <s v="530704 Mantenimiento y Reparación de Equipos y Sis"/>
    <s v="G/530704/1QA101"/>
    <s v="001"/>
    <n v="8500"/>
    <n v="0"/>
    <n v="0"/>
    <n v="8500"/>
    <n v="341.6"/>
    <n v="44.8"/>
    <n v="44.8"/>
    <n v="8455.2000000000007"/>
    <n v="8455.2000000000007"/>
    <n v="8113.6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704 Mantenimiento y Reparación de Equipos y Sis"/>
    <s v="G/530704/1BA101"/>
    <s v="002"/>
    <n v="10000"/>
    <n v="-2000"/>
    <n v="0"/>
    <n v="8000"/>
    <n v="2451.31"/>
    <n v="0"/>
    <n v="0"/>
    <n v="8000"/>
    <n v="8000"/>
    <n v="5548.69"/>
  </r>
  <r>
    <s v="53"/>
    <x v="1"/>
    <x v="2"/>
    <s v="CF22I050"/>
    <x v="22"/>
    <s v="A101"/>
    <s v="FORTALECIMIENTO INSTITUCIONAL"/>
    <s v="GC00A10100001D"/>
    <s v="GC00A10100001D GASTOS ADMINISTRATIVOS"/>
    <s v="53 BIENES Y SERVICIOS DE CONSUMO"/>
    <s v="530704 Mantenimiento y Reparación de Equipos y Sis"/>
    <s v="G/530704/1IA101"/>
    <s v="001"/>
    <n v="3000"/>
    <n v="0"/>
    <n v="0"/>
    <n v="3000"/>
    <n v="3000"/>
    <n v="0"/>
    <n v="0"/>
    <n v="3000"/>
    <n v="3000"/>
    <n v="0"/>
  </r>
  <r>
    <s v="53"/>
    <x v="2"/>
    <x v="11"/>
    <s v="ZT06F060"/>
    <x v="25"/>
    <s v="A101"/>
    <s v="FORTALECIMIENTO INSTITUCIONAL"/>
    <s v="GC00A10100001D"/>
    <s v="GC00A10100001D GASTOS ADMINISTRATIVOS"/>
    <s v="53 BIENES Y SERVICIOS DE CONSUMO"/>
    <s v="530704 Mantenimiento y Reparación de Equipos y Sis"/>
    <s v="G/530704/1FA101"/>
    <s v="001"/>
    <n v="3000"/>
    <n v="2700"/>
    <n v="0"/>
    <n v="5700"/>
    <n v="0"/>
    <n v="0"/>
    <n v="0"/>
    <n v="5700"/>
    <n v="5700"/>
    <n v="5700"/>
  </r>
  <r>
    <s v="53"/>
    <x v="2"/>
    <x v="11"/>
    <s v="ZS03F030"/>
    <x v="38"/>
    <s v="A101"/>
    <s v="FORTALECIMIENTO INSTITUCIONAL"/>
    <s v="GC00A10100001D"/>
    <s v="GC00A10100001D GASTOS ADMINISTRATIVOS"/>
    <s v="53 BIENES Y SERVICIOS DE CONSUMO"/>
    <s v="530704 Mantenimiento y Reparación de Equipos y Sis"/>
    <s v="G/530704/1FA101"/>
    <s v="001"/>
    <n v="15000"/>
    <n v="0"/>
    <n v="0"/>
    <n v="15000"/>
    <n v="15000"/>
    <n v="0"/>
    <n v="0"/>
    <n v="15000"/>
    <n v="15000"/>
    <n v="0"/>
  </r>
  <r>
    <s v="53"/>
    <x v="0"/>
    <x v="0"/>
    <s v="ZA01A002"/>
    <x v="4"/>
    <s v="A101"/>
    <s v="FORTALECIMIENTO INSTITUCIONAL"/>
    <s v="GC00A10100001D"/>
    <s v="GC00A10100001D GASTOS ADMINISTRATIVOS"/>
    <s v="53 BIENES Y SERVICIOS DE CONSUMO"/>
    <s v="530704 Mantenimiento y Reparación de Equipos y Sis"/>
    <s v="G/530704/1AA101"/>
    <s v="002"/>
    <n v="25000"/>
    <n v="0"/>
    <n v="0"/>
    <n v="25000"/>
    <n v="0"/>
    <n v="0"/>
    <n v="0"/>
    <n v="25000"/>
    <n v="25000"/>
    <n v="25000"/>
  </r>
  <r>
    <s v="53"/>
    <x v="1"/>
    <x v="2"/>
    <s v="OL41I060"/>
    <x v="42"/>
    <s v="A101"/>
    <s v="FORTALECIMIENTO INSTITUCIONAL"/>
    <s v="GC00A10100001D"/>
    <s v="GC00A10100001D GASTOS ADMINISTRATIVOS"/>
    <s v="53 BIENES Y SERVICIOS DE CONSUMO"/>
    <s v="530704 Mantenimiento y Reparación de Equipos y Sis"/>
    <s v="G/530704/1IA101"/>
    <s v="001"/>
    <n v="3000"/>
    <n v="0"/>
    <n v="0"/>
    <n v="3000"/>
    <n v="0"/>
    <n v="0"/>
    <n v="0"/>
    <n v="3000"/>
    <n v="3000"/>
    <n v="3000"/>
  </r>
  <r>
    <s v="53"/>
    <x v="2"/>
    <x v="5"/>
    <s v="PM71N010"/>
    <x v="27"/>
    <s v="A101"/>
    <s v="FORTALECIMIENTO INSTITUCIONAL"/>
    <s v="GC00A10100001D"/>
    <s v="GC00A10100001D GASTOS ADMINISTRATIVOS"/>
    <s v="53 BIENES Y SERVICIOS DE CONSUMO"/>
    <s v="530801 Alimentos y Bebidas"/>
    <s v="G/530801/1NA101"/>
    <s v="001"/>
    <n v="200"/>
    <n v="0"/>
    <n v="0"/>
    <n v="200"/>
    <n v="0"/>
    <n v="200"/>
    <n v="131.31"/>
    <n v="0"/>
    <n v="68.69"/>
    <n v="0"/>
  </r>
  <r>
    <s v="53"/>
    <x v="0"/>
    <x v="1"/>
    <s v="ZA01C002"/>
    <x v="46"/>
    <s v="A101"/>
    <s v="FORTALECIMIENTO INSTITUCIONAL"/>
    <s v="GC00A10100001D"/>
    <s v="GC00A10100001D GASTOS ADMINISTRATIVOS"/>
    <s v="53 BIENES Y SERVICIOS DE CONSUMO"/>
    <s v="530801 Alimentos y Bebidas"/>
    <s v="G/530801/1CA101"/>
    <s v="002"/>
    <n v="14400"/>
    <n v="0"/>
    <n v="0"/>
    <n v="14400"/>
    <n v="0"/>
    <n v="0"/>
    <n v="0"/>
    <n v="14400"/>
    <n v="14400"/>
    <n v="14400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801 Alimentos y Bebidas"/>
    <s v="G/530801/1FA101"/>
    <s v="001"/>
    <n v="20"/>
    <n v="0"/>
    <n v="0"/>
    <n v="20"/>
    <n v="0"/>
    <n v="0"/>
    <n v="0"/>
    <n v="20"/>
    <n v="20"/>
    <n v="20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801 Alimentos y Bebidas"/>
    <s v="G/530801/1BA101"/>
    <s v="002"/>
    <n v="200"/>
    <n v="1843"/>
    <n v="0"/>
    <n v="2043"/>
    <n v="0"/>
    <n v="316.51"/>
    <n v="316.51"/>
    <n v="1726.49"/>
    <n v="1726.49"/>
    <n v="1726.49"/>
  </r>
  <r>
    <s v="53"/>
    <x v="2"/>
    <x v="11"/>
    <s v="ZV05F050"/>
    <x v="37"/>
    <s v="A101"/>
    <s v="FORTALECIMIENTO INSTITUCIONAL"/>
    <s v="GC00A10100001D"/>
    <s v="GC00A10100001D GASTOS ADMINISTRATIVOS"/>
    <s v="53 BIENES Y SERVICIOS DE CONSUMO"/>
    <s v="530801 Alimentos y Bebidas"/>
    <s v="G/530801/1FA101"/>
    <s v="001"/>
    <n v="0"/>
    <n v="120"/>
    <n v="0"/>
    <n v="120"/>
    <n v="0"/>
    <n v="0"/>
    <n v="0"/>
    <n v="120"/>
    <n v="120"/>
    <n v="120"/>
  </r>
  <r>
    <s v="53"/>
    <x v="0"/>
    <x v="0"/>
    <s v="ZA01A000"/>
    <x v="1"/>
    <s v="A101"/>
    <s v="FORTALECIMIENTO INSTITUCIONAL"/>
    <s v="GC00A10100001D"/>
    <s v="GC00A10100001D GASTOS ADMINISTRATIVOS"/>
    <s v="53 BIENES Y SERVICIOS DE CONSUMO"/>
    <s v="530801 Alimentos y Bebidas"/>
    <s v="G/530801/1AA101"/>
    <s v="002"/>
    <n v="6000"/>
    <n v="0"/>
    <n v="0"/>
    <n v="6000"/>
    <n v="0"/>
    <n v="0"/>
    <n v="0"/>
    <n v="6000"/>
    <n v="6000"/>
    <n v="6000"/>
  </r>
  <r>
    <s v="53"/>
    <x v="2"/>
    <x v="11"/>
    <s v="ZS03F030"/>
    <x v="38"/>
    <s v="A101"/>
    <s v="FORTALECIMIENTO INSTITUCIONAL"/>
    <s v="GC00A10100001D"/>
    <s v="GC00A10100001D GASTOS ADMINISTRATIVOS"/>
    <s v="53 BIENES Y SERVICIOS DE CONSUMO"/>
    <s v="530801 Alimentos y Bebidas"/>
    <s v="G/530801/1FA101"/>
    <s v="001"/>
    <n v="3000"/>
    <n v="0"/>
    <n v="0"/>
    <n v="3000"/>
    <n v="2000"/>
    <n v="0"/>
    <n v="0"/>
    <n v="3000"/>
    <n v="3000"/>
    <n v="1000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0801 Alimentos y Bebidas"/>
    <s v="G/530801/1IA101"/>
    <s v="001"/>
    <n v="500"/>
    <n v="0"/>
    <n v="0"/>
    <n v="500"/>
    <n v="0"/>
    <n v="0"/>
    <n v="0"/>
    <n v="500"/>
    <n v="500"/>
    <n v="500"/>
  </r>
  <r>
    <s v="53"/>
    <x v="2"/>
    <x v="6"/>
    <s v="AT69K040"/>
    <x v="13"/>
    <s v="A101"/>
    <s v="FORTALECIMIENTO INSTITUCIONAL"/>
    <s v="GC00A10100001D"/>
    <s v="GC00A10100001D GASTOS ADMINISTRATIVOS"/>
    <s v="53 BIENES Y SERVICIOS DE CONSUMO"/>
    <s v="530801 Alimentos y Bebidas"/>
    <s v="G/530801/1KA101"/>
    <s v="001"/>
    <n v="0"/>
    <n v="600"/>
    <n v="0"/>
    <n v="600"/>
    <n v="0"/>
    <n v="600"/>
    <n v="217.44"/>
    <n v="0"/>
    <n v="382.56"/>
    <n v="0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801 Alimentos y Bebidas"/>
    <s v="G/530801/1AA101"/>
    <s v="002"/>
    <n v="3600"/>
    <n v="-140.96"/>
    <n v="0"/>
    <n v="3459.04"/>
    <n v="0"/>
    <n v="738.49"/>
    <n v="19.45"/>
    <n v="2720.55"/>
    <n v="3439.59"/>
    <n v="2720.55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801 Alimentos y Bebidas"/>
    <s v="G/530801/1PA101"/>
    <s v="001"/>
    <n v="50"/>
    <n v="-50"/>
    <n v="0"/>
    <n v="0"/>
    <n v="0"/>
    <n v="0"/>
    <n v="0"/>
    <n v="0"/>
    <n v="0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801 Alimentos y Bebidas"/>
    <s v="G/530801/1AA101"/>
    <s v="002"/>
    <n v="6400"/>
    <n v="0"/>
    <n v="0"/>
    <n v="6400"/>
    <n v="0"/>
    <n v="2000"/>
    <n v="208.8"/>
    <n v="4400"/>
    <n v="6191.2"/>
    <n v="4400"/>
  </r>
  <r>
    <s v="53"/>
    <x v="3"/>
    <x v="15"/>
    <s v="AC67Q000"/>
    <x v="32"/>
    <s v="A101"/>
    <s v="FORTALECIMIENTO INSTITUCIONAL"/>
    <s v="GC00A10100001D"/>
    <s v="GC00A10100001D GASTOS ADMINISTRATIVOS"/>
    <s v="53 BIENES Y SERVICIOS DE CONSUMO"/>
    <s v="530801 Alimentos y Bebidas"/>
    <s v="G/530801/1QA101"/>
    <s v="001"/>
    <n v="0"/>
    <n v="200"/>
    <n v="0"/>
    <n v="200"/>
    <n v="0"/>
    <n v="0"/>
    <n v="0"/>
    <n v="200"/>
    <n v="200"/>
    <n v="200"/>
  </r>
  <r>
    <s v="53"/>
    <x v="2"/>
    <x v="11"/>
    <s v="ZD07F070"/>
    <x v="43"/>
    <s v="A101"/>
    <s v="FORTALECIMIENTO INSTITUCIONAL"/>
    <s v="GC00A10100001D"/>
    <s v="GC00A10100001D GASTOS ADMINISTRATIVOS"/>
    <s v="53 BIENES Y SERVICIOS DE CONSUMO"/>
    <s v="530802 Vestuario, Lencería, Prendas de Protecc"/>
    <s v="G/530802/1FA101"/>
    <s v="001"/>
    <n v="0"/>
    <n v="200"/>
    <n v="0"/>
    <n v="200"/>
    <n v="0"/>
    <n v="0"/>
    <n v="0"/>
    <n v="200"/>
    <n v="200"/>
    <n v="200"/>
  </r>
  <r>
    <s v="53"/>
    <x v="0"/>
    <x v="0"/>
    <s v="ZA01A002"/>
    <x v="4"/>
    <s v="A101"/>
    <s v="FORTALECIMIENTO INSTITUCIONAL"/>
    <s v="GC00A10100001D"/>
    <s v="GC00A10100001D GASTOS ADMINISTRATIVOS"/>
    <s v="53 BIENES Y SERVICIOS DE CONSUMO"/>
    <s v="530802 Vestuario, Lencería, Prendas de Protecc"/>
    <s v="G/530802/1AA101"/>
    <s v="002"/>
    <n v="955000"/>
    <n v="-247000"/>
    <n v="0"/>
    <n v="708000"/>
    <n v="76198.759999999995"/>
    <n v="59723.35"/>
    <n v="59723.35"/>
    <n v="648276.65"/>
    <n v="648276.65"/>
    <n v="572077.89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802 Vestuario, Lencería, Prendas de Protecc"/>
    <s v="G/530802/1AA101"/>
    <s v="002"/>
    <n v="0"/>
    <n v="20493.04"/>
    <n v="0"/>
    <n v="20493.04"/>
    <n v="3528"/>
    <n v="16965.04"/>
    <n v="16965.04"/>
    <n v="3528"/>
    <n v="3528"/>
    <n v="0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802 Vestuario, Lencería, Prendas de Protecc"/>
    <s v="G/530802/1PA101"/>
    <s v="001"/>
    <n v="100"/>
    <n v="-75"/>
    <n v="0"/>
    <n v="25"/>
    <n v="0"/>
    <n v="17.64"/>
    <n v="17.64"/>
    <n v="7.36"/>
    <n v="7.36"/>
    <n v="7.36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802 Vestuario, Lencería, Prendas de Protecc"/>
    <s v="G/530802/1BA101"/>
    <s v="002"/>
    <n v="20000"/>
    <n v="22173.54"/>
    <n v="0"/>
    <n v="42173.54"/>
    <n v="623.73"/>
    <n v="10074.780000000001"/>
    <n v="8013.98"/>
    <n v="32098.76"/>
    <n v="34159.56"/>
    <n v="31475.03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0802 Vestuario, Lencería, Prendas de Protecc"/>
    <s v="G/530802/1IA101"/>
    <s v="001"/>
    <n v="0"/>
    <n v="1500"/>
    <n v="0"/>
    <n v="1500"/>
    <n v="0"/>
    <n v="0"/>
    <n v="0"/>
    <n v="1500"/>
    <n v="1500"/>
    <n v="1500"/>
  </r>
  <r>
    <s v="53"/>
    <x v="2"/>
    <x v="11"/>
    <s v="ZM04F040"/>
    <x v="41"/>
    <s v="A101"/>
    <s v="FORTALECIMIENTO INSTITUCIONAL"/>
    <s v="GC00A10100001D"/>
    <s v="GC00A10100001D GASTOS ADMINISTRATIVOS"/>
    <s v="53 BIENES Y SERVICIOS DE CONSUMO"/>
    <s v="530803 Combustibles y Lubricantes"/>
    <s v="G/530803/1FA101"/>
    <s v="001"/>
    <n v="10000"/>
    <n v="-1000"/>
    <n v="0"/>
    <n v="9000"/>
    <n v="0"/>
    <n v="5000"/>
    <n v="4280.22"/>
    <n v="4000"/>
    <n v="4719.78"/>
    <n v="4000"/>
  </r>
  <r>
    <s v="53"/>
    <x v="2"/>
    <x v="11"/>
    <s v="ZC09F090"/>
    <x v="44"/>
    <s v="A101"/>
    <s v="FORTALECIMIENTO INSTITUCIONAL"/>
    <s v="GC00A10100001D"/>
    <s v="GC00A10100001D GASTOS ADMINISTRATIVOS"/>
    <s v="53 BIENES Y SERVICIOS DE CONSUMO"/>
    <s v="530803 Combustibles y Lubricantes"/>
    <s v="G/530803/1FA101"/>
    <s v="001"/>
    <n v="5000"/>
    <n v="0"/>
    <n v="0"/>
    <n v="5000"/>
    <n v="0"/>
    <n v="0"/>
    <n v="0"/>
    <n v="5000"/>
    <n v="5000"/>
    <n v="5000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803 Combustibles y Lubricantes"/>
    <s v="G/530803/1BA101"/>
    <s v="002"/>
    <n v="8000"/>
    <n v="15500"/>
    <n v="0"/>
    <n v="23500"/>
    <n v="0"/>
    <n v="16463.009999999998"/>
    <n v="10333.18"/>
    <n v="7036.99"/>
    <n v="13166.82"/>
    <n v="7036.99"/>
  </r>
  <r>
    <s v="53"/>
    <x v="2"/>
    <x v="11"/>
    <s v="ZT06F060"/>
    <x v="25"/>
    <s v="A101"/>
    <s v="FORTALECIMIENTO INSTITUCIONAL"/>
    <s v="GC00A10100001D"/>
    <s v="GC00A10100001D GASTOS ADMINISTRATIVOS"/>
    <s v="53 BIENES Y SERVICIOS DE CONSUMO"/>
    <s v="530803 Combustibles y Lubricantes"/>
    <s v="G/530803/1FA101"/>
    <s v="001"/>
    <n v="8400"/>
    <n v="0"/>
    <n v="0"/>
    <n v="8400"/>
    <n v="4200"/>
    <n v="4200"/>
    <n v="2987.48"/>
    <n v="4200"/>
    <n v="5412.52"/>
    <n v="0"/>
  </r>
  <r>
    <s v="53"/>
    <x v="2"/>
    <x v="11"/>
    <s v="TM68F100"/>
    <x v="34"/>
    <s v="A101"/>
    <s v="FORTALECIMIENTO INSTITUCIONAL"/>
    <s v="GC00A10100001D"/>
    <s v="GC00A10100001D GASTOS ADMINISTRATIVOS"/>
    <s v="53 BIENES Y SERVICIOS DE CONSUMO"/>
    <s v="530803 Combustibles y Lubricantes"/>
    <s v="G/530803/1FA101"/>
    <s v="001"/>
    <n v="1000"/>
    <n v="0"/>
    <n v="0"/>
    <n v="1000"/>
    <n v="0"/>
    <n v="1000"/>
    <n v="877.5"/>
    <n v="0"/>
    <n v="122.5"/>
    <n v="0"/>
  </r>
  <r>
    <s v="53"/>
    <x v="1"/>
    <x v="3"/>
    <s v="UC32M020"/>
    <x v="7"/>
    <s v="A101"/>
    <s v="FORTALECIMIENTO INSTITUCIONAL"/>
    <s v="GC00A10100001D"/>
    <s v="GC00A10100001D GASTOS ADMINISTRATIVOS"/>
    <s v="53 BIENES Y SERVICIOS DE CONSUMO"/>
    <s v="530803 Combustibles y Lubricantes"/>
    <s v="G/530803/1MA101"/>
    <s v="001"/>
    <n v="4000"/>
    <n v="0"/>
    <n v="0"/>
    <n v="4000"/>
    <n v="0"/>
    <n v="4000"/>
    <n v="2259"/>
    <n v="0"/>
    <n v="1741"/>
    <n v="0"/>
  </r>
  <r>
    <s v="53"/>
    <x v="1"/>
    <x v="2"/>
    <s v="EE11I010"/>
    <x v="21"/>
    <s v="A101"/>
    <s v="FORTALECIMIENTO INSTITUCIONAL"/>
    <s v="GC00A10100001D"/>
    <s v="GC00A10100001D GASTOS ADMINISTRATIVOS"/>
    <s v="53 BIENES Y SERVICIOS DE CONSUMO"/>
    <s v="530803 Combustibles y Lubricantes"/>
    <s v="G/530803/1IA101"/>
    <s v="001"/>
    <n v="400"/>
    <n v="0"/>
    <n v="0"/>
    <n v="400"/>
    <n v="0"/>
    <n v="0"/>
    <n v="0"/>
    <n v="400"/>
    <n v="400"/>
    <n v="400"/>
  </r>
  <r>
    <s v="53"/>
    <x v="1"/>
    <x v="2"/>
    <s v="ES12I020"/>
    <x v="16"/>
    <s v="A101"/>
    <s v="FORTALECIMIENTO INSTITUCIONAL"/>
    <s v="GC00A10100001D"/>
    <s v="GC00A10100001D GASTOS ADMINISTRATIVOS"/>
    <s v="53 BIENES Y SERVICIOS DE CONSUMO"/>
    <s v="530803 Combustibles y Lubricantes"/>
    <s v="G/530803/1IA101"/>
    <s v="001"/>
    <n v="500"/>
    <n v="0"/>
    <n v="0"/>
    <n v="500"/>
    <n v="0"/>
    <n v="0"/>
    <n v="0"/>
    <n v="500"/>
    <n v="500"/>
    <n v="500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0803 Combustibles y Lubricantes"/>
    <s v="G/530803/1IA101"/>
    <s v="001"/>
    <n v="1000"/>
    <n v="-1000"/>
    <n v="0"/>
    <n v="0"/>
    <n v="0"/>
    <n v="0"/>
    <n v="0"/>
    <n v="0"/>
    <n v="0"/>
    <n v="0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803 Combustibles y Lubricantes"/>
    <s v="G/530803/1AA101"/>
    <s v="002"/>
    <n v="1700"/>
    <n v="-110"/>
    <n v="0"/>
    <n v="1590"/>
    <n v="0"/>
    <n v="1581.43"/>
    <n v="1081.43"/>
    <n v="8.57"/>
    <n v="508.57"/>
    <n v="8.57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803 Combustibles y Lubricantes"/>
    <s v="G/530803/1AA101"/>
    <s v="002"/>
    <n v="150000"/>
    <n v="0"/>
    <n v="0"/>
    <n v="150000"/>
    <n v="0"/>
    <n v="144659.98000000001"/>
    <n v="67096.570000000007"/>
    <n v="5340.02"/>
    <n v="82903.429999999993"/>
    <n v="5340.02"/>
  </r>
  <r>
    <s v="53"/>
    <x v="2"/>
    <x v="11"/>
    <s v="ZD07F070"/>
    <x v="43"/>
    <s v="A101"/>
    <s v="FORTALECIMIENTO INSTITUCIONAL"/>
    <s v="GC00A10100001D"/>
    <s v="GC00A10100001D GASTOS ADMINISTRATIVOS"/>
    <s v="53 BIENES Y SERVICIOS DE CONSUMO"/>
    <s v="530803 Combustibles y Lubricantes"/>
    <s v="G/530803/1FA101"/>
    <s v="001"/>
    <n v="4000"/>
    <n v="0"/>
    <n v="0"/>
    <n v="4000"/>
    <n v="0"/>
    <n v="417.9"/>
    <n v="292.85000000000002"/>
    <n v="3582.1"/>
    <n v="3707.15"/>
    <n v="3582.1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0803 Combustibles y Lubricantes"/>
    <s v="G/530803/1IA101"/>
    <s v="001"/>
    <n v="400"/>
    <n v="0"/>
    <n v="0"/>
    <n v="400"/>
    <n v="0"/>
    <n v="400"/>
    <n v="0"/>
    <n v="0"/>
    <n v="400"/>
    <n v="0"/>
  </r>
  <r>
    <s v="53"/>
    <x v="2"/>
    <x v="5"/>
    <s v="PM71N010"/>
    <x v="27"/>
    <s v="A101"/>
    <s v="FORTALECIMIENTO INSTITUCIONAL"/>
    <s v="GC00A10100001D"/>
    <s v="GC00A10100001D GASTOS ADMINISTRATIVOS"/>
    <s v="53 BIENES Y SERVICIOS DE CONSUMO"/>
    <s v="530803 Combustibles y Lubricantes"/>
    <s v="G/530803/1NA101"/>
    <s v="001"/>
    <n v="5000"/>
    <n v="10000"/>
    <n v="0"/>
    <n v="15000"/>
    <n v="0"/>
    <n v="5000"/>
    <n v="1234.53"/>
    <n v="10000"/>
    <n v="13765.47"/>
    <n v="10000"/>
  </r>
  <r>
    <s v="53"/>
    <x v="1"/>
    <x v="3"/>
    <s v="UN31M010"/>
    <x v="11"/>
    <s v="A101"/>
    <s v="FORTALECIMIENTO INSTITUCIONAL"/>
    <s v="GC00A10100001D"/>
    <s v="GC00A10100001D GASTOS ADMINISTRATIVOS"/>
    <s v="53 BIENES Y SERVICIOS DE CONSUMO"/>
    <s v="530803 Combustibles y Lubricantes"/>
    <s v="G/530803/1MA101"/>
    <s v="001"/>
    <n v="7000"/>
    <n v="500"/>
    <n v="0"/>
    <n v="7500"/>
    <n v="0.01"/>
    <n v="4652.72"/>
    <n v="2843.94"/>
    <n v="2847.28"/>
    <n v="4656.0600000000004"/>
    <n v="2847.27"/>
  </r>
  <r>
    <s v="53"/>
    <x v="3"/>
    <x v="15"/>
    <s v="AC67Q000"/>
    <x v="32"/>
    <s v="A101"/>
    <s v="FORTALECIMIENTO INSTITUCIONAL"/>
    <s v="GC00A10100001D"/>
    <s v="GC00A10100001D GASTOS ADMINISTRATIVOS"/>
    <s v="53 BIENES Y SERVICIOS DE CONSUMO"/>
    <s v="530803 Combustibles y Lubricantes"/>
    <s v="G/530803/1QA101"/>
    <s v="001"/>
    <n v="2000"/>
    <n v="5328"/>
    <n v="0"/>
    <n v="7328"/>
    <n v="0.06"/>
    <n v="7327.51"/>
    <n v="3641.89"/>
    <n v="0.49"/>
    <n v="3686.11"/>
    <n v="0.43"/>
  </r>
  <r>
    <s v="53"/>
    <x v="1"/>
    <x v="2"/>
    <s v="CF22I050"/>
    <x v="22"/>
    <s v="A101"/>
    <s v="FORTALECIMIENTO INSTITUCIONAL"/>
    <s v="GC00A10100001D"/>
    <s v="GC00A10100001D GASTOS ADMINISTRATIVOS"/>
    <s v="53 BIENES Y SERVICIOS DE CONSUMO"/>
    <s v="530803 Combustibles y Lubricantes"/>
    <s v="G/530803/1IA101"/>
    <s v="001"/>
    <n v="15000"/>
    <n v="0"/>
    <n v="0"/>
    <n v="15000"/>
    <n v="5400"/>
    <n v="9600"/>
    <n v="4728.8500000000004"/>
    <n v="5400"/>
    <n v="10271.15"/>
    <n v="0"/>
  </r>
  <r>
    <s v="53"/>
    <x v="2"/>
    <x v="11"/>
    <s v="ZS03F030"/>
    <x v="38"/>
    <s v="A101"/>
    <s v="FORTALECIMIENTO INSTITUCIONAL"/>
    <s v="GC00A10100001D"/>
    <s v="GC00A10100001D GASTOS ADMINISTRATIVOS"/>
    <s v="53 BIENES Y SERVICIOS DE CONSUMO"/>
    <s v="530803 Combustibles y Lubricantes"/>
    <s v="G/530803/1FA101"/>
    <s v="001"/>
    <n v="15000"/>
    <n v="0"/>
    <n v="0"/>
    <n v="15000"/>
    <n v="5188.88"/>
    <n v="3811.12"/>
    <n v="3430.49"/>
    <n v="11188.88"/>
    <n v="11569.51"/>
    <n v="6000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0803 Combustibles y Lubricantes"/>
    <s v="G/530803/1MA101"/>
    <s v="001"/>
    <n v="10000"/>
    <n v="-3800"/>
    <n v="0"/>
    <n v="6200"/>
    <n v="0"/>
    <n v="5199.6400000000003"/>
    <n v="4087.41"/>
    <n v="1000.36"/>
    <n v="2112.59"/>
    <n v="1000.36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803 Combustibles y Lubricantes"/>
    <s v="G/530803/1PA101"/>
    <s v="001"/>
    <n v="7000"/>
    <n v="971.7"/>
    <n v="0"/>
    <n v="7971.7"/>
    <n v="0"/>
    <n v="7961.79"/>
    <n v="4441.92"/>
    <n v="9.91"/>
    <n v="3529.78"/>
    <n v="9.91"/>
  </r>
  <r>
    <s v="53"/>
    <x v="2"/>
    <x v="11"/>
    <s v="ZQ08F080"/>
    <x v="39"/>
    <s v="A101"/>
    <s v="FORTALECIMIENTO INSTITUCIONAL"/>
    <s v="GC00A10100001D"/>
    <s v="GC00A10100001D GASTOS ADMINISTRATIVOS"/>
    <s v="53 BIENES Y SERVICIOS DE CONSUMO"/>
    <s v="530803 Combustibles y Lubricantes"/>
    <s v="G/530803/1FA101"/>
    <s v="001"/>
    <n v="15000"/>
    <n v="-1458.1"/>
    <n v="0"/>
    <n v="13541.9"/>
    <n v="0"/>
    <n v="13541.89"/>
    <n v="8283"/>
    <n v="0.01"/>
    <n v="5258.9"/>
    <n v="0.01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803 Combustibles y Lubricantes"/>
    <s v="G/530803/1FA101"/>
    <s v="001"/>
    <n v="16000"/>
    <n v="0"/>
    <n v="0"/>
    <n v="16000"/>
    <n v="0"/>
    <n v="7951.64"/>
    <n v="6760.98"/>
    <n v="8048.36"/>
    <n v="9239.02"/>
    <n v="8048.36"/>
  </r>
  <r>
    <s v="53"/>
    <x v="2"/>
    <x v="11"/>
    <s v="ZV05F050"/>
    <x v="37"/>
    <s v="A101"/>
    <s v="FORTALECIMIENTO INSTITUCIONAL"/>
    <s v="GC00A10100001D"/>
    <s v="GC00A10100001D GASTOS ADMINISTRATIVOS"/>
    <s v="53 BIENES Y SERVICIOS DE CONSUMO"/>
    <s v="530803 Combustibles y Lubricantes"/>
    <s v="G/530803/1FA101"/>
    <s v="001"/>
    <n v="16000"/>
    <n v="-320"/>
    <n v="0"/>
    <n v="15680"/>
    <n v="0"/>
    <n v="7840"/>
    <n v="3967.27"/>
    <n v="7840"/>
    <n v="11712.73"/>
    <n v="7840"/>
  </r>
  <r>
    <s v="53"/>
    <x v="1"/>
    <x v="2"/>
    <s v="SF43I080"/>
    <x v="35"/>
    <s v="A101"/>
    <s v="FORTALECIMIENTO INSTITUCIONAL"/>
    <s v="GC00A10100001D"/>
    <s v="GC00A10100001D GASTOS ADMINISTRATIVOS"/>
    <s v="53 BIENES Y SERVICIOS DE CONSUMO"/>
    <s v="530804 Materiales de Oficina"/>
    <s v="G/530804/1IA101"/>
    <s v="001"/>
    <n v="2000"/>
    <n v="0"/>
    <n v="0"/>
    <n v="2000"/>
    <n v="392.17"/>
    <n v="1202.98"/>
    <n v="1202.98"/>
    <n v="797.02"/>
    <n v="797.02"/>
    <n v="404.85"/>
  </r>
  <r>
    <s v="53"/>
    <x v="2"/>
    <x v="11"/>
    <s v="ZS03F030"/>
    <x v="38"/>
    <s v="A101"/>
    <s v="FORTALECIMIENTO INSTITUCIONAL"/>
    <s v="GC00A10100001D"/>
    <s v="GC00A10100001D GASTOS ADMINISTRATIVOS"/>
    <s v="53 BIENES Y SERVICIOS DE CONSUMO"/>
    <s v="530804 Materiales de Oficina"/>
    <s v="G/530804/1FA101"/>
    <s v="001"/>
    <n v="10000"/>
    <n v="0"/>
    <n v="0"/>
    <n v="10000"/>
    <n v="3595.46"/>
    <n v="6404.54"/>
    <n v="6404.54"/>
    <n v="3595.46"/>
    <n v="3595.46"/>
    <n v="0"/>
  </r>
  <r>
    <s v="53"/>
    <x v="2"/>
    <x v="11"/>
    <s v="ZD07F070"/>
    <x v="43"/>
    <s v="A101"/>
    <s v="FORTALECIMIENTO INSTITUCIONAL"/>
    <s v="GC00A10100001D"/>
    <s v="GC00A10100001D GASTOS ADMINISTRATIVOS"/>
    <s v="53 BIENES Y SERVICIOS DE CONSUMO"/>
    <s v="530804 Materiales de Oficina"/>
    <s v="G/530804/1FA101"/>
    <s v="001"/>
    <n v="2500"/>
    <n v="4000"/>
    <n v="0"/>
    <n v="6500"/>
    <n v="1487.7"/>
    <n v="3878.72"/>
    <n v="3878.72"/>
    <n v="2621.2800000000002"/>
    <n v="2621.2800000000002"/>
    <n v="1133.58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0804 Materiales de Oficina"/>
    <s v="G/530804/1IA101"/>
    <s v="001"/>
    <n v="500"/>
    <n v="500"/>
    <n v="0"/>
    <n v="1000"/>
    <n v="0"/>
    <n v="0"/>
    <n v="0"/>
    <n v="1000"/>
    <n v="1000"/>
    <n v="1000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804 Materiales de Oficina"/>
    <s v="G/530804/1FA101"/>
    <s v="001"/>
    <n v="6000"/>
    <n v="0"/>
    <n v="0"/>
    <n v="6000"/>
    <n v="283.32"/>
    <n v="3858.88"/>
    <n v="3546.18"/>
    <n v="2141.12"/>
    <n v="2453.8200000000002"/>
    <n v="1857.8"/>
  </r>
  <r>
    <s v="53"/>
    <x v="1"/>
    <x v="2"/>
    <s v="EE11I010"/>
    <x v="21"/>
    <s v="A101"/>
    <s v="FORTALECIMIENTO INSTITUCIONAL"/>
    <s v="GC00A10100001D"/>
    <s v="GC00A10100001D GASTOS ADMINISTRATIVOS"/>
    <s v="53 BIENES Y SERVICIOS DE CONSUMO"/>
    <s v="530804 Materiales de Oficina"/>
    <s v="G/530804/1IA101"/>
    <s v="001"/>
    <n v="2800"/>
    <n v="0"/>
    <n v="0"/>
    <n v="2800"/>
    <n v="962.71"/>
    <n v="1822.08"/>
    <n v="660.92"/>
    <n v="977.92"/>
    <n v="2139.08"/>
    <n v="15.21"/>
  </r>
  <r>
    <s v="53"/>
    <x v="3"/>
    <x v="15"/>
    <s v="AC67Q000"/>
    <x v="32"/>
    <s v="A101"/>
    <s v="FORTALECIMIENTO INSTITUCIONAL"/>
    <s v="GC00A10100001D"/>
    <s v="GC00A10100001D GASTOS ADMINISTRATIVOS"/>
    <s v="53 BIENES Y SERVICIOS DE CONSUMO"/>
    <s v="530804 Materiales de Oficina"/>
    <s v="G/530804/1QA101"/>
    <s v="001"/>
    <n v="1000"/>
    <n v="0"/>
    <n v="0"/>
    <n v="1000"/>
    <n v="0"/>
    <n v="0"/>
    <n v="0"/>
    <n v="1000"/>
    <n v="1000"/>
    <n v="1000"/>
  </r>
  <r>
    <s v="53"/>
    <x v="2"/>
    <x v="11"/>
    <s v="ZQ08F080"/>
    <x v="39"/>
    <s v="A101"/>
    <s v="FORTALECIMIENTO INSTITUCIONAL"/>
    <s v="GC00A10100001D"/>
    <s v="GC00A10100001D GASTOS ADMINISTRATIVOS"/>
    <s v="53 BIENES Y SERVICIOS DE CONSUMO"/>
    <s v="530804 Materiales de Oficina"/>
    <s v="G/530804/1FA101"/>
    <s v="001"/>
    <n v="2000"/>
    <n v="1910.1"/>
    <n v="0"/>
    <n v="3910.1"/>
    <n v="0"/>
    <n v="2213.0100000000002"/>
    <n v="2213.0100000000002"/>
    <n v="1697.09"/>
    <n v="1697.09"/>
    <n v="1697.09"/>
  </r>
  <r>
    <s v="53"/>
    <x v="2"/>
    <x v="5"/>
    <s v="PM71N010"/>
    <x v="27"/>
    <s v="A101"/>
    <s v="FORTALECIMIENTO INSTITUCIONAL"/>
    <s v="GC00A10100001D"/>
    <s v="GC00A10100001D GASTOS ADMINISTRATIVOS"/>
    <s v="53 BIENES Y SERVICIOS DE CONSUMO"/>
    <s v="530804 Materiales de Oficina"/>
    <s v="G/530804/1NA101"/>
    <s v="001"/>
    <n v="13000"/>
    <n v="7000"/>
    <n v="0"/>
    <n v="20000"/>
    <n v="0"/>
    <n v="7821.73"/>
    <n v="7687.89"/>
    <n v="12178.27"/>
    <n v="12312.11"/>
    <n v="12178.27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804 Materiales de Oficina"/>
    <s v="G/530804/1AA101"/>
    <s v="002"/>
    <n v="150000"/>
    <n v="0"/>
    <n v="0"/>
    <n v="150000"/>
    <n v="50509.24"/>
    <n v="6888"/>
    <n v="5423"/>
    <n v="143112"/>
    <n v="144577"/>
    <n v="92602.76"/>
  </r>
  <r>
    <s v="53"/>
    <x v="1"/>
    <x v="2"/>
    <s v="OL41I060"/>
    <x v="42"/>
    <s v="A101"/>
    <s v="FORTALECIMIENTO INSTITUCIONAL"/>
    <s v="GC00A10100001D"/>
    <s v="GC00A10100001D GASTOS ADMINISTRATIVOS"/>
    <s v="53 BIENES Y SERVICIOS DE CONSUMO"/>
    <s v="530804 Materiales de Oficina"/>
    <s v="G/530804/1IA101"/>
    <s v="001"/>
    <n v="3000"/>
    <n v="0"/>
    <n v="0"/>
    <n v="3000"/>
    <n v="0"/>
    <n v="0"/>
    <n v="0"/>
    <n v="3000"/>
    <n v="3000"/>
    <n v="3000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0804 Materiales de Oficina"/>
    <s v="G/530804/1MA101"/>
    <s v="001"/>
    <n v="10000"/>
    <n v="0"/>
    <n v="0"/>
    <n v="10000"/>
    <n v="8123.39"/>
    <n v="0"/>
    <n v="0"/>
    <n v="10000"/>
    <n v="10000"/>
    <n v="1876.61"/>
  </r>
  <r>
    <s v="53"/>
    <x v="1"/>
    <x v="2"/>
    <s v="ES12I020"/>
    <x v="16"/>
    <s v="A101"/>
    <s v="FORTALECIMIENTO INSTITUCIONAL"/>
    <s v="GC00A10100001D"/>
    <s v="GC00A10100001D GASTOS ADMINISTRATIVOS"/>
    <s v="53 BIENES Y SERVICIOS DE CONSUMO"/>
    <s v="530804 Materiales de Oficina"/>
    <s v="G/530804/1IA101"/>
    <s v="001"/>
    <n v="4000"/>
    <n v="0"/>
    <n v="0"/>
    <n v="4000"/>
    <n v="0"/>
    <n v="0"/>
    <n v="0"/>
    <n v="4000"/>
    <n v="4000"/>
    <n v="4000"/>
  </r>
  <r>
    <s v="53"/>
    <x v="2"/>
    <x v="11"/>
    <s v="ZT06F060"/>
    <x v="25"/>
    <s v="A101"/>
    <s v="FORTALECIMIENTO INSTITUCIONAL"/>
    <s v="GC00A10100001D"/>
    <s v="GC00A10100001D GASTOS ADMINISTRATIVOS"/>
    <s v="53 BIENES Y SERVICIOS DE CONSUMO"/>
    <s v="530804 Materiales de Oficina"/>
    <s v="G/530804/1FA101"/>
    <s v="001"/>
    <n v="2000"/>
    <n v="0"/>
    <n v="0"/>
    <n v="2000"/>
    <n v="0"/>
    <n v="0"/>
    <n v="0"/>
    <n v="2000"/>
    <n v="2000"/>
    <n v="2000"/>
  </r>
  <r>
    <s v="53"/>
    <x v="2"/>
    <x v="6"/>
    <s v="AT69K040"/>
    <x v="13"/>
    <s v="A101"/>
    <s v="FORTALECIMIENTO INSTITUCIONAL"/>
    <s v="GC00A10100001D"/>
    <s v="GC00A10100001D GASTOS ADMINISTRATIVOS"/>
    <s v="53 BIENES Y SERVICIOS DE CONSUMO"/>
    <s v="530804 Materiales de Oficina"/>
    <s v="G/530804/1KA101"/>
    <s v="001"/>
    <n v="0"/>
    <n v="536"/>
    <n v="0"/>
    <n v="536"/>
    <n v="0"/>
    <n v="200"/>
    <n v="100.52"/>
    <n v="336"/>
    <n v="435.48"/>
    <n v="336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0804 Materiales de Oficina"/>
    <s v="G/530804/1IA101"/>
    <s v="001"/>
    <n v="2000"/>
    <n v="0"/>
    <n v="0"/>
    <n v="2000"/>
    <n v="384.93"/>
    <n v="1615.07"/>
    <n v="1456.93"/>
    <n v="384.93"/>
    <n v="543.07000000000005"/>
    <n v="0"/>
  </r>
  <r>
    <s v="53"/>
    <x v="1"/>
    <x v="2"/>
    <s v="EQ13I030"/>
    <x v="20"/>
    <s v="A101"/>
    <s v="FORTALECIMIENTO INSTITUCIONAL"/>
    <s v="GC00A10100001D"/>
    <s v="GC00A10100001D GASTOS ADMINISTRATIVOS"/>
    <s v="53 BIENES Y SERVICIOS DE CONSUMO"/>
    <s v="530804 Materiales de Oficina"/>
    <s v="G/530804/1IA101"/>
    <s v="001"/>
    <n v="1000"/>
    <n v="-1000"/>
    <n v="0"/>
    <n v="0"/>
    <n v="0"/>
    <n v="0"/>
    <n v="0"/>
    <n v="0"/>
    <n v="0"/>
    <n v="0"/>
  </r>
  <r>
    <s v="53"/>
    <x v="1"/>
    <x v="2"/>
    <s v="JM40I070"/>
    <x v="12"/>
    <s v="A101"/>
    <s v="FORTALECIMIENTO INSTITUCIONAL"/>
    <s v="GC00A10100001D"/>
    <s v="GC00A10100001D GASTOS ADMINISTRATIVOS"/>
    <s v="53 BIENES Y SERVICIOS DE CONSUMO"/>
    <s v="530804 Materiales de Oficina"/>
    <s v="G/530804/1IA101"/>
    <s v="001"/>
    <n v="4000"/>
    <n v="0"/>
    <n v="0"/>
    <n v="4000"/>
    <n v="0"/>
    <n v="0"/>
    <n v="0"/>
    <n v="4000"/>
    <n v="4000"/>
    <n v="4000"/>
  </r>
  <r>
    <s v="53"/>
    <x v="2"/>
    <x v="11"/>
    <s v="ZV05F050"/>
    <x v="37"/>
    <s v="A101"/>
    <s v="FORTALECIMIENTO INSTITUCIONAL"/>
    <s v="GC00A10100001D"/>
    <s v="GC00A10100001D GASTOS ADMINISTRATIVOS"/>
    <s v="53 BIENES Y SERVICIOS DE CONSUMO"/>
    <s v="530804 Materiales de Oficina"/>
    <s v="G/530804/1FA101"/>
    <s v="001"/>
    <n v="20000"/>
    <n v="-11626.32"/>
    <n v="0"/>
    <n v="8373.68"/>
    <n v="0"/>
    <n v="0"/>
    <n v="0"/>
    <n v="8373.68"/>
    <n v="8373.68"/>
    <n v="8373.68"/>
  </r>
  <r>
    <s v="53"/>
    <x v="1"/>
    <x v="3"/>
    <s v="UN31M010"/>
    <x v="11"/>
    <s v="A101"/>
    <s v="FORTALECIMIENTO INSTITUCIONAL"/>
    <s v="GC00A10100001D"/>
    <s v="GC00A10100001D GASTOS ADMINISTRATIVOS"/>
    <s v="53 BIENES Y SERVICIOS DE CONSUMO"/>
    <s v="530804 Materiales de Oficina"/>
    <s v="G/530804/1MA101"/>
    <s v="001"/>
    <n v="6000"/>
    <n v="-1000"/>
    <n v="0"/>
    <n v="5000"/>
    <n v="366.36"/>
    <n v="830.64"/>
    <n v="830.64"/>
    <n v="4169.3599999999997"/>
    <n v="4169.3599999999997"/>
    <n v="3803"/>
  </r>
  <r>
    <s v="53"/>
    <x v="1"/>
    <x v="2"/>
    <s v="CF22I050"/>
    <x v="22"/>
    <s v="A101"/>
    <s v="FORTALECIMIENTO INSTITUCIONAL"/>
    <s v="GC00A10100001D"/>
    <s v="GC00A10100001D GASTOS ADMINISTRATIVOS"/>
    <s v="53 BIENES Y SERVICIOS DE CONSUMO"/>
    <s v="530804 Materiales de Oficina"/>
    <s v="G/530804/1IA101"/>
    <s v="001"/>
    <n v="3000"/>
    <n v="0"/>
    <n v="0"/>
    <n v="3000"/>
    <n v="1438.07"/>
    <n v="561.92999999999995"/>
    <n v="561.92999999999995"/>
    <n v="2438.0700000000002"/>
    <n v="2438.0700000000002"/>
    <n v="1000"/>
  </r>
  <r>
    <s v="53"/>
    <x v="2"/>
    <x v="11"/>
    <s v="ZM04F040"/>
    <x v="41"/>
    <s v="A101"/>
    <s v="FORTALECIMIENTO INSTITUCIONAL"/>
    <s v="GC00A10100001D"/>
    <s v="GC00A10100001D GASTOS ADMINISTRATIVOS"/>
    <s v="53 BIENES Y SERVICIOS DE CONSUMO"/>
    <s v="530804 Materiales de Oficina"/>
    <s v="G/530804/1FA101"/>
    <s v="001"/>
    <n v="1000"/>
    <n v="0"/>
    <n v="0"/>
    <n v="1000"/>
    <n v="0"/>
    <n v="0"/>
    <n v="0"/>
    <n v="1000"/>
    <n v="1000"/>
    <n v="1000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804 Materiales de Oficina"/>
    <s v="G/530804/1BA101"/>
    <s v="002"/>
    <n v="35000"/>
    <n v="-8017.31"/>
    <n v="0"/>
    <n v="26982.69"/>
    <n v="1571.86"/>
    <n v="5118.76"/>
    <n v="5068.76"/>
    <n v="21863.93"/>
    <n v="21913.93"/>
    <n v="20292.07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804 Materiales de Oficina"/>
    <s v="G/530804/1PA101"/>
    <s v="001"/>
    <n v="1000"/>
    <n v="-1000"/>
    <n v="0"/>
    <n v="0"/>
    <n v="0"/>
    <n v="0"/>
    <n v="0"/>
    <n v="0"/>
    <n v="0"/>
    <n v="0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804 Materiales de Oficina"/>
    <s v="G/530804/1AA101"/>
    <s v="002"/>
    <n v="8000"/>
    <n v="-6261.15"/>
    <n v="0"/>
    <n v="1738.85"/>
    <n v="0"/>
    <n v="38.85"/>
    <n v="38.85"/>
    <n v="1700"/>
    <n v="1700"/>
    <n v="1700"/>
  </r>
  <r>
    <s v="53"/>
    <x v="0"/>
    <x v="1"/>
    <s v="ZA01C002"/>
    <x v="46"/>
    <s v="A101"/>
    <s v="FORTALECIMIENTO INSTITUCIONAL"/>
    <s v="GC00A10100001D"/>
    <s v="GC00A10100001D GASTOS ADMINISTRATIVOS"/>
    <s v="53 BIENES Y SERVICIOS DE CONSUMO"/>
    <s v="530804 Materiales de Oficina"/>
    <s v="G/530804/1CA101"/>
    <s v="002"/>
    <n v="200"/>
    <n v="0"/>
    <n v="0"/>
    <n v="200"/>
    <n v="0"/>
    <n v="0"/>
    <n v="0"/>
    <n v="200"/>
    <n v="200"/>
    <n v="200"/>
  </r>
  <r>
    <s v="53"/>
    <x v="2"/>
    <x v="11"/>
    <s v="TM68F100"/>
    <x v="34"/>
    <s v="A101"/>
    <s v="FORTALECIMIENTO INSTITUCIONAL"/>
    <s v="GC00A10100001D"/>
    <s v="GC00A10100001D GASTOS ADMINISTRATIVOS"/>
    <s v="53 BIENES Y SERVICIOS DE CONSUMO"/>
    <s v="530804 Materiales de Oficina"/>
    <s v="G/530804/1FA101"/>
    <s v="001"/>
    <n v="800"/>
    <n v="0"/>
    <n v="0"/>
    <n v="800"/>
    <n v="247.42"/>
    <n v="552.58000000000004"/>
    <n v="552.58000000000004"/>
    <n v="247.42"/>
    <n v="247.42"/>
    <n v="0"/>
  </r>
  <r>
    <s v="53"/>
    <x v="2"/>
    <x v="11"/>
    <s v="ZC09F090"/>
    <x v="44"/>
    <s v="A101"/>
    <s v="FORTALECIMIENTO INSTITUCIONAL"/>
    <s v="GC00A10100001D"/>
    <s v="GC00A10100001D GASTOS ADMINISTRATIVOS"/>
    <s v="53 BIENES Y SERVICIOS DE CONSUMO"/>
    <s v="530804 Materiales de Oficina"/>
    <s v="G/530804/1FA101"/>
    <s v="001"/>
    <n v="3000"/>
    <n v="0"/>
    <n v="0"/>
    <n v="3000"/>
    <n v="0"/>
    <n v="0"/>
    <n v="0"/>
    <n v="3000"/>
    <n v="3000"/>
    <n v="3000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805 Materiales de Aseo"/>
    <s v="G/530805/1BA101"/>
    <s v="002"/>
    <n v="1500"/>
    <n v="3669.57"/>
    <n v="0"/>
    <n v="5169.57"/>
    <n v="0"/>
    <n v="3638.87"/>
    <n v="3588.87"/>
    <n v="1530.7"/>
    <n v="1580.7"/>
    <n v="1530.7"/>
  </r>
  <r>
    <s v="53"/>
    <x v="2"/>
    <x v="5"/>
    <s v="PM71N010"/>
    <x v="27"/>
    <s v="A101"/>
    <s v="FORTALECIMIENTO INSTITUCIONAL"/>
    <s v="GC00A10100001D"/>
    <s v="GC00A10100001D GASTOS ADMINISTRATIVOS"/>
    <s v="53 BIENES Y SERVICIOS DE CONSUMO"/>
    <s v="530805 Materiales de Aseo"/>
    <s v="G/530805/1NA101"/>
    <s v="001"/>
    <n v="3500"/>
    <n v="34780.5"/>
    <n v="0"/>
    <n v="38280.5"/>
    <n v="0"/>
    <n v="36630.839999999997"/>
    <n v="36630.839999999997"/>
    <n v="1649.66"/>
    <n v="1649.66"/>
    <n v="1649.66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805 Materiales de Aseo"/>
    <s v="G/530805/1FA101"/>
    <s v="001"/>
    <n v="600"/>
    <n v="0"/>
    <n v="0"/>
    <n v="600"/>
    <n v="50.98"/>
    <n v="383.2"/>
    <n v="371.87"/>
    <n v="216.8"/>
    <n v="228.13"/>
    <n v="165.82"/>
  </r>
  <r>
    <s v="53"/>
    <x v="2"/>
    <x v="11"/>
    <s v="ZT06F060"/>
    <x v="25"/>
    <s v="A101"/>
    <s v="FORTALECIMIENTO INSTITUCIONAL"/>
    <s v="GC00A10100001D"/>
    <s v="GC00A10100001D GASTOS ADMINISTRATIVOS"/>
    <s v="53 BIENES Y SERVICIOS DE CONSUMO"/>
    <s v="530805 Materiales de Aseo"/>
    <s v="G/530805/1FA101"/>
    <s v="001"/>
    <n v="1000"/>
    <n v="0"/>
    <n v="0"/>
    <n v="1000"/>
    <n v="1.2"/>
    <n v="268.8"/>
    <n v="0"/>
    <n v="731.2"/>
    <n v="1000"/>
    <n v="730"/>
  </r>
  <r>
    <s v="53"/>
    <x v="3"/>
    <x v="15"/>
    <s v="AC67Q000"/>
    <x v="32"/>
    <s v="A101"/>
    <s v="FORTALECIMIENTO INSTITUCIONAL"/>
    <s v="GC00A10100001D"/>
    <s v="GC00A10100001D GASTOS ADMINISTRATIVOS"/>
    <s v="53 BIENES Y SERVICIOS DE CONSUMO"/>
    <s v="530805 Materiales de Aseo"/>
    <s v="G/530805/1QA101"/>
    <s v="001"/>
    <n v="1000"/>
    <n v="6500"/>
    <n v="0"/>
    <n v="7500"/>
    <n v="1466.19"/>
    <n v="1722.11"/>
    <n v="1722.11"/>
    <n v="5777.89"/>
    <n v="5777.89"/>
    <n v="4311.7"/>
  </r>
  <r>
    <s v="53"/>
    <x v="2"/>
    <x v="11"/>
    <s v="ZV05F050"/>
    <x v="37"/>
    <s v="A101"/>
    <s v="FORTALECIMIENTO INSTITUCIONAL"/>
    <s v="GC00A10100001D"/>
    <s v="GC00A10100001D GASTOS ADMINISTRATIVOS"/>
    <s v="53 BIENES Y SERVICIOS DE CONSUMO"/>
    <s v="530805 Materiales de Aseo"/>
    <s v="G/530805/1FA101"/>
    <s v="001"/>
    <n v="13000"/>
    <n v="3136"/>
    <n v="0"/>
    <n v="16136"/>
    <n v="837.76"/>
    <n v="4167.62"/>
    <n v="4067.63"/>
    <n v="11968.38"/>
    <n v="12068.37"/>
    <n v="11130.62"/>
  </r>
  <r>
    <s v="53"/>
    <x v="2"/>
    <x v="11"/>
    <s v="ZM04F040"/>
    <x v="41"/>
    <s v="A101"/>
    <s v="FORTALECIMIENTO INSTITUCIONAL"/>
    <s v="GC00A10100001D"/>
    <s v="GC00A10100001D GASTOS ADMINISTRATIVOS"/>
    <s v="53 BIENES Y SERVICIOS DE CONSUMO"/>
    <s v="530805 Materiales de Aseo"/>
    <s v="G/530805/1FA101"/>
    <s v="001"/>
    <n v="1000"/>
    <n v="0"/>
    <n v="0"/>
    <n v="1000"/>
    <n v="0"/>
    <n v="0"/>
    <n v="0"/>
    <n v="1000"/>
    <n v="1000"/>
    <n v="1000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805 Materiales de Aseo"/>
    <s v="G/530805/1AA101"/>
    <s v="002"/>
    <n v="850"/>
    <n v="1523.07"/>
    <n v="0"/>
    <n v="2373.0700000000002"/>
    <n v="97.66"/>
    <n v="1988.38"/>
    <n v="1988.38"/>
    <n v="384.69"/>
    <n v="384.69"/>
    <n v="287.02999999999997"/>
  </r>
  <r>
    <s v="53"/>
    <x v="2"/>
    <x v="11"/>
    <s v="ZD07F070"/>
    <x v="43"/>
    <s v="A101"/>
    <s v="FORTALECIMIENTO INSTITUCIONAL"/>
    <s v="GC00A10100001D"/>
    <s v="GC00A10100001D GASTOS ADMINISTRATIVOS"/>
    <s v="53 BIENES Y SERVICIOS DE CONSUMO"/>
    <s v="530805 Materiales de Aseo"/>
    <s v="G/530805/1FA101"/>
    <s v="001"/>
    <n v="0"/>
    <n v="1000"/>
    <n v="0"/>
    <n v="1000"/>
    <n v="144.58000000000001"/>
    <n v="711.81"/>
    <n v="711.81"/>
    <n v="288.19"/>
    <n v="288.19"/>
    <n v="143.61000000000001"/>
  </r>
  <r>
    <s v="53"/>
    <x v="1"/>
    <x v="2"/>
    <s v="ES12I020"/>
    <x v="16"/>
    <s v="A101"/>
    <s v="FORTALECIMIENTO INSTITUCIONAL"/>
    <s v="GC00A10100001D"/>
    <s v="GC00A10100001D GASTOS ADMINISTRATIVOS"/>
    <s v="53 BIENES Y SERVICIOS DE CONSUMO"/>
    <s v="530805 Materiales de Aseo"/>
    <s v="G/530805/1IA101"/>
    <s v="001"/>
    <n v="1000"/>
    <n v="6000"/>
    <n v="0"/>
    <n v="7000"/>
    <n v="0"/>
    <n v="0"/>
    <n v="0"/>
    <n v="7000"/>
    <n v="7000"/>
    <n v="7000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0805 Materiales de Aseo"/>
    <s v="G/530805/1IA101"/>
    <s v="001"/>
    <n v="0"/>
    <n v="750"/>
    <n v="0"/>
    <n v="750"/>
    <n v="707.44"/>
    <n v="42.56"/>
    <n v="42.56"/>
    <n v="707.44"/>
    <n v="707.44"/>
    <n v="0"/>
  </r>
  <r>
    <s v="53"/>
    <x v="2"/>
    <x v="11"/>
    <s v="TM68F100"/>
    <x v="34"/>
    <s v="A101"/>
    <s v="FORTALECIMIENTO INSTITUCIONAL"/>
    <s v="GC00A10100001D"/>
    <s v="GC00A10100001D GASTOS ADMINISTRATIVOS"/>
    <s v="53 BIENES Y SERVICIOS DE CONSUMO"/>
    <s v="530805 Materiales de Aseo"/>
    <s v="G/530805/1FA101"/>
    <s v="001"/>
    <n v="400"/>
    <n v="0"/>
    <n v="0"/>
    <n v="400"/>
    <n v="202.03"/>
    <n v="197.97"/>
    <n v="197.97"/>
    <n v="202.03"/>
    <n v="202.03"/>
    <n v="0"/>
  </r>
  <r>
    <s v="53"/>
    <x v="1"/>
    <x v="2"/>
    <s v="CF22I050"/>
    <x v="22"/>
    <s v="A101"/>
    <s v="FORTALECIMIENTO INSTITUCIONAL"/>
    <s v="GC00A10100001D"/>
    <s v="GC00A10100001D GASTOS ADMINISTRATIVOS"/>
    <s v="53 BIENES Y SERVICIOS DE CONSUMO"/>
    <s v="530805 Materiales de Aseo"/>
    <s v="G/530805/1IA101"/>
    <s v="001"/>
    <n v="300"/>
    <n v="0"/>
    <n v="0"/>
    <n v="300"/>
    <n v="200"/>
    <n v="0"/>
    <n v="0"/>
    <n v="300"/>
    <n v="300"/>
    <n v="100"/>
  </r>
  <r>
    <s v="53"/>
    <x v="2"/>
    <x v="11"/>
    <s v="ZC09F090"/>
    <x v="44"/>
    <s v="A101"/>
    <s v="FORTALECIMIENTO INSTITUCIONAL"/>
    <s v="GC00A10100001D"/>
    <s v="GC00A10100001D GASTOS ADMINISTRATIVOS"/>
    <s v="53 BIENES Y SERVICIOS DE CONSUMO"/>
    <s v="530805 Materiales de Aseo"/>
    <s v="G/530805/1FA101"/>
    <s v="001"/>
    <n v="0"/>
    <n v="2500"/>
    <n v="0"/>
    <n v="2500"/>
    <n v="0"/>
    <n v="1279.3800000000001"/>
    <n v="1279.3800000000001"/>
    <n v="1220.6199999999999"/>
    <n v="1220.6199999999999"/>
    <n v="1220.6199999999999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805 Materiales de Aseo"/>
    <s v="G/530805/1PA101"/>
    <s v="001"/>
    <n v="200"/>
    <n v="-200"/>
    <n v="0"/>
    <n v="0"/>
    <n v="0"/>
    <n v="0"/>
    <n v="0"/>
    <n v="0"/>
    <n v="0"/>
    <n v="0"/>
  </r>
  <r>
    <s v="53"/>
    <x v="1"/>
    <x v="2"/>
    <s v="JM40I070"/>
    <x v="12"/>
    <s v="A101"/>
    <s v="FORTALECIMIENTO INSTITUCIONAL"/>
    <s v="GC00A10100001D"/>
    <s v="GC00A10100001D GASTOS ADMINISTRATIVOS"/>
    <s v="53 BIENES Y SERVICIOS DE CONSUMO"/>
    <s v="530805 Materiales de Aseo"/>
    <s v="G/530805/1IA101"/>
    <s v="001"/>
    <n v="2555.84"/>
    <n v="0"/>
    <n v="0"/>
    <n v="2555.84"/>
    <n v="0"/>
    <n v="0"/>
    <n v="0"/>
    <n v="2555.84"/>
    <n v="2555.84"/>
    <n v="2555.84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0805 Materiales de Aseo"/>
    <s v="G/530805/1MA101"/>
    <s v="001"/>
    <n v="30000"/>
    <n v="-11000"/>
    <n v="0"/>
    <n v="19000"/>
    <n v="0"/>
    <n v="4129.7700000000004"/>
    <n v="3471.86"/>
    <n v="14870.23"/>
    <n v="15528.14"/>
    <n v="14870.23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805 Materiales de Aseo"/>
    <s v="G/530805/1AA101"/>
    <s v="002"/>
    <n v="14000"/>
    <n v="-5264"/>
    <n v="0"/>
    <n v="8736"/>
    <n v="0"/>
    <n v="1000"/>
    <n v="25.31"/>
    <n v="7736"/>
    <n v="8710.69"/>
    <n v="7736"/>
  </r>
  <r>
    <s v="53"/>
    <x v="2"/>
    <x v="10"/>
    <s v="ZA01D000"/>
    <x v="24"/>
    <s v="A101"/>
    <s v="FORTALECIMIENTO INSTITUCIONAL"/>
    <s v="GC00A10100001D"/>
    <s v="GC00A10100001D GASTOS ADMINISTRATIVOS"/>
    <s v="53 BIENES Y SERVICIOS DE CONSUMO"/>
    <s v="530805 Materiales de Aseo"/>
    <s v="G/530805/1DA101"/>
    <s v="001"/>
    <n v="220"/>
    <n v="0"/>
    <n v="0"/>
    <n v="220"/>
    <n v="0"/>
    <n v="0"/>
    <n v="0"/>
    <n v="220"/>
    <n v="220"/>
    <n v="220"/>
  </r>
  <r>
    <s v="53"/>
    <x v="1"/>
    <x v="2"/>
    <s v="OL41I060"/>
    <x v="42"/>
    <s v="A101"/>
    <s v="FORTALECIMIENTO INSTITUCIONAL"/>
    <s v="GC00A10100001D"/>
    <s v="GC00A10100001D GASTOS ADMINISTRATIVOS"/>
    <s v="53 BIENES Y SERVICIOS DE CONSUMO"/>
    <s v="530805 Materiales de Aseo"/>
    <s v="G/530805/1IA101"/>
    <s v="001"/>
    <n v="2000"/>
    <n v="1120"/>
    <n v="0"/>
    <n v="3120"/>
    <n v="0"/>
    <n v="0"/>
    <n v="0"/>
    <n v="3120"/>
    <n v="3120"/>
    <n v="3120"/>
  </r>
  <r>
    <s v="53"/>
    <x v="1"/>
    <x v="3"/>
    <s v="UN31M010"/>
    <x v="11"/>
    <s v="A101"/>
    <s v="FORTALECIMIENTO INSTITUCIONAL"/>
    <s v="GC00A10100001D"/>
    <s v="GC00A10100001D GASTOS ADMINISTRATIVOS"/>
    <s v="53 BIENES Y SERVICIOS DE CONSUMO"/>
    <s v="530805 Materiales de Aseo"/>
    <s v="G/530805/1MA101"/>
    <s v="001"/>
    <n v="11000"/>
    <n v="0"/>
    <n v="0"/>
    <n v="11000"/>
    <n v="0"/>
    <n v="2148.08"/>
    <n v="1501.59"/>
    <n v="8851.92"/>
    <n v="9498.41"/>
    <n v="8851.92"/>
  </r>
  <r>
    <s v="53"/>
    <x v="2"/>
    <x v="11"/>
    <s v="ZS03F030"/>
    <x v="38"/>
    <s v="A101"/>
    <s v="FORTALECIMIENTO INSTITUCIONAL"/>
    <s v="GC00A10100001D"/>
    <s v="GC00A10100001D GASTOS ADMINISTRATIVOS"/>
    <s v="53 BIENES Y SERVICIOS DE CONSUMO"/>
    <s v="530805 Materiales de Aseo"/>
    <s v="G/530805/1FA101"/>
    <s v="001"/>
    <n v="3000"/>
    <n v="0"/>
    <n v="0"/>
    <n v="3000"/>
    <n v="282.39999999999998"/>
    <n v="377.53"/>
    <n v="377.53"/>
    <n v="2622.47"/>
    <n v="2622.47"/>
    <n v="2340.0700000000002"/>
  </r>
  <r>
    <s v="53"/>
    <x v="2"/>
    <x v="11"/>
    <s v="ZQ08F080"/>
    <x v="39"/>
    <s v="A101"/>
    <s v="FORTALECIMIENTO INSTITUCIONAL"/>
    <s v="GC00A10100001D"/>
    <s v="GC00A10100001D GASTOS ADMINISTRATIVOS"/>
    <s v="53 BIENES Y SERVICIOS DE CONSUMO"/>
    <s v="530805 Materiales de Aseo"/>
    <s v="G/530805/1FA101"/>
    <s v="001"/>
    <n v="250"/>
    <n v="0"/>
    <n v="0"/>
    <n v="250"/>
    <n v="0"/>
    <n v="0"/>
    <n v="0"/>
    <n v="250"/>
    <n v="250"/>
    <n v="250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0805 Materiales de Aseo"/>
    <s v="G/530805/1IA101"/>
    <s v="001"/>
    <n v="800"/>
    <n v="400"/>
    <n v="0"/>
    <n v="1200"/>
    <n v="0"/>
    <n v="0"/>
    <n v="0"/>
    <n v="1200"/>
    <n v="1200"/>
    <n v="1200"/>
  </r>
  <r>
    <s v="53"/>
    <x v="1"/>
    <x v="2"/>
    <s v="EE11I010"/>
    <x v="21"/>
    <s v="A101"/>
    <s v="FORTALECIMIENTO INSTITUCIONAL"/>
    <s v="GC00A10100001D"/>
    <s v="GC00A10100001D GASTOS ADMINISTRATIVOS"/>
    <s v="53 BIENES Y SERVICIOS DE CONSUMO"/>
    <s v="530805 Materiales de Aseo"/>
    <s v="G/530805/1IA101"/>
    <s v="001"/>
    <n v="1000"/>
    <n v="0"/>
    <n v="0"/>
    <n v="1000"/>
    <n v="0"/>
    <n v="0"/>
    <n v="0"/>
    <n v="1000"/>
    <n v="1000"/>
    <n v="1000"/>
  </r>
  <r>
    <s v="53"/>
    <x v="2"/>
    <x v="11"/>
    <s v="ZD07F070"/>
    <x v="43"/>
    <s v="A101"/>
    <s v="FORTALECIMIENTO INSTITUCIONAL"/>
    <s v="GC00A10100001D"/>
    <s v="GC00A10100001D GASTOS ADMINISTRATIVOS"/>
    <s v="53 BIENES Y SERVICIOS DE CONSUMO"/>
    <s v="530806 Herramientas y Equipos Menores"/>
    <s v="G/530806/1FA101"/>
    <s v="001"/>
    <n v="0"/>
    <n v="200"/>
    <n v="0"/>
    <n v="200"/>
    <n v="0"/>
    <n v="0"/>
    <n v="0"/>
    <n v="200"/>
    <n v="200"/>
    <n v="200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807 Materiales de Impresión, Fotografía, Rep"/>
    <s v="G/530807/1AA101"/>
    <s v="002"/>
    <n v="26000"/>
    <n v="-26000"/>
    <n v="0"/>
    <n v="0"/>
    <n v="0"/>
    <n v="0"/>
    <n v="0"/>
    <n v="0"/>
    <n v="0"/>
    <n v="0"/>
  </r>
  <r>
    <s v="53"/>
    <x v="1"/>
    <x v="2"/>
    <s v="JM40I070"/>
    <x v="12"/>
    <s v="A101"/>
    <s v="FORTALECIMIENTO INSTITUCIONAL"/>
    <s v="GC00A10100001D"/>
    <s v="GC00A10100001D GASTOS ADMINISTRATIVOS"/>
    <s v="53 BIENES Y SERVICIOS DE CONSUMO"/>
    <s v="530807 Materiales de Impresión, Fotografía, Rep"/>
    <s v="G/530807/1IA101"/>
    <s v="001"/>
    <n v="9500"/>
    <n v="0"/>
    <n v="0"/>
    <n v="9500"/>
    <n v="0"/>
    <n v="0"/>
    <n v="0"/>
    <n v="9500"/>
    <n v="9500"/>
    <n v="9500"/>
  </r>
  <r>
    <s v="53"/>
    <x v="2"/>
    <x v="11"/>
    <s v="ZS03F030"/>
    <x v="38"/>
    <s v="A101"/>
    <s v="FORTALECIMIENTO INSTITUCIONAL"/>
    <s v="GC00A10100001D"/>
    <s v="GC00A10100001D GASTOS ADMINISTRATIVOS"/>
    <s v="53 BIENES Y SERVICIOS DE CONSUMO"/>
    <s v="530807 Materiales de Impresión, Fotografía, Rep"/>
    <s v="G/530807/1FA101"/>
    <s v="001"/>
    <n v="29000"/>
    <n v="0"/>
    <n v="0"/>
    <n v="29000"/>
    <n v="29000"/>
    <n v="0"/>
    <n v="0"/>
    <n v="29000"/>
    <n v="29000"/>
    <n v="0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807 Materiales de Impresión, Fotografía, Rep"/>
    <s v="G/530807/1BA101"/>
    <s v="002"/>
    <n v="30000"/>
    <n v="0"/>
    <n v="0"/>
    <n v="30000"/>
    <n v="0"/>
    <n v="20230.57"/>
    <n v="20230.57"/>
    <n v="9769.43"/>
    <n v="9769.43"/>
    <n v="9769.43"/>
  </r>
  <r>
    <s v="53"/>
    <x v="3"/>
    <x v="15"/>
    <s v="AC67Q000"/>
    <x v="32"/>
    <s v="A101"/>
    <s v="FORTALECIMIENTO INSTITUCIONAL"/>
    <s v="GC00A10100001D"/>
    <s v="GC00A10100001D GASTOS ADMINISTRATIVOS"/>
    <s v="53 BIENES Y SERVICIOS DE CONSUMO"/>
    <s v="530807 Materiales de Impresión, Fotografía, Rep"/>
    <s v="G/530807/1QA101"/>
    <s v="001"/>
    <n v="10000"/>
    <n v="0"/>
    <n v="0"/>
    <n v="10000"/>
    <n v="7917.06"/>
    <n v="0"/>
    <n v="0"/>
    <n v="10000"/>
    <n v="10000"/>
    <n v="2082.94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0807 Materiales de Impresión, Fotografía, Rep"/>
    <s v="G/530807/1IA101"/>
    <s v="001"/>
    <n v="5000"/>
    <n v="0"/>
    <n v="0"/>
    <n v="5000"/>
    <n v="9.06"/>
    <n v="4990.9399999999996"/>
    <n v="4990.9399999999996"/>
    <n v="9.06"/>
    <n v="9.06"/>
    <n v="0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0807 Materiales de Impresión, Fotografía, Rep"/>
    <s v="G/530807/1MA101"/>
    <s v="001"/>
    <n v="40000"/>
    <n v="-17809.66"/>
    <n v="0"/>
    <n v="22190.34"/>
    <n v="0"/>
    <n v="20730.080000000002"/>
    <n v="20730.080000000002"/>
    <n v="1460.26"/>
    <n v="1460.26"/>
    <n v="1460.26"/>
  </r>
  <r>
    <s v="53"/>
    <x v="2"/>
    <x v="5"/>
    <s v="PM71N010"/>
    <x v="27"/>
    <s v="A101"/>
    <s v="FORTALECIMIENTO INSTITUCIONAL"/>
    <s v="GC00A10100001D"/>
    <s v="GC00A10100001D GASTOS ADMINISTRATIVOS"/>
    <s v="53 BIENES Y SERVICIOS DE CONSUMO"/>
    <s v="530807 Materiales de Impresión, Fotografía, Rep"/>
    <s v="G/530807/1NA101"/>
    <s v="001"/>
    <n v="44000"/>
    <n v="26000"/>
    <n v="0"/>
    <n v="70000"/>
    <n v="0"/>
    <n v="0"/>
    <n v="0"/>
    <n v="70000"/>
    <n v="70000"/>
    <n v="70000"/>
  </r>
  <r>
    <s v="53"/>
    <x v="1"/>
    <x v="2"/>
    <s v="ES12I020"/>
    <x v="16"/>
    <s v="A101"/>
    <s v="FORTALECIMIENTO INSTITUCIONAL"/>
    <s v="GC00A10100001D"/>
    <s v="GC00A10100001D GASTOS ADMINISTRATIVOS"/>
    <s v="53 BIENES Y SERVICIOS DE CONSUMO"/>
    <s v="530807 Materiales de Impresión, Fotografía, Rep"/>
    <s v="G/530807/1IA101"/>
    <s v="001"/>
    <n v="40000"/>
    <n v="-15000"/>
    <n v="0"/>
    <n v="25000"/>
    <n v="0"/>
    <n v="0"/>
    <n v="0"/>
    <n v="25000"/>
    <n v="25000"/>
    <n v="25000"/>
  </r>
  <r>
    <s v="53"/>
    <x v="1"/>
    <x v="2"/>
    <s v="OL41I060"/>
    <x v="42"/>
    <s v="A101"/>
    <s v="FORTALECIMIENTO INSTITUCIONAL"/>
    <s v="GC00A10100001D"/>
    <s v="GC00A10100001D GASTOS ADMINISTRATIVOS"/>
    <s v="53 BIENES Y SERVICIOS DE CONSUMO"/>
    <s v="530807 Materiales de Impresión, Fotografía, Rep"/>
    <s v="G/530807/1IA101"/>
    <s v="001"/>
    <n v="8000"/>
    <n v="0"/>
    <n v="0"/>
    <n v="8000"/>
    <n v="0"/>
    <n v="0"/>
    <n v="0"/>
    <n v="8000"/>
    <n v="8000"/>
    <n v="8000"/>
  </r>
  <r>
    <s v="53"/>
    <x v="1"/>
    <x v="2"/>
    <s v="SF43I080"/>
    <x v="35"/>
    <s v="A101"/>
    <s v="FORTALECIMIENTO INSTITUCIONAL"/>
    <s v="GC00A10100001D"/>
    <s v="GC00A10100001D GASTOS ADMINISTRATIVOS"/>
    <s v="53 BIENES Y SERVICIOS DE CONSUMO"/>
    <s v="530807 Materiales de Impresión, Fotografía, Rep"/>
    <s v="G/530807/1IA101"/>
    <s v="001"/>
    <n v="3000"/>
    <n v="0"/>
    <n v="0"/>
    <n v="3000"/>
    <n v="0"/>
    <n v="0"/>
    <n v="0"/>
    <n v="3000"/>
    <n v="3000"/>
    <n v="3000"/>
  </r>
  <r>
    <s v="53"/>
    <x v="2"/>
    <x v="11"/>
    <s v="ZQ08F080"/>
    <x v="39"/>
    <s v="A101"/>
    <s v="FORTALECIMIENTO INSTITUCIONAL"/>
    <s v="GC00A10100001D"/>
    <s v="GC00A10100001D GASTOS ADMINISTRATIVOS"/>
    <s v="53 BIENES Y SERVICIOS DE CONSUMO"/>
    <s v="530807 Materiales de Impresión, Fotografía, Rep"/>
    <s v="G/530807/1FA101"/>
    <s v="001"/>
    <n v="8000"/>
    <n v="0"/>
    <n v="0"/>
    <n v="8000"/>
    <n v="0"/>
    <n v="7807.71"/>
    <n v="7807.71"/>
    <n v="192.29"/>
    <n v="192.29"/>
    <n v="192.29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0807 Materiales de Impresión, Fotografía, Rep"/>
    <s v="G/530807/1IA101"/>
    <s v="001"/>
    <n v="1000"/>
    <n v="6000"/>
    <n v="0"/>
    <n v="7000"/>
    <n v="0"/>
    <n v="0"/>
    <n v="0"/>
    <n v="7000"/>
    <n v="7000"/>
    <n v="7000"/>
  </r>
  <r>
    <s v="53"/>
    <x v="2"/>
    <x v="11"/>
    <s v="ZD07F070"/>
    <x v="43"/>
    <s v="A101"/>
    <s v="FORTALECIMIENTO INSTITUCIONAL"/>
    <s v="GC00A10100001D"/>
    <s v="GC00A10100001D GASTOS ADMINISTRATIVOS"/>
    <s v="53 BIENES Y SERVICIOS DE CONSUMO"/>
    <s v="530807 Materiales de Impresión, Fotografía, Rep"/>
    <s v="G/530807/1FA101"/>
    <s v="001"/>
    <n v="5000"/>
    <n v="0"/>
    <n v="0"/>
    <n v="5000"/>
    <n v="0.01"/>
    <n v="4999.4799999999996"/>
    <n v="4999.4799999999996"/>
    <n v="0.52"/>
    <n v="0.52"/>
    <n v="0.51"/>
  </r>
  <r>
    <s v="53"/>
    <x v="0"/>
    <x v="0"/>
    <s v="ZA01A002"/>
    <x v="4"/>
    <s v="A101"/>
    <s v="FORTALECIMIENTO INSTITUCIONAL"/>
    <s v="GC00A10100001D"/>
    <s v="GC00A10100001D GASTOS ADMINISTRATIVOS"/>
    <s v="53 BIENES Y SERVICIOS DE CONSUMO"/>
    <s v="530807 Materiales de Impresión, Fotografía, Rep"/>
    <s v="G/530807/1AA101"/>
    <s v="002"/>
    <n v="0"/>
    <n v="2400"/>
    <n v="0"/>
    <n v="2400"/>
    <n v="0"/>
    <n v="1899.52"/>
    <n v="1899.52"/>
    <n v="500.48"/>
    <n v="500.48"/>
    <n v="500.48"/>
  </r>
  <r>
    <s v="53"/>
    <x v="1"/>
    <x v="2"/>
    <s v="CF22I050"/>
    <x v="22"/>
    <s v="A101"/>
    <s v="FORTALECIMIENTO INSTITUCIONAL"/>
    <s v="GC00A10100001D"/>
    <s v="GC00A10100001D GASTOS ADMINISTRATIVOS"/>
    <s v="53 BIENES Y SERVICIOS DE CONSUMO"/>
    <s v="530807 Materiales de Impresión, Fotografía, Rep"/>
    <s v="G/530807/1IA101"/>
    <s v="001"/>
    <n v="6000"/>
    <n v="0"/>
    <n v="0"/>
    <n v="6000"/>
    <n v="0"/>
    <n v="0"/>
    <n v="0"/>
    <n v="6000"/>
    <n v="6000"/>
    <n v="600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807 Materiales de Impresión, Fotografía, Rep"/>
    <s v="G/530807/1AA101"/>
    <s v="002"/>
    <n v="600000"/>
    <n v="0"/>
    <n v="0"/>
    <n v="600000"/>
    <n v="0"/>
    <n v="1000"/>
    <n v="298.76"/>
    <n v="599000"/>
    <n v="599701.24"/>
    <n v="599000"/>
  </r>
  <r>
    <s v="53"/>
    <x v="2"/>
    <x v="11"/>
    <s v="ZM04F040"/>
    <x v="41"/>
    <s v="A101"/>
    <s v="FORTALECIMIENTO INSTITUCIONAL"/>
    <s v="GC00A10100001D"/>
    <s v="GC00A10100001D GASTOS ADMINISTRATIVOS"/>
    <s v="53 BIENES Y SERVICIOS DE CONSUMO"/>
    <s v="530807 Materiales de Impresión, Fotografía, Rep"/>
    <s v="G/530807/1FA101"/>
    <s v="001"/>
    <n v="0"/>
    <n v="45000"/>
    <n v="0"/>
    <n v="45000"/>
    <n v="0"/>
    <n v="0"/>
    <n v="0"/>
    <n v="45000"/>
    <n v="45000"/>
    <n v="45000"/>
  </r>
  <r>
    <s v="53"/>
    <x v="1"/>
    <x v="3"/>
    <s v="ZA01M000"/>
    <x v="6"/>
    <s v="A101"/>
    <s v="FORTALECIMIENTO INSTITUCIONAL"/>
    <s v="GC00A10100001D"/>
    <s v="GC00A10100001D GASTOS ADMINISTRATIVOS"/>
    <s v="53 BIENES Y SERVICIOS DE CONSUMO"/>
    <s v="530807 Materiales de Impresión, Fotografía, Rep"/>
    <s v="G/530807/1MA101"/>
    <s v="001"/>
    <n v="0"/>
    <n v="5500"/>
    <n v="0"/>
    <n v="5500"/>
    <n v="0"/>
    <n v="0"/>
    <n v="0"/>
    <n v="5500"/>
    <n v="5500"/>
    <n v="5500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807 Materiales de Impresión, Fotografía, Rep"/>
    <s v="G/530807/1FA101"/>
    <s v="001"/>
    <n v="0"/>
    <n v="7950.88"/>
    <n v="0"/>
    <n v="7950.88"/>
    <n v="0.01"/>
    <n v="7950.87"/>
    <n v="7950.87"/>
    <n v="0.01"/>
    <n v="0.01"/>
    <n v="0"/>
  </r>
  <r>
    <s v="53"/>
    <x v="2"/>
    <x v="11"/>
    <s v="ZT06F060"/>
    <x v="25"/>
    <s v="A101"/>
    <s v="FORTALECIMIENTO INSTITUCIONAL"/>
    <s v="GC00A10100001D"/>
    <s v="GC00A10100001D GASTOS ADMINISTRATIVOS"/>
    <s v="53 BIENES Y SERVICIOS DE CONSUMO"/>
    <s v="530807 Materiales de Impresión, Fotografía, Rep"/>
    <s v="G/530807/1FA101"/>
    <s v="001"/>
    <n v="0"/>
    <n v="20000"/>
    <n v="0"/>
    <n v="20000"/>
    <n v="20000"/>
    <n v="0"/>
    <n v="0"/>
    <n v="20000"/>
    <n v="20000"/>
    <n v="0"/>
  </r>
  <r>
    <s v="53"/>
    <x v="2"/>
    <x v="11"/>
    <s v="ZV05F050"/>
    <x v="37"/>
    <s v="A101"/>
    <s v="FORTALECIMIENTO INSTITUCIONAL"/>
    <s v="GC00A10100001D"/>
    <s v="GC00A10100001D GASTOS ADMINISTRATIVOS"/>
    <s v="53 BIENES Y SERVICIOS DE CONSUMO"/>
    <s v="530807 Materiales de Impresión, Fotografía, Rep"/>
    <s v="G/530807/1FA101"/>
    <s v="001"/>
    <n v="17000"/>
    <n v="30940.19"/>
    <n v="0"/>
    <n v="47940.19"/>
    <n v="0"/>
    <n v="0"/>
    <n v="0"/>
    <n v="47940.19"/>
    <n v="47940.19"/>
    <n v="47940.19"/>
  </r>
  <r>
    <s v="53"/>
    <x v="2"/>
    <x v="11"/>
    <s v="ZC09F090"/>
    <x v="44"/>
    <s v="A101"/>
    <s v="FORTALECIMIENTO INSTITUCIONAL"/>
    <s v="GC00A10100001D"/>
    <s v="GC00A10100001D GASTOS ADMINISTRATIVOS"/>
    <s v="53 BIENES Y SERVICIOS DE CONSUMO"/>
    <s v="530807 Materiales de Impresión, Fotografía, Rep"/>
    <s v="G/530807/1FA101"/>
    <s v="001"/>
    <n v="15000"/>
    <n v="0"/>
    <n v="0"/>
    <n v="15000"/>
    <n v="0"/>
    <n v="0"/>
    <n v="0"/>
    <n v="15000"/>
    <n v="15000"/>
    <n v="15000"/>
  </r>
  <r>
    <s v="53"/>
    <x v="2"/>
    <x v="11"/>
    <s v="TM68F100"/>
    <x v="34"/>
    <s v="A101"/>
    <s v="FORTALECIMIENTO INSTITUCIONAL"/>
    <s v="GC00A10100001D"/>
    <s v="GC00A10100001D GASTOS ADMINISTRATIVOS"/>
    <s v="53 BIENES Y SERVICIOS DE CONSUMO"/>
    <s v="530807 Materiales de Impresión, Fotografía, Rep"/>
    <s v="G/530807/1FA101"/>
    <s v="001"/>
    <n v="5000"/>
    <n v="0"/>
    <n v="0"/>
    <n v="5000"/>
    <n v="0"/>
    <n v="4989.38"/>
    <n v="4989.38"/>
    <n v="10.62"/>
    <n v="10.62"/>
    <n v="10.62"/>
  </r>
  <r>
    <s v="53"/>
    <x v="1"/>
    <x v="2"/>
    <s v="EE11I010"/>
    <x v="21"/>
    <s v="A101"/>
    <s v="FORTALECIMIENTO INSTITUCIONAL"/>
    <s v="GC00A10100001D"/>
    <s v="GC00A10100001D GASTOS ADMINISTRATIVOS"/>
    <s v="53 BIENES Y SERVICIOS DE CONSUMO"/>
    <s v="530807 Materiales de Impresión, Fotografía, Rep"/>
    <s v="G/530807/1IA101"/>
    <s v="001"/>
    <n v="18000"/>
    <n v="0"/>
    <n v="0"/>
    <n v="18000"/>
    <n v="0"/>
    <n v="0"/>
    <n v="0"/>
    <n v="18000"/>
    <n v="18000"/>
    <n v="18000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807 Materiales de Impresión, Fotografía, Rep"/>
    <s v="G/530807/1PA101"/>
    <s v="001"/>
    <n v="100"/>
    <n v="-100"/>
    <n v="0"/>
    <n v="0"/>
    <n v="0"/>
    <n v="0"/>
    <n v="0"/>
    <n v="0"/>
    <n v="0"/>
    <n v="0"/>
  </r>
  <r>
    <s v="53"/>
    <x v="1"/>
    <x v="2"/>
    <s v="EQ13I030"/>
    <x v="20"/>
    <s v="A101"/>
    <s v="FORTALECIMIENTO INSTITUCIONAL"/>
    <s v="GC00A10100001D"/>
    <s v="GC00A10100001D GASTOS ADMINISTRATIVOS"/>
    <s v="53 BIENES Y SERVICIOS DE CONSUMO"/>
    <s v="530807 Materiales de Impresión, Fotografía, Rep"/>
    <s v="G/530807/1IA101"/>
    <s v="001"/>
    <n v="3000"/>
    <n v="0"/>
    <n v="0"/>
    <n v="3000"/>
    <n v="0.06"/>
    <n v="2999.94"/>
    <n v="2999.94"/>
    <n v="0.06"/>
    <n v="0.06"/>
    <n v="0"/>
  </r>
  <r>
    <s v="53"/>
    <x v="2"/>
    <x v="10"/>
    <s v="ZA01D000"/>
    <x v="24"/>
    <s v="A101"/>
    <s v="FORTALECIMIENTO INSTITUCIONAL"/>
    <s v="GC00A10100001D"/>
    <s v="GC00A10100001D GASTOS ADMINISTRATIVOS"/>
    <s v="53 BIENES Y SERVICIOS DE CONSUMO"/>
    <s v="530807 Materiales de Impresión, Fotografía, Rep"/>
    <s v="G/530807/1DA101"/>
    <s v="001"/>
    <n v="0"/>
    <n v="3000"/>
    <n v="0"/>
    <n v="3000"/>
    <n v="0"/>
    <n v="0"/>
    <n v="0"/>
    <n v="3000"/>
    <n v="3000"/>
    <n v="3000"/>
  </r>
  <r>
    <s v="53"/>
    <x v="1"/>
    <x v="3"/>
    <s v="UN31M010"/>
    <x v="11"/>
    <s v="A101"/>
    <s v="FORTALECIMIENTO INSTITUCIONAL"/>
    <s v="GC00A10100001D"/>
    <s v="GC00A10100001D GASTOS ADMINISTRATIVOS"/>
    <s v="53 BIENES Y SERVICIOS DE CONSUMO"/>
    <s v="530807 Materiales de Impresión, Fotografía, Rep"/>
    <s v="G/530807/1MA101"/>
    <s v="001"/>
    <n v="5000"/>
    <n v="0"/>
    <n v="0"/>
    <n v="5000"/>
    <n v="0.01"/>
    <n v="4999.99"/>
    <n v="4999.99"/>
    <n v="0.01"/>
    <n v="0.01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808 Instrumental Médico Quirúrgico"/>
    <s v="G/530808/1AA101"/>
    <s v="002"/>
    <n v="1000"/>
    <n v="0"/>
    <n v="0"/>
    <n v="1000"/>
    <n v="0"/>
    <n v="1000"/>
    <n v="105.03"/>
    <n v="0"/>
    <n v="894.97"/>
    <n v="0"/>
  </r>
  <r>
    <s v="53"/>
    <x v="2"/>
    <x v="11"/>
    <s v="ZD07F070"/>
    <x v="43"/>
    <s v="A101"/>
    <s v="FORTALECIMIENTO INSTITUCIONAL"/>
    <s v="GC00A10100001D"/>
    <s v="GC00A10100001D GASTOS ADMINISTRATIVOS"/>
    <s v="53 BIENES Y SERVICIOS DE CONSUMO"/>
    <s v="530809 Medicamentos"/>
    <s v="G/530809/1FA101"/>
    <s v="001"/>
    <n v="0"/>
    <n v="1000"/>
    <n v="0"/>
    <n v="1000"/>
    <n v="0"/>
    <n v="85.12"/>
    <n v="85.12"/>
    <n v="914.88"/>
    <n v="914.88"/>
    <n v="914.88"/>
  </r>
  <r>
    <s v="53"/>
    <x v="3"/>
    <x v="15"/>
    <s v="AC67Q000"/>
    <x v="32"/>
    <s v="A101"/>
    <s v="FORTALECIMIENTO INSTITUCIONAL"/>
    <s v="GC00A10100001D"/>
    <s v="GC00A10100001D GASTOS ADMINISTRATIVOS"/>
    <s v="53 BIENES Y SERVICIOS DE CONSUMO"/>
    <s v="530809 Medicamentos"/>
    <s v="G/530809/1QA101"/>
    <s v="001"/>
    <n v="0"/>
    <n v="1000"/>
    <n v="0"/>
    <n v="1000"/>
    <n v="0"/>
    <n v="0"/>
    <n v="0"/>
    <n v="1000"/>
    <n v="1000"/>
    <n v="1000"/>
  </r>
  <r>
    <s v="53"/>
    <x v="2"/>
    <x v="5"/>
    <s v="PM71N010"/>
    <x v="27"/>
    <s v="A101"/>
    <s v="FORTALECIMIENTO INSTITUCIONAL"/>
    <s v="GC00A10100001D"/>
    <s v="GC00A10100001D GASTOS ADMINISTRATIVOS"/>
    <s v="53 BIENES Y SERVICIOS DE CONSUMO"/>
    <s v="530809 Medicamentos"/>
    <s v="G/530809/1NA101"/>
    <s v="001"/>
    <n v="0"/>
    <n v="1650"/>
    <n v="0"/>
    <n v="1650"/>
    <n v="0"/>
    <n v="1641.02"/>
    <n v="1641.02"/>
    <n v="8.98"/>
    <n v="8.98"/>
    <n v="8.98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809 Medicamentos"/>
    <s v="G/530809/1AA101"/>
    <s v="002"/>
    <n v="1000"/>
    <n v="0"/>
    <n v="0"/>
    <n v="1000"/>
    <n v="0"/>
    <n v="1000"/>
    <n v="0"/>
    <n v="0"/>
    <n v="1000"/>
    <n v="0"/>
  </r>
  <r>
    <s v="53"/>
    <x v="2"/>
    <x v="10"/>
    <s v="ZA01D000"/>
    <x v="24"/>
    <s v="A101"/>
    <s v="FORTALECIMIENTO INSTITUCIONAL"/>
    <s v="GC00A10100001D"/>
    <s v="GC00A10100001D GASTOS ADMINISTRATIVOS"/>
    <s v="53 BIENES Y SERVICIOS DE CONSUMO"/>
    <s v="530810 Dispositivos Médicos para Laboratorio Cl"/>
    <s v="G/530810/1DA101"/>
    <s v="001"/>
    <n v="18000"/>
    <n v="17291.599999999999"/>
    <n v="0"/>
    <n v="35291.599999999999"/>
    <n v="26291.56"/>
    <n v="0"/>
    <n v="0"/>
    <n v="35291.599999999999"/>
    <n v="35291.599999999999"/>
    <n v="9000.0400000000009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810 Dispositivos Médicos para Laboratorio Cl"/>
    <s v="G/530810/1FA101"/>
    <s v="001"/>
    <n v="300"/>
    <n v="0"/>
    <n v="0"/>
    <n v="300"/>
    <n v="0"/>
    <n v="0"/>
    <n v="0"/>
    <n v="300"/>
    <n v="300"/>
    <n v="300"/>
  </r>
  <r>
    <s v="53"/>
    <x v="2"/>
    <x v="6"/>
    <s v="AT69K040"/>
    <x v="13"/>
    <s v="A101"/>
    <s v="FORTALECIMIENTO INSTITUCIONAL"/>
    <s v="GC00A10100001D"/>
    <s v="GC00A10100001D GASTOS ADMINISTRATIVOS"/>
    <s v="53 BIENES Y SERVICIOS DE CONSUMO"/>
    <s v="530811 Insumos, Materiales y Suministros para Cons"/>
    <s v="G/530811/1KA101"/>
    <s v="001"/>
    <n v="0"/>
    <n v="1450"/>
    <n v="0"/>
    <n v="1450"/>
    <n v="0"/>
    <n v="1450"/>
    <n v="906.19"/>
    <n v="0"/>
    <n v="543.80999999999995"/>
    <n v="0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0811 Insumos, Materiales y Suministros para Cons"/>
    <s v="G/530811/1MA101"/>
    <s v="001"/>
    <n v="10000"/>
    <n v="-584.35"/>
    <n v="0"/>
    <n v="9415.65"/>
    <n v="0"/>
    <n v="0"/>
    <n v="0"/>
    <n v="9415.65"/>
    <n v="9415.65"/>
    <n v="9415.65"/>
  </r>
  <r>
    <s v="53"/>
    <x v="2"/>
    <x v="11"/>
    <s v="ZQ08F080"/>
    <x v="39"/>
    <s v="A101"/>
    <s v="FORTALECIMIENTO INSTITUCIONAL"/>
    <s v="GC00A10100001D"/>
    <s v="GC00A10100001D GASTOS ADMINISTRATIVOS"/>
    <s v="53 BIENES Y SERVICIOS DE CONSUMO"/>
    <s v="530811 Insumos, Materiales y Suministros para Cons"/>
    <s v="G/530811/1FA101"/>
    <s v="001"/>
    <n v="2000"/>
    <n v="0"/>
    <n v="0"/>
    <n v="2000"/>
    <n v="0"/>
    <n v="0"/>
    <n v="0"/>
    <n v="2000"/>
    <n v="2000"/>
    <n v="2000"/>
  </r>
  <r>
    <s v="53"/>
    <x v="3"/>
    <x v="15"/>
    <s v="AC67Q000"/>
    <x v="32"/>
    <s v="A101"/>
    <s v="FORTALECIMIENTO INSTITUCIONAL"/>
    <s v="GC00A10100001D"/>
    <s v="GC00A10100001D GASTOS ADMINISTRATIVOS"/>
    <s v="53 BIENES Y SERVICIOS DE CONSUMO"/>
    <s v="530811 Insumos, Materiales y Suministros para Cons"/>
    <s v="G/530811/1QA101"/>
    <s v="001"/>
    <n v="7500"/>
    <n v="-7500"/>
    <n v="0"/>
    <n v="0"/>
    <n v="0"/>
    <n v="0"/>
    <n v="0"/>
    <n v="0"/>
    <n v="0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811 Insumos, Materiales y Suministros para Cons"/>
    <s v="G/530811/1AA101"/>
    <s v="002"/>
    <n v="34000"/>
    <n v="0"/>
    <n v="0"/>
    <n v="34000"/>
    <n v="31000"/>
    <n v="3000"/>
    <n v="246.12"/>
    <n v="31000"/>
    <n v="33753.879999999997"/>
    <n v="0"/>
  </r>
  <r>
    <s v="53"/>
    <x v="2"/>
    <x v="11"/>
    <s v="ZV05F050"/>
    <x v="37"/>
    <s v="A101"/>
    <s v="FORTALECIMIENTO INSTITUCIONAL"/>
    <s v="GC00A10100001D"/>
    <s v="GC00A10100001D GASTOS ADMINISTRATIVOS"/>
    <s v="53 BIENES Y SERVICIOS DE CONSUMO"/>
    <s v="530811 Insumos, Materiales y Suministros para Cons"/>
    <s v="G/530811/1FA101"/>
    <s v="001"/>
    <n v="0"/>
    <n v="7000"/>
    <n v="0"/>
    <n v="7000"/>
    <n v="3423"/>
    <n v="342.26"/>
    <n v="242.4"/>
    <n v="6657.74"/>
    <n v="6757.6"/>
    <n v="3234.74"/>
  </r>
  <r>
    <s v="53"/>
    <x v="0"/>
    <x v="0"/>
    <s v="ZA01A002"/>
    <x v="4"/>
    <s v="A101"/>
    <s v="FORTALECIMIENTO INSTITUCIONAL"/>
    <s v="GC00A10100001D"/>
    <s v="GC00A10100001D GASTOS ADMINISTRATIVOS"/>
    <s v="53 BIENES Y SERVICIOS DE CONSUMO"/>
    <s v="530811 Insumos, Materiales y Suministros para Cons"/>
    <s v="G/530811/1AA101"/>
    <s v="002"/>
    <n v="8000"/>
    <n v="-2400"/>
    <n v="0"/>
    <n v="5600"/>
    <n v="0"/>
    <n v="0"/>
    <n v="0"/>
    <n v="5600"/>
    <n v="5600"/>
    <n v="5600"/>
  </r>
  <r>
    <s v="53"/>
    <x v="1"/>
    <x v="2"/>
    <s v="ES12I020"/>
    <x v="16"/>
    <s v="A101"/>
    <s v="FORTALECIMIENTO INSTITUCIONAL"/>
    <s v="GC00A10100001D"/>
    <s v="GC00A10100001D GASTOS ADMINISTRATIVOS"/>
    <s v="53 BIENES Y SERVICIOS DE CONSUMO"/>
    <s v="530811 Insumos, Materiales y Suministros para Cons"/>
    <s v="G/530811/1IA101"/>
    <s v="001"/>
    <n v="8000"/>
    <n v="0"/>
    <n v="0"/>
    <n v="8000"/>
    <n v="0.35"/>
    <n v="517.65"/>
    <n v="517.65"/>
    <n v="7482.35"/>
    <n v="7482.35"/>
    <n v="7482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811 Insumos, Materiales y Suministros para Cons"/>
    <s v="G/530811/1BA101"/>
    <s v="002"/>
    <n v="250"/>
    <n v="1477.44"/>
    <n v="0"/>
    <n v="1727.44"/>
    <n v="0"/>
    <n v="0"/>
    <n v="0"/>
    <n v="1727.44"/>
    <n v="1727.44"/>
    <n v="1727.44"/>
  </r>
  <r>
    <s v="53"/>
    <x v="1"/>
    <x v="2"/>
    <s v="EQ13I030"/>
    <x v="20"/>
    <s v="A101"/>
    <s v="FORTALECIMIENTO INSTITUCIONAL"/>
    <s v="GC00A10100001D"/>
    <s v="GC00A10100001D GASTOS ADMINISTRATIVOS"/>
    <s v="53 BIENES Y SERVICIOS DE CONSUMO"/>
    <s v="530811 Insumos, Materiales y Suministros para Cons"/>
    <s v="G/530811/1IA101"/>
    <s v="001"/>
    <n v="400"/>
    <n v="-400"/>
    <n v="0"/>
    <n v="0"/>
    <n v="0"/>
    <n v="0"/>
    <n v="0"/>
    <n v="0"/>
    <n v="0"/>
    <n v="0"/>
  </r>
  <r>
    <s v="53"/>
    <x v="2"/>
    <x v="11"/>
    <s v="ZS03F030"/>
    <x v="38"/>
    <s v="A101"/>
    <s v="FORTALECIMIENTO INSTITUCIONAL"/>
    <s v="GC00A10100001D"/>
    <s v="GC00A10100001D GASTOS ADMINISTRATIVOS"/>
    <s v="53 BIENES Y SERVICIOS DE CONSUMO"/>
    <s v="530811 Insumos, Materiales y Suministros para Cons"/>
    <s v="G/530811/1FA101"/>
    <s v="001"/>
    <n v="31000"/>
    <n v="0"/>
    <n v="0"/>
    <n v="31000"/>
    <n v="5058.07"/>
    <n v="25941.93"/>
    <n v="0"/>
    <n v="5058.07"/>
    <n v="31000"/>
    <n v="0"/>
  </r>
  <r>
    <s v="53"/>
    <x v="1"/>
    <x v="3"/>
    <s v="UN31M010"/>
    <x v="11"/>
    <s v="A101"/>
    <s v="FORTALECIMIENTO INSTITUCIONAL"/>
    <s v="GC00A10100001D"/>
    <s v="GC00A10100001D GASTOS ADMINISTRATIVOS"/>
    <s v="53 BIENES Y SERVICIOS DE CONSUMO"/>
    <s v="530811 Insumos, Materiales y Suministros para Cons"/>
    <s v="G/530811/1MA101"/>
    <s v="001"/>
    <n v="7000"/>
    <n v="17000"/>
    <n v="0"/>
    <n v="24000"/>
    <n v="6583.38"/>
    <n v="0"/>
    <n v="0"/>
    <n v="24000"/>
    <n v="24000"/>
    <n v="17416.62"/>
  </r>
  <r>
    <s v="53"/>
    <x v="2"/>
    <x v="5"/>
    <s v="PM71N010"/>
    <x v="27"/>
    <s v="A101"/>
    <s v="FORTALECIMIENTO INSTITUCIONAL"/>
    <s v="GC00A10100001D"/>
    <s v="GC00A10100001D GASTOS ADMINISTRATIVOS"/>
    <s v="53 BIENES Y SERVICIOS DE CONSUMO"/>
    <s v="530811 Insumos, Materiales y Suministros para Cons"/>
    <s v="G/530811/1NA101"/>
    <s v="001"/>
    <n v="0"/>
    <n v="4000"/>
    <n v="0"/>
    <n v="4000"/>
    <n v="0"/>
    <n v="0"/>
    <n v="0"/>
    <n v="4000"/>
    <n v="4000"/>
    <n v="4000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811 Insumos, Materiales y Suministros para Cons"/>
    <s v="G/530811/1AA101"/>
    <s v="002"/>
    <n v="200"/>
    <n v="0"/>
    <n v="0"/>
    <n v="200"/>
    <n v="0"/>
    <n v="5.6"/>
    <n v="5.6"/>
    <n v="194.4"/>
    <n v="194.4"/>
    <n v="194.4"/>
  </r>
  <r>
    <s v="53"/>
    <x v="1"/>
    <x v="3"/>
    <s v="ZA01M000"/>
    <x v="6"/>
    <s v="A101"/>
    <s v="FORTALECIMIENTO INSTITUCIONAL"/>
    <s v="GC00A10100001D"/>
    <s v="GC00A10100001D GASTOS ADMINISTRATIVOS"/>
    <s v="53 BIENES Y SERVICIOS DE CONSUMO"/>
    <s v="530811 Insumos, Materiales y Suministros para Cons"/>
    <s v="G/530811/1MA101"/>
    <s v="001"/>
    <n v="0"/>
    <n v="2050"/>
    <n v="0"/>
    <n v="2050"/>
    <n v="0"/>
    <n v="0"/>
    <n v="0"/>
    <n v="2050"/>
    <n v="2050"/>
    <n v="2050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811 Insumos, Materiales y Suministros para Cons"/>
    <s v="G/530811/1FA101"/>
    <s v="001"/>
    <n v="1000"/>
    <n v="0"/>
    <n v="0"/>
    <n v="1000"/>
    <n v="0"/>
    <n v="380.86"/>
    <n v="188.86"/>
    <n v="619.14"/>
    <n v="811.14"/>
    <n v="619.14"/>
  </r>
  <r>
    <s v="53"/>
    <x v="2"/>
    <x v="11"/>
    <s v="ZC09F090"/>
    <x v="44"/>
    <s v="A101"/>
    <s v="FORTALECIMIENTO INSTITUCIONAL"/>
    <s v="GC00A10100001D"/>
    <s v="GC00A10100001D GASTOS ADMINISTRATIVOS"/>
    <s v="53 BIENES Y SERVICIOS DE CONSUMO"/>
    <s v="530811 Insumos, Materiales y Suministros para Cons"/>
    <s v="G/530811/1FA101"/>
    <s v="001"/>
    <n v="30"/>
    <n v="0"/>
    <n v="0"/>
    <n v="30"/>
    <n v="0"/>
    <n v="0"/>
    <n v="0"/>
    <n v="30"/>
    <n v="30"/>
    <n v="30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811 Insumos, Materiales y Suministros para Cons"/>
    <s v="G/530811/1PA101"/>
    <s v="001"/>
    <n v="2874"/>
    <n v="-2793.5"/>
    <n v="0"/>
    <n v="80.5"/>
    <n v="0"/>
    <n v="42.56"/>
    <n v="42.56"/>
    <n v="37.94"/>
    <n v="37.94"/>
    <n v="37.94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0811 Insumos, Materiales y Suministros para Cons"/>
    <s v="G/530811/1IA101"/>
    <s v="001"/>
    <n v="2500"/>
    <n v="0"/>
    <n v="0"/>
    <n v="2500"/>
    <n v="0.39"/>
    <n v="2499.61"/>
    <n v="2499.61"/>
    <n v="0.39"/>
    <n v="0.39"/>
    <n v="0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0811 Insumos, Materiales y Suministros para Cons"/>
    <s v="G/530811/1IA101"/>
    <s v="001"/>
    <n v="1000"/>
    <n v="0"/>
    <n v="0"/>
    <n v="1000"/>
    <n v="0"/>
    <n v="0"/>
    <n v="0"/>
    <n v="1000"/>
    <n v="1000"/>
    <n v="1000"/>
  </r>
  <r>
    <s v="53"/>
    <x v="2"/>
    <x v="11"/>
    <s v="ZM04F040"/>
    <x v="41"/>
    <s v="A101"/>
    <s v="FORTALECIMIENTO INSTITUCIONAL"/>
    <s v="GC00A10100001D"/>
    <s v="GC00A10100001D GASTOS ADMINISTRATIVOS"/>
    <s v="53 BIENES Y SERVICIOS DE CONSUMO"/>
    <s v="530811 Insumos, Materiales y Suministros para Cons"/>
    <s v="G/530811/1FA101"/>
    <s v="001"/>
    <n v="0"/>
    <n v="3000"/>
    <n v="0"/>
    <n v="3000"/>
    <n v="0"/>
    <n v="0"/>
    <n v="0"/>
    <n v="3000"/>
    <n v="3000"/>
    <n v="3000"/>
  </r>
  <r>
    <s v="53"/>
    <x v="2"/>
    <x v="11"/>
    <s v="ZD07F070"/>
    <x v="43"/>
    <s v="A101"/>
    <s v="FORTALECIMIENTO INSTITUCIONAL"/>
    <s v="GC00A10100001D"/>
    <s v="GC00A10100001D GASTOS ADMINISTRATIVOS"/>
    <s v="53 BIENES Y SERVICIOS DE CONSUMO"/>
    <s v="530811 Insumos, Materiales y Suministros para Cons"/>
    <s v="G/530811/1FA101"/>
    <s v="001"/>
    <n v="200"/>
    <n v="3500"/>
    <n v="0"/>
    <n v="3700"/>
    <n v="38.700000000000003"/>
    <n v="119.62"/>
    <n v="119.62"/>
    <n v="3580.38"/>
    <n v="3580.38"/>
    <n v="3541.68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0812 Materiales Didácticos"/>
    <s v="G/530812/1IA101"/>
    <s v="001"/>
    <n v="2000"/>
    <n v="-1200"/>
    <n v="0"/>
    <n v="800"/>
    <n v="0"/>
    <n v="0"/>
    <n v="0"/>
    <n v="800"/>
    <n v="800"/>
    <n v="800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812 Materiales Didácticos"/>
    <s v="G/530812/1PA101"/>
    <s v="001"/>
    <n v="1000"/>
    <n v="-1000"/>
    <n v="0"/>
    <n v="0"/>
    <n v="0"/>
    <n v="0"/>
    <n v="0"/>
    <n v="0"/>
    <n v="0"/>
    <n v="0"/>
  </r>
  <r>
    <s v="53"/>
    <x v="1"/>
    <x v="2"/>
    <s v="JM40I070"/>
    <x v="12"/>
    <s v="A101"/>
    <s v="FORTALECIMIENTO INSTITUCIONAL"/>
    <s v="GC00A10100001D"/>
    <s v="GC00A10100001D GASTOS ADMINISTRATIVOS"/>
    <s v="53 BIENES Y SERVICIOS DE CONSUMO"/>
    <s v="530812 Materiales Didácticos"/>
    <s v="G/530812/1IA101"/>
    <s v="001"/>
    <n v="1000"/>
    <n v="0"/>
    <n v="0"/>
    <n v="1000"/>
    <n v="0"/>
    <n v="0"/>
    <n v="0"/>
    <n v="1000"/>
    <n v="1000"/>
    <n v="1000"/>
  </r>
  <r>
    <s v="53"/>
    <x v="1"/>
    <x v="2"/>
    <s v="CF22I050"/>
    <x v="22"/>
    <s v="A101"/>
    <s v="FORTALECIMIENTO INSTITUCIONAL"/>
    <s v="GC00A10100001D"/>
    <s v="GC00A10100001D GASTOS ADMINISTRATIVOS"/>
    <s v="53 BIENES Y SERVICIOS DE CONSUMO"/>
    <s v="530812 Materiales Didácticos"/>
    <s v="G/530812/1IA101"/>
    <s v="001"/>
    <n v="500"/>
    <n v="0"/>
    <n v="0"/>
    <n v="500"/>
    <n v="0"/>
    <n v="0"/>
    <n v="0"/>
    <n v="500"/>
    <n v="500"/>
    <n v="500"/>
  </r>
  <r>
    <s v="53"/>
    <x v="1"/>
    <x v="2"/>
    <s v="OL41I060"/>
    <x v="42"/>
    <s v="A101"/>
    <s v="FORTALECIMIENTO INSTITUCIONAL"/>
    <s v="GC00A10100001D"/>
    <s v="GC00A10100001D GASTOS ADMINISTRATIVOS"/>
    <s v="53 BIENES Y SERVICIOS DE CONSUMO"/>
    <s v="530812 Materiales Didácticos"/>
    <s v="G/530812/1IA101"/>
    <s v="001"/>
    <n v="2000"/>
    <n v="0"/>
    <n v="0"/>
    <n v="2000"/>
    <n v="0"/>
    <n v="0"/>
    <n v="0"/>
    <n v="2000"/>
    <n v="2000"/>
    <n v="2000"/>
  </r>
  <r>
    <s v="53"/>
    <x v="1"/>
    <x v="2"/>
    <s v="ES12I020"/>
    <x v="16"/>
    <s v="A101"/>
    <s v="FORTALECIMIENTO INSTITUCIONAL"/>
    <s v="GC00A10100001D"/>
    <s v="GC00A10100001D GASTOS ADMINISTRATIVOS"/>
    <s v="53 BIENES Y SERVICIOS DE CONSUMO"/>
    <s v="530812 Materiales Didácticos"/>
    <s v="G/530812/1IA101"/>
    <s v="001"/>
    <n v="3000"/>
    <n v="0"/>
    <n v="0"/>
    <n v="3000"/>
    <n v="0"/>
    <n v="0"/>
    <n v="0"/>
    <n v="3000"/>
    <n v="3000"/>
    <n v="3000"/>
  </r>
  <r>
    <s v="53"/>
    <x v="2"/>
    <x v="11"/>
    <s v="ZD07F070"/>
    <x v="43"/>
    <s v="A101"/>
    <s v="FORTALECIMIENTO INSTITUCIONAL"/>
    <s v="GC00A10100001D"/>
    <s v="GC00A10100001D GASTOS ADMINISTRATIVOS"/>
    <s v="53 BIENES Y SERVICIOS DE CONSUMO"/>
    <s v="530813 Repuestos y Accesorios"/>
    <s v="G/530813/1FA101"/>
    <s v="001"/>
    <n v="1000"/>
    <n v="0"/>
    <n v="0"/>
    <n v="1000"/>
    <n v="0"/>
    <n v="660.8"/>
    <n v="660.8"/>
    <n v="339.2"/>
    <n v="339.2"/>
    <n v="339.2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0813 Repuestos y Accesorios"/>
    <s v="G/530813/1IA101"/>
    <s v="001"/>
    <n v="1000"/>
    <n v="0"/>
    <n v="0"/>
    <n v="1000"/>
    <n v="0"/>
    <n v="0"/>
    <n v="0"/>
    <n v="1000"/>
    <n v="1000"/>
    <n v="1000"/>
  </r>
  <r>
    <s v="53"/>
    <x v="1"/>
    <x v="13"/>
    <s v="ZA01G000"/>
    <x v="29"/>
    <s v="A101"/>
    <s v="FORTALECIMIENTO INSTITUCIONAL"/>
    <s v="GC00A10100001D"/>
    <s v="GC00A10100001D GASTOS ADMINISTRATIVOS"/>
    <s v="53 BIENES Y SERVICIOS DE CONSUMO"/>
    <s v="530813 Repuestos y Accesorios"/>
    <s v="G/530813/1GA101"/>
    <s v="001"/>
    <n v="5000"/>
    <n v="0"/>
    <n v="0"/>
    <n v="5000"/>
    <n v="0"/>
    <n v="0"/>
    <n v="0"/>
    <n v="5000"/>
    <n v="5000"/>
    <n v="5000"/>
  </r>
  <r>
    <s v="53"/>
    <x v="2"/>
    <x v="11"/>
    <s v="ZQ08F080"/>
    <x v="39"/>
    <s v="A101"/>
    <s v="FORTALECIMIENTO INSTITUCIONAL"/>
    <s v="GC00A10100001D"/>
    <s v="GC00A10100001D GASTOS ADMINISTRATIVOS"/>
    <s v="53 BIENES Y SERVICIOS DE CONSUMO"/>
    <s v="530813 Repuestos y Accesorios"/>
    <s v="G/530813/1FA101"/>
    <s v="001"/>
    <n v="28000"/>
    <n v="3633.01"/>
    <n v="0"/>
    <n v="31633.01"/>
    <n v="0"/>
    <n v="31633.01"/>
    <n v="11159.84"/>
    <n v="0"/>
    <n v="20473.169999999998"/>
    <n v="0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0813 Repuestos y Accesorios"/>
    <s v="G/530813/1IA101"/>
    <s v="001"/>
    <n v="900"/>
    <n v="3000"/>
    <n v="0"/>
    <n v="3900"/>
    <n v="0"/>
    <n v="3000"/>
    <n v="2713.23"/>
    <n v="900"/>
    <n v="1186.77"/>
    <n v="900"/>
  </r>
  <r>
    <s v="53"/>
    <x v="1"/>
    <x v="2"/>
    <s v="ES12I020"/>
    <x v="16"/>
    <s v="A101"/>
    <s v="FORTALECIMIENTO INSTITUCIONAL"/>
    <s v="GC00A10100001D"/>
    <s v="GC00A10100001D GASTOS ADMINISTRATIVOS"/>
    <s v="53 BIENES Y SERVICIOS DE CONSUMO"/>
    <s v="530813 Repuestos y Accesorios"/>
    <s v="G/530813/1IA101"/>
    <s v="001"/>
    <n v="3000"/>
    <n v="6000"/>
    <n v="0"/>
    <n v="9000"/>
    <n v="76"/>
    <n v="2612.4"/>
    <n v="2612.4"/>
    <n v="6387.6"/>
    <n v="6387.6"/>
    <n v="6311.6"/>
  </r>
  <r>
    <s v="53"/>
    <x v="2"/>
    <x v="10"/>
    <s v="ZA01D000"/>
    <x v="24"/>
    <s v="A101"/>
    <s v="FORTALECIMIENTO INSTITUCIONAL"/>
    <s v="GC00A10100001D"/>
    <s v="GC00A10100001D GASTOS ADMINISTRATIVOS"/>
    <s v="53 BIENES Y SERVICIOS DE CONSUMO"/>
    <s v="530813 Repuestos y Accesorios"/>
    <s v="G/530813/1DA101"/>
    <s v="001"/>
    <n v="37000"/>
    <n v="6134.4"/>
    <n v="0"/>
    <n v="43134.400000000001"/>
    <n v="21014.400000000001"/>
    <n v="14880.32"/>
    <n v="14880.32"/>
    <n v="28254.080000000002"/>
    <n v="28254.080000000002"/>
    <n v="7239.68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813 Repuestos y Accesorios"/>
    <s v="G/530813/1AA101"/>
    <s v="002"/>
    <n v="5000"/>
    <n v="-4188.3999999999996"/>
    <n v="0"/>
    <n v="811.6"/>
    <n v="0"/>
    <n v="811.6"/>
    <n v="811.6"/>
    <n v="0"/>
    <n v="0"/>
    <n v="0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0813 Repuestos y Accesorios"/>
    <s v="G/530813/1MA101"/>
    <s v="001"/>
    <n v="180000"/>
    <n v="-150000"/>
    <n v="0"/>
    <n v="30000"/>
    <n v="1006.21"/>
    <n v="7813.34"/>
    <n v="4228.5600000000004"/>
    <n v="22186.66"/>
    <n v="25771.439999999999"/>
    <n v="21180.45"/>
  </r>
  <r>
    <s v="53"/>
    <x v="2"/>
    <x v="11"/>
    <s v="ZV05F050"/>
    <x v="37"/>
    <s v="A101"/>
    <s v="FORTALECIMIENTO INSTITUCIONAL"/>
    <s v="GC00A10100001D"/>
    <s v="GC00A10100001D GASTOS ADMINISTRATIVOS"/>
    <s v="53 BIENES Y SERVICIOS DE CONSUMO"/>
    <s v="530813 Repuestos y Accesorios"/>
    <s v="G/530813/1FA101"/>
    <s v="001"/>
    <n v="9000"/>
    <n v="6781.92"/>
    <n v="0"/>
    <n v="15781.92"/>
    <n v="2.2400000000000002"/>
    <n v="13167.85"/>
    <n v="300.17"/>
    <n v="2614.0700000000002"/>
    <n v="15481.75"/>
    <n v="2611.83"/>
  </r>
  <r>
    <s v="53"/>
    <x v="1"/>
    <x v="3"/>
    <s v="UN31M010"/>
    <x v="11"/>
    <s v="A101"/>
    <s v="FORTALECIMIENTO INSTITUCIONAL"/>
    <s v="GC00A10100001D"/>
    <s v="GC00A10100001D GASTOS ADMINISTRATIVOS"/>
    <s v="53 BIENES Y SERVICIOS DE CONSUMO"/>
    <s v="530813 Repuestos y Accesorios"/>
    <s v="G/530813/1MA101"/>
    <s v="001"/>
    <n v="5000"/>
    <n v="5000"/>
    <n v="0"/>
    <n v="10000"/>
    <n v="0"/>
    <n v="806.4"/>
    <n v="477.12"/>
    <n v="9193.6"/>
    <n v="9522.8799999999992"/>
    <n v="9193.6"/>
  </r>
  <r>
    <s v="53"/>
    <x v="2"/>
    <x v="10"/>
    <s v="ZA01D000"/>
    <x v="24"/>
    <s v="A101"/>
    <s v="FORTALECIMIENTO INSTITUCIONAL"/>
    <s v="GC00A10100001D"/>
    <s v="GC00A10100001D GASTOS ADMINISTRATIVOS"/>
    <s v="53 BIENES Y SERVICIOS DE CONSUMO"/>
    <s v="530813 Repuestos y Accesorios"/>
    <s v="G/530813/1DA101"/>
    <s v="002"/>
    <n v="12000"/>
    <n v="0"/>
    <n v="0"/>
    <n v="12000"/>
    <n v="0"/>
    <n v="11999.68"/>
    <n v="11999.68"/>
    <n v="0.32"/>
    <n v="0.32"/>
    <n v="0.32"/>
  </r>
  <r>
    <s v="53"/>
    <x v="2"/>
    <x v="11"/>
    <s v="ZM04F040"/>
    <x v="41"/>
    <s v="A101"/>
    <s v="FORTALECIMIENTO INSTITUCIONAL"/>
    <s v="GC00A10100001D"/>
    <s v="GC00A10100001D GASTOS ADMINISTRATIVOS"/>
    <s v="53 BIENES Y SERVICIOS DE CONSUMO"/>
    <s v="530813 Repuestos y Accesorios"/>
    <s v="G/530813/1FA101"/>
    <s v="001"/>
    <n v="3000"/>
    <n v="0"/>
    <n v="0"/>
    <n v="3000"/>
    <n v="0"/>
    <n v="0"/>
    <n v="0"/>
    <n v="3000"/>
    <n v="3000"/>
    <n v="3000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813 Repuestos y Accesorios"/>
    <s v="G/530813/1PA101"/>
    <s v="001"/>
    <n v="10000"/>
    <n v="10366.09"/>
    <n v="0"/>
    <n v="20366.09"/>
    <n v="0"/>
    <n v="20366.09"/>
    <n v="17756.509999999998"/>
    <n v="0"/>
    <n v="2609.58"/>
    <n v="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813 Repuestos y Accesorios"/>
    <s v="G/530813/1AA101"/>
    <s v="002"/>
    <n v="361780"/>
    <n v="0"/>
    <n v="0"/>
    <n v="361780"/>
    <n v="12489.95"/>
    <n v="303071.02"/>
    <n v="137718.57"/>
    <n v="58708.98"/>
    <n v="224061.43"/>
    <n v="46219.03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813 Repuestos y Accesorios"/>
    <s v="G/530813/1FA101"/>
    <s v="001"/>
    <n v="2455"/>
    <n v="0"/>
    <n v="0"/>
    <n v="2455"/>
    <n v="0"/>
    <n v="2455"/>
    <n v="1047.2"/>
    <n v="0"/>
    <n v="1407.8"/>
    <n v="0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813 Repuestos y Accesorios"/>
    <s v="G/530813/1BA101"/>
    <s v="002"/>
    <n v="3000"/>
    <n v="12480"/>
    <n v="0"/>
    <n v="15480"/>
    <n v="0"/>
    <n v="3076.64"/>
    <n v="3054.74"/>
    <n v="12403.36"/>
    <n v="12425.26"/>
    <n v="12403.36"/>
  </r>
  <r>
    <s v="53"/>
    <x v="2"/>
    <x v="8"/>
    <s v="ZA01P000"/>
    <x v="15"/>
    <s v="A101"/>
    <s v="FORTALECIMIENTO INSTITUCIONAL"/>
    <s v="GC00A10100001D"/>
    <s v="GC00A10100001D GASTOS ADMINISTRATIVOS"/>
    <s v="53 BIENES Y SERVICIOS DE CONSUMO"/>
    <s v="530813 Repuestos y Accesorios"/>
    <s v="G/530813/1PA101"/>
    <s v="001"/>
    <n v="2000"/>
    <n v="0"/>
    <n v="0"/>
    <n v="2000"/>
    <n v="0"/>
    <n v="0"/>
    <n v="0"/>
    <n v="2000"/>
    <n v="2000"/>
    <n v="2000"/>
  </r>
  <r>
    <s v="53"/>
    <x v="2"/>
    <x v="11"/>
    <s v="TM68F100"/>
    <x v="34"/>
    <s v="A101"/>
    <s v="FORTALECIMIENTO INSTITUCIONAL"/>
    <s v="GC00A10100001D"/>
    <s v="GC00A10100001D GASTOS ADMINISTRATIVOS"/>
    <s v="53 BIENES Y SERVICIOS DE CONSUMO"/>
    <s v="530813 Repuestos y Accesorios"/>
    <s v="G/530813/1FA101"/>
    <s v="001"/>
    <n v="200"/>
    <n v="642"/>
    <n v="0"/>
    <n v="842"/>
    <n v="197.12"/>
    <n v="644.78"/>
    <n v="644.78"/>
    <n v="197.22"/>
    <n v="197.22"/>
    <n v="0.1"/>
  </r>
  <r>
    <s v="53"/>
    <x v="1"/>
    <x v="2"/>
    <s v="CF22I050"/>
    <x v="22"/>
    <s v="A101"/>
    <s v="FORTALECIMIENTO INSTITUCIONAL"/>
    <s v="GC00A10100001D"/>
    <s v="GC00A10100001D GASTOS ADMINISTRATIVOS"/>
    <s v="53 BIENES Y SERVICIOS DE CONSUMO"/>
    <s v="530813 Repuestos y Accesorios"/>
    <s v="G/530813/1IA101"/>
    <s v="001"/>
    <n v="1000"/>
    <n v="0"/>
    <n v="0"/>
    <n v="1000"/>
    <n v="1000"/>
    <n v="0"/>
    <n v="0"/>
    <n v="1000"/>
    <n v="1000"/>
    <n v="0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814 Suministros para Actividades Agropecuarias,"/>
    <s v="G/530814/1PA101"/>
    <s v="001"/>
    <n v="115"/>
    <n v="-115"/>
    <n v="0"/>
    <n v="0"/>
    <n v="0"/>
    <n v="0"/>
    <n v="0"/>
    <n v="0"/>
    <n v="0"/>
    <n v="0"/>
  </r>
  <r>
    <s v="53"/>
    <x v="1"/>
    <x v="2"/>
    <s v="ZA01I000"/>
    <x v="5"/>
    <s v="A101"/>
    <s v="FORTALECIMIENTO INSTITUCIONAL"/>
    <s v="GC00A10100001D"/>
    <s v="GC00A10100001D GASTOS ADMINISTRATIVOS"/>
    <s v="53 BIENES Y SERVICIOS DE CONSUMO"/>
    <s v="530819 Accesorios e Insumos Químicos y Orgánico"/>
    <s v="G/530819/1IA101"/>
    <s v="001"/>
    <n v="4500"/>
    <n v="0"/>
    <n v="0"/>
    <n v="4500"/>
    <n v="0"/>
    <n v="0"/>
    <n v="0"/>
    <n v="4500"/>
    <n v="4500"/>
    <n v="4500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0819 Accesorios e Insumos Químicos y Orgánico"/>
    <s v="G/530819/1FA101"/>
    <s v="001"/>
    <n v="360"/>
    <n v="0"/>
    <n v="0"/>
    <n v="360"/>
    <n v="0"/>
    <n v="0"/>
    <n v="0"/>
    <n v="360"/>
    <n v="360"/>
    <n v="360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820 Menaje y Accesorios Descartables"/>
    <s v="G/530820/1BA101"/>
    <s v="002"/>
    <n v="0"/>
    <n v="2092.16"/>
    <n v="0"/>
    <n v="2092.16"/>
    <n v="0"/>
    <n v="1540"/>
    <n v="1540"/>
    <n v="552.16"/>
    <n v="552.16"/>
    <n v="552.16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820 Menaje y Accesorios Descartables"/>
    <s v="G/530820/1PA101"/>
    <s v="001"/>
    <n v="80"/>
    <n v="-80"/>
    <n v="0"/>
    <n v="0"/>
    <n v="0"/>
    <n v="0"/>
    <n v="0"/>
    <n v="0"/>
    <n v="0"/>
    <n v="0"/>
  </r>
  <r>
    <s v="53"/>
    <x v="2"/>
    <x v="6"/>
    <s v="AT69K040"/>
    <x v="13"/>
    <s v="A101"/>
    <s v="FORTALECIMIENTO INSTITUCIONAL"/>
    <s v="GC00A10100001D"/>
    <s v="GC00A10100001D GASTOS ADMINISTRATIVOS"/>
    <s v="53 BIENES Y SERVICIOS DE CONSUMO"/>
    <s v="530820 Menaje y Accesorios Descartables"/>
    <s v="G/530820/1KA101"/>
    <s v="001"/>
    <n v="0"/>
    <n v="3000"/>
    <n v="0"/>
    <n v="3000"/>
    <n v="0"/>
    <n v="0"/>
    <n v="0"/>
    <n v="3000"/>
    <n v="3000"/>
    <n v="3000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0820 Menaje y Accesorios Descartables"/>
    <s v="G/530820/1MA101"/>
    <s v="001"/>
    <n v="3000"/>
    <n v="-1000"/>
    <n v="0"/>
    <n v="2000"/>
    <n v="0"/>
    <n v="0"/>
    <n v="0"/>
    <n v="2000"/>
    <n v="2000"/>
    <n v="2000"/>
  </r>
  <r>
    <s v="53"/>
    <x v="1"/>
    <x v="3"/>
    <s v="UN31M010"/>
    <x v="11"/>
    <s v="A101"/>
    <s v="FORTALECIMIENTO INSTITUCIONAL"/>
    <s v="GC00A10100001D"/>
    <s v="GC00A10100001D GASTOS ADMINISTRATIVOS"/>
    <s v="53 BIENES Y SERVICIOS DE CONSUMO"/>
    <s v="530820 Menaje y Accesorios Descartables"/>
    <s v="G/530820/1MA101"/>
    <s v="001"/>
    <n v="0"/>
    <n v="1000"/>
    <n v="0"/>
    <n v="1000"/>
    <n v="0"/>
    <n v="0"/>
    <n v="0"/>
    <n v="1000"/>
    <n v="1000"/>
    <n v="100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0822 Condecoraciones"/>
    <s v="G/530822/1AA101"/>
    <s v="002"/>
    <n v="0"/>
    <n v="1000"/>
    <n v="0"/>
    <n v="1000"/>
    <n v="0"/>
    <n v="1000"/>
    <n v="291.2"/>
    <n v="0"/>
    <n v="708.8"/>
    <n v="0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823 Egresos para Sanidad Agropecuaria"/>
    <s v="G/530823/1AA101"/>
    <s v="002"/>
    <n v="250"/>
    <n v="88.8"/>
    <n v="0"/>
    <n v="338.8"/>
    <n v="0"/>
    <n v="268.8"/>
    <n v="156.80000000000001"/>
    <n v="70"/>
    <n v="182"/>
    <n v="70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826 Dispositivos Médicos de Uso General"/>
    <s v="G/530826/1PA101"/>
    <s v="001"/>
    <n v="20"/>
    <n v="-20"/>
    <n v="0"/>
    <n v="0"/>
    <n v="0"/>
    <n v="0"/>
    <n v="0"/>
    <n v="0"/>
    <n v="0"/>
    <n v="0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0826 Dispositivos Médicos de Uso General"/>
    <s v="G/530826/1BA101"/>
    <s v="002"/>
    <n v="0"/>
    <n v="82753.78"/>
    <n v="0"/>
    <n v="82753.78"/>
    <n v="0"/>
    <n v="78408.179999999993"/>
    <n v="78408.179999999993"/>
    <n v="4345.6000000000004"/>
    <n v="4345.6000000000004"/>
    <n v="4345.6000000000004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0826 Dispositivos Médicos de Uso General"/>
    <s v="G/530826/1AA101"/>
    <s v="002"/>
    <n v="0"/>
    <n v="2153"/>
    <n v="0"/>
    <n v="2153"/>
    <n v="215.04"/>
    <n v="1937.96"/>
    <n v="1937.96"/>
    <n v="215.04"/>
    <n v="215.04"/>
    <n v="0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0826 Dispositivos Médicos de Uso General"/>
    <s v="G/530826/1IA101"/>
    <s v="001"/>
    <n v="0"/>
    <n v="600"/>
    <n v="0"/>
    <n v="600"/>
    <n v="0"/>
    <n v="0"/>
    <n v="0"/>
    <n v="600"/>
    <n v="600"/>
    <n v="600"/>
  </r>
  <r>
    <s v="53"/>
    <x v="1"/>
    <x v="2"/>
    <s v="ES12I020"/>
    <x v="16"/>
    <s v="A101"/>
    <s v="FORTALECIMIENTO INSTITUCIONAL"/>
    <s v="GC00A10100001D"/>
    <s v="GC00A10100001D GASTOS ADMINISTRATIVOS"/>
    <s v="53 BIENES Y SERVICIOS DE CONSUMO"/>
    <s v="530827 Uniformes Deportivos"/>
    <s v="G/530827/1IA101"/>
    <s v="001"/>
    <n v="4000"/>
    <n v="0"/>
    <n v="0"/>
    <n v="4000"/>
    <n v="0"/>
    <n v="0"/>
    <n v="0"/>
    <n v="4000"/>
    <n v="4000"/>
    <n v="4000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0827 Uniformes Deportivos"/>
    <s v="G/530827/1IA101"/>
    <s v="001"/>
    <n v="2000"/>
    <n v="-1200"/>
    <n v="0"/>
    <n v="800"/>
    <n v="0"/>
    <n v="0"/>
    <n v="0"/>
    <n v="800"/>
    <n v="800"/>
    <n v="800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0832 Dispositivos Médicos para Odontología"/>
    <s v="G/530832/1PA101"/>
    <s v="001"/>
    <n v="400"/>
    <n v="-400"/>
    <n v="0"/>
    <n v="0"/>
    <n v="0"/>
    <n v="0"/>
    <n v="0"/>
    <n v="0"/>
    <n v="0"/>
    <n v="0"/>
  </r>
  <r>
    <s v="53"/>
    <x v="1"/>
    <x v="2"/>
    <s v="JM40I070"/>
    <x v="12"/>
    <s v="A101"/>
    <s v="FORTALECIMIENTO INSTITUCIONAL"/>
    <s v="GC00A10100001D"/>
    <s v="GC00A10100001D GASTOS ADMINISTRATIVOS"/>
    <s v="53 BIENES Y SERVICIOS DE CONSUMO"/>
    <s v="531403 Mobiliario"/>
    <s v="G/531403/1IA101"/>
    <s v="001"/>
    <n v="7001.16"/>
    <n v="0"/>
    <n v="0"/>
    <n v="7001.16"/>
    <n v="0"/>
    <n v="0"/>
    <n v="0"/>
    <n v="7001.16"/>
    <n v="7001.16"/>
    <n v="7001.16"/>
  </r>
  <r>
    <s v="53"/>
    <x v="1"/>
    <x v="2"/>
    <s v="ES12I020"/>
    <x v="16"/>
    <s v="A101"/>
    <s v="FORTALECIMIENTO INSTITUCIONAL"/>
    <s v="GC00A10100001D"/>
    <s v="GC00A10100001D GASTOS ADMINISTRATIVOS"/>
    <s v="53 BIENES Y SERVICIOS DE CONSUMO"/>
    <s v="531403 Mobiliario"/>
    <s v="G/531403/1IA101"/>
    <s v="001"/>
    <n v="4000"/>
    <n v="0"/>
    <n v="0"/>
    <n v="4000"/>
    <n v="0"/>
    <n v="0"/>
    <n v="0"/>
    <n v="4000"/>
    <n v="4000"/>
    <n v="4000"/>
  </r>
  <r>
    <s v="53"/>
    <x v="0"/>
    <x v="0"/>
    <s v="ZA01A001"/>
    <x v="47"/>
    <s v="A101"/>
    <s v="FORTALECIMIENTO INSTITUCIONAL"/>
    <s v="GC00A10100001D"/>
    <s v="GC00A10100001D GASTOS ADMINISTRATIVOS"/>
    <s v="53 BIENES Y SERVICIOS DE CONSUMO"/>
    <s v="531403 Mobiliario"/>
    <s v="G/531403/1AA101"/>
    <s v="002"/>
    <n v="3000"/>
    <n v="1431.09"/>
    <n v="0"/>
    <n v="4431.09"/>
    <n v="0"/>
    <n v="0"/>
    <n v="0"/>
    <n v="4431.09"/>
    <n v="4431.09"/>
    <n v="4431.09"/>
  </r>
  <r>
    <s v="53"/>
    <x v="1"/>
    <x v="2"/>
    <s v="EQ13I030"/>
    <x v="20"/>
    <s v="A101"/>
    <s v="FORTALECIMIENTO INSTITUCIONAL"/>
    <s v="GC00A10100001D"/>
    <s v="GC00A10100001D GASTOS ADMINISTRATIVOS"/>
    <s v="53 BIENES Y SERVICIOS DE CONSUMO"/>
    <s v="531403 Mobiliario"/>
    <s v="G/531403/1IA101"/>
    <s v="001"/>
    <n v="500"/>
    <n v="-500"/>
    <n v="0"/>
    <n v="0"/>
    <n v="0"/>
    <n v="0"/>
    <n v="0"/>
    <n v="0"/>
    <n v="0"/>
    <n v="0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1403 Mobiliario"/>
    <s v="G/531403/1MA101"/>
    <s v="001"/>
    <n v="5000"/>
    <n v="-3000"/>
    <n v="0"/>
    <n v="2000"/>
    <n v="0"/>
    <n v="0"/>
    <n v="0"/>
    <n v="2000"/>
    <n v="2000"/>
    <n v="2000"/>
  </r>
  <r>
    <s v="53"/>
    <x v="0"/>
    <x v="0"/>
    <s v="RP36A010"/>
    <x v="2"/>
    <s v="A101"/>
    <s v="FORTALECIMIENTO INSTITUCIONAL"/>
    <s v="GC00A10100001D"/>
    <s v="GC00A10100001D GASTOS ADMINISTRATIVOS"/>
    <s v="53 BIENES Y SERVICIOS DE CONSUMO"/>
    <s v="531403 Mobiliario"/>
    <s v="G/531403/1AA101"/>
    <s v="002"/>
    <n v="800"/>
    <n v="-800"/>
    <n v="0"/>
    <n v="0"/>
    <n v="0"/>
    <n v="0"/>
    <n v="0"/>
    <n v="0"/>
    <n v="0"/>
    <n v="0"/>
  </r>
  <r>
    <s v="53"/>
    <x v="1"/>
    <x v="2"/>
    <s v="OL41I060"/>
    <x v="42"/>
    <s v="A101"/>
    <s v="FORTALECIMIENTO INSTITUCIONAL"/>
    <s v="GC00A10100001D"/>
    <s v="GC00A10100001D GASTOS ADMINISTRATIVOS"/>
    <s v="53 BIENES Y SERVICIOS DE CONSUMO"/>
    <s v="531403 Mobiliario"/>
    <s v="G/531403/1IA101"/>
    <s v="001"/>
    <n v="1500"/>
    <n v="0"/>
    <n v="0"/>
    <n v="1500"/>
    <n v="0"/>
    <n v="0"/>
    <n v="0"/>
    <n v="1500"/>
    <n v="1500"/>
    <n v="1500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1404 Maquinarias y Equipos"/>
    <s v="G/531404/1MA101"/>
    <s v="001"/>
    <n v="2000"/>
    <n v="0"/>
    <n v="0"/>
    <n v="2000"/>
    <n v="0"/>
    <n v="0"/>
    <n v="0"/>
    <n v="2000"/>
    <n v="2000"/>
    <n v="2000"/>
  </r>
  <r>
    <s v="53"/>
    <x v="1"/>
    <x v="2"/>
    <s v="CB21I040"/>
    <x v="23"/>
    <s v="A101"/>
    <s v="FORTALECIMIENTO INSTITUCIONAL"/>
    <s v="GC00A10100001D"/>
    <s v="GC00A10100001D GASTOS ADMINISTRATIVOS"/>
    <s v="53 BIENES Y SERVICIOS DE CONSUMO"/>
    <s v="531404 Maquinarias y Equipos"/>
    <s v="G/531404/1IA101"/>
    <s v="001"/>
    <n v="0"/>
    <n v="700"/>
    <n v="0"/>
    <n v="700"/>
    <n v="0"/>
    <n v="0"/>
    <n v="0"/>
    <n v="700"/>
    <n v="700"/>
    <n v="700"/>
  </r>
  <r>
    <s v="53"/>
    <x v="1"/>
    <x v="2"/>
    <s v="OL41I060"/>
    <x v="42"/>
    <s v="A101"/>
    <s v="FORTALECIMIENTO INSTITUCIONAL"/>
    <s v="GC00A10100001D"/>
    <s v="GC00A10100001D GASTOS ADMINISTRATIVOS"/>
    <s v="53 BIENES Y SERVICIOS DE CONSUMO"/>
    <s v="531404 Maquinarias y Equipos"/>
    <s v="G/531404/1IA101"/>
    <s v="001"/>
    <n v="4000"/>
    <n v="-1120"/>
    <n v="0"/>
    <n v="2880"/>
    <n v="0"/>
    <n v="0"/>
    <n v="0"/>
    <n v="2880"/>
    <n v="2880"/>
    <n v="2880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1404 Maquinarias y Equipos"/>
    <s v="G/531404/1BA101"/>
    <s v="002"/>
    <n v="1000"/>
    <n v="2688"/>
    <n v="0"/>
    <n v="3688"/>
    <n v="0"/>
    <n v="2688"/>
    <n v="2688"/>
    <n v="1000"/>
    <n v="1000"/>
    <n v="1000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1404 Maquinarias y Equipos"/>
    <s v="G/531404/1FA101"/>
    <s v="001"/>
    <n v="100"/>
    <n v="0"/>
    <n v="0"/>
    <n v="100"/>
    <n v="0"/>
    <n v="0"/>
    <n v="0"/>
    <n v="100"/>
    <n v="100"/>
    <n v="100"/>
  </r>
  <r>
    <s v="53"/>
    <x v="2"/>
    <x v="8"/>
    <s v="FS66P020"/>
    <x v="36"/>
    <s v="A101"/>
    <s v="FORTALECIMIENTO INSTITUCIONAL"/>
    <s v="GC00A10100001D"/>
    <s v="GC00A10100001D GASTOS ADMINISTRATIVOS"/>
    <s v="53 BIENES Y SERVICIOS DE CONSUMO"/>
    <s v="531404 Maquinarias y Equipos"/>
    <s v="G/531404/1PA101"/>
    <s v="001"/>
    <n v="70"/>
    <n v="-70"/>
    <n v="0"/>
    <n v="0"/>
    <n v="0"/>
    <n v="0"/>
    <n v="0"/>
    <n v="0"/>
    <n v="0"/>
    <n v="0"/>
  </r>
  <r>
    <s v="53"/>
    <x v="1"/>
    <x v="3"/>
    <s v="ZA01M000"/>
    <x v="6"/>
    <s v="A101"/>
    <s v="FORTALECIMIENTO INSTITUCIONAL"/>
    <s v="GC00A10100001D"/>
    <s v="GC00A10100001D GASTOS ADMINISTRATIVOS"/>
    <s v="53 BIENES Y SERVICIOS DE CONSUMO"/>
    <s v="531406 Herramientas y Equipos menores"/>
    <s v="G/531406/1MA101"/>
    <s v="001"/>
    <n v="0"/>
    <n v="560"/>
    <n v="0"/>
    <n v="560"/>
    <n v="0"/>
    <n v="0"/>
    <n v="0"/>
    <n v="560"/>
    <n v="560"/>
    <n v="560"/>
  </r>
  <r>
    <s v="53"/>
    <x v="2"/>
    <x v="11"/>
    <s v="ZN02F020"/>
    <x v="40"/>
    <s v="A101"/>
    <s v="FORTALECIMIENTO INSTITUCIONAL"/>
    <s v="GC00A10100001D"/>
    <s v="GC00A10100001D GASTOS ADMINISTRATIVOS"/>
    <s v="53 BIENES Y SERVICIOS DE CONSUMO"/>
    <s v="531406 Herramientas y Equipos menores"/>
    <s v="G/531406/1FA101"/>
    <s v="001"/>
    <n v="100"/>
    <n v="0"/>
    <n v="0"/>
    <n v="100"/>
    <n v="0"/>
    <n v="0"/>
    <n v="0"/>
    <n v="100"/>
    <n v="100"/>
    <n v="100"/>
  </r>
  <r>
    <s v="53"/>
    <x v="1"/>
    <x v="3"/>
    <s v="US33M030"/>
    <x v="8"/>
    <s v="A101"/>
    <s v="FORTALECIMIENTO INSTITUCIONAL"/>
    <s v="GC00A10100001D"/>
    <s v="GC00A10100001D GASTOS ADMINISTRATIVOS"/>
    <s v="53 BIENES Y SERVICIOS DE CONSUMO"/>
    <s v="531406 Herramientas y Equipos menores"/>
    <s v="G/531406/1MA101"/>
    <s v="001"/>
    <n v="7000"/>
    <n v="-7000"/>
    <n v="0"/>
    <n v="0"/>
    <n v="0"/>
    <n v="0"/>
    <n v="0"/>
    <n v="0"/>
    <n v="0"/>
    <n v="0"/>
  </r>
  <r>
    <s v="53"/>
    <x v="2"/>
    <x v="11"/>
    <s v="ZM04F040"/>
    <x v="41"/>
    <s v="A101"/>
    <s v="FORTALECIMIENTO INSTITUCIONAL"/>
    <s v="GC00A10100001D"/>
    <s v="GC00A10100001D GASTOS ADMINISTRATIVOS"/>
    <s v="53 BIENES Y SERVICIOS DE CONSUMO"/>
    <s v="531406 Herramientas y Equipos menores"/>
    <s v="G/531406/1FA101"/>
    <s v="001"/>
    <n v="0"/>
    <n v="1000"/>
    <n v="0"/>
    <n v="1000"/>
    <n v="0"/>
    <n v="0"/>
    <n v="0"/>
    <n v="1000"/>
    <n v="1000"/>
    <n v="1000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1407 Equipos, Sistemas y Paquetes Informáticos"/>
    <s v="G/531407/1IA101"/>
    <s v="001"/>
    <n v="1000"/>
    <n v="0"/>
    <n v="0"/>
    <n v="1000"/>
    <n v="0"/>
    <n v="0"/>
    <n v="0"/>
    <n v="1000"/>
    <n v="1000"/>
    <n v="1000"/>
  </r>
  <r>
    <s v="53"/>
    <x v="0"/>
    <x v="12"/>
    <s v="MC37B000"/>
    <x v="28"/>
    <s v="A101"/>
    <s v="FORTALECIMIENTO INSTITUCIONAL"/>
    <s v="GC00A10100001D"/>
    <s v="GC00A10100001D GASTOS ADMINISTRATIVOS"/>
    <s v="53 BIENES Y SERVICIOS DE CONSUMO"/>
    <s v="531407 Equipos, Sistemas y Paquetes Informáticos"/>
    <s v="G/531407/1BA101"/>
    <s v="002"/>
    <n v="1100"/>
    <n v="0"/>
    <n v="0"/>
    <n v="1100"/>
    <n v="0"/>
    <n v="0"/>
    <n v="0"/>
    <n v="1100"/>
    <n v="1100"/>
    <n v="1100"/>
  </r>
  <r>
    <s v="53"/>
    <x v="3"/>
    <x v="15"/>
    <s v="AC67Q000"/>
    <x v="32"/>
    <s v="A101"/>
    <s v="FORTALECIMIENTO INSTITUCIONAL"/>
    <s v="GC00A10100001D"/>
    <s v="GC00A10100001D GASTOS ADMINISTRATIVOS"/>
    <s v="53 BIENES Y SERVICIOS DE CONSUMO"/>
    <s v="531407 Equipos, Sistemas y Paquetes Informáticos"/>
    <s v="G/531407/1QA101"/>
    <s v="001"/>
    <n v="0"/>
    <n v="1015.08"/>
    <n v="0"/>
    <n v="1015.08"/>
    <n v="1014.72"/>
    <n v="0"/>
    <n v="0"/>
    <n v="1015.08"/>
    <n v="1015.08"/>
    <n v="0.36"/>
  </r>
  <r>
    <s v="53"/>
    <x v="2"/>
    <x v="11"/>
    <s v="ZV05F050"/>
    <x v="37"/>
    <s v="A101"/>
    <s v="FORTALECIMIENTO INSTITUCIONAL"/>
    <s v="GC00A10100001D"/>
    <s v="GC00A10100001D GASTOS ADMINISTRATIVOS"/>
    <s v="53 BIENES Y SERVICIOS DE CONSUMO"/>
    <s v="531408 Bienes Artísticos, Culturales, Bienes De"/>
    <s v="G/531408/1FA101"/>
    <s v="001"/>
    <n v="0"/>
    <n v="1568"/>
    <n v="0"/>
    <n v="1568"/>
    <n v="0"/>
    <n v="0"/>
    <n v="0"/>
    <n v="1568"/>
    <n v="1568"/>
    <n v="1568"/>
  </r>
  <r>
    <s v="53"/>
    <x v="1"/>
    <x v="2"/>
    <s v="MB42I090"/>
    <x v="26"/>
    <s v="A101"/>
    <s v="FORTALECIMIENTO INSTITUCIONAL"/>
    <s v="GC00A10100001D"/>
    <s v="GC00A10100001D GASTOS ADMINISTRATIVOS"/>
    <s v="53 BIENES Y SERVICIOS DE CONSUMO"/>
    <s v="531409 Libros y Colecciones"/>
    <s v="G/531409/1IA101"/>
    <s v="001"/>
    <n v="2500"/>
    <n v="0"/>
    <n v="0"/>
    <n v="2500"/>
    <n v="0"/>
    <n v="0"/>
    <n v="0"/>
    <n v="2500"/>
    <n v="2500"/>
    <n v="2500"/>
  </r>
  <r>
    <s v="53"/>
    <x v="2"/>
    <x v="11"/>
    <s v="ZM04F040"/>
    <x v="41"/>
    <s v="A101"/>
    <s v="FORTALECIMIENTO INSTITUCIONAL"/>
    <s v="GC00A10100001D"/>
    <s v="GC00A10100001D GASTOS ADMINISTRATIVOS"/>
    <s v="53 BIENES Y SERVICIOS DE CONSUMO"/>
    <s v="531411 Partes y Repuestos"/>
    <s v="G/531411/1FA101"/>
    <s v="001"/>
    <n v="0"/>
    <n v="450"/>
    <n v="0"/>
    <n v="450"/>
    <n v="318.62"/>
    <n v="0"/>
    <n v="0"/>
    <n v="450"/>
    <n v="450"/>
    <n v="131.38"/>
  </r>
  <r>
    <s v="56"/>
    <x v="0"/>
    <x v="0"/>
    <s v="ZA01A003"/>
    <x v="48"/>
    <s v="A101"/>
    <s v="FORTALECIMIENTO INSTITUCIONAL"/>
    <s v="GC00A10100001D"/>
    <s v="GC00A10100001D GASTOS ADMINISTRATIVOS"/>
    <s v="56 GASTOS FINANCIEROS"/>
    <s v="560201 Sector Público Financiero"/>
    <s v="G/560201/1AA101"/>
    <s v="002"/>
    <n v="1327109.6000000001"/>
    <n v="0"/>
    <n v="0"/>
    <n v="1327109.6000000001"/>
    <n v="0"/>
    <n v="1106438.6599999999"/>
    <n v="1106438.6599999999"/>
    <n v="220670.94"/>
    <n v="220670.94"/>
    <n v="220670.94"/>
  </r>
  <r>
    <s v="56"/>
    <x v="0"/>
    <x v="0"/>
    <s v="ZA01A003"/>
    <x v="48"/>
    <s v="A101"/>
    <s v="FORTALECIMIENTO INSTITUCIONAL"/>
    <s v="GC00A10100001D"/>
    <s v="GC00A10100001D GASTOS ADMINISTRATIVOS"/>
    <s v="56 GASTOS FINANCIEROS"/>
    <s v="560301 A Organismos Multilaterales"/>
    <s v="G/560301/1AA101"/>
    <s v="002"/>
    <n v="45017521.619999997"/>
    <n v="0"/>
    <n v="0"/>
    <n v="45017521.619999997"/>
    <n v="0"/>
    <n v="19672080.199999999"/>
    <n v="19672080.199999999"/>
    <n v="25345441.420000002"/>
    <n v="25345441.420000002"/>
    <n v="25345441.420000002"/>
  </r>
  <r>
    <s v="56"/>
    <x v="0"/>
    <x v="0"/>
    <s v="ZA01A003"/>
    <x v="48"/>
    <s v="A101"/>
    <s v="FORTALECIMIENTO INSTITUCIONAL"/>
    <s v="GC00A10100001D"/>
    <s v="GC00A10100001D GASTOS ADMINISTRATIVOS"/>
    <s v="56 GASTOS FINANCIEROS"/>
    <s v="560304 Al Sector Privado No Financiero"/>
    <s v="G/560304/1AA101"/>
    <s v="002"/>
    <n v="1509762"/>
    <n v="0"/>
    <n v="0"/>
    <n v="1509762"/>
    <n v="0"/>
    <n v="1486762"/>
    <n v="1486762"/>
    <n v="23000"/>
    <n v="23000"/>
    <n v="23000"/>
  </r>
  <r>
    <s v="57"/>
    <x v="2"/>
    <x v="11"/>
    <s v="ZT06F060"/>
    <x v="25"/>
    <s v="A101"/>
    <s v="FORTALECIMIENTO INSTITUCIONAL"/>
    <s v="GC00A10100001D"/>
    <s v="GC00A10100001D GASTOS ADMINISTRATIVOS"/>
    <s v="57 OTROS GASTOS CORRIENTES"/>
    <s v="570102 Tasas Generales, Impuestos, Contribuciones,"/>
    <s v="G/570102/1FA101"/>
    <s v="001"/>
    <n v="1000"/>
    <n v="0"/>
    <n v="0"/>
    <n v="1000"/>
    <n v="0"/>
    <n v="766.81"/>
    <n v="766.81"/>
    <n v="233.19"/>
    <n v="233.19"/>
    <n v="233.19"/>
  </r>
  <r>
    <s v="57"/>
    <x v="2"/>
    <x v="11"/>
    <s v="ZV05F050"/>
    <x v="37"/>
    <s v="A101"/>
    <s v="FORTALECIMIENTO INSTITUCIONAL"/>
    <s v="GC00A10100001D"/>
    <s v="GC00A10100001D GASTOS ADMINISTRATIVOS"/>
    <s v="57 OTROS GASTOS CORRIENTES"/>
    <s v="570102 Tasas Generales, Impuestos, Contribuciones,"/>
    <s v="G/570102/1FA101"/>
    <s v="001"/>
    <n v="6500"/>
    <n v="0"/>
    <n v="0"/>
    <n v="6500"/>
    <n v="2876.63"/>
    <n v="38.25"/>
    <n v="38.25"/>
    <n v="6461.75"/>
    <n v="6461.75"/>
    <n v="3585.12"/>
  </r>
  <r>
    <s v="57"/>
    <x v="1"/>
    <x v="2"/>
    <s v="CF22I050"/>
    <x v="22"/>
    <s v="A101"/>
    <s v="FORTALECIMIENTO INSTITUCIONAL"/>
    <s v="GC00A10100001D"/>
    <s v="GC00A10100001D GASTOS ADMINISTRATIVOS"/>
    <s v="57 OTROS GASTOS CORRIENTES"/>
    <s v="570102 Tasas Generales, Impuestos, Contribuciones,"/>
    <s v="G/570102/1IA101"/>
    <s v="001"/>
    <n v="500"/>
    <n v="0"/>
    <n v="0"/>
    <n v="500"/>
    <n v="0"/>
    <n v="418.88"/>
    <n v="418.88"/>
    <n v="81.12"/>
    <n v="81.12"/>
    <n v="81.12"/>
  </r>
  <r>
    <s v="57"/>
    <x v="3"/>
    <x v="15"/>
    <s v="AC67Q000"/>
    <x v="32"/>
    <s v="A101"/>
    <s v="FORTALECIMIENTO INSTITUCIONAL"/>
    <s v="GC00A10100001D"/>
    <s v="GC00A10100001D GASTOS ADMINISTRATIVOS"/>
    <s v="57 OTROS GASTOS CORRIENTES"/>
    <s v="570102 Tasas Generales, Impuestos, Contribuciones,"/>
    <s v="G/570102/1QA101"/>
    <s v="001"/>
    <n v="2000"/>
    <n v="0"/>
    <n v="0"/>
    <n v="2000"/>
    <n v="0"/>
    <n v="0"/>
    <n v="0"/>
    <n v="2000"/>
    <n v="2000"/>
    <n v="2000"/>
  </r>
  <r>
    <s v="57"/>
    <x v="2"/>
    <x v="11"/>
    <s v="ZD07F070"/>
    <x v="43"/>
    <s v="A101"/>
    <s v="FORTALECIMIENTO INSTITUCIONAL"/>
    <s v="GC00A10100001D"/>
    <s v="GC00A10100001D GASTOS ADMINISTRATIVOS"/>
    <s v="57 OTROS GASTOS CORRIENTES"/>
    <s v="570102 Tasas Generales, Impuestos, Contribuciones,"/>
    <s v="G/570102/1FA101"/>
    <s v="001"/>
    <n v="1400"/>
    <n v="1000"/>
    <n v="0"/>
    <n v="2400"/>
    <n v="0"/>
    <n v="1204.2"/>
    <n v="1202.46"/>
    <n v="1195.8"/>
    <n v="1197.54"/>
    <n v="1195.8"/>
  </r>
  <r>
    <s v="57"/>
    <x v="0"/>
    <x v="0"/>
    <s v="ZA01A003"/>
    <x v="48"/>
    <s v="A101"/>
    <s v="FORTALECIMIENTO INSTITUCIONAL"/>
    <s v="GC00A10100001D"/>
    <s v="GC00A10100001D GASTOS ADMINISTRATIVOS"/>
    <s v="57 OTROS GASTOS CORRIENTES"/>
    <s v="570102 Tasas Generales, Impuestos, Contribuciones,"/>
    <s v="G/570102/1AA101"/>
    <s v="002"/>
    <n v="2400"/>
    <n v="0"/>
    <n v="0"/>
    <n v="2400"/>
    <n v="0"/>
    <n v="0"/>
    <n v="0"/>
    <n v="2400"/>
    <n v="2400"/>
    <n v="2400"/>
  </r>
  <r>
    <s v="57"/>
    <x v="1"/>
    <x v="3"/>
    <s v="UN31M010"/>
    <x v="11"/>
    <s v="A101"/>
    <s v="FORTALECIMIENTO INSTITUCIONAL"/>
    <s v="GC00A10100001D"/>
    <s v="GC00A10100001D GASTOS ADMINISTRATIVOS"/>
    <s v="57 OTROS GASTOS CORRIENTES"/>
    <s v="570102 Tasas Generales, Impuestos, Contribuciones,"/>
    <s v="G/570102/1MA101"/>
    <s v="001"/>
    <n v="5700"/>
    <n v="0"/>
    <n v="0"/>
    <n v="5700"/>
    <n v="0"/>
    <n v="1025.8900000000001"/>
    <n v="705.55"/>
    <n v="4674.1099999999997"/>
    <n v="4994.45"/>
    <n v="4674.1099999999997"/>
  </r>
  <r>
    <s v="57"/>
    <x v="2"/>
    <x v="8"/>
    <s v="FS66P020"/>
    <x v="36"/>
    <s v="A101"/>
    <s v="FORTALECIMIENTO INSTITUCIONAL"/>
    <s v="GC00A10100001D"/>
    <s v="GC00A10100001D GASTOS ADMINISTRATIVOS"/>
    <s v="57 OTROS GASTOS CORRIENTES"/>
    <s v="570102 Tasas Generales, Impuestos, Contribuciones,"/>
    <s v="G/570102/1PA101"/>
    <s v="001"/>
    <n v="2500"/>
    <n v="-37.67"/>
    <n v="0"/>
    <n v="2462.33"/>
    <n v="0"/>
    <n v="2314.42"/>
    <n v="2304.64"/>
    <n v="147.91"/>
    <n v="157.69"/>
    <n v="147.91"/>
  </r>
  <r>
    <s v="57"/>
    <x v="2"/>
    <x v="11"/>
    <s v="ZC09F090"/>
    <x v="44"/>
    <s v="A101"/>
    <s v="FORTALECIMIENTO INSTITUCIONAL"/>
    <s v="GC00A10100001D"/>
    <s v="GC00A10100001D GASTOS ADMINISTRATIVOS"/>
    <s v="57 OTROS GASTOS CORRIENTES"/>
    <s v="570102 Tasas Generales, Impuestos, Contribuciones,"/>
    <s v="G/570102/1FA101"/>
    <s v="001"/>
    <n v="2500"/>
    <n v="2000"/>
    <n v="0"/>
    <n v="4500"/>
    <n v="0"/>
    <n v="2142.7199999999998"/>
    <n v="1686.72"/>
    <n v="2357.2800000000002"/>
    <n v="2813.28"/>
    <n v="2357.2800000000002"/>
  </r>
  <r>
    <s v="57"/>
    <x v="2"/>
    <x v="11"/>
    <s v="ZS03F030"/>
    <x v="38"/>
    <s v="A101"/>
    <s v="FORTALECIMIENTO INSTITUCIONAL"/>
    <s v="GC00A10100001D"/>
    <s v="GC00A10100001D GASTOS ADMINISTRATIVOS"/>
    <s v="57 OTROS GASTOS CORRIENTES"/>
    <s v="570102 Tasas Generales, Impuestos, Contribuciones,"/>
    <s v="G/570102/1FA101"/>
    <s v="001"/>
    <n v="4000"/>
    <n v="0"/>
    <n v="0"/>
    <n v="4000"/>
    <n v="4000"/>
    <n v="0"/>
    <n v="0"/>
    <n v="4000"/>
    <n v="4000"/>
    <n v="0"/>
  </r>
  <r>
    <s v="57"/>
    <x v="1"/>
    <x v="2"/>
    <s v="ES12I020"/>
    <x v="16"/>
    <s v="A101"/>
    <s v="FORTALECIMIENTO INSTITUCIONAL"/>
    <s v="GC00A10100001D"/>
    <s v="GC00A10100001D GASTOS ADMINISTRATIVOS"/>
    <s v="57 OTROS GASTOS CORRIENTES"/>
    <s v="570102 Tasas Generales, Impuestos, Contribuciones,"/>
    <s v="G/570102/1IA101"/>
    <s v="001"/>
    <n v="1000"/>
    <n v="0"/>
    <n v="0"/>
    <n v="1000"/>
    <n v="0"/>
    <n v="282.60000000000002"/>
    <n v="0"/>
    <n v="717.4"/>
    <n v="1000"/>
    <n v="717.4"/>
  </r>
  <r>
    <s v="57"/>
    <x v="0"/>
    <x v="12"/>
    <s v="MC37B000"/>
    <x v="28"/>
    <s v="A101"/>
    <s v="FORTALECIMIENTO INSTITUCIONAL"/>
    <s v="GC00A10100001D"/>
    <s v="GC00A10100001D GASTOS ADMINISTRATIVOS"/>
    <s v="57 OTROS GASTOS CORRIENTES"/>
    <s v="570102 Tasas Generales, Impuestos, Contribuciones,"/>
    <s v="G/570102/1BA101"/>
    <s v="002"/>
    <n v="800"/>
    <n v="1500"/>
    <n v="0"/>
    <n v="2300"/>
    <n v="0"/>
    <n v="1590.88"/>
    <n v="100.36"/>
    <n v="709.12"/>
    <n v="2199.64"/>
    <n v="709.12"/>
  </r>
  <r>
    <s v="57"/>
    <x v="2"/>
    <x v="11"/>
    <s v="ZN02F020"/>
    <x v="40"/>
    <s v="A101"/>
    <s v="FORTALECIMIENTO INSTITUCIONAL"/>
    <s v="GC00A10100001D"/>
    <s v="GC00A10100001D GASTOS ADMINISTRATIVOS"/>
    <s v="57 OTROS GASTOS CORRIENTES"/>
    <s v="570102 Tasas Generales, Impuestos, Contribuciones,"/>
    <s v="G/570102/1FA101"/>
    <s v="001"/>
    <n v="2500"/>
    <n v="0"/>
    <n v="0"/>
    <n v="2500"/>
    <n v="0"/>
    <n v="871.62"/>
    <n v="5.4"/>
    <n v="1628.38"/>
    <n v="2494.6"/>
    <n v="1628.38"/>
  </r>
  <r>
    <s v="57"/>
    <x v="1"/>
    <x v="3"/>
    <s v="US33M030"/>
    <x v="8"/>
    <s v="A101"/>
    <s v="FORTALECIMIENTO INSTITUCIONAL"/>
    <s v="GC00A10100001D"/>
    <s v="GC00A10100001D GASTOS ADMINISTRATIVOS"/>
    <s v="57 OTROS GASTOS CORRIENTES"/>
    <s v="570102 Tasas Generales, Impuestos, Contribuciones,"/>
    <s v="G/570102/1MA101"/>
    <s v="001"/>
    <n v="5000"/>
    <n v="-2500"/>
    <n v="0"/>
    <n v="2500"/>
    <n v="0"/>
    <n v="1500"/>
    <n v="0"/>
    <n v="1000"/>
    <n v="2500"/>
    <n v="1000"/>
  </r>
  <r>
    <s v="57"/>
    <x v="2"/>
    <x v="11"/>
    <s v="ZM04F040"/>
    <x v="41"/>
    <s v="A101"/>
    <s v="FORTALECIMIENTO INSTITUCIONAL"/>
    <s v="GC00A10100001D"/>
    <s v="GC00A10100001D GASTOS ADMINISTRATIVOS"/>
    <s v="57 OTROS GASTOS CORRIENTES"/>
    <s v="570102 Tasas Generales, Impuestos, Contribuciones,"/>
    <s v="G/570102/1FA101"/>
    <s v="001"/>
    <n v="2500"/>
    <n v="0"/>
    <n v="0"/>
    <n v="2500"/>
    <n v="0"/>
    <n v="2138.3000000000002"/>
    <n v="2116.4899999999998"/>
    <n v="361.7"/>
    <n v="383.51"/>
    <n v="361.7"/>
  </r>
  <r>
    <s v="57"/>
    <x v="2"/>
    <x v="11"/>
    <s v="ZQ08F080"/>
    <x v="39"/>
    <s v="A101"/>
    <s v="FORTALECIMIENTO INSTITUCIONAL"/>
    <s v="GC00A10100001D"/>
    <s v="GC00A10100001D GASTOS ADMINISTRATIVOS"/>
    <s v="57 OTROS GASTOS CORRIENTES"/>
    <s v="570102 Tasas Generales, Impuestos, Contribuciones,"/>
    <s v="G/570102/1FA101"/>
    <s v="001"/>
    <n v="0"/>
    <n v="3646.58"/>
    <n v="0"/>
    <n v="3646.58"/>
    <n v="1401.82"/>
    <n v="1541.7"/>
    <n v="1504.96"/>
    <n v="2104.88"/>
    <n v="2141.62"/>
    <n v="703.06"/>
  </r>
  <r>
    <s v="57"/>
    <x v="1"/>
    <x v="2"/>
    <s v="SF43I080"/>
    <x v="35"/>
    <s v="A101"/>
    <s v="FORTALECIMIENTO INSTITUCIONAL"/>
    <s v="GC00A10100001D"/>
    <s v="GC00A10100001D GASTOS ADMINISTRATIVOS"/>
    <s v="57 OTROS GASTOS CORRIENTES"/>
    <s v="570102 Tasas Generales, Impuestos, Contribuciones,"/>
    <s v="G/570102/1IA101"/>
    <s v="001"/>
    <n v="0"/>
    <n v="188.78"/>
    <n v="0"/>
    <n v="188.78"/>
    <n v="0"/>
    <n v="188.78"/>
    <n v="0"/>
    <n v="0"/>
    <n v="188.78"/>
    <n v="0"/>
  </r>
  <r>
    <s v="57"/>
    <x v="2"/>
    <x v="11"/>
    <s v="TM68F100"/>
    <x v="34"/>
    <s v="A101"/>
    <s v="FORTALECIMIENTO INSTITUCIONAL"/>
    <s v="GC00A10100001D"/>
    <s v="GC00A10100001D GASTOS ADMINISTRATIVOS"/>
    <s v="57 OTROS GASTOS CORRIENTES"/>
    <s v="570102 Tasas Generales, Impuestos, Contribuciones,"/>
    <s v="G/570102/1FA101"/>
    <s v="001"/>
    <n v="0"/>
    <n v="143.07"/>
    <n v="0"/>
    <n v="143.07"/>
    <n v="0"/>
    <n v="109.19"/>
    <n v="109.19"/>
    <n v="33.880000000000003"/>
    <n v="33.880000000000003"/>
    <n v="33.880000000000003"/>
  </r>
  <r>
    <s v="57"/>
    <x v="1"/>
    <x v="2"/>
    <s v="MB42I090"/>
    <x v="26"/>
    <s v="A101"/>
    <s v="FORTALECIMIENTO INSTITUCIONAL"/>
    <s v="GC00A10100001D"/>
    <s v="GC00A10100001D GASTOS ADMINISTRATIVOS"/>
    <s v="57 OTROS GASTOS CORRIENTES"/>
    <s v="570102 Tasas Generales, Impuestos, Contribuciones,"/>
    <s v="G/570102/1IA101"/>
    <s v="001"/>
    <n v="300"/>
    <n v="0"/>
    <n v="0"/>
    <n v="300"/>
    <n v="0"/>
    <n v="0"/>
    <n v="0"/>
    <n v="300"/>
    <n v="300"/>
    <n v="300"/>
  </r>
  <r>
    <s v="57"/>
    <x v="1"/>
    <x v="2"/>
    <s v="CB21I040"/>
    <x v="23"/>
    <s v="A101"/>
    <s v="FORTALECIMIENTO INSTITUCIONAL"/>
    <s v="GC00A10100001D"/>
    <s v="GC00A10100001D GASTOS ADMINISTRATIVOS"/>
    <s v="57 OTROS GASTOS CORRIENTES"/>
    <s v="570102 Tasas Generales, Impuestos, Contribuciones,"/>
    <s v="G/570102/1IA101"/>
    <s v="001"/>
    <n v="1000"/>
    <n v="0"/>
    <n v="0"/>
    <n v="1000"/>
    <n v="0"/>
    <n v="806.67"/>
    <n v="806.67"/>
    <n v="193.33"/>
    <n v="193.33"/>
    <n v="193.33"/>
  </r>
  <r>
    <s v="57"/>
    <x v="0"/>
    <x v="0"/>
    <s v="RP36A010"/>
    <x v="2"/>
    <s v="A101"/>
    <s v="FORTALECIMIENTO INSTITUCIONAL"/>
    <s v="GC00A10100001D"/>
    <s v="GC00A10100001D GASTOS ADMINISTRATIVOS"/>
    <s v="57 OTROS GASTOS CORRIENTES"/>
    <s v="570102 Tasas Generales, Impuestos, Contribuciones,"/>
    <s v="G/570102/1AA101"/>
    <s v="002"/>
    <n v="100"/>
    <n v="100"/>
    <n v="0"/>
    <n v="200"/>
    <n v="0"/>
    <n v="101.62"/>
    <n v="101.62"/>
    <n v="98.38"/>
    <n v="98.38"/>
    <n v="98.38"/>
  </r>
  <r>
    <s v="57"/>
    <x v="0"/>
    <x v="0"/>
    <s v="ZA01A001"/>
    <x v="47"/>
    <s v="A101"/>
    <s v="FORTALECIMIENTO INSTITUCIONAL"/>
    <s v="GC00A10100001D"/>
    <s v="GC00A10100001D GASTOS ADMINISTRATIVOS"/>
    <s v="57 OTROS GASTOS CORRIENTES"/>
    <s v="570102 Tasas Generales, Impuestos, Contribuciones,"/>
    <s v="G/570102/1AA101"/>
    <s v="002"/>
    <n v="29000"/>
    <n v="0"/>
    <n v="0"/>
    <n v="29000"/>
    <n v="14604.33"/>
    <n v="0"/>
    <n v="0"/>
    <n v="29000"/>
    <n v="29000"/>
    <n v="14395.67"/>
  </r>
  <r>
    <s v="57"/>
    <x v="2"/>
    <x v="6"/>
    <s v="AT69K040"/>
    <x v="13"/>
    <s v="A101"/>
    <s v="FORTALECIMIENTO INSTITUCIONAL"/>
    <s v="GC00A10100001D"/>
    <s v="GC00A10100001D GASTOS ADMINISTRATIVOS"/>
    <s v="57 OTROS GASTOS CORRIENTES"/>
    <s v="570102 Tasas Generales, Impuestos, Contribuciones,"/>
    <s v="G/570102/1KA101"/>
    <s v="001"/>
    <n v="0"/>
    <n v="108800"/>
    <n v="0"/>
    <n v="108800"/>
    <n v="0"/>
    <n v="80070.94"/>
    <n v="62037.75"/>
    <n v="28729.06"/>
    <n v="46762.25"/>
    <n v="28729.06"/>
  </r>
  <r>
    <s v="57"/>
    <x v="0"/>
    <x v="0"/>
    <s v="ZA01A001"/>
    <x v="47"/>
    <s v="A101"/>
    <s v="FORTALECIMIENTO INSTITUCIONAL"/>
    <s v="GC00A10100001D"/>
    <s v="GC00A10100001D GASTOS ADMINISTRATIVOS"/>
    <s v="57 OTROS GASTOS CORRIENTES"/>
    <s v="570201 Seguros"/>
    <s v="G/570201/1AA101"/>
    <s v="002"/>
    <n v="2175000"/>
    <n v="-1431.09"/>
    <n v="0"/>
    <n v="2173568.91"/>
    <n v="2049.2399999999998"/>
    <n v="1602827.82"/>
    <n v="1602826.87"/>
    <n v="570741.09"/>
    <n v="570742.04"/>
    <n v="568691.85"/>
  </r>
  <r>
    <s v="57"/>
    <x v="2"/>
    <x v="5"/>
    <s v="PM71N010"/>
    <x v="27"/>
    <s v="A101"/>
    <s v="FORTALECIMIENTO INSTITUCIONAL"/>
    <s v="GC00A10100001D"/>
    <s v="GC00A10100001D GASTOS ADMINISTRATIVOS"/>
    <s v="57 OTROS GASTOS CORRIENTES"/>
    <s v="570201 Seguros"/>
    <s v="G/570201/1NA101"/>
    <s v="001"/>
    <n v="4000"/>
    <n v="0"/>
    <n v="0"/>
    <n v="4000"/>
    <n v="0"/>
    <n v="100"/>
    <n v="100"/>
    <n v="3900"/>
    <n v="3900"/>
    <n v="3900"/>
  </r>
  <r>
    <s v="57"/>
    <x v="2"/>
    <x v="11"/>
    <s v="ZC09F090"/>
    <x v="44"/>
    <s v="A101"/>
    <s v="FORTALECIMIENTO INSTITUCIONAL"/>
    <s v="GC00A10100001D"/>
    <s v="GC00A10100001D GASTOS ADMINISTRATIVOS"/>
    <s v="57 OTROS GASTOS CORRIENTES"/>
    <s v="570203 Comisiones Bancarias"/>
    <s v="G/570203/1FA101"/>
    <s v="001"/>
    <n v="100"/>
    <n v="0"/>
    <n v="0"/>
    <n v="100"/>
    <n v="0"/>
    <n v="0"/>
    <n v="0"/>
    <n v="100"/>
    <n v="100"/>
    <n v="100"/>
  </r>
  <r>
    <s v="57"/>
    <x v="2"/>
    <x v="11"/>
    <s v="ZS03F030"/>
    <x v="38"/>
    <s v="A101"/>
    <s v="FORTALECIMIENTO INSTITUCIONAL"/>
    <s v="GC00A10100001D"/>
    <s v="GC00A10100001D GASTOS ADMINISTRATIVOS"/>
    <s v="57 OTROS GASTOS CORRIENTES"/>
    <s v="570203 Comisiones Bancarias"/>
    <s v="G/570203/1FA101"/>
    <s v="001"/>
    <n v="100"/>
    <n v="0"/>
    <n v="0"/>
    <n v="100"/>
    <n v="0"/>
    <n v="0"/>
    <n v="0"/>
    <n v="100"/>
    <n v="100"/>
    <n v="100"/>
  </r>
  <r>
    <s v="57"/>
    <x v="1"/>
    <x v="3"/>
    <s v="US33M030"/>
    <x v="8"/>
    <s v="A101"/>
    <s v="FORTALECIMIENTO INSTITUCIONAL"/>
    <s v="GC00A10100001D"/>
    <s v="GC00A10100001D GASTOS ADMINISTRATIVOS"/>
    <s v="57 OTROS GASTOS CORRIENTES"/>
    <s v="570203 Comisiones Bancarias"/>
    <s v="G/570203/1MA101"/>
    <s v="001"/>
    <n v="550"/>
    <n v="0"/>
    <n v="0"/>
    <n v="550"/>
    <n v="0"/>
    <n v="0"/>
    <n v="0"/>
    <n v="550"/>
    <n v="550"/>
    <n v="550"/>
  </r>
  <r>
    <s v="57"/>
    <x v="2"/>
    <x v="11"/>
    <s v="ZD07F070"/>
    <x v="43"/>
    <s v="A101"/>
    <s v="FORTALECIMIENTO INSTITUCIONAL"/>
    <s v="GC00A10100001D"/>
    <s v="GC00A10100001D GASTOS ADMINISTRATIVOS"/>
    <s v="57 OTROS GASTOS CORRIENTES"/>
    <s v="570203 Comisiones Bancarias"/>
    <s v="G/570203/1FA101"/>
    <s v="001"/>
    <n v="100"/>
    <n v="200"/>
    <n v="0"/>
    <n v="300"/>
    <n v="0"/>
    <n v="31.8"/>
    <n v="31.8"/>
    <n v="268.2"/>
    <n v="268.2"/>
    <n v="268.2"/>
  </r>
  <r>
    <s v="57"/>
    <x v="0"/>
    <x v="12"/>
    <s v="MC37B000"/>
    <x v="28"/>
    <s v="A101"/>
    <s v="FORTALECIMIENTO INSTITUCIONAL"/>
    <s v="GC00A10100001D"/>
    <s v="GC00A10100001D GASTOS ADMINISTRATIVOS"/>
    <s v="57 OTROS GASTOS CORRIENTES"/>
    <s v="570203 Comisiones Bancarias"/>
    <s v="G/570203/1BA101"/>
    <s v="002"/>
    <n v="0"/>
    <n v="25"/>
    <n v="0"/>
    <n v="25"/>
    <n v="0"/>
    <n v="19.8"/>
    <n v="0"/>
    <n v="5.2"/>
    <n v="25"/>
    <n v="5.2"/>
  </r>
  <r>
    <s v="57"/>
    <x v="2"/>
    <x v="11"/>
    <s v="ZM04F040"/>
    <x v="41"/>
    <s v="A101"/>
    <s v="FORTALECIMIENTO INSTITUCIONAL"/>
    <s v="GC00A10100001D"/>
    <s v="GC00A10100001D GASTOS ADMINISTRATIVOS"/>
    <s v="57 OTROS GASTOS CORRIENTES"/>
    <s v="570203 Comisiones Bancarias"/>
    <s v="G/570203/1FA101"/>
    <s v="001"/>
    <n v="170"/>
    <n v="0"/>
    <n v="0"/>
    <n v="170"/>
    <n v="0"/>
    <n v="48"/>
    <n v="0"/>
    <n v="122"/>
    <n v="170"/>
    <n v="122"/>
  </r>
  <r>
    <s v="57"/>
    <x v="2"/>
    <x v="11"/>
    <s v="ZT06F060"/>
    <x v="25"/>
    <s v="A101"/>
    <s v="FORTALECIMIENTO INSTITUCIONAL"/>
    <s v="GC00A10100001D"/>
    <s v="GC00A10100001D GASTOS ADMINISTRATIVOS"/>
    <s v="57 OTROS GASTOS CORRIENTES"/>
    <s v="570203 Comisiones Bancarias"/>
    <s v="G/570203/1FA101"/>
    <s v="001"/>
    <n v="100"/>
    <n v="0"/>
    <n v="0"/>
    <n v="100"/>
    <n v="0"/>
    <n v="0"/>
    <n v="0"/>
    <n v="100"/>
    <n v="100"/>
    <n v="100"/>
  </r>
  <r>
    <s v="57"/>
    <x v="2"/>
    <x v="11"/>
    <s v="ZN02F020"/>
    <x v="40"/>
    <s v="A101"/>
    <s v="FORTALECIMIENTO INSTITUCIONAL"/>
    <s v="GC00A10100001D"/>
    <s v="GC00A10100001D GASTOS ADMINISTRATIVOS"/>
    <s v="57 OTROS GASTOS CORRIENTES"/>
    <s v="570203 Comisiones Bancarias"/>
    <s v="G/570203/1FA101"/>
    <s v="001"/>
    <n v="200"/>
    <n v="0"/>
    <n v="0"/>
    <n v="200"/>
    <n v="0"/>
    <n v="200"/>
    <n v="52.2"/>
    <n v="0"/>
    <n v="147.80000000000001"/>
    <n v="0"/>
  </r>
  <r>
    <s v="57"/>
    <x v="1"/>
    <x v="3"/>
    <s v="UN31M010"/>
    <x v="11"/>
    <s v="A101"/>
    <s v="FORTALECIMIENTO INSTITUCIONAL"/>
    <s v="GC00A10100001D"/>
    <s v="GC00A10100001D GASTOS ADMINISTRATIVOS"/>
    <s v="57 OTROS GASTOS CORRIENTES"/>
    <s v="570203 Comisiones Bancarias"/>
    <s v="G/570203/1MA101"/>
    <s v="001"/>
    <n v="100"/>
    <n v="0"/>
    <n v="0"/>
    <n v="100"/>
    <n v="0"/>
    <n v="12.21"/>
    <n v="10.5"/>
    <n v="87.79"/>
    <n v="89.5"/>
    <n v="87.79"/>
  </r>
  <r>
    <s v="57"/>
    <x v="0"/>
    <x v="0"/>
    <s v="RP36A010"/>
    <x v="2"/>
    <s v="A101"/>
    <s v="FORTALECIMIENTO INSTITUCIONAL"/>
    <s v="GC00A10100001D"/>
    <s v="GC00A10100001D GASTOS ADMINISTRATIVOS"/>
    <s v="57 OTROS GASTOS CORRIENTES"/>
    <s v="570203 Comisiones Bancarias"/>
    <s v="G/570203/1AA101"/>
    <s v="002"/>
    <n v="500"/>
    <n v="-170"/>
    <n v="0"/>
    <n v="330"/>
    <n v="0"/>
    <n v="92.4"/>
    <n v="73.2"/>
    <n v="237.6"/>
    <n v="256.8"/>
    <n v="237.6"/>
  </r>
  <r>
    <s v="57"/>
    <x v="2"/>
    <x v="8"/>
    <s v="FS66P020"/>
    <x v="36"/>
    <s v="A101"/>
    <s v="FORTALECIMIENTO INSTITUCIONAL"/>
    <s v="GC00A10100001D"/>
    <s v="GC00A10100001D GASTOS ADMINISTRATIVOS"/>
    <s v="57 OTROS GASTOS CORRIENTES"/>
    <s v="570203 Comisiones Bancarias"/>
    <s v="G/570203/1PA101"/>
    <s v="001"/>
    <n v="20"/>
    <n v="0"/>
    <n v="0"/>
    <n v="20"/>
    <n v="0"/>
    <n v="2.2000000000000002"/>
    <n v="2.19"/>
    <n v="17.8"/>
    <n v="17.809999999999999"/>
    <n v="17.8"/>
  </r>
  <r>
    <s v="57"/>
    <x v="0"/>
    <x v="0"/>
    <s v="ZA01A003"/>
    <x v="48"/>
    <s v="A101"/>
    <s v="FORTALECIMIENTO INSTITUCIONAL"/>
    <s v="GC00A10100001D"/>
    <s v="GC00A10100001D GASTOS ADMINISTRATIVOS"/>
    <s v="57 OTROS GASTOS CORRIENTES"/>
    <s v="570203 Comisiones Bancarias"/>
    <s v="G/570203/1AA101"/>
    <s v="002"/>
    <n v="781922.17"/>
    <n v="0"/>
    <n v="0"/>
    <n v="781922.17"/>
    <n v="0"/>
    <n v="397298.28"/>
    <n v="372116.36"/>
    <n v="384623.89"/>
    <n v="409805.81"/>
    <n v="384623.89"/>
  </r>
  <r>
    <s v="57"/>
    <x v="2"/>
    <x v="6"/>
    <s v="AT69K040"/>
    <x v="13"/>
    <s v="A101"/>
    <s v="FORTALECIMIENTO INSTITUCIONAL"/>
    <s v="GC00A10100001D"/>
    <s v="GC00A10100001D GASTOS ADMINISTRATIVOS"/>
    <s v="57 OTROS GASTOS CORRIENTES"/>
    <s v="570203 Comisiones Bancarias"/>
    <s v="G/570203/1KA101"/>
    <s v="001"/>
    <n v="0"/>
    <n v="500"/>
    <n v="0"/>
    <n v="500"/>
    <n v="0"/>
    <n v="3.3"/>
    <n v="3.3"/>
    <n v="496.7"/>
    <n v="496.7"/>
    <n v="496.7"/>
  </r>
  <r>
    <s v="57"/>
    <x v="0"/>
    <x v="0"/>
    <s v="ZA01A008"/>
    <x v="51"/>
    <s v="A101"/>
    <s v="FORTALECIMIENTO INSTITUCIONAL"/>
    <s v="GC00A10100001D"/>
    <s v="GC00A10100001D GASTOS ADMINISTRATIVOS"/>
    <s v="57 OTROS GASTOS CORRIENTES"/>
    <s v="570206 Costas Judiciales, Trámites Notariales, Leg"/>
    <s v="G/570206/1AA101"/>
    <s v="002"/>
    <n v="10500"/>
    <n v="0"/>
    <n v="0"/>
    <n v="10500"/>
    <n v="0"/>
    <n v="10000"/>
    <n v="7112.15"/>
    <n v="500"/>
    <n v="3387.85"/>
    <n v="500"/>
  </r>
  <r>
    <s v="57"/>
    <x v="2"/>
    <x v="11"/>
    <s v="ZM04F040"/>
    <x v="41"/>
    <s v="A101"/>
    <s v="FORTALECIMIENTO INSTITUCIONAL"/>
    <s v="GC00A10100001D"/>
    <s v="GC00A10100001D GASTOS ADMINISTRATIVOS"/>
    <s v="57 OTROS GASTOS CORRIENTES"/>
    <s v="570206 Costas Judiciales, Trámites Notariales, Leg"/>
    <s v="G/570206/1FA101"/>
    <s v="001"/>
    <n v="100"/>
    <n v="0"/>
    <n v="0"/>
    <n v="100"/>
    <n v="0"/>
    <n v="0"/>
    <n v="0"/>
    <n v="100"/>
    <n v="100"/>
    <n v="100"/>
  </r>
  <r>
    <s v="57"/>
    <x v="2"/>
    <x v="11"/>
    <s v="ZT06F060"/>
    <x v="25"/>
    <s v="A101"/>
    <s v="FORTALECIMIENTO INSTITUCIONAL"/>
    <s v="GC00A10100001D"/>
    <s v="GC00A10100001D GASTOS ADMINISTRATIVOS"/>
    <s v="57 OTROS GASTOS CORRIENTES"/>
    <s v="570206 Costas Judiciales, Trámites Notariales, Leg"/>
    <s v="G/570206/1FA101"/>
    <s v="001"/>
    <n v="30"/>
    <n v="0"/>
    <n v="0"/>
    <n v="30"/>
    <n v="0"/>
    <n v="0"/>
    <n v="0"/>
    <n v="30"/>
    <n v="30"/>
    <n v="30"/>
  </r>
  <r>
    <s v="57"/>
    <x v="0"/>
    <x v="1"/>
    <s v="ZA01C010"/>
    <x v="53"/>
    <s v="A101"/>
    <s v="FORTALECIMIENTO INSTITUCIONAL"/>
    <s v="GC00A10100001D"/>
    <s v="GC00A10100001D GASTOS ADMINISTRATIVOS"/>
    <s v="57 OTROS GASTOS CORRIENTES"/>
    <s v="570206 Costas Judiciales, Trámites Notariales, Leg"/>
    <s v="G/570206/1CA101"/>
    <s v="002"/>
    <n v="5000"/>
    <n v="0"/>
    <n v="0"/>
    <n v="5000"/>
    <n v="0"/>
    <n v="0"/>
    <n v="0"/>
    <n v="5000"/>
    <n v="5000"/>
    <n v="5000"/>
  </r>
  <r>
    <s v="57"/>
    <x v="0"/>
    <x v="0"/>
    <s v="ZA01A001"/>
    <x v="47"/>
    <s v="A101"/>
    <s v="FORTALECIMIENTO INSTITUCIONAL"/>
    <s v="GC00A10100001D"/>
    <s v="GC00A10100001D GASTOS ADMINISTRATIVOS"/>
    <s v="57 OTROS GASTOS CORRIENTES"/>
    <s v="570206 Costas Judiciales, Trámites Notariales, Leg"/>
    <s v="G/570206/1AA101"/>
    <s v="002"/>
    <n v="3600"/>
    <n v="0"/>
    <n v="0"/>
    <n v="3600"/>
    <n v="0"/>
    <n v="1000"/>
    <n v="184.95"/>
    <n v="2600"/>
    <n v="3415.05"/>
    <n v="2600"/>
  </r>
  <r>
    <s v="57"/>
    <x v="2"/>
    <x v="5"/>
    <s v="PM71N010"/>
    <x v="27"/>
    <s v="A101"/>
    <s v="FORTALECIMIENTO INSTITUCIONAL"/>
    <s v="GC00A10100001D"/>
    <s v="GC00A10100001D GASTOS ADMINISTRATIVOS"/>
    <s v="57 OTROS GASTOS CORRIENTES"/>
    <s v="570206 Costas Judiciales, Trámites Notariales, Leg"/>
    <s v="G/570206/1NA101"/>
    <s v="001"/>
    <n v="390"/>
    <n v="0"/>
    <n v="0"/>
    <n v="390"/>
    <n v="0"/>
    <n v="0"/>
    <n v="0"/>
    <n v="390"/>
    <n v="390"/>
    <n v="390"/>
  </r>
  <r>
    <s v="57"/>
    <x v="0"/>
    <x v="0"/>
    <s v="ZA01A003"/>
    <x v="48"/>
    <s v="A101"/>
    <s v="FORTALECIMIENTO INSTITUCIONAL"/>
    <s v="GC00A10100001D"/>
    <s v="GC00A10100001D GASTOS ADMINISTRATIVOS"/>
    <s v="57 OTROS GASTOS CORRIENTES"/>
    <s v="570206 Costas Judiciales, Trámites Notariales, Leg"/>
    <s v="G/570206/1AA101"/>
    <s v="002"/>
    <n v="6000"/>
    <n v="896"/>
    <n v="0"/>
    <n v="6896"/>
    <n v="896"/>
    <n v="0"/>
    <n v="0"/>
    <n v="6896"/>
    <n v="6896"/>
    <n v="6000"/>
  </r>
  <r>
    <s v="57"/>
    <x v="2"/>
    <x v="11"/>
    <s v="ZS03F030"/>
    <x v="38"/>
    <s v="A101"/>
    <s v="FORTALECIMIENTO INSTITUCIONAL"/>
    <s v="GC00A10100001D"/>
    <s v="GC00A10100001D GASTOS ADMINISTRATIVOS"/>
    <s v="57 OTROS GASTOS CORRIENTES"/>
    <s v="570206 Costas Judiciales, Trámites Notariales, Leg"/>
    <s v="G/570206/1FA101"/>
    <s v="001"/>
    <n v="200"/>
    <n v="0"/>
    <n v="0"/>
    <n v="200"/>
    <n v="0"/>
    <n v="0"/>
    <n v="0"/>
    <n v="200"/>
    <n v="200"/>
    <n v="200"/>
  </r>
  <r>
    <s v="57"/>
    <x v="0"/>
    <x v="0"/>
    <s v="RP36A010"/>
    <x v="2"/>
    <s v="A101"/>
    <s v="FORTALECIMIENTO INSTITUCIONAL"/>
    <s v="GC00A10100001D"/>
    <s v="GC00A10100001D GASTOS ADMINISTRATIVOS"/>
    <s v="57 OTROS GASTOS CORRIENTES"/>
    <s v="570206 Costas Judiciales, Trámites Notariales, Leg"/>
    <s v="G/570206/1AA101"/>
    <s v="002"/>
    <n v="220"/>
    <n v="-120"/>
    <n v="0"/>
    <n v="100"/>
    <n v="0"/>
    <n v="41.44"/>
    <n v="41.44"/>
    <n v="58.56"/>
    <n v="58.56"/>
    <n v="58.56"/>
  </r>
  <r>
    <s v="57"/>
    <x v="2"/>
    <x v="11"/>
    <s v="ZN02F020"/>
    <x v="40"/>
    <s v="A101"/>
    <s v="FORTALECIMIENTO INSTITUCIONAL"/>
    <s v="GC00A10100001D"/>
    <s v="GC00A10100001D GASTOS ADMINISTRATIVOS"/>
    <s v="57 OTROS GASTOS CORRIENTES"/>
    <s v="570206 Costas Judiciales, Trámites Notariales, Leg"/>
    <s v="G/570206/1FA101"/>
    <s v="001"/>
    <n v="100"/>
    <n v="0"/>
    <n v="0"/>
    <n v="100"/>
    <n v="0"/>
    <n v="0"/>
    <n v="0"/>
    <n v="100"/>
    <n v="100"/>
    <n v="100"/>
  </r>
  <r>
    <s v="57"/>
    <x v="3"/>
    <x v="15"/>
    <s v="AC67Q000"/>
    <x v="32"/>
    <s v="A101"/>
    <s v="FORTALECIMIENTO INSTITUCIONAL"/>
    <s v="GC00A10100001D"/>
    <s v="GC00A10100001D GASTOS ADMINISTRATIVOS"/>
    <s v="57 OTROS GASTOS CORRIENTES"/>
    <s v="570206 Costas Judiciales, Trámites Notariales, Leg"/>
    <s v="G/570206/1QA101"/>
    <s v="001"/>
    <n v="4000"/>
    <n v="-4000"/>
    <n v="0"/>
    <n v="0"/>
    <n v="0"/>
    <n v="0"/>
    <n v="0"/>
    <n v="0"/>
    <n v="0"/>
    <n v="0"/>
  </r>
  <r>
    <s v="57"/>
    <x v="2"/>
    <x v="11"/>
    <s v="ZV05F050"/>
    <x v="37"/>
    <s v="A101"/>
    <s v="FORTALECIMIENTO INSTITUCIONAL"/>
    <s v="GC00A10100001D"/>
    <s v="GC00A10100001D GASTOS ADMINISTRATIVOS"/>
    <s v="57 OTROS GASTOS CORRIENTES"/>
    <s v="570206 Costas Judiciales, Trámites Notariales, Leg"/>
    <s v="G/570206/1FA101"/>
    <s v="001"/>
    <n v="700"/>
    <n v="0"/>
    <n v="0"/>
    <n v="700"/>
    <n v="0"/>
    <n v="0"/>
    <n v="0"/>
    <n v="700"/>
    <n v="700"/>
    <n v="700"/>
  </r>
  <r>
    <s v="57"/>
    <x v="0"/>
    <x v="0"/>
    <s v="ZA01A002"/>
    <x v="4"/>
    <s v="A101"/>
    <s v="FORTALECIMIENTO INSTITUCIONAL"/>
    <s v="GC00A10100001D"/>
    <s v="GC00A10100001D GASTOS ADMINISTRATIVOS"/>
    <s v="57 OTROS GASTOS CORRIENTES"/>
    <s v="570206 Costas Judiciales, Trámites Notariales, Leg"/>
    <s v="G/570206/1AA101"/>
    <s v="002"/>
    <n v="5000"/>
    <n v="0"/>
    <n v="0"/>
    <n v="5000"/>
    <n v="0"/>
    <n v="0"/>
    <n v="0"/>
    <n v="5000"/>
    <n v="5000"/>
    <n v="5000"/>
  </r>
  <r>
    <s v="57"/>
    <x v="2"/>
    <x v="6"/>
    <s v="AT69K040"/>
    <x v="13"/>
    <s v="A101"/>
    <s v="FORTALECIMIENTO INSTITUCIONAL"/>
    <s v="GC00A10100001D"/>
    <s v="GC00A10100001D GASTOS ADMINISTRATIVOS"/>
    <s v="57 OTROS GASTOS CORRIENTES"/>
    <s v="570206 Costas Judiciales, Trámites Notariales, Leg"/>
    <s v="G/570206/1KA101"/>
    <s v="001"/>
    <n v="0"/>
    <n v="6000"/>
    <n v="0"/>
    <n v="6000"/>
    <n v="4425.97"/>
    <n v="1574.03"/>
    <n v="0"/>
    <n v="4425.97"/>
    <n v="6000"/>
    <n v="0"/>
  </r>
  <r>
    <s v="57"/>
    <x v="0"/>
    <x v="0"/>
    <s v="ZA01A002"/>
    <x v="4"/>
    <s v="A101"/>
    <s v="FORTALECIMIENTO INSTITUCIONAL"/>
    <s v="GC00A10100001D"/>
    <s v="GC00A10100001D GASTOS ADMINISTRATIVOS"/>
    <s v="57 OTROS GASTOS CORRIENTES"/>
    <s v="570215 Indemnizaciones por Sentencias Judiciales"/>
    <s v="G/570215/1AA101"/>
    <s v="002"/>
    <n v="50000"/>
    <n v="0"/>
    <n v="0"/>
    <n v="50000"/>
    <n v="0"/>
    <n v="0"/>
    <n v="0"/>
    <n v="50000"/>
    <n v="50000"/>
    <n v="50000"/>
  </r>
  <r>
    <s v="57"/>
    <x v="0"/>
    <x v="0"/>
    <s v="ZA01A003"/>
    <x v="48"/>
    <s v="A101"/>
    <s v="FORTALECIMIENTO INSTITUCIONAL"/>
    <s v="GC00A10100001D"/>
    <s v="GC00A10100001D GASTOS ADMINISTRATIVOS"/>
    <s v="57 OTROS GASTOS CORRIENTES"/>
    <s v="570219 Devoluciones"/>
    <s v="G/570219/1AA101"/>
    <s v="002"/>
    <n v="4150000"/>
    <n v="-107716.9"/>
    <n v="0"/>
    <n v="4042283.1"/>
    <n v="0"/>
    <n v="1642283.1"/>
    <n v="643920.1"/>
    <n v="2400000"/>
    <n v="3398363"/>
    <n v="2400000"/>
  </r>
  <r>
    <s v="58"/>
    <x v="0"/>
    <x v="0"/>
    <s v="ZA01A003"/>
    <x v="48"/>
    <s v="A101"/>
    <s v="FORTALECIMIENTO INSTITUCIONAL"/>
    <s v="GC00A10100001D"/>
    <s v="GC00A10100001D GASTOS ADMINISTRATIVOS"/>
    <s v="58 TRANSFERENCIAS Y DONACIONES CORRIENTES"/>
    <s v="580101 A Entidades del Presupuesto General del"/>
    <s v="G/580101/1AA101"/>
    <s v="002"/>
    <n v="0"/>
    <n v="4300000"/>
    <n v="0"/>
    <n v="4300000"/>
    <n v="0"/>
    <n v="4300000"/>
    <n v="2725124.91"/>
    <n v="0"/>
    <n v="1574875.09"/>
    <n v="0"/>
  </r>
  <r>
    <s v="58"/>
    <x v="0"/>
    <x v="0"/>
    <s v="ZA01A003"/>
    <x v="48"/>
    <s v="A101"/>
    <s v="FORTALECIMIENTO INSTITUCIONAL"/>
    <s v="GC00A10100001D"/>
    <s v="GC00A10100001D GASTOS ADMINISTRATIVOS"/>
    <s v="58 TRANSFERENCIAS Y DONACIONES CORRIENTES"/>
    <s v="580102 A Entidades Descentralizadas y Autónomas"/>
    <s v="G/580102/1AA101"/>
    <s v="002"/>
    <n v="0"/>
    <n v="1680000"/>
    <n v="0"/>
    <n v="1680000"/>
    <n v="0"/>
    <n v="1680000"/>
    <n v="1001420.9"/>
    <n v="0"/>
    <n v="678579.1"/>
    <n v="0"/>
  </r>
  <r>
    <s v="58"/>
    <x v="0"/>
    <x v="0"/>
    <s v="ZA01A003"/>
    <x v="48"/>
    <s v="A101"/>
    <s v="FORTALECIMIENTO INSTITUCIONAL"/>
    <s v="GC00A10100001D"/>
    <s v="GC00A10100001D GASTOS ADMINISTRATIVOS"/>
    <s v="58 TRANSFERENCIAS Y DONACIONES CORRIENTES"/>
    <s v="580103 A Empresas Públicas"/>
    <s v="G/580103/1AA101"/>
    <s v="002"/>
    <n v="1680000"/>
    <n v="0"/>
    <n v="0"/>
    <n v="1680000"/>
    <n v="0"/>
    <n v="460771.97"/>
    <n v="6889"/>
    <n v="1219228.03"/>
    <n v="1673111"/>
    <n v="1219228.03"/>
  </r>
  <r>
    <s v="58"/>
    <x v="0"/>
    <x v="0"/>
    <s v="ZA01A003"/>
    <x v="48"/>
    <s v="A101"/>
    <s v="FORTALECIMIENTO INSTITUCIONAL"/>
    <s v="GC00A10100001D"/>
    <s v="GC00A10100001D GASTOS ADMINISTRATIVOS"/>
    <s v="58 TRANSFERENCIAS Y DONACIONES CORRIENTES"/>
    <s v="580204 Al Sector Privado no Financiero"/>
    <s v="G/580204/1AA101"/>
    <s v="002"/>
    <n v="6350000"/>
    <n v="-5980000"/>
    <n v="0"/>
    <n v="370000"/>
    <n v="0"/>
    <n v="0"/>
    <n v="0"/>
    <n v="370000"/>
    <n v="370000"/>
    <n v="370000"/>
  </r>
  <r>
    <s v="58"/>
    <x v="0"/>
    <x v="0"/>
    <s v="ZA01A002"/>
    <x v="4"/>
    <s v="A101"/>
    <s v="FORTALECIMIENTO INSTITUCIONAL"/>
    <s v="GC00A10100001D"/>
    <s v="GC00A10100001D GASTOS ADMINISTRATIVOS"/>
    <s v="58 TRANSFERENCIAS Y DONACIONES CORRIENTES"/>
    <s v="580209 A Jubilados Patronales"/>
    <s v="G/580209/1AA101"/>
    <s v="002"/>
    <n v="3115000"/>
    <n v="0"/>
    <n v="0"/>
    <n v="3115000"/>
    <n v="0"/>
    <n v="1735272.71"/>
    <n v="1735272.71"/>
    <n v="1379727.29"/>
    <n v="1379727.29"/>
    <n v="1379727.29"/>
  </r>
  <r>
    <s v="58"/>
    <x v="0"/>
    <x v="1"/>
    <s v="ZA01C050"/>
    <x v="54"/>
    <s v="A102"/>
    <s v="TRANSFERENCIA"/>
    <s v="GI00A10200005T"/>
    <s v="GI00A10200005T QUITO HONESTO"/>
    <s v="58 TRANSFERENCIAS Y DONACIONES CORRIENTES"/>
    <s v="580102 A Entidades Descentralizadas y Autónomas"/>
    <s v="G/580102/1CA102"/>
    <s v="002"/>
    <n v="0"/>
    <n v="1413250.73"/>
    <n v="0"/>
    <n v="1413250.73"/>
    <n v="0"/>
    <n v="1233686.95"/>
    <n v="1057999.76"/>
    <n v="179563.78"/>
    <n v="355250.97"/>
    <n v="179563.78"/>
  </r>
  <r>
    <s v="58"/>
    <x v="0"/>
    <x v="1"/>
    <s v="ZA01C050"/>
    <x v="54"/>
    <s v="A102"/>
    <s v="TRANSFERENCIA"/>
    <s v="GI00A10200005T"/>
    <s v="GI00A10200005T QUITO HONESTO"/>
    <s v="58 TRANSFERENCIAS Y DONACIONES CORRIENTES"/>
    <s v="580103 A Empresas Públicas"/>
    <s v="G/580103/1CA102"/>
    <s v="002"/>
    <n v="1413250.73"/>
    <n v="-1413250.73"/>
    <n v="0"/>
    <n v="0"/>
    <n v="0"/>
    <n v="0"/>
    <n v="0"/>
    <n v="0"/>
    <n v="0"/>
    <n v="0"/>
  </r>
  <r>
    <s v="58"/>
    <x v="3"/>
    <x v="14"/>
    <s v="ZA01H020"/>
    <x v="55"/>
    <s v="A102"/>
    <s v="TRANSFERENCIA"/>
    <s v="GI00A10200017T"/>
    <s v="GI00A10200017T SERVICIOS AEROPORTUARIOS Y GESTION DE ZO"/>
    <s v="58 TRANSFERENCIAS Y DONACIONES CORRIENTES"/>
    <s v="580103 A Empresas Públicas"/>
    <s v="G/580103/1HA102"/>
    <s v="002"/>
    <n v="0"/>
    <n v="279554.28999999998"/>
    <n v="0"/>
    <n v="279554.28999999998"/>
    <n v="0"/>
    <n v="279554.28999999998"/>
    <n v="279554.28999999998"/>
    <n v="0"/>
    <n v="0"/>
    <n v="0"/>
  </r>
  <r>
    <s v="71"/>
    <x v="2"/>
    <x v="11"/>
    <s v="ZQ08F080"/>
    <x v="39"/>
    <s v="F102"/>
    <s v="PARTICIPACION CIUDADANA"/>
    <s v="GI00F10200002D"/>
    <s v="GI00F10200002D SISTEMA DE PARTICIPACION CIUDADANA"/>
    <s v="71 GASTOS EN PERSONAL PARA INVERSIÓN"/>
    <s v="710203 Decimotercer Sueldo"/>
    <s v="G/710203/1FF102"/>
    <s v="002"/>
    <n v="817"/>
    <n v="0"/>
    <n v="0"/>
    <n v="817"/>
    <n v="817"/>
    <n v="0"/>
    <n v="0"/>
    <n v="817"/>
    <n v="817"/>
    <n v="0"/>
  </r>
  <r>
    <s v="71"/>
    <x v="2"/>
    <x v="11"/>
    <s v="ZM04F040"/>
    <x v="41"/>
    <s v="F102"/>
    <s v="PARTICIPACION CIUDADANA"/>
    <s v="GI00F10200002D"/>
    <s v="GI00F10200002D SISTEMA DE PARTICIPACION CIUDADANA"/>
    <s v="71 GASTOS EN PERSONAL PARA INVERSIÓN"/>
    <s v="710203 Decimotercer Sueldo"/>
    <s v="G/710203/1FF102"/>
    <s v="002"/>
    <n v="3560"/>
    <n v="0"/>
    <n v="0"/>
    <n v="3560"/>
    <n v="3560"/>
    <n v="0"/>
    <n v="0"/>
    <n v="3560"/>
    <n v="3560"/>
    <n v="0"/>
  </r>
  <r>
    <s v="71"/>
    <x v="2"/>
    <x v="11"/>
    <s v="ZT06F060"/>
    <x v="25"/>
    <s v="F102"/>
    <s v="PARTICIPACION CIUDADANA"/>
    <s v="GI00F10200002D"/>
    <s v="GI00F10200002D SISTEMA DE PARTICIPACION CIUDADANA"/>
    <s v="71 GASTOS EN PERSONAL PARA INVERSIÓN"/>
    <s v="710203 Decimotercer Sueldo"/>
    <s v="G/710203/1FF102"/>
    <s v="002"/>
    <n v="1200"/>
    <n v="0"/>
    <n v="0"/>
    <n v="1200"/>
    <n v="1200"/>
    <n v="0"/>
    <n v="0"/>
    <n v="1200"/>
    <n v="1200"/>
    <n v="0"/>
  </r>
  <r>
    <s v="71"/>
    <x v="2"/>
    <x v="11"/>
    <s v="ZC09F090"/>
    <x v="44"/>
    <s v="F102"/>
    <s v="PARTICIPACION CIUDADANA"/>
    <s v="GI00F10200002D"/>
    <s v="GI00F10200002D SISTEMA DE PARTICIPACION CIUDADANA"/>
    <s v="71 GASTOS EN PERSONAL PARA INVERSIÓN"/>
    <s v="710203 Decimotercer Sueldo"/>
    <s v="G/710203/1FF102"/>
    <s v="002"/>
    <n v="613"/>
    <n v="0"/>
    <n v="0"/>
    <n v="613"/>
    <n v="613"/>
    <n v="0"/>
    <n v="0"/>
    <n v="613"/>
    <n v="613"/>
    <n v="0"/>
  </r>
  <r>
    <s v="71"/>
    <x v="2"/>
    <x v="11"/>
    <s v="ZT06F060"/>
    <x v="25"/>
    <s v="F102"/>
    <s v="PARTICIPACION CIUDADANA"/>
    <s v="GI00F10200002D"/>
    <s v="GI00F10200002D SISTEMA DE PARTICIPACION CIUDADANA"/>
    <s v="71 GASTOS EN PERSONAL PARA INVERSIÓN"/>
    <s v="710204 Decimocuarto Sueldo"/>
    <s v="G/710204/1FF102"/>
    <s v="002"/>
    <n v="405.82"/>
    <n v="0"/>
    <n v="0"/>
    <n v="405.82"/>
    <n v="0"/>
    <n v="400"/>
    <n v="400"/>
    <n v="5.82"/>
    <n v="5.82"/>
    <n v="5.82"/>
  </r>
  <r>
    <s v="71"/>
    <x v="2"/>
    <x v="11"/>
    <s v="ZQ08F080"/>
    <x v="39"/>
    <s v="F102"/>
    <s v="PARTICIPACION CIUDADANA"/>
    <s v="GI00F10200002D"/>
    <s v="GI00F10200002D SISTEMA DE PARTICIPACION CIUDADANA"/>
    <s v="71 GASTOS EN PERSONAL PARA INVERSIÓN"/>
    <s v="710204 Decimocuarto Sueldo"/>
    <s v="G/710204/1FF102"/>
    <s v="002"/>
    <n v="405.82"/>
    <n v="0"/>
    <n v="0"/>
    <n v="405.82"/>
    <n v="400"/>
    <n v="0"/>
    <n v="0"/>
    <n v="405.82"/>
    <n v="405.82"/>
    <n v="5.82"/>
  </r>
  <r>
    <s v="71"/>
    <x v="2"/>
    <x v="11"/>
    <s v="ZM04F040"/>
    <x v="41"/>
    <s v="F102"/>
    <s v="PARTICIPACION CIUDADANA"/>
    <s v="GI00F10200002D"/>
    <s v="GI00F10200002D SISTEMA DE PARTICIPACION CIUDADANA"/>
    <s v="71 GASTOS EN PERSONAL PARA INVERSIÓN"/>
    <s v="710204 Decimocuarto Sueldo"/>
    <s v="G/710204/1FF102"/>
    <s v="002"/>
    <n v="2029.1"/>
    <n v="0"/>
    <n v="0"/>
    <n v="2029.1"/>
    <n v="118.88"/>
    <n v="1881.12"/>
    <n v="1881.12"/>
    <n v="147.97999999999999"/>
    <n v="147.97999999999999"/>
    <n v="29.1"/>
  </r>
  <r>
    <s v="71"/>
    <x v="2"/>
    <x v="11"/>
    <s v="ZC09F090"/>
    <x v="44"/>
    <s v="F102"/>
    <s v="PARTICIPACION CIUDADANA"/>
    <s v="GI00F10200002D"/>
    <s v="GI00F10200002D SISTEMA DE PARTICIPACION CIUDADANA"/>
    <s v="71 GASTOS EN PERSONAL PARA INVERSIÓN"/>
    <s v="710204 Decimocuarto Sueldo"/>
    <s v="G/710204/1FF102"/>
    <s v="002"/>
    <n v="405.82"/>
    <n v="0"/>
    <n v="0"/>
    <n v="405.82"/>
    <n v="66.67"/>
    <n v="333.33"/>
    <n v="333.33"/>
    <n v="72.489999999999995"/>
    <n v="72.489999999999995"/>
    <n v="5.82"/>
  </r>
  <r>
    <s v="71"/>
    <x v="2"/>
    <x v="11"/>
    <s v="ZT06F060"/>
    <x v="25"/>
    <s v="F102"/>
    <s v="PARTICIPACION CIUDADANA"/>
    <s v="GI00F10200002D"/>
    <s v="GI00F10200002D SISTEMA DE PARTICIPACION CIUDADANA"/>
    <s v="71 GASTOS EN PERSONAL PARA INVERSIÓN"/>
    <s v="710510 Servicios Personales por Contrato"/>
    <s v="G/710510/1FF102"/>
    <s v="002"/>
    <n v="14400"/>
    <n v="0"/>
    <n v="0"/>
    <n v="14400"/>
    <n v="2400"/>
    <n v="12000"/>
    <n v="12000"/>
    <n v="2400"/>
    <n v="2400"/>
    <n v="0"/>
  </r>
  <r>
    <s v="71"/>
    <x v="2"/>
    <x v="11"/>
    <s v="ZQ08F080"/>
    <x v="39"/>
    <s v="F102"/>
    <s v="PARTICIPACION CIUDADANA"/>
    <s v="GI00F10200002D"/>
    <s v="GI00F10200002D SISTEMA DE PARTICIPACION CIUDADANA"/>
    <s v="71 GASTOS EN PERSONAL PARA INVERSIÓN"/>
    <s v="710510 Servicios Personales por Contrato"/>
    <s v="G/710510/1FF102"/>
    <s v="002"/>
    <n v="9804"/>
    <n v="0"/>
    <n v="0"/>
    <n v="9804"/>
    <n v="9804"/>
    <n v="0"/>
    <n v="0"/>
    <n v="9804"/>
    <n v="9804"/>
    <n v="0"/>
  </r>
  <r>
    <s v="71"/>
    <x v="2"/>
    <x v="11"/>
    <s v="ZM04F040"/>
    <x v="41"/>
    <s v="F102"/>
    <s v="PARTICIPACION CIUDADANA"/>
    <s v="GI00F10200002D"/>
    <s v="GI00F10200002D SISTEMA DE PARTICIPACION CIUDADANA"/>
    <s v="71 GASTOS EN PERSONAL PARA INVERSIÓN"/>
    <s v="710510 Servicios Personales por Contrato"/>
    <s v="G/710510/1FF102"/>
    <s v="002"/>
    <n v="42720"/>
    <n v="0"/>
    <n v="0"/>
    <n v="42720"/>
    <n v="7120"/>
    <n v="35600"/>
    <n v="35600"/>
    <n v="7120"/>
    <n v="7120"/>
    <n v="0"/>
  </r>
  <r>
    <s v="71"/>
    <x v="2"/>
    <x v="11"/>
    <s v="ZC09F090"/>
    <x v="44"/>
    <s v="F102"/>
    <s v="PARTICIPACION CIUDADANA"/>
    <s v="GI00F10200002D"/>
    <s v="GI00F10200002D SISTEMA DE PARTICIPACION CIUDADANA"/>
    <s v="71 GASTOS EN PERSONAL PARA INVERSIÓN"/>
    <s v="710510 Servicios Personales por Contrato"/>
    <s v="G/710510/1FF102"/>
    <s v="002"/>
    <n v="7356"/>
    <n v="0"/>
    <n v="0"/>
    <n v="7356"/>
    <n v="1226"/>
    <n v="6130"/>
    <n v="6130"/>
    <n v="1226"/>
    <n v="1226"/>
    <n v="0"/>
  </r>
  <r>
    <s v="71"/>
    <x v="2"/>
    <x v="11"/>
    <s v="ZT06F060"/>
    <x v="25"/>
    <s v="F102"/>
    <s v="PARTICIPACION CIUDADANA"/>
    <s v="GI00F10200002D"/>
    <s v="GI00F10200002D SISTEMA DE PARTICIPACION CIUDADANA"/>
    <s v="71 GASTOS EN PERSONAL PARA INVERSIÓN"/>
    <s v="710601 Aporte Patronal"/>
    <s v="G/710601/1FF102"/>
    <s v="002"/>
    <n v="1821.6"/>
    <n v="0"/>
    <n v="0"/>
    <n v="1821.6"/>
    <n v="303.60000000000002"/>
    <n v="1518"/>
    <n v="1518"/>
    <n v="303.60000000000002"/>
    <n v="303.60000000000002"/>
    <n v="0"/>
  </r>
  <r>
    <s v="71"/>
    <x v="2"/>
    <x v="11"/>
    <s v="ZQ08F080"/>
    <x v="39"/>
    <s v="F102"/>
    <s v="PARTICIPACION CIUDADANA"/>
    <s v="GI00F10200002D"/>
    <s v="GI00F10200002D SISTEMA DE PARTICIPACION CIUDADANA"/>
    <s v="71 GASTOS EN PERSONAL PARA INVERSIÓN"/>
    <s v="710601 Aporte Patronal"/>
    <s v="G/710601/1FF102"/>
    <s v="002"/>
    <n v="1240.21"/>
    <n v="0"/>
    <n v="0"/>
    <n v="1240.21"/>
    <n v="1240.21"/>
    <n v="0"/>
    <n v="0"/>
    <n v="1240.21"/>
    <n v="1240.21"/>
    <n v="0"/>
  </r>
  <r>
    <s v="71"/>
    <x v="2"/>
    <x v="11"/>
    <s v="ZM04F040"/>
    <x v="41"/>
    <s v="F102"/>
    <s v="PARTICIPACION CIUDADANA"/>
    <s v="GI00F10200002D"/>
    <s v="GI00F10200002D SISTEMA DE PARTICIPACION CIUDADANA"/>
    <s v="71 GASTOS EN PERSONAL PARA INVERSIÓN"/>
    <s v="710601 Aporte Patronal"/>
    <s v="G/710601/1FF102"/>
    <s v="002"/>
    <n v="5404.08"/>
    <n v="0"/>
    <n v="0"/>
    <n v="5404.08"/>
    <n v="900.68"/>
    <n v="4503.3999999999996"/>
    <n v="4503.3999999999996"/>
    <n v="900.68"/>
    <n v="900.68"/>
    <n v="0"/>
  </r>
  <r>
    <s v="71"/>
    <x v="2"/>
    <x v="11"/>
    <s v="ZC09F090"/>
    <x v="44"/>
    <s v="F102"/>
    <s v="PARTICIPACION CIUDADANA"/>
    <s v="GI00F10200002D"/>
    <s v="GI00F10200002D SISTEMA DE PARTICIPACION CIUDADANA"/>
    <s v="71 GASTOS EN PERSONAL PARA INVERSIÓN"/>
    <s v="710601 Aporte Patronal"/>
    <s v="G/710601/1FF102"/>
    <s v="002"/>
    <n v="930.53"/>
    <n v="0"/>
    <n v="0"/>
    <n v="930.53"/>
    <n v="155.13"/>
    <n v="775.4"/>
    <n v="775.4"/>
    <n v="155.13"/>
    <n v="155.13"/>
    <n v="0"/>
  </r>
  <r>
    <s v="71"/>
    <x v="2"/>
    <x v="11"/>
    <s v="ZM04F040"/>
    <x v="41"/>
    <s v="F102"/>
    <s v="PARTICIPACION CIUDADANA"/>
    <s v="GI00F10200002D"/>
    <s v="GI00F10200002D SISTEMA DE PARTICIPACION CIUDADANA"/>
    <s v="71 GASTOS EN PERSONAL PARA INVERSIÓN"/>
    <s v="710602 Fondo de Reserva"/>
    <s v="G/710602/1FF102"/>
    <s v="002"/>
    <n v="3560"/>
    <n v="0"/>
    <n v="0"/>
    <n v="3560"/>
    <n v="1656.3"/>
    <n v="1903.7"/>
    <n v="1903.7"/>
    <n v="1656.3"/>
    <n v="1656.3"/>
    <n v="0"/>
  </r>
  <r>
    <s v="71"/>
    <x v="2"/>
    <x v="11"/>
    <s v="ZQ08F080"/>
    <x v="39"/>
    <s v="F102"/>
    <s v="PARTICIPACION CIUDADANA"/>
    <s v="GI00F10200002D"/>
    <s v="GI00F10200002D SISTEMA DE PARTICIPACION CIUDADANA"/>
    <s v="71 GASTOS EN PERSONAL PARA INVERSIÓN"/>
    <s v="710602 Fondo de Reserva"/>
    <s v="G/710602/1FF102"/>
    <s v="002"/>
    <n v="817"/>
    <n v="0"/>
    <n v="0"/>
    <n v="817"/>
    <n v="817"/>
    <n v="0"/>
    <n v="0"/>
    <n v="817"/>
    <n v="817"/>
    <n v="0"/>
  </r>
  <r>
    <s v="71"/>
    <x v="2"/>
    <x v="11"/>
    <s v="ZT06F060"/>
    <x v="25"/>
    <s v="F102"/>
    <s v="PARTICIPACION CIUDADANA"/>
    <s v="GI00F10200002D"/>
    <s v="GI00F10200002D SISTEMA DE PARTICIPACION CIUDADANA"/>
    <s v="71 GASTOS EN PERSONAL PARA INVERSIÓN"/>
    <s v="710602 Fondo de Reserva"/>
    <s v="G/710602/1FF102"/>
    <s v="002"/>
    <n v="1200"/>
    <n v="0"/>
    <n v="0"/>
    <n v="1200"/>
    <n v="200.4"/>
    <n v="999.6"/>
    <n v="999.6"/>
    <n v="200.4"/>
    <n v="200.4"/>
    <n v="0"/>
  </r>
  <r>
    <s v="71"/>
    <x v="2"/>
    <x v="11"/>
    <s v="ZC09F090"/>
    <x v="44"/>
    <s v="F102"/>
    <s v="PARTICIPACION CIUDADANA"/>
    <s v="GI00F10200002D"/>
    <s v="GI00F10200002D SISTEMA DE PARTICIPACION CIUDADANA"/>
    <s v="71 GASTOS EN PERSONAL PARA INVERSIÓN"/>
    <s v="710602 Fondo de Reserva"/>
    <s v="G/710602/1FF102"/>
    <s v="002"/>
    <n v="613"/>
    <n v="0"/>
    <n v="0"/>
    <n v="613"/>
    <n v="510.88"/>
    <n v="102.12"/>
    <n v="102.12"/>
    <n v="510.88"/>
    <n v="510.88"/>
    <n v="0"/>
  </r>
  <r>
    <s v="71"/>
    <x v="2"/>
    <x v="11"/>
    <s v="ZD07F070"/>
    <x v="43"/>
    <s v="F102"/>
    <s v="PARTICIPACION CIUDADANA"/>
    <s v="GI00F10200005D"/>
    <s v="GI00F10200005D CASAS SOMOS QUITO"/>
    <s v="71 GASTOS EN PERSONAL PARA INVERSIÓN"/>
    <s v="710203 Decimotercer Sueldo"/>
    <s v="G/710203/1FF102"/>
    <s v="002"/>
    <n v="13144"/>
    <n v="0"/>
    <n v="0"/>
    <n v="13144"/>
    <n v="10052.459999999999"/>
    <n v="3091.54"/>
    <n v="3091.54"/>
    <n v="10052.459999999999"/>
    <n v="10052.459999999999"/>
    <n v="0"/>
  </r>
  <r>
    <s v="71"/>
    <x v="2"/>
    <x v="11"/>
    <s v="ZA01F000"/>
    <x v="31"/>
    <s v="F102"/>
    <s v="PARTICIPACION CIUDADANA"/>
    <s v="GI00F10200005D"/>
    <s v="GI00F10200005D CASAS SOMOS QUITO"/>
    <s v="71 GASTOS EN PERSONAL PARA INVERSIÓN"/>
    <s v="710203 Decimotercer Sueldo"/>
    <s v="G/710203/1FF102"/>
    <s v="002"/>
    <n v="2353"/>
    <n v="0"/>
    <n v="0"/>
    <n v="2353"/>
    <n v="2353"/>
    <n v="0"/>
    <n v="0"/>
    <n v="2353"/>
    <n v="2353"/>
    <n v="0"/>
  </r>
  <r>
    <s v="71"/>
    <x v="2"/>
    <x v="11"/>
    <s v="TM68F100"/>
    <x v="34"/>
    <s v="F102"/>
    <s v="PARTICIPACION CIUDADANA"/>
    <s v="GI00F10200005D"/>
    <s v="GI00F10200005D CASAS SOMOS QUITO"/>
    <s v="71 GASTOS EN PERSONAL PARA INVERSIÓN"/>
    <s v="710203 Decimotercer Sueldo"/>
    <s v="G/710203/1FF102"/>
    <s v="002"/>
    <n v="817"/>
    <n v="0"/>
    <n v="0"/>
    <n v="817"/>
    <n v="136.19999999999999"/>
    <n v="680.8"/>
    <n v="680.8"/>
    <n v="136.19999999999999"/>
    <n v="136.19999999999999"/>
    <n v="0"/>
  </r>
  <r>
    <s v="71"/>
    <x v="2"/>
    <x v="11"/>
    <s v="ZS03F030"/>
    <x v="38"/>
    <s v="F102"/>
    <s v="PARTICIPACION CIUDADANA"/>
    <s v="GI00F10200005D"/>
    <s v="GI00F10200005D CASAS SOMOS QUITO"/>
    <s v="71 GASTOS EN PERSONAL PARA INVERSIÓN"/>
    <s v="710203 Decimotercer Sueldo"/>
    <s v="G/710203/1FF102"/>
    <s v="002"/>
    <n v="13245"/>
    <n v="0"/>
    <n v="0"/>
    <n v="13245"/>
    <n v="11799.2"/>
    <n v="1445.8"/>
    <n v="1445.8"/>
    <n v="11799.2"/>
    <n v="11799.2"/>
    <n v="0"/>
  </r>
  <r>
    <s v="71"/>
    <x v="2"/>
    <x v="11"/>
    <s v="ZM04F040"/>
    <x v="41"/>
    <s v="F102"/>
    <s v="PARTICIPACION CIUDADANA"/>
    <s v="GI00F10200005D"/>
    <s v="GI00F10200005D CASAS SOMOS QUITO"/>
    <s v="71 GASTOS EN PERSONAL PARA INVERSIÓN"/>
    <s v="710203 Decimotercer Sueldo"/>
    <s v="G/710203/1FF102"/>
    <s v="002"/>
    <n v="11510"/>
    <n v="0"/>
    <n v="0"/>
    <n v="11510"/>
    <n v="7097.05"/>
    <n v="4412.95"/>
    <n v="4412.95"/>
    <n v="7097.05"/>
    <n v="7097.05"/>
    <n v="0"/>
  </r>
  <r>
    <s v="71"/>
    <x v="2"/>
    <x v="11"/>
    <s v="ZN02F020"/>
    <x v="40"/>
    <s v="F102"/>
    <s v="PARTICIPACION CIUDADANA"/>
    <s v="GI00F10200005D"/>
    <s v="GI00F10200005D CASAS SOMOS QUITO"/>
    <s v="71 GASTOS EN PERSONAL PARA INVERSIÓN"/>
    <s v="710203 Decimotercer Sueldo"/>
    <s v="G/710203/1FF102"/>
    <s v="002"/>
    <n v="10693"/>
    <n v="0"/>
    <n v="0"/>
    <n v="10693"/>
    <n v="8599.5"/>
    <n v="2093.5"/>
    <n v="2093.5"/>
    <n v="8599.5"/>
    <n v="8599.5"/>
    <n v="0"/>
  </r>
  <r>
    <s v="71"/>
    <x v="2"/>
    <x v="11"/>
    <s v="ZC09F090"/>
    <x v="44"/>
    <s v="F102"/>
    <s v="PARTICIPACION CIUDADANA"/>
    <s v="GI00F10200005D"/>
    <s v="GI00F10200005D CASAS SOMOS QUITO"/>
    <s v="71 GASTOS EN PERSONAL PARA INVERSIÓN"/>
    <s v="710203 Decimotercer Sueldo"/>
    <s v="G/710203/1FF102"/>
    <s v="002"/>
    <n v="4570"/>
    <n v="0"/>
    <n v="0"/>
    <n v="4570"/>
    <n v="4570"/>
    <n v="0"/>
    <n v="0"/>
    <n v="4570"/>
    <n v="4570"/>
    <n v="0"/>
  </r>
  <r>
    <s v="71"/>
    <x v="2"/>
    <x v="11"/>
    <s v="ZQ08F080"/>
    <x v="39"/>
    <s v="F102"/>
    <s v="PARTICIPACION CIUDADANA"/>
    <s v="GI00F10200005D"/>
    <s v="GI00F10200005D CASAS SOMOS QUITO"/>
    <s v="71 GASTOS EN PERSONAL PARA INVERSIÓN"/>
    <s v="710203 Decimotercer Sueldo"/>
    <s v="G/710203/1FF102"/>
    <s v="002"/>
    <n v="8040"/>
    <n v="0"/>
    <n v="0"/>
    <n v="8040"/>
    <n v="7358.97"/>
    <n v="681.03"/>
    <n v="681.03"/>
    <n v="7358.97"/>
    <n v="7358.97"/>
    <n v="0"/>
  </r>
  <r>
    <s v="71"/>
    <x v="2"/>
    <x v="11"/>
    <s v="ZV05F050"/>
    <x v="37"/>
    <s v="F102"/>
    <s v="PARTICIPACION CIUDADANA"/>
    <s v="GI00F10200005D"/>
    <s v="GI00F10200005D CASAS SOMOS QUITO"/>
    <s v="71 GASTOS EN PERSONAL PARA INVERSIÓN"/>
    <s v="710203 Decimotercer Sueldo"/>
    <s v="G/710203/1FF102"/>
    <s v="002"/>
    <n v="11510"/>
    <n v="0"/>
    <n v="0"/>
    <n v="11510"/>
    <n v="9868.9599999999991"/>
    <n v="1641.04"/>
    <n v="1641.04"/>
    <n v="9868.9599999999991"/>
    <n v="9868.9599999999991"/>
    <n v="0"/>
  </r>
  <r>
    <s v="71"/>
    <x v="2"/>
    <x v="11"/>
    <s v="ZT06F060"/>
    <x v="25"/>
    <s v="F102"/>
    <s v="PARTICIPACION CIUDADANA"/>
    <s v="GI00F10200005D"/>
    <s v="GI00F10200005D CASAS SOMOS QUITO"/>
    <s v="71 GASTOS EN PERSONAL PARA INVERSIÓN"/>
    <s v="710203 Decimotercer Sueldo"/>
    <s v="G/710203/1FF102"/>
    <s v="002"/>
    <n v="6305"/>
    <n v="0"/>
    <n v="0"/>
    <n v="6305"/>
    <n v="6305"/>
    <n v="0"/>
    <n v="0"/>
    <n v="6305"/>
    <n v="6305"/>
    <n v="0"/>
  </r>
  <r>
    <s v="71"/>
    <x v="2"/>
    <x v="11"/>
    <s v="ZA01F000"/>
    <x v="31"/>
    <s v="F102"/>
    <s v="PARTICIPACION CIUDADANA"/>
    <s v="GI00F10200005D"/>
    <s v="GI00F10200005D CASAS SOMOS QUITO"/>
    <s v="71 GASTOS EN PERSONAL PARA INVERSIÓN"/>
    <s v="710204 Decimocuarto Sueldo"/>
    <s v="G/710204/1FF102"/>
    <s v="002"/>
    <n v="811.64"/>
    <n v="0"/>
    <n v="0"/>
    <n v="811.64"/>
    <n v="0"/>
    <n v="800"/>
    <n v="800"/>
    <n v="11.64"/>
    <n v="11.64"/>
    <n v="11.64"/>
  </r>
  <r>
    <s v="71"/>
    <x v="2"/>
    <x v="11"/>
    <s v="ZN02F020"/>
    <x v="40"/>
    <s v="F102"/>
    <s v="PARTICIPACION CIUDADANA"/>
    <s v="GI00F10200005D"/>
    <s v="GI00F10200005D CASAS SOMOS QUITO"/>
    <s v="71 GASTOS EN PERSONAL PARA INVERSIÓN"/>
    <s v="710204 Decimocuarto Sueldo"/>
    <s v="G/710204/1FF102"/>
    <s v="002"/>
    <n v="4869.84"/>
    <n v="0"/>
    <n v="0"/>
    <n v="4869.84"/>
    <n v="703.68"/>
    <n v="4096.32"/>
    <n v="4096.32"/>
    <n v="773.52"/>
    <n v="773.52"/>
    <n v="69.84"/>
  </r>
  <r>
    <s v="71"/>
    <x v="2"/>
    <x v="11"/>
    <s v="ZM04F040"/>
    <x v="41"/>
    <s v="F102"/>
    <s v="PARTICIPACION CIUDADANA"/>
    <s v="GI00F10200005D"/>
    <s v="GI00F10200005D CASAS SOMOS QUITO"/>
    <s v="71 GASTOS EN PERSONAL PARA INVERSIÓN"/>
    <s v="710204 Decimocuarto Sueldo"/>
    <s v="G/710204/1FF102"/>
    <s v="002"/>
    <n v="5275.66"/>
    <n v="0"/>
    <n v="0"/>
    <n v="5275.66"/>
    <n v="989.4"/>
    <n v="4210.6000000000004"/>
    <n v="4210.6000000000004"/>
    <n v="1065.06"/>
    <n v="1065.06"/>
    <n v="75.66"/>
  </r>
  <r>
    <s v="71"/>
    <x v="2"/>
    <x v="11"/>
    <s v="ZD07F070"/>
    <x v="43"/>
    <s v="F102"/>
    <s v="PARTICIPACION CIUDADANA"/>
    <s v="GI00F10200005D"/>
    <s v="GI00F10200005D CASAS SOMOS QUITO"/>
    <s v="71 GASTOS EN PERSONAL PARA INVERSIÓN"/>
    <s v="710204 Decimocuarto Sueldo"/>
    <s v="G/710204/1FF102"/>
    <s v="002"/>
    <n v="6087.3"/>
    <n v="0"/>
    <n v="0"/>
    <n v="6087.3"/>
    <n v="1685.03"/>
    <n v="4314.97"/>
    <n v="4314.97"/>
    <n v="1772.33"/>
    <n v="1772.33"/>
    <n v="87.3"/>
  </r>
  <r>
    <s v="71"/>
    <x v="2"/>
    <x v="11"/>
    <s v="ZQ08F080"/>
    <x v="39"/>
    <s v="F102"/>
    <s v="PARTICIPACION CIUDADANA"/>
    <s v="GI00F10200005D"/>
    <s v="GI00F10200005D CASAS SOMOS QUITO"/>
    <s v="71 GASTOS EN PERSONAL PARA INVERSIÓN"/>
    <s v="710204 Decimocuarto Sueldo"/>
    <s v="G/710204/1FF102"/>
    <s v="002"/>
    <n v="3652.38"/>
    <n v="0"/>
    <n v="0"/>
    <n v="3652.38"/>
    <n v="495.06"/>
    <n v="3104.94"/>
    <n v="3104.94"/>
    <n v="547.44000000000005"/>
    <n v="547.44000000000005"/>
    <n v="52.38"/>
  </r>
  <r>
    <s v="71"/>
    <x v="2"/>
    <x v="11"/>
    <s v="ZC09F090"/>
    <x v="44"/>
    <s v="F102"/>
    <s v="PARTICIPACION CIUDADANA"/>
    <s v="GI00F10200005D"/>
    <s v="GI00F10200005D CASAS SOMOS QUITO"/>
    <s v="71 GASTOS EN PERSONAL PARA INVERSIÓN"/>
    <s v="710204 Decimocuarto Sueldo"/>
    <s v="G/710204/1FF102"/>
    <s v="002"/>
    <n v="2029.1"/>
    <n v="0"/>
    <n v="0"/>
    <n v="2029.1"/>
    <n v="836.48"/>
    <n v="1163.52"/>
    <n v="1163.52"/>
    <n v="865.58"/>
    <n v="865.58"/>
    <n v="29.1"/>
  </r>
  <r>
    <s v="71"/>
    <x v="2"/>
    <x v="11"/>
    <s v="TM68F100"/>
    <x v="34"/>
    <s v="F102"/>
    <s v="PARTICIPACION CIUDADANA"/>
    <s v="GI00F10200005D"/>
    <s v="GI00F10200005D CASAS SOMOS QUITO"/>
    <s v="71 GASTOS EN PERSONAL PARA INVERSIÓN"/>
    <s v="710204 Decimocuarto Sueldo"/>
    <s v="G/710204/1FF102"/>
    <s v="002"/>
    <n v="405.82"/>
    <n v="0"/>
    <n v="0"/>
    <n v="405.82"/>
    <n v="53.95"/>
    <n v="346.05"/>
    <n v="346.05"/>
    <n v="59.77"/>
    <n v="59.77"/>
    <n v="5.82"/>
  </r>
  <r>
    <s v="71"/>
    <x v="2"/>
    <x v="11"/>
    <s v="ZS03F030"/>
    <x v="38"/>
    <s v="F102"/>
    <s v="PARTICIPACION CIUDADANA"/>
    <s v="GI00F10200005D"/>
    <s v="GI00F10200005D CASAS SOMOS QUITO"/>
    <s v="71 GASTOS EN PERSONAL PARA INVERSIÓN"/>
    <s v="710204 Decimocuarto Sueldo"/>
    <s v="G/710204/1FF102"/>
    <s v="002"/>
    <n v="6087.3"/>
    <n v="0"/>
    <n v="0"/>
    <n v="6087.3"/>
    <n v="654.57000000000005"/>
    <n v="5345.43"/>
    <n v="5345.43"/>
    <n v="741.87"/>
    <n v="741.87"/>
    <n v="87.3"/>
  </r>
  <r>
    <s v="71"/>
    <x v="2"/>
    <x v="11"/>
    <s v="ZT06F060"/>
    <x v="25"/>
    <s v="F102"/>
    <s v="PARTICIPACION CIUDADANA"/>
    <s v="GI00F10200005D"/>
    <s v="GI00F10200005D CASAS SOMOS QUITO"/>
    <s v="71 GASTOS EN PERSONAL PARA INVERSIÓN"/>
    <s v="710204 Decimocuarto Sueldo"/>
    <s v="G/710204/1FF102"/>
    <s v="002"/>
    <n v="2840.74"/>
    <n v="0"/>
    <n v="0"/>
    <n v="2840.74"/>
    <n v="590"/>
    <n v="2210"/>
    <n v="2210"/>
    <n v="630.74"/>
    <n v="630.74"/>
    <n v="40.74"/>
  </r>
  <r>
    <s v="71"/>
    <x v="2"/>
    <x v="11"/>
    <s v="ZV05F050"/>
    <x v="37"/>
    <s v="F102"/>
    <s v="PARTICIPACION CIUDADANA"/>
    <s v="GI00F10200005D"/>
    <s v="GI00F10200005D CASAS SOMOS QUITO"/>
    <s v="71 GASTOS EN PERSONAL PARA INVERSIÓN"/>
    <s v="710204 Decimocuarto Sueldo"/>
    <s v="G/710204/1FF102"/>
    <s v="002"/>
    <n v="5275.66"/>
    <n v="0"/>
    <n v="0"/>
    <n v="5275.66"/>
    <n v="626.19000000000005"/>
    <n v="4573.8100000000004"/>
    <n v="4573.8100000000004"/>
    <n v="701.85"/>
    <n v="701.85"/>
    <n v="75.66"/>
  </r>
  <r>
    <s v="71"/>
    <x v="2"/>
    <x v="11"/>
    <s v="ZN02F020"/>
    <x v="40"/>
    <s v="F102"/>
    <s v="PARTICIPACION CIUDADANA"/>
    <s v="GI00F10200005D"/>
    <s v="GI00F10200005D CASAS SOMOS QUITO"/>
    <s v="71 GASTOS EN PERSONAL PARA INVERSIÓN"/>
    <s v="710507 Honorarios"/>
    <s v="G/710507/1FF102"/>
    <s v="002"/>
    <n v="0"/>
    <n v="880"/>
    <n v="0"/>
    <n v="880"/>
    <n v="0"/>
    <n v="880"/>
    <n v="880"/>
    <n v="0"/>
    <n v="0"/>
    <n v="0"/>
  </r>
  <r>
    <s v="71"/>
    <x v="2"/>
    <x v="11"/>
    <s v="ZD07F070"/>
    <x v="43"/>
    <s v="F102"/>
    <s v="PARTICIPACION CIUDADANA"/>
    <s v="GI00F10200005D"/>
    <s v="GI00F10200005D CASAS SOMOS QUITO"/>
    <s v="71 GASTOS EN PERSONAL PARA INVERSIÓN"/>
    <s v="710507 Honorarios"/>
    <s v="G/710507/1FF102"/>
    <s v="002"/>
    <n v="0"/>
    <n v="1832.2"/>
    <n v="0"/>
    <n v="1832.2"/>
    <n v="0"/>
    <n v="1832.1"/>
    <n v="1832.1"/>
    <n v="0.1"/>
    <n v="0.1"/>
    <n v="0.1"/>
  </r>
  <r>
    <s v="71"/>
    <x v="2"/>
    <x v="11"/>
    <s v="ZC09F090"/>
    <x v="44"/>
    <s v="F102"/>
    <s v="PARTICIPACION CIUDADANA"/>
    <s v="GI00F10200005D"/>
    <s v="GI00F10200005D CASAS SOMOS QUITO"/>
    <s v="71 GASTOS EN PERSONAL PARA INVERSIÓN"/>
    <s v="710507 Honorarios"/>
    <s v="G/710507/1FF102"/>
    <s v="002"/>
    <n v="0"/>
    <n v="1650"/>
    <n v="0"/>
    <n v="1650"/>
    <n v="0"/>
    <n v="1650"/>
    <n v="1650"/>
    <n v="0"/>
    <n v="0"/>
    <n v="0"/>
  </r>
  <r>
    <s v="71"/>
    <x v="2"/>
    <x v="11"/>
    <s v="ZS03F030"/>
    <x v="38"/>
    <s v="F102"/>
    <s v="PARTICIPACION CIUDADANA"/>
    <s v="GI00F10200005D"/>
    <s v="GI00F10200005D CASAS SOMOS QUITO"/>
    <s v="71 GASTOS EN PERSONAL PARA INVERSIÓN"/>
    <s v="710507 Honorarios"/>
    <s v="G/710507/1FF102"/>
    <s v="002"/>
    <n v="0"/>
    <n v="850"/>
    <n v="0"/>
    <n v="850"/>
    <n v="0"/>
    <n v="826.2"/>
    <n v="826.2"/>
    <n v="23.8"/>
    <n v="23.8"/>
    <n v="23.8"/>
  </r>
  <r>
    <s v="71"/>
    <x v="2"/>
    <x v="11"/>
    <s v="ZM04F040"/>
    <x v="41"/>
    <s v="F102"/>
    <s v="PARTICIPACION CIUDADANA"/>
    <s v="GI00F10200005D"/>
    <s v="GI00F10200005D CASAS SOMOS QUITO"/>
    <s v="71 GASTOS EN PERSONAL PARA INVERSIÓN"/>
    <s v="710507 Honorarios"/>
    <s v="G/710507/1FF102"/>
    <s v="002"/>
    <n v="0"/>
    <n v="1500"/>
    <n v="0"/>
    <n v="1500"/>
    <n v="0"/>
    <n v="1285.2"/>
    <n v="1285.2"/>
    <n v="214.8"/>
    <n v="214.8"/>
    <n v="214.8"/>
  </r>
  <r>
    <s v="71"/>
    <x v="2"/>
    <x v="11"/>
    <s v="ZT06F060"/>
    <x v="25"/>
    <s v="F102"/>
    <s v="PARTICIPACION CIUDADANA"/>
    <s v="GI00F10200005D"/>
    <s v="GI00F10200005D CASAS SOMOS QUITO"/>
    <s v="71 GASTOS EN PERSONAL PARA INVERSIÓN"/>
    <s v="710507 Honorarios"/>
    <s v="G/710507/1FF102"/>
    <s v="002"/>
    <n v="0"/>
    <n v="550"/>
    <n v="0"/>
    <n v="550"/>
    <n v="0"/>
    <n v="544.66999999999996"/>
    <n v="544.66999999999996"/>
    <n v="5.33"/>
    <n v="5.33"/>
    <n v="5.33"/>
  </r>
  <r>
    <s v="71"/>
    <x v="2"/>
    <x v="11"/>
    <s v="ZQ08F080"/>
    <x v="39"/>
    <s v="F102"/>
    <s v="PARTICIPACION CIUDADANA"/>
    <s v="GI00F10200005D"/>
    <s v="GI00F10200005D CASAS SOMOS QUITO"/>
    <s v="71 GASTOS EN PERSONAL PARA INVERSIÓN"/>
    <s v="710507 Honorarios"/>
    <s v="G/710507/1FF102"/>
    <s v="002"/>
    <n v="0"/>
    <n v="2025.33"/>
    <n v="0"/>
    <n v="2025.33"/>
    <n v="0"/>
    <n v="2024.8"/>
    <n v="2024.8"/>
    <n v="0.53"/>
    <n v="0.53"/>
    <n v="0.53"/>
  </r>
  <r>
    <s v="71"/>
    <x v="2"/>
    <x v="11"/>
    <s v="ZC09F090"/>
    <x v="44"/>
    <s v="F102"/>
    <s v="PARTICIPACION CIUDADANA"/>
    <s v="GI00F10200005D"/>
    <s v="GI00F10200005D CASAS SOMOS QUITO"/>
    <s v="71 GASTOS EN PERSONAL PARA INVERSIÓN"/>
    <s v="710510 Servicios Personales por Contrato"/>
    <s v="G/710510/1FF102"/>
    <s v="002"/>
    <n v="54840"/>
    <n v="0"/>
    <n v="0"/>
    <n v="54840"/>
    <n v="12550"/>
    <n v="42290"/>
    <n v="42290"/>
    <n v="12550"/>
    <n v="12550"/>
    <n v="0"/>
  </r>
  <r>
    <s v="71"/>
    <x v="2"/>
    <x v="11"/>
    <s v="TM68F100"/>
    <x v="34"/>
    <s v="F102"/>
    <s v="PARTICIPACION CIUDADANA"/>
    <s v="GI00F10200005D"/>
    <s v="GI00F10200005D CASAS SOMOS QUITO"/>
    <s v="71 GASTOS EN PERSONAL PARA INVERSIÓN"/>
    <s v="710510 Servicios Personales por Contrato"/>
    <s v="G/710510/1FF102"/>
    <s v="002"/>
    <n v="9804"/>
    <n v="0"/>
    <n v="0"/>
    <n v="9804"/>
    <n v="1634"/>
    <n v="8170"/>
    <n v="8170"/>
    <n v="1634"/>
    <n v="1634"/>
    <n v="0"/>
  </r>
  <r>
    <s v="71"/>
    <x v="2"/>
    <x v="11"/>
    <s v="ZS03F030"/>
    <x v="38"/>
    <s v="F102"/>
    <s v="PARTICIPACION CIUDADANA"/>
    <s v="GI00F10200005D"/>
    <s v="GI00F10200005D CASAS SOMOS QUITO"/>
    <s v="71 GASTOS EN PERSONAL PARA INVERSIÓN"/>
    <s v="710510 Servicios Personales por Contrato"/>
    <s v="G/710510/1FF102"/>
    <s v="002"/>
    <n v="158940"/>
    <n v="0"/>
    <n v="0"/>
    <n v="158940"/>
    <n v="28781.94"/>
    <n v="130158.06"/>
    <n v="130158.06"/>
    <n v="28781.94"/>
    <n v="28781.94"/>
    <n v="0"/>
  </r>
  <r>
    <s v="71"/>
    <x v="2"/>
    <x v="11"/>
    <s v="ZD07F070"/>
    <x v="43"/>
    <s v="F102"/>
    <s v="PARTICIPACION CIUDADANA"/>
    <s v="GI00F10200005D"/>
    <s v="GI00F10200005D CASAS SOMOS QUITO"/>
    <s v="71 GASTOS EN PERSONAL PARA INVERSIÓN"/>
    <s v="710510 Servicios Personales por Contrato"/>
    <s v="G/710510/1FF102"/>
    <s v="002"/>
    <n v="157728"/>
    <n v="0"/>
    <n v="0"/>
    <n v="157728"/>
    <n v="36199.800000000003"/>
    <n v="121528.2"/>
    <n v="121528.2"/>
    <n v="36199.800000000003"/>
    <n v="36199.800000000003"/>
    <n v="0"/>
  </r>
  <r>
    <s v="71"/>
    <x v="2"/>
    <x v="11"/>
    <s v="ZN02F020"/>
    <x v="40"/>
    <s v="F102"/>
    <s v="PARTICIPACION CIUDADANA"/>
    <s v="GI00F10200005D"/>
    <s v="GI00F10200005D CASAS SOMOS QUITO"/>
    <s v="71 GASTOS EN PERSONAL PARA INVERSIÓN"/>
    <s v="710510 Servicios Personales por Contrato"/>
    <s v="G/710510/1FF102"/>
    <s v="002"/>
    <n v="128316"/>
    <n v="0"/>
    <n v="0"/>
    <n v="128316"/>
    <n v="30675.599999999999"/>
    <n v="97640.4"/>
    <n v="97640.4"/>
    <n v="30675.599999999999"/>
    <n v="30675.599999999999"/>
    <n v="0"/>
  </r>
  <r>
    <s v="71"/>
    <x v="2"/>
    <x v="11"/>
    <s v="ZT06F060"/>
    <x v="25"/>
    <s v="F102"/>
    <s v="PARTICIPACION CIUDADANA"/>
    <s v="GI00F10200005D"/>
    <s v="GI00F10200005D CASAS SOMOS QUITO"/>
    <s v="71 GASTOS EN PERSONAL PARA INVERSIÓN"/>
    <s v="710510 Servicios Personales por Contrato"/>
    <s v="G/710510/1FF102"/>
    <s v="002"/>
    <n v="75660"/>
    <n v="0"/>
    <n v="0"/>
    <n v="75660"/>
    <n v="17418.5"/>
    <n v="58241.5"/>
    <n v="58241.5"/>
    <n v="17418.5"/>
    <n v="17418.5"/>
    <n v="0"/>
  </r>
  <r>
    <s v="71"/>
    <x v="2"/>
    <x v="11"/>
    <s v="ZQ08F080"/>
    <x v="39"/>
    <s v="F102"/>
    <s v="PARTICIPACION CIUDADANA"/>
    <s v="GI00F10200005D"/>
    <s v="GI00F10200005D CASAS SOMOS QUITO"/>
    <s v="71 GASTOS EN PERSONAL PARA INVERSIÓN"/>
    <s v="710510 Servicios Personales por Contrato"/>
    <s v="G/710510/1FF102"/>
    <s v="002"/>
    <n v="96480"/>
    <n v="0"/>
    <n v="0"/>
    <n v="96480"/>
    <n v="11894.37"/>
    <n v="84585.63"/>
    <n v="84585.63"/>
    <n v="11894.37"/>
    <n v="11894.37"/>
    <n v="0"/>
  </r>
  <r>
    <s v="71"/>
    <x v="2"/>
    <x v="11"/>
    <s v="ZM04F040"/>
    <x v="41"/>
    <s v="F102"/>
    <s v="PARTICIPACION CIUDADANA"/>
    <s v="GI00F10200005D"/>
    <s v="GI00F10200005D CASAS SOMOS QUITO"/>
    <s v="71 GASTOS EN PERSONAL PARA INVERSIÓN"/>
    <s v="710510 Servicios Personales por Contrato"/>
    <s v="G/710510/1FF102"/>
    <s v="002"/>
    <n v="138120"/>
    <n v="0"/>
    <n v="0"/>
    <n v="138120"/>
    <n v="27278.67"/>
    <n v="110841.33"/>
    <n v="110841.33"/>
    <n v="27278.67"/>
    <n v="27278.67"/>
    <n v="0"/>
  </r>
  <r>
    <s v="71"/>
    <x v="2"/>
    <x v="11"/>
    <s v="ZV05F050"/>
    <x v="37"/>
    <s v="F102"/>
    <s v="PARTICIPACION CIUDADANA"/>
    <s v="GI00F10200005D"/>
    <s v="GI00F10200005D CASAS SOMOS QUITO"/>
    <s v="71 GASTOS EN PERSONAL PARA INVERSIÓN"/>
    <s v="710510 Servicios Personales por Contrato"/>
    <s v="G/710510/1FF102"/>
    <s v="002"/>
    <n v="138120"/>
    <n v="0"/>
    <n v="0"/>
    <n v="138120"/>
    <n v="31097.53"/>
    <n v="107022.47"/>
    <n v="107022.47"/>
    <n v="31097.53"/>
    <n v="31097.53"/>
    <n v="0"/>
  </r>
  <r>
    <s v="71"/>
    <x v="2"/>
    <x v="11"/>
    <s v="ZA01F000"/>
    <x v="31"/>
    <s v="F102"/>
    <s v="PARTICIPACION CIUDADANA"/>
    <s v="GI00F10200005D"/>
    <s v="GI00F10200005D CASAS SOMOS QUITO"/>
    <s v="71 GASTOS EN PERSONAL PARA INVERSIÓN"/>
    <s v="710510 Servicios Personales por Contrato"/>
    <s v="G/710510/1FF102"/>
    <s v="002"/>
    <n v="28236"/>
    <n v="0"/>
    <n v="0"/>
    <n v="28236"/>
    <n v="4706"/>
    <n v="23530"/>
    <n v="23530"/>
    <n v="4706"/>
    <n v="4706"/>
    <n v="0"/>
  </r>
  <r>
    <s v="71"/>
    <x v="2"/>
    <x v="11"/>
    <s v="ZV05F050"/>
    <x v="37"/>
    <s v="F102"/>
    <s v="PARTICIPACION CIUDADANA"/>
    <s v="GI00F10200005D"/>
    <s v="GI00F10200005D CASAS SOMOS QUITO"/>
    <s v="71 GASTOS EN PERSONAL PARA INVERSIÓN"/>
    <s v="710601 Aporte Patronal"/>
    <s v="G/710601/1FF102"/>
    <s v="002"/>
    <n v="17472.18"/>
    <n v="0"/>
    <n v="0"/>
    <n v="17472.18"/>
    <n v="4023.88"/>
    <n v="13448.3"/>
    <n v="13448.3"/>
    <n v="4023.88"/>
    <n v="4023.88"/>
    <n v="0"/>
  </r>
  <r>
    <s v="71"/>
    <x v="2"/>
    <x v="11"/>
    <s v="ZC09F090"/>
    <x v="44"/>
    <s v="F102"/>
    <s v="PARTICIPACION CIUDADANA"/>
    <s v="GI00F10200005D"/>
    <s v="GI00F10200005D CASAS SOMOS QUITO"/>
    <s v="71 GASTOS EN PERSONAL PARA INVERSIÓN"/>
    <s v="710601 Aporte Patronal"/>
    <s v="G/710601/1FF102"/>
    <s v="002"/>
    <n v="6937.26"/>
    <n v="0"/>
    <n v="0"/>
    <n v="6937.26"/>
    <n v="1378.8"/>
    <n v="5558.46"/>
    <n v="5558.46"/>
    <n v="1378.8"/>
    <n v="1378.8"/>
    <n v="0"/>
  </r>
  <r>
    <s v="71"/>
    <x v="2"/>
    <x v="11"/>
    <s v="ZQ08F080"/>
    <x v="39"/>
    <s v="F102"/>
    <s v="PARTICIPACION CIUDADANA"/>
    <s v="GI00F10200005D"/>
    <s v="GI00F10200005D CASAS SOMOS QUITO"/>
    <s v="71 GASTOS EN PERSONAL PARA INVERSIÓN"/>
    <s v="710601 Aporte Patronal"/>
    <s v="G/710601/1FF102"/>
    <s v="002"/>
    <n v="12204.72"/>
    <n v="0"/>
    <n v="0"/>
    <n v="12204.72"/>
    <n v="1248.4100000000001"/>
    <n v="10956.31"/>
    <n v="10956.31"/>
    <n v="1248.4100000000001"/>
    <n v="1248.4100000000001"/>
    <n v="0"/>
  </r>
  <r>
    <s v="71"/>
    <x v="2"/>
    <x v="11"/>
    <s v="TM68F100"/>
    <x v="34"/>
    <s v="F102"/>
    <s v="PARTICIPACION CIUDADANA"/>
    <s v="GI00F10200005D"/>
    <s v="GI00F10200005D CASAS SOMOS QUITO"/>
    <s v="71 GASTOS EN PERSONAL PARA INVERSIÓN"/>
    <s v="710601 Aporte Patronal"/>
    <s v="G/710601/1FF102"/>
    <s v="002"/>
    <n v="1240.21"/>
    <n v="0"/>
    <n v="0"/>
    <n v="1240.21"/>
    <n v="206.71"/>
    <n v="1033.5"/>
    <n v="1033.5"/>
    <n v="206.71"/>
    <n v="206.71"/>
    <n v="0"/>
  </r>
  <r>
    <s v="71"/>
    <x v="2"/>
    <x v="11"/>
    <s v="ZA01F000"/>
    <x v="31"/>
    <s v="F102"/>
    <s v="PARTICIPACION CIUDADANA"/>
    <s v="GI00F10200005D"/>
    <s v="GI00F10200005D CASAS SOMOS QUITO"/>
    <s v="71 GASTOS EN PERSONAL PARA INVERSIÓN"/>
    <s v="710601 Aporte Patronal"/>
    <s v="G/710601/1FF102"/>
    <s v="002"/>
    <n v="3571.85"/>
    <n v="0"/>
    <n v="0"/>
    <n v="3571.85"/>
    <n v="595.35"/>
    <n v="2976.5"/>
    <n v="2976.5"/>
    <n v="595.35"/>
    <n v="595.35"/>
    <n v="0"/>
  </r>
  <r>
    <s v="71"/>
    <x v="2"/>
    <x v="11"/>
    <s v="ZS03F030"/>
    <x v="38"/>
    <s v="F102"/>
    <s v="PARTICIPACION CIUDADANA"/>
    <s v="GI00F10200005D"/>
    <s v="GI00F10200005D CASAS SOMOS QUITO"/>
    <s v="71 GASTOS EN PERSONAL PARA INVERSIÓN"/>
    <s v="710601 Aporte Patronal"/>
    <s v="G/710601/1FF102"/>
    <s v="002"/>
    <n v="20105.91"/>
    <n v="0"/>
    <n v="0"/>
    <n v="20105.91"/>
    <n v="3536.24"/>
    <n v="16569.669999999998"/>
    <n v="16569.669999999998"/>
    <n v="3536.24"/>
    <n v="3536.24"/>
    <n v="0"/>
  </r>
  <r>
    <s v="71"/>
    <x v="2"/>
    <x v="11"/>
    <s v="ZT06F060"/>
    <x v="25"/>
    <s v="F102"/>
    <s v="PARTICIPACION CIUDADANA"/>
    <s v="GI00F10200005D"/>
    <s v="GI00F10200005D CASAS SOMOS QUITO"/>
    <s v="71 GASTOS EN PERSONAL PARA INVERSIÓN"/>
    <s v="710601 Aporte Patronal"/>
    <s v="G/710601/1FF102"/>
    <s v="002"/>
    <n v="9570.99"/>
    <n v="0"/>
    <n v="0"/>
    <n v="9570.99"/>
    <n v="2134.46"/>
    <n v="7436.53"/>
    <n v="7436.53"/>
    <n v="2134.46"/>
    <n v="2134.46"/>
    <n v="0"/>
  </r>
  <r>
    <s v="71"/>
    <x v="2"/>
    <x v="11"/>
    <s v="ZM04F040"/>
    <x v="41"/>
    <s v="F102"/>
    <s v="PARTICIPACION CIUDADANA"/>
    <s v="GI00F10200005D"/>
    <s v="GI00F10200005D CASAS SOMOS QUITO"/>
    <s v="71 GASTOS EN PERSONAL PARA INVERSIÓN"/>
    <s v="710601 Aporte Patronal"/>
    <s v="G/710601/1FF102"/>
    <s v="002"/>
    <n v="17472.18"/>
    <n v="0"/>
    <n v="0"/>
    <n v="17472.18"/>
    <n v="3288.03"/>
    <n v="14184.15"/>
    <n v="14184.15"/>
    <n v="3288.03"/>
    <n v="3288.03"/>
    <n v="0"/>
  </r>
  <r>
    <s v="71"/>
    <x v="2"/>
    <x v="11"/>
    <s v="ZN02F020"/>
    <x v="40"/>
    <s v="F102"/>
    <s v="PARTICIPACION CIUDADANA"/>
    <s v="GI00F10200005D"/>
    <s v="GI00F10200005D CASAS SOMOS QUITO"/>
    <s v="71 GASTOS EN PERSONAL PARA INVERSIÓN"/>
    <s v="710601 Aporte Patronal"/>
    <s v="G/710601/1FF102"/>
    <s v="002"/>
    <n v="16231.97"/>
    <n v="0"/>
    <n v="0"/>
    <n v="16231.97"/>
    <n v="3768.99"/>
    <n v="12462.98"/>
    <n v="12462.98"/>
    <n v="3768.99"/>
    <n v="3768.99"/>
    <n v="0"/>
  </r>
  <r>
    <s v="71"/>
    <x v="2"/>
    <x v="11"/>
    <s v="ZD07F070"/>
    <x v="43"/>
    <s v="F102"/>
    <s v="PARTICIPACION CIUDADANA"/>
    <s v="GI00F10200005D"/>
    <s v="GI00F10200005D CASAS SOMOS QUITO"/>
    <s v="71 GASTOS EN PERSONAL PARA INVERSIÓN"/>
    <s v="710601 Aporte Patronal"/>
    <s v="G/710601/1FF102"/>
    <s v="002"/>
    <n v="19952.59"/>
    <n v="0"/>
    <n v="0"/>
    <n v="19952.59"/>
    <n v="4347.3500000000004"/>
    <n v="15605.24"/>
    <n v="15605.24"/>
    <n v="4347.3500000000004"/>
    <n v="4347.3500000000004"/>
    <n v="0"/>
  </r>
  <r>
    <s v="71"/>
    <x v="2"/>
    <x v="11"/>
    <s v="ZT06F060"/>
    <x v="25"/>
    <s v="F102"/>
    <s v="PARTICIPACION CIUDADANA"/>
    <s v="GI00F10200005D"/>
    <s v="GI00F10200005D CASAS SOMOS QUITO"/>
    <s v="71 GASTOS EN PERSONAL PARA INVERSIÓN"/>
    <s v="710602 Fondo de Reserva"/>
    <s v="G/710602/1FF102"/>
    <s v="002"/>
    <n v="6305"/>
    <n v="0"/>
    <n v="0"/>
    <n v="6305"/>
    <n v="3326.54"/>
    <n v="2978.46"/>
    <n v="2978.46"/>
    <n v="3326.54"/>
    <n v="3326.54"/>
    <n v="0"/>
  </r>
  <r>
    <s v="71"/>
    <x v="2"/>
    <x v="11"/>
    <s v="ZS03F030"/>
    <x v="38"/>
    <s v="F102"/>
    <s v="PARTICIPACION CIUDADANA"/>
    <s v="GI00F10200005D"/>
    <s v="GI00F10200005D CASAS SOMOS QUITO"/>
    <s v="71 GASTOS EN PERSONAL PARA INVERSIÓN"/>
    <s v="710602 Fondo de Reserva"/>
    <s v="G/710602/1FF102"/>
    <s v="002"/>
    <n v="13245"/>
    <n v="0"/>
    <n v="0"/>
    <n v="13245"/>
    <n v="5814.32"/>
    <n v="7430.68"/>
    <n v="7430.68"/>
    <n v="5814.32"/>
    <n v="5814.32"/>
    <n v="0"/>
  </r>
  <r>
    <s v="71"/>
    <x v="2"/>
    <x v="11"/>
    <s v="TM68F100"/>
    <x v="34"/>
    <s v="F102"/>
    <s v="PARTICIPACION CIUDADANA"/>
    <s v="GI00F10200005D"/>
    <s v="GI00F10200005D CASAS SOMOS QUITO"/>
    <s v="71 GASTOS EN PERSONAL PARA INVERSIÓN"/>
    <s v="710602 Fondo de Reserva"/>
    <s v="G/710602/1FF102"/>
    <s v="002"/>
    <n v="817"/>
    <n v="0"/>
    <n v="0"/>
    <n v="817"/>
    <n v="136.4"/>
    <n v="680.6"/>
    <n v="680.6"/>
    <n v="136.4"/>
    <n v="136.4"/>
    <n v="0"/>
  </r>
  <r>
    <s v="71"/>
    <x v="2"/>
    <x v="11"/>
    <s v="ZQ08F080"/>
    <x v="39"/>
    <s v="F102"/>
    <s v="PARTICIPACION CIUDADANA"/>
    <s v="GI00F10200005D"/>
    <s v="GI00F10200005D CASAS SOMOS QUITO"/>
    <s v="71 GASTOS EN PERSONAL PARA INVERSIÓN"/>
    <s v="710602 Fondo de Reserva"/>
    <s v="G/710602/1FF102"/>
    <s v="002"/>
    <n v="8040"/>
    <n v="0"/>
    <n v="0"/>
    <n v="8040"/>
    <n v="3432.23"/>
    <n v="4607.7700000000004"/>
    <n v="4607.7700000000004"/>
    <n v="3432.23"/>
    <n v="3432.23"/>
    <n v="0"/>
  </r>
  <r>
    <s v="71"/>
    <x v="2"/>
    <x v="11"/>
    <s v="ZD07F070"/>
    <x v="43"/>
    <s v="F102"/>
    <s v="PARTICIPACION CIUDADANA"/>
    <s v="GI00F10200005D"/>
    <s v="GI00F10200005D CASAS SOMOS QUITO"/>
    <s v="71 GASTOS EN PERSONAL PARA INVERSIÓN"/>
    <s v="710602 Fondo de Reserva"/>
    <s v="G/710602/1FF102"/>
    <s v="002"/>
    <n v="13144"/>
    <n v="0"/>
    <n v="0"/>
    <n v="13144"/>
    <n v="4705.38"/>
    <n v="8438.6200000000008"/>
    <n v="8438.6200000000008"/>
    <n v="4705.38"/>
    <n v="4705.38"/>
    <n v="0"/>
  </r>
  <r>
    <s v="71"/>
    <x v="2"/>
    <x v="11"/>
    <s v="ZA01F000"/>
    <x v="31"/>
    <s v="F102"/>
    <s v="PARTICIPACION CIUDADANA"/>
    <s v="GI00F10200005D"/>
    <s v="GI00F10200005D CASAS SOMOS QUITO"/>
    <s v="71 GASTOS EN PERSONAL PARA INVERSIÓN"/>
    <s v="710602 Fondo de Reserva"/>
    <s v="G/710602/1FF102"/>
    <s v="002"/>
    <n v="2353"/>
    <n v="0"/>
    <n v="0"/>
    <n v="2353"/>
    <n v="648.29999999999995"/>
    <n v="1704.7"/>
    <n v="1704.7"/>
    <n v="648.29999999999995"/>
    <n v="648.29999999999995"/>
    <n v="0"/>
  </r>
  <r>
    <s v="71"/>
    <x v="2"/>
    <x v="11"/>
    <s v="ZM04F040"/>
    <x v="41"/>
    <s v="F102"/>
    <s v="PARTICIPACION CIUDADANA"/>
    <s v="GI00F10200005D"/>
    <s v="GI00F10200005D CASAS SOMOS QUITO"/>
    <s v="71 GASTOS EN PERSONAL PARA INVERSIÓN"/>
    <s v="710602 Fondo de Reserva"/>
    <s v="G/710602/1FF102"/>
    <s v="002"/>
    <n v="11510"/>
    <n v="0"/>
    <n v="0"/>
    <n v="11510"/>
    <n v="6299.78"/>
    <n v="5210.22"/>
    <n v="5210.22"/>
    <n v="6299.78"/>
    <n v="6299.78"/>
    <n v="0"/>
  </r>
  <r>
    <s v="71"/>
    <x v="2"/>
    <x v="11"/>
    <s v="ZV05F050"/>
    <x v="37"/>
    <s v="F102"/>
    <s v="PARTICIPACION CIUDADANA"/>
    <s v="GI00F10200005D"/>
    <s v="GI00F10200005D CASAS SOMOS QUITO"/>
    <s v="71 GASTOS EN PERSONAL PARA INVERSIÓN"/>
    <s v="710602 Fondo de Reserva"/>
    <s v="G/710602/1FF102"/>
    <s v="002"/>
    <n v="11510"/>
    <n v="0"/>
    <n v="0"/>
    <n v="11510"/>
    <n v="4952.38"/>
    <n v="6557.62"/>
    <n v="6557.62"/>
    <n v="4952.38"/>
    <n v="4952.38"/>
    <n v="0"/>
  </r>
  <r>
    <s v="71"/>
    <x v="2"/>
    <x v="11"/>
    <s v="ZC09F090"/>
    <x v="44"/>
    <s v="F102"/>
    <s v="PARTICIPACION CIUDADANA"/>
    <s v="GI00F10200005D"/>
    <s v="GI00F10200005D CASAS SOMOS QUITO"/>
    <s v="71 GASTOS EN PERSONAL PARA INVERSIÓN"/>
    <s v="710602 Fondo de Reserva"/>
    <s v="G/710602/1FF102"/>
    <s v="002"/>
    <n v="4570"/>
    <n v="0"/>
    <n v="0"/>
    <n v="4570"/>
    <n v="2675.71"/>
    <n v="1894.29"/>
    <n v="1894.29"/>
    <n v="2675.71"/>
    <n v="2675.71"/>
    <n v="0"/>
  </r>
  <r>
    <s v="71"/>
    <x v="2"/>
    <x v="11"/>
    <s v="ZN02F020"/>
    <x v="40"/>
    <s v="F102"/>
    <s v="PARTICIPACION CIUDADANA"/>
    <s v="GI00F10200005D"/>
    <s v="GI00F10200005D CASAS SOMOS QUITO"/>
    <s v="71 GASTOS EN PERSONAL PARA INVERSIÓN"/>
    <s v="710602 Fondo de Reserva"/>
    <s v="G/710602/1FF102"/>
    <s v="002"/>
    <n v="10693"/>
    <n v="0"/>
    <n v="0"/>
    <n v="10693"/>
    <n v="6119.06"/>
    <n v="4573.9399999999996"/>
    <n v="4573.9399999999996"/>
    <n v="6119.06"/>
    <n v="6119.06"/>
    <n v="0"/>
  </r>
  <r>
    <s v="71"/>
    <x v="1"/>
    <x v="13"/>
    <s v="ZA01G000"/>
    <x v="29"/>
    <s v="G101"/>
    <s v="ARTE, CULTURA Y PATRIMONIO"/>
    <s v="GI00G10100001D"/>
    <s v="GI00G10100001D AGENDA CULTURAL METROPOLITANA"/>
    <s v="71 GASTOS EN PERSONAL PARA INVERSIÓN"/>
    <s v="710203 Decimotercer Sueldo"/>
    <s v="G/710203/1GG101"/>
    <s v="002"/>
    <n v="17702"/>
    <n v="0"/>
    <n v="0"/>
    <n v="17702"/>
    <n v="13720.48"/>
    <n v="3981.52"/>
    <n v="3981.52"/>
    <n v="13720.48"/>
    <n v="13720.48"/>
    <n v="0"/>
  </r>
  <r>
    <s v="71"/>
    <x v="1"/>
    <x v="13"/>
    <s v="ZA01G000"/>
    <x v="29"/>
    <s v="G101"/>
    <s v="ARTE, CULTURA Y PATRIMONIO"/>
    <s v="GI00G10100001D"/>
    <s v="GI00G10100001D AGENDA CULTURAL METROPOLITANA"/>
    <s v="71 GASTOS EN PERSONAL PARA INVERSIÓN"/>
    <s v="710204 Decimocuarto Sueldo"/>
    <s v="G/710204/1GG101"/>
    <s v="002"/>
    <n v="6898.94"/>
    <n v="0"/>
    <n v="0"/>
    <n v="6898.94"/>
    <n v="130.08000000000001"/>
    <n v="6669.92"/>
    <n v="6669.92"/>
    <n v="229.02"/>
    <n v="229.02"/>
    <n v="98.94"/>
  </r>
  <r>
    <s v="71"/>
    <x v="1"/>
    <x v="13"/>
    <s v="ZA01G000"/>
    <x v="29"/>
    <s v="G101"/>
    <s v="ARTE, CULTURA Y PATRIMONIO"/>
    <s v="GI00G10100001D"/>
    <s v="GI00G10100001D AGENDA CULTURAL METROPOLITANA"/>
    <s v="71 GASTOS EN PERSONAL PARA INVERSIÓN"/>
    <s v="710507 Honorarios"/>
    <s v="G/710507/1GG101"/>
    <s v="002"/>
    <n v="0"/>
    <n v="986"/>
    <n v="0"/>
    <n v="986"/>
    <n v="0"/>
    <n v="986"/>
    <n v="986"/>
    <n v="0"/>
    <n v="0"/>
    <n v="0"/>
  </r>
  <r>
    <s v="71"/>
    <x v="1"/>
    <x v="13"/>
    <s v="ZA01G000"/>
    <x v="29"/>
    <s v="G101"/>
    <s v="ARTE, CULTURA Y PATRIMONIO"/>
    <s v="GI00G10100001D"/>
    <s v="GI00G10100001D AGENDA CULTURAL METROPOLITANA"/>
    <s v="71 GASTOS EN PERSONAL PARA INVERSIÓN"/>
    <s v="710509 Horas Extraordinarias y Suplementarias"/>
    <s v="G/710509/1GG101"/>
    <s v="002"/>
    <n v="0"/>
    <n v="2550"/>
    <n v="0"/>
    <n v="2550"/>
    <n v="0"/>
    <n v="302.83999999999997"/>
    <n v="302.83999999999997"/>
    <n v="2247.16"/>
    <n v="2247.16"/>
    <n v="2247.16"/>
  </r>
  <r>
    <s v="71"/>
    <x v="1"/>
    <x v="13"/>
    <s v="ZA01G000"/>
    <x v="29"/>
    <s v="G101"/>
    <s v="ARTE, CULTURA Y PATRIMONIO"/>
    <s v="GI00G10100001D"/>
    <s v="GI00G10100001D AGENDA CULTURAL METROPOLITANA"/>
    <s v="71 GASTOS EN PERSONAL PARA INVERSIÓN"/>
    <s v="710510 Servicios Personales por Contrato"/>
    <s v="G/710510/1GG101"/>
    <s v="002"/>
    <n v="212424"/>
    <n v="0"/>
    <n v="0"/>
    <n v="212424"/>
    <n v="26686.959999999999"/>
    <n v="185737.04"/>
    <n v="185737.04"/>
    <n v="26686.959999999999"/>
    <n v="26686.959999999999"/>
    <n v="0"/>
  </r>
  <r>
    <s v="71"/>
    <x v="1"/>
    <x v="13"/>
    <s v="ZA01G000"/>
    <x v="29"/>
    <s v="G101"/>
    <s v="ARTE, CULTURA Y PATRIMONIO"/>
    <s v="GI00G10100001D"/>
    <s v="GI00G10100001D AGENDA CULTURAL METROPOLITANA"/>
    <s v="71 GASTOS EN PERSONAL PARA INVERSIÓN"/>
    <s v="710512 Subrogación"/>
    <s v="G/710512/1GG101"/>
    <s v="002"/>
    <n v="0"/>
    <n v="550"/>
    <n v="0"/>
    <n v="550"/>
    <n v="0"/>
    <n v="546"/>
    <n v="546"/>
    <n v="4"/>
    <n v="4"/>
    <n v="4"/>
  </r>
  <r>
    <s v="71"/>
    <x v="1"/>
    <x v="13"/>
    <s v="ZA01G000"/>
    <x v="29"/>
    <s v="G101"/>
    <s v="ARTE, CULTURA Y PATRIMONIO"/>
    <s v="GI00G10100001D"/>
    <s v="GI00G10100001D AGENDA CULTURAL METROPOLITANA"/>
    <s v="71 GASTOS EN PERSONAL PARA INVERSIÓN"/>
    <s v="710601 Aporte Patronal"/>
    <s v="G/710601/1GG101"/>
    <s v="002"/>
    <n v="26871.64"/>
    <n v="0"/>
    <n v="0"/>
    <n v="26871.64"/>
    <n v="3190.2"/>
    <n v="23681.439999999999"/>
    <n v="23681.439999999999"/>
    <n v="3190.2"/>
    <n v="3190.2"/>
    <n v="0"/>
  </r>
  <r>
    <s v="71"/>
    <x v="1"/>
    <x v="13"/>
    <s v="ZA01G000"/>
    <x v="29"/>
    <s v="G101"/>
    <s v="ARTE, CULTURA Y PATRIMONIO"/>
    <s v="GI00G10100001D"/>
    <s v="GI00G10100001D AGENDA CULTURAL METROPOLITANA"/>
    <s v="71 GASTOS EN PERSONAL PARA INVERSIÓN"/>
    <s v="710602 Fondo de Reserva"/>
    <s v="G/710602/1GG101"/>
    <s v="002"/>
    <n v="17702"/>
    <n v="0"/>
    <n v="0"/>
    <n v="17702"/>
    <n v="9061.74"/>
    <n v="8640.26"/>
    <n v="8640.26"/>
    <n v="9061.74"/>
    <n v="9061.74"/>
    <n v="0"/>
  </r>
  <r>
    <s v="71"/>
    <x v="1"/>
    <x v="13"/>
    <s v="ZA01G000"/>
    <x v="29"/>
    <s v="G101"/>
    <s v="ARTE, CULTURA Y PATRIMONIO"/>
    <s v="GI00G10100003D"/>
    <s v="GI00G10100003D SERVICIOS CULTURALES COMUNITARIOS Y DEPO"/>
    <s v="71 GASTOS EN PERSONAL PARA INVERSIÓN"/>
    <s v="710203 Decimotercer Sueldo"/>
    <s v="G/710203/1GG101"/>
    <s v="002"/>
    <n v="35372"/>
    <n v="0"/>
    <n v="0"/>
    <n v="35372"/>
    <n v="32530.639999999999"/>
    <n v="2841.36"/>
    <n v="2841.36"/>
    <n v="32530.639999999999"/>
    <n v="32530.639999999999"/>
    <n v="0"/>
  </r>
  <r>
    <s v="71"/>
    <x v="1"/>
    <x v="13"/>
    <s v="ZA01G000"/>
    <x v="29"/>
    <s v="G101"/>
    <s v="ARTE, CULTURA Y PATRIMONIO"/>
    <s v="GI00G10100003D"/>
    <s v="GI00G10100003D SERVICIOS CULTURALES COMUNITARIOS Y DEPO"/>
    <s v="71 GASTOS EN PERSONAL PARA INVERSIÓN"/>
    <s v="710204 Decimocuarto Sueldo"/>
    <s v="G/710204/1GG101"/>
    <s v="002"/>
    <n v="15421.16"/>
    <n v="0"/>
    <n v="0"/>
    <n v="15421.16"/>
    <n v="3426.71"/>
    <n v="11773.29"/>
    <n v="11773.29"/>
    <n v="3647.87"/>
    <n v="3647.87"/>
    <n v="221.16"/>
  </r>
  <r>
    <s v="71"/>
    <x v="1"/>
    <x v="13"/>
    <s v="ZA01G000"/>
    <x v="29"/>
    <s v="G101"/>
    <s v="ARTE, CULTURA Y PATRIMONIO"/>
    <s v="GI00G10100003D"/>
    <s v="GI00G10100003D SERVICIOS CULTURALES COMUNITARIOS Y DEPO"/>
    <s v="71 GASTOS EN PERSONAL PARA INVERSIÓN"/>
    <s v="710507 Honorarios"/>
    <s v="G/710507/1GG101"/>
    <s v="002"/>
    <n v="0"/>
    <n v="13358.84"/>
    <n v="0"/>
    <n v="13358.84"/>
    <n v="0"/>
    <n v="13358.67"/>
    <n v="13358.67"/>
    <n v="0.17"/>
    <n v="0.17"/>
    <n v="0.17"/>
  </r>
  <r>
    <s v="71"/>
    <x v="1"/>
    <x v="13"/>
    <s v="ZA01G000"/>
    <x v="29"/>
    <s v="G101"/>
    <s v="ARTE, CULTURA Y PATRIMONIO"/>
    <s v="GI00G10100003D"/>
    <s v="GI00G10100003D SERVICIOS CULTURALES COMUNITARIOS Y DEPO"/>
    <s v="71 GASTOS EN PERSONAL PARA INVERSIÓN"/>
    <s v="710509 Horas Extraordinarias y Suplementarias"/>
    <s v="G/710509/1GG101"/>
    <s v="002"/>
    <n v="0"/>
    <n v="2850"/>
    <n v="0"/>
    <n v="2850"/>
    <n v="0"/>
    <n v="1537.11"/>
    <n v="1537.11"/>
    <n v="1312.89"/>
    <n v="1312.89"/>
    <n v="1312.89"/>
  </r>
  <r>
    <s v="71"/>
    <x v="1"/>
    <x v="13"/>
    <s v="ZA01G000"/>
    <x v="29"/>
    <s v="G101"/>
    <s v="ARTE, CULTURA Y PATRIMONIO"/>
    <s v="GI00G10100003D"/>
    <s v="GI00G10100003D SERVICIOS CULTURALES COMUNITARIOS Y DEPO"/>
    <s v="71 GASTOS EN PERSONAL PARA INVERSIÓN"/>
    <s v="710510 Servicios Personales por Contrato"/>
    <s v="G/710510/1GG101"/>
    <s v="002"/>
    <n v="424464"/>
    <n v="0"/>
    <n v="0"/>
    <n v="424464"/>
    <n v="112881.84"/>
    <n v="311582.15999999997"/>
    <n v="311582.15999999997"/>
    <n v="112881.84"/>
    <n v="112881.84"/>
    <n v="0"/>
  </r>
  <r>
    <s v="71"/>
    <x v="1"/>
    <x v="13"/>
    <s v="ZA01G000"/>
    <x v="29"/>
    <s v="G101"/>
    <s v="ARTE, CULTURA Y PATRIMONIO"/>
    <s v="GI00G10100003D"/>
    <s v="GI00G10100003D SERVICIOS CULTURALES COMUNITARIOS Y DEPO"/>
    <s v="71 GASTOS EN PERSONAL PARA INVERSIÓN"/>
    <s v="710513 Encargos"/>
    <s v="G/710513/1GG101"/>
    <s v="002"/>
    <n v="0"/>
    <n v="3274"/>
    <n v="0"/>
    <n v="3274"/>
    <n v="0"/>
    <n v="3273.99"/>
    <n v="3273.99"/>
    <n v="0.01"/>
    <n v="0.01"/>
    <n v="0.01"/>
  </r>
  <r>
    <s v="71"/>
    <x v="1"/>
    <x v="13"/>
    <s v="ZA01G000"/>
    <x v="29"/>
    <s v="G101"/>
    <s v="ARTE, CULTURA Y PATRIMONIO"/>
    <s v="GI00G10100003D"/>
    <s v="GI00G10100003D SERVICIOS CULTURALES COMUNITARIOS Y DEPO"/>
    <s v="71 GASTOS EN PERSONAL PARA INVERSIÓN"/>
    <s v="710601 Aporte Patronal"/>
    <s v="G/710601/1GG101"/>
    <s v="002"/>
    <n v="53694.7"/>
    <n v="0"/>
    <n v="0"/>
    <n v="53694.7"/>
    <n v="12175.86"/>
    <n v="41518.839999999997"/>
    <n v="41518.839999999997"/>
    <n v="12175.86"/>
    <n v="12175.86"/>
    <n v="0"/>
  </r>
  <r>
    <s v="71"/>
    <x v="1"/>
    <x v="13"/>
    <s v="ZA01G000"/>
    <x v="29"/>
    <s v="G101"/>
    <s v="ARTE, CULTURA Y PATRIMONIO"/>
    <s v="GI00G10100003D"/>
    <s v="GI00G10100003D SERVICIOS CULTURALES COMUNITARIOS Y DEPO"/>
    <s v="71 GASTOS EN PERSONAL PARA INVERSIÓN"/>
    <s v="710602 Fondo de Reserva"/>
    <s v="G/710602/1GG101"/>
    <s v="002"/>
    <n v="35372"/>
    <n v="0"/>
    <n v="0"/>
    <n v="35372"/>
    <n v="19741.169999999998"/>
    <n v="15630.83"/>
    <n v="15630.83"/>
    <n v="19741.169999999998"/>
    <n v="19741.169999999998"/>
    <n v="0"/>
  </r>
  <r>
    <s v="71"/>
    <x v="1"/>
    <x v="2"/>
    <s v="ZA01I000"/>
    <x v="5"/>
    <s v="I101"/>
    <s v="PRACTICAS SALUDABLES"/>
    <s v="GI00I10100003D"/>
    <s v="GI00I10100003D QUITO SI LA MUEVE"/>
    <s v="71 GASTOS EN PERSONAL PARA INVERSIÓN"/>
    <s v="710203 Decimotercer Sueldo"/>
    <s v="G/710203/1II101"/>
    <s v="002"/>
    <n v="0"/>
    <n v="5790"/>
    <n v="0"/>
    <n v="5790"/>
    <n v="5790"/>
    <n v="0"/>
    <n v="0"/>
    <n v="5790"/>
    <n v="5790"/>
    <n v="0"/>
  </r>
  <r>
    <s v="71"/>
    <x v="1"/>
    <x v="2"/>
    <s v="ZA01I000"/>
    <x v="5"/>
    <s v="I101"/>
    <s v="PRACTICAS SALUDABLES"/>
    <s v="GI00I10100003D"/>
    <s v="GI00I10100003D QUITO SI LA MUEVE"/>
    <s v="71 GASTOS EN PERSONAL PARA INVERSIÓN"/>
    <s v="710204 Decimocuarto Sueldo"/>
    <s v="G/710204/1II101"/>
    <s v="002"/>
    <n v="0"/>
    <n v="2400"/>
    <n v="0"/>
    <n v="2400"/>
    <n v="164.15"/>
    <n v="2235.85"/>
    <n v="2235.85"/>
    <n v="164.15"/>
    <n v="164.15"/>
    <n v="0"/>
  </r>
  <r>
    <s v="71"/>
    <x v="1"/>
    <x v="2"/>
    <s v="ZA01I000"/>
    <x v="5"/>
    <s v="I101"/>
    <s v="PRACTICAS SALUDABLES"/>
    <s v="GI00I10100003D"/>
    <s v="GI00I10100003D QUITO SI LA MUEVE"/>
    <s v="71 GASTOS EN PERSONAL PARA INVERSIÓN"/>
    <s v="710510 Servicios Personales por Contrato"/>
    <s v="G/710510/1II101"/>
    <s v="002"/>
    <n v="0"/>
    <n v="69480"/>
    <n v="0"/>
    <n v="69480"/>
    <n v="19488"/>
    <n v="49992"/>
    <n v="49992"/>
    <n v="19488"/>
    <n v="19488"/>
    <n v="0"/>
  </r>
  <r>
    <s v="71"/>
    <x v="1"/>
    <x v="2"/>
    <s v="ZA01I000"/>
    <x v="5"/>
    <s v="I101"/>
    <s v="PRACTICAS SALUDABLES"/>
    <s v="GI00I10100003D"/>
    <s v="GI00I10100003D QUITO SI LA MUEVE"/>
    <s v="71 GASTOS EN PERSONAL PARA INVERSIÓN"/>
    <s v="710601 Aporte Patronal"/>
    <s v="G/710601/1II101"/>
    <s v="002"/>
    <n v="0"/>
    <n v="8789.2199999999993"/>
    <n v="0"/>
    <n v="8789.2199999999993"/>
    <n v="2465.1"/>
    <n v="6324.12"/>
    <n v="6324.12"/>
    <n v="2465.1"/>
    <n v="2465.1"/>
    <n v="0"/>
  </r>
  <r>
    <s v="71"/>
    <x v="1"/>
    <x v="2"/>
    <s v="ZA01I000"/>
    <x v="5"/>
    <s v="I101"/>
    <s v="PRACTICAS SALUDABLES"/>
    <s v="GI00I10100003D"/>
    <s v="GI00I10100003D QUITO SI LA MUEVE"/>
    <s v="71 GASTOS EN PERSONAL PARA INVERSIÓN"/>
    <s v="710602 Fondo de Reserva"/>
    <s v="G/710602/1II101"/>
    <s v="002"/>
    <n v="0"/>
    <n v="5790"/>
    <n v="0"/>
    <n v="5790"/>
    <n v="4545.8100000000004"/>
    <n v="1244.19"/>
    <n v="1244.19"/>
    <n v="4545.8100000000004"/>
    <n v="4545.8100000000004"/>
    <n v="0"/>
  </r>
  <r>
    <s v="71"/>
    <x v="1"/>
    <x v="2"/>
    <s v="ZA01I000"/>
    <x v="5"/>
    <s v="I102"/>
    <s v="SISTEMA EDUCATIVO MUNICIPAL"/>
    <s v="GI00I10200008D"/>
    <s v="GI00I10200008D AMPLIACIÓN DE LA OFERTA EDUCATIVA VIRTUA"/>
    <s v="71 GASTOS EN PERSONAL PARA INVERSIÓN"/>
    <s v="710203 Decimotercer Sueldo"/>
    <s v="G/710203/1II102"/>
    <s v="002"/>
    <n v="0"/>
    <n v="89486"/>
    <n v="0"/>
    <n v="89486"/>
    <n v="84659.12"/>
    <n v="4826.88"/>
    <n v="4826.88"/>
    <n v="84659.12"/>
    <n v="84659.12"/>
    <n v="0"/>
  </r>
  <r>
    <s v="71"/>
    <x v="1"/>
    <x v="2"/>
    <s v="ZA01I000"/>
    <x v="5"/>
    <s v="I102"/>
    <s v="SISTEMA EDUCATIVO MUNICIPAL"/>
    <s v="GI00I10200008D"/>
    <s v="GI00I10200008D AMPLIACIÓN DE LA OFERTA EDUCATIVA VIRTUA"/>
    <s v="71 GASTOS EN PERSONAL PARA INVERSIÓN"/>
    <s v="710204 Decimocuarto Sueldo"/>
    <s v="G/710204/1II102"/>
    <s v="002"/>
    <n v="0"/>
    <n v="42000"/>
    <n v="0"/>
    <n v="42000"/>
    <n v="2602.59"/>
    <n v="39397.410000000003"/>
    <n v="39397.410000000003"/>
    <n v="2602.59"/>
    <n v="2602.59"/>
    <n v="0"/>
  </r>
  <r>
    <s v="71"/>
    <x v="1"/>
    <x v="2"/>
    <s v="ZA01I000"/>
    <x v="5"/>
    <s v="I102"/>
    <s v="SISTEMA EDUCATIVO MUNICIPAL"/>
    <s v="GI00I10200008D"/>
    <s v="GI00I10200008D AMPLIACIÓN DE LA OFERTA EDUCATIVA VIRTUA"/>
    <s v="71 GASTOS EN PERSONAL PARA INVERSIÓN"/>
    <s v="710507 Honorarios"/>
    <s v="G/710507/1II102"/>
    <s v="002"/>
    <n v="0"/>
    <n v="1389"/>
    <n v="0"/>
    <n v="1389"/>
    <n v="0"/>
    <n v="1388.9"/>
    <n v="1388.9"/>
    <n v="0.1"/>
    <n v="0.1"/>
    <n v="0.1"/>
  </r>
  <r>
    <s v="71"/>
    <x v="1"/>
    <x v="2"/>
    <s v="ZA01I000"/>
    <x v="5"/>
    <s v="I102"/>
    <s v="SISTEMA EDUCATIVO MUNICIPAL"/>
    <s v="GI00I10200008D"/>
    <s v="GI00I10200008D AMPLIACIÓN DE LA OFERTA EDUCATIVA VIRTUA"/>
    <s v="71 GASTOS EN PERSONAL PARA INVERSIÓN"/>
    <s v="710510 Servicios Personales por Contrato"/>
    <s v="G/710510/1II102"/>
    <s v="002"/>
    <n v="0"/>
    <n v="1073832"/>
    <n v="0"/>
    <n v="1073832"/>
    <n v="203400.3"/>
    <n v="870431.7"/>
    <n v="870431.7"/>
    <n v="203400.3"/>
    <n v="203400.3"/>
    <n v="0"/>
  </r>
  <r>
    <s v="71"/>
    <x v="1"/>
    <x v="2"/>
    <s v="ZA01I000"/>
    <x v="5"/>
    <s v="I102"/>
    <s v="SISTEMA EDUCATIVO MUNICIPAL"/>
    <s v="GI00I10200008D"/>
    <s v="GI00I10200008D AMPLIACIÓN DE LA OFERTA EDUCATIVA VIRTUA"/>
    <s v="71 GASTOS EN PERSONAL PARA INVERSIÓN"/>
    <s v="710601 Aporte Patronal"/>
    <s v="G/710601/1II102"/>
    <s v="002"/>
    <n v="0"/>
    <n v="135839.75"/>
    <n v="0"/>
    <n v="135839.75"/>
    <n v="36111.800000000003"/>
    <n v="99727.95"/>
    <n v="99727.95"/>
    <n v="36111.800000000003"/>
    <n v="36111.800000000003"/>
    <n v="0"/>
  </r>
  <r>
    <s v="71"/>
    <x v="1"/>
    <x v="2"/>
    <s v="ZA01I000"/>
    <x v="5"/>
    <s v="I102"/>
    <s v="SISTEMA EDUCATIVO MUNICIPAL"/>
    <s v="GI00I10200008D"/>
    <s v="GI00I10200008D AMPLIACIÓN DE LA OFERTA EDUCATIVA VIRTUA"/>
    <s v="71 GASTOS EN PERSONAL PARA INVERSIÓN"/>
    <s v="710602 Fondo de Reserva"/>
    <s v="G/710602/1II102"/>
    <s v="002"/>
    <n v="0"/>
    <n v="89486"/>
    <n v="0"/>
    <n v="89486"/>
    <n v="22661.64"/>
    <n v="66824.36"/>
    <n v="66824.36"/>
    <n v="22661.64"/>
    <n v="22661.64"/>
    <n v="0"/>
  </r>
  <r>
    <s v="71"/>
    <x v="1"/>
    <x v="4"/>
    <s v="ZA01J000"/>
    <x v="9"/>
    <s v="J103"/>
    <s v="PROMOCIÓN Y PROTECCIÓN DE DERECHOS"/>
    <s v="GI00J10300001D"/>
    <s v="GI00J10300001D GARANTÍA DE PROTECCIÓN DE DERECHOS"/>
    <s v="71 GASTOS EN PERSONAL PARA INVERSIÓN"/>
    <s v="710203 Decimotercer Sueldo"/>
    <s v="G/710203/1JJ103"/>
    <s v="002"/>
    <n v="7873"/>
    <n v="0"/>
    <n v="0"/>
    <n v="7873"/>
    <n v="6762.2"/>
    <n v="1110.8"/>
    <n v="1110.8"/>
    <n v="6762.2"/>
    <n v="6762.2"/>
    <n v="0"/>
  </r>
  <r>
    <s v="71"/>
    <x v="1"/>
    <x v="4"/>
    <s v="ZA01J000"/>
    <x v="9"/>
    <s v="J103"/>
    <s v="PROMOCIÓN Y PROTECCIÓN DE DERECHOS"/>
    <s v="GI00J10300001D"/>
    <s v="GI00J10300001D GARANTÍA DE PROTECCIÓN DE DERECHOS"/>
    <s v="71 GASTOS EN PERSONAL PARA INVERSIÓN"/>
    <s v="710204 Decimocuarto Sueldo"/>
    <s v="G/710204/1JJ103"/>
    <s v="002"/>
    <n v="2434.92"/>
    <n v="0"/>
    <n v="0"/>
    <n v="2434.92"/>
    <n v="1580.03"/>
    <n v="819.97"/>
    <n v="819.97"/>
    <n v="1614.95"/>
    <n v="1614.95"/>
    <n v="34.92"/>
  </r>
  <r>
    <s v="71"/>
    <x v="1"/>
    <x v="4"/>
    <s v="ZA01J000"/>
    <x v="9"/>
    <s v="J103"/>
    <s v="PROMOCIÓN Y PROTECCIÓN DE DERECHOS"/>
    <s v="GI00J10300001D"/>
    <s v="GI00J10300001D GARANTÍA DE PROTECCIÓN DE DERECHOS"/>
    <s v="71 GASTOS EN PERSONAL PARA INVERSIÓN"/>
    <s v="710510 Servicios Personales por Contrato"/>
    <s v="G/710510/1JJ103"/>
    <s v="002"/>
    <n v="94476"/>
    <n v="0"/>
    <n v="0"/>
    <n v="94476"/>
    <n v="55486"/>
    <n v="38990"/>
    <n v="38990"/>
    <n v="55486"/>
    <n v="55486"/>
    <n v="0"/>
  </r>
  <r>
    <s v="71"/>
    <x v="1"/>
    <x v="4"/>
    <s v="ZA01J000"/>
    <x v="9"/>
    <s v="J103"/>
    <s v="PROMOCIÓN Y PROTECCIÓN DE DERECHOS"/>
    <s v="GI00J10300001D"/>
    <s v="GI00J10300001D GARANTÍA DE PROTECCIÓN DE DERECHOS"/>
    <s v="71 GASTOS EN PERSONAL PARA INVERSIÓN"/>
    <s v="710601 Aporte Patronal"/>
    <s v="G/710601/1JJ103"/>
    <s v="002"/>
    <n v="11951.21"/>
    <n v="0"/>
    <n v="0"/>
    <n v="11951.21"/>
    <n v="7019.02"/>
    <n v="4932.1899999999996"/>
    <n v="4932.1899999999996"/>
    <n v="7019.02"/>
    <n v="7019.02"/>
    <n v="0"/>
  </r>
  <r>
    <s v="71"/>
    <x v="1"/>
    <x v="4"/>
    <s v="ZA01J000"/>
    <x v="9"/>
    <s v="J103"/>
    <s v="PROMOCIÓN Y PROTECCIÓN DE DERECHOS"/>
    <s v="GI00J10300001D"/>
    <s v="GI00J10300001D GARANTÍA DE PROTECCIÓN DE DERECHOS"/>
    <s v="71 GASTOS EN PERSONAL PARA INVERSIÓN"/>
    <s v="710602 Fondo de Reserva"/>
    <s v="G/710602/1JJ103"/>
    <s v="002"/>
    <n v="7873"/>
    <n v="0"/>
    <n v="0"/>
    <n v="7873"/>
    <n v="6384.34"/>
    <n v="1488.66"/>
    <n v="1488.66"/>
    <n v="6384.34"/>
    <n v="6384.34"/>
    <n v="0"/>
  </r>
  <r>
    <s v="71"/>
    <x v="1"/>
    <x v="4"/>
    <s v="ZA01J000"/>
    <x v="9"/>
    <s v="J103"/>
    <s v="PROMOCIÓN Y PROTECCIÓN DE DERECHOS"/>
    <s v="GI00J10300002D"/>
    <s v="GI00J10300002D PROMOCIÓN DE DERECHOS DE GRUPOS DE ATENC"/>
    <s v="71 GASTOS EN PERSONAL PARA INVERSIÓN"/>
    <s v="710203 Decimotercer Sueldo"/>
    <s v="G/710203/1JJ103"/>
    <s v="002"/>
    <n v="5673"/>
    <n v="0"/>
    <n v="0"/>
    <n v="5673"/>
    <n v="4834.7"/>
    <n v="838.3"/>
    <n v="838.3"/>
    <n v="4834.7"/>
    <n v="4834.7"/>
    <n v="0"/>
  </r>
  <r>
    <s v="71"/>
    <x v="2"/>
    <x v="11"/>
    <s v="ZV05F050"/>
    <x v="37"/>
    <s v="J103"/>
    <s v="PROMOCIÓN Y PROTECCIÓN DE DERECHOS"/>
    <s v="GI00J10300002D"/>
    <s v="GI00J10300002D PROMOCIÓN DE DERECHOS DE GRUPOS DE ATENC"/>
    <s v="71 GASTOS EN PERSONAL PARA INVERSIÓN"/>
    <s v="710203 Decimotercer Sueldo"/>
    <s v="G/710203/1FJ103"/>
    <s v="002"/>
    <n v="1631"/>
    <n v="0"/>
    <n v="0"/>
    <n v="1631"/>
    <n v="866"/>
    <n v="765"/>
    <n v="765"/>
    <n v="866"/>
    <n v="866"/>
    <n v="0"/>
  </r>
  <r>
    <s v="71"/>
    <x v="2"/>
    <x v="11"/>
    <s v="ZV05F050"/>
    <x v="37"/>
    <s v="J103"/>
    <s v="PROMOCIÓN Y PROTECCIÓN DE DERECHOS"/>
    <s v="GI00J10300002D"/>
    <s v="GI00J10300002D PROMOCIÓN DE DERECHOS DE GRUPOS DE ATENC"/>
    <s v="71 GASTOS EN PERSONAL PARA INVERSIÓN"/>
    <s v="710204 Decimocuarto Sueldo"/>
    <s v="G/710204/1FJ103"/>
    <s v="002"/>
    <n v="811.64"/>
    <n v="0"/>
    <n v="0"/>
    <n v="811.64"/>
    <n v="464.16"/>
    <n v="335.84"/>
    <n v="335.84"/>
    <n v="475.8"/>
    <n v="475.8"/>
    <n v="11.64"/>
  </r>
  <r>
    <s v="71"/>
    <x v="1"/>
    <x v="4"/>
    <s v="ZA01J000"/>
    <x v="9"/>
    <s v="J103"/>
    <s v="PROMOCIÓN Y PROTECCIÓN DE DERECHOS"/>
    <s v="GI00J10300002D"/>
    <s v="GI00J10300002D PROMOCIÓN DE DERECHOS DE GRUPOS DE ATENC"/>
    <s v="71 GASTOS EN PERSONAL PARA INVERSIÓN"/>
    <s v="710204 Decimocuarto Sueldo"/>
    <s v="G/710204/1JJ103"/>
    <s v="002"/>
    <n v="2434.92"/>
    <n v="720.63"/>
    <n v="0"/>
    <n v="3155.55"/>
    <n v="67.34"/>
    <n v="3053.32"/>
    <n v="3053.32"/>
    <n v="102.23"/>
    <n v="102.23"/>
    <n v="34.89"/>
  </r>
  <r>
    <s v="71"/>
    <x v="1"/>
    <x v="4"/>
    <s v="ZA01J000"/>
    <x v="9"/>
    <s v="J103"/>
    <s v="PROMOCIÓN Y PROTECCIÓN DE DERECHOS"/>
    <s v="GI00J10300002D"/>
    <s v="GI00J10300002D PROMOCIÓN DE DERECHOS DE GRUPOS DE ATENC"/>
    <s v="71 GASTOS EN PERSONAL PARA INVERSIÓN"/>
    <s v="710507 Honorarios"/>
    <s v="G/710507/1JJ103"/>
    <s v="002"/>
    <n v="0"/>
    <n v="612"/>
    <n v="0"/>
    <n v="612"/>
    <n v="0"/>
    <n v="612"/>
    <n v="612"/>
    <n v="0"/>
    <n v="0"/>
    <n v="0"/>
  </r>
  <r>
    <s v="71"/>
    <x v="2"/>
    <x v="11"/>
    <s v="ZV05F050"/>
    <x v="37"/>
    <s v="J103"/>
    <s v="PROMOCIÓN Y PROTECCIÓN DE DERECHOS"/>
    <s v="GI00J10300002D"/>
    <s v="GI00J10300002D PROMOCIÓN DE DERECHOS DE GRUPOS DE ATENC"/>
    <s v="71 GASTOS EN PERSONAL PARA INVERSIÓN"/>
    <s v="710510 Servicios Personales por Contrato"/>
    <s v="G/710510/1FJ103"/>
    <s v="002"/>
    <n v="19572"/>
    <n v="0"/>
    <n v="0"/>
    <n v="19572"/>
    <n v="10392"/>
    <n v="9180"/>
    <n v="9180"/>
    <n v="10392"/>
    <n v="10392"/>
    <n v="0"/>
  </r>
  <r>
    <s v="71"/>
    <x v="1"/>
    <x v="4"/>
    <s v="ZA01J000"/>
    <x v="9"/>
    <s v="J103"/>
    <s v="PROMOCIÓN Y PROTECCIÓN DE DERECHOS"/>
    <s v="GI00J10300002D"/>
    <s v="GI00J10300002D PROMOCIÓN DE DERECHOS DE GRUPOS DE ATENC"/>
    <s v="71 GASTOS EN PERSONAL PARA INVERSIÓN"/>
    <s v="710510 Servicios Personales por Contrato"/>
    <s v="G/710510/1JJ103"/>
    <s v="002"/>
    <n v="68076"/>
    <n v="18295"/>
    <n v="0"/>
    <n v="86371"/>
    <n v="7"/>
    <n v="86364"/>
    <n v="86364"/>
    <n v="7"/>
    <n v="7"/>
    <n v="0"/>
  </r>
  <r>
    <s v="71"/>
    <x v="2"/>
    <x v="11"/>
    <s v="ZV05F050"/>
    <x v="37"/>
    <s v="J103"/>
    <s v="PROMOCIÓN Y PROTECCIÓN DE DERECHOS"/>
    <s v="GI00J10300002D"/>
    <s v="GI00J10300002D PROMOCIÓN DE DERECHOS DE GRUPOS DE ATENC"/>
    <s v="71 GASTOS EN PERSONAL PARA INVERSIÓN"/>
    <s v="710601 Aporte Patronal"/>
    <s v="G/710601/1FJ103"/>
    <s v="002"/>
    <n v="2475.86"/>
    <n v="0"/>
    <n v="0"/>
    <n v="2475.86"/>
    <n v="1314.56"/>
    <n v="1161.3"/>
    <n v="1161.3"/>
    <n v="1314.56"/>
    <n v="1314.56"/>
    <n v="0"/>
  </r>
  <r>
    <s v="71"/>
    <x v="1"/>
    <x v="4"/>
    <s v="ZA01J000"/>
    <x v="9"/>
    <s v="J103"/>
    <s v="PROMOCIÓN Y PROTECCIÓN DE DERECHOS"/>
    <s v="GI00J10300002D"/>
    <s v="GI00J10300002D PROMOCIÓN DE DERECHOS DE GRUPOS DE ATENC"/>
    <s v="71 GASTOS EN PERSONAL PARA INVERSIÓN"/>
    <s v="710601 Aporte Patronal"/>
    <s v="G/710601/1JJ103"/>
    <s v="002"/>
    <n v="8611.61"/>
    <n v="2391.6999999999998"/>
    <n v="0"/>
    <n v="11003.31"/>
    <n v="0.81"/>
    <n v="11002.5"/>
    <n v="11002.5"/>
    <n v="0.81"/>
    <n v="0.81"/>
    <n v="0"/>
  </r>
  <r>
    <s v="71"/>
    <x v="2"/>
    <x v="11"/>
    <s v="ZV05F050"/>
    <x v="37"/>
    <s v="J103"/>
    <s v="PROMOCIÓN Y PROTECCIÓN DE DERECHOS"/>
    <s v="GI00J10300002D"/>
    <s v="GI00J10300002D PROMOCIÓN DE DERECHOS DE GRUPOS DE ATENC"/>
    <s v="71 GASTOS EN PERSONAL PARA INVERSIÓN"/>
    <s v="710602 Fondo de Reserva"/>
    <s v="G/710602/1FJ103"/>
    <s v="002"/>
    <n v="1631"/>
    <n v="0"/>
    <n v="0"/>
    <n v="1631"/>
    <n v="866.3"/>
    <n v="764.7"/>
    <n v="764.7"/>
    <n v="866.3"/>
    <n v="866.3"/>
    <n v="0"/>
  </r>
  <r>
    <s v="71"/>
    <x v="1"/>
    <x v="4"/>
    <s v="ZA01J000"/>
    <x v="9"/>
    <s v="J103"/>
    <s v="PROMOCIÓN Y PROTECCIÓN DE DERECHOS"/>
    <s v="GI00J10300002D"/>
    <s v="GI00J10300002D PROMOCIÓN DE DERECHOS DE GRUPOS DE ATENC"/>
    <s v="71 GASTOS EN PERSONAL PARA INVERSIÓN"/>
    <s v="710602 Fondo de Reserva"/>
    <s v="G/710602/1JJ103"/>
    <s v="002"/>
    <n v="5673"/>
    <n v="0"/>
    <n v="0"/>
    <n v="5673"/>
    <n v="1371.84"/>
    <n v="4301.16"/>
    <n v="4301.16"/>
    <n v="1371.84"/>
    <n v="1371.84"/>
    <n v="0"/>
  </r>
  <r>
    <s v="71"/>
    <x v="0"/>
    <x v="0"/>
    <s v="ZA01A005"/>
    <x v="49"/>
    <s v="L101"/>
    <s v="GESTION INSTITUCIONAL EFICIENTE E INNOVADORA"/>
    <s v="GI00L10100001D"/>
    <s v="GI00L10100001D GESTION CATASTRAL"/>
    <s v="71 GASTOS EN PERSONAL PARA INVERSIÓN"/>
    <s v="710203 Decimotercer Sueldo"/>
    <s v="G/710203/1AL101"/>
    <s v="002"/>
    <n v="0"/>
    <n v="23389.5"/>
    <n v="0"/>
    <n v="23389.5"/>
    <n v="15593"/>
    <n v="0"/>
    <n v="0"/>
    <n v="23389.5"/>
    <n v="23389.5"/>
    <n v="7796.5"/>
  </r>
  <r>
    <s v="71"/>
    <x v="0"/>
    <x v="0"/>
    <s v="ZA01A005"/>
    <x v="49"/>
    <s v="L101"/>
    <s v="GESTION INSTITUCIONAL EFICIENTE E INNOVADORA"/>
    <s v="GI00L10100001D"/>
    <s v="GI00L10100001D GESTION CATASTRAL"/>
    <s v="71 GASTOS EN PERSONAL PARA INVERSIÓN"/>
    <s v="710204 Decimocuarto Sueldo"/>
    <s v="G/710204/1AL101"/>
    <s v="002"/>
    <n v="0"/>
    <n v="9300"/>
    <n v="0"/>
    <n v="9300"/>
    <n v="6200"/>
    <n v="0"/>
    <n v="0"/>
    <n v="9300"/>
    <n v="9300"/>
    <n v="3100"/>
  </r>
  <r>
    <s v="71"/>
    <x v="0"/>
    <x v="0"/>
    <s v="ZA01A005"/>
    <x v="49"/>
    <s v="L101"/>
    <s v="GESTION INSTITUCIONAL EFICIENTE E INNOVADORA"/>
    <s v="GI00L10100001D"/>
    <s v="GI00L10100001D GESTION CATASTRAL"/>
    <s v="71 GASTOS EN PERSONAL PARA INVERSIÓN"/>
    <s v="710510 Servicios Personales por Contrato"/>
    <s v="G/710510/1AL101"/>
    <s v="002"/>
    <n v="0"/>
    <n v="280674"/>
    <n v="0"/>
    <n v="280674"/>
    <n v="187116"/>
    <n v="0"/>
    <n v="0"/>
    <n v="280674"/>
    <n v="280674"/>
    <n v="93558"/>
  </r>
  <r>
    <s v="71"/>
    <x v="0"/>
    <x v="0"/>
    <s v="ZA01A005"/>
    <x v="49"/>
    <s v="L101"/>
    <s v="GESTION INSTITUCIONAL EFICIENTE E INNOVADORA"/>
    <s v="GI00L10100001D"/>
    <s v="GI00L10100001D GESTION CATASTRAL"/>
    <s v="71 GASTOS EN PERSONAL PARA INVERSIÓN"/>
    <s v="710601 Aporte Patronal"/>
    <s v="G/710601/1AL101"/>
    <s v="002"/>
    <n v="0"/>
    <n v="35505.26"/>
    <n v="0"/>
    <n v="35505.26"/>
    <n v="23670.17"/>
    <n v="0"/>
    <n v="0"/>
    <n v="35505.26"/>
    <n v="35505.26"/>
    <n v="11835.09"/>
  </r>
  <r>
    <s v="71"/>
    <x v="0"/>
    <x v="0"/>
    <s v="ZA01A005"/>
    <x v="49"/>
    <s v="L101"/>
    <s v="GESTION INSTITUCIONAL EFICIENTE E INNOVADORA"/>
    <s v="GI00L10100001D"/>
    <s v="GI00L10100001D GESTION CATASTRAL"/>
    <s v="71 GASTOS EN PERSONAL PARA INVERSIÓN"/>
    <s v="710602 Fondo de Reserva"/>
    <s v="G/710602/1AL101"/>
    <s v="002"/>
    <n v="0"/>
    <n v="23389.5"/>
    <n v="0"/>
    <n v="23389.5"/>
    <n v="15593"/>
    <n v="0"/>
    <n v="0"/>
    <n v="23389.5"/>
    <n v="23389.5"/>
    <n v="7796.5"/>
  </r>
  <r>
    <s v="71"/>
    <x v="0"/>
    <x v="12"/>
    <s v="MC37B000"/>
    <x v="28"/>
    <s v="L101"/>
    <s v="GESTION INSTITUCIONAL EFICIENTE E INNOVADORA"/>
    <s v="GI00L10100010D"/>
    <s v="GI00L10100010D CONTROL DE CUMPLIMIENTO DE LA NORMATIVA"/>
    <s v="71 GASTOS EN PERSONAL PARA INVERSIÓN"/>
    <s v="710203 Decimotercer Sueldo"/>
    <s v="G/710203/1BL101"/>
    <s v="002"/>
    <n v="0"/>
    <n v="229715"/>
    <n v="0"/>
    <n v="229715"/>
    <n v="212293.83"/>
    <n v="17421.169999999998"/>
    <n v="17421.169999999998"/>
    <n v="212293.83"/>
    <n v="212293.83"/>
    <n v="0"/>
  </r>
  <r>
    <s v="71"/>
    <x v="0"/>
    <x v="12"/>
    <s v="MC37B000"/>
    <x v="28"/>
    <s v="L101"/>
    <s v="GESTION INSTITUCIONAL EFICIENTE E INNOVADORA"/>
    <s v="GI00L10100010D"/>
    <s v="GI00L10100010D CONTROL DE CUMPLIMIENTO DE LA NORMATIVA"/>
    <s v="71 GASTOS EN PERSONAL PARA INVERSIÓN"/>
    <s v="710204 Decimocuarto Sueldo"/>
    <s v="G/710204/1BL101"/>
    <s v="002"/>
    <n v="0"/>
    <n v="76676.61"/>
    <n v="0"/>
    <n v="76676.61"/>
    <n v="31276.62"/>
    <n v="45399.99"/>
    <n v="45399.99"/>
    <n v="31276.62"/>
    <n v="31276.62"/>
    <n v="0"/>
  </r>
  <r>
    <s v="71"/>
    <x v="0"/>
    <x v="12"/>
    <s v="MC37B000"/>
    <x v="28"/>
    <s v="L101"/>
    <s v="GESTION INSTITUCIONAL EFICIENTE E INNOVADORA"/>
    <s v="GI00L10100010D"/>
    <s v="GI00L10100010D CONTROL DE CUMPLIMIENTO DE LA NORMATIVA"/>
    <s v="71 GASTOS EN PERSONAL PARA INVERSIÓN"/>
    <s v="710502 Remuneración Unificada para Pasantes"/>
    <s v="G/710502/1BL101"/>
    <s v="002"/>
    <n v="21105.599999999999"/>
    <n v="-11237.24"/>
    <n v="0"/>
    <n v="9868.36"/>
    <n v="0"/>
    <n v="7453.01"/>
    <n v="7453.01"/>
    <n v="2415.35"/>
    <n v="2415.35"/>
    <n v="2415.35"/>
  </r>
  <r>
    <s v="71"/>
    <x v="0"/>
    <x v="12"/>
    <s v="MC37B000"/>
    <x v="28"/>
    <s v="L101"/>
    <s v="GESTION INSTITUCIONAL EFICIENTE E INNOVADORA"/>
    <s v="GI00L10100010D"/>
    <s v="GI00L10100010D CONTROL DE CUMPLIMIENTO DE LA NORMATIVA"/>
    <s v="71 GASTOS EN PERSONAL PARA INVERSIÓN"/>
    <s v="710509 Horas Extraordinarias y Suplementarias"/>
    <s v="G/710509/1BL101"/>
    <s v="002"/>
    <n v="0"/>
    <n v="12000"/>
    <n v="0"/>
    <n v="12000"/>
    <n v="0"/>
    <n v="1174.6199999999999"/>
    <n v="1174.6199999999999"/>
    <n v="10825.38"/>
    <n v="10825.38"/>
    <n v="10825.38"/>
  </r>
  <r>
    <s v="71"/>
    <x v="0"/>
    <x v="12"/>
    <s v="MC37B000"/>
    <x v="28"/>
    <s v="L101"/>
    <s v="GESTION INSTITUCIONAL EFICIENTE E INNOVADORA"/>
    <s v="GI00L10100010D"/>
    <s v="GI00L10100010D CONTROL DE CUMPLIMIENTO DE LA NORMATIVA"/>
    <s v="71 GASTOS EN PERSONAL PARA INVERSIÓN"/>
    <s v="710510 Servicios Personales por Contrato"/>
    <s v="G/710510/1BL101"/>
    <s v="002"/>
    <n v="0"/>
    <n v="1308875"/>
    <n v="0"/>
    <n v="1308875"/>
    <n v="597418.92000000004"/>
    <n v="711456.08"/>
    <n v="711456.08"/>
    <n v="597418.92000000004"/>
    <n v="597418.92000000004"/>
    <n v="0"/>
  </r>
  <r>
    <s v="71"/>
    <x v="0"/>
    <x v="12"/>
    <s v="MC37B000"/>
    <x v="28"/>
    <s v="L101"/>
    <s v="GESTION INSTITUCIONAL EFICIENTE E INNOVADORA"/>
    <s v="GI00L10100010D"/>
    <s v="GI00L10100010D CONTROL DE CUMPLIMIENTO DE LA NORMATIVA"/>
    <s v="71 GASTOS EN PERSONAL PARA INVERSIÓN"/>
    <s v="710512 Subrogación"/>
    <s v="G/710512/1BL101"/>
    <s v="002"/>
    <n v="0"/>
    <n v="2700"/>
    <n v="0"/>
    <n v="2700"/>
    <n v="0"/>
    <n v="763.4"/>
    <n v="763.4"/>
    <n v="1936.6"/>
    <n v="1936.6"/>
    <n v="1936.6"/>
  </r>
  <r>
    <s v="71"/>
    <x v="0"/>
    <x v="12"/>
    <s v="MC37B000"/>
    <x v="28"/>
    <s v="L101"/>
    <s v="GESTION INSTITUCIONAL EFICIENTE E INNOVADORA"/>
    <s v="GI00L10100010D"/>
    <s v="GI00L10100010D CONTROL DE CUMPLIMIENTO DE LA NORMATIVA"/>
    <s v="71 GASTOS EN PERSONAL PARA INVERSIÓN"/>
    <s v="710601 Aporte Patronal"/>
    <s v="G/710601/1BL101"/>
    <s v="002"/>
    <n v="11094.4"/>
    <n v="162954.91"/>
    <n v="0"/>
    <n v="174049.31"/>
    <n v="78169.259999999995"/>
    <n v="94622.79"/>
    <n v="94622.79"/>
    <n v="79426.52"/>
    <n v="79426.52"/>
    <n v="1257.26"/>
  </r>
  <r>
    <s v="71"/>
    <x v="0"/>
    <x v="12"/>
    <s v="MC37B000"/>
    <x v="28"/>
    <s v="L101"/>
    <s v="GESTION INSTITUCIONAL EFICIENTE E INNOVADORA"/>
    <s v="GI00L10100010D"/>
    <s v="GI00L10100010D CONTROL DE CUMPLIMIENTO DE LA NORMATIVA"/>
    <s v="71 GASTOS EN PERSONAL PARA INVERSIÓN"/>
    <s v="710602 Fondo de Reserva"/>
    <s v="G/710602/1BL101"/>
    <s v="002"/>
    <n v="0"/>
    <n v="223410"/>
    <n v="0"/>
    <n v="223410"/>
    <n v="195130.38"/>
    <n v="28279.62"/>
    <n v="28279.62"/>
    <n v="195130.38"/>
    <n v="195130.38"/>
    <n v="0"/>
  </r>
  <r>
    <s v="71"/>
    <x v="0"/>
    <x v="0"/>
    <s v="ZA01A008"/>
    <x v="51"/>
    <s v="L101"/>
    <s v="GESTION INSTITUCIONAL EFICIENTE E INNOVADORA"/>
    <s v="GI00L10100036D"/>
    <s v="GI00L10100036D MODERNIZACIÓN DE LA GESTIÓN DE BIENES IN"/>
    <s v="71 GASTOS EN PERSONAL PARA INVERSIÓN"/>
    <s v="710203 Decimotercer Sueldo"/>
    <s v="G/710203/1AL101"/>
    <s v="002"/>
    <n v="0"/>
    <n v="3353.33"/>
    <n v="0"/>
    <n v="3353.33"/>
    <n v="0"/>
    <n v="0"/>
    <n v="0"/>
    <n v="3353.33"/>
    <n v="3353.33"/>
    <n v="3353.33"/>
  </r>
  <r>
    <s v="71"/>
    <x v="0"/>
    <x v="0"/>
    <s v="ZA01A008"/>
    <x v="51"/>
    <s v="L101"/>
    <s v="GESTION INSTITUCIONAL EFICIENTE E INNOVADORA"/>
    <s v="GI00L10100036D"/>
    <s v="GI00L10100036D MODERNIZACIÓN DE LA GESTIÓN DE BIENES IN"/>
    <s v="71 GASTOS EN PERSONAL PARA INVERSIÓN"/>
    <s v="710204 Decimocuarto Sueldo"/>
    <s v="G/710204/1AL101"/>
    <s v="002"/>
    <n v="0"/>
    <n v="1333.33"/>
    <n v="0"/>
    <n v="1333.33"/>
    <n v="0"/>
    <n v="0"/>
    <n v="0"/>
    <n v="1333.33"/>
    <n v="1333.33"/>
    <n v="1333.33"/>
  </r>
  <r>
    <s v="71"/>
    <x v="0"/>
    <x v="0"/>
    <s v="ZA01A008"/>
    <x v="51"/>
    <s v="L101"/>
    <s v="GESTION INSTITUCIONAL EFICIENTE E INNOVADORA"/>
    <s v="GI00L10100036D"/>
    <s v="GI00L10100036D MODERNIZACIÓN DE LA GESTIÓN DE BIENES IN"/>
    <s v="71 GASTOS EN PERSONAL PARA INVERSIÓN"/>
    <s v="710510 Servicios Personales por Contrato"/>
    <s v="G/710510/1AL101"/>
    <s v="002"/>
    <n v="0"/>
    <n v="40240"/>
    <n v="0"/>
    <n v="40240"/>
    <n v="0"/>
    <n v="0"/>
    <n v="0"/>
    <n v="40240"/>
    <n v="40240"/>
    <n v="40240"/>
  </r>
  <r>
    <s v="71"/>
    <x v="0"/>
    <x v="0"/>
    <s v="ZA01A008"/>
    <x v="51"/>
    <s v="L101"/>
    <s v="GESTION INSTITUCIONAL EFICIENTE E INNOVADORA"/>
    <s v="GI00L10100036D"/>
    <s v="GI00L10100036D MODERNIZACIÓN DE LA GESTIÓN DE BIENES IN"/>
    <s v="71 GASTOS EN PERSONAL PARA INVERSIÓN"/>
    <s v="710601 Aporte Patronal"/>
    <s v="G/710601/1AL101"/>
    <s v="002"/>
    <n v="0"/>
    <n v="5090.37"/>
    <n v="0"/>
    <n v="5090.37"/>
    <n v="0"/>
    <n v="0"/>
    <n v="0"/>
    <n v="5090.37"/>
    <n v="5090.37"/>
    <n v="5090.37"/>
  </r>
  <r>
    <s v="71"/>
    <x v="0"/>
    <x v="0"/>
    <s v="ZA01A008"/>
    <x v="51"/>
    <s v="L101"/>
    <s v="GESTION INSTITUCIONAL EFICIENTE E INNOVADORA"/>
    <s v="GI00L10100036D"/>
    <s v="GI00L10100036D MODERNIZACIÓN DE LA GESTIÓN DE BIENES IN"/>
    <s v="71 GASTOS EN PERSONAL PARA INVERSIÓN"/>
    <s v="710602 Fondo de Reserva"/>
    <s v="G/710602/1AL101"/>
    <s v="002"/>
    <n v="0"/>
    <n v="3353.33"/>
    <n v="0"/>
    <n v="3353.33"/>
    <n v="0"/>
    <n v="0"/>
    <n v="0"/>
    <n v="3353.33"/>
    <n v="3353.33"/>
    <n v="3353.33"/>
  </r>
  <r>
    <s v="71"/>
    <x v="2"/>
    <x v="11"/>
    <s v="ZT06F060"/>
    <x v="25"/>
    <s v="M103"/>
    <s v="SALUD AL DIA"/>
    <s v="GI00M10300005D"/>
    <s v="GI00M10300005D MANEJO DE FAUNA URBANA EN EL DMQ"/>
    <s v="71 GASTOS EN PERSONAL PARA INVERSIÓN"/>
    <s v="710203 Decimotercer Sueldo"/>
    <s v="G/710203/1FM103"/>
    <s v="001"/>
    <n v="0"/>
    <n v="777.58"/>
    <n v="0"/>
    <n v="777.58"/>
    <n v="444.34"/>
    <n v="111.08"/>
    <n v="111.08"/>
    <n v="666.5"/>
    <n v="666.5"/>
    <n v="222.16"/>
  </r>
  <r>
    <s v="71"/>
    <x v="2"/>
    <x v="11"/>
    <s v="ZV05F050"/>
    <x v="37"/>
    <s v="M103"/>
    <s v="SALUD AL DIA"/>
    <s v="GI00M10300005D"/>
    <s v="GI00M10300005D MANEJO DE FAUNA URBANA EN EL DMQ"/>
    <s v="71 GASTOS EN PERSONAL PARA INVERSIÓN"/>
    <s v="710203 Decimotercer Sueldo"/>
    <s v="G/710203/1FM103"/>
    <s v="001"/>
    <n v="0"/>
    <n v="777.58"/>
    <n v="0"/>
    <n v="777.58"/>
    <n v="344.37"/>
    <n v="211.05"/>
    <n v="211.05"/>
    <n v="566.53"/>
    <n v="566.53"/>
    <n v="222.16"/>
  </r>
  <r>
    <s v="71"/>
    <x v="2"/>
    <x v="11"/>
    <s v="ZQ08F080"/>
    <x v="39"/>
    <s v="M103"/>
    <s v="SALUD AL DIA"/>
    <s v="GI00M10300005D"/>
    <s v="GI00M10300005D MANEJO DE FAUNA URBANA EN EL DMQ"/>
    <s v="71 GASTOS EN PERSONAL PARA INVERSIÓN"/>
    <s v="710203 Decimotercer Sueldo"/>
    <s v="G/710203/1FM103"/>
    <s v="001"/>
    <n v="0"/>
    <n v="777.58"/>
    <n v="0"/>
    <n v="777.58"/>
    <n v="333.26"/>
    <n v="222.16"/>
    <n v="222.16"/>
    <n v="555.41999999999996"/>
    <n v="555.41999999999996"/>
    <n v="222.16"/>
  </r>
  <r>
    <s v="71"/>
    <x v="1"/>
    <x v="3"/>
    <s v="ZA01M000"/>
    <x v="6"/>
    <s v="M103"/>
    <s v="SALUD AL DIA"/>
    <s v="GI00M10300005D"/>
    <s v="GI00M10300005D MANEJO DE FAUNA URBANA EN EL DMQ"/>
    <s v="71 GASTOS EN PERSONAL PARA INVERSIÓN"/>
    <s v="710203 Decimotercer Sueldo"/>
    <s v="G/710203/1MM103"/>
    <s v="002"/>
    <n v="0"/>
    <n v="11755"/>
    <n v="0"/>
    <n v="11755"/>
    <n v="9942.6299999999992"/>
    <n v="1812.37"/>
    <n v="1812.37"/>
    <n v="9942.6299999999992"/>
    <n v="9942.6299999999992"/>
    <n v="0"/>
  </r>
  <r>
    <s v="71"/>
    <x v="2"/>
    <x v="11"/>
    <s v="ZM04F040"/>
    <x v="41"/>
    <s v="M103"/>
    <s v="SALUD AL DIA"/>
    <s v="GI00M10300005D"/>
    <s v="GI00M10300005D MANEJO DE FAUNA URBANA EN EL DMQ"/>
    <s v="71 GASTOS EN PERSONAL PARA INVERSIÓN"/>
    <s v="710203 Decimotercer Sueldo"/>
    <s v="G/710203/1FM103"/>
    <s v="001"/>
    <n v="0"/>
    <n v="777.58"/>
    <n v="0"/>
    <n v="777.58"/>
    <n v="362.88"/>
    <n v="192.54"/>
    <n v="192.54"/>
    <n v="585.04"/>
    <n v="585.04"/>
    <n v="222.16"/>
  </r>
  <r>
    <s v="71"/>
    <x v="1"/>
    <x v="3"/>
    <s v="ZA01M000"/>
    <x v="6"/>
    <s v="M103"/>
    <s v="SALUD AL DIA"/>
    <s v="GI00M10300005D"/>
    <s v="GI00M10300005D MANEJO DE FAUNA URBANA EN EL DMQ"/>
    <s v="71 GASTOS EN PERSONAL PARA INVERSIÓN"/>
    <s v="710203 Decimotercer Sueldo"/>
    <s v="G/710203/1MM103"/>
    <s v="001"/>
    <n v="0"/>
    <n v="51806.75"/>
    <n v="0"/>
    <n v="51806.75"/>
    <n v="45074.65"/>
    <n v="6732.1"/>
    <n v="6732.1"/>
    <n v="45074.65"/>
    <n v="45074.65"/>
    <n v="0"/>
  </r>
  <r>
    <s v="71"/>
    <x v="2"/>
    <x v="11"/>
    <s v="ZS03F030"/>
    <x v="38"/>
    <s v="M103"/>
    <s v="SALUD AL DIA"/>
    <s v="GI00M10300005D"/>
    <s v="GI00M10300005D MANEJO DE FAUNA URBANA EN EL DMQ"/>
    <s v="71 GASTOS EN PERSONAL PARA INVERSIÓN"/>
    <s v="710203 Decimotercer Sueldo"/>
    <s v="G/710203/1FM103"/>
    <s v="001"/>
    <n v="0"/>
    <n v="777.58"/>
    <n v="0"/>
    <n v="777.58"/>
    <n v="555.41999999999996"/>
    <n v="0"/>
    <n v="0"/>
    <n v="777.58"/>
    <n v="777.58"/>
    <n v="222.16"/>
  </r>
  <r>
    <s v="71"/>
    <x v="2"/>
    <x v="11"/>
    <s v="ZN02F020"/>
    <x v="40"/>
    <s v="M103"/>
    <s v="SALUD AL DIA"/>
    <s v="GI00M10300005D"/>
    <s v="GI00M10300005D MANEJO DE FAUNA URBANA EN EL DMQ"/>
    <s v="71 GASTOS EN PERSONAL PARA INVERSIÓN"/>
    <s v="710203 Decimotercer Sueldo"/>
    <s v="G/710203/1FM103"/>
    <s v="001"/>
    <n v="0"/>
    <n v="777.58"/>
    <n v="0"/>
    <n v="777.58"/>
    <n v="444.34"/>
    <n v="111.08"/>
    <n v="111.08"/>
    <n v="666.5"/>
    <n v="666.5"/>
    <n v="222.16"/>
  </r>
  <r>
    <s v="71"/>
    <x v="2"/>
    <x v="11"/>
    <s v="ZC09F090"/>
    <x v="44"/>
    <s v="M103"/>
    <s v="SALUD AL DIA"/>
    <s v="GI00M10300005D"/>
    <s v="GI00M10300005D MANEJO DE FAUNA URBANA EN EL DMQ"/>
    <s v="71 GASTOS EN PERSONAL PARA INVERSIÓN"/>
    <s v="710203 Decimotercer Sueldo"/>
    <s v="G/710203/1FM103"/>
    <s v="001"/>
    <n v="0"/>
    <n v="777.58"/>
    <n v="0"/>
    <n v="777.58"/>
    <n v="555.41999999999996"/>
    <n v="0"/>
    <n v="0"/>
    <n v="777.58"/>
    <n v="777.58"/>
    <n v="222.16"/>
  </r>
  <r>
    <s v="71"/>
    <x v="2"/>
    <x v="11"/>
    <s v="ZD07F070"/>
    <x v="43"/>
    <s v="M103"/>
    <s v="SALUD AL DIA"/>
    <s v="GI00M10300005D"/>
    <s v="GI00M10300005D MANEJO DE FAUNA URBANA EN EL DMQ"/>
    <s v="71 GASTOS EN PERSONAL PARA INVERSIÓN"/>
    <s v="710203 Decimotercer Sueldo"/>
    <s v="G/710203/1FM103"/>
    <s v="001"/>
    <n v="0"/>
    <n v="777.58"/>
    <n v="0"/>
    <n v="777.58"/>
    <n v="555.41999999999996"/>
    <n v="0"/>
    <n v="0"/>
    <n v="777.58"/>
    <n v="777.58"/>
    <n v="222.16"/>
  </r>
  <r>
    <s v="71"/>
    <x v="1"/>
    <x v="3"/>
    <s v="ZA01M000"/>
    <x v="6"/>
    <s v="M103"/>
    <s v="SALUD AL DIA"/>
    <s v="GI00M10300005D"/>
    <s v="GI00M10300005D MANEJO DE FAUNA URBANA EN EL DMQ"/>
    <s v="71 GASTOS EN PERSONAL PARA INVERSIÓN"/>
    <s v="710204 Decimocuarto Sueldo"/>
    <s v="G/710204/1MM103"/>
    <s v="002"/>
    <n v="0"/>
    <n v="3600"/>
    <n v="0"/>
    <n v="3600"/>
    <n v="2863.36"/>
    <n v="736.64"/>
    <n v="736.64"/>
    <n v="2863.36"/>
    <n v="2863.36"/>
    <n v="0"/>
  </r>
  <r>
    <s v="71"/>
    <x v="2"/>
    <x v="11"/>
    <s v="ZM04F040"/>
    <x v="41"/>
    <s v="M103"/>
    <s v="SALUD AL DIA"/>
    <s v="GI00M10300005D"/>
    <s v="GI00M10300005D MANEJO DE FAUNA URBANA EN EL DMQ"/>
    <s v="71 GASTOS EN PERSONAL PARA INVERSIÓN"/>
    <s v="710204 Decimocuarto Sueldo"/>
    <s v="G/710204/1FM103"/>
    <s v="001"/>
    <n v="0"/>
    <n v="233.33"/>
    <n v="0"/>
    <n v="233.33"/>
    <n v="108.9"/>
    <n v="57.77"/>
    <n v="57.77"/>
    <n v="175.56"/>
    <n v="175.56"/>
    <n v="66.66"/>
  </r>
  <r>
    <s v="71"/>
    <x v="2"/>
    <x v="11"/>
    <s v="ZN02F020"/>
    <x v="40"/>
    <s v="M103"/>
    <s v="SALUD AL DIA"/>
    <s v="GI00M10300005D"/>
    <s v="GI00M10300005D MANEJO DE FAUNA URBANA EN EL DMQ"/>
    <s v="71 GASTOS EN PERSONAL PARA INVERSIÓN"/>
    <s v="710204 Decimocuarto Sueldo"/>
    <s v="G/710204/1FM103"/>
    <s v="001"/>
    <n v="0"/>
    <n v="233.33"/>
    <n v="0"/>
    <n v="233.33"/>
    <n v="133.34"/>
    <n v="33.33"/>
    <n v="33.33"/>
    <n v="200"/>
    <n v="200"/>
    <n v="66.66"/>
  </r>
  <r>
    <s v="71"/>
    <x v="2"/>
    <x v="11"/>
    <s v="ZV05F050"/>
    <x v="37"/>
    <s v="M103"/>
    <s v="SALUD AL DIA"/>
    <s v="GI00M10300005D"/>
    <s v="GI00M10300005D MANEJO DE FAUNA URBANA EN EL DMQ"/>
    <s v="71 GASTOS EN PERSONAL PARA INVERSIÓN"/>
    <s v="710204 Decimocuarto Sueldo"/>
    <s v="G/710204/1FM103"/>
    <s v="001"/>
    <n v="0"/>
    <n v="233.33"/>
    <n v="0"/>
    <n v="233.33"/>
    <n v="103.34"/>
    <n v="63.33"/>
    <n v="63.33"/>
    <n v="170"/>
    <n v="170"/>
    <n v="66.66"/>
  </r>
  <r>
    <s v="71"/>
    <x v="2"/>
    <x v="11"/>
    <s v="ZD07F070"/>
    <x v="43"/>
    <s v="M103"/>
    <s v="SALUD AL DIA"/>
    <s v="GI00M10300005D"/>
    <s v="GI00M10300005D MANEJO DE FAUNA URBANA EN EL DMQ"/>
    <s v="71 GASTOS EN PERSONAL PARA INVERSIÓN"/>
    <s v="710204 Decimocuarto Sueldo"/>
    <s v="G/710204/1FM103"/>
    <s v="001"/>
    <n v="0"/>
    <n v="233.33"/>
    <n v="0"/>
    <n v="233.33"/>
    <n v="166.67"/>
    <n v="0"/>
    <n v="0"/>
    <n v="233.33"/>
    <n v="233.33"/>
    <n v="66.66"/>
  </r>
  <r>
    <s v="71"/>
    <x v="2"/>
    <x v="11"/>
    <s v="ZQ08F080"/>
    <x v="39"/>
    <s v="M103"/>
    <s v="SALUD AL DIA"/>
    <s v="GI00M10300005D"/>
    <s v="GI00M10300005D MANEJO DE FAUNA URBANA EN EL DMQ"/>
    <s v="71 GASTOS EN PERSONAL PARA INVERSIÓN"/>
    <s v="710204 Decimocuarto Sueldo"/>
    <s v="G/710204/1FM103"/>
    <s v="001"/>
    <n v="0"/>
    <n v="233.33"/>
    <n v="0"/>
    <n v="233.33"/>
    <n v="100.01"/>
    <n v="66.66"/>
    <n v="66.66"/>
    <n v="166.67"/>
    <n v="166.67"/>
    <n v="66.66"/>
  </r>
  <r>
    <s v="71"/>
    <x v="2"/>
    <x v="11"/>
    <s v="ZS03F030"/>
    <x v="38"/>
    <s v="M103"/>
    <s v="SALUD AL DIA"/>
    <s v="GI00M10300005D"/>
    <s v="GI00M10300005D MANEJO DE FAUNA URBANA EN EL DMQ"/>
    <s v="71 GASTOS EN PERSONAL PARA INVERSIÓN"/>
    <s v="710204 Decimocuarto Sueldo"/>
    <s v="G/710204/1FM103"/>
    <s v="001"/>
    <n v="0"/>
    <n v="233.33"/>
    <n v="0"/>
    <n v="233.33"/>
    <n v="166.67"/>
    <n v="0"/>
    <n v="0"/>
    <n v="233.33"/>
    <n v="233.33"/>
    <n v="66.66"/>
  </r>
  <r>
    <s v="71"/>
    <x v="1"/>
    <x v="3"/>
    <s v="ZA01M000"/>
    <x v="6"/>
    <s v="M103"/>
    <s v="SALUD AL DIA"/>
    <s v="GI00M10300005D"/>
    <s v="GI00M10300005D MANEJO DE FAUNA URBANA EN EL DMQ"/>
    <s v="71 GASTOS EN PERSONAL PARA INVERSIÓN"/>
    <s v="710204 Decimocuarto Sueldo"/>
    <s v="G/710204/1MM103"/>
    <s v="001"/>
    <n v="0"/>
    <n v="19333.330000000002"/>
    <n v="0"/>
    <n v="19333.330000000002"/>
    <n v="8588.06"/>
    <n v="10745.27"/>
    <n v="10745.27"/>
    <n v="8588.06"/>
    <n v="8588.06"/>
    <n v="0"/>
  </r>
  <r>
    <s v="71"/>
    <x v="2"/>
    <x v="11"/>
    <s v="ZT06F060"/>
    <x v="25"/>
    <s v="M103"/>
    <s v="SALUD AL DIA"/>
    <s v="GI00M10300005D"/>
    <s v="GI00M10300005D MANEJO DE FAUNA URBANA EN EL DMQ"/>
    <s v="71 GASTOS EN PERSONAL PARA INVERSIÓN"/>
    <s v="710204 Decimocuarto Sueldo"/>
    <s v="G/710204/1FM103"/>
    <s v="001"/>
    <n v="0"/>
    <n v="233.33"/>
    <n v="0"/>
    <n v="233.33"/>
    <n v="133.34"/>
    <n v="33.33"/>
    <n v="33.33"/>
    <n v="200"/>
    <n v="200"/>
    <n v="66.66"/>
  </r>
  <r>
    <s v="71"/>
    <x v="2"/>
    <x v="11"/>
    <s v="ZC09F090"/>
    <x v="44"/>
    <s v="M103"/>
    <s v="SALUD AL DIA"/>
    <s v="GI00M10300005D"/>
    <s v="GI00M10300005D MANEJO DE FAUNA URBANA EN EL DMQ"/>
    <s v="71 GASTOS EN PERSONAL PARA INVERSIÓN"/>
    <s v="710204 Decimocuarto Sueldo"/>
    <s v="G/710204/1FM103"/>
    <s v="001"/>
    <n v="0"/>
    <n v="233.33"/>
    <n v="0"/>
    <n v="233.33"/>
    <n v="166.67"/>
    <n v="0"/>
    <n v="0"/>
    <n v="233.33"/>
    <n v="233.33"/>
    <n v="66.66"/>
  </r>
  <r>
    <s v="71"/>
    <x v="2"/>
    <x v="11"/>
    <s v="ZV05F050"/>
    <x v="37"/>
    <s v="M103"/>
    <s v="SALUD AL DIA"/>
    <s v="GI00M10300005D"/>
    <s v="GI00M10300005D MANEJO DE FAUNA URBANA EN EL DMQ"/>
    <s v="71 GASTOS EN PERSONAL PARA INVERSIÓN"/>
    <s v="710507 Honorarios"/>
    <s v="G/710507/1FM103"/>
    <s v="001"/>
    <n v="0"/>
    <n v="1200"/>
    <n v="0"/>
    <n v="1200"/>
    <n v="0"/>
    <n v="1199.7"/>
    <n v="1199.7"/>
    <n v="0.3"/>
    <n v="0.3"/>
    <n v="0.3"/>
  </r>
  <r>
    <s v="71"/>
    <x v="1"/>
    <x v="3"/>
    <s v="ZA01M000"/>
    <x v="6"/>
    <s v="M103"/>
    <s v="SALUD AL DIA"/>
    <s v="GI00M10300005D"/>
    <s v="GI00M10300005D MANEJO DE FAUNA URBANA EN EL DMQ"/>
    <s v="71 GASTOS EN PERSONAL PARA INVERSIÓN"/>
    <s v="710507 Honorarios"/>
    <s v="G/710507/1MM103"/>
    <s v="002"/>
    <n v="0"/>
    <n v="2636.86"/>
    <n v="0"/>
    <n v="2636.86"/>
    <n v="0"/>
    <n v="2591.36"/>
    <n v="2591.36"/>
    <n v="45.5"/>
    <n v="45.5"/>
    <n v="45.5"/>
  </r>
  <r>
    <s v="71"/>
    <x v="2"/>
    <x v="11"/>
    <s v="ZM04F040"/>
    <x v="41"/>
    <s v="M103"/>
    <s v="SALUD AL DIA"/>
    <s v="GI00M10300005D"/>
    <s v="GI00M10300005D MANEJO DE FAUNA URBANA EN EL DMQ"/>
    <s v="71 GASTOS EN PERSONAL PARA INVERSIÓN"/>
    <s v="710507 Honorarios"/>
    <s v="G/710507/1FM103"/>
    <s v="001"/>
    <n v="0"/>
    <n v="980"/>
    <n v="0"/>
    <n v="980"/>
    <n v="0"/>
    <n v="977.53"/>
    <n v="977.53"/>
    <n v="2.4700000000000002"/>
    <n v="2.4700000000000002"/>
    <n v="2.4700000000000002"/>
  </r>
  <r>
    <s v="71"/>
    <x v="2"/>
    <x v="11"/>
    <s v="ZD07F070"/>
    <x v="43"/>
    <s v="M103"/>
    <s v="SALUD AL DIA"/>
    <s v="GI00M10300005D"/>
    <s v="GI00M10300005D MANEJO DE FAUNA URBANA EN EL DMQ"/>
    <s v="71 GASTOS EN PERSONAL PARA INVERSIÓN"/>
    <s v="710507 Honorarios"/>
    <s v="G/710507/1FM103"/>
    <s v="001"/>
    <n v="0"/>
    <n v="1245"/>
    <n v="0"/>
    <n v="1245"/>
    <n v="0"/>
    <n v="1244.1300000000001"/>
    <n v="1244.1300000000001"/>
    <n v="0.87"/>
    <n v="0.87"/>
    <n v="0.87"/>
  </r>
  <r>
    <s v="71"/>
    <x v="2"/>
    <x v="11"/>
    <s v="ZQ08F080"/>
    <x v="39"/>
    <s v="M103"/>
    <s v="SALUD AL DIA"/>
    <s v="GI00M10300005D"/>
    <s v="GI00M10300005D MANEJO DE FAUNA URBANA EN EL DMQ"/>
    <s v="71 GASTOS EN PERSONAL PARA INVERSIÓN"/>
    <s v="710510 Servicios Personales por Contrato"/>
    <s v="G/710510/1FM103"/>
    <s v="001"/>
    <n v="0"/>
    <n v="9331"/>
    <n v="0"/>
    <n v="9331"/>
    <n v="3999"/>
    <n v="2666"/>
    <n v="2666"/>
    <n v="6665"/>
    <n v="6665"/>
    <n v="2666"/>
  </r>
  <r>
    <s v="71"/>
    <x v="2"/>
    <x v="11"/>
    <s v="ZT06F060"/>
    <x v="25"/>
    <s v="M103"/>
    <s v="SALUD AL DIA"/>
    <s v="GI00M10300005D"/>
    <s v="GI00M10300005D MANEJO DE FAUNA URBANA EN EL DMQ"/>
    <s v="71 GASTOS EN PERSONAL PARA INVERSIÓN"/>
    <s v="710510 Servicios Personales por Contrato"/>
    <s v="G/710510/1FM103"/>
    <s v="001"/>
    <n v="0"/>
    <n v="9331"/>
    <n v="0"/>
    <n v="9331"/>
    <n v="5332"/>
    <n v="1333"/>
    <n v="1333"/>
    <n v="7998"/>
    <n v="7998"/>
    <n v="2666"/>
  </r>
  <r>
    <s v="71"/>
    <x v="2"/>
    <x v="11"/>
    <s v="ZV05F050"/>
    <x v="37"/>
    <s v="M103"/>
    <s v="SALUD AL DIA"/>
    <s v="GI00M10300005D"/>
    <s v="GI00M10300005D MANEJO DE FAUNA URBANA EN EL DMQ"/>
    <s v="71 GASTOS EN PERSONAL PARA INVERSIÓN"/>
    <s v="710510 Servicios Personales por Contrato"/>
    <s v="G/710510/1FM103"/>
    <s v="001"/>
    <n v="0"/>
    <n v="8131"/>
    <n v="0"/>
    <n v="8131"/>
    <n v="5332"/>
    <n v="1333"/>
    <n v="1333"/>
    <n v="6798"/>
    <n v="6798"/>
    <n v="1466"/>
  </r>
  <r>
    <s v="71"/>
    <x v="2"/>
    <x v="11"/>
    <s v="ZD07F070"/>
    <x v="43"/>
    <s v="M103"/>
    <s v="SALUD AL DIA"/>
    <s v="GI00M10300005D"/>
    <s v="GI00M10300005D MANEJO DE FAUNA URBANA EN EL DMQ"/>
    <s v="71 GASTOS EN PERSONAL PARA INVERSIÓN"/>
    <s v="710510 Servicios Personales por Contrato"/>
    <s v="G/710510/1FM103"/>
    <s v="001"/>
    <n v="0"/>
    <n v="8086"/>
    <n v="0"/>
    <n v="8086"/>
    <n v="5332"/>
    <n v="1333"/>
    <n v="1333"/>
    <n v="6753"/>
    <n v="6753"/>
    <n v="1421"/>
  </r>
  <r>
    <s v="71"/>
    <x v="1"/>
    <x v="3"/>
    <s v="ZA01M000"/>
    <x v="6"/>
    <s v="M103"/>
    <s v="SALUD AL DIA"/>
    <s v="GI00M10300005D"/>
    <s v="GI00M10300005D MANEJO DE FAUNA URBANA EN EL DMQ"/>
    <s v="71 GASTOS EN PERSONAL PARA INVERSIÓN"/>
    <s v="710510 Servicios Personales por Contrato"/>
    <s v="G/710510/1MM103"/>
    <s v="002"/>
    <n v="0"/>
    <n v="141060"/>
    <n v="0"/>
    <n v="141060"/>
    <n v="57372.66"/>
    <n v="83687.34"/>
    <n v="83687.34"/>
    <n v="57372.66"/>
    <n v="57372.66"/>
    <n v="0"/>
  </r>
  <r>
    <s v="71"/>
    <x v="2"/>
    <x v="11"/>
    <s v="ZM04F040"/>
    <x v="41"/>
    <s v="M103"/>
    <s v="SALUD AL DIA"/>
    <s v="GI00M10300005D"/>
    <s v="GI00M10300005D MANEJO DE FAUNA URBANA EN EL DMQ"/>
    <s v="71 GASTOS EN PERSONAL PARA INVERSIÓN"/>
    <s v="710510 Servicios Personales por Contrato"/>
    <s v="G/710510/1FM103"/>
    <s v="001"/>
    <n v="0"/>
    <n v="8351"/>
    <n v="0"/>
    <n v="8351"/>
    <n v="5332"/>
    <n v="1333"/>
    <n v="1333"/>
    <n v="7018"/>
    <n v="7018"/>
    <n v="1686"/>
  </r>
  <r>
    <s v="71"/>
    <x v="2"/>
    <x v="11"/>
    <s v="ZS03F030"/>
    <x v="38"/>
    <s v="M103"/>
    <s v="SALUD AL DIA"/>
    <s v="GI00M10300005D"/>
    <s v="GI00M10300005D MANEJO DE FAUNA URBANA EN EL DMQ"/>
    <s v="71 GASTOS EN PERSONAL PARA INVERSIÓN"/>
    <s v="710510 Servicios Personales por Contrato"/>
    <s v="G/710510/1FM103"/>
    <s v="001"/>
    <n v="0"/>
    <n v="9331"/>
    <n v="0"/>
    <n v="9331"/>
    <n v="4932.1000000000004"/>
    <n v="1732.9"/>
    <n v="1732.9"/>
    <n v="7598.1"/>
    <n v="7598.1"/>
    <n v="2666"/>
  </r>
  <r>
    <s v="71"/>
    <x v="2"/>
    <x v="11"/>
    <s v="ZN02F020"/>
    <x v="40"/>
    <s v="M103"/>
    <s v="SALUD AL DIA"/>
    <s v="GI00M10300005D"/>
    <s v="GI00M10300005D MANEJO DE FAUNA URBANA EN EL DMQ"/>
    <s v="71 GASTOS EN PERSONAL PARA INVERSIÓN"/>
    <s v="710510 Servicios Personales por Contrato"/>
    <s v="G/710510/1FM103"/>
    <s v="001"/>
    <n v="0"/>
    <n v="9331"/>
    <n v="0"/>
    <n v="9331"/>
    <n v="5332"/>
    <n v="1333"/>
    <n v="1333"/>
    <n v="7998"/>
    <n v="7998"/>
    <n v="2666"/>
  </r>
  <r>
    <s v="71"/>
    <x v="1"/>
    <x v="3"/>
    <s v="ZA01M000"/>
    <x v="6"/>
    <s v="M103"/>
    <s v="SALUD AL DIA"/>
    <s v="GI00M10300005D"/>
    <s v="GI00M10300005D MANEJO DE FAUNA URBANA EN EL DMQ"/>
    <s v="71 GASTOS EN PERSONAL PARA INVERSIÓN"/>
    <s v="710510 Servicios Personales por Contrato"/>
    <s v="G/710510/1MM103"/>
    <s v="001"/>
    <n v="0"/>
    <n v="621681"/>
    <n v="0"/>
    <n v="621681"/>
    <n v="199578.53"/>
    <n v="422102.47"/>
    <n v="422102.47"/>
    <n v="199578.53"/>
    <n v="199578.53"/>
    <n v="0"/>
  </r>
  <r>
    <s v="71"/>
    <x v="2"/>
    <x v="11"/>
    <s v="ZC09F090"/>
    <x v="44"/>
    <s v="M103"/>
    <s v="SALUD AL DIA"/>
    <s v="GI00M10300005D"/>
    <s v="GI00M10300005D MANEJO DE FAUNA URBANA EN EL DMQ"/>
    <s v="71 GASTOS EN PERSONAL PARA INVERSIÓN"/>
    <s v="710510 Servicios Personales por Contrato"/>
    <s v="G/710510/1FM103"/>
    <s v="001"/>
    <n v="0"/>
    <n v="9331"/>
    <n v="0"/>
    <n v="9331"/>
    <n v="3999"/>
    <n v="2666"/>
    <n v="2666"/>
    <n v="6665"/>
    <n v="6665"/>
    <n v="2666"/>
  </r>
  <r>
    <s v="71"/>
    <x v="2"/>
    <x v="11"/>
    <s v="ZD07F070"/>
    <x v="43"/>
    <s v="M103"/>
    <s v="SALUD AL DIA"/>
    <s v="GI00M10300005D"/>
    <s v="GI00M10300005D MANEJO DE FAUNA URBANA EN EL DMQ"/>
    <s v="71 GASTOS EN PERSONAL PARA INVERSIÓN"/>
    <s v="710601 Aporte Patronal"/>
    <s v="G/710601/1FM103"/>
    <s v="001"/>
    <n v="0"/>
    <n v="1180.3800000000001"/>
    <n v="0"/>
    <n v="1180.3800000000001"/>
    <n v="517.12"/>
    <n v="326"/>
    <n v="326"/>
    <n v="854.38"/>
    <n v="854.38"/>
    <n v="337.26"/>
  </r>
  <r>
    <s v="71"/>
    <x v="2"/>
    <x v="11"/>
    <s v="ZM04F040"/>
    <x v="41"/>
    <s v="M103"/>
    <s v="SALUD AL DIA"/>
    <s v="GI00M10300005D"/>
    <s v="GI00M10300005D MANEJO DE FAUNA URBANA EN EL DMQ"/>
    <s v="71 GASTOS EN PERSONAL PARA INVERSIÓN"/>
    <s v="710601 Aporte Patronal"/>
    <s v="G/710601/1FM103"/>
    <s v="001"/>
    <n v="0"/>
    <n v="1180.3800000000001"/>
    <n v="0"/>
    <n v="1180.3800000000001"/>
    <n v="550.84"/>
    <n v="292.27999999999997"/>
    <n v="292.27999999999997"/>
    <n v="888.1"/>
    <n v="888.1"/>
    <n v="337.26"/>
  </r>
  <r>
    <s v="71"/>
    <x v="2"/>
    <x v="11"/>
    <s v="ZS03F030"/>
    <x v="38"/>
    <s v="M103"/>
    <s v="SALUD AL DIA"/>
    <s v="GI00M10300005D"/>
    <s v="GI00M10300005D MANEJO DE FAUNA URBANA EN EL DMQ"/>
    <s v="71 GASTOS EN PERSONAL PARA INVERSIÓN"/>
    <s v="710601 Aporte Patronal"/>
    <s v="G/710601/1FM103"/>
    <s v="001"/>
    <n v="0"/>
    <n v="1180.3800000000001"/>
    <n v="0"/>
    <n v="1180.3800000000001"/>
    <n v="623.91"/>
    <n v="219.21"/>
    <n v="219.21"/>
    <n v="961.17"/>
    <n v="961.17"/>
    <n v="337.26"/>
  </r>
  <r>
    <s v="71"/>
    <x v="2"/>
    <x v="11"/>
    <s v="ZQ08F080"/>
    <x v="39"/>
    <s v="M103"/>
    <s v="SALUD AL DIA"/>
    <s v="GI00M10300005D"/>
    <s v="GI00M10300005D MANEJO DE FAUNA URBANA EN EL DMQ"/>
    <s v="71 GASTOS EN PERSONAL PARA INVERSIÓN"/>
    <s v="710601 Aporte Patronal"/>
    <s v="G/710601/1FM103"/>
    <s v="001"/>
    <n v="0"/>
    <n v="1180.3800000000001"/>
    <n v="0"/>
    <n v="1180.3800000000001"/>
    <n v="505.88"/>
    <n v="337.24"/>
    <n v="337.24"/>
    <n v="843.14"/>
    <n v="843.14"/>
    <n v="337.26"/>
  </r>
  <r>
    <s v="71"/>
    <x v="2"/>
    <x v="11"/>
    <s v="ZN02F020"/>
    <x v="40"/>
    <s v="M103"/>
    <s v="SALUD AL DIA"/>
    <s v="GI00M10300005D"/>
    <s v="GI00M10300005D MANEJO DE FAUNA URBANA EN EL DMQ"/>
    <s v="71 GASTOS EN PERSONAL PARA INVERSIÓN"/>
    <s v="710601 Aporte Patronal"/>
    <s v="G/710601/1FM103"/>
    <s v="001"/>
    <n v="0"/>
    <n v="1180.3800000000001"/>
    <n v="0"/>
    <n v="1180.3800000000001"/>
    <n v="674.5"/>
    <n v="168.62"/>
    <n v="168.62"/>
    <n v="1011.76"/>
    <n v="1011.76"/>
    <n v="337.26"/>
  </r>
  <r>
    <s v="71"/>
    <x v="2"/>
    <x v="11"/>
    <s v="ZC09F090"/>
    <x v="44"/>
    <s v="M103"/>
    <s v="SALUD AL DIA"/>
    <s v="GI00M10300005D"/>
    <s v="GI00M10300005D MANEJO DE FAUNA URBANA EN EL DMQ"/>
    <s v="71 GASTOS EN PERSONAL PARA INVERSIÓN"/>
    <s v="710601 Aporte Patronal"/>
    <s v="G/710601/1FM103"/>
    <s v="001"/>
    <n v="0"/>
    <n v="1180.3800000000001"/>
    <n v="0"/>
    <n v="1180.3800000000001"/>
    <n v="505.88"/>
    <n v="337.24"/>
    <n v="337.24"/>
    <n v="843.14"/>
    <n v="843.14"/>
    <n v="337.26"/>
  </r>
  <r>
    <s v="71"/>
    <x v="2"/>
    <x v="11"/>
    <s v="ZT06F060"/>
    <x v="25"/>
    <s v="M103"/>
    <s v="SALUD AL DIA"/>
    <s v="GI00M10300005D"/>
    <s v="GI00M10300005D MANEJO DE FAUNA URBANA EN EL DMQ"/>
    <s v="71 GASTOS EN PERSONAL PARA INVERSIÓN"/>
    <s v="710601 Aporte Patronal"/>
    <s v="G/710601/1FM103"/>
    <s v="001"/>
    <n v="0"/>
    <n v="1180.3800000000001"/>
    <n v="0"/>
    <n v="1180.3800000000001"/>
    <n v="674.5"/>
    <n v="168.62"/>
    <n v="168.62"/>
    <n v="1011.76"/>
    <n v="1011.76"/>
    <n v="337.26"/>
  </r>
  <r>
    <s v="71"/>
    <x v="1"/>
    <x v="3"/>
    <s v="ZA01M000"/>
    <x v="6"/>
    <s v="M103"/>
    <s v="SALUD AL DIA"/>
    <s v="GI00M10300005D"/>
    <s v="GI00M10300005D MANEJO DE FAUNA URBANA EN EL DMQ"/>
    <s v="71 GASTOS EN PERSONAL PARA INVERSIÓN"/>
    <s v="710601 Aporte Patronal"/>
    <s v="G/710601/1MM103"/>
    <s v="002"/>
    <n v="0"/>
    <n v="17844.09"/>
    <n v="0"/>
    <n v="17844.09"/>
    <n v="7257.61"/>
    <n v="10586.48"/>
    <n v="10586.48"/>
    <n v="7257.61"/>
    <n v="7257.61"/>
    <n v="0"/>
  </r>
  <r>
    <s v="71"/>
    <x v="2"/>
    <x v="11"/>
    <s v="ZV05F050"/>
    <x v="37"/>
    <s v="M103"/>
    <s v="SALUD AL DIA"/>
    <s v="GI00M10300005D"/>
    <s v="GI00M10300005D MANEJO DE FAUNA URBANA EN EL DMQ"/>
    <s v="71 GASTOS EN PERSONAL PARA INVERSIÓN"/>
    <s v="710601 Aporte Patronal"/>
    <s v="G/710601/1FM103"/>
    <s v="001"/>
    <n v="0"/>
    <n v="1180.3800000000001"/>
    <n v="0"/>
    <n v="1180.3800000000001"/>
    <n v="522.74"/>
    <n v="320.38"/>
    <n v="320.38"/>
    <n v="860"/>
    <n v="860"/>
    <n v="337.26"/>
  </r>
  <r>
    <s v="71"/>
    <x v="1"/>
    <x v="3"/>
    <s v="ZA01M000"/>
    <x v="6"/>
    <s v="M103"/>
    <s v="SALUD AL DIA"/>
    <s v="GI00M10300005D"/>
    <s v="GI00M10300005D MANEJO DE FAUNA URBANA EN EL DMQ"/>
    <s v="71 GASTOS EN PERSONAL PARA INVERSIÓN"/>
    <s v="710601 Aporte Patronal"/>
    <s v="G/710601/1MM103"/>
    <s v="001"/>
    <n v="0"/>
    <n v="78643.5"/>
    <n v="0"/>
    <n v="78643.5"/>
    <n v="24920.14"/>
    <n v="53723.360000000001"/>
    <n v="53723.360000000001"/>
    <n v="24920.14"/>
    <n v="24920.14"/>
    <n v="0"/>
  </r>
  <r>
    <s v="71"/>
    <x v="2"/>
    <x v="11"/>
    <s v="ZQ08F080"/>
    <x v="39"/>
    <s v="M103"/>
    <s v="SALUD AL DIA"/>
    <s v="GI00M10300005D"/>
    <s v="GI00M10300005D MANEJO DE FAUNA URBANA EN EL DMQ"/>
    <s v="71 GASTOS EN PERSONAL PARA INVERSIÓN"/>
    <s v="710602 Fondo de Reserva"/>
    <s v="G/710602/1FM103"/>
    <s v="001"/>
    <n v="0"/>
    <n v="777.58"/>
    <n v="0"/>
    <n v="777.58"/>
    <n v="555.41999999999996"/>
    <n v="0"/>
    <n v="0"/>
    <n v="777.58"/>
    <n v="777.58"/>
    <n v="222.16"/>
  </r>
  <r>
    <s v="71"/>
    <x v="2"/>
    <x v="11"/>
    <s v="ZD07F070"/>
    <x v="43"/>
    <s v="M103"/>
    <s v="SALUD AL DIA"/>
    <s v="GI00M10300005D"/>
    <s v="GI00M10300005D MANEJO DE FAUNA URBANA EN EL DMQ"/>
    <s v="71 GASTOS EN PERSONAL PARA INVERSIÓN"/>
    <s v="710602 Fondo de Reserva"/>
    <s v="G/710602/1FM103"/>
    <s v="001"/>
    <n v="0"/>
    <n v="777.58"/>
    <n v="0"/>
    <n v="777.58"/>
    <n v="555.41999999999996"/>
    <n v="0"/>
    <n v="0"/>
    <n v="777.58"/>
    <n v="777.58"/>
    <n v="222.16"/>
  </r>
  <r>
    <s v="71"/>
    <x v="2"/>
    <x v="11"/>
    <s v="ZT06F060"/>
    <x v="25"/>
    <s v="M103"/>
    <s v="SALUD AL DIA"/>
    <s v="GI00M10300005D"/>
    <s v="GI00M10300005D MANEJO DE FAUNA URBANA EN EL DMQ"/>
    <s v="71 GASTOS EN PERSONAL PARA INVERSIÓN"/>
    <s v="710602 Fondo de Reserva"/>
    <s v="G/710602/1FM103"/>
    <s v="001"/>
    <n v="0"/>
    <n v="777.58"/>
    <n v="0"/>
    <n v="777.58"/>
    <n v="555.41999999999996"/>
    <n v="0"/>
    <n v="0"/>
    <n v="777.58"/>
    <n v="777.58"/>
    <n v="222.16"/>
  </r>
  <r>
    <s v="71"/>
    <x v="2"/>
    <x v="11"/>
    <s v="ZN02F020"/>
    <x v="40"/>
    <s v="M103"/>
    <s v="SALUD AL DIA"/>
    <s v="GI00M10300005D"/>
    <s v="GI00M10300005D MANEJO DE FAUNA URBANA EN EL DMQ"/>
    <s v="71 GASTOS EN PERSONAL PARA INVERSIÓN"/>
    <s v="710602 Fondo de Reserva"/>
    <s v="G/710602/1FM103"/>
    <s v="001"/>
    <n v="0"/>
    <n v="777.58"/>
    <n v="0"/>
    <n v="777.58"/>
    <n v="555.41999999999996"/>
    <n v="0"/>
    <n v="0"/>
    <n v="777.58"/>
    <n v="777.58"/>
    <n v="222.16"/>
  </r>
  <r>
    <s v="71"/>
    <x v="1"/>
    <x v="3"/>
    <s v="ZA01M000"/>
    <x v="6"/>
    <s v="M103"/>
    <s v="SALUD AL DIA"/>
    <s v="GI00M10300005D"/>
    <s v="GI00M10300005D MANEJO DE FAUNA URBANA EN EL DMQ"/>
    <s v="71 GASTOS EN PERSONAL PARA INVERSIÓN"/>
    <s v="710602 Fondo de Reserva"/>
    <s v="G/710602/1MM103"/>
    <s v="002"/>
    <n v="0"/>
    <n v="11755"/>
    <n v="0"/>
    <n v="11755"/>
    <n v="10556.11"/>
    <n v="1198.8900000000001"/>
    <n v="1198.8900000000001"/>
    <n v="10556.11"/>
    <n v="10556.11"/>
    <n v="0"/>
  </r>
  <r>
    <s v="71"/>
    <x v="2"/>
    <x v="11"/>
    <s v="ZV05F050"/>
    <x v="37"/>
    <s v="M103"/>
    <s v="SALUD AL DIA"/>
    <s v="GI00M10300005D"/>
    <s v="GI00M10300005D MANEJO DE FAUNA URBANA EN EL DMQ"/>
    <s v="71 GASTOS EN PERSONAL PARA INVERSIÓN"/>
    <s v="710602 Fondo de Reserva"/>
    <s v="G/710602/1FM103"/>
    <s v="001"/>
    <n v="0"/>
    <n v="777.58"/>
    <n v="0"/>
    <n v="777.58"/>
    <n v="555.41999999999996"/>
    <n v="0"/>
    <n v="0"/>
    <n v="777.58"/>
    <n v="777.58"/>
    <n v="222.16"/>
  </r>
  <r>
    <s v="71"/>
    <x v="2"/>
    <x v="11"/>
    <s v="ZS03F030"/>
    <x v="38"/>
    <s v="M103"/>
    <s v="SALUD AL DIA"/>
    <s v="GI00M10300005D"/>
    <s v="GI00M10300005D MANEJO DE FAUNA URBANA EN EL DMQ"/>
    <s v="71 GASTOS EN PERSONAL PARA INVERSIÓN"/>
    <s v="710602 Fondo de Reserva"/>
    <s v="G/710602/1FM103"/>
    <s v="001"/>
    <n v="0"/>
    <n v="777.58"/>
    <n v="0"/>
    <n v="777.58"/>
    <n v="555.41999999999996"/>
    <n v="0"/>
    <n v="0"/>
    <n v="777.58"/>
    <n v="777.58"/>
    <n v="222.16"/>
  </r>
  <r>
    <s v="71"/>
    <x v="2"/>
    <x v="11"/>
    <s v="ZC09F090"/>
    <x v="44"/>
    <s v="M103"/>
    <s v="SALUD AL DIA"/>
    <s v="GI00M10300005D"/>
    <s v="GI00M10300005D MANEJO DE FAUNA URBANA EN EL DMQ"/>
    <s v="71 GASTOS EN PERSONAL PARA INVERSIÓN"/>
    <s v="710602 Fondo de Reserva"/>
    <s v="G/710602/1FM103"/>
    <s v="001"/>
    <n v="0"/>
    <n v="777.58"/>
    <n v="0"/>
    <n v="777.58"/>
    <n v="555.41999999999996"/>
    <n v="0"/>
    <n v="0"/>
    <n v="777.58"/>
    <n v="777.58"/>
    <n v="222.16"/>
  </r>
  <r>
    <s v="71"/>
    <x v="1"/>
    <x v="3"/>
    <s v="ZA01M000"/>
    <x v="6"/>
    <s v="M103"/>
    <s v="SALUD AL DIA"/>
    <s v="GI00M10300005D"/>
    <s v="GI00M10300005D MANEJO DE FAUNA URBANA EN EL DMQ"/>
    <s v="71 GASTOS EN PERSONAL PARA INVERSIÓN"/>
    <s v="710602 Fondo de Reserva"/>
    <s v="G/710602/1MM103"/>
    <s v="001"/>
    <n v="0"/>
    <n v="51806.75"/>
    <n v="0"/>
    <n v="51806.75"/>
    <n v="46763.79"/>
    <n v="5042.71"/>
    <n v="5042.71"/>
    <n v="46764.04"/>
    <n v="46764.04"/>
    <n v="0.25"/>
  </r>
  <r>
    <s v="71"/>
    <x v="2"/>
    <x v="11"/>
    <s v="ZM04F040"/>
    <x v="41"/>
    <s v="M103"/>
    <s v="SALUD AL DIA"/>
    <s v="GI00M10300005D"/>
    <s v="GI00M10300005D MANEJO DE FAUNA URBANA EN EL DMQ"/>
    <s v="71 GASTOS EN PERSONAL PARA INVERSIÓN"/>
    <s v="710602 Fondo de Reserva"/>
    <s v="G/710602/1FM103"/>
    <s v="001"/>
    <n v="0"/>
    <n v="777.58"/>
    <n v="0"/>
    <n v="777.58"/>
    <n v="555.41999999999996"/>
    <n v="0"/>
    <n v="0"/>
    <n v="777.58"/>
    <n v="777.58"/>
    <n v="222.16"/>
  </r>
  <r>
    <s v="71"/>
    <x v="1"/>
    <x v="3"/>
    <s v="US33M030"/>
    <x v="8"/>
    <s v="M103"/>
    <s v="SALUD AL DIA"/>
    <s v="GI00M10300006D"/>
    <s v="GI00M10300006D ATENCIÓN Y PREVENCIÓN DE LA ENFERMEDAD"/>
    <s v="71 GASTOS EN PERSONAL PARA INVERSIÓN"/>
    <s v="710106 Salarios Unificados"/>
    <s v="G/710106/1MM103"/>
    <s v="001"/>
    <n v="0"/>
    <n v="367027"/>
    <n v="0"/>
    <n v="367027"/>
    <n v="110875.32"/>
    <n v="188584.68"/>
    <n v="188584.68"/>
    <n v="178442.32"/>
    <n v="178442.32"/>
    <n v="67567"/>
  </r>
  <r>
    <s v="71"/>
    <x v="1"/>
    <x v="3"/>
    <s v="US33M030"/>
    <x v="8"/>
    <s v="M103"/>
    <s v="SALUD AL DIA"/>
    <s v="GI00M10300006D"/>
    <s v="GI00M10300006D ATENCIÓN Y PREVENCIÓN DE LA ENFERMEDAD"/>
    <s v="71 GASTOS EN PERSONAL PARA INVERSIÓN"/>
    <s v="710203 Decimotercer Sueldo"/>
    <s v="G/710203/1MM103"/>
    <s v="001"/>
    <n v="0"/>
    <n v="221729.66"/>
    <n v="0"/>
    <n v="221729.66"/>
    <n v="147298.31"/>
    <n v="74431.350000000006"/>
    <n v="74431.350000000006"/>
    <n v="147298.31"/>
    <n v="147298.31"/>
    <n v="0"/>
  </r>
  <r>
    <s v="71"/>
    <x v="1"/>
    <x v="3"/>
    <s v="US33M030"/>
    <x v="8"/>
    <s v="M103"/>
    <s v="SALUD AL DIA"/>
    <s v="GI00M10300006D"/>
    <s v="GI00M10300006D ATENCIÓN Y PREVENCIÓN DE LA ENFERMEDAD"/>
    <s v="71 GASTOS EN PERSONAL PARA INVERSIÓN"/>
    <s v="710204 Decimocuarto Sueldo"/>
    <s v="G/710204/1MM103"/>
    <s v="001"/>
    <n v="0"/>
    <n v="64100"/>
    <n v="0"/>
    <n v="64100"/>
    <n v="38616.89"/>
    <n v="25483.11"/>
    <n v="25483.11"/>
    <n v="38616.89"/>
    <n v="38616.89"/>
    <n v="0"/>
  </r>
  <r>
    <s v="71"/>
    <x v="1"/>
    <x v="3"/>
    <s v="US33M030"/>
    <x v="8"/>
    <s v="M103"/>
    <s v="SALUD AL DIA"/>
    <s v="GI00M10300006D"/>
    <s v="GI00M10300006D ATENCIÓN Y PREVENCIÓN DE LA ENFERMEDAD"/>
    <s v="71 GASTOS EN PERSONAL PARA INVERSIÓN"/>
    <s v="710304 Compensación por Tra"/>
    <s v="G/710304/1MM103"/>
    <s v="001"/>
    <n v="0"/>
    <n v="3720"/>
    <n v="0"/>
    <n v="3720"/>
    <n v="3345.5"/>
    <n v="374.5"/>
    <n v="374.5"/>
    <n v="3345.5"/>
    <n v="3345.5"/>
    <n v="0"/>
  </r>
  <r>
    <s v="71"/>
    <x v="1"/>
    <x v="3"/>
    <s v="US33M030"/>
    <x v="8"/>
    <s v="M103"/>
    <s v="SALUD AL DIA"/>
    <s v="GI00M10300006D"/>
    <s v="GI00M10300006D ATENCIÓN Y PREVENCIÓN DE LA ENFERMEDAD"/>
    <s v="71 GASTOS EN PERSONAL PARA INVERSIÓN"/>
    <s v="710306 Alimentación"/>
    <s v="G/710306/1MM103"/>
    <s v="001"/>
    <n v="0"/>
    <n v="30000"/>
    <n v="0"/>
    <n v="30000"/>
    <n v="22972"/>
    <n v="7028"/>
    <n v="7028"/>
    <n v="22972"/>
    <n v="22972"/>
    <n v="0"/>
  </r>
  <r>
    <s v="71"/>
    <x v="1"/>
    <x v="3"/>
    <s v="US33M030"/>
    <x v="8"/>
    <s v="M103"/>
    <s v="SALUD AL DIA"/>
    <s v="GI00M10300006D"/>
    <s v="GI00M10300006D ATENCIÓN Y PREVENCIÓN DE LA ENFERMEDAD"/>
    <s v="71 GASTOS EN PERSONAL PARA INVERSIÓN"/>
    <s v="710401 Cargas Familiares"/>
    <s v="G/710401/1MM103"/>
    <s v="001"/>
    <n v="0"/>
    <n v="4464"/>
    <n v="0"/>
    <n v="4464"/>
    <n v="4464"/>
    <n v="0"/>
    <n v="0"/>
    <n v="4464"/>
    <n v="4464"/>
    <n v="0"/>
  </r>
  <r>
    <s v="71"/>
    <x v="1"/>
    <x v="3"/>
    <s v="US33M030"/>
    <x v="8"/>
    <s v="M103"/>
    <s v="SALUD AL DIA"/>
    <s v="GI00M10300006D"/>
    <s v="GI00M10300006D ATENCIÓN Y PREVENCIÓN DE LA ENFERMEDAD"/>
    <s v="71 GASTOS EN PERSONAL PARA INVERSIÓN"/>
    <s v="710507 Honorarios"/>
    <s v="G/710507/1MM103"/>
    <s v="001"/>
    <n v="0"/>
    <n v="1663"/>
    <n v="0"/>
    <n v="1663"/>
    <n v="0"/>
    <n v="1662.27"/>
    <n v="1662.27"/>
    <n v="0.73"/>
    <n v="0.73"/>
    <n v="0.73"/>
  </r>
  <r>
    <s v="71"/>
    <x v="1"/>
    <x v="3"/>
    <s v="US33M030"/>
    <x v="8"/>
    <s v="M103"/>
    <s v="SALUD AL DIA"/>
    <s v="GI00M10300006D"/>
    <s v="GI00M10300006D ATENCIÓN Y PREVENCIÓN DE LA ENFERMEDAD"/>
    <s v="71 GASTOS EN PERSONAL PARA INVERSIÓN"/>
    <s v="710507 Honorarios"/>
    <s v="G/710507/1MM103"/>
    <s v="002"/>
    <n v="0"/>
    <n v="187079.39"/>
    <n v="0"/>
    <n v="187079.39"/>
    <n v="0"/>
    <n v="187076.26"/>
    <n v="187076.26"/>
    <n v="3.13"/>
    <n v="3.13"/>
    <n v="3.13"/>
  </r>
  <r>
    <s v="71"/>
    <x v="1"/>
    <x v="3"/>
    <s v="US33M030"/>
    <x v="8"/>
    <s v="M103"/>
    <s v="SALUD AL DIA"/>
    <s v="GI00M10300006D"/>
    <s v="GI00M10300006D ATENCIÓN Y PREVENCIÓN DE LA ENFERMEDAD"/>
    <s v="71 GASTOS EN PERSONAL PARA INVERSIÓN"/>
    <s v="710510 Servicios Personales por Contrato"/>
    <s v="G/710510/1MM103"/>
    <s v="001"/>
    <n v="0"/>
    <n v="2361296"/>
    <n v="0"/>
    <n v="2361296"/>
    <n v="1385511.23"/>
    <n v="975784.77"/>
    <n v="975784.77"/>
    <n v="1385511.23"/>
    <n v="1385511.23"/>
    <n v="0"/>
  </r>
  <r>
    <s v="71"/>
    <x v="1"/>
    <x v="3"/>
    <s v="US33M030"/>
    <x v="8"/>
    <s v="M103"/>
    <s v="SALUD AL DIA"/>
    <s v="GI00M10300006D"/>
    <s v="GI00M10300006D ATENCIÓN Y PREVENCIÓN DE LA ENFERMEDAD"/>
    <s v="71 GASTOS EN PERSONAL PARA INVERSIÓN"/>
    <s v="710601 Aporte Patronal"/>
    <s v="G/710601/1MM103"/>
    <s v="001"/>
    <n v="0"/>
    <n v="335088.33"/>
    <n v="0"/>
    <n v="335088.33"/>
    <n v="166528.34"/>
    <n v="168559.99"/>
    <n v="168559.99"/>
    <n v="166528.34"/>
    <n v="166528.34"/>
    <n v="0"/>
  </r>
  <r>
    <s v="71"/>
    <x v="1"/>
    <x v="3"/>
    <s v="US33M030"/>
    <x v="8"/>
    <s v="M103"/>
    <s v="SALUD AL DIA"/>
    <s v="GI00M10300006D"/>
    <s v="GI00M10300006D ATENCIÓN Y PREVENCIÓN DE LA ENFERMEDAD"/>
    <s v="71 GASTOS EN PERSONAL PARA INVERSIÓN"/>
    <s v="710602 Fondo de Reserva"/>
    <s v="G/710602/1MM103"/>
    <s v="001"/>
    <n v="0"/>
    <n v="196774.67"/>
    <n v="0"/>
    <n v="196774.67"/>
    <n v="196774.67"/>
    <n v="0"/>
    <n v="0"/>
    <n v="196774.67"/>
    <n v="196774.67"/>
    <n v="0"/>
  </r>
  <r>
    <s v="71"/>
    <x v="1"/>
    <x v="3"/>
    <s v="US33M030"/>
    <x v="8"/>
    <s v="M103"/>
    <s v="SALUD AL DIA"/>
    <s v="GI00M10300006D"/>
    <s v="GI00M10300006D ATENCIÓN Y PREVENCIÓN DE LA ENFERMEDAD"/>
    <s v="71 GASTOS EN PERSONAL PARA INVERSIÓN"/>
    <s v="710704 Compensación por Desahucio"/>
    <s v="G/710704/1MM103"/>
    <s v="001"/>
    <n v="0"/>
    <n v="10465"/>
    <n v="0"/>
    <n v="10465"/>
    <n v="10465"/>
    <n v="0"/>
    <n v="0"/>
    <n v="10465"/>
    <n v="10465"/>
    <n v="0"/>
  </r>
  <r>
    <s v="71"/>
    <x v="1"/>
    <x v="3"/>
    <s v="US33M030"/>
    <x v="8"/>
    <s v="M103"/>
    <s v="SALUD AL DIA"/>
    <s v="GI00M10300006D"/>
    <s v="GI00M10300006D ATENCIÓN Y PREVENCIÓN DE LA ENFERMEDAD"/>
    <s v="71 GASTOS EN PERSONAL PARA INVERSIÓN"/>
    <s v="710707 Compensación por Vacaciones no Gozadas por"/>
    <s v="G/710707/1MM103"/>
    <s v="001"/>
    <n v="0"/>
    <n v="70985.84"/>
    <n v="0"/>
    <n v="70985.84"/>
    <n v="1744.17"/>
    <n v="0"/>
    <n v="0"/>
    <n v="70985.84"/>
    <n v="70985.84"/>
    <n v="69241.67"/>
  </r>
  <r>
    <s v="71"/>
    <x v="1"/>
    <x v="3"/>
    <s v="UN31M010"/>
    <x v="11"/>
    <s v="M103"/>
    <s v="SALUD AL DIA"/>
    <s v="GI00M10300007D"/>
    <s v="GI00M10300007D PREVENCION INTEGRAL DE ADICCIONES"/>
    <s v="71 GASTOS EN PERSONAL PARA INVERSIÓN"/>
    <s v="710203 Decimotercer Sueldo"/>
    <s v="G/710203/1MM103"/>
    <s v="001"/>
    <n v="0"/>
    <n v="14234.25"/>
    <n v="0"/>
    <n v="14234.25"/>
    <n v="13508.76"/>
    <n v="725.49"/>
    <n v="725.49"/>
    <n v="13508.76"/>
    <n v="13508.76"/>
    <n v="0"/>
  </r>
  <r>
    <s v="71"/>
    <x v="1"/>
    <x v="3"/>
    <s v="UN31M010"/>
    <x v="11"/>
    <s v="M103"/>
    <s v="SALUD AL DIA"/>
    <s v="GI00M10300007D"/>
    <s v="GI00M10300007D PREVENCION INTEGRAL DE ADICCIONES"/>
    <s v="71 GASTOS EN PERSONAL PARA INVERSIÓN"/>
    <s v="710203 Decimotercer Sueldo"/>
    <s v="G/710203/1MM103"/>
    <s v="002"/>
    <n v="0"/>
    <n v="50810"/>
    <n v="0"/>
    <n v="50810"/>
    <n v="40648.839999999997"/>
    <n v="9151.4"/>
    <n v="9151.4"/>
    <n v="41658.6"/>
    <n v="41658.6"/>
    <n v="1009.76"/>
  </r>
  <r>
    <s v="71"/>
    <x v="1"/>
    <x v="3"/>
    <s v="UN31M010"/>
    <x v="11"/>
    <s v="M103"/>
    <s v="SALUD AL DIA"/>
    <s v="GI00M10300007D"/>
    <s v="GI00M10300007D PREVENCION INTEGRAL DE ADICCIONES"/>
    <s v="71 GASTOS EN PERSONAL PARA INVERSIÓN"/>
    <s v="710204 Decimocuarto Sueldo"/>
    <s v="G/710204/1MM103"/>
    <s v="001"/>
    <n v="0"/>
    <n v="4600"/>
    <n v="0"/>
    <n v="4600"/>
    <n v="4400.0200000000004"/>
    <n v="199.98"/>
    <n v="199.98"/>
    <n v="4400.0200000000004"/>
    <n v="4400.0200000000004"/>
    <n v="0"/>
  </r>
  <r>
    <s v="71"/>
    <x v="1"/>
    <x v="3"/>
    <s v="UN31M010"/>
    <x v="11"/>
    <s v="M103"/>
    <s v="SALUD AL DIA"/>
    <s v="GI00M10300007D"/>
    <s v="GI00M10300007D PREVENCION INTEGRAL DE ADICCIONES"/>
    <s v="71 GASTOS EN PERSONAL PARA INVERSIÓN"/>
    <s v="710204 Decimocuarto Sueldo"/>
    <s v="G/710204/1MM103"/>
    <s v="002"/>
    <n v="0"/>
    <n v="15200"/>
    <n v="0"/>
    <n v="15200"/>
    <n v="1740.18"/>
    <n v="13259.8"/>
    <n v="13259.8"/>
    <n v="1940.2"/>
    <n v="1940.2"/>
    <n v="200.02"/>
  </r>
  <r>
    <s v="71"/>
    <x v="1"/>
    <x v="3"/>
    <s v="UN31M010"/>
    <x v="11"/>
    <s v="M103"/>
    <s v="SALUD AL DIA"/>
    <s v="GI00M10300007D"/>
    <s v="GI00M10300007D PREVENCION INTEGRAL DE ADICCIONES"/>
    <s v="71 GASTOS EN PERSONAL PARA INVERSIÓN"/>
    <s v="710507 Honorarios"/>
    <s v="G/710507/1MM103"/>
    <s v="002"/>
    <n v="0"/>
    <n v="17898.330000000002"/>
    <n v="0"/>
    <n v="17898.330000000002"/>
    <n v="0"/>
    <n v="17896.07"/>
    <n v="17896.07"/>
    <n v="2.2599999999999998"/>
    <n v="2.2599999999999998"/>
    <n v="2.2599999999999998"/>
  </r>
  <r>
    <s v="71"/>
    <x v="1"/>
    <x v="3"/>
    <s v="UN31M010"/>
    <x v="11"/>
    <s v="M103"/>
    <s v="SALUD AL DIA"/>
    <s v="GI00M10300007D"/>
    <s v="GI00M10300007D PREVENCION INTEGRAL DE ADICCIONES"/>
    <s v="71 GASTOS EN PERSONAL PARA INVERSIÓN"/>
    <s v="710510 Servicios Personales por Contrato"/>
    <s v="G/710510/1MM103"/>
    <s v="001"/>
    <n v="0"/>
    <n v="170811"/>
    <n v="0"/>
    <n v="170811"/>
    <n v="116274"/>
    <n v="54537"/>
    <n v="54537"/>
    <n v="116274"/>
    <n v="116274"/>
    <n v="0"/>
  </r>
  <r>
    <s v="71"/>
    <x v="1"/>
    <x v="3"/>
    <s v="UN31M010"/>
    <x v="11"/>
    <s v="M103"/>
    <s v="SALUD AL DIA"/>
    <s v="GI00M10300007D"/>
    <s v="GI00M10300007D PREVENCION INTEGRAL DE ADICCIONES"/>
    <s v="71 GASTOS EN PERSONAL PARA INVERSIÓN"/>
    <s v="710510 Servicios Personales por Contrato"/>
    <s v="G/710510/1MM103"/>
    <s v="002"/>
    <n v="0"/>
    <n v="609720"/>
    <n v="0"/>
    <n v="609720"/>
    <n v="81333.53"/>
    <n v="519598.47"/>
    <n v="519598.47"/>
    <n v="90121.53"/>
    <n v="90121.53"/>
    <n v="8788"/>
  </r>
  <r>
    <s v="71"/>
    <x v="1"/>
    <x v="3"/>
    <s v="UN31M010"/>
    <x v="11"/>
    <s v="M103"/>
    <s v="SALUD AL DIA"/>
    <s v="GI00M10300007D"/>
    <s v="GI00M10300007D PREVENCION INTEGRAL DE ADICCIONES"/>
    <s v="71 GASTOS EN PERSONAL PARA INVERSIÓN"/>
    <s v="710601 Aporte Patronal"/>
    <s v="G/710601/1MM103"/>
    <s v="001"/>
    <n v="0"/>
    <n v="21607.59"/>
    <n v="0"/>
    <n v="21607.59"/>
    <n v="14708.63"/>
    <n v="6898.96"/>
    <n v="6898.96"/>
    <n v="14708.63"/>
    <n v="14708.63"/>
    <n v="0"/>
  </r>
  <r>
    <s v="71"/>
    <x v="1"/>
    <x v="3"/>
    <s v="UN31M010"/>
    <x v="11"/>
    <s v="M103"/>
    <s v="SALUD AL DIA"/>
    <s v="GI00M10300007D"/>
    <s v="GI00M10300007D PREVENCION INTEGRAL DE ADICCIONES"/>
    <s v="71 GASTOS EN PERSONAL PARA INVERSIÓN"/>
    <s v="710601 Aporte Patronal"/>
    <s v="G/710601/1MM103"/>
    <s v="002"/>
    <n v="0"/>
    <n v="77129.58"/>
    <n v="0"/>
    <n v="77129.58"/>
    <n v="8024.58"/>
    <n v="67993.350000000006"/>
    <n v="67993.350000000006"/>
    <n v="9136.23"/>
    <n v="9136.23"/>
    <n v="1111.6500000000001"/>
  </r>
  <r>
    <s v="71"/>
    <x v="1"/>
    <x v="3"/>
    <s v="UN31M010"/>
    <x v="11"/>
    <s v="M103"/>
    <s v="SALUD AL DIA"/>
    <s v="GI00M10300007D"/>
    <s v="GI00M10300007D PREVENCION INTEGRAL DE ADICCIONES"/>
    <s v="71 GASTOS EN PERSONAL PARA INVERSIÓN"/>
    <s v="710602 Fondo de Reserva"/>
    <s v="G/710602/1MM103"/>
    <s v="001"/>
    <n v="0"/>
    <n v="14234.25"/>
    <n v="0"/>
    <n v="14234.25"/>
    <n v="11724.5"/>
    <n v="2509.75"/>
    <n v="2509.75"/>
    <n v="11724.5"/>
    <n v="11724.5"/>
    <n v="0"/>
  </r>
  <r>
    <s v="71"/>
    <x v="1"/>
    <x v="3"/>
    <s v="UN31M010"/>
    <x v="11"/>
    <s v="M103"/>
    <s v="SALUD AL DIA"/>
    <s v="GI00M10300007D"/>
    <s v="GI00M10300007D PREVENCION INTEGRAL DE ADICCIONES"/>
    <s v="71 GASTOS EN PERSONAL PARA INVERSIÓN"/>
    <s v="710602 Fondo de Reserva"/>
    <s v="G/710602/1MM103"/>
    <s v="002"/>
    <n v="0"/>
    <n v="50810"/>
    <n v="0"/>
    <n v="50810"/>
    <n v="43971.65"/>
    <n v="2948.14"/>
    <n v="2948.14"/>
    <n v="47861.86"/>
    <n v="47861.86"/>
    <n v="3890.21"/>
  </r>
  <r>
    <s v="71"/>
    <x v="1"/>
    <x v="3"/>
    <s v="UN31M010"/>
    <x v="11"/>
    <s v="M103"/>
    <s v="SALUD AL DIA"/>
    <s v="GI00M10300007D"/>
    <s v="GI00M10300007D PREVENCION INTEGRAL DE ADICCIONES"/>
    <s v="71 GASTOS EN PERSONAL PARA INVERSIÓN"/>
    <s v="710707 Compensación por Vacaciones no Gozadas por"/>
    <s v="G/710707/1MM103"/>
    <s v="001"/>
    <n v="0"/>
    <n v="70699.44"/>
    <n v="0"/>
    <n v="70699.44"/>
    <n v="0"/>
    <n v="4715.6000000000004"/>
    <n v="4715.6000000000004"/>
    <n v="65983.839999999997"/>
    <n v="65983.839999999997"/>
    <n v="65983.839999999997"/>
  </r>
  <r>
    <s v="71"/>
    <x v="1"/>
    <x v="3"/>
    <s v="UC32M020"/>
    <x v="7"/>
    <s v="M103"/>
    <s v="SALUD AL DIA"/>
    <s v="GI00M10300009D"/>
    <s v="GI00M10300009D PREVENCIÓN DE LA MAL NUTRICIÓN EN EL DMQ"/>
    <s v="71 GASTOS EN PERSONAL PARA INVERSIÓN"/>
    <s v="710203 Decimotercer Sueldo"/>
    <s v="G/710203/1MM103"/>
    <s v="002"/>
    <n v="0"/>
    <n v="45867"/>
    <n v="0"/>
    <n v="45867"/>
    <n v="41415.61"/>
    <n v="4451.3900000000003"/>
    <n v="4451.3900000000003"/>
    <n v="41415.61"/>
    <n v="41415.61"/>
    <n v="0"/>
  </r>
  <r>
    <s v="71"/>
    <x v="1"/>
    <x v="3"/>
    <s v="UC32M020"/>
    <x v="7"/>
    <s v="M103"/>
    <s v="SALUD AL DIA"/>
    <s v="GI00M10300009D"/>
    <s v="GI00M10300009D PREVENCIÓN DE LA MAL NUTRICIÓN EN EL DMQ"/>
    <s v="71 GASTOS EN PERSONAL PARA INVERSIÓN"/>
    <s v="710204 Decimocuarto Sueldo"/>
    <s v="G/710204/1MM103"/>
    <s v="002"/>
    <n v="0"/>
    <n v="14800"/>
    <n v="0"/>
    <n v="14800"/>
    <n v="1366.97"/>
    <n v="13433.03"/>
    <n v="13433.03"/>
    <n v="1366.97"/>
    <n v="1366.97"/>
    <n v="0"/>
  </r>
  <r>
    <s v="71"/>
    <x v="1"/>
    <x v="3"/>
    <s v="UC32M020"/>
    <x v="7"/>
    <s v="M103"/>
    <s v="SALUD AL DIA"/>
    <s v="GI00M10300009D"/>
    <s v="GI00M10300009D PREVENCIÓN DE LA MAL NUTRICIÓN EN EL DMQ"/>
    <s v="71 GASTOS EN PERSONAL PARA INVERSIÓN"/>
    <s v="710507 Honorarios"/>
    <s v="G/710507/1MM103"/>
    <s v="002"/>
    <n v="0"/>
    <n v="1920"/>
    <n v="0"/>
    <n v="1920"/>
    <n v="0"/>
    <n v="1920"/>
    <n v="1920"/>
    <n v="0"/>
    <n v="0"/>
    <n v="0"/>
  </r>
  <r>
    <s v="71"/>
    <x v="1"/>
    <x v="3"/>
    <s v="UC32M020"/>
    <x v="7"/>
    <s v="M103"/>
    <s v="SALUD AL DIA"/>
    <s v="GI00M10300009D"/>
    <s v="GI00M10300009D PREVENCIÓN DE LA MAL NUTRICIÓN EN EL DMQ"/>
    <s v="71 GASTOS EN PERSONAL PARA INVERSIÓN"/>
    <s v="710510 Servicios Personales por Contrato"/>
    <s v="G/710510/1MM103"/>
    <s v="002"/>
    <n v="0"/>
    <n v="550404"/>
    <n v="0"/>
    <n v="550404"/>
    <n v="99037"/>
    <n v="451367"/>
    <n v="451367"/>
    <n v="99037"/>
    <n v="99037"/>
    <n v="0"/>
  </r>
  <r>
    <s v="71"/>
    <x v="1"/>
    <x v="3"/>
    <s v="UC32M020"/>
    <x v="7"/>
    <s v="M103"/>
    <s v="SALUD AL DIA"/>
    <s v="GI00M10300009D"/>
    <s v="GI00M10300009D PREVENCIÓN DE LA MAL NUTRICIÓN EN EL DMQ"/>
    <s v="71 GASTOS EN PERSONAL PARA INVERSIÓN"/>
    <s v="710601 Aporte Patronal"/>
    <s v="G/710601/1MM103"/>
    <s v="002"/>
    <n v="0"/>
    <n v="69626.11"/>
    <n v="0"/>
    <n v="69626.11"/>
    <n v="12285.36"/>
    <n v="57340.75"/>
    <n v="57340.75"/>
    <n v="12285.36"/>
    <n v="12285.36"/>
    <n v="0"/>
  </r>
  <r>
    <s v="71"/>
    <x v="1"/>
    <x v="3"/>
    <s v="UC32M020"/>
    <x v="7"/>
    <s v="M103"/>
    <s v="SALUD AL DIA"/>
    <s v="GI00M10300009D"/>
    <s v="GI00M10300009D PREVENCIÓN DE LA MAL NUTRICIÓN EN EL DMQ"/>
    <s v="71 GASTOS EN PERSONAL PARA INVERSIÓN"/>
    <s v="710602 Fondo de Reserva"/>
    <s v="G/710602/1MM103"/>
    <s v="002"/>
    <n v="0"/>
    <n v="45867"/>
    <n v="0"/>
    <n v="45867"/>
    <n v="4936.13"/>
    <n v="40930.870000000003"/>
    <n v="40930.870000000003"/>
    <n v="4936.13"/>
    <n v="4936.13"/>
    <n v="0"/>
  </r>
  <r>
    <s v="71"/>
    <x v="2"/>
    <x v="8"/>
    <s v="FS66P020"/>
    <x v="36"/>
    <s v="P303"/>
    <s v="PROTEGER EL PATRIMONIO HISTORICO Y CULTURAL DEL DM"/>
    <s v="GI00P30300005D"/>
    <s v="GI00P30300005D SISTEMA DE INFORMACION DEL PATRIMONIO CU"/>
    <s v="71 GASTOS EN PERSONAL PARA INVERSIÓN"/>
    <s v="710203 Decimotercer Sueldo"/>
    <s v="G/710203/3PP303"/>
    <s v="002"/>
    <n v="1543"/>
    <n v="4419"/>
    <n v="0"/>
    <n v="5962"/>
    <n v="3589.35"/>
    <n v="2372.65"/>
    <n v="2372.65"/>
    <n v="3589.35"/>
    <n v="3589.35"/>
    <n v="0"/>
  </r>
  <r>
    <s v="71"/>
    <x v="2"/>
    <x v="8"/>
    <s v="FS66P020"/>
    <x v="36"/>
    <s v="P303"/>
    <s v="PROTEGER EL PATRIMONIO HISTORICO Y CULTURAL DEL DM"/>
    <s v="GI00P30300005D"/>
    <s v="GI00P30300005D SISTEMA DE INFORMACION DEL PATRIMONIO CU"/>
    <s v="71 GASTOS EN PERSONAL PARA INVERSIÓN"/>
    <s v="710204 Decimocuarto Sueldo"/>
    <s v="G/710204/3PP303"/>
    <s v="002"/>
    <n v="405.82"/>
    <n v="1400"/>
    <n v="0"/>
    <n v="1805.82"/>
    <n v="505.7"/>
    <n v="1296.8399999999999"/>
    <n v="1296.8399999999999"/>
    <n v="508.98"/>
    <n v="508.98"/>
    <n v="3.28"/>
  </r>
  <r>
    <s v="71"/>
    <x v="2"/>
    <x v="8"/>
    <s v="FS66P020"/>
    <x v="36"/>
    <s v="P303"/>
    <s v="PROTEGER EL PATRIMONIO HISTORICO Y CULTURAL DEL DM"/>
    <s v="GI00P30300005D"/>
    <s v="GI00P30300005D SISTEMA DE INFORMACION DEL PATRIMONIO CU"/>
    <s v="71 GASTOS EN PERSONAL PARA INVERSIÓN"/>
    <s v="710507 Honorarios"/>
    <s v="G/710507/3PP303"/>
    <s v="002"/>
    <n v="0"/>
    <n v="2630.63"/>
    <n v="0"/>
    <n v="2630.63"/>
    <n v="0"/>
    <n v="2588.4"/>
    <n v="2588.4"/>
    <n v="42.23"/>
    <n v="42.23"/>
    <n v="42.23"/>
  </r>
  <r>
    <s v="71"/>
    <x v="2"/>
    <x v="8"/>
    <s v="FS66P020"/>
    <x v="36"/>
    <s v="P303"/>
    <s v="PROTEGER EL PATRIMONIO HISTORICO Y CULTURAL DEL DM"/>
    <s v="GI00P30300005D"/>
    <s v="GI00P30300005D SISTEMA DE INFORMACION DEL PATRIMONIO CU"/>
    <s v="71 GASTOS EN PERSONAL PARA INVERSIÓN"/>
    <s v="710510 Servicios Personales por Contrato"/>
    <s v="G/710510/3PP303"/>
    <s v="002"/>
    <n v="18516"/>
    <n v="53028"/>
    <n v="0"/>
    <n v="71544"/>
    <n v="14800"/>
    <n v="56744"/>
    <n v="56744"/>
    <n v="14800"/>
    <n v="14800"/>
    <n v="0"/>
  </r>
  <r>
    <s v="71"/>
    <x v="2"/>
    <x v="8"/>
    <s v="FS66P020"/>
    <x v="36"/>
    <s v="P303"/>
    <s v="PROTEGER EL PATRIMONIO HISTORICO Y CULTURAL DEL DM"/>
    <s v="GI00P30300005D"/>
    <s v="GI00P30300005D SISTEMA DE INFORMACION DEL PATRIMONIO CU"/>
    <s v="71 GASTOS EN PERSONAL PARA INVERSIÓN"/>
    <s v="710601 Aporte Patronal"/>
    <s v="G/710601/3PP303"/>
    <s v="002"/>
    <n v="2342.27"/>
    <n v="6708.04"/>
    <n v="0"/>
    <n v="9050.31"/>
    <n v="1544.79"/>
    <n v="7505.52"/>
    <n v="7505.52"/>
    <n v="1544.79"/>
    <n v="1544.79"/>
    <n v="0"/>
  </r>
  <r>
    <s v="71"/>
    <x v="2"/>
    <x v="8"/>
    <s v="FS66P020"/>
    <x v="36"/>
    <s v="P303"/>
    <s v="PROTEGER EL PATRIMONIO HISTORICO Y CULTURAL DEL DM"/>
    <s v="GI00P30300005D"/>
    <s v="GI00P30300005D SISTEMA DE INFORMACION DEL PATRIMONIO CU"/>
    <s v="71 GASTOS EN PERSONAL PARA INVERSIÓN"/>
    <s v="710602 Fondo de Reserva"/>
    <s v="G/710602/3PP303"/>
    <s v="002"/>
    <n v="1543"/>
    <n v="4419"/>
    <n v="0"/>
    <n v="5962"/>
    <n v="3642.36"/>
    <n v="2319.64"/>
    <n v="2319.64"/>
    <n v="3642.36"/>
    <n v="3642.36"/>
    <n v="0"/>
  </r>
  <r>
    <s v="71"/>
    <x v="2"/>
    <x v="8"/>
    <s v="FS66P020"/>
    <x v="36"/>
    <s v="P303"/>
    <s v="PROTEGER EL PATRIMONIO HISTORICO Y CULTURAL DEL DM"/>
    <s v="GI00P30300005D"/>
    <s v="GI00P30300005D SISTEMA DE INFORMACION DEL PATRIMONIO CU"/>
    <s v="71 GASTOS EN PERSONAL PARA INVERSIÓN"/>
    <s v="710707 Compensación por Vacaciones no Gozadas por"/>
    <s v="G/710707/3PP303"/>
    <s v="002"/>
    <n v="0"/>
    <n v="7307.48"/>
    <n v="0"/>
    <n v="7307.48"/>
    <n v="0"/>
    <n v="2354.52"/>
    <n v="2354.52"/>
    <n v="4952.96"/>
    <n v="4952.96"/>
    <n v="4952.96"/>
  </r>
  <r>
    <s v="71"/>
    <x v="2"/>
    <x v="8"/>
    <s v="FS66P020"/>
    <x v="36"/>
    <s v="P303"/>
    <s v="PROTEGER EL PATRIMONIO HISTORICO Y CULTURAL DEL DM"/>
    <s v="GI00P30300008D"/>
    <s v="GI00P30300008D CONSERVACIÓN DEL ESPACIO PÚBLICO EN EL C"/>
    <s v="71 GASTOS EN PERSONAL PARA INVERSIÓN"/>
    <s v="710203 Decimotercer Sueldo"/>
    <s v="G/710203/3PP303"/>
    <s v="002"/>
    <n v="0"/>
    <n v="817"/>
    <n v="0"/>
    <n v="817"/>
    <n v="136.19999999999999"/>
    <n v="680.8"/>
    <n v="680.8"/>
    <n v="136.19999999999999"/>
    <n v="136.19999999999999"/>
    <n v="0"/>
  </r>
  <r>
    <s v="71"/>
    <x v="2"/>
    <x v="8"/>
    <s v="FS66P020"/>
    <x v="36"/>
    <s v="P303"/>
    <s v="PROTEGER EL PATRIMONIO HISTORICO Y CULTURAL DEL DM"/>
    <s v="GI00P30300008D"/>
    <s v="GI00P30300008D CONSERVACIÓN DEL ESPACIO PÚBLICO EN EL C"/>
    <s v="71 GASTOS EN PERSONAL PARA INVERSIÓN"/>
    <s v="710204 Decimocuarto Sueldo"/>
    <s v="G/710204/3PP303"/>
    <s v="002"/>
    <n v="0"/>
    <n v="420"/>
    <n v="0"/>
    <n v="420"/>
    <n v="84.16"/>
    <n v="335.84"/>
    <n v="335.84"/>
    <n v="84.16"/>
    <n v="84.16"/>
    <n v="0"/>
  </r>
  <r>
    <s v="71"/>
    <x v="2"/>
    <x v="8"/>
    <s v="FS66P020"/>
    <x v="36"/>
    <s v="P303"/>
    <s v="PROTEGER EL PATRIMONIO HISTORICO Y CULTURAL DEL DM"/>
    <s v="GI00P30300008D"/>
    <s v="GI00P30300008D CONSERVACIÓN DEL ESPACIO PÚBLICO EN EL C"/>
    <s v="71 GASTOS EN PERSONAL PARA INVERSIÓN"/>
    <s v="710510 Servicios Personales por Contrato"/>
    <s v="G/710510/3PP303"/>
    <s v="002"/>
    <n v="0"/>
    <n v="9804"/>
    <n v="0"/>
    <n v="9804"/>
    <n v="1634"/>
    <n v="8170"/>
    <n v="8170"/>
    <n v="1634"/>
    <n v="1634"/>
    <n v="0"/>
  </r>
  <r>
    <s v="71"/>
    <x v="2"/>
    <x v="8"/>
    <s v="FS66P020"/>
    <x v="36"/>
    <s v="P303"/>
    <s v="PROTEGER EL PATRIMONIO HISTORICO Y CULTURAL DEL DM"/>
    <s v="GI00P30300008D"/>
    <s v="GI00P30300008D CONSERVACIÓN DEL ESPACIO PÚBLICO EN EL C"/>
    <s v="71 GASTOS EN PERSONAL PARA INVERSIÓN"/>
    <s v="710601 Aporte Patronal"/>
    <s v="G/710601/3PP303"/>
    <s v="002"/>
    <n v="0"/>
    <n v="1240.21"/>
    <n v="0"/>
    <n v="1240.21"/>
    <n v="206.71"/>
    <n v="1033.5"/>
    <n v="1033.5"/>
    <n v="206.71"/>
    <n v="206.71"/>
    <n v="0"/>
  </r>
  <r>
    <s v="71"/>
    <x v="2"/>
    <x v="8"/>
    <s v="FS66P020"/>
    <x v="36"/>
    <s v="P303"/>
    <s v="PROTEGER EL PATRIMONIO HISTORICO Y CULTURAL DEL DM"/>
    <s v="GI00P30300008D"/>
    <s v="GI00P30300008D CONSERVACIÓN DEL ESPACIO PÚBLICO EN EL C"/>
    <s v="71 GASTOS EN PERSONAL PARA INVERSIÓN"/>
    <s v="710602 Fondo de Reserva"/>
    <s v="G/710602/3PP303"/>
    <s v="002"/>
    <n v="0"/>
    <n v="817"/>
    <n v="0"/>
    <n v="817"/>
    <n v="513"/>
    <n v="304"/>
    <n v="304"/>
    <n v="513"/>
    <n v="513"/>
    <n v="0"/>
  </r>
  <r>
    <s v="71"/>
    <x v="2"/>
    <x v="8"/>
    <s v="ZA01P000"/>
    <x v="15"/>
    <s v="P306"/>
    <s v="REGULACIÓN DEL USO Y GESTIÓN DEL SUELO"/>
    <s v="GI00P30600001D"/>
    <s v="GI00P30600001D ACTUALIZACIÓN DE LOS INSTRUMENTOS DE PLA"/>
    <s v="71 GASTOS EN PERSONAL PARA INVERSIÓN"/>
    <s v="710203 Decimotercer Sueldo"/>
    <s v="G/710203/3PP306"/>
    <s v="001"/>
    <n v="0"/>
    <n v="41065.75"/>
    <n v="0"/>
    <n v="41065.75"/>
    <n v="28901.82"/>
    <n v="12163.93"/>
    <n v="12018.93"/>
    <n v="28901.82"/>
    <n v="29046.82"/>
    <n v="0"/>
  </r>
  <r>
    <s v="71"/>
    <x v="2"/>
    <x v="8"/>
    <s v="ZA01P000"/>
    <x v="15"/>
    <s v="P306"/>
    <s v="REGULACIÓN DEL USO Y GESTIÓN DEL SUELO"/>
    <s v="GI00P30600001D"/>
    <s v="GI00P30600001D ACTUALIZACIÓN DE LOS INSTRUMENTOS DE PLA"/>
    <s v="71 GASTOS EN PERSONAL PARA INVERSIÓN"/>
    <s v="710204 Decimocuarto Sueldo"/>
    <s v="G/710204/3PP306"/>
    <s v="001"/>
    <n v="0"/>
    <n v="10633.33"/>
    <n v="0"/>
    <n v="10633.33"/>
    <n v="3566.87"/>
    <n v="7066.46"/>
    <n v="6863.13"/>
    <n v="3566.87"/>
    <n v="3770.2"/>
    <n v="0"/>
  </r>
  <r>
    <s v="71"/>
    <x v="2"/>
    <x v="8"/>
    <s v="ZA01P000"/>
    <x v="15"/>
    <s v="P306"/>
    <s v="REGULACIÓN DEL USO Y GESTIÓN DEL SUELO"/>
    <s v="GI00P30600001D"/>
    <s v="GI00P30600001D ACTUALIZACIÓN DE LOS INSTRUMENTOS DE PLA"/>
    <s v="71 GASTOS EN PERSONAL PARA INVERSIÓN"/>
    <s v="710507 Honorarios"/>
    <s v="G/710507/3PP306"/>
    <s v="001"/>
    <n v="0"/>
    <n v="16325.63"/>
    <n v="0"/>
    <n v="16325.63"/>
    <n v="0"/>
    <n v="2338.67"/>
    <n v="2338.67"/>
    <n v="13986.96"/>
    <n v="13986.96"/>
    <n v="13986.96"/>
  </r>
  <r>
    <s v="71"/>
    <x v="2"/>
    <x v="8"/>
    <s v="ZA01P000"/>
    <x v="15"/>
    <s v="P306"/>
    <s v="REGULACIÓN DEL USO Y GESTIÓN DEL SUELO"/>
    <s v="GI00P30600001D"/>
    <s v="GI00P30600001D ACTUALIZACIÓN DE LOS INSTRUMENTOS DE PLA"/>
    <s v="71 GASTOS EN PERSONAL PARA INVERSIÓN"/>
    <s v="710510 Servicios Personales por Contrato"/>
    <s v="G/710510/3PP306"/>
    <s v="001"/>
    <n v="0"/>
    <n v="510189"/>
    <n v="0"/>
    <n v="510189"/>
    <n v="108235.1"/>
    <n v="401953.9"/>
    <n v="401953.9"/>
    <n v="108235.1"/>
    <n v="108235.1"/>
    <n v="0"/>
  </r>
  <r>
    <s v="71"/>
    <x v="2"/>
    <x v="8"/>
    <s v="ZA01P000"/>
    <x v="15"/>
    <s v="P306"/>
    <s v="REGULACIÓN DEL USO Y GESTIÓN DEL SUELO"/>
    <s v="GI00P30600001D"/>
    <s v="GI00P30600001D ACTUALIZACIÓN DE LOS INSTRUMENTOS DE PLA"/>
    <s v="71 GASTOS EN PERSONAL PARA INVERSIÓN"/>
    <s v="710512 Subrogación"/>
    <s v="G/710512/3PP306"/>
    <s v="002"/>
    <n v="0"/>
    <n v="310.33"/>
    <n v="0"/>
    <n v="310.33"/>
    <n v="0"/>
    <n v="310"/>
    <n v="310"/>
    <n v="0.33"/>
    <n v="0.33"/>
    <n v="0.33"/>
  </r>
  <r>
    <s v="71"/>
    <x v="2"/>
    <x v="8"/>
    <s v="ZA01P000"/>
    <x v="15"/>
    <s v="P306"/>
    <s v="REGULACIÓN DEL USO Y GESTIÓN DEL SUELO"/>
    <s v="GI00P30600001D"/>
    <s v="GI00P30600001D ACTUALIZACIÓN DE LOS INSTRUMENTOS DE PLA"/>
    <s v="71 GASTOS EN PERSONAL PARA INVERSIÓN"/>
    <s v="710512 Subrogación"/>
    <s v="G/710512/3PP306"/>
    <s v="001"/>
    <n v="0"/>
    <n v="879"/>
    <n v="0"/>
    <n v="879"/>
    <n v="0"/>
    <n v="878.33"/>
    <n v="878.33"/>
    <n v="0.67"/>
    <n v="0.67"/>
    <n v="0.67"/>
  </r>
  <r>
    <s v="71"/>
    <x v="2"/>
    <x v="8"/>
    <s v="ZA01P000"/>
    <x v="15"/>
    <s v="P306"/>
    <s v="REGULACIÓN DEL USO Y GESTIÓN DEL SUELO"/>
    <s v="GI00P30600001D"/>
    <s v="GI00P30600001D ACTUALIZACIÓN DE LOS INSTRUMENTOS DE PLA"/>
    <s v="71 GASTOS EN PERSONAL PARA INVERSIÓN"/>
    <s v="710601 Aporte Patronal"/>
    <s v="G/710601/3PP306"/>
    <s v="001"/>
    <n v="0"/>
    <n v="51292.88"/>
    <n v="0"/>
    <n v="51292.88"/>
    <n v="1.39"/>
    <n v="51291.49"/>
    <n v="51291.49"/>
    <n v="1.39"/>
    <n v="1.39"/>
    <n v="0"/>
  </r>
  <r>
    <s v="71"/>
    <x v="2"/>
    <x v="8"/>
    <s v="ZA01P000"/>
    <x v="15"/>
    <s v="P306"/>
    <s v="REGULACIÓN DEL USO Y GESTIÓN DEL SUELO"/>
    <s v="GI00P30600001D"/>
    <s v="GI00P30600001D ACTUALIZACIÓN DE LOS INSTRUMENTOS DE PLA"/>
    <s v="71 GASTOS EN PERSONAL PARA INVERSIÓN"/>
    <s v="710602 Fondo de Reserva"/>
    <s v="G/710602/3PP306"/>
    <s v="001"/>
    <n v="0"/>
    <n v="41065.75"/>
    <n v="0"/>
    <n v="41065.75"/>
    <n v="36854.17"/>
    <n v="4211.58"/>
    <n v="4211.58"/>
    <n v="36854.17"/>
    <n v="36854.17"/>
    <n v="0"/>
  </r>
  <r>
    <s v="71"/>
    <x v="2"/>
    <x v="11"/>
    <s v="RB34F010"/>
    <x v="33"/>
    <s v="P306"/>
    <s v="REGULACIÓN DEL USO Y GESTIÓN DEL SUELO"/>
    <s v="GI00P30600004D"/>
    <s v="GI00P30600004D REGULA TU BARRIO"/>
    <s v="71 GASTOS EN PERSONAL PARA INVERSIÓN"/>
    <s v="710203 Decimotercer Sueldo"/>
    <s v="G/710203/3FP306"/>
    <s v="001"/>
    <n v="0"/>
    <n v="23210"/>
    <n v="0"/>
    <n v="23210"/>
    <n v="13555.73"/>
    <n v="370.27"/>
    <n v="370.27"/>
    <n v="22839.73"/>
    <n v="22839.73"/>
    <n v="9284"/>
  </r>
  <r>
    <s v="71"/>
    <x v="2"/>
    <x v="11"/>
    <s v="RB34F010"/>
    <x v="33"/>
    <s v="P306"/>
    <s v="REGULACIÓN DEL USO Y GESTIÓN DEL SUELO"/>
    <s v="GI00P30600004D"/>
    <s v="GI00P30600004D REGULA TU BARRIO"/>
    <s v="71 GASTOS EN PERSONAL PARA INVERSIÓN"/>
    <s v="710204 Decimocuarto Sueldo"/>
    <s v="G/710204/3FP306"/>
    <s v="001"/>
    <n v="0"/>
    <n v="7000"/>
    <n v="0"/>
    <n v="7000"/>
    <n v="4100.01"/>
    <n v="99.99"/>
    <n v="99.99"/>
    <n v="6900.01"/>
    <n v="6900.01"/>
    <n v="2800"/>
  </r>
  <r>
    <s v="71"/>
    <x v="2"/>
    <x v="11"/>
    <s v="RB34F010"/>
    <x v="33"/>
    <s v="P306"/>
    <s v="REGULACIÓN DEL USO Y GESTIÓN DEL SUELO"/>
    <s v="GI00P30600004D"/>
    <s v="GI00P30600004D REGULA TU BARRIO"/>
    <s v="71 GASTOS EN PERSONAL PARA INVERSIÓN"/>
    <s v="710507 Honorarios"/>
    <s v="G/710507/3FP306"/>
    <s v="002"/>
    <n v="0"/>
    <n v="1244.1300000000001"/>
    <n v="0"/>
    <n v="1244.1300000000001"/>
    <n v="0"/>
    <n v="1244.1300000000001"/>
    <n v="1244.1300000000001"/>
    <n v="0"/>
    <n v="0"/>
    <n v="0"/>
  </r>
  <r>
    <s v="71"/>
    <x v="2"/>
    <x v="11"/>
    <s v="RB34F010"/>
    <x v="33"/>
    <s v="P306"/>
    <s v="REGULACIÓN DEL USO Y GESTIÓN DEL SUELO"/>
    <s v="GI00P30600004D"/>
    <s v="GI00P30600004D REGULA TU BARRIO"/>
    <s v="71 GASTOS EN PERSONAL PARA INVERSIÓN"/>
    <s v="710510 Servicios Personales por Contrato"/>
    <s v="G/710510/3FP306"/>
    <s v="001"/>
    <n v="0"/>
    <n v="278520"/>
    <n v="0"/>
    <n v="278520"/>
    <n v="113069.37"/>
    <n v="54042.63"/>
    <n v="54042.63"/>
    <n v="224477.37"/>
    <n v="224477.37"/>
    <n v="111408"/>
  </r>
  <r>
    <s v="71"/>
    <x v="2"/>
    <x v="11"/>
    <s v="RB34F010"/>
    <x v="33"/>
    <s v="P306"/>
    <s v="REGULACIÓN DEL USO Y GESTIÓN DEL SUELO"/>
    <s v="GI00P30600004D"/>
    <s v="GI00P30600004D REGULA TU BARRIO"/>
    <s v="71 GASTOS EN PERSONAL PARA INVERSIÓN"/>
    <s v="710601 Aporte Patronal"/>
    <s v="G/710601/3FP306"/>
    <s v="001"/>
    <n v="0"/>
    <n v="35232.78"/>
    <n v="0"/>
    <n v="35232.78"/>
    <n v="14146.03"/>
    <n v="6993.64"/>
    <n v="6993.64"/>
    <n v="28239.14"/>
    <n v="28239.14"/>
    <n v="14093.11"/>
  </r>
  <r>
    <s v="71"/>
    <x v="2"/>
    <x v="11"/>
    <s v="RB34F010"/>
    <x v="33"/>
    <s v="P306"/>
    <s v="REGULACIÓN DEL USO Y GESTIÓN DEL SUELO"/>
    <s v="GI00P30600004D"/>
    <s v="GI00P30600004D REGULA TU BARRIO"/>
    <s v="71 GASTOS EN PERSONAL PARA INVERSIÓN"/>
    <s v="710602 Fondo de Reserva"/>
    <s v="G/710602/3FP306"/>
    <s v="001"/>
    <n v="0"/>
    <n v="23210"/>
    <n v="0"/>
    <n v="23210"/>
    <n v="12429.69"/>
    <n v="1496.31"/>
    <n v="1496.31"/>
    <n v="21713.69"/>
    <n v="21713.69"/>
    <n v="9284"/>
  </r>
  <r>
    <s v="73"/>
    <x v="0"/>
    <x v="12"/>
    <s v="MC37B000"/>
    <x v="28"/>
    <s v="A101"/>
    <s v="FORTALECIMIENTO INSTITUCIONAL"/>
    <s v="GC00A10100001D"/>
    <s v="GC00A10100001D GASTOS ADMINISTRATIVOS"/>
    <s v="73 BIENES Y SERVICIOS PARA INVERSIÓN"/>
    <s v="730106 Servicio de Correo"/>
    <s v="G/730106/1BA101"/>
    <s v="002"/>
    <n v="177100"/>
    <n v="-177100"/>
    <n v="0"/>
    <n v="0"/>
    <n v="0"/>
    <n v="0"/>
    <n v="0"/>
    <n v="0"/>
    <n v="0"/>
    <n v="0"/>
  </r>
  <r>
    <s v="73"/>
    <x v="1"/>
    <x v="2"/>
    <s v="OL41I060"/>
    <x v="42"/>
    <s v="A101"/>
    <s v="FORTALECIMIENTO INSTITUCIONAL"/>
    <s v="GC00A10100001D"/>
    <s v="GC00A10100001D GASTOS ADMINISTRATIVOS"/>
    <s v="73 BIENES Y SERVICIOS PARA INVERSIÓN"/>
    <s v="730402 Edificios, Locales, Residencias y Cablea"/>
    <s v="G/730402/1IA101"/>
    <s v="001"/>
    <n v="6600"/>
    <n v="0"/>
    <n v="0"/>
    <n v="6600"/>
    <n v="0"/>
    <n v="0"/>
    <n v="0"/>
    <n v="6600"/>
    <n v="6600"/>
    <n v="6600"/>
  </r>
  <r>
    <s v="73"/>
    <x v="2"/>
    <x v="11"/>
    <s v="ZD07F070"/>
    <x v="43"/>
    <s v="D301"/>
    <s v="CERO RESIDUOSCERO RESIDUOS"/>
    <s v="GI00D30100004D"/>
    <s v="GI00D30100004D IMPLEMENTACIÓN DE CENTROS DE APROVECHAMI"/>
    <s v="73 BIENES Y SERVICIOS PARA INVERSIÓN"/>
    <s v="730404 Maquinarias y Equipos (Instalación, Mant"/>
    <s v="G/730404/3FD301"/>
    <s v="001"/>
    <n v="2000"/>
    <n v="0"/>
    <n v="0"/>
    <n v="2000"/>
    <n v="0"/>
    <n v="0"/>
    <n v="0"/>
    <n v="2000"/>
    <n v="2000"/>
    <n v="2000"/>
  </r>
  <r>
    <s v="73"/>
    <x v="2"/>
    <x v="11"/>
    <s v="ZD07F070"/>
    <x v="43"/>
    <s v="D301"/>
    <s v="CERO RESIDUOSCERO RESIDUOS"/>
    <s v="GI00D30100004D"/>
    <s v="GI00D30100004D IMPLEMENTACIÓN DE CENTROS DE APROVECHAMI"/>
    <s v="73 BIENES Y SERVICIOS PARA INVERSIÓN"/>
    <s v="730505 Vehículos (Arrendamiento)"/>
    <s v="G/730505/3FD301"/>
    <s v="001"/>
    <n v="6000"/>
    <n v="0"/>
    <n v="0"/>
    <n v="6000"/>
    <n v="0"/>
    <n v="0"/>
    <n v="0"/>
    <n v="6000"/>
    <n v="6000"/>
    <n v="6000"/>
  </r>
  <r>
    <s v="73"/>
    <x v="2"/>
    <x v="11"/>
    <s v="ZC09F090"/>
    <x v="44"/>
    <s v="D301"/>
    <s v="CERO RESIDUOSCERO RESIDUOS"/>
    <s v="GI00D30100004D"/>
    <s v="GI00D30100004D IMPLEMENTACIÓN DE CENTROS DE APROVECHAMI"/>
    <s v="73 BIENES Y SERVICIOS PARA INVERSIÓN"/>
    <s v="730505 Vehículos (Arrendamiento)"/>
    <s v="G/730505/3FD301"/>
    <s v="001"/>
    <n v="5300"/>
    <n v="0"/>
    <n v="0"/>
    <n v="5300"/>
    <n v="0"/>
    <n v="0"/>
    <n v="0"/>
    <n v="5300"/>
    <n v="5300"/>
    <n v="5300"/>
  </r>
  <r>
    <s v="73"/>
    <x v="2"/>
    <x v="11"/>
    <s v="ZS03F030"/>
    <x v="38"/>
    <s v="D301"/>
    <s v="CERO RESIDUOSCERO RESIDUOS"/>
    <s v="GI00D30100004D"/>
    <s v="GI00D30100004D IMPLEMENTACIÓN DE CENTROS DE APROVECHAMI"/>
    <s v="73 BIENES Y SERVICIOS PARA INVERSIÓN"/>
    <s v="730601 Consultoría, Asesoría e Investigación Es"/>
    <s v="G/730601/3FD301"/>
    <s v="001"/>
    <n v="83758"/>
    <n v="0"/>
    <n v="0"/>
    <n v="83758"/>
    <n v="0"/>
    <n v="0"/>
    <n v="0"/>
    <n v="83758"/>
    <n v="83758"/>
    <n v="83758"/>
  </r>
  <r>
    <s v="73"/>
    <x v="2"/>
    <x v="11"/>
    <s v="ZD07F070"/>
    <x v="43"/>
    <s v="D301"/>
    <s v="CERO RESIDUOSCERO RESIDUOS"/>
    <s v="GI00D30100004D"/>
    <s v="GI00D30100004D IMPLEMENTACIÓN DE CENTROS DE APROVECHAMI"/>
    <s v="73 BIENES Y SERVICIOS PARA INVERSIÓN"/>
    <s v="730605 Estudio y Diseño de Proyectos"/>
    <s v="G/730605/3FD301"/>
    <s v="001"/>
    <n v="15000"/>
    <n v="0"/>
    <n v="0"/>
    <n v="15000"/>
    <n v="0"/>
    <n v="0"/>
    <n v="0"/>
    <n v="15000"/>
    <n v="15000"/>
    <n v="15000"/>
  </r>
  <r>
    <s v="73"/>
    <x v="2"/>
    <x v="11"/>
    <s v="ZC09F090"/>
    <x v="44"/>
    <s v="D301"/>
    <s v="CERO RESIDUOSCERO RESIDUOS"/>
    <s v="GI00D30100004D"/>
    <s v="GI00D30100004D IMPLEMENTACIÓN DE CENTROS DE APROVECHAMI"/>
    <s v="73 BIENES Y SERVICIOS PARA INVERSIÓN"/>
    <s v="730605 Estudio y Diseño de Proyectos"/>
    <s v="G/730605/3FD301"/>
    <s v="001"/>
    <n v="15000"/>
    <n v="0"/>
    <n v="0"/>
    <n v="15000"/>
    <n v="0"/>
    <n v="0"/>
    <n v="0"/>
    <n v="15000"/>
    <n v="15000"/>
    <n v="15000"/>
  </r>
  <r>
    <s v="73"/>
    <x v="2"/>
    <x v="11"/>
    <s v="ZD07F070"/>
    <x v="43"/>
    <s v="D301"/>
    <s v="CERO RESIDUOSCERO RESIDUOS"/>
    <s v="GI00D30100004D"/>
    <s v="GI00D30100004D IMPLEMENTACIÓN DE CENTROS DE APROVECHAMI"/>
    <s v="73 BIENES Y SERVICIOS PARA INVERSIÓN"/>
    <s v="730606 Honorarios por Contratos Civiles de Servici"/>
    <s v="G/730606/3FD301"/>
    <s v="001"/>
    <n v="3159.01"/>
    <n v="0"/>
    <n v="0"/>
    <n v="3159.01"/>
    <n v="0"/>
    <n v="0"/>
    <n v="0"/>
    <n v="3159.01"/>
    <n v="3159.01"/>
    <n v="3159.01"/>
  </r>
  <r>
    <s v="73"/>
    <x v="2"/>
    <x v="11"/>
    <s v="ZC09F090"/>
    <x v="44"/>
    <s v="D301"/>
    <s v="CERO RESIDUOSCERO RESIDUOS"/>
    <s v="GI00D30100004D"/>
    <s v="GI00D30100004D IMPLEMENTACIÓN DE CENTROS DE APROVECHAMI"/>
    <s v="73 BIENES Y SERVICIOS PARA INVERSIÓN"/>
    <s v="730606 Honorarios por Contratos Civiles de Servici"/>
    <s v="G/730606/3FD301"/>
    <s v="001"/>
    <n v="3158"/>
    <n v="0"/>
    <n v="0"/>
    <n v="3158"/>
    <n v="0"/>
    <n v="0"/>
    <n v="0"/>
    <n v="3158"/>
    <n v="3158"/>
    <n v="3158"/>
  </r>
  <r>
    <s v="73"/>
    <x v="2"/>
    <x v="11"/>
    <s v="ZD07F070"/>
    <x v="43"/>
    <s v="D301"/>
    <s v="CERO RESIDUOSCERO RESIDUOS"/>
    <s v="GI00D30100004D"/>
    <s v="GI00D30100004D IMPLEMENTACIÓN DE CENTROS DE APROVECHAMI"/>
    <s v="73 BIENES Y SERVICIOS PARA INVERSIÓN"/>
    <s v="730804 Materiales de Oficina"/>
    <s v="G/730804/3FD301"/>
    <s v="001"/>
    <n v="300"/>
    <n v="0"/>
    <n v="0"/>
    <n v="300"/>
    <n v="0"/>
    <n v="0"/>
    <n v="0"/>
    <n v="300"/>
    <n v="300"/>
    <n v="300"/>
  </r>
  <r>
    <s v="73"/>
    <x v="2"/>
    <x v="11"/>
    <s v="ZC09F090"/>
    <x v="44"/>
    <s v="D301"/>
    <s v="CERO RESIDUOSCERO RESIDUOS"/>
    <s v="GI00D30100004D"/>
    <s v="GI00D30100004D IMPLEMENTACIÓN DE CENTROS DE APROVECHAMI"/>
    <s v="73 BIENES Y SERVICIOS PARA INVERSIÓN"/>
    <s v="730804 Materiales de Oficina"/>
    <s v="G/730804/3FD301"/>
    <s v="001"/>
    <n v="300"/>
    <n v="0"/>
    <n v="0"/>
    <n v="300"/>
    <n v="0"/>
    <n v="0"/>
    <n v="0"/>
    <n v="300"/>
    <n v="300"/>
    <n v="300"/>
  </r>
  <r>
    <s v="73"/>
    <x v="2"/>
    <x v="11"/>
    <s v="ZD07F070"/>
    <x v="43"/>
    <s v="D301"/>
    <s v="CERO RESIDUOSCERO RESIDUOS"/>
    <s v="GI00D30100004D"/>
    <s v="GI00D30100004D IMPLEMENTACIÓN DE CENTROS DE APROVECHAMI"/>
    <s v="73 BIENES Y SERVICIOS PARA INVERSIÓN"/>
    <s v="730814 Suministros para Actividades Agropecuarias,"/>
    <s v="G/730814/3FD301"/>
    <s v="001"/>
    <n v="700"/>
    <n v="0"/>
    <n v="0"/>
    <n v="700"/>
    <n v="0"/>
    <n v="0"/>
    <n v="0"/>
    <n v="700"/>
    <n v="700"/>
    <n v="700"/>
  </r>
  <r>
    <s v="73"/>
    <x v="2"/>
    <x v="11"/>
    <s v="ZC09F090"/>
    <x v="44"/>
    <s v="D301"/>
    <s v="CERO RESIDUOSCERO RESIDUOS"/>
    <s v="GI00D30100004D"/>
    <s v="GI00D30100004D IMPLEMENTACIÓN DE CENTROS DE APROVECHAMI"/>
    <s v="73 BIENES Y SERVICIOS PARA INVERSIÓN"/>
    <s v="730814 Suministros para Actividades Agropecuarias,"/>
    <s v="G/730814/3FD301"/>
    <s v="001"/>
    <n v="1000"/>
    <n v="0"/>
    <n v="0"/>
    <n v="1000"/>
    <n v="0"/>
    <n v="0"/>
    <n v="0"/>
    <n v="1000"/>
    <n v="1000"/>
    <n v="1000"/>
  </r>
  <r>
    <s v="73"/>
    <x v="2"/>
    <x v="11"/>
    <s v="ZC09F090"/>
    <x v="44"/>
    <s v="D301"/>
    <s v="CERO RESIDUOSCERO RESIDUOS"/>
    <s v="GI00D30100004D"/>
    <s v="GI00D30100004D IMPLEMENTACIÓN DE CENTROS DE APROVECHAMI"/>
    <s v="73 BIENES Y SERVICIOS PARA INVERSIÓN"/>
    <s v="731406 Herramientas y equipos menores"/>
    <s v="G/731406/3FD301"/>
    <s v="001"/>
    <n v="1000"/>
    <n v="0"/>
    <n v="0"/>
    <n v="1000"/>
    <n v="0"/>
    <n v="0"/>
    <n v="0"/>
    <n v="1000"/>
    <n v="1000"/>
    <n v="1000"/>
  </r>
  <r>
    <s v="73"/>
    <x v="2"/>
    <x v="11"/>
    <s v="ZD07F070"/>
    <x v="43"/>
    <s v="D301"/>
    <s v="CERO RESIDUOSCERO RESIDUOS"/>
    <s v="GI00D30100004D"/>
    <s v="GI00D30100004D IMPLEMENTACIÓN DE CENTROS DE APROVECHAMI"/>
    <s v="73 BIENES Y SERVICIOS PARA INVERSIÓN"/>
    <s v="731406 Herramientas y equipos menores"/>
    <s v="G/731406/3FD301"/>
    <s v="001"/>
    <n v="600"/>
    <n v="0"/>
    <n v="0"/>
    <n v="600"/>
    <n v="0"/>
    <n v="0"/>
    <n v="0"/>
    <n v="600"/>
    <n v="600"/>
    <n v="600"/>
  </r>
  <r>
    <s v="73"/>
    <x v="2"/>
    <x v="10"/>
    <s v="ZA01D000"/>
    <x v="24"/>
    <s v="D303"/>
    <s v="PREVENCION, CONTROL Y REGULACION AMBIENTAL"/>
    <s v="GI00D30300001D"/>
    <s v="GI00D30300001D MEJORAMIENTO DE LA GESTION DE LA CALIDAD"/>
    <s v="73 BIENES Y SERVICIOS PARA INVERSIÓN"/>
    <s v="730701 Desarrollo, Actualización, Asistencia Té"/>
    <s v="G/730701/3DD303"/>
    <s v="001"/>
    <n v="10000"/>
    <n v="0"/>
    <n v="0"/>
    <n v="10000"/>
    <n v="0"/>
    <n v="0"/>
    <n v="0"/>
    <n v="10000"/>
    <n v="10000"/>
    <n v="10000"/>
  </r>
  <r>
    <s v="73"/>
    <x v="2"/>
    <x v="10"/>
    <s v="ZA01D000"/>
    <x v="24"/>
    <s v="D303"/>
    <s v="PREVENCION, CONTROL Y REGULACION AMBIENTAL"/>
    <s v="GI00D30300001D"/>
    <s v="GI00D30300001D MEJORAMIENTO DE LA GESTION DE LA CALIDAD"/>
    <s v="73 BIENES Y SERVICIOS PARA INVERSIÓN"/>
    <s v="730702 Arrendamiento y Licencias de Uso de Paquete"/>
    <s v="G/730702/3DD303"/>
    <s v="001"/>
    <n v="45000"/>
    <n v="0"/>
    <n v="0"/>
    <n v="45000"/>
    <n v="0"/>
    <n v="0"/>
    <n v="0"/>
    <n v="45000"/>
    <n v="45000"/>
    <n v="45000"/>
  </r>
  <r>
    <s v="73"/>
    <x v="2"/>
    <x v="10"/>
    <s v="ZA01D000"/>
    <x v="24"/>
    <s v="D305"/>
    <s v="ÁREAS PROTEGIDAS  Y CORREDORES ECOLÓGICOS"/>
    <s v="GI00D30500001D"/>
    <s v="GI00D30500001D MANEJO  AMBIENTAL  DE LAS QUEBRADAS PRIO"/>
    <s v="73 BIENES Y SERVICIOS PARA INVERSIÓN"/>
    <s v="730204 Edición, Impresión, Reproducción, Public"/>
    <s v="G/730204/3DD305"/>
    <s v="001"/>
    <n v="5000"/>
    <n v="0"/>
    <n v="0"/>
    <n v="5000"/>
    <n v="0"/>
    <n v="0"/>
    <n v="0"/>
    <n v="5000"/>
    <n v="5000"/>
    <n v="5000"/>
  </r>
  <r>
    <s v="73"/>
    <x v="2"/>
    <x v="10"/>
    <s v="ZA01D000"/>
    <x v="24"/>
    <s v="D305"/>
    <s v="ÁREAS PROTEGIDAS  Y CORREDORES ECOLÓGICOS"/>
    <s v="GI00D30500001D"/>
    <s v="GI00D30500001D MANEJO  AMBIENTAL  DE LAS QUEBRADAS PRIO"/>
    <s v="73 BIENES Y SERVICIOS PARA INVERSIÓN"/>
    <s v="730205 Espectáculos Culturales y Sociales"/>
    <s v="G/730205/3DD305"/>
    <s v="001"/>
    <n v="5000"/>
    <n v="0"/>
    <n v="0"/>
    <n v="5000"/>
    <n v="0"/>
    <n v="0"/>
    <n v="0"/>
    <n v="5000"/>
    <n v="5000"/>
    <n v="5000"/>
  </r>
  <r>
    <s v="73"/>
    <x v="2"/>
    <x v="10"/>
    <s v="ZA01D000"/>
    <x v="24"/>
    <s v="D305"/>
    <s v="ÁREAS PROTEGIDAS  Y CORREDORES ECOLÓGICOS"/>
    <s v="GI00D30500001D"/>
    <s v="GI00D30500001D MANEJO  AMBIENTAL  DE LAS QUEBRADAS PRIO"/>
    <s v="73 BIENES Y SERVICIOS PARA INVERSIÓN"/>
    <s v="730236 Servicios en Plantaciones Forestales"/>
    <s v="G/730236/3DD305"/>
    <s v="001"/>
    <n v="28500"/>
    <n v="67500"/>
    <n v="0"/>
    <n v="96000"/>
    <n v="0"/>
    <n v="0"/>
    <n v="0"/>
    <n v="96000"/>
    <n v="96000"/>
    <n v="96000"/>
  </r>
  <r>
    <s v="73"/>
    <x v="2"/>
    <x v="10"/>
    <s v="ZA01D000"/>
    <x v="24"/>
    <s v="D305"/>
    <s v="ÁREAS PROTEGIDAS  Y CORREDORES ECOLÓGICOS"/>
    <s v="GI00D30500001D"/>
    <s v="GI00D30500001D MANEJO  AMBIENTAL  DE LAS QUEBRADAS PRIO"/>
    <s v="73 BIENES Y SERVICIOS PARA INVERSIÓN"/>
    <s v="730237 Remediación, Restauración y Descontaminació"/>
    <s v="G/730237/3DD305"/>
    <s v="001"/>
    <n v="71000"/>
    <n v="-51000"/>
    <n v="0"/>
    <n v="20000"/>
    <n v="0"/>
    <n v="0"/>
    <n v="0"/>
    <n v="20000"/>
    <n v="20000"/>
    <n v="20000"/>
  </r>
  <r>
    <s v="73"/>
    <x v="2"/>
    <x v="10"/>
    <s v="ZA01D000"/>
    <x v="24"/>
    <s v="D305"/>
    <s v="ÁREAS PROTEGIDAS  Y CORREDORES ECOLÓGICOS"/>
    <s v="GI00D30500001D"/>
    <s v="GI00D30500001D MANEJO  AMBIENTAL  DE LAS QUEBRADAS PRIO"/>
    <s v="73 BIENES Y SERVICIOS PARA INVERSIÓN"/>
    <s v="731515 Plantas"/>
    <s v="G/731515/3DD305"/>
    <s v="001"/>
    <n v="16500"/>
    <n v="-16500"/>
    <n v="0"/>
    <n v="0"/>
    <n v="0"/>
    <n v="0"/>
    <n v="0"/>
    <n v="0"/>
    <n v="0"/>
    <n v="0"/>
  </r>
  <r>
    <s v="73"/>
    <x v="2"/>
    <x v="10"/>
    <s v="ZA01D000"/>
    <x v="24"/>
    <s v="D306"/>
    <s v="QUITO CIUDAD LIMPIA"/>
    <s v="GI00D30600002D"/>
    <s v="GI00D30600002D MONITOREO DE LA CALIDAD DE LOS RECURSOS"/>
    <s v="73 BIENES Y SERVICIOS PARA INVERSIÓN"/>
    <s v="730701 Desarrollo, Actualización, Asistencia Té"/>
    <s v="G/730701/3DD306"/>
    <s v="001"/>
    <n v="22000"/>
    <n v="28000"/>
    <n v="0"/>
    <n v="50000"/>
    <n v="0"/>
    <n v="0"/>
    <n v="0"/>
    <n v="50000"/>
    <n v="50000"/>
    <n v="50000"/>
  </r>
  <r>
    <s v="73"/>
    <x v="2"/>
    <x v="10"/>
    <s v="ZA01D000"/>
    <x v="24"/>
    <s v="D306"/>
    <s v="QUITO CIUDAD LIMPIA"/>
    <s v="GI00D30600002D"/>
    <s v="GI00D30600002D MONITOREO DE LA CALIDAD DE LOS RECURSOS"/>
    <s v="73 BIENES Y SERVICIOS PARA INVERSIÓN"/>
    <s v="730702 Arrendamiento y Licencias de Uso de Paquete"/>
    <s v="G/730702/3DD306"/>
    <s v="001"/>
    <n v="15000"/>
    <n v="-15000"/>
    <n v="0"/>
    <n v="0"/>
    <n v="0"/>
    <n v="0"/>
    <n v="0"/>
    <n v="0"/>
    <n v="0"/>
    <n v="0"/>
  </r>
  <r>
    <s v="73"/>
    <x v="2"/>
    <x v="10"/>
    <s v="ZA01D000"/>
    <x v="24"/>
    <s v="D307"/>
    <s v="RECUPERACIÓN DE COBERTURA VEGETAL EN EL DMQ"/>
    <s v="GI00D30700002D"/>
    <s v="GI00D30700002D RESTAURACIÓN ECOLÓGICA PARA EL MEJORAMIE"/>
    <s v="73 BIENES Y SERVICIOS PARA INVERSIÓN"/>
    <s v="730204 Edición, Impresión, Reproducción, Public"/>
    <s v="G/730204/3DD307"/>
    <s v="001"/>
    <n v="30000"/>
    <n v="0"/>
    <n v="0"/>
    <n v="30000"/>
    <n v="0"/>
    <n v="0"/>
    <n v="0"/>
    <n v="30000"/>
    <n v="30000"/>
    <n v="30000"/>
  </r>
  <r>
    <s v="73"/>
    <x v="2"/>
    <x v="10"/>
    <s v="ZA01D000"/>
    <x v="24"/>
    <s v="D307"/>
    <s v="RECUPERACIÓN DE COBERTURA VEGETAL EN EL DMQ"/>
    <s v="GI00D30700002D"/>
    <s v="GI00D30700002D RESTAURACIÓN ECOLÓGICA PARA EL MEJORAMIE"/>
    <s v="73 BIENES Y SERVICIOS PARA INVERSIÓN"/>
    <s v="730207 Difusión, Información y Publicidad"/>
    <s v="G/730207/3DD307"/>
    <s v="001"/>
    <n v="5000"/>
    <n v="0"/>
    <n v="0"/>
    <n v="5000"/>
    <n v="0"/>
    <n v="0"/>
    <n v="0"/>
    <n v="5000"/>
    <n v="5000"/>
    <n v="5000"/>
  </r>
  <r>
    <s v="73"/>
    <x v="2"/>
    <x v="10"/>
    <s v="ZA01D000"/>
    <x v="24"/>
    <s v="D307"/>
    <s v="RECUPERACIÓN DE COBERTURA VEGETAL EN EL DMQ"/>
    <s v="GI00D30700002D"/>
    <s v="GI00D30700002D RESTAURACIÓN ECOLÓGICA PARA EL MEJORAMIE"/>
    <s v="73 BIENES Y SERVICIOS PARA INVERSIÓN"/>
    <s v="730236 Servicios en Plantaciones Forestales"/>
    <s v="G/730236/3DD307"/>
    <s v="001"/>
    <n v="267000"/>
    <n v="0"/>
    <n v="0"/>
    <n v="267000"/>
    <n v="0"/>
    <n v="0"/>
    <n v="0"/>
    <n v="267000"/>
    <n v="267000"/>
    <n v="267000"/>
  </r>
  <r>
    <s v="73"/>
    <x v="2"/>
    <x v="10"/>
    <s v="ZA01D000"/>
    <x v="24"/>
    <s v="D307"/>
    <s v="RECUPERACIÓN DE COBERTURA VEGETAL EN EL DMQ"/>
    <s v="GI00D30700002D"/>
    <s v="GI00D30700002D RESTAURACIÓN ECOLÓGICA PARA EL MEJORAMIE"/>
    <s v="73 BIENES Y SERVICIOS PARA INVERSIÓN"/>
    <s v="730802 Vestuario, Lencería, Prendas de Protecci"/>
    <s v="G/730802/3DD307"/>
    <s v="001"/>
    <n v="3570"/>
    <n v="0"/>
    <n v="0"/>
    <n v="3570"/>
    <n v="0"/>
    <n v="0"/>
    <n v="0"/>
    <n v="3570"/>
    <n v="3570"/>
    <n v="3570"/>
  </r>
  <r>
    <s v="73"/>
    <x v="2"/>
    <x v="10"/>
    <s v="ZA01D000"/>
    <x v="24"/>
    <s v="D307"/>
    <s v="RECUPERACIÓN DE COBERTURA VEGETAL EN EL DMQ"/>
    <s v="GI00D30700002D"/>
    <s v="GI00D30700002D RESTAURACIÓN ECOLÓGICA PARA EL MEJORAMIE"/>
    <s v="73 BIENES Y SERVICIOS PARA INVERSIÓN"/>
    <s v="731406 Herramientas y equipos menores"/>
    <s v="G/731406/3DD307"/>
    <s v="001"/>
    <n v="1430"/>
    <n v="0"/>
    <n v="0"/>
    <n v="1430"/>
    <n v="0"/>
    <n v="0"/>
    <n v="0"/>
    <n v="1430"/>
    <n v="1430"/>
    <n v="1430"/>
  </r>
  <r>
    <s v="73"/>
    <x v="2"/>
    <x v="11"/>
    <s v="ZN02F020"/>
    <x v="40"/>
    <s v="F102"/>
    <s v="PARTICIPACION CIUDADANA"/>
    <s v="GI00F10200001D"/>
    <s v="GI00F10200001D PRESUPUESTOS PARTICIPATIVOS"/>
    <s v="73 BIENES Y SERVICIOS PARA INVERSIÓN"/>
    <s v="730204 Edición, Impresión, Reproducción, Public"/>
    <s v="G/730204/1FF102"/>
    <s v="001"/>
    <n v="12262.5"/>
    <n v="11160.22"/>
    <n v="0"/>
    <n v="23422.720000000001"/>
    <n v="0"/>
    <n v="10422.700000000001"/>
    <n v="10422.700000000001"/>
    <n v="13000.02"/>
    <n v="13000.02"/>
    <n v="13000.02"/>
  </r>
  <r>
    <s v="73"/>
    <x v="2"/>
    <x v="11"/>
    <s v="ZQ08F080"/>
    <x v="39"/>
    <s v="F102"/>
    <s v="PARTICIPACION CIUDADANA"/>
    <s v="GI00F10200001D"/>
    <s v="GI00F10200001D PRESUPUESTOS PARTICIPATIVOS"/>
    <s v="73 BIENES Y SERVICIOS PARA INVERSIÓN"/>
    <s v="730204 Edición, Impresión, Reproducción, Public"/>
    <s v="G/730204/1FF102"/>
    <s v="001"/>
    <n v="7860"/>
    <n v="0"/>
    <n v="0"/>
    <n v="7860"/>
    <n v="0"/>
    <n v="0"/>
    <n v="0"/>
    <n v="7860"/>
    <n v="7860"/>
    <n v="7860"/>
  </r>
  <r>
    <s v="73"/>
    <x v="2"/>
    <x v="11"/>
    <s v="ZD07F070"/>
    <x v="43"/>
    <s v="F102"/>
    <s v="PARTICIPACION CIUDADANA"/>
    <s v="GI00F10200001D"/>
    <s v="GI00F10200001D PRESUPUESTOS PARTICIPATIVOS"/>
    <s v="73 BIENES Y SERVICIOS PARA INVERSIÓN"/>
    <s v="730205 Espectáculos Culturales y Sociales"/>
    <s v="G/730205/1FF102"/>
    <s v="001"/>
    <n v="125141.75"/>
    <n v="0"/>
    <n v="0"/>
    <n v="125141.75"/>
    <n v="0"/>
    <n v="0"/>
    <n v="0"/>
    <n v="125141.75"/>
    <n v="125141.75"/>
    <n v="125141.75"/>
  </r>
  <r>
    <s v="73"/>
    <x v="2"/>
    <x v="11"/>
    <s v="ZQ08F080"/>
    <x v="39"/>
    <s v="F102"/>
    <s v="PARTICIPACION CIUDADANA"/>
    <s v="GI00F10200001D"/>
    <s v="GI00F10200001D PRESUPUESTOS PARTICIPATIVOS"/>
    <s v="73 BIENES Y SERVICIOS PARA INVERSIÓN"/>
    <s v="730205 Espectáculos Culturales y Sociales"/>
    <s v="G/730205/1FF102"/>
    <s v="001"/>
    <n v="58766"/>
    <n v="1624"/>
    <n v="0"/>
    <n v="60390"/>
    <n v="0"/>
    <n v="0"/>
    <n v="0"/>
    <n v="60390"/>
    <n v="60390"/>
    <n v="60390"/>
  </r>
  <r>
    <s v="73"/>
    <x v="2"/>
    <x v="11"/>
    <s v="ZN02F020"/>
    <x v="40"/>
    <s v="F102"/>
    <s v="PARTICIPACION CIUDADANA"/>
    <s v="GI00F10200001D"/>
    <s v="GI00F10200001D PRESUPUESTOS PARTICIPATIVOS"/>
    <s v="73 BIENES Y SERVICIOS PARA INVERSIÓN"/>
    <s v="730205 Espectáculos Culturales y Sociales"/>
    <s v="G/730205/1FF102"/>
    <s v="001"/>
    <n v="79526.759999999995"/>
    <n v="0"/>
    <n v="0"/>
    <n v="79526.759999999995"/>
    <n v="0"/>
    <n v="33376"/>
    <n v="33376"/>
    <n v="46150.76"/>
    <n v="46150.76"/>
    <n v="46150.76"/>
  </r>
  <r>
    <s v="73"/>
    <x v="2"/>
    <x v="11"/>
    <s v="ZM04F040"/>
    <x v="41"/>
    <s v="F102"/>
    <s v="PARTICIPACION CIUDADANA"/>
    <s v="GI00F10200001D"/>
    <s v="GI00F10200001D PRESUPUESTOS PARTICIPATIVOS"/>
    <s v="73 BIENES Y SERVICIOS PARA INVERSIÓN"/>
    <s v="730205 Espectáculos Culturales y Sociales"/>
    <s v="G/730205/1FF102"/>
    <s v="001"/>
    <n v="5000"/>
    <n v="0"/>
    <n v="0"/>
    <n v="5000"/>
    <n v="0"/>
    <n v="0"/>
    <n v="0"/>
    <n v="5000"/>
    <n v="5000"/>
    <n v="5000"/>
  </r>
  <r>
    <s v="73"/>
    <x v="2"/>
    <x v="11"/>
    <s v="ZQ08F080"/>
    <x v="39"/>
    <s v="F102"/>
    <s v="PARTICIPACION CIUDADANA"/>
    <s v="GI00F10200001D"/>
    <s v="GI00F10200001D PRESUPUESTOS PARTICIPATIVOS"/>
    <s v="73 BIENES Y SERVICIOS PARA INVERSIÓN"/>
    <s v="730235 Servicio de Alimentación"/>
    <s v="G/730235/1FF102"/>
    <s v="001"/>
    <n v="6368"/>
    <n v="560"/>
    <n v="0"/>
    <n v="6928"/>
    <n v="0"/>
    <n v="0"/>
    <n v="0"/>
    <n v="6928"/>
    <n v="6928"/>
    <n v="6928"/>
  </r>
  <r>
    <s v="73"/>
    <x v="2"/>
    <x v="11"/>
    <s v="ZD07F070"/>
    <x v="43"/>
    <s v="F102"/>
    <s v="PARTICIPACION CIUDADANA"/>
    <s v="GI00F10200001D"/>
    <s v="GI00F10200001D PRESUPUESTOS PARTICIPATIVOS"/>
    <s v="73 BIENES Y SERVICIOS PARA INVERSIÓN"/>
    <s v="730237 Remediación, Restauración y Descontaminació"/>
    <s v="G/730237/1FF102"/>
    <s v="001"/>
    <n v="235978.45"/>
    <n v="0"/>
    <n v="0"/>
    <n v="235978.45"/>
    <n v="0"/>
    <n v="0"/>
    <n v="0"/>
    <n v="235978.45"/>
    <n v="235978.45"/>
    <n v="235978.45"/>
  </r>
  <r>
    <s v="73"/>
    <x v="2"/>
    <x v="11"/>
    <s v="ZN02F020"/>
    <x v="40"/>
    <s v="F102"/>
    <s v="PARTICIPACION CIUDADANA"/>
    <s v="GI00F10200001D"/>
    <s v="GI00F10200001D PRESUPUESTOS PARTICIPATIVOS"/>
    <s v="73 BIENES Y SERVICIOS PARA INVERSIÓN"/>
    <s v="730237 Remediación, Restauración y Descontaminació"/>
    <s v="G/730237/1FF102"/>
    <s v="001"/>
    <n v="37618.75"/>
    <n v="0"/>
    <n v="0"/>
    <n v="37618.75"/>
    <n v="0"/>
    <n v="21618.76"/>
    <n v="21618.76"/>
    <n v="15999.99"/>
    <n v="15999.99"/>
    <n v="15999.99"/>
  </r>
  <r>
    <s v="73"/>
    <x v="2"/>
    <x v="11"/>
    <s v="ZN02F020"/>
    <x v="40"/>
    <s v="F102"/>
    <s v="PARTICIPACION CIUDADANA"/>
    <s v="GI00F10200001D"/>
    <s v="GI00F10200001D PRESUPUESTOS PARTICIPATIVOS"/>
    <s v="73 BIENES Y SERVICIOS PARA INVERSIÓN"/>
    <s v="730237 Remediación, Restauración y Descontaminació"/>
    <s v="G/730237/1FF102"/>
    <s v="002"/>
    <n v="0"/>
    <n v="36031.24"/>
    <n v="0"/>
    <n v="36031.24"/>
    <n v="0"/>
    <n v="36031.24"/>
    <n v="36031.24"/>
    <n v="0"/>
    <n v="0"/>
    <n v="0"/>
  </r>
  <r>
    <s v="73"/>
    <x v="2"/>
    <x v="11"/>
    <s v="ZD07F070"/>
    <x v="43"/>
    <s v="F102"/>
    <s v="PARTICIPACION CIUDADANA"/>
    <s v="GI00F10200001D"/>
    <s v="GI00F10200001D PRESUPUESTOS PARTICIPATIVOS"/>
    <s v="73 BIENES Y SERVICIOS PARA INVERSIÓN"/>
    <s v="730504 Maquinarias y Equipos (Arrendamiento)"/>
    <s v="G/730504/1FF102"/>
    <s v="001"/>
    <n v="0"/>
    <n v="149381.75"/>
    <n v="0"/>
    <n v="149381.75"/>
    <n v="56000"/>
    <n v="0"/>
    <n v="0"/>
    <n v="149381.75"/>
    <n v="149381.75"/>
    <n v="93381.75"/>
  </r>
  <r>
    <s v="73"/>
    <x v="2"/>
    <x v="11"/>
    <s v="ZQ08F080"/>
    <x v="39"/>
    <s v="F102"/>
    <s v="PARTICIPACION CIUDADANA"/>
    <s v="GI00F10200001D"/>
    <s v="GI00F10200001D PRESUPUESTOS PARTICIPATIVOS"/>
    <s v="73 BIENES Y SERVICIOS PARA INVERSIÓN"/>
    <s v="730505 Vehículos (Arrendamiento)"/>
    <s v="G/730505/1FF102"/>
    <s v="001"/>
    <n v="9532"/>
    <n v="0"/>
    <n v="0"/>
    <n v="9532"/>
    <n v="0"/>
    <n v="0"/>
    <n v="0"/>
    <n v="9532"/>
    <n v="9532"/>
    <n v="9532"/>
  </r>
  <r>
    <s v="73"/>
    <x v="2"/>
    <x v="11"/>
    <s v="ZN02F020"/>
    <x v="40"/>
    <s v="F102"/>
    <s v="PARTICIPACION CIUDADANA"/>
    <s v="GI00F10200001D"/>
    <s v="GI00F10200001D PRESUPUESTOS PARTICIPATIVOS"/>
    <s v="73 BIENES Y SERVICIOS PARA INVERSIÓN"/>
    <s v="730505 Vehículos (Arrendamiento)"/>
    <s v="G/730505/1FF102"/>
    <s v="001"/>
    <n v="3500"/>
    <n v="-2000"/>
    <n v="0"/>
    <n v="1500"/>
    <n v="0"/>
    <n v="0"/>
    <n v="0"/>
    <n v="1500"/>
    <n v="1500"/>
    <n v="1500"/>
  </r>
  <r>
    <s v="73"/>
    <x v="2"/>
    <x v="11"/>
    <s v="ZM04F040"/>
    <x v="41"/>
    <s v="F102"/>
    <s v="PARTICIPACION CIUDADANA"/>
    <s v="GI00F10200001D"/>
    <s v="GI00F10200001D PRESUPUESTOS PARTICIPATIVOS"/>
    <s v="73 BIENES Y SERVICIOS PARA INVERSIÓN"/>
    <s v="730604 Fiscalización e Inspecciones Técnicas"/>
    <s v="G/730604/1FF102"/>
    <s v="001"/>
    <n v="63199.360000000001"/>
    <n v="-11331.6"/>
    <n v="0"/>
    <n v="51867.76"/>
    <n v="0"/>
    <n v="0"/>
    <n v="0"/>
    <n v="51867.76"/>
    <n v="51867.76"/>
    <n v="51867.76"/>
  </r>
  <r>
    <s v="73"/>
    <x v="2"/>
    <x v="11"/>
    <s v="ZN02F020"/>
    <x v="40"/>
    <s v="F102"/>
    <s v="PARTICIPACION CIUDADANA"/>
    <s v="GI00F10200001D"/>
    <s v="GI00F10200001D PRESUPUESTOS PARTICIPATIVOS"/>
    <s v="73 BIENES Y SERVICIOS PARA INVERSIÓN"/>
    <s v="730605 Estudio y Diseño de Proyectos"/>
    <s v="G/730605/1FF102"/>
    <s v="002"/>
    <n v="0"/>
    <n v="15812.51"/>
    <n v="0"/>
    <n v="15812.51"/>
    <n v="0"/>
    <n v="15812.5"/>
    <n v="15812.5"/>
    <n v="0.01"/>
    <n v="0.01"/>
    <n v="0.01"/>
  </r>
  <r>
    <s v="73"/>
    <x v="2"/>
    <x v="11"/>
    <s v="ZN02F020"/>
    <x v="40"/>
    <s v="F102"/>
    <s v="PARTICIPACION CIUDADANA"/>
    <s v="GI00F10200001D"/>
    <s v="GI00F10200001D PRESUPUESTOS PARTICIPATIVOS"/>
    <s v="73 BIENES Y SERVICIOS PARA INVERSIÓN"/>
    <s v="730605 Estudio y Diseño de Proyectos"/>
    <s v="G/730605/1FF102"/>
    <s v="001"/>
    <n v="14005.36"/>
    <n v="0"/>
    <n v="0"/>
    <n v="14005.36"/>
    <n v="0.01"/>
    <n v="9487.49"/>
    <n v="9487.49"/>
    <n v="4517.87"/>
    <n v="4517.87"/>
    <n v="4517.8599999999997"/>
  </r>
  <r>
    <s v="73"/>
    <x v="2"/>
    <x v="11"/>
    <s v="ZV05F050"/>
    <x v="37"/>
    <s v="F102"/>
    <s v="PARTICIPACION CIUDADANA"/>
    <s v="GI00F10200001D"/>
    <s v="GI00F10200001D PRESUPUESTOS PARTICIPATIVOS"/>
    <s v="73 BIENES Y SERVICIOS PARA INVERSIÓN"/>
    <s v="730605 Estudio y Diseño de Proyectos"/>
    <s v="G/730605/1FF102"/>
    <s v="001"/>
    <n v="53420.66"/>
    <n v="-2399.89"/>
    <n v="0"/>
    <n v="51020.77"/>
    <n v="0"/>
    <n v="49690.03"/>
    <n v="49690.03"/>
    <n v="1330.74"/>
    <n v="1330.74"/>
    <n v="1330.74"/>
  </r>
  <r>
    <s v="73"/>
    <x v="2"/>
    <x v="11"/>
    <s v="ZQ08F080"/>
    <x v="39"/>
    <s v="F102"/>
    <s v="PARTICIPACION CIUDADANA"/>
    <s v="GI00F10200001D"/>
    <s v="GI00F10200001D PRESUPUESTOS PARTICIPATIVOS"/>
    <s v="73 BIENES Y SERVICIOS PARA INVERSIÓN"/>
    <s v="730605 Estudio y Diseño de Proyectos"/>
    <s v="G/730605/1FF102"/>
    <s v="001"/>
    <n v="0"/>
    <n v="77800"/>
    <n v="0"/>
    <n v="77800"/>
    <n v="0"/>
    <n v="0"/>
    <n v="0"/>
    <n v="77800"/>
    <n v="77800"/>
    <n v="77800"/>
  </r>
  <r>
    <s v="73"/>
    <x v="2"/>
    <x v="11"/>
    <s v="ZD07F070"/>
    <x v="43"/>
    <s v="F102"/>
    <s v="PARTICIPACION CIUDADANA"/>
    <s v="GI00F10200001D"/>
    <s v="GI00F10200001D PRESUPUESTOS PARTICIPATIVOS"/>
    <s v="73 BIENES Y SERVICIOS PARA INVERSIÓN"/>
    <s v="730605 Estudio y Diseño de Proyectos"/>
    <s v="G/730605/1FF102"/>
    <s v="001"/>
    <n v="0"/>
    <n v="45000"/>
    <n v="0"/>
    <n v="45000"/>
    <n v="26768"/>
    <n v="0"/>
    <n v="0"/>
    <n v="45000"/>
    <n v="45000"/>
    <n v="18232"/>
  </r>
  <r>
    <s v="73"/>
    <x v="2"/>
    <x v="11"/>
    <s v="ZN02F020"/>
    <x v="40"/>
    <s v="F102"/>
    <s v="PARTICIPACION CIUDADANA"/>
    <s v="GI00F10200001D"/>
    <s v="GI00F10200001D PRESUPUESTOS PARTICIPATIVOS"/>
    <s v="73 BIENES Y SERVICIOS PARA INVERSIÓN"/>
    <s v="730606 Honorarios por Contratos Civiles de Servici"/>
    <s v="G/730606/1FF102"/>
    <s v="001"/>
    <n v="11309.76"/>
    <n v="0"/>
    <n v="0"/>
    <n v="11309.76"/>
    <n v="0"/>
    <n v="0"/>
    <n v="0"/>
    <n v="11309.76"/>
    <n v="11309.76"/>
    <n v="11309.76"/>
  </r>
  <r>
    <s v="73"/>
    <x v="2"/>
    <x v="11"/>
    <s v="ZD07F070"/>
    <x v="43"/>
    <s v="F102"/>
    <s v="PARTICIPACION CIUDADANA"/>
    <s v="GI00F10200001D"/>
    <s v="GI00F10200001D PRESUPUESTOS PARTICIPATIVOS"/>
    <s v="73 BIENES Y SERVICIOS PARA INVERSIÓN"/>
    <s v="730606 Honorarios por Contratos Civiles de Servici"/>
    <s v="G/730606/1FF102"/>
    <s v="001"/>
    <n v="0"/>
    <n v="50000"/>
    <n v="0"/>
    <n v="50000"/>
    <n v="0"/>
    <n v="0"/>
    <n v="0"/>
    <n v="50000"/>
    <n v="50000"/>
    <n v="50000"/>
  </r>
  <r>
    <s v="73"/>
    <x v="2"/>
    <x v="11"/>
    <s v="ZM04F040"/>
    <x v="41"/>
    <s v="F102"/>
    <s v="PARTICIPACION CIUDADANA"/>
    <s v="GI00F10200001D"/>
    <s v="GI00F10200001D PRESUPUESTOS PARTICIPATIVOS"/>
    <s v="73 BIENES Y SERVICIOS PARA INVERSIÓN"/>
    <s v="730613 Capacitación para la Ciudadanía en Gener"/>
    <s v="G/730613/1FF102"/>
    <s v="001"/>
    <n v="5000"/>
    <n v="0"/>
    <n v="0"/>
    <n v="5000"/>
    <n v="0"/>
    <n v="0"/>
    <n v="0"/>
    <n v="5000"/>
    <n v="5000"/>
    <n v="5000"/>
  </r>
  <r>
    <s v="73"/>
    <x v="2"/>
    <x v="11"/>
    <s v="ZQ08F080"/>
    <x v="39"/>
    <s v="F102"/>
    <s v="PARTICIPACION CIUDADANA"/>
    <s v="GI00F10200001D"/>
    <s v="GI00F10200001D PRESUPUESTOS PARTICIPATIVOS"/>
    <s v="73 BIENES Y SERVICIOS PARA INVERSIÓN"/>
    <s v="730613 Capacitación para la Ciudadanía en Gener"/>
    <s v="G/730613/1FF102"/>
    <s v="001"/>
    <n v="46895.199999999997"/>
    <n v="2240"/>
    <n v="0"/>
    <n v="49135.199999999997"/>
    <n v="0"/>
    <n v="0"/>
    <n v="0"/>
    <n v="49135.199999999997"/>
    <n v="49135.199999999997"/>
    <n v="49135.199999999997"/>
  </r>
  <r>
    <s v="73"/>
    <x v="2"/>
    <x v="11"/>
    <s v="ZN02F020"/>
    <x v="40"/>
    <s v="F102"/>
    <s v="PARTICIPACION CIUDADANA"/>
    <s v="GI00F10200001D"/>
    <s v="GI00F10200001D PRESUPUESTOS PARTICIPATIVOS"/>
    <s v="73 BIENES Y SERVICIOS PARA INVERSIÓN"/>
    <s v="730613 Capacitación para la Ciudadanía en Gener"/>
    <s v="G/730613/1FF102"/>
    <s v="001"/>
    <n v="9500"/>
    <n v="-5000"/>
    <n v="0"/>
    <n v="4500"/>
    <n v="0"/>
    <n v="0"/>
    <n v="0"/>
    <n v="4500"/>
    <n v="4500"/>
    <n v="4500"/>
  </r>
  <r>
    <s v="73"/>
    <x v="2"/>
    <x v="11"/>
    <s v="ZS03F030"/>
    <x v="38"/>
    <s v="F102"/>
    <s v="PARTICIPACION CIUDADANA"/>
    <s v="GI00F10200001D"/>
    <s v="GI00F10200001D PRESUPUESTOS PARTICIPATIVOS"/>
    <s v="73 BIENES Y SERVICIOS PARA INVERSIÓN"/>
    <s v="730613 Capacitación para la Ciudadanía en Gener"/>
    <s v="G/730613/1FF102"/>
    <s v="001"/>
    <n v="11520"/>
    <n v="0"/>
    <n v="0"/>
    <n v="11520"/>
    <n v="7840"/>
    <n v="0"/>
    <n v="0"/>
    <n v="11520"/>
    <n v="11520"/>
    <n v="3680"/>
  </r>
  <r>
    <s v="73"/>
    <x v="2"/>
    <x v="11"/>
    <s v="ZD07F070"/>
    <x v="43"/>
    <s v="F102"/>
    <s v="PARTICIPACION CIUDADANA"/>
    <s v="GI00F10200001D"/>
    <s v="GI00F10200001D PRESUPUESTOS PARTICIPATIVOS"/>
    <s v="73 BIENES Y SERVICIOS PARA INVERSIÓN"/>
    <s v="730613 Capacitación para la Ciudadanía en Gener"/>
    <s v="G/730613/1FF102"/>
    <s v="001"/>
    <n v="16557.95"/>
    <n v="0"/>
    <n v="0"/>
    <n v="16557.95"/>
    <n v="0"/>
    <n v="0"/>
    <n v="0"/>
    <n v="16557.95"/>
    <n v="16557.95"/>
    <n v="16557.95"/>
  </r>
  <r>
    <s v="73"/>
    <x v="2"/>
    <x v="11"/>
    <s v="ZN02F020"/>
    <x v="40"/>
    <s v="F102"/>
    <s v="PARTICIPACION CIUDADANA"/>
    <s v="GI00F10200001D"/>
    <s v="GI00F10200001D PRESUPUESTOS PARTICIPATIVOS"/>
    <s v="73 BIENES Y SERVICIOS PARA INVERSIÓN"/>
    <s v="730802 Vestuario, Lencería, Prendas de Protecci"/>
    <s v="G/730802/1FF102"/>
    <s v="001"/>
    <n v="1000"/>
    <n v="0"/>
    <n v="0"/>
    <n v="1000"/>
    <n v="0"/>
    <n v="0"/>
    <n v="0"/>
    <n v="1000"/>
    <n v="1000"/>
    <n v="1000"/>
  </r>
  <r>
    <s v="73"/>
    <x v="2"/>
    <x v="11"/>
    <s v="ZQ08F080"/>
    <x v="39"/>
    <s v="F102"/>
    <s v="PARTICIPACION CIUDADANA"/>
    <s v="GI00F10200001D"/>
    <s v="GI00F10200001D PRESUPUESTOS PARTICIPATIVOS"/>
    <s v="73 BIENES Y SERVICIOS PARA INVERSIÓN"/>
    <s v="730802 Vestuario, Lencería, Prendas de Protecci"/>
    <s v="G/730802/1FF102"/>
    <s v="001"/>
    <n v="1580.8"/>
    <n v="0"/>
    <n v="0"/>
    <n v="1580.8"/>
    <n v="0"/>
    <n v="0"/>
    <n v="0"/>
    <n v="1580.8"/>
    <n v="1580.8"/>
    <n v="1580.8"/>
  </r>
  <r>
    <s v="73"/>
    <x v="2"/>
    <x v="11"/>
    <s v="ZQ08F080"/>
    <x v="39"/>
    <s v="F102"/>
    <s v="PARTICIPACION CIUDADANA"/>
    <s v="GI00F10200001D"/>
    <s v="GI00F10200001D PRESUPUESTOS PARTICIPATIVOS"/>
    <s v="73 BIENES Y SERVICIOS PARA INVERSIÓN"/>
    <s v="730804 Materiales de Oficina"/>
    <s v="G/730804/1FF102"/>
    <s v="001"/>
    <n v="2860"/>
    <n v="0"/>
    <n v="0"/>
    <n v="2860"/>
    <n v="0"/>
    <n v="0"/>
    <n v="0"/>
    <n v="2860"/>
    <n v="2860"/>
    <n v="2860"/>
  </r>
  <r>
    <s v="73"/>
    <x v="2"/>
    <x v="11"/>
    <s v="ZT06F060"/>
    <x v="25"/>
    <s v="F102"/>
    <s v="PARTICIPACION CIUDADANA"/>
    <s v="GI00F10200001D"/>
    <s v="GI00F10200001D PRESUPUESTOS PARTICIPATIVOS"/>
    <s v="73 BIENES Y SERVICIOS PARA INVERSIÓN"/>
    <s v="730811 Insumos, Materiales y Suministros para Cons"/>
    <s v="G/730811/1FF102"/>
    <s v="001"/>
    <n v="100000"/>
    <n v="0"/>
    <n v="0"/>
    <n v="100000"/>
    <n v="99999.66"/>
    <n v="0"/>
    <n v="0"/>
    <n v="100000"/>
    <n v="100000"/>
    <n v="0.34"/>
  </r>
  <r>
    <s v="73"/>
    <x v="2"/>
    <x v="11"/>
    <s v="ZV05F050"/>
    <x v="37"/>
    <s v="F102"/>
    <s v="PARTICIPACION CIUDADANA"/>
    <s v="GI00F10200001D"/>
    <s v="GI00F10200001D PRESUPUESTOS PARTICIPATIVOS"/>
    <s v="73 BIENES Y SERVICIOS PARA INVERSIÓN"/>
    <s v="730811 Insumos, Materiales y Suministros para Cons"/>
    <s v="G/730811/1FF102"/>
    <s v="001"/>
    <n v="316988.88"/>
    <n v="-19518"/>
    <n v="0"/>
    <n v="297470.88"/>
    <n v="114860.8"/>
    <n v="182610.08"/>
    <n v="0"/>
    <n v="114860.8"/>
    <n v="297470.88"/>
    <n v="0"/>
  </r>
  <r>
    <s v="73"/>
    <x v="2"/>
    <x v="11"/>
    <s v="ZN02F020"/>
    <x v="40"/>
    <s v="F102"/>
    <s v="PARTICIPACION CIUDADANA"/>
    <s v="GI00F10200001D"/>
    <s v="GI00F10200001D PRESUPUESTOS PARTICIPATIVOS"/>
    <s v="73 BIENES Y SERVICIOS PARA INVERSIÓN"/>
    <s v="730811 Insumos, Materiales y Suministros para Cons"/>
    <s v="G/730811/1FF102"/>
    <s v="001"/>
    <n v="3000"/>
    <n v="0"/>
    <n v="0"/>
    <n v="3000"/>
    <n v="2700.19"/>
    <n v="0"/>
    <n v="0"/>
    <n v="3000"/>
    <n v="3000"/>
    <n v="299.81"/>
  </r>
  <r>
    <s v="73"/>
    <x v="2"/>
    <x v="11"/>
    <s v="ZQ08F080"/>
    <x v="39"/>
    <s v="F102"/>
    <s v="PARTICIPACION CIUDADANA"/>
    <s v="GI00F10200001D"/>
    <s v="GI00F10200001D PRESUPUESTOS PARTICIPATIVOS"/>
    <s v="73 BIENES Y SERVICIOS PARA INVERSIÓN"/>
    <s v="730811 Insumos, Materiales y Suministros para Cons"/>
    <s v="G/730811/1FF102"/>
    <s v="001"/>
    <n v="12308.8"/>
    <n v="0"/>
    <n v="0"/>
    <n v="12308.8"/>
    <n v="0"/>
    <n v="0"/>
    <n v="0"/>
    <n v="12308.8"/>
    <n v="12308.8"/>
    <n v="12308.8"/>
  </r>
  <r>
    <s v="73"/>
    <x v="2"/>
    <x v="11"/>
    <s v="ZC09F090"/>
    <x v="44"/>
    <s v="F102"/>
    <s v="PARTICIPACION CIUDADANA"/>
    <s v="GI00F10200001D"/>
    <s v="GI00F10200001D PRESUPUESTOS PARTICIPATIVOS"/>
    <s v="73 BIENES Y SERVICIOS PARA INVERSIÓN"/>
    <s v="730811 Insumos, Materiales y Suministros para Cons"/>
    <s v="G/730811/1FF102"/>
    <s v="001"/>
    <n v="201873"/>
    <n v="21627"/>
    <n v="0"/>
    <n v="223500"/>
    <n v="0"/>
    <n v="0"/>
    <n v="0"/>
    <n v="223500"/>
    <n v="223500"/>
    <n v="223500"/>
  </r>
  <r>
    <s v="73"/>
    <x v="2"/>
    <x v="11"/>
    <s v="ZM04F040"/>
    <x v="41"/>
    <s v="F102"/>
    <s v="PARTICIPACION CIUDADANA"/>
    <s v="GI00F10200001D"/>
    <s v="GI00F10200001D PRESUPUESTOS PARTICIPATIVOS"/>
    <s v="73 BIENES Y SERVICIOS PARA INVERSIÓN"/>
    <s v="730812 Materiales Didácticos"/>
    <s v="G/730812/1FF102"/>
    <s v="001"/>
    <n v="3440"/>
    <n v="0"/>
    <n v="0"/>
    <n v="3440"/>
    <n v="0"/>
    <n v="0"/>
    <n v="0"/>
    <n v="3440"/>
    <n v="3440"/>
    <n v="3440"/>
  </r>
  <r>
    <s v="73"/>
    <x v="2"/>
    <x v="11"/>
    <s v="ZQ08F080"/>
    <x v="39"/>
    <s v="F102"/>
    <s v="PARTICIPACION CIUDADANA"/>
    <s v="GI00F10200001D"/>
    <s v="GI00F10200001D PRESUPUESTOS PARTICIPATIVOS"/>
    <s v="73 BIENES Y SERVICIOS PARA INVERSIÓN"/>
    <s v="730812 Materiales Didácticos"/>
    <s v="G/730812/1FF102"/>
    <s v="001"/>
    <n v="8260"/>
    <n v="0"/>
    <n v="0"/>
    <n v="8260"/>
    <n v="0"/>
    <n v="0"/>
    <n v="0"/>
    <n v="8260"/>
    <n v="8260"/>
    <n v="8260"/>
  </r>
  <r>
    <s v="73"/>
    <x v="2"/>
    <x v="11"/>
    <s v="ZD07F070"/>
    <x v="43"/>
    <s v="F102"/>
    <s v="PARTICIPACION CIUDADANA"/>
    <s v="GI00F10200001D"/>
    <s v="GI00F10200001D PRESUPUESTOS PARTICIPATIVOS"/>
    <s v="73 BIENES Y SERVICIOS PARA INVERSIÓN"/>
    <s v="730814 Suministros para Actividades Agropecuarias,"/>
    <s v="G/730814/1FF102"/>
    <s v="001"/>
    <n v="3000"/>
    <n v="0"/>
    <n v="0"/>
    <n v="3000"/>
    <n v="0"/>
    <n v="0"/>
    <n v="0"/>
    <n v="3000"/>
    <n v="3000"/>
    <n v="3000"/>
  </r>
  <r>
    <s v="73"/>
    <x v="2"/>
    <x v="11"/>
    <s v="ZQ08F080"/>
    <x v="39"/>
    <s v="F102"/>
    <s v="PARTICIPACION CIUDADANA"/>
    <s v="GI00F10200002D"/>
    <s v="GI00F10200002D SISTEMA DE PARTICIPACION CIUDADANA"/>
    <s v="73 BIENES Y SERVICIOS PARA INVERSIÓN"/>
    <s v="730204 Edición, Impresión, Reproducción, Public"/>
    <s v="G/730204/1FF102"/>
    <s v="001"/>
    <n v="2800"/>
    <n v="0"/>
    <n v="0"/>
    <n v="2800"/>
    <n v="0"/>
    <n v="0"/>
    <n v="0"/>
    <n v="2800"/>
    <n v="2800"/>
    <n v="2800"/>
  </r>
  <r>
    <s v="73"/>
    <x v="2"/>
    <x v="11"/>
    <s v="ZV05F050"/>
    <x v="37"/>
    <s v="F102"/>
    <s v="PARTICIPACION CIUDADANA"/>
    <s v="GI00F10200002D"/>
    <s v="GI00F10200002D SISTEMA DE PARTICIPACION CIUDADANA"/>
    <s v="73 BIENES Y SERVICIOS PARA INVERSIÓN"/>
    <s v="730204 Edición, Impresión, Reproducción, Public"/>
    <s v="G/730204/1FF102"/>
    <s v="001"/>
    <n v="2500"/>
    <n v="0"/>
    <n v="0"/>
    <n v="2500"/>
    <n v="0"/>
    <n v="0"/>
    <n v="0"/>
    <n v="2500"/>
    <n v="2500"/>
    <n v="2500"/>
  </r>
  <r>
    <s v="73"/>
    <x v="2"/>
    <x v="11"/>
    <s v="ZT06F060"/>
    <x v="25"/>
    <s v="F102"/>
    <s v="PARTICIPACION CIUDADANA"/>
    <s v="GI00F10200002D"/>
    <s v="GI00F10200002D SISTEMA DE PARTICIPACION CIUDADANA"/>
    <s v="73 BIENES Y SERVICIOS PARA INVERSIÓN"/>
    <s v="730204 Edición, Impresión, Reproducción, Public"/>
    <s v="G/730204/1FF102"/>
    <s v="001"/>
    <n v="2000"/>
    <n v="0"/>
    <n v="0"/>
    <n v="2000"/>
    <n v="0"/>
    <n v="0"/>
    <n v="0"/>
    <n v="2000"/>
    <n v="2000"/>
    <n v="2000"/>
  </r>
  <r>
    <s v="73"/>
    <x v="2"/>
    <x v="11"/>
    <s v="ZN02F020"/>
    <x v="40"/>
    <s v="F102"/>
    <s v="PARTICIPACION CIUDADANA"/>
    <s v="GI00F10200002D"/>
    <s v="GI00F10200002D SISTEMA DE PARTICIPACION CIUDADANA"/>
    <s v="73 BIENES Y SERVICIOS PARA INVERSIÓN"/>
    <s v="730204 Edición, Impresión, Reproducción, Public"/>
    <s v="G/730204/1FF102"/>
    <s v="001"/>
    <n v="1308.05"/>
    <n v="0"/>
    <n v="0"/>
    <n v="1308.05"/>
    <n v="0"/>
    <n v="0"/>
    <n v="0"/>
    <n v="1308.05"/>
    <n v="1308.05"/>
    <n v="1308.05"/>
  </r>
  <r>
    <s v="73"/>
    <x v="2"/>
    <x v="11"/>
    <s v="ZD07F070"/>
    <x v="43"/>
    <s v="F102"/>
    <s v="PARTICIPACION CIUDADANA"/>
    <s v="GI00F10200002D"/>
    <s v="GI00F10200002D SISTEMA DE PARTICIPACION CIUDADANA"/>
    <s v="73 BIENES Y SERVICIOS PARA INVERSIÓN"/>
    <s v="730204 Edición, Impresión, Reproducción, Public"/>
    <s v="G/730204/1FF102"/>
    <s v="001"/>
    <n v="1400"/>
    <n v="0"/>
    <n v="0"/>
    <n v="1400"/>
    <n v="0"/>
    <n v="0"/>
    <n v="0"/>
    <n v="1400"/>
    <n v="1400"/>
    <n v="1400"/>
  </r>
  <r>
    <s v="73"/>
    <x v="2"/>
    <x v="11"/>
    <s v="ZC09F090"/>
    <x v="44"/>
    <s v="F102"/>
    <s v="PARTICIPACION CIUDADANA"/>
    <s v="GI00F10200002D"/>
    <s v="GI00F10200002D SISTEMA DE PARTICIPACION CIUDADANA"/>
    <s v="73 BIENES Y SERVICIOS PARA INVERSIÓN"/>
    <s v="730204 Edición, Impresión, Reproducción, Public"/>
    <s v="G/730204/1FF102"/>
    <s v="001"/>
    <n v="3000"/>
    <n v="0"/>
    <n v="0"/>
    <n v="3000"/>
    <n v="0"/>
    <n v="0"/>
    <n v="0"/>
    <n v="3000"/>
    <n v="3000"/>
    <n v="3000"/>
  </r>
  <r>
    <s v="73"/>
    <x v="2"/>
    <x v="11"/>
    <s v="ZS03F030"/>
    <x v="38"/>
    <s v="F102"/>
    <s v="PARTICIPACION CIUDADANA"/>
    <s v="GI00F10200002D"/>
    <s v="GI00F10200002D SISTEMA DE PARTICIPACION CIUDADANA"/>
    <s v="73 BIENES Y SERVICIOS PARA INVERSIÓN"/>
    <s v="730204 Edición, Impresión, Reproducción, Public"/>
    <s v="G/730204/1FF102"/>
    <s v="001"/>
    <n v="3500"/>
    <n v="0"/>
    <n v="0"/>
    <n v="3500"/>
    <n v="0"/>
    <n v="0"/>
    <n v="0"/>
    <n v="3500"/>
    <n v="3500"/>
    <n v="3500"/>
  </r>
  <r>
    <s v="73"/>
    <x v="2"/>
    <x v="11"/>
    <s v="ZN02F020"/>
    <x v="40"/>
    <s v="F102"/>
    <s v="PARTICIPACION CIUDADANA"/>
    <s v="GI00F10200002D"/>
    <s v="GI00F10200002D SISTEMA DE PARTICIPACION CIUDADANA"/>
    <s v="73 BIENES Y SERVICIOS PARA INVERSIÓN"/>
    <s v="730205 Espectáculos Culturales y Sociales"/>
    <s v="G/730205/1FF102"/>
    <s v="001"/>
    <n v="2000"/>
    <n v="0"/>
    <n v="0"/>
    <n v="2000"/>
    <n v="0"/>
    <n v="0"/>
    <n v="0"/>
    <n v="2000"/>
    <n v="2000"/>
    <n v="2000"/>
  </r>
  <r>
    <s v="73"/>
    <x v="2"/>
    <x v="11"/>
    <s v="ZT06F060"/>
    <x v="25"/>
    <s v="F102"/>
    <s v="PARTICIPACION CIUDADANA"/>
    <s v="GI00F10200002D"/>
    <s v="GI00F10200002D SISTEMA DE PARTICIPACION CIUDADANA"/>
    <s v="73 BIENES Y SERVICIOS PARA INVERSIÓN"/>
    <s v="730205 Espectáculos Culturales y Sociales"/>
    <s v="G/730205/1FF102"/>
    <s v="001"/>
    <n v="4000"/>
    <n v="0"/>
    <n v="0"/>
    <n v="4000"/>
    <n v="0"/>
    <n v="0"/>
    <n v="0"/>
    <n v="4000"/>
    <n v="4000"/>
    <n v="4000"/>
  </r>
  <r>
    <s v="73"/>
    <x v="2"/>
    <x v="11"/>
    <s v="ZC09F090"/>
    <x v="44"/>
    <s v="F102"/>
    <s v="PARTICIPACION CIUDADANA"/>
    <s v="GI00F10200002D"/>
    <s v="GI00F10200002D SISTEMA DE PARTICIPACION CIUDADANA"/>
    <s v="73 BIENES Y SERVICIOS PARA INVERSIÓN"/>
    <s v="730205 Espectáculos Culturales y Sociales"/>
    <s v="G/730205/1FF102"/>
    <s v="001"/>
    <n v="1906.48"/>
    <n v="0"/>
    <n v="0"/>
    <n v="1906.48"/>
    <n v="0"/>
    <n v="0"/>
    <n v="0"/>
    <n v="1906.48"/>
    <n v="1906.48"/>
    <n v="1906.48"/>
  </r>
  <r>
    <s v="73"/>
    <x v="2"/>
    <x v="11"/>
    <s v="ZD07F070"/>
    <x v="43"/>
    <s v="F102"/>
    <s v="PARTICIPACION CIUDADANA"/>
    <s v="GI00F10200002D"/>
    <s v="GI00F10200002D SISTEMA DE PARTICIPACION CIUDADANA"/>
    <s v="73 BIENES Y SERVICIOS PARA INVERSIÓN"/>
    <s v="730205 Espectáculos Culturales y Sociales"/>
    <s v="G/730205/1FF102"/>
    <s v="001"/>
    <n v="16395.41"/>
    <n v="0"/>
    <n v="0"/>
    <n v="16395.41"/>
    <n v="0"/>
    <n v="0"/>
    <n v="0"/>
    <n v="16395.41"/>
    <n v="16395.41"/>
    <n v="16395.41"/>
  </r>
  <r>
    <s v="73"/>
    <x v="2"/>
    <x v="11"/>
    <s v="ZS03F030"/>
    <x v="38"/>
    <s v="F102"/>
    <s v="PARTICIPACION CIUDADANA"/>
    <s v="GI00F10200002D"/>
    <s v="GI00F10200002D SISTEMA DE PARTICIPACION CIUDADANA"/>
    <s v="73 BIENES Y SERVICIOS PARA INVERSIÓN"/>
    <s v="730205 Espectáculos Culturales y Sociales"/>
    <s v="G/730205/1FF102"/>
    <s v="001"/>
    <n v="7500"/>
    <n v="0"/>
    <n v="0"/>
    <n v="7500"/>
    <n v="0"/>
    <n v="0"/>
    <n v="0"/>
    <n v="7500"/>
    <n v="7500"/>
    <n v="7500"/>
  </r>
  <r>
    <s v="73"/>
    <x v="2"/>
    <x v="11"/>
    <s v="ZM04F040"/>
    <x v="41"/>
    <s v="F102"/>
    <s v="PARTICIPACION CIUDADANA"/>
    <s v="GI00F10200002D"/>
    <s v="GI00F10200002D SISTEMA DE PARTICIPACION CIUDADANA"/>
    <s v="73 BIENES Y SERVICIOS PARA INVERSIÓN"/>
    <s v="730205 Espectáculos Culturales y Sociales"/>
    <s v="G/730205/1FF102"/>
    <s v="001"/>
    <n v="46491.57"/>
    <n v="0"/>
    <n v="0"/>
    <n v="46491.57"/>
    <n v="0"/>
    <n v="0"/>
    <n v="0"/>
    <n v="46491.57"/>
    <n v="46491.57"/>
    <n v="46491.57"/>
  </r>
  <r>
    <s v="73"/>
    <x v="2"/>
    <x v="11"/>
    <s v="ZA01F000"/>
    <x v="31"/>
    <s v="F102"/>
    <s v="PARTICIPACION CIUDADANA"/>
    <s v="GI00F10200002D"/>
    <s v="GI00F10200002D SISTEMA DE PARTICIPACION CIUDADANA"/>
    <s v="73 BIENES Y SERVICIOS PARA INVERSIÓN"/>
    <s v="730205 Espectáculos Culturales y Sociales"/>
    <s v="G/730205/1FF102"/>
    <s v="001"/>
    <n v="4772.79"/>
    <n v="0"/>
    <n v="0"/>
    <n v="4772.79"/>
    <n v="0"/>
    <n v="0"/>
    <n v="0"/>
    <n v="4772.79"/>
    <n v="4772.79"/>
    <n v="4772.79"/>
  </r>
  <r>
    <s v="73"/>
    <x v="2"/>
    <x v="11"/>
    <s v="ZQ08F080"/>
    <x v="39"/>
    <s v="F102"/>
    <s v="PARTICIPACION CIUDADANA"/>
    <s v="GI00F10200002D"/>
    <s v="GI00F10200002D SISTEMA DE PARTICIPACION CIUDADANA"/>
    <s v="73 BIENES Y SERVICIOS PARA INVERSIÓN"/>
    <s v="730205 Espectáculos Culturales y Sociales"/>
    <s v="G/730205/1FF102"/>
    <s v="001"/>
    <n v="13000"/>
    <n v="0"/>
    <n v="0"/>
    <n v="13000"/>
    <n v="0"/>
    <n v="0"/>
    <n v="0"/>
    <n v="13000"/>
    <n v="13000"/>
    <n v="13000"/>
  </r>
  <r>
    <s v="73"/>
    <x v="2"/>
    <x v="11"/>
    <s v="ZV05F050"/>
    <x v="37"/>
    <s v="F102"/>
    <s v="PARTICIPACION CIUDADANA"/>
    <s v="GI00F10200002D"/>
    <s v="GI00F10200002D SISTEMA DE PARTICIPACION CIUDADANA"/>
    <s v="73 BIENES Y SERVICIOS PARA INVERSIÓN"/>
    <s v="730205 Espectáculos Culturales y Sociales"/>
    <s v="G/730205/1FF102"/>
    <s v="001"/>
    <n v="2477.34"/>
    <n v="0"/>
    <n v="0"/>
    <n v="2477.34"/>
    <n v="0"/>
    <n v="0"/>
    <n v="0"/>
    <n v="2477.34"/>
    <n v="2477.34"/>
    <n v="2477.34"/>
  </r>
  <r>
    <s v="73"/>
    <x v="2"/>
    <x v="11"/>
    <s v="TM68F100"/>
    <x v="34"/>
    <s v="F102"/>
    <s v="PARTICIPACION CIUDADANA"/>
    <s v="GI00F10200002D"/>
    <s v="GI00F10200002D SISTEMA DE PARTICIPACION CIUDADANA"/>
    <s v="73 BIENES Y SERVICIOS PARA INVERSIÓN"/>
    <s v="730205 Espectáculos Culturales y Sociales"/>
    <s v="G/730205/1FF102"/>
    <s v="001"/>
    <n v="348.47"/>
    <n v="0"/>
    <n v="0"/>
    <n v="348.47"/>
    <n v="0"/>
    <n v="0"/>
    <n v="0"/>
    <n v="348.47"/>
    <n v="348.47"/>
    <n v="348.47"/>
  </r>
  <r>
    <s v="73"/>
    <x v="2"/>
    <x v="11"/>
    <s v="ZA01F000"/>
    <x v="31"/>
    <s v="F102"/>
    <s v="PARTICIPACION CIUDADANA"/>
    <s v="GI00F10200002D"/>
    <s v="GI00F10200002D SISTEMA DE PARTICIPACION CIUDADANA"/>
    <s v="73 BIENES Y SERVICIOS PARA INVERSIÓN"/>
    <s v="730207 Difusión, Información y Publicidad"/>
    <s v="G/730207/1FF102"/>
    <s v="001"/>
    <n v="7500"/>
    <n v="0"/>
    <n v="0"/>
    <n v="7500"/>
    <n v="0"/>
    <n v="0"/>
    <n v="0"/>
    <n v="7500"/>
    <n v="7500"/>
    <n v="7500"/>
  </r>
  <r>
    <s v="73"/>
    <x v="2"/>
    <x v="11"/>
    <s v="ZT06F060"/>
    <x v="25"/>
    <s v="F102"/>
    <s v="PARTICIPACION CIUDADANA"/>
    <s v="GI00F10200002D"/>
    <s v="GI00F10200002D SISTEMA DE PARTICIPACION CIUDADANA"/>
    <s v="73 BIENES Y SERVICIOS PARA INVERSIÓN"/>
    <s v="730235 Servicio de Alimentación"/>
    <s v="G/730235/1FF102"/>
    <s v="001"/>
    <n v="1000"/>
    <n v="0"/>
    <n v="0"/>
    <n v="1000"/>
    <n v="0"/>
    <n v="0"/>
    <n v="0"/>
    <n v="1000"/>
    <n v="1000"/>
    <n v="1000"/>
  </r>
  <r>
    <s v="73"/>
    <x v="2"/>
    <x v="11"/>
    <s v="ZQ08F080"/>
    <x v="39"/>
    <s v="F102"/>
    <s v="PARTICIPACION CIUDADANA"/>
    <s v="GI00F10200002D"/>
    <s v="GI00F10200002D SISTEMA DE PARTICIPACION CIUDADANA"/>
    <s v="73 BIENES Y SERVICIOS PARA INVERSIÓN"/>
    <s v="730235 Servicio de Alimentación"/>
    <s v="G/730235/1FF102"/>
    <s v="001"/>
    <n v="6172.82"/>
    <n v="0"/>
    <n v="0"/>
    <n v="6172.82"/>
    <n v="0"/>
    <n v="0"/>
    <n v="0"/>
    <n v="6172.82"/>
    <n v="6172.82"/>
    <n v="6172.82"/>
  </r>
  <r>
    <s v="73"/>
    <x v="2"/>
    <x v="11"/>
    <s v="ZS03F030"/>
    <x v="38"/>
    <s v="F102"/>
    <s v="PARTICIPACION CIUDADANA"/>
    <s v="GI00F10200002D"/>
    <s v="GI00F10200002D SISTEMA DE PARTICIPACION CIUDADANA"/>
    <s v="73 BIENES Y SERVICIOS PARA INVERSIÓN"/>
    <s v="730235 Servicio de Alimentación"/>
    <s v="G/730235/1FF102"/>
    <s v="001"/>
    <n v="4500"/>
    <n v="0"/>
    <n v="0"/>
    <n v="4500"/>
    <n v="0"/>
    <n v="0"/>
    <n v="0"/>
    <n v="4500"/>
    <n v="4500"/>
    <n v="4500"/>
  </r>
  <r>
    <s v="73"/>
    <x v="2"/>
    <x v="11"/>
    <s v="ZV05F050"/>
    <x v="37"/>
    <s v="F102"/>
    <s v="PARTICIPACION CIUDADANA"/>
    <s v="GI00F10200002D"/>
    <s v="GI00F10200002D SISTEMA DE PARTICIPACION CIUDADANA"/>
    <s v="73 BIENES Y SERVICIOS PARA INVERSIÓN"/>
    <s v="730235 Servicio de Alimentación"/>
    <s v="G/730235/1FF102"/>
    <s v="001"/>
    <n v="7000"/>
    <n v="0"/>
    <n v="0"/>
    <n v="7000"/>
    <n v="0"/>
    <n v="0"/>
    <n v="0"/>
    <n v="7000"/>
    <n v="7000"/>
    <n v="7000"/>
  </r>
  <r>
    <s v="73"/>
    <x v="2"/>
    <x v="11"/>
    <s v="ZC09F090"/>
    <x v="44"/>
    <s v="F102"/>
    <s v="PARTICIPACION CIUDADANA"/>
    <s v="GI00F10200002D"/>
    <s v="GI00F10200002D SISTEMA DE PARTICIPACION CIUDADANA"/>
    <s v="73 BIENES Y SERVICIOS PARA INVERSIÓN"/>
    <s v="730235 Servicio de Alimentación"/>
    <s v="G/730235/1FF102"/>
    <s v="001"/>
    <n v="4000"/>
    <n v="0"/>
    <n v="0"/>
    <n v="4000"/>
    <n v="0"/>
    <n v="0"/>
    <n v="0"/>
    <n v="4000"/>
    <n v="4000"/>
    <n v="4000"/>
  </r>
  <r>
    <s v="73"/>
    <x v="2"/>
    <x v="11"/>
    <s v="ZD07F070"/>
    <x v="43"/>
    <s v="F102"/>
    <s v="PARTICIPACION CIUDADANA"/>
    <s v="GI00F10200002D"/>
    <s v="GI00F10200002D SISTEMA DE PARTICIPACION CIUDADANA"/>
    <s v="73 BIENES Y SERVICIOS PARA INVERSIÓN"/>
    <s v="730235 Servicio de Alimentación"/>
    <s v="G/730235/1FF102"/>
    <s v="001"/>
    <n v="1845"/>
    <n v="0"/>
    <n v="0"/>
    <n v="1845"/>
    <n v="0"/>
    <n v="0"/>
    <n v="0"/>
    <n v="1845"/>
    <n v="1845"/>
    <n v="1845"/>
  </r>
  <r>
    <s v="73"/>
    <x v="2"/>
    <x v="11"/>
    <s v="ZN02F020"/>
    <x v="40"/>
    <s v="F102"/>
    <s v="PARTICIPACION CIUDADANA"/>
    <s v="GI00F10200002D"/>
    <s v="GI00F10200002D SISTEMA DE PARTICIPACION CIUDADANA"/>
    <s v="73 BIENES Y SERVICIOS PARA INVERSIÓN"/>
    <s v="730235 Servicio de Alimentación"/>
    <s v="G/730235/1FF102"/>
    <s v="001"/>
    <n v="2000"/>
    <n v="0"/>
    <n v="0"/>
    <n v="2000"/>
    <n v="0"/>
    <n v="0"/>
    <n v="0"/>
    <n v="2000"/>
    <n v="2000"/>
    <n v="2000"/>
  </r>
  <r>
    <s v="73"/>
    <x v="2"/>
    <x v="11"/>
    <s v="ZC09F090"/>
    <x v="44"/>
    <s v="F102"/>
    <s v="PARTICIPACION CIUDADANA"/>
    <s v="GI00F10200002D"/>
    <s v="GI00F10200002D SISTEMA DE PARTICIPACION CIUDADANA"/>
    <s v="73 BIENES Y SERVICIOS PARA INVERSIÓN"/>
    <s v="730248 Eventos Oficiales"/>
    <s v="G/730248/1FF102"/>
    <s v="001"/>
    <n v="7152.23"/>
    <n v="0"/>
    <n v="0"/>
    <n v="7152.23"/>
    <n v="0"/>
    <n v="0"/>
    <n v="0"/>
    <n v="7152.23"/>
    <n v="7152.23"/>
    <n v="7152.23"/>
  </r>
  <r>
    <s v="73"/>
    <x v="2"/>
    <x v="11"/>
    <s v="ZD07F070"/>
    <x v="43"/>
    <s v="F102"/>
    <s v="PARTICIPACION CIUDADANA"/>
    <s v="GI00F10200002D"/>
    <s v="GI00F10200002D SISTEMA DE PARTICIPACION CIUDADANA"/>
    <s v="73 BIENES Y SERVICIOS PARA INVERSIÓN"/>
    <s v="730504 Maquinarias y Equipos (Arrendamiento)"/>
    <s v="G/730504/1FF102"/>
    <s v="001"/>
    <n v="16739.79"/>
    <n v="0"/>
    <n v="0"/>
    <n v="16739.79"/>
    <n v="0"/>
    <n v="0"/>
    <n v="0"/>
    <n v="16739.79"/>
    <n v="16739.79"/>
    <n v="16739.79"/>
  </r>
  <r>
    <s v="73"/>
    <x v="2"/>
    <x v="11"/>
    <s v="ZS03F030"/>
    <x v="38"/>
    <s v="F102"/>
    <s v="PARTICIPACION CIUDADANA"/>
    <s v="GI00F10200002D"/>
    <s v="GI00F10200002D SISTEMA DE PARTICIPACION CIUDADANA"/>
    <s v="73 BIENES Y SERVICIOS PARA INVERSIÓN"/>
    <s v="730504 Maquinarias y Equipos (Arrendamiento)"/>
    <s v="G/730504/1FF102"/>
    <s v="001"/>
    <n v="10900.35"/>
    <n v="0"/>
    <n v="0"/>
    <n v="10900.35"/>
    <n v="10900.35"/>
    <n v="0"/>
    <n v="0"/>
    <n v="10900.35"/>
    <n v="10900.35"/>
    <n v="0"/>
  </r>
  <r>
    <s v="73"/>
    <x v="2"/>
    <x v="11"/>
    <s v="ZD07F070"/>
    <x v="43"/>
    <s v="F102"/>
    <s v="PARTICIPACION CIUDADANA"/>
    <s v="GI00F10200002D"/>
    <s v="GI00F10200002D SISTEMA DE PARTICIPACION CIUDADANA"/>
    <s v="73 BIENES Y SERVICIOS PARA INVERSIÓN"/>
    <s v="730505 Vehículos (Arrendamiento)"/>
    <s v="G/730505/1FF102"/>
    <s v="001"/>
    <n v="1300"/>
    <n v="0"/>
    <n v="0"/>
    <n v="1300"/>
    <n v="0"/>
    <n v="0"/>
    <n v="0"/>
    <n v="1300"/>
    <n v="1300"/>
    <n v="1300"/>
  </r>
  <r>
    <s v="73"/>
    <x v="2"/>
    <x v="11"/>
    <s v="ZT06F060"/>
    <x v="25"/>
    <s v="F102"/>
    <s v="PARTICIPACION CIUDADANA"/>
    <s v="GI00F10200002D"/>
    <s v="GI00F10200002D SISTEMA DE PARTICIPACION CIUDADANA"/>
    <s v="73 BIENES Y SERVICIOS PARA INVERSIÓN"/>
    <s v="730505 Vehículos (Arrendamiento)"/>
    <s v="G/730505/1FF102"/>
    <s v="001"/>
    <n v="9353.44"/>
    <n v="0"/>
    <n v="0"/>
    <n v="9353.44"/>
    <n v="0"/>
    <n v="0"/>
    <n v="0"/>
    <n v="9353.44"/>
    <n v="9353.44"/>
    <n v="9353.44"/>
  </r>
  <r>
    <s v="73"/>
    <x v="2"/>
    <x v="11"/>
    <s v="ZC09F090"/>
    <x v="44"/>
    <s v="F102"/>
    <s v="PARTICIPACION CIUDADANA"/>
    <s v="GI00F10200002D"/>
    <s v="GI00F10200002D SISTEMA DE PARTICIPACION CIUDADANA"/>
    <s v="73 BIENES Y SERVICIOS PARA INVERSIÓN"/>
    <s v="730505 Vehículos (Arrendamiento)"/>
    <s v="G/730505/1FF102"/>
    <s v="001"/>
    <n v="1800"/>
    <n v="0"/>
    <n v="0"/>
    <n v="1800"/>
    <n v="0"/>
    <n v="0"/>
    <n v="0"/>
    <n v="1800"/>
    <n v="1800"/>
    <n v="1800"/>
  </r>
  <r>
    <s v="73"/>
    <x v="2"/>
    <x v="11"/>
    <s v="ZQ08F080"/>
    <x v="39"/>
    <s v="F102"/>
    <s v="PARTICIPACION CIUDADANA"/>
    <s v="GI00F10200002D"/>
    <s v="GI00F10200002D SISTEMA DE PARTICIPACION CIUDADANA"/>
    <s v="73 BIENES Y SERVICIOS PARA INVERSIÓN"/>
    <s v="730505 Vehículos (Arrendamiento)"/>
    <s v="G/730505/1FF102"/>
    <s v="001"/>
    <n v="3400"/>
    <n v="0"/>
    <n v="0"/>
    <n v="3400"/>
    <n v="0"/>
    <n v="0"/>
    <n v="0"/>
    <n v="3400"/>
    <n v="3400"/>
    <n v="3400"/>
  </r>
  <r>
    <s v="73"/>
    <x v="2"/>
    <x v="11"/>
    <s v="ZS03F030"/>
    <x v="38"/>
    <s v="F102"/>
    <s v="PARTICIPACION CIUDADANA"/>
    <s v="GI00F10200002D"/>
    <s v="GI00F10200002D SISTEMA DE PARTICIPACION CIUDADANA"/>
    <s v="73 BIENES Y SERVICIOS PARA INVERSIÓN"/>
    <s v="730505 Vehículos (Arrendamiento)"/>
    <s v="G/730505/1FF102"/>
    <s v="001"/>
    <n v="5500"/>
    <n v="0"/>
    <n v="0"/>
    <n v="5500"/>
    <n v="0"/>
    <n v="0"/>
    <n v="0"/>
    <n v="5500"/>
    <n v="5500"/>
    <n v="5500"/>
  </r>
  <r>
    <s v="73"/>
    <x v="2"/>
    <x v="11"/>
    <s v="ZN02F020"/>
    <x v="40"/>
    <s v="F102"/>
    <s v="PARTICIPACION CIUDADANA"/>
    <s v="GI00F10200002D"/>
    <s v="GI00F10200002D SISTEMA DE PARTICIPACION CIUDADANA"/>
    <s v="73 BIENES Y SERVICIOS PARA INVERSIÓN"/>
    <s v="730505 Vehículos (Arrendamiento)"/>
    <s v="G/730505/1FF102"/>
    <s v="001"/>
    <n v="14124.51"/>
    <n v="0"/>
    <n v="0"/>
    <n v="14124.51"/>
    <n v="0"/>
    <n v="0"/>
    <n v="0"/>
    <n v="14124.51"/>
    <n v="14124.51"/>
    <n v="14124.51"/>
  </r>
  <r>
    <s v="73"/>
    <x v="2"/>
    <x v="11"/>
    <s v="ZD07F070"/>
    <x v="43"/>
    <s v="F102"/>
    <s v="PARTICIPACION CIUDADANA"/>
    <s v="GI00F10200002D"/>
    <s v="GI00F10200002D SISTEMA DE PARTICIPACION CIUDADANA"/>
    <s v="73 BIENES Y SERVICIOS PARA INVERSIÓN"/>
    <s v="730606 Honorarios por Contratos Civiles de Servici"/>
    <s v="G/730606/1FF102"/>
    <s v="001"/>
    <n v="11200"/>
    <n v="0"/>
    <n v="0"/>
    <n v="11200"/>
    <n v="0"/>
    <n v="0"/>
    <n v="0"/>
    <n v="11200"/>
    <n v="11200"/>
    <n v="11200"/>
  </r>
  <r>
    <s v="73"/>
    <x v="2"/>
    <x v="11"/>
    <s v="ZN02F020"/>
    <x v="40"/>
    <s v="F102"/>
    <s v="PARTICIPACION CIUDADANA"/>
    <s v="GI00F10200002D"/>
    <s v="GI00F10200002D SISTEMA DE PARTICIPACION CIUDADANA"/>
    <s v="73 BIENES Y SERVICIOS PARA INVERSIÓN"/>
    <s v="730606 Honorarios por Contratos Civiles de Servici"/>
    <s v="G/730606/1FF102"/>
    <s v="001"/>
    <n v="11500"/>
    <n v="0"/>
    <n v="0"/>
    <n v="11500"/>
    <n v="0"/>
    <n v="0"/>
    <n v="0"/>
    <n v="11500"/>
    <n v="11500"/>
    <n v="11500"/>
  </r>
  <r>
    <s v="73"/>
    <x v="2"/>
    <x v="11"/>
    <s v="ZA01F000"/>
    <x v="31"/>
    <s v="F102"/>
    <s v="PARTICIPACION CIUDADANA"/>
    <s v="GI00F10200002D"/>
    <s v="GI00F10200002D SISTEMA DE PARTICIPACION CIUDADANA"/>
    <s v="73 BIENES Y SERVICIOS PARA INVERSIÓN"/>
    <s v="730606 Honorarios por Contratos Civiles de Servici"/>
    <s v="G/730606/1FF102"/>
    <s v="001"/>
    <n v="15360"/>
    <n v="0"/>
    <n v="0"/>
    <n v="15360"/>
    <n v="0"/>
    <n v="0"/>
    <n v="0"/>
    <n v="15360"/>
    <n v="15360"/>
    <n v="15360"/>
  </r>
  <r>
    <s v="73"/>
    <x v="2"/>
    <x v="11"/>
    <s v="ZC09F090"/>
    <x v="44"/>
    <s v="F102"/>
    <s v="PARTICIPACION CIUDADANA"/>
    <s v="GI00F10200002D"/>
    <s v="GI00F10200002D SISTEMA DE PARTICIPACION CIUDADANA"/>
    <s v="73 BIENES Y SERVICIOS PARA INVERSIÓN"/>
    <s v="730613 Capacitación para la Ciudadanía en Gener"/>
    <s v="G/730613/1FF102"/>
    <s v="001"/>
    <n v="2000"/>
    <n v="0"/>
    <n v="0"/>
    <n v="2000"/>
    <n v="0"/>
    <n v="0"/>
    <n v="0"/>
    <n v="2000"/>
    <n v="2000"/>
    <n v="2000"/>
  </r>
  <r>
    <s v="73"/>
    <x v="2"/>
    <x v="11"/>
    <s v="ZT06F060"/>
    <x v="25"/>
    <s v="F102"/>
    <s v="PARTICIPACION CIUDADANA"/>
    <s v="GI00F10200002D"/>
    <s v="GI00F10200002D SISTEMA DE PARTICIPACION CIUDADANA"/>
    <s v="73 BIENES Y SERVICIOS PARA INVERSIÓN"/>
    <s v="730613 Capacitación para la Ciudadanía en Gener"/>
    <s v="G/730613/1FF102"/>
    <s v="001"/>
    <n v="21015.599999999999"/>
    <n v="0"/>
    <n v="0"/>
    <n v="21015.599999999999"/>
    <n v="0"/>
    <n v="0"/>
    <n v="0"/>
    <n v="21015.599999999999"/>
    <n v="21015.599999999999"/>
    <n v="21015.599999999999"/>
  </r>
  <r>
    <s v="73"/>
    <x v="2"/>
    <x v="11"/>
    <s v="ZD07F070"/>
    <x v="43"/>
    <s v="F102"/>
    <s v="PARTICIPACION CIUDADANA"/>
    <s v="GI00F10200002D"/>
    <s v="GI00F10200002D SISTEMA DE PARTICIPACION CIUDADANA"/>
    <s v="73 BIENES Y SERVICIOS PARA INVERSIÓN"/>
    <s v="730613 Capacitación para la Ciudadanía en Gener"/>
    <s v="G/730613/1FF102"/>
    <s v="001"/>
    <n v="3000"/>
    <n v="0"/>
    <n v="0"/>
    <n v="3000"/>
    <n v="0"/>
    <n v="0"/>
    <n v="0"/>
    <n v="3000"/>
    <n v="3000"/>
    <n v="3000"/>
  </r>
  <r>
    <s v="73"/>
    <x v="2"/>
    <x v="11"/>
    <s v="ZS03F030"/>
    <x v="38"/>
    <s v="F102"/>
    <s v="PARTICIPACION CIUDADANA"/>
    <s v="GI00F10200002D"/>
    <s v="GI00F10200002D SISTEMA DE PARTICIPACION CIUDADANA"/>
    <s v="73 BIENES Y SERVICIOS PARA INVERSIÓN"/>
    <s v="730613 Capacitación para la Ciudadanía en Gener"/>
    <s v="G/730613/1FF102"/>
    <s v="001"/>
    <n v="6500"/>
    <n v="0"/>
    <n v="0"/>
    <n v="6500"/>
    <n v="0"/>
    <n v="0"/>
    <n v="0"/>
    <n v="6500"/>
    <n v="6500"/>
    <n v="6500"/>
  </r>
  <r>
    <s v="73"/>
    <x v="2"/>
    <x v="11"/>
    <s v="ZN02F020"/>
    <x v="40"/>
    <s v="F102"/>
    <s v="PARTICIPACION CIUDADANA"/>
    <s v="GI00F10200002D"/>
    <s v="GI00F10200002D SISTEMA DE PARTICIPACION CIUDADANA"/>
    <s v="73 BIENES Y SERVICIOS PARA INVERSIÓN"/>
    <s v="730613 Capacitación para la Ciudadanía en Gener"/>
    <s v="G/730613/1FF102"/>
    <s v="001"/>
    <n v="3000"/>
    <n v="0"/>
    <n v="0"/>
    <n v="3000"/>
    <n v="0"/>
    <n v="0"/>
    <n v="0"/>
    <n v="3000"/>
    <n v="3000"/>
    <n v="3000"/>
  </r>
  <r>
    <s v="73"/>
    <x v="2"/>
    <x v="11"/>
    <s v="ZQ08F080"/>
    <x v="39"/>
    <s v="F102"/>
    <s v="PARTICIPACION CIUDADANA"/>
    <s v="GI00F10200002D"/>
    <s v="GI00F10200002D SISTEMA DE PARTICIPACION CIUDADANA"/>
    <s v="73 BIENES Y SERVICIOS PARA INVERSIÓN"/>
    <s v="730613 Capacitación para la Ciudadanía en Gener"/>
    <s v="G/730613/1FF102"/>
    <s v="001"/>
    <n v="4500"/>
    <n v="0"/>
    <n v="0"/>
    <n v="4500"/>
    <n v="0"/>
    <n v="0"/>
    <n v="0"/>
    <n v="4500"/>
    <n v="4500"/>
    <n v="4500"/>
  </r>
  <r>
    <s v="73"/>
    <x v="2"/>
    <x v="11"/>
    <s v="ZV05F050"/>
    <x v="37"/>
    <s v="F102"/>
    <s v="PARTICIPACION CIUDADANA"/>
    <s v="GI00F10200002D"/>
    <s v="GI00F10200002D SISTEMA DE PARTICIPACION CIUDADANA"/>
    <s v="73 BIENES Y SERVICIOS PARA INVERSIÓN"/>
    <s v="730613 Capacitación para la Ciudadanía en Gener"/>
    <s v="G/730613/1FF102"/>
    <s v="001"/>
    <n v="3000"/>
    <n v="0"/>
    <n v="0"/>
    <n v="3000"/>
    <n v="0"/>
    <n v="0"/>
    <n v="0"/>
    <n v="3000"/>
    <n v="3000"/>
    <n v="3000"/>
  </r>
  <r>
    <s v="73"/>
    <x v="2"/>
    <x v="11"/>
    <s v="TM68F100"/>
    <x v="34"/>
    <s v="F102"/>
    <s v="PARTICIPACION CIUDADANA"/>
    <s v="GI00F10200002D"/>
    <s v="GI00F10200002D SISTEMA DE PARTICIPACION CIUDADANA"/>
    <s v="73 BIENES Y SERVICIOS PARA INVERSIÓN"/>
    <s v="730613 Capacitación para la Ciudadanía en Gener"/>
    <s v="G/730613/1FF102"/>
    <s v="001"/>
    <n v="1400"/>
    <n v="0"/>
    <n v="0"/>
    <n v="1400"/>
    <n v="0"/>
    <n v="0"/>
    <n v="0"/>
    <n v="1400"/>
    <n v="1400"/>
    <n v="1400"/>
  </r>
  <r>
    <s v="73"/>
    <x v="2"/>
    <x v="11"/>
    <s v="ZM04F040"/>
    <x v="41"/>
    <s v="F102"/>
    <s v="PARTICIPACION CIUDADANA"/>
    <s v="GI00F10200002D"/>
    <s v="GI00F10200002D SISTEMA DE PARTICIPACION CIUDADANA"/>
    <s v="73 BIENES Y SERVICIOS PARA INVERSIÓN"/>
    <s v="730613 Capacitación para la Ciudadanía en Gener"/>
    <s v="G/730613/1FF102"/>
    <s v="001"/>
    <n v="15000"/>
    <n v="0"/>
    <n v="0"/>
    <n v="15000"/>
    <n v="0"/>
    <n v="0"/>
    <n v="0"/>
    <n v="15000"/>
    <n v="15000"/>
    <n v="15000"/>
  </r>
  <r>
    <s v="73"/>
    <x v="2"/>
    <x v="11"/>
    <s v="ZC09F090"/>
    <x v="44"/>
    <s v="F102"/>
    <s v="PARTICIPACION CIUDADANA"/>
    <s v="GI00F10200002D"/>
    <s v="GI00F10200002D SISTEMA DE PARTICIPACION CIUDADANA"/>
    <s v="73 BIENES Y SERVICIOS PARA INVERSIÓN"/>
    <s v="730802 Vestuario, Lencería, Prendas de Protecci"/>
    <s v="G/730802/1FF102"/>
    <s v="001"/>
    <n v="4000"/>
    <n v="0"/>
    <n v="0"/>
    <n v="4000"/>
    <n v="0"/>
    <n v="0"/>
    <n v="0"/>
    <n v="4000"/>
    <n v="4000"/>
    <n v="4000"/>
  </r>
  <r>
    <s v="73"/>
    <x v="2"/>
    <x v="11"/>
    <s v="ZM04F040"/>
    <x v="41"/>
    <s v="F102"/>
    <s v="PARTICIPACION CIUDADANA"/>
    <s v="GI00F10200002D"/>
    <s v="GI00F10200002D SISTEMA DE PARTICIPACION CIUDADANA"/>
    <s v="73 BIENES Y SERVICIOS PARA INVERSIÓN"/>
    <s v="730802 Vestuario, Lencería, Prendas de Protecci"/>
    <s v="G/730802/1FF102"/>
    <s v="001"/>
    <n v="10000"/>
    <n v="0"/>
    <n v="0"/>
    <n v="10000"/>
    <n v="0"/>
    <n v="0"/>
    <n v="0"/>
    <n v="10000"/>
    <n v="10000"/>
    <n v="10000"/>
  </r>
  <r>
    <s v="73"/>
    <x v="2"/>
    <x v="11"/>
    <s v="ZQ08F080"/>
    <x v="39"/>
    <s v="F102"/>
    <s v="PARTICIPACION CIUDADANA"/>
    <s v="GI00F10200002D"/>
    <s v="GI00F10200002D SISTEMA DE PARTICIPACION CIUDADANA"/>
    <s v="73 BIENES Y SERVICIOS PARA INVERSIÓN"/>
    <s v="730804 Materiales de Oficina"/>
    <s v="G/730804/1FF102"/>
    <s v="001"/>
    <n v="2000"/>
    <n v="0"/>
    <n v="0"/>
    <n v="2000"/>
    <n v="0"/>
    <n v="0"/>
    <n v="0"/>
    <n v="2000"/>
    <n v="2000"/>
    <n v="2000"/>
  </r>
  <r>
    <s v="73"/>
    <x v="2"/>
    <x v="11"/>
    <s v="ZS03F030"/>
    <x v="38"/>
    <s v="F102"/>
    <s v="PARTICIPACION CIUDADANA"/>
    <s v="GI00F10200002D"/>
    <s v="GI00F10200002D SISTEMA DE PARTICIPACION CIUDADANA"/>
    <s v="73 BIENES Y SERVICIOS PARA INVERSIÓN"/>
    <s v="730807 Materiales de Impresión, Fotografía, Rep"/>
    <s v="G/730807/1FF102"/>
    <s v="001"/>
    <n v="3000"/>
    <n v="0"/>
    <n v="0"/>
    <n v="3000"/>
    <n v="0"/>
    <n v="0"/>
    <n v="0"/>
    <n v="3000"/>
    <n v="3000"/>
    <n v="3000"/>
  </r>
  <r>
    <s v="73"/>
    <x v="2"/>
    <x v="11"/>
    <s v="ZS03F030"/>
    <x v="38"/>
    <s v="F102"/>
    <s v="PARTICIPACION CIUDADANA"/>
    <s v="GI00F10200002D"/>
    <s v="GI00F10200002D SISTEMA DE PARTICIPACION CIUDADANA"/>
    <s v="73 BIENES Y SERVICIOS PARA INVERSIÓN"/>
    <s v="730811 Insumos, Materiales y Suministros para Cons"/>
    <s v="G/730811/1FF102"/>
    <s v="001"/>
    <n v="8500"/>
    <n v="0"/>
    <n v="0"/>
    <n v="8500"/>
    <n v="1778.27"/>
    <n v="6721.73"/>
    <n v="0"/>
    <n v="1778.27"/>
    <n v="8500"/>
    <n v="0"/>
  </r>
  <r>
    <s v="73"/>
    <x v="2"/>
    <x v="11"/>
    <s v="ZC09F090"/>
    <x v="44"/>
    <s v="F102"/>
    <s v="PARTICIPACION CIUDADANA"/>
    <s v="GI00F10200002D"/>
    <s v="GI00F10200002D SISTEMA DE PARTICIPACION CIUDADANA"/>
    <s v="73 BIENES Y SERVICIOS PARA INVERSIÓN"/>
    <s v="730811 Insumos, Materiales y Suministros para Cons"/>
    <s v="G/730811/1FF102"/>
    <s v="001"/>
    <n v="1500"/>
    <n v="0"/>
    <n v="0"/>
    <n v="1500"/>
    <n v="0"/>
    <n v="0"/>
    <n v="0"/>
    <n v="1500"/>
    <n v="1500"/>
    <n v="1500"/>
  </r>
  <r>
    <s v="73"/>
    <x v="2"/>
    <x v="11"/>
    <s v="ZN02F020"/>
    <x v="40"/>
    <s v="F102"/>
    <s v="PARTICIPACION CIUDADANA"/>
    <s v="GI00F10200002D"/>
    <s v="GI00F10200002D SISTEMA DE PARTICIPACION CIUDADANA"/>
    <s v="73 BIENES Y SERVICIOS PARA INVERSIÓN"/>
    <s v="730811 Insumos, Materiales y Suministros para Cons"/>
    <s v="G/730811/1FF102"/>
    <s v="001"/>
    <n v="3000"/>
    <n v="0"/>
    <n v="0"/>
    <n v="3000"/>
    <n v="0"/>
    <n v="0"/>
    <n v="0"/>
    <n v="3000"/>
    <n v="3000"/>
    <n v="3000"/>
  </r>
  <r>
    <s v="73"/>
    <x v="2"/>
    <x v="11"/>
    <s v="ZM04F040"/>
    <x v="41"/>
    <s v="F102"/>
    <s v="PARTICIPACION CIUDADANA"/>
    <s v="GI00F10200002D"/>
    <s v="GI00F10200002D SISTEMA DE PARTICIPACION CIUDADANA"/>
    <s v="73 BIENES Y SERVICIOS PARA INVERSIÓN"/>
    <s v="730812 Materiales Didácticos"/>
    <s v="G/730812/1FF102"/>
    <s v="001"/>
    <n v="5000"/>
    <n v="0"/>
    <n v="0"/>
    <n v="5000"/>
    <n v="0"/>
    <n v="0"/>
    <n v="0"/>
    <n v="5000"/>
    <n v="5000"/>
    <n v="5000"/>
  </r>
  <r>
    <s v="73"/>
    <x v="2"/>
    <x v="11"/>
    <s v="ZN02F020"/>
    <x v="40"/>
    <s v="F102"/>
    <s v="PARTICIPACION CIUDADANA"/>
    <s v="GI00F10200003D"/>
    <s v="GI00F10200003D &quot;VOLUNTARIADO &quot;&quot;QUITO ACCION&quot;&quot;&quot;"/>
    <s v="73 BIENES Y SERVICIOS PARA INVERSIÓN"/>
    <s v="730204 Edición, Impresión, Reproducción, Public"/>
    <s v="G/730204/1FF102"/>
    <s v="001"/>
    <n v="2000"/>
    <n v="0"/>
    <n v="0"/>
    <n v="2000"/>
    <n v="0"/>
    <n v="0"/>
    <n v="0"/>
    <n v="2000"/>
    <n v="2000"/>
    <n v="2000"/>
  </r>
  <r>
    <s v="73"/>
    <x v="2"/>
    <x v="11"/>
    <s v="TM68F100"/>
    <x v="34"/>
    <s v="F102"/>
    <s v="PARTICIPACION CIUDADANA"/>
    <s v="GI00F10200003D"/>
    <s v="GI00F10200003D &quot;VOLUNTARIADO &quot;&quot;QUITO ACCION&quot;&quot;&quot;"/>
    <s v="73 BIENES Y SERVICIOS PARA INVERSIÓN"/>
    <s v="730205 Espectáculos Culturales y Sociales"/>
    <s v="G/730205/1FF102"/>
    <s v="001"/>
    <n v="9000"/>
    <n v="0"/>
    <n v="0"/>
    <n v="9000"/>
    <n v="0"/>
    <n v="0"/>
    <n v="0"/>
    <n v="9000"/>
    <n v="9000"/>
    <n v="9000"/>
  </r>
  <r>
    <s v="73"/>
    <x v="2"/>
    <x v="11"/>
    <s v="ZQ08F080"/>
    <x v="39"/>
    <s v="F102"/>
    <s v="PARTICIPACION CIUDADANA"/>
    <s v="GI00F10200003D"/>
    <s v="GI00F10200003D &quot;VOLUNTARIADO &quot;&quot;QUITO ACCION&quot;&quot;&quot;"/>
    <s v="73 BIENES Y SERVICIOS PARA INVERSIÓN"/>
    <s v="730205 Espectáculos Culturales y Sociales"/>
    <s v="G/730205/1FF102"/>
    <s v="001"/>
    <n v="5600"/>
    <n v="0"/>
    <n v="0"/>
    <n v="5600"/>
    <n v="0"/>
    <n v="0"/>
    <n v="0"/>
    <n v="5600"/>
    <n v="5600"/>
    <n v="5600"/>
  </r>
  <r>
    <s v="73"/>
    <x v="2"/>
    <x v="11"/>
    <s v="ZN02F020"/>
    <x v="40"/>
    <s v="F102"/>
    <s v="PARTICIPACION CIUDADANA"/>
    <s v="GI00F10200003D"/>
    <s v="GI00F10200003D &quot;VOLUNTARIADO &quot;&quot;QUITO ACCION&quot;&quot;&quot;"/>
    <s v="73 BIENES Y SERVICIOS PARA INVERSIÓN"/>
    <s v="730205 Espectáculos Culturales y Sociales"/>
    <s v="G/730205/1FF102"/>
    <s v="001"/>
    <n v="4500"/>
    <n v="0"/>
    <n v="0"/>
    <n v="4500"/>
    <n v="0"/>
    <n v="0"/>
    <n v="0"/>
    <n v="4500"/>
    <n v="4500"/>
    <n v="4500"/>
  </r>
  <r>
    <s v="73"/>
    <x v="2"/>
    <x v="11"/>
    <s v="ZS03F030"/>
    <x v="38"/>
    <s v="F102"/>
    <s v="PARTICIPACION CIUDADANA"/>
    <s v="GI00F10200003D"/>
    <s v="GI00F10200003D &quot;VOLUNTARIADO &quot;&quot;QUITO ACCION&quot;&quot;&quot;"/>
    <s v="73 BIENES Y SERVICIOS PARA INVERSIÓN"/>
    <s v="730205 Espectáculos Culturales y Sociales"/>
    <s v="G/730205/1FF102"/>
    <s v="001"/>
    <n v="4775"/>
    <n v="0"/>
    <n v="0"/>
    <n v="4775"/>
    <n v="0"/>
    <n v="0"/>
    <n v="0"/>
    <n v="4775"/>
    <n v="4775"/>
    <n v="4775"/>
  </r>
  <r>
    <s v="73"/>
    <x v="2"/>
    <x v="11"/>
    <s v="ZT06F060"/>
    <x v="25"/>
    <s v="F102"/>
    <s v="PARTICIPACION CIUDADANA"/>
    <s v="GI00F10200003D"/>
    <s v="GI00F10200003D &quot;VOLUNTARIADO &quot;&quot;QUITO ACCION&quot;&quot;&quot;"/>
    <s v="73 BIENES Y SERVICIOS PARA INVERSIÓN"/>
    <s v="730205 Espectáculos Culturales y Sociales"/>
    <s v="G/730205/1FF102"/>
    <s v="001"/>
    <n v="3000"/>
    <n v="0"/>
    <n v="0"/>
    <n v="3000"/>
    <n v="0"/>
    <n v="0"/>
    <n v="0"/>
    <n v="3000"/>
    <n v="3000"/>
    <n v="3000"/>
  </r>
  <r>
    <s v="73"/>
    <x v="2"/>
    <x v="11"/>
    <s v="ZD07F070"/>
    <x v="43"/>
    <s v="F102"/>
    <s v="PARTICIPACION CIUDADANA"/>
    <s v="GI00F10200003D"/>
    <s v="GI00F10200003D &quot;VOLUNTARIADO &quot;&quot;QUITO ACCION&quot;&quot;&quot;"/>
    <s v="73 BIENES Y SERVICIOS PARA INVERSIÓN"/>
    <s v="730205 Espectáculos Culturales y Sociales"/>
    <s v="G/730205/1FF102"/>
    <s v="001"/>
    <n v="7894.24"/>
    <n v="0"/>
    <n v="0"/>
    <n v="7894.24"/>
    <n v="0"/>
    <n v="0"/>
    <n v="0"/>
    <n v="7894.24"/>
    <n v="7894.24"/>
    <n v="7894.24"/>
  </r>
  <r>
    <s v="73"/>
    <x v="2"/>
    <x v="11"/>
    <s v="ZC09F090"/>
    <x v="44"/>
    <s v="F102"/>
    <s v="PARTICIPACION CIUDADANA"/>
    <s v="GI00F10200003D"/>
    <s v="GI00F10200003D &quot;VOLUNTARIADO &quot;&quot;QUITO ACCION&quot;&quot;&quot;"/>
    <s v="73 BIENES Y SERVICIOS PARA INVERSIÓN"/>
    <s v="730205 Espectáculos Culturales y Sociales"/>
    <s v="G/730205/1FF102"/>
    <s v="001"/>
    <n v="5000"/>
    <n v="0"/>
    <n v="0"/>
    <n v="5000"/>
    <n v="0"/>
    <n v="0"/>
    <n v="0"/>
    <n v="5000"/>
    <n v="5000"/>
    <n v="5000"/>
  </r>
  <r>
    <s v="73"/>
    <x v="2"/>
    <x v="11"/>
    <s v="ZA01F000"/>
    <x v="31"/>
    <s v="F102"/>
    <s v="PARTICIPACION CIUDADANA"/>
    <s v="GI00F10200003D"/>
    <s v="GI00F10200003D &quot;VOLUNTARIADO &quot;&quot;QUITO ACCION&quot;&quot;&quot;"/>
    <s v="73 BIENES Y SERVICIOS PARA INVERSIÓN"/>
    <s v="730205 Espectáculos Culturales y Sociales"/>
    <s v="G/730205/1FF102"/>
    <s v="001"/>
    <n v="1800"/>
    <n v="0"/>
    <n v="0"/>
    <n v="1800"/>
    <n v="0"/>
    <n v="0"/>
    <n v="0"/>
    <n v="1800"/>
    <n v="1800"/>
    <n v="1800"/>
  </r>
  <r>
    <s v="73"/>
    <x v="2"/>
    <x v="11"/>
    <s v="ZA01F000"/>
    <x v="31"/>
    <s v="F102"/>
    <s v="PARTICIPACION CIUDADANA"/>
    <s v="GI00F10200003D"/>
    <s v="GI00F10200003D &quot;VOLUNTARIADO &quot;&quot;QUITO ACCION&quot;&quot;&quot;"/>
    <s v="73 BIENES Y SERVICIOS PARA INVERSIÓN"/>
    <s v="730235 Servicio de Alimentación"/>
    <s v="G/730235/1FF102"/>
    <s v="001"/>
    <n v="4000"/>
    <n v="0"/>
    <n v="0"/>
    <n v="4000"/>
    <n v="0"/>
    <n v="0"/>
    <n v="0"/>
    <n v="4000"/>
    <n v="4000"/>
    <n v="4000"/>
  </r>
  <r>
    <s v="73"/>
    <x v="2"/>
    <x v="11"/>
    <s v="ZS03F030"/>
    <x v="38"/>
    <s v="F102"/>
    <s v="PARTICIPACION CIUDADANA"/>
    <s v="GI00F10200003D"/>
    <s v="GI00F10200003D &quot;VOLUNTARIADO &quot;&quot;QUITO ACCION&quot;&quot;&quot;"/>
    <s v="73 BIENES Y SERVICIOS PARA INVERSIÓN"/>
    <s v="730235 Servicio de Alimentación"/>
    <s v="G/730235/1FF102"/>
    <s v="001"/>
    <n v="1000"/>
    <n v="0"/>
    <n v="0"/>
    <n v="1000"/>
    <n v="0"/>
    <n v="0"/>
    <n v="0"/>
    <n v="1000"/>
    <n v="1000"/>
    <n v="1000"/>
  </r>
  <r>
    <s v="73"/>
    <x v="2"/>
    <x v="11"/>
    <s v="ZD07F070"/>
    <x v="43"/>
    <s v="F102"/>
    <s v="PARTICIPACION CIUDADANA"/>
    <s v="GI00F10200003D"/>
    <s v="GI00F10200003D &quot;VOLUNTARIADO &quot;&quot;QUITO ACCION&quot;&quot;&quot;"/>
    <s v="73 BIENES Y SERVICIOS PARA INVERSIÓN"/>
    <s v="730235 Servicio de Alimentación"/>
    <s v="G/730235/1FF102"/>
    <s v="001"/>
    <n v="1600"/>
    <n v="0"/>
    <n v="0"/>
    <n v="1600"/>
    <n v="0"/>
    <n v="0"/>
    <n v="0"/>
    <n v="1600"/>
    <n v="1600"/>
    <n v="1600"/>
  </r>
  <r>
    <s v="73"/>
    <x v="2"/>
    <x v="11"/>
    <s v="ZT06F060"/>
    <x v="25"/>
    <s v="F102"/>
    <s v="PARTICIPACION CIUDADANA"/>
    <s v="GI00F10200003D"/>
    <s v="GI00F10200003D &quot;VOLUNTARIADO &quot;&quot;QUITO ACCION&quot;&quot;&quot;"/>
    <s v="73 BIENES Y SERVICIOS PARA INVERSIÓN"/>
    <s v="730235 Servicio de Alimentación"/>
    <s v="G/730235/1FF102"/>
    <s v="001"/>
    <n v="500"/>
    <n v="0"/>
    <n v="0"/>
    <n v="500"/>
    <n v="0"/>
    <n v="0"/>
    <n v="0"/>
    <n v="500"/>
    <n v="500"/>
    <n v="500"/>
  </r>
  <r>
    <s v="73"/>
    <x v="2"/>
    <x v="11"/>
    <s v="ZQ08F080"/>
    <x v="39"/>
    <s v="F102"/>
    <s v="PARTICIPACION CIUDADANA"/>
    <s v="GI00F10200003D"/>
    <s v="GI00F10200003D &quot;VOLUNTARIADO &quot;&quot;QUITO ACCION&quot;&quot;&quot;"/>
    <s v="73 BIENES Y SERVICIOS PARA INVERSIÓN"/>
    <s v="730235 Servicio de Alimentación"/>
    <s v="G/730235/1FF102"/>
    <s v="001"/>
    <n v="3700"/>
    <n v="0"/>
    <n v="0"/>
    <n v="3700"/>
    <n v="0"/>
    <n v="0"/>
    <n v="0"/>
    <n v="3700"/>
    <n v="3700"/>
    <n v="3700"/>
  </r>
  <r>
    <s v="73"/>
    <x v="2"/>
    <x v="11"/>
    <s v="ZC09F090"/>
    <x v="44"/>
    <s v="F102"/>
    <s v="PARTICIPACION CIUDADANA"/>
    <s v="GI00F10200003D"/>
    <s v="GI00F10200003D &quot;VOLUNTARIADO &quot;&quot;QUITO ACCION&quot;&quot;&quot;"/>
    <s v="73 BIENES Y SERVICIOS PARA INVERSIÓN"/>
    <s v="730505 Vehículos (Arrendamiento)"/>
    <s v="G/730505/1FF102"/>
    <s v="001"/>
    <n v="1000"/>
    <n v="0"/>
    <n v="0"/>
    <n v="1000"/>
    <n v="0"/>
    <n v="0"/>
    <n v="0"/>
    <n v="1000"/>
    <n v="1000"/>
    <n v="1000"/>
  </r>
  <r>
    <s v="73"/>
    <x v="2"/>
    <x v="11"/>
    <s v="ZD07F070"/>
    <x v="43"/>
    <s v="F102"/>
    <s v="PARTICIPACION CIUDADANA"/>
    <s v="GI00F10200003D"/>
    <s v="GI00F10200003D &quot;VOLUNTARIADO &quot;&quot;QUITO ACCION&quot;&quot;&quot;"/>
    <s v="73 BIENES Y SERVICIOS PARA INVERSIÓN"/>
    <s v="730505 Vehículos (Arrendamiento)"/>
    <s v="G/730505/1FF102"/>
    <s v="001"/>
    <n v="1000"/>
    <n v="0"/>
    <n v="0"/>
    <n v="1000"/>
    <n v="0"/>
    <n v="0"/>
    <n v="0"/>
    <n v="1000"/>
    <n v="1000"/>
    <n v="1000"/>
  </r>
  <r>
    <s v="73"/>
    <x v="2"/>
    <x v="11"/>
    <s v="ZT06F060"/>
    <x v="25"/>
    <s v="F102"/>
    <s v="PARTICIPACION CIUDADANA"/>
    <s v="GI00F10200003D"/>
    <s v="GI00F10200003D &quot;VOLUNTARIADO &quot;&quot;QUITO ACCION&quot;&quot;&quot;"/>
    <s v="73 BIENES Y SERVICIOS PARA INVERSIÓN"/>
    <s v="730505 Vehículos (Arrendamiento)"/>
    <s v="G/730505/1FF102"/>
    <s v="001"/>
    <n v="4400"/>
    <n v="0"/>
    <n v="0"/>
    <n v="4400"/>
    <n v="0"/>
    <n v="0"/>
    <n v="0"/>
    <n v="4400"/>
    <n v="4400"/>
    <n v="4400"/>
  </r>
  <r>
    <s v="73"/>
    <x v="2"/>
    <x v="11"/>
    <s v="ZN02F020"/>
    <x v="40"/>
    <s v="F102"/>
    <s v="PARTICIPACION CIUDADANA"/>
    <s v="GI00F10200003D"/>
    <s v="GI00F10200003D &quot;VOLUNTARIADO &quot;&quot;QUITO ACCION&quot;&quot;&quot;"/>
    <s v="73 BIENES Y SERVICIOS PARA INVERSIÓN"/>
    <s v="730505 Vehículos (Arrendamiento)"/>
    <s v="G/730505/1FF102"/>
    <s v="001"/>
    <n v="1500"/>
    <n v="0"/>
    <n v="0"/>
    <n v="1500"/>
    <n v="0"/>
    <n v="0"/>
    <n v="0"/>
    <n v="1500"/>
    <n v="1500"/>
    <n v="1500"/>
  </r>
  <r>
    <s v="73"/>
    <x v="2"/>
    <x v="11"/>
    <s v="ZS03F030"/>
    <x v="38"/>
    <s v="F102"/>
    <s v="PARTICIPACION CIUDADANA"/>
    <s v="GI00F10200003D"/>
    <s v="GI00F10200003D &quot;VOLUNTARIADO &quot;&quot;QUITO ACCION&quot;&quot;&quot;"/>
    <s v="73 BIENES Y SERVICIOS PARA INVERSIÓN"/>
    <s v="730505 Vehículos (Arrendamiento)"/>
    <s v="G/730505/1FF102"/>
    <s v="001"/>
    <n v="1000"/>
    <n v="0"/>
    <n v="0"/>
    <n v="1000"/>
    <n v="0"/>
    <n v="0"/>
    <n v="0"/>
    <n v="1000"/>
    <n v="1000"/>
    <n v="1000"/>
  </r>
  <r>
    <s v="73"/>
    <x v="2"/>
    <x v="11"/>
    <s v="ZQ08F080"/>
    <x v="39"/>
    <s v="F102"/>
    <s v="PARTICIPACION CIUDADANA"/>
    <s v="GI00F10200003D"/>
    <s v="GI00F10200003D &quot;VOLUNTARIADO &quot;&quot;QUITO ACCION&quot;&quot;&quot;"/>
    <s v="73 BIENES Y SERVICIOS PARA INVERSIÓN"/>
    <s v="730505 Vehículos (Arrendamiento)"/>
    <s v="G/730505/1FF102"/>
    <s v="001"/>
    <n v="2799"/>
    <n v="0"/>
    <n v="0"/>
    <n v="2799"/>
    <n v="0"/>
    <n v="0"/>
    <n v="0"/>
    <n v="2799"/>
    <n v="2799"/>
    <n v="2799"/>
  </r>
  <r>
    <s v="73"/>
    <x v="2"/>
    <x v="11"/>
    <s v="ZN02F020"/>
    <x v="40"/>
    <s v="F102"/>
    <s v="PARTICIPACION CIUDADANA"/>
    <s v="GI00F10200003D"/>
    <s v="GI00F10200003D &quot;VOLUNTARIADO &quot;&quot;QUITO ACCION&quot;&quot;&quot;"/>
    <s v="73 BIENES Y SERVICIOS PARA INVERSIÓN"/>
    <s v="730606 Honorarios por Contratos Civiles de Servici"/>
    <s v="G/730606/1FF102"/>
    <s v="001"/>
    <n v="11500"/>
    <n v="0"/>
    <n v="0"/>
    <n v="11500"/>
    <n v="0"/>
    <n v="0"/>
    <n v="0"/>
    <n v="11500"/>
    <n v="11500"/>
    <n v="11500"/>
  </r>
  <r>
    <s v="73"/>
    <x v="2"/>
    <x v="11"/>
    <s v="ZQ08F080"/>
    <x v="39"/>
    <s v="F102"/>
    <s v="PARTICIPACION CIUDADANA"/>
    <s v="GI00F10200003D"/>
    <s v="GI00F10200003D &quot;VOLUNTARIADO &quot;&quot;QUITO ACCION&quot;&quot;&quot;"/>
    <s v="73 BIENES Y SERVICIOS PARA INVERSIÓN"/>
    <s v="730613 Capacitación para la Ciudadanía en Gener"/>
    <s v="G/730613/1FF102"/>
    <s v="001"/>
    <n v="1000"/>
    <n v="0"/>
    <n v="0"/>
    <n v="1000"/>
    <n v="0"/>
    <n v="0"/>
    <n v="0"/>
    <n v="1000"/>
    <n v="1000"/>
    <n v="1000"/>
  </r>
  <r>
    <s v="73"/>
    <x v="2"/>
    <x v="11"/>
    <s v="ZM04F040"/>
    <x v="41"/>
    <s v="F102"/>
    <s v="PARTICIPACION CIUDADANA"/>
    <s v="GI00F10200003D"/>
    <s v="GI00F10200003D &quot;VOLUNTARIADO &quot;&quot;QUITO ACCION&quot;&quot;&quot;"/>
    <s v="73 BIENES Y SERVICIOS PARA INVERSIÓN"/>
    <s v="730613 Capacitación para la Ciudadanía en Gener"/>
    <s v="G/730613/1FF102"/>
    <s v="001"/>
    <n v="4000"/>
    <n v="0"/>
    <n v="0"/>
    <n v="4000"/>
    <n v="0"/>
    <n v="0"/>
    <n v="0"/>
    <n v="4000"/>
    <n v="4000"/>
    <n v="4000"/>
  </r>
  <r>
    <s v="73"/>
    <x v="2"/>
    <x v="11"/>
    <s v="ZA01F000"/>
    <x v="31"/>
    <s v="F102"/>
    <s v="PARTICIPACION CIUDADANA"/>
    <s v="GI00F10200003D"/>
    <s v="GI00F10200003D &quot;VOLUNTARIADO &quot;&quot;QUITO ACCION&quot;&quot;&quot;"/>
    <s v="73 BIENES Y SERVICIOS PARA INVERSIÓN"/>
    <s v="730613 Capacitación para la Ciudadanía en Gener"/>
    <s v="G/730613/1FF102"/>
    <s v="001"/>
    <n v="11694.5"/>
    <n v="0"/>
    <n v="0"/>
    <n v="11694.5"/>
    <n v="0"/>
    <n v="0"/>
    <n v="0"/>
    <n v="11694.5"/>
    <n v="11694.5"/>
    <n v="11694.5"/>
  </r>
  <r>
    <s v="73"/>
    <x v="2"/>
    <x v="11"/>
    <s v="ZT06F060"/>
    <x v="25"/>
    <s v="F102"/>
    <s v="PARTICIPACION CIUDADANA"/>
    <s v="GI00F10200003D"/>
    <s v="GI00F10200003D &quot;VOLUNTARIADO &quot;&quot;QUITO ACCION&quot;&quot;&quot;"/>
    <s v="73 BIENES Y SERVICIOS PARA INVERSIÓN"/>
    <s v="730613 Capacitación para la Ciudadanía en Gener"/>
    <s v="G/730613/1FF102"/>
    <s v="001"/>
    <n v="3000"/>
    <n v="0"/>
    <n v="0"/>
    <n v="3000"/>
    <n v="0"/>
    <n v="0"/>
    <n v="0"/>
    <n v="3000"/>
    <n v="3000"/>
    <n v="3000"/>
  </r>
  <r>
    <s v="73"/>
    <x v="2"/>
    <x v="11"/>
    <s v="ZC09F090"/>
    <x v="44"/>
    <s v="F102"/>
    <s v="PARTICIPACION CIUDADANA"/>
    <s v="GI00F10200003D"/>
    <s v="GI00F10200003D &quot;VOLUNTARIADO &quot;&quot;QUITO ACCION&quot;&quot;&quot;"/>
    <s v="73 BIENES Y SERVICIOS PARA INVERSIÓN"/>
    <s v="730613 Capacitación para la Ciudadanía en Gener"/>
    <s v="G/730613/1FF102"/>
    <s v="001"/>
    <n v="2500"/>
    <n v="0"/>
    <n v="0"/>
    <n v="2500"/>
    <n v="0"/>
    <n v="0"/>
    <n v="0"/>
    <n v="2500"/>
    <n v="2500"/>
    <n v="2500"/>
  </r>
  <r>
    <s v="73"/>
    <x v="2"/>
    <x v="11"/>
    <s v="ZV05F050"/>
    <x v="37"/>
    <s v="F102"/>
    <s v="PARTICIPACION CIUDADANA"/>
    <s v="GI00F10200003D"/>
    <s v="GI00F10200003D &quot;VOLUNTARIADO &quot;&quot;QUITO ACCION&quot;&quot;&quot;"/>
    <s v="73 BIENES Y SERVICIOS PARA INVERSIÓN"/>
    <s v="730613 Capacitación para la Ciudadanía en Gener"/>
    <s v="G/730613/1FF102"/>
    <s v="001"/>
    <n v="4000"/>
    <n v="0"/>
    <n v="0"/>
    <n v="4000"/>
    <n v="0"/>
    <n v="0"/>
    <n v="0"/>
    <n v="4000"/>
    <n v="4000"/>
    <n v="4000"/>
  </r>
  <r>
    <s v="73"/>
    <x v="2"/>
    <x v="11"/>
    <s v="ZQ08F080"/>
    <x v="39"/>
    <s v="F102"/>
    <s v="PARTICIPACION CIUDADANA"/>
    <s v="GI00F10200003D"/>
    <s v="GI00F10200003D &quot;VOLUNTARIADO &quot;&quot;QUITO ACCION&quot;&quot;&quot;"/>
    <s v="73 BIENES Y SERVICIOS PARA INVERSIÓN"/>
    <s v="730802 Vestuario, Lencería, Prendas de Protecci"/>
    <s v="G/730802/1FF102"/>
    <s v="001"/>
    <n v="2000"/>
    <n v="0"/>
    <n v="0"/>
    <n v="2000"/>
    <n v="0"/>
    <n v="0"/>
    <n v="0"/>
    <n v="2000"/>
    <n v="2000"/>
    <n v="2000"/>
  </r>
  <r>
    <s v="73"/>
    <x v="2"/>
    <x v="11"/>
    <s v="ZS03F030"/>
    <x v="38"/>
    <s v="F102"/>
    <s v="PARTICIPACION CIUDADANA"/>
    <s v="GI00F10200003D"/>
    <s v="GI00F10200003D &quot;VOLUNTARIADO &quot;&quot;QUITO ACCION&quot;&quot;&quot;"/>
    <s v="73 BIENES Y SERVICIOS PARA INVERSIÓN"/>
    <s v="730802 Vestuario, Lencería, Prendas de Protecci"/>
    <s v="G/730802/1FF102"/>
    <s v="001"/>
    <n v="1000"/>
    <n v="0"/>
    <n v="0"/>
    <n v="1000"/>
    <n v="0"/>
    <n v="0"/>
    <n v="0"/>
    <n v="1000"/>
    <n v="1000"/>
    <n v="1000"/>
  </r>
  <r>
    <s v="73"/>
    <x v="2"/>
    <x v="11"/>
    <s v="ZV05F050"/>
    <x v="37"/>
    <s v="F102"/>
    <s v="PARTICIPACION CIUDADANA"/>
    <s v="GI00F10200003D"/>
    <s v="GI00F10200003D &quot;VOLUNTARIADO &quot;&quot;QUITO ACCION&quot;&quot;&quot;"/>
    <s v="73 BIENES Y SERVICIOS PARA INVERSIÓN"/>
    <s v="730802 Vestuario, Lencería, Prendas de Protecci"/>
    <s v="G/730802/1FF102"/>
    <s v="001"/>
    <n v="7900"/>
    <n v="0"/>
    <n v="0"/>
    <n v="7900"/>
    <n v="0"/>
    <n v="0"/>
    <n v="0"/>
    <n v="7900"/>
    <n v="7900"/>
    <n v="7900"/>
  </r>
  <r>
    <s v="73"/>
    <x v="2"/>
    <x v="11"/>
    <s v="ZQ08F080"/>
    <x v="39"/>
    <s v="F102"/>
    <s v="PARTICIPACION CIUDADANA"/>
    <s v="GI00F10200003D"/>
    <s v="GI00F10200003D &quot;VOLUNTARIADO &quot;&quot;QUITO ACCION&quot;&quot;&quot;"/>
    <s v="73 BIENES Y SERVICIOS PARA INVERSIÓN"/>
    <s v="730804 Materiales de Oficina"/>
    <s v="G/730804/1FF102"/>
    <s v="001"/>
    <n v="400"/>
    <n v="0"/>
    <n v="0"/>
    <n v="400"/>
    <n v="0"/>
    <n v="0"/>
    <n v="0"/>
    <n v="400"/>
    <n v="400"/>
    <n v="400"/>
  </r>
  <r>
    <s v="73"/>
    <x v="2"/>
    <x v="11"/>
    <s v="ZT06F060"/>
    <x v="25"/>
    <s v="F102"/>
    <s v="PARTICIPACION CIUDADANA"/>
    <s v="GI00F10200003D"/>
    <s v="GI00F10200003D &quot;VOLUNTARIADO &quot;&quot;QUITO ACCION&quot;&quot;&quot;"/>
    <s v="73 BIENES Y SERVICIOS PARA INVERSIÓN"/>
    <s v="730811 Insumos, Materiales y Suministros para Cons"/>
    <s v="G/730811/1FF102"/>
    <s v="001"/>
    <n v="1000"/>
    <n v="0"/>
    <n v="0"/>
    <n v="1000"/>
    <n v="0"/>
    <n v="0"/>
    <n v="0"/>
    <n v="1000"/>
    <n v="1000"/>
    <n v="1000"/>
  </r>
  <r>
    <s v="73"/>
    <x v="2"/>
    <x v="11"/>
    <s v="ZN02F020"/>
    <x v="40"/>
    <s v="F102"/>
    <s v="PARTICIPACION CIUDADANA"/>
    <s v="GI00F10200003D"/>
    <s v="GI00F10200003D &quot;VOLUNTARIADO &quot;&quot;QUITO ACCION&quot;&quot;&quot;"/>
    <s v="73 BIENES Y SERVICIOS PARA INVERSIÓN"/>
    <s v="730811 Insumos, Materiales y Suministros para Cons"/>
    <s v="G/730811/1FF102"/>
    <s v="001"/>
    <n v="2000"/>
    <n v="0"/>
    <n v="0"/>
    <n v="2000"/>
    <n v="0"/>
    <n v="0"/>
    <n v="0"/>
    <n v="2000"/>
    <n v="2000"/>
    <n v="2000"/>
  </r>
  <r>
    <s v="73"/>
    <x v="2"/>
    <x v="11"/>
    <s v="ZQ08F080"/>
    <x v="39"/>
    <s v="F102"/>
    <s v="PARTICIPACION CIUDADANA"/>
    <s v="GI00F10200003D"/>
    <s v="GI00F10200003D &quot;VOLUNTARIADO &quot;&quot;QUITO ACCION&quot;&quot;&quot;"/>
    <s v="73 BIENES Y SERVICIOS PARA INVERSIÓN"/>
    <s v="730811 Insumos, Materiales y Suministros para Cons"/>
    <s v="G/730811/1FF102"/>
    <s v="001"/>
    <n v="3000"/>
    <n v="0"/>
    <n v="0"/>
    <n v="3000"/>
    <n v="0"/>
    <n v="0"/>
    <n v="0"/>
    <n v="3000"/>
    <n v="3000"/>
    <n v="3000"/>
  </r>
  <r>
    <s v="73"/>
    <x v="2"/>
    <x v="11"/>
    <s v="ZS03F030"/>
    <x v="38"/>
    <s v="F102"/>
    <s v="PARTICIPACION CIUDADANA"/>
    <s v="GI00F10200003D"/>
    <s v="GI00F10200003D &quot;VOLUNTARIADO &quot;&quot;QUITO ACCION&quot;&quot;&quot;"/>
    <s v="73 BIENES Y SERVICIOS PARA INVERSIÓN"/>
    <s v="730811 Insumos, Materiales y Suministros para Cons"/>
    <s v="G/730811/1FF102"/>
    <s v="001"/>
    <n v="2000"/>
    <n v="0"/>
    <n v="0"/>
    <n v="2000"/>
    <n v="605.98"/>
    <n v="1394.02"/>
    <n v="0"/>
    <n v="605.98"/>
    <n v="2000"/>
    <n v="0"/>
  </r>
  <r>
    <s v="73"/>
    <x v="2"/>
    <x v="11"/>
    <s v="ZC09F090"/>
    <x v="44"/>
    <s v="F102"/>
    <s v="PARTICIPACION CIUDADANA"/>
    <s v="GI00F10200003D"/>
    <s v="GI00F10200003D &quot;VOLUNTARIADO &quot;&quot;QUITO ACCION&quot;&quot;&quot;"/>
    <s v="73 BIENES Y SERVICIOS PARA INVERSIÓN"/>
    <s v="730811 Insumos, Materiales y Suministros para Cons"/>
    <s v="G/730811/1FF102"/>
    <s v="001"/>
    <n v="2000"/>
    <n v="0"/>
    <n v="0"/>
    <n v="2000"/>
    <n v="0"/>
    <n v="0"/>
    <n v="0"/>
    <n v="2000"/>
    <n v="2000"/>
    <n v="2000"/>
  </r>
  <r>
    <s v="73"/>
    <x v="2"/>
    <x v="11"/>
    <s v="ZD07F070"/>
    <x v="43"/>
    <s v="F102"/>
    <s v="PARTICIPACION CIUDADANA"/>
    <s v="GI00F10200003D"/>
    <s v="GI00F10200003D &quot;VOLUNTARIADO &quot;&quot;QUITO ACCION&quot;&quot;&quot;"/>
    <s v="73 BIENES Y SERVICIOS PARA INVERSIÓN"/>
    <s v="730812 Materiales Didácticos"/>
    <s v="G/730812/1FF102"/>
    <s v="001"/>
    <n v="300"/>
    <n v="0"/>
    <n v="0"/>
    <n v="300"/>
    <n v="0"/>
    <n v="0"/>
    <n v="0"/>
    <n v="300"/>
    <n v="300"/>
    <n v="300"/>
  </r>
  <r>
    <s v="73"/>
    <x v="2"/>
    <x v="11"/>
    <s v="ZQ08F080"/>
    <x v="39"/>
    <s v="F102"/>
    <s v="PARTICIPACION CIUDADANA"/>
    <s v="GI00F10200003D"/>
    <s v="GI00F10200003D &quot;VOLUNTARIADO &quot;&quot;QUITO ACCION&quot;&quot;&quot;"/>
    <s v="73 BIENES Y SERVICIOS PARA INVERSIÓN"/>
    <s v="730812 Materiales Didácticos"/>
    <s v="G/730812/1FF102"/>
    <s v="001"/>
    <n v="800"/>
    <n v="0"/>
    <n v="0"/>
    <n v="800"/>
    <n v="0"/>
    <n v="0"/>
    <n v="0"/>
    <n v="800"/>
    <n v="800"/>
    <n v="800"/>
  </r>
  <r>
    <s v="73"/>
    <x v="2"/>
    <x v="11"/>
    <s v="ZA01F000"/>
    <x v="31"/>
    <s v="F102"/>
    <s v="PARTICIPACION CIUDADANA"/>
    <s v="GI00F10200003D"/>
    <s v="GI00F10200003D &quot;VOLUNTARIADO &quot;&quot;QUITO ACCION&quot;&quot;&quot;"/>
    <s v="73 BIENES Y SERVICIOS PARA INVERSIÓN"/>
    <s v="730824 Insumos, Bienes y Materiales para la Produc"/>
    <s v="G/730824/1FF102"/>
    <s v="001"/>
    <n v="800"/>
    <n v="1397.36"/>
    <n v="0"/>
    <n v="2197.36"/>
    <n v="1397.36"/>
    <n v="0"/>
    <n v="0"/>
    <n v="2197.36"/>
    <n v="2197.36"/>
    <n v="800"/>
  </r>
  <r>
    <s v="73"/>
    <x v="2"/>
    <x v="11"/>
    <s v="ZC09F090"/>
    <x v="44"/>
    <s v="F102"/>
    <s v="PARTICIPACION CIUDADANA"/>
    <s v="GI00F10200003D"/>
    <s v="GI00F10200003D &quot;VOLUNTARIADO &quot;&quot;QUITO ACCION&quot;&quot;&quot;"/>
    <s v="73 BIENES Y SERVICIOS PARA INVERSIÓN"/>
    <s v="730827 Uniformes Deportivos"/>
    <s v="G/730827/1FF102"/>
    <s v="001"/>
    <n v="500"/>
    <n v="0"/>
    <n v="0"/>
    <n v="500"/>
    <n v="0"/>
    <n v="0"/>
    <n v="0"/>
    <n v="500"/>
    <n v="500"/>
    <n v="500"/>
  </r>
  <r>
    <s v="73"/>
    <x v="2"/>
    <x v="11"/>
    <s v="ZS03F030"/>
    <x v="38"/>
    <s v="F102"/>
    <s v="PARTICIPACION CIUDADANA"/>
    <s v="GI00F10200005D"/>
    <s v="GI00F10200005D CASAS SOMOS QUITO"/>
    <s v="73 BIENES Y SERVICIOS PARA INVERSIÓN"/>
    <s v="730101 Agua Potable"/>
    <s v="G/730101/1FF102"/>
    <s v="001"/>
    <n v="5200"/>
    <n v="0"/>
    <n v="0"/>
    <n v="5200"/>
    <n v="0"/>
    <n v="5200"/>
    <n v="1198.6099999999999"/>
    <n v="0"/>
    <n v="4001.39"/>
    <n v="0"/>
  </r>
  <r>
    <s v="73"/>
    <x v="2"/>
    <x v="11"/>
    <s v="ZS03F030"/>
    <x v="38"/>
    <s v="F102"/>
    <s v="PARTICIPACION CIUDADANA"/>
    <s v="GI00F10200005D"/>
    <s v="GI00F10200005D CASAS SOMOS QUITO"/>
    <s v="73 BIENES Y SERVICIOS PARA INVERSIÓN"/>
    <s v="730104 Energía Eléctrica"/>
    <s v="G/730104/1FF102"/>
    <s v="001"/>
    <n v="13119.1"/>
    <n v="0"/>
    <n v="0"/>
    <n v="13119.1"/>
    <n v="0"/>
    <n v="13119.1"/>
    <n v="7205.78"/>
    <n v="0"/>
    <n v="5913.32"/>
    <n v="0"/>
  </r>
  <r>
    <s v="73"/>
    <x v="2"/>
    <x v="11"/>
    <s v="ZS03F030"/>
    <x v="38"/>
    <s v="F102"/>
    <s v="PARTICIPACION CIUDADANA"/>
    <s v="GI00F10200005D"/>
    <s v="GI00F10200005D CASAS SOMOS QUITO"/>
    <s v="73 BIENES Y SERVICIOS PARA INVERSIÓN"/>
    <s v="730105 Telecomunicaciones"/>
    <s v="G/730105/1FF102"/>
    <s v="001"/>
    <n v="400"/>
    <n v="0"/>
    <n v="0"/>
    <n v="400"/>
    <n v="0"/>
    <n v="400"/>
    <n v="177.21"/>
    <n v="0"/>
    <n v="222.79"/>
    <n v="0"/>
  </r>
  <r>
    <s v="73"/>
    <x v="2"/>
    <x v="11"/>
    <s v="ZS03F030"/>
    <x v="38"/>
    <s v="F102"/>
    <s v="PARTICIPACION CIUDADANA"/>
    <s v="GI00F10200005D"/>
    <s v="GI00F10200005D CASAS SOMOS QUITO"/>
    <s v="73 BIENES Y SERVICIOS PARA INVERSIÓN"/>
    <s v="730203 Almacenamiento, Embalaje, Desembalaje, E"/>
    <s v="G/730203/1FF102"/>
    <s v="001"/>
    <n v="1000"/>
    <n v="0"/>
    <n v="0"/>
    <n v="1000"/>
    <n v="1000"/>
    <n v="0"/>
    <n v="0"/>
    <n v="1000"/>
    <n v="1000"/>
    <n v="0"/>
  </r>
  <r>
    <s v="73"/>
    <x v="2"/>
    <x v="11"/>
    <s v="ZD07F070"/>
    <x v="43"/>
    <s v="F102"/>
    <s v="PARTICIPACION CIUDADANA"/>
    <s v="GI00F10200005D"/>
    <s v="GI00F10200005D CASAS SOMOS QUITO"/>
    <s v="73 BIENES Y SERVICIOS PARA INVERSIÓN"/>
    <s v="730203 Almacenamiento, Embalaje, Desembalaje, E"/>
    <s v="G/730203/1FF102"/>
    <s v="001"/>
    <n v="1878.64"/>
    <n v="0"/>
    <n v="0"/>
    <n v="1878.64"/>
    <n v="0"/>
    <n v="0"/>
    <n v="0"/>
    <n v="1878.64"/>
    <n v="1878.64"/>
    <n v="1878.64"/>
  </r>
  <r>
    <s v="73"/>
    <x v="2"/>
    <x v="11"/>
    <s v="ZV05F050"/>
    <x v="37"/>
    <s v="F102"/>
    <s v="PARTICIPACION CIUDADANA"/>
    <s v="GI00F10200005D"/>
    <s v="GI00F10200005D CASAS SOMOS QUITO"/>
    <s v="73 BIENES Y SERVICIOS PARA INVERSIÓN"/>
    <s v="730204 Edición, Impresión, Reproducción, Public"/>
    <s v="G/730204/1FF102"/>
    <s v="001"/>
    <n v="6500"/>
    <n v="0"/>
    <n v="0"/>
    <n v="6500"/>
    <n v="0"/>
    <n v="0"/>
    <n v="0"/>
    <n v="6500"/>
    <n v="6500"/>
    <n v="6500"/>
  </r>
  <r>
    <s v="73"/>
    <x v="2"/>
    <x v="11"/>
    <s v="ZD07F070"/>
    <x v="43"/>
    <s v="F102"/>
    <s v="PARTICIPACION CIUDADANA"/>
    <s v="GI00F10200005D"/>
    <s v="GI00F10200005D CASAS SOMOS QUITO"/>
    <s v="73 BIENES Y SERVICIOS PARA INVERSIÓN"/>
    <s v="730204 Edición, Impresión, Reproducción, Public"/>
    <s v="G/730204/1FF102"/>
    <s v="001"/>
    <n v="1000"/>
    <n v="-1000"/>
    <n v="0"/>
    <n v="0"/>
    <n v="0"/>
    <n v="0"/>
    <n v="0"/>
    <n v="0"/>
    <n v="0"/>
    <n v="0"/>
  </r>
  <r>
    <s v="73"/>
    <x v="2"/>
    <x v="11"/>
    <s v="ZT06F060"/>
    <x v="25"/>
    <s v="F102"/>
    <s v="PARTICIPACION CIUDADANA"/>
    <s v="GI00F10200005D"/>
    <s v="GI00F10200005D CASAS SOMOS QUITO"/>
    <s v="73 BIENES Y SERVICIOS PARA INVERSIÓN"/>
    <s v="730204 Edición, Impresión, Reproducción, Public"/>
    <s v="G/730204/1FF102"/>
    <s v="001"/>
    <n v="2000"/>
    <n v="0"/>
    <n v="0"/>
    <n v="2000"/>
    <n v="0"/>
    <n v="0"/>
    <n v="0"/>
    <n v="2000"/>
    <n v="2000"/>
    <n v="2000"/>
  </r>
  <r>
    <s v="73"/>
    <x v="2"/>
    <x v="11"/>
    <s v="ZQ08F080"/>
    <x v="39"/>
    <s v="F102"/>
    <s v="PARTICIPACION CIUDADANA"/>
    <s v="GI00F10200005D"/>
    <s v="GI00F10200005D CASAS SOMOS QUITO"/>
    <s v="73 BIENES Y SERVICIOS PARA INVERSIÓN"/>
    <s v="730204 Edición, Impresión, Reproducción, Public"/>
    <s v="G/730204/1FF102"/>
    <s v="001"/>
    <n v="2500"/>
    <n v="0"/>
    <n v="0"/>
    <n v="2500"/>
    <n v="0"/>
    <n v="0"/>
    <n v="0"/>
    <n v="2500"/>
    <n v="2500"/>
    <n v="2500"/>
  </r>
  <r>
    <s v="73"/>
    <x v="2"/>
    <x v="11"/>
    <s v="ZS03F030"/>
    <x v="38"/>
    <s v="F102"/>
    <s v="PARTICIPACION CIUDADANA"/>
    <s v="GI00F10200005D"/>
    <s v="GI00F10200005D CASAS SOMOS QUITO"/>
    <s v="73 BIENES Y SERVICIOS PARA INVERSIÓN"/>
    <s v="730204 Edición, Impresión, Reproducción, Public"/>
    <s v="G/730204/1FF102"/>
    <s v="001"/>
    <n v="3000"/>
    <n v="0"/>
    <n v="0"/>
    <n v="3000"/>
    <n v="0"/>
    <n v="0"/>
    <n v="0"/>
    <n v="3000"/>
    <n v="3000"/>
    <n v="3000"/>
  </r>
  <r>
    <s v="73"/>
    <x v="2"/>
    <x v="11"/>
    <s v="ZM04F040"/>
    <x v="41"/>
    <s v="F102"/>
    <s v="PARTICIPACION CIUDADANA"/>
    <s v="GI00F10200005D"/>
    <s v="GI00F10200005D CASAS SOMOS QUITO"/>
    <s v="73 BIENES Y SERVICIOS PARA INVERSIÓN"/>
    <s v="730204 Edición, Impresión, Reproducción, Public"/>
    <s v="G/730204/1FF102"/>
    <s v="001"/>
    <n v="1000"/>
    <n v="3000"/>
    <n v="0"/>
    <n v="4000"/>
    <n v="0"/>
    <n v="0"/>
    <n v="0"/>
    <n v="4000"/>
    <n v="4000"/>
    <n v="4000"/>
  </r>
  <r>
    <s v="73"/>
    <x v="2"/>
    <x v="11"/>
    <s v="ZC09F090"/>
    <x v="44"/>
    <s v="F102"/>
    <s v="PARTICIPACION CIUDADANA"/>
    <s v="GI00F10200005D"/>
    <s v="GI00F10200005D CASAS SOMOS QUITO"/>
    <s v="73 BIENES Y SERVICIOS PARA INVERSIÓN"/>
    <s v="730204 Edición, Impresión, Reproducción, Public"/>
    <s v="G/730204/1FF102"/>
    <s v="001"/>
    <n v="1500"/>
    <n v="0"/>
    <n v="0"/>
    <n v="1500"/>
    <n v="0"/>
    <n v="0"/>
    <n v="0"/>
    <n v="1500"/>
    <n v="1500"/>
    <n v="1500"/>
  </r>
  <r>
    <s v="73"/>
    <x v="2"/>
    <x v="11"/>
    <s v="ZN02F020"/>
    <x v="40"/>
    <s v="F102"/>
    <s v="PARTICIPACION CIUDADANA"/>
    <s v="GI00F10200005D"/>
    <s v="GI00F10200005D CASAS SOMOS QUITO"/>
    <s v="73 BIENES Y SERVICIOS PARA INVERSIÓN"/>
    <s v="730204 Edición, Impresión, Reproducción, Public"/>
    <s v="G/730204/1FF102"/>
    <s v="001"/>
    <n v="8500"/>
    <n v="0"/>
    <n v="0"/>
    <n v="8500"/>
    <n v="0"/>
    <n v="0"/>
    <n v="0"/>
    <n v="8500"/>
    <n v="8500"/>
    <n v="8500"/>
  </r>
  <r>
    <s v="73"/>
    <x v="2"/>
    <x v="11"/>
    <s v="ZQ08F080"/>
    <x v="39"/>
    <s v="F102"/>
    <s v="PARTICIPACION CIUDADANA"/>
    <s v="GI00F10200005D"/>
    <s v="GI00F10200005D CASAS SOMOS QUITO"/>
    <s v="73 BIENES Y SERVICIOS PARA INVERSIÓN"/>
    <s v="730205 Espectáculos Culturales y Sociales"/>
    <s v="G/730205/1FF102"/>
    <s v="001"/>
    <n v="1500"/>
    <n v="0"/>
    <n v="0"/>
    <n v="1500"/>
    <n v="0"/>
    <n v="0"/>
    <n v="0"/>
    <n v="1500"/>
    <n v="1500"/>
    <n v="1500"/>
  </r>
  <r>
    <s v="73"/>
    <x v="2"/>
    <x v="11"/>
    <s v="ZC09F090"/>
    <x v="44"/>
    <s v="F102"/>
    <s v="PARTICIPACION CIUDADANA"/>
    <s v="GI00F10200005D"/>
    <s v="GI00F10200005D CASAS SOMOS QUITO"/>
    <s v="73 BIENES Y SERVICIOS PARA INVERSIÓN"/>
    <s v="730205 Espectáculos Culturales y Sociales"/>
    <s v="G/730205/1FF102"/>
    <s v="001"/>
    <n v="1000"/>
    <n v="0"/>
    <n v="0"/>
    <n v="1000"/>
    <n v="0"/>
    <n v="0"/>
    <n v="0"/>
    <n v="1000"/>
    <n v="1000"/>
    <n v="1000"/>
  </r>
  <r>
    <s v="73"/>
    <x v="2"/>
    <x v="11"/>
    <s v="ZT06F060"/>
    <x v="25"/>
    <s v="F102"/>
    <s v="PARTICIPACION CIUDADANA"/>
    <s v="GI00F10200005D"/>
    <s v="GI00F10200005D CASAS SOMOS QUITO"/>
    <s v="73 BIENES Y SERVICIOS PARA INVERSIÓN"/>
    <s v="730205 Espectáculos Culturales y Sociales"/>
    <s v="G/730205/1FF102"/>
    <s v="001"/>
    <n v="2000"/>
    <n v="0"/>
    <n v="0"/>
    <n v="2000"/>
    <n v="0"/>
    <n v="0"/>
    <n v="0"/>
    <n v="2000"/>
    <n v="2000"/>
    <n v="2000"/>
  </r>
  <r>
    <s v="73"/>
    <x v="2"/>
    <x v="11"/>
    <s v="ZS03F030"/>
    <x v="38"/>
    <s v="F102"/>
    <s v="PARTICIPACION CIUDADANA"/>
    <s v="GI00F10200005D"/>
    <s v="GI00F10200005D CASAS SOMOS QUITO"/>
    <s v="73 BIENES Y SERVICIOS PARA INVERSIÓN"/>
    <s v="730205 Espectáculos Culturales y Sociales"/>
    <s v="G/730205/1FF102"/>
    <s v="001"/>
    <n v="6000"/>
    <n v="0"/>
    <n v="0"/>
    <n v="6000"/>
    <n v="0"/>
    <n v="0"/>
    <n v="0"/>
    <n v="6000"/>
    <n v="6000"/>
    <n v="6000"/>
  </r>
  <r>
    <s v="73"/>
    <x v="2"/>
    <x v="11"/>
    <s v="ZD07F070"/>
    <x v="43"/>
    <s v="F102"/>
    <s v="PARTICIPACION CIUDADANA"/>
    <s v="GI00F10200005D"/>
    <s v="GI00F10200005D CASAS SOMOS QUITO"/>
    <s v="73 BIENES Y SERVICIOS PARA INVERSIÓN"/>
    <s v="730205 Espectáculos Culturales y Sociales"/>
    <s v="G/730205/1FF102"/>
    <s v="001"/>
    <n v="28000"/>
    <n v="-8553"/>
    <n v="0"/>
    <n v="19447"/>
    <n v="0"/>
    <n v="19447"/>
    <n v="19447"/>
    <n v="0"/>
    <n v="0"/>
    <n v="0"/>
  </r>
  <r>
    <s v="73"/>
    <x v="2"/>
    <x v="11"/>
    <s v="ZN02F020"/>
    <x v="40"/>
    <s v="F102"/>
    <s v="PARTICIPACION CIUDADANA"/>
    <s v="GI00F10200005D"/>
    <s v="GI00F10200005D CASAS SOMOS QUITO"/>
    <s v="73 BIENES Y SERVICIOS PARA INVERSIÓN"/>
    <s v="730205 Espectáculos Culturales y Sociales"/>
    <s v="G/730205/1FF102"/>
    <s v="001"/>
    <n v="7000"/>
    <n v="0"/>
    <n v="0"/>
    <n v="7000"/>
    <n v="0"/>
    <n v="0"/>
    <n v="0"/>
    <n v="7000"/>
    <n v="7000"/>
    <n v="7000"/>
  </r>
  <r>
    <s v="73"/>
    <x v="2"/>
    <x v="11"/>
    <s v="ZD07F070"/>
    <x v="43"/>
    <s v="F102"/>
    <s v="PARTICIPACION CIUDADANA"/>
    <s v="GI00F10200005D"/>
    <s v="GI00F10200005D CASAS SOMOS QUITO"/>
    <s v="73 BIENES Y SERVICIOS PARA INVERSIÓN"/>
    <s v="730208 Servicio de Seguridad y Vigilancia"/>
    <s v="G/730208/1FF102"/>
    <s v="001"/>
    <n v="0"/>
    <n v="150999.76"/>
    <n v="0"/>
    <n v="150999.76"/>
    <n v="0"/>
    <n v="128910.6"/>
    <n v="0"/>
    <n v="22089.16"/>
    <n v="150999.76"/>
    <n v="22089.16"/>
  </r>
  <r>
    <s v="73"/>
    <x v="2"/>
    <x v="11"/>
    <s v="TM68F100"/>
    <x v="34"/>
    <s v="F102"/>
    <s v="PARTICIPACION CIUDADANA"/>
    <s v="GI00F10200005D"/>
    <s v="GI00F10200005D CASAS SOMOS QUITO"/>
    <s v="73 BIENES Y SERVICIOS PARA INVERSIÓN"/>
    <s v="730208 Servicio de Seguridad y Vigilancia"/>
    <s v="G/730208/1FF102"/>
    <s v="001"/>
    <n v="25000"/>
    <n v="0"/>
    <n v="0"/>
    <n v="25000"/>
    <n v="0"/>
    <n v="23506.560000000001"/>
    <n v="7835.52"/>
    <n v="1493.44"/>
    <n v="17164.48"/>
    <n v="1493.44"/>
  </r>
  <r>
    <s v="73"/>
    <x v="2"/>
    <x v="11"/>
    <s v="TM68F100"/>
    <x v="34"/>
    <s v="F102"/>
    <s v="PARTICIPACION CIUDADANA"/>
    <s v="GI00F10200005D"/>
    <s v="GI00F10200005D CASAS SOMOS QUITO"/>
    <s v="73 BIENES Y SERVICIOS PARA INVERSIÓN"/>
    <s v="730209 Servicios de Aseo, Lavado de Vestimenta"/>
    <s v="G/730209/1FF102"/>
    <s v="001"/>
    <n v="5000"/>
    <n v="0"/>
    <n v="0"/>
    <n v="5000"/>
    <n v="0"/>
    <n v="4859.8999999999996"/>
    <n v="1619.96"/>
    <n v="140.1"/>
    <n v="3380.04"/>
    <n v="140.1"/>
  </r>
  <r>
    <s v="73"/>
    <x v="2"/>
    <x v="11"/>
    <s v="ZV05F050"/>
    <x v="37"/>
    <s v="F102"/>
    <s v="PARTICIPACION CIUDADANA"/>
    <s v="GI00F10200005D"/>
    <s v="GI00F10200005D CASAS SOMOS QUITO"/>
    <s v="73 BIENES Y SERVICIOS PARA INVERSIÓN"/>
    <s v="730235 Servicio de Alimentación"/>
    <s v="G/730235/1FF102"/>
    <s v="001"/>
    <n v="500"/>
    <n v="0"/>
    <n v="0"/>
    <n v="500"/>
    <n v="0"/>
    <n v="0"/>
    <n v="0"/>
    <n v="500"/>
    <n v="500"/>
    <n v="500"/>
  </r>
  <r>
    <s v="73"/>
    <x v="2"/>
    <x v="11"/>
    <s v="ZS03F030"/>
    <x v="38"/>
    <s v="F102"/>
    <s v="PARTICIPACION CIUDADANA"/>
    <s v="GI00F10200005D"/>
    <s v="GI00F10200005D CASAS SOMOS QUITO"/>
    <s v="73 BIENES Y SERVICIOS PARA INVERSIÓN"/>
    <s v="730402 Edificios, Locales, Residencias y Cablea"/>
    <s v="G/730402/1FF102"/>
    <s v="001"/>
    <n v="6000"/>
    <n v="0"/>
    <n v="0"/>
    <n v="6000"/>
    <n v="0"/>
    <n v="0"/>
    <n v="0"/>
    <n v="6000"/>
    <n v="6000"/>
    <n v="6000"/>
  </r>
  <r>
    <s v="73"/>
    <x v="2"/>
    <x v="11"/>
    <s v="ZD07F070"/>
    <x v="43"/>
    <s v="F102"/>
    <s v="PARTICIPACION CIUDADANA"/>
    <s v="GI00F10200005D"/>
    <s v="GI00F10200005D CASAS SOMOS QUITO"/>
    <s v="73 BIENES Y SERVICIOS PARA INVERSIÓN"/>
    <s v="730402 Edificios, Locales, Residencias y Cablea"/>
    <s v="G/730402/1FF102"/>
    <s v="001"/>
    <n v="80000"/>
    <n v="-49524"/>
    <n v="0"/>
    <n v="30476"/>
    <n v="29979.81"/>
    <n v="476"/>
    <n v="476"/>
    <n v="30000"/>
    <n v="30000"/>
    <n v="20.190000000000001"/>
  </r>
  <r>
    <s v="73"/>
    <x v="2"/>
    <x v="11"/>
    <s v="ZC09F090"/>
    <x v="44"/>
    <s v="F102"/>
    <s v="PARTICIPACION CIUDADANA"/>
    <s v="GI00F10200005D"/>
    <s v="GI00F10200005D CASAS SOMOS QUITO"/>
    <s v="73 BIENES Y SERVICIOS PARA INVERSIÓN"/>
    <s v="730402 Edificios, Locales, Residencias y Cablea"/>
    <s v="G/730402/1FF102"/>
    <s v="001"/>
    <n v="6400"/>
    <n v="0"/>
    <n v="0"/>
    <n v="6400"/>
    <n v="0"/>
    <n v="0"/>
    <n v="0"/>
    <n v="6400"/>
    <n v="6400"/>
    <n v="6400"/>
  </r>
  <r>
    <s v="73"/>
    <x v="2"/>
    <x v="11"/>
    <s v="ZV05F050"/>
    <x v="37"/>
    <s v="F102"/>
    <s v="PARTICIPACION CIUDADANA"/>
    <s v="GI00F10200005D"/>
    <s v="GI00F10200005D CASAS SOMOS QUITO"/>
    <s v="73 BIENES Y SERVICIOS PARA INVERSIÓN"/>
    <s v="730402 Edificios, Locales, Residencias y Cablea"/>
    <s v="G/730402/1FF102"/>
    <s v="001"/>
    <n v="3000"/>
    <n v="0"/>
    <n v="0"/>
    <n v="3000"/>
    <n v="0"/>
    <n v="0"/>
    <n v="0"/>
    <n v="3000"/>
    <n v="3000"/>
    <n v="3000"/>
  </r>
  <r>
    <s v="73"/>
    <x v="2"/>
    <x v="11"/>
    <s v="ZQ08F080"/>
    <x v="39"/>
    <s v="F102"/>
    <s v="PARTICIPACION CIUDADANA"/>
    <s v="GI00F10200005D"/>
    <s v="GI00F10200005D CASAS SOMOS QUITO"/>
    <s v="73 BIENES Y SERVICIOS PARA INVERSIÓN"/>
    <s v="730402 Edificios, Locales, Residencias y Cablea"/>
    <s v="G/730402/1FF102"/>
    <s v="001"/>
    <n v="7500"/>
    <n v="0"/>
    <n v="0"/>
    <n v="7500"/>
    <n v="0"/>
    <n v="0"/>
    <n v="0"/>
    <n v="7500"/>
    <n v="7500"/>
    <n v="7500"/>
  </r>
  <r>
    <s v="73"/>
    <x v="2"/>
    <x v="11"/>
    <s v="TM68F100"/>
    <x v="34"/>
    <s v="F102"/>
    <s v="PARTICIPACION CIUDADANA"/>
    <s v="GI00F10200005D"/>
    <s v="GI00F10200005D CASAS SOMOS QUITO"/>
    <s v="73 BIENES Y SERVICIOS PARA INVERSIÓN"/>
    <s v="730402 Edificios, Locales, Residencias y Cablea"/>
    <s v="G/730402/1FF102"/>
    <s v="001"/>
    <n v="3000"/>
    <n v="14000"/>
    <n v="0"/>
    <n v="17000"/>
    <n v="0"/>
    <n v="0"/>
    <n v="0"/>
    <n v="17000"/>
    <n v="17000"/>
    <n v="17000"/>
  </r>
  <r>
    <s v="73"/>
    <x v="2"/>
    <x v="11"/>
    <s v="ZN02F020"/>
    <x v="40"/>
    <s v="F102"/>
    <s v="PARTICIPACION CIUDADANA"/>
    <s v="GI00F10200005D"/>
    <s v="GI00F10200005D CASAS SOMOS QUITO"/>
    <s v="73 BIENES Y SERVICIOS PARA INVERSIÓN"/>
    <s v="730402 Edificios, Locales, Residencias y Cablea"/>
    <s v="G/730402/1FF102"/>
    <s v="001"/>
    <n v="10000"/>
    <n v="0"/>
    <n v="0"/>
    <n v="10000"/>
    <n v="0"/>
    <n v="0"/>
    <n v="0"/>
    <n v="10000"/>
    <n v="10000"/>
    <n v="10000"/>
  </r>
  <r>
    <s v="73"/>
    <x v="2"/>
    <x v="11"/>
    <s v="ZT06F060"/>
    <x v="25"/>
    <s v="F102"/>
    <s v="PARTICIPACION CIUDADANA"/>
    <s v="GI00F10200005D"/>
    <s v="GI00F10200005D CASAS SOMOS QUITO"/>
    <s v="73 BIENES Y SERVICIOS PARA INVERSIÓN"/>
    <s v="730402 Edificios, Locales, Residencias y Cablea"/>
    <s v="G/730402/1FF102"/>
    <s v="001"/>
    <n v="2000"/>
    <n v="0"/>
    <n v="0"/>
    <n v="2000"/>
    <n v="0"/>
    <n v="0"/>
    <n v="0"/>
    <n v="2000"/>
    <n v="2000"/>
    <n v="2000"/>
  </r>
  <r>
    <s v="73"/>
    <x v="2"/>
    <x v="11"/>
    <s v="ZM04F040"/>
    <x v="41"/>
    <s v="F102"/>
    <s v="PARTICIPACION CIUDADANA"/>
    <s v="GI00F10200005D"/>
    <s v="GI00F10200005D CASAS SOMOS QUITO"/>
    <s v="73 BIENES Y SERVICIOS PARA INVERSIÓN"/>
    <s v="730402 Edificios, Locales, Residencias y Cablea"/>
    <s v="G/730402/1FF102"/>
    <s v="001"/>
    <n v="52000"/>
    <n v="0"/>
    <n v="0"/>
    <n v="52000"/>
    <n v="0"/>
    <n v="0"/>
    <n v="0"/>
    <n v="52000"/>
    <n v="52000"/>
    <n v="52000"/>
  </r>
  <r>
    <s v="73"/>
    <x v="2"/>
    <x v="11"/>
    <s v="ZD07F070"/>
    <x v="43"/>
    <s v="F102"/>
    <s v="PARTICIPACION CIUDADANA"/>
    <s v="GI00F10200005D"/>
    <s v="GI00F10200005D CASAS SOMOS QUITO"/>
    <s v="73 BIENES Y SERVICIOS PARA INVERSIÓN"/>
    <s v="730403 Mobiliarios (Instalación, Mantenimiento"/>
    <s v="G/730403/1FF102"/>
    <s v="001"/>
    <n v="20000"/>
    <n v="-20000"/>
    <n v="0"/>
    <n v="0"/>
    <n v="0"/>
    <n v="0"/>
    <n v="0"/>
    <n v="0"/>
    <n v="0"/>
    <n v="0"/>
  </r>
  <r>
    <s v="73"/>
    <x v="2"/>
    <x v="11"/>
    <s v="ZQ08F080"/>
    <x v="39"/>
    <s v="F102"/>
    <s v="PARTICIPACION CIUDADANA"/>
    <s v="GI00F10200005D"/>
    <s v="GI00F10200005D CASAS SOMOS QUITO"/>
    <s v="73 BIENES Y SERVICIOS PARA INVERSIÓN"/>
    <s v="730404 Maquinarias y Equipos (Instalación, Mant"/>
    <s v="G/730404/1FF102"/>
    <s v="001"/>
    <n v="1500"/>
    <n v="0"/>
    <n v="0"/>
    <n v="1500"/>
    <n v="0"/>
    <n v="0"/>
    <n v="0"/>
    <n v="1500"/>
    <n v="1500"/>
    <n v="1500"/>
  </r>
  <r>
    <s v="73"/>
    <x v="2"/>
    <x v="11"/>
    <s v="ZN02F020"/>
    <x v="40"/>
    <s v="F102"/>
    <s v="PARTICIPACION CIUDADANA"/>
    <s v="GI00F10200005D"/>
    <s v="GI00F10200005D CASAS SOMOS QUITO"/>
    <s v="73 BIENES Y SERVICIOS PARA INVERSIÓN"/>
    <s v="730404 Maquinarias y Equipos (Instalación, Mant"/>
    <s v="G/730404/1FF102"/>
    <s v="001"/>
    <n v="844"/>
    <n v="0"/>
    <n v="0"/>
    <n v="844"/>
    <n v="0"/>
    <n v="0"/>
    <n v="0"/>
    <n v="844"/>
    <n v="844"/>
    <n v="844"/>
  </r>
  <r>
    <s v="73"/>
    <x v="2"/>
    <x v="11"/>
    <s v="ZT06F060"/>
    <x v="25"/>
    <s v="F102"/>
    <s v="PARTICIPACION CIUDADANA"/>
    <s v="GI00F10200005D"/>
    <s v="GI00F10200005D CASAS SOMOS QUITO"/>
    <s v="73 BIENES Y SERVICIOS PARA INVERSIÓN"/>
    <s v="730404 Maquinarias y Equipos (Instalación, Mant"/>
    <s v="G/730404/1FF102"/>
    <s v="001"/>
    <n v="2000"/>
    <n v="0"/>
    <n v="0"/>
    <n v="2000"/>
    <n v="0"/>
    <n v="0"/>
    <n v="0"/>
    <n v="2000"/>
    <n v="2000"/>
    <n v="2000"/>
  </r>
  <r>
    <s v="73"/>
    <x v="2"/>
    <x v="11"/>
    <s v="ZS03F030"/>
    <x v="38"/>
    <s v="F102"/>
    <s v="PARTICIPACION CIUDADANA"/>
    <s v="GI00F10200005D"/>
    <s v="GI00F10200005D CASAS SOMOS QUITO"/>
    <s v="73 BIENES Y SERVICIOS PARA INVERSIÓN"/>
    <s v="730505 Vehículos (Arrendamiento)"/>
    <s v="G/730505/1FF102"/>
    <s v="001"/>
    <n v="800"/>
    <n v="0"/>
    <n v="0"/>
    <n v="800"/>
    <n v="0"/>
    <n v="0"/>
    <n v="0"/>
    <n v="800"/>
    <n v="800"/>
    <n v="800"/>
  </r>
  <r>
    <s v="73"/>
    <x v="2"/>
    <x v="11"/>
    <s v="ZA01F000"/>
    <x v="31"/>
    <s v="F102"/>
    <s v="PARTICIPACION CIUDADANA"/>
    <s v="GI00F10200005D"/>
    <s v="GI00F10200005D CASAS SOMOS QUITO"/>
    <s v="73 BIENES Y SERVICIOS PARA INVERSIÓN"/>
    <s v="730606 Honorarios por Contratos Civiles de Servici"/>
    <s v="G/730606/1FF102"/>
    <s v="001"/>
    <n v="38845.800000000003"/>
    <n v="-9237.36"/>
    <n v="0"/>
    <n v="29608.44"/>
    <n v="0"/>
    <n v="0"/>
    <n v="0"/>
    <n v="29608.44"/>
    <n v="29608.44"/>
    <n v="29608.44"/>
  </r>
  <r>
    <s v="73"/>
    <x v="2"/>
    <x v="11"/>
    <s v="ZV05F050"/>
    <x v="37"/>
    <s v="F102"/>
    <s v="PARTICIPACION CIUDADANA"/>
    <s v="GI00F10200005D"/>
    <s v="GI00F10200005D CASAS SOMOS QUITO"/>
    <s v="73 BIENES Y SERVICIOS PARA INVERSIÓN"/>
    <s v="730606 Honorarios por Contratos Civiles de Servici"/>
    <s v="G/730606/1FF102"/>
    <s v="001"/>
    <n v="100845.48"/>
    <n v="0"/>
    <n v="0"/>
    <n v="100845.48"/>
    <n v="0"/>
    <n v="0"/>
    <n v="0"/>
    <n v="100845.48"/>
    <n v="100845.48"/>
    <n v="100845.48"/>
  </r>
  <r>
    <s v="73"/>
    <x v="2"/>
    <x v="11"/>
    <s v="ZQ08F080"/>
    <x v="39"/>
    <s v="F102"/>
    <s v="PARTICIPACION CIUDADANA"/>
    <s v="GI00F10200005D"/>
    <s v="GI00F10200005D CASAS SOMOS QUITO"/>
    <s v="73 BIENES Y SERVICIOS PARA INVERSIÓN"/>
    <s v="730613 Capacitación para la Ciudadanía en Gener"/>
    <s v="G/730613/1FF102"/>
    <s v="001"/>
    <n v="11100"/>
    <n v="0"/>
    <n v="0"/>
    <n v="11100"/>
    <n v="0"/>
    <n v="0"/>
    <n v="0"/>
    <n v="11100"/>
    <n v="11100"/>
    <n v="11100"/>
  </r>
  <r>
    <s v="73"/>
    <x v="2"/>
    <x v="11"/>
    <s v="ZD07F070"/>
    <x v="43"/>
    <s v="F102"/>
    <s v="PARTICIPACION CIUDADANA"/>
    <s v="GI00F10200005D"/>
    <s v="GI00F10200005D CASAS SOMOS QUITO"/>
    <s v="73 BIENES Y SERVICIOS PARA INVERSIÓN"/>
    <s v="730613 Capacitación para la Ciudadanía en Gener"/>
    <s v="G/730613/1FF102"/>
    <s v="001"/>
    <n v="17000"/>
    <n v="-17000"/>
    <n v="0"/>
    <n v="0"/>
    <n v="0"/>
    <n v="0"/>
    <n v="0"/>
    <n v="0"/>
    <n v="0"/>
    <n v="0"/>
  </r>
  <r>
    <s v="73"/>
    <x v="2"/>
    <x v="11"/>
    <s v="ZA01F000"/>
    <x v="31"/>
    <s v="F102"/>
    <s v="PARTICIPACION CIUDADANA"/>
    <s v="GI00F10200005D"/>
    <s v="GI00F10200005D CASAS SOMOS QUITO"/>
    <s v="73 BIENES Y SERVICIOS PARA INVERSIÓN"/>
    <s v="730613 Capacitación para la Ciudadanía en Gener"/>
    <s v="G/730613/1FF102"/>
    <s v="001"/>
    <n v="3456"/>
    <n v="0"/>
    <n v="0"/>
    <n v="3456"/>
    <n v="0"/>
    <n v="0"/>
    <n v="0"/>
    <n v="3456"/>
    <n v="3456"/>
    <n v="3456"/>
  </r>
  <r>
    <s v="73"/>
    <x v="2"/>
    <x v="11"/>
    <s v="ZS03F030"/>
    <x v="38"/>
    <s v="F102"/>
    <s v="PARTICIPACION CIUDADANA"/>
    <s v="GI00F10200005D"/>
    <s v="GI00F10200005D CASAS SOMOS QUITO"/>
    <s v="73 BIENES Y SERVICIOS PARA INVERSIÓN"/>
    <s v="730613 Capacitación para la Ciudadanía en Gener"/>
    <s v="G/730613/1FF102"/>
    <s v="001"/>
    <n v="40000"/>
    <n v="0"/>
    <n v="0"/>
    <n v="40000"/>
    <n v="0"/>
    <n v="7840"/>
    <n v="7840"/>
    <n v="32160"/>
    <n v="32160"/>
    <n v="32160"/>
  </r>
  <r>
    <s v="73"/>
    <x v="2"/>
    <x v="11"/>
    <s v="ZT06F060"/>
    <x v="25"/>
    <s v="F102"/>
    <s v="PARTICIPACION CIUDADANA"/>
    <s v="GI00F10200005D"/>
    <s v="GI00F10200005D CASAS SOMOS QUITO"/>
    <s v="73 BIENES Y SERVICIOS PARA INVERSIÓN"/>
    <s v="730613 Capacitación para la Ciudadanía en Gener"/>
    <s v="G/730613/1FF102"/>
    <s v="001"/>
    <n v="16000"/>
    <n v="0"/>
    <n v="0"/>
    <n v="16000"/>
    <n v="0"/>
    <n v="0"/>
    <n v="0"/>
    <n v="16000"/>
    <n v="16000"/>
    <n v="16000"/>
  </r>
  <r>
    <s v="73"/>
    <x v="2"/>
    <x v="11"/>
    <s v="ZN02F020"/>
    <x v="40"/>
    <s v="F102"/>
    <s v="PARTICIPACION CIUDADANA"/>
    <s v="GI00F10200005D"/>
    <s v="GI00F10200005D CASAS SOMOS QUITO"/>
    <s v="73 BIENES Y SERVICIOS PARA INVERSIÓN"/>
    <s v="730613 Capacitación para la Ciudadanía en Gener"/>
    <s v="G/730613/1FF102"/>
    <s v="001"/>
    <n v="27000"/>
    <n v="0"/>
    <n v="0"/>
    <n v="27000"/>
    <n v="0"/>
    <n v="0"/>
    <n v="0"/>
    <n v="27000"/>
    <n v="27000"/>
    <n v="27000"/>
  </r>
  <r>
    <s v="73"/>
    <x v="2"/>
    <x v="11"/>
    <s v="TM68F100"/>
    <x v="34"/>
    <s v="F102"/>
    <s v="PARTICIPACION CIUDADANA"/>
    <s v="GI00F10200005D"/>
    <s v="GI00F10200005D CASAS SOMOS QUITO"/>
    <s v="73 BIENES Y SERVICIOS PARA INVERSIÓN"/>
    <s v="730613 Capacitación para la Ciudadanía en Gener"/>
    <s v="G/730613/1FF102"/>
    <s v="001"/>
    <n v="7500"/>
    <n v="-2086.54"/>
    <n v="0"/>
    <n v="5413.46"/>
    <n v="0"/>
    <n v="5409.6"/>
    <n v="0"/>
    <n v="3.86"/>
    <n v="5413.46"/>
    <n v="3.86"/>
  </r>
  <r>
    <s v="73"/>
    <x v="2"/>
    <x v="11"/>
    <s v="ZC09F090"/>
    <x v="44"/>
    <s v="F102"/>
    <s v="PARTICIPACION CIUDADANA"/>
    <s v="GI00F10200005D"/>
    <s v="GI00F10200005D CASAS SOMOS QUITO"/>
    <s v="73 BIENES Y SERVICIOS PARA INVERSIÓN"/>
    <s v="730613 Capacitación para la Ciudadanía en Gener"/>
    <s v="G/730613/1FF102"/>
    <s v="001"/>
    <n v="9000"/>
    <n v="0"/>
    <n v="0"/>
    <n v="9000"/>
    <n v="0"/>
    <n v="0"/>
    <n v="0"/>
    <n v="9000"/>
    <n v="9000"/>
    <n v="9000"/>
  </r>
  <r>
    <s v="73"/>
    <x v="2"/>
    <x v="11"/>
    <s v="ZV05F050"/>
    <x v="37"/>
    <s v="F102"/>
    <s v="PARTICIPACION CIUDADANA"/>
    <s v="GI00F10200005D"/>
    <s v="GI00F10200005D CASAS SOMOS QUITO"/>
    <s v="73 BIENES Y SERVICIOS PARA INVERSIÓN"/>
    <s v="730613 Capacitación para la Ciudadanía en Gener"/>
    <s v="G/730613/1FF102"/>
    <s v="001"/>
    <n v="25000"/>
    <n v="0"/>
    <n v="0"/>
    <n v="25000"/>
    <n v="0"/>
    <n v="0"/>
    <n v="0"/>
    <n v="25000"/>
    <n v="25000"/>
    <n v="25000"/>
  </r>
  <r>
    <s v="73"/>
    <x v="2"/>
    <x v="11"/>
    <s v="ZM04F040"/>
    <x v="41"/>
    <s v="F102"/>
    <s v="PARTICIPACION CIUDADANA"/>
    <s v="GI00F10200005D"/>
    <s v="GI00F10200005D CASAS SOMOS QUITO"/>
    <s v="73 BIENES Y SERVICIOS PARA INVERSIÓN"/>
    <s v="730613 Capacitación para la Ciudadanía en Gener"/>
    <s v="G/730613/1FF102"/>
    <s v="001"/>
    <n v="4000"/>
    <n v="0"/>
    <n v="0"/>
    <n v="4000"/>
    <n v="0"/>
    <n v="0"/>
    <n v="0"/>
    <n v="4000"/>
    <n v="4000"/>
    <n v="4000"/>
  </r>
  <r>
    <s v="73"/>
    <x v="2"/>
    <x v="11"/>
    <s v="ZS03F030"/>
    <x v="38"/>
    <s v="F102"/>
    <s v="PARTICIPACION CIUDADANA"/>
    <s v="GI00F10200005D"/>
    <s v="GI00F10200005D CASAS SOMOS QUITO"/>
    <s v="73 BIENES Y SERVICIOS PARA INVERSIÓN"/>
    <s v="730704 Mantenimiento y Reparación de Equipos y"/>
    <s v="G/730704/1FF102"/>
    <s v="001"/>
    <n v="2000"/>
    <n v="0"/>
    <n v="0"/>
    <n v="2000"/>
    <n v="0"/>
    <n v="0"/>
    <n v="0"/>
    <n v="2000"/>
    <n v="2000"/>
    <n v="2000"/>
  </r>
  <r>
    <s v="73"/>
    <x v="2"/>
    <x v="11"/>
    <s v="ZV05F050"/>
    <x v="37"/>
    <s v="F102"/>
    <s v="PARTICIPACION CIUDADANA"/>
    <s v="GI00F10200005D"/>
    <s v="GI00F10200005D CASAS SOMOS QUITO"/>
    <s v="73 BIENES Y SERVICIOS PARA INVERSIÓN"/>
    <s v="730804 Materiales de Oficina"/>
    <s v="G/730804/1FF102"/>
    <s v="001"/>
    <n v="1000"/>
    <n v="0"/>
    <n v="0"/>
    <n v="1000"/>
    <n v="0"/>
    <n v="0"/>
    <n v="0"/>
    <n v="1000"/>
    <n v="1000"/>
    <n v="1000"/>
  </r>
  <r>
    <s v="73"/>
    <x v="2"/>
    <x v="11"/>
    <s v="ZC09F090"/>
    <x v="44"/>
    <s v="F102"/>
    <s v="PARTICIPACION CIUDADANA"/>
    <s v="GI00F10200005D"/>
    <s v="GI00F10200005D CASAS SOMOS QUITO"/>
    <s v="73 BIENES Y SERVICIOS PARA INVERSIÓN"/>
    <s v="730804 Materiales de Oficina"/>
    <s v="G/730804/1FF102"/>
    <s v="001"/>
    <n v="300"/>
    <n v="0"/>
    <n v="0"/>
    <n v="300"/>
    <n v="0"/>
    <n v="0"/>
    <n v="0"/>
    <n v="300"/>
    <n v="300"/>
    <n v="300"/>
  </r>
  <r>
    <s v="73"/>
    <x v="2"/>
    <x v="11"/>
    <s v="ZS03F030"/>
    <x v="38"/>
    <s v="F102"/>
    <s v="PARTICIPACION CIUDADANA"/>
    <s v="GI00F10200005D"/>
    <s v="GI00F10200005D CASAS SOMOS QUITO"/>
    <s v="73 BIENES Y SERVICIOS PARA INVERSIÓN"/>
    <s v="730804 Materiales de Oficina"/>
    <s v="G/730804/1FF102"/>
    <s v="001"/>
    <n v="2000"/>
    <n v="0"/>
    <n v="0"/>
    <n v="2000"/>
    <n v="498.48"/>
    <n v="1501.52"/>
    <n v="1501.52"/>
    <n v="498.48"/>
    <n v="498.48"/>
    <n v="0"/>
  </r>
  <r>
    <s v="73"/>
    <x v="2"/>
    <x v="11"/>
    <s v="ZQ08F080"/>
    <x v="39"/>
    <s v="F102"/>
    <s v="PARTICIPACION CIUDADANA"/>
    <s v="GI00F10200005D"/>
    <s v="GI00F10200005D CASAS SOMOS QUITO"/>
    <s v="73 BIENES Y SERVICIOS PARA INVERSIÓN"/>
    <s v="730804 Materiales de Oficina"/>
    <s v="G/730804/1FF102"/>
    <s v="001"/>
    <n v="600"/>
    <n v="0"/>
    <n v="0"/>
    <n v="600"/>
    <n v="0"/>
    <n v="0"/>
    <n v="0"/>
    <n v="600"/>
    <n v="600"/>
    <n v="600"/>
  </r>
  <r>
    <s v="73"/>
    <x v="2"/>
    <x v="11"/>
    <s v="ZM04F040"/>
    <x v="41"/>
    <s v="F102"/>
    <s v="PARTICIPACION CIUDADANA"/>
    <s v="GI00F10200005D"/>
    <s v="GI00F10200005D CASAS SOMOS QUITO"/>
    <s v="73 BIENES Y SERVICIOS PARA INVERSIÓN"/>
    <s v="730804 Materiales de Oficina"/>
    <s v="G/730804/1FF102"/>
    <s v="001"/>
    <n v="500"/>
    <n v="-500"/>
    <n v="0"/>
    <n v="0"/>
    <n v="0"/>
    <n v="0"/>
    <n v="0"/>
    <n v="0"/>
    <n v="0"/>
    <n v="0"/>
  </r>
  <r>
    <s v="73"/>
    <x v="2"/>
    <x v="11"/>
    <s v="ZT06F060"/>
    <x v="25"/>
    <s v="F102"/>
    <s v="PARTICIPACION CIUDADANA"/>
    <s v="GI00F10200005D"/>
    <s v="GI00F10200005D CASAS SOMOS QUITO"/>
    <s v="73 BIENES Y SERVICIOS PARA INVERSIÓN"/>
    <s v="730804 Materiales de Oficina"/>
    <s v="G/730804/1FF102"/>
    <s v="001"/>
    <n v="1000"/>
    <n v="0"/>
    <n v="0"/>
    <n v="1000"/>
    <n v="0"/>
    <n v="0"/>
    <n v="0"/>
    <n v="1000"/>
    <n v="1000"/>
    <n v="1000"/>
  </r>
  <r>
    <s v="73"/>
    <x v="2"/>
    <x v="11"/>
    <s v="TM68F100"/>
    <x v="34"/>
    <s v="F102"/>
    <s v="PARTICIPACION CIUDADANA"/>
    <s v="GI00F10200005D"/>
    <s v="GI00F10200005D CASAS SOMOS QUITO"/>
    <s v="73 BIENES Y SERVICIOS PARA INVERSIÓN"/>
    <s v="730804 Materiales de Oficina"/>
    <s v="G/730804/1FF102"/>
    <s v="001"/>
    <n v="639.20000000000005"/>
    <n v="-295.27999999999997"/>
    <n v="0"/>
    <n v="343.92"/>
    <n v="266.25"/>
    <n v="77.67"/>
    <n v="77.67"/>
    <n v="266.25"/>
    <n v="266.25"/>
    <n v="0"/>
  </r>
  <r>
    <s v="73"/>
    <x v="2"/>
    <x v="11"/>
    <s v="ZD07F070"/>
    <x v="43"/>
    <s v="F102"/>
    <s v="PARTICIPACION CIUDADANA"/>
    <s v="GI00F10200005D"/>
    <s v="GI00F10200005D CASAS SOMOS QUITO"/>
    <s v="73 BIENES Y SERVICIOS PARA INVERSIÓN"/>
    <s v="730804 Materiales de Oficina"/>
    <s v="G/730804/1FF102"/>
    <s v="001"/>
    <n v="626.88"/>
    <n v="-626.88"/>
    <n v="0"/>
    <n v="0"/>
    <n v="0"/>
    <n v="0"/>
    <n v="0"/>
    <n v="0"/>
    <n v="0"/>
    <n v="0"/>
  </r>
  <r>
    <s v="73"/>
    <x v="2"/>
    <x v="11"/>
    <s v="ZS03F030"/>
    <x v="38"/>
    <s v="F102"/>
    <s v="PARTICIPACION CIUDADANA"/>
    <s v="GI00F10200005D"/>
    <s v="GI00F10200005D CASAS SOMOS QUITO"/>
    <s v="73 BIENES Y SERVICIOS PARA INVERSIÓN"/>
    <s v="730807 Materiales de Impresión, Fotografía, Rep"/>
    <s v="G/730807/1FF102"/>
    <s v="001"/>
    <n v="3000"/>
    <n v="0"/>
    <n v="0"/>
    <n v="3000"/>
    <n v="0"/>
    <n v="0"/>
    <n v="0"/>
    <n v="3000"/>
    <n v="3000"/>
    <n v="3000"/>
  </r>
  <r>
    <s v="73"/>
    <x v="2"/>
    <x v="11"/>
    <s v="ZT06F060"/>
    <x v="25"/>
    <s v="F102"/>
    <s v="PARTICIPACION CIUDADANA"/>
    <s v="GI00F10200005D"/>
    <s v="GI00F10200005D CASAS SOMOS QUITO"/>
    <s v="73 BIENES Y SERVICIOS PARA INVERSIÓN"/>
    <s v="730807 Materiales de Impresión, Fotografía, Rep"/>
    <s v="G/730807/1FF102"/>
    <s v="001"/>
    <n v="4000"/>
    <n v="0"/>
    <n v="0"/>
    <n v="4000"/>
    <n v="0"/>
    <n v="0"/>
    <n v="0"/>
    <n v="4000"/>
    <n v="4000"/>
    <n v="4000"/>
  </r>
  <r>
    <s v="73"/>
    <x v="2"/>
    <x v="11"/>
    <s v="ZC09F090"/>
    <x v="44"/>
    <s v="F102"/>
    <s v="PARTICIPACION CIUDADANA"/>
    <s v="GI00F10200005D"/>
    <s v="GI00F10200005D CASAS SOMOS QUITO"/>
    <s v="73 BIENES Y SERVICIOS PARA INVERSIÓN"/>
    <s v="730807 Materiales de Impresión, Fotografía, Rep"/>
    <s v="G/730807/1FF102"/>
    <s v="001"/>
    <n v="300"/>
    <n v="0"/>
    <n v="0"/>
    <n v="300"/>
    <n v="0"/>
    <n v="0"/>
    <n v="0"/>
    <n v="300"/>
    <n v="300"/>
    <n v="300"/>
  </r>
  <r>
    <s v="73"/>
    <x v="2"/>
    <x v="11"/>
    <s v="ZD07F070"/>
    <x v="43"/>
    <s v="F102"/>
    <s v="PARTICIPACION CIUDADANA"/>
    <s v="GI00F10200005D"/>
    <s v="GI00F10200005D CASAS SOMOS QUITO"/>
    <s v="73 BIENES Y SERVICIOS PARA INVERSIÓN"/>
    <s v="730807 Materiales de Impresión, Fotografía, Rep"/>
    <s v="G/730807/1FF102"/>
    <s v="001"/>
    <n v="10000"/>
    <n v="-10000"/>
    <n v="0"/>
    <n v="0"/>
    <n v="0"/>
    <n v="0"/>
    <n v="0"/>
    <n v="0"/>
    <n v="0"/>
    <n v="0"/>
  </r>
  <r>
    <s v="73"/>
    <x v="2"/>
    <x v="11"/>
    <s v="ZS03F030"/>
    <x v="38"/>
    <s v="F102"/>
    <s v="PARTICIPACION CIUDADANA"/>
    <s v="GI00F10200005D"/>
    <s v="GI00F10200005D CASAS SOMOS QUITO"/>
    <s v="73 BIENES Y SERVICIOS PARA INVERSIÓN"/>
    <s v="730811 Insumos, Materiales y Suministros para Cons"/>
    <s v="G/730811/1FF102"/>
    <s v="001"/>
    <n v="2000"/>
    <n v="0"/>
    <n v="0"/>
    <n v="2000"/>
    <n v="1141.06"/>
    <n v="858.94"/>
    <n v="0"/>
    <n v="1141.06"/>
    <n v="2000"/>
    <n v="0"/>
  </r>
  <r>
    <s v="73"/>
    <x v="2"/>
    <x v="11"/>
    <s v="ZN02F020"/>
    <x v="40"/>
    <s v="F102"/>
    <s v="PARTICIPACION CIUDADANA"/>
    <s v="GI00F10200005D"/>
    <s v="GI00F10200005D CASAS SOMOS QUITO"/>
    <s v="73 BIENES Y SERVICIOS PARA INVERSIÓN"/>
    <s v="730812 Materiales Didácticos"/>
    <s v="G/730812/1FF102"/>
    <s v="001"/>
    <n v="15000"/>
    <n v="0"/>
    <n v="0"/>
    <n v="15000"/>
    <n v="0"/>
    <n v="0"/>
    <n v="0"/>
    <n v="15000"/>
    <n v="15000"/>
    <n v="15000"/>
  </r>
  <r>
    <s v="73"/>
    <x v="2"/>
    <x v="11"/>
    <s v="ZQ08F080"/>
    <x v="39"/>
    <s v="F102"/>
    <s v="PARTICIPACION CIUDADANA"/>
    <s v="GI00F10200005D"/>
    <s v="GI00F10200005D CASAS SOMOS QUITO"/>
    <s v="73 BIENES Y SERVICIOS PARA INVERSIÓN"/>
    <s v="730812 Materiales Didácticos"/>
    <s v="G/730812/1FF102"/>
    <s v="001"/>
    <n v="1000"/>
    <n v="0"/>
    <n v="0"/>
    <n v="1000"/>
    <n v="0"/>
    <n v="0"/>
    <n v="0"/>
    <n v="1000"/>
    <n v="1000"/>
    <n v="1000"/>
  </r>
  <r>
    <s v="73"/>
    <x v="2"/>
    <x v="11"/>
    <s v="ZS03F030"/>
    <x v="38"/>
    <s v="F102"/>
    <s v="PARTICIPACION CIUDADANA"/>
    <s v="GI00F10200005D"/>
    <s v="GI00F10200005D CASAS SOMOS QUITO"/>
    <s v="73 BIENES Y SERVICIOS PARA INVERSIÓN"/>
    <s v="730812 Materiales Didácticos"/>
    <s v="G/730812/1FF102"/>
    <s v="001"/>
    <n v="400"/>
    <n v="0"/>
    <n v="0"/>
    <n v="400"/>
    <n v="0"/>
    <n v="0"/>
    <n v="0"/>
    <n v="400"/>
    <n v="400"/>
    <n v="400"/>
  </r>
  <r>
    <s v="73"/>
    <x v="2"/>
    <x v="11"/>
    <s v="ZM04F040"/>
    <x v="41"/>
    <s v="F102"/>
    <s v="PARTICIPACION CIUDADANA"/>
    <s v="GI00F10200005D"/>
    <s v="GI00F10200005D CASAS SOMOS QUITO"/>
    <s v="73 BIENES Y SERVICIOS PARA INVERSIÓN"/>
    <s v="730812 Materiales Didácticos"/>
    <s v="G/730812/1FF102"/>
    <s v="001"/>
    <n v="1000"/>
    <n v="-1000"/>
    <n v="0"/>
    <n v="0"/>
    <n v="0"/>
    <n v="0"/>
    <n v="0"/>
    <n v="0"/>
    <n v="0"/>
    <n v="0"/>
  </r>
  <r>
    <s v="73"/>
    <x v="2"/>
    <x v="11"/>
    <s v="ZD07F070"/>
    <x v="43"/>
    <s v="F102"/>
    <s v="PARTICIPACION CIUDADANA"/>
    <s v="GI00F10200005D"/>
    <s v="GI00F10200005D CASAS SOMOS QUITO"/>
    <s v="73 BIENES Y SERVICIOS PARA INVERSIÓN"/>
    <s v="730820 Menaje y Accesorios Descartables"/>
    <s v="G/730820/1FF102"/>
    <s v="001"/>
    <n v="1000"/>
    <n v="-1000"/>
    <n v="0"/>
    <n v="0"/>
    <n v="0"/>
    <n v="0"/>
    <n v="0"/>
    <n v="0"/>
    <n v="0"/>
    <n v="0"/>
  </r>
  <r>
    <s v="73"/>
    <x v="2"/>
    <x v="11"/>
    <s v="ZS03F030"/>
    <x v="38"/>
    <s v="F102"/>
    <s v="PARTICIPACION CIUDADANA"/>
    <s v="GI00F10200005D"/>
    <s v="GI00F10200005D CASAS SOMOS QUITO"/>
    <s v="73 BIENES Y SERVICIOS PARA INVERSIÓN"/>
    <s v="730820 Menaje y Accesorios Descartables"/>
    <s v="G/730820/1FF102"/>
    <s v="001"/>
    <n v="2000"/>
    <n v="0"/>
    <n v="0"/>
    <n v="2000"/>
    <n v="0"/>
    <n v="0"/>
    <n v="0"/>
    <n v="2000"/>
    <n v="2000"/>
    <n v="2000"/>
  </r>
  <r>
    <s v="73"/>
    <x v="2"/>
    <x v="11"/>
    <s v="ZQ08F080"/>
    <x v="39"/>
    <s v="F102"/>
    <s v="PARTICIPACION CIUDADANA"/>
    <s v="GI00F10200005D"/>
    <s v="GI00F10200005D CASAS SOMOS QUITO"/>
    <s v="73 BIENES Y SERVICIOS PARA INVERSIÓN"/>
    <s v="730820 Menaje y Accesorios Descartables"/>
    <s v="G/730820/1FF102"/>
    <s v="001"/>
    <n v="1500"/>
    <n v="0"/>
    <n v="0"/>
    <n v="1500"/>
    <n v="0"/>
    <n v="0"/>
    <n v="0"/>
    <n v="1500"/>
    <n v="1500"/>
    <n v="1500"/>
  </r>
  <r>
    <s v="73"/>
    <x v="2"/>
    <x v="11"/>
    <s v="ZS03F030"/>
    <x v="38"/>
    <s v="F102"/>
    <s v="PARTICIPACION CIUDADANA"/>
    <s v="GI00F10200005D"/>
    <s v="GI00F10200005D CASAS SOMOS QUITO"/>
    <s v="73 BIENES Y SERVICIOS PARA INVERSIÓN"/>
    <s v="731403 Mobiliarios"/>
    <s v="G/731403/1FF102"/>
    <s v="001"/>
    <n v="2000"/>
    <n v="0"/>
    <n v="0"/>
    <n v="2000"/>
    <n v="0"/>
    <n v="0"/>
    <n v="0"/>
    <n v="2000"/>
    <n v="2000"/>
    <n v="2000"/>
  </r>
  <r>
    <s v="73"/>
    <x v="2"/>
    <x v="11"/>
    <s v="TM68F100"/>
    <x v="34"/>
    <s v="F102"/>
    <s v="PARTICIPACION CIUDADANA"/>
    <s v="GI00F10200005D"/>
    <s v="GI00F10200005D CASAS SOMOS QUITO"/>
    <s v="73 BIENES Y SERVICIOS PARA INVERSIÓN"/>
    <s v="731403 Mobiliarios"/>
    <s v="G/731403/1FF102"/>
    <s v="001"/>
    <n v="0"/>
    <n v="295.27999999999997"/>
    <n v="0"/>
    <n v="295.27999999999997"/>
    <n v="0"/>
    <n v="0"/>
    <n v="0"/>
    <n v="295.27999999999997"/>
    <n v="295.27999999999997"/>
    <n v="295.27999999999997"/>
  </r>
  <r>
    <s v="73"/>
    <x v="2"/>
    <x v="11"/>
    <s v="ZM04F040"/>
    <x v="41"/>
    <s v="F102"/>
    <s v="PARTICIPACION CIUDADANA"/>
    <s v="GI00F10200005D"/>
    <s v="GI00F10200005D CASAS SOMOS QUITO"/>
    <s v="73 BIENES Y SERVICIOS PARA INVERSIÓN"/>
    <s v="731406 Herramientas y equipos menores"/>
    <s v="G/731406/1FF102"/>
    <s v="001"/>
    <n v="300"/>
    <n v="-300"/>
    <n v="0"/>
    <n v="0"/>
    <n v="0"/>
    <n v="0"/>
    <n v="0"/>
    <n v="0"/>
    <n v="0"/>
    <n v="0"/>
  </r>
  <r>
    <s v="73"/>
    <x v="2"/>
    <x v="11"/>
    <s v="ZD07F070"/>
    <x v="43"/>
    <s v="F102"/>
    <s v="PARTICIPACION CIUDADANA"/>
    <s v="GI00F10200005D"/>
    <s v="GI00F10200005D CASAS SOMOS QUITO"/>
    <s v="73 BIENES Y SERVICIOS PARA INVERSIÓN"/>
    <s v="731408 Bienes Artísticos, Culturales, Bienes De"/>
    <s v="G/731408/1FF102"/>
    <s v="001"/>
    <n v="2000"/>
    <n v="-2000"/>
    <n v="0"/>
    <n v="0"/>
    <n v="0"/>
    <n v="0"/>
    <n v="0"/>
    <n v="0"/>
    <n v="0"/>
    <n v="0"/>
  </r>
  <r>
    <s v="73"/>
    <x v="2"/>
    <x v="11"/>
    <s v="ZN02F020"/>
    <x v="40"/>
    <s v="F102"/>
    <s v="PARTICIPACION CIUDADANA"/>
    <s v="GI00F10200006D"/>
    <s v="GI00F10200006D INFRAESTRUCTURA COMUNITARIA"/>
    <s v="73 BIENES Y SERVICIOS PARA INVERSIÓN"/>
    <s v="730205 Espectáculos Culturales y Sociales"/>
    <s v="G/730205/1FF102"/>
    <s v="001"/>
    <n v="45000"/>
    <n v="-44978.11"/>
    <n v="0"/>
    <n v="21.89"/>
    <n v="0"/>
    <n v="0"/>
    <n v="0"/>
    <n v="21.89"/>
    <n v="21.89"/>
    <n v="21.89"/>
  </r>
  <r>
    <s v="73"/>
    <x v="2"/>
    <x v="11"/>
    <s v="ZN02F020"/>
    <x v="40"/>
    <s v="F102"/>
    <s v="PARTICIPACION CIUDADANA"/>
    <s v="GI00F10200006D"/>
    <s v="GI00F10200006D INFRAESTRUCTURA COMUNITARIA"/>
    <s v="73 BIENES Y SERVICIOS PARA INVERSIÓN"/>
    <s v="730237 Remediación, Restauración y Descontaminació"/>
    <s v="G/730237/1FF102"/>
    <s v="001"/>
    <n v="65719.990000000005"/>
    <n v="0"/>
    <n v="0"/>
    <n v="65719.990000000005"/>
    <n v="0"/>
    <n v="0"/>
    <n v="0"/>
    <n v="65719.990000000005"/>
    <n v="65719.990000000005"/>
    <n v="65719.990000000005"/>
  </r>
  <r>
    <s v="73"/>
    <x v="2"/>
    <x v="11"/>
    <s v="ZV05F050"/>
    <x v="37"/>
    <s v="F102"/>
    <s v="PARTICIPACION CIUDADANA"/>
    <s v="GI00F10200006D"/>
    <s v="GI00F10200006D INFRAESTRUCTURA COMUNITARIA"/>
    <s v="73 BIENES Y SERVICIOS PARA INVERSIÓN"/>
    <s v="730417 Infraestructura"/>
    <s v="G/730417/1FF102"/>
    <s v="001"/>
    <n v="100000"/>
    <n v="-100000"/>
    <n v="0"/>
    <n v="0"/>
    <n v="0"/>
    <n v="0"/>
    <n v="0"/>
    <n v="0"/>
    <n v="0"/>
    <n v="0"/>
  </r>
  <r>
    <s v="73"/>
    <x v="2"/>
    <x v="11"/>
    <s v="ZD07F070"/>
    <x v="43"/>
    <s v="F102"/>
    <s v="PARTICIPACION CIUDADANA"/>
    <s v="GI00F10200006D"/>
    <s v="GI00F10200006D INFRAESTRUCTURA COMUNITARIA"/>
    <s v="73 BIENES Y SERVICIOS PARA INVERSIÓN"/>
    <s v="730418 Mantenimiento de Áreas Verdes y Arreglo"/>
    <s v="G/730418/1FF102"/>
    <s v="001"/>
    <n v="55000"/>
    <n v="0"/>
    <n v="0"/>
    <n v="55000"/>
    <n v="0"/>
    <n v="7930.72"/>
    <n v="7930.72"/>
    <n v="47069.279999999999"/>
    <n v="47069.279999999999"/>
    <n v="47069.279999999999"/>
  </r>
  <r>
    <s v="73"/>
    <x v="2"/>
    <x v="11"/>
    <s v="ZQ08F080"/>
    <x v="39"/>
    <s v="F102"/>
    <s v="PARTICIPACION CIUDADANA"/>
    <s v="GI00F10200006D"/>
    <s v="GI00F10200006D INFRAESTRUCTURA COMUNITARIA"/>
    <s v="73 BIENES Y SERVICIOS PARA INVERSIÓN"/>
    <s v="730418 Mantenimiento de Áreas Verdes y Arreglo"/>
    <s v="G/730418/1FF102"/>
    <s v="001"/>
    <n v="60000"/>
    <n v="0"/>
    <n v="0"/>
    <n v="60000"/>
    <n v="0"/>
    <n v="0"/>
    <n v="0"/>
    <n v="60000"/>
    <n v="60000"/>
    <n v="60000"/>
  </r>
  <r>
    <s v="73"/>
    <x v="2"/>
    <x v="11"/>
    <s v="ZS03F030"/>
    <x v="38"/>
    <s v="F102"/>
    <s v="PARTICIPACION CIUDADANA"/>
    <s v="GI00F10200006D"/>
    <s v="GI00F10200006D INFRAESTRUCTURA COMUNITARIA"/>
    <s v="73 BIENES Y SERVICIOS PARA INVERSIÓN"/>
    <s v="730504 Maquinarias y Equipos (Arrendamiento)"/>
    <s v="G/730504/1FF102"/>
    <s v="001"/>
    <n v="100000"/>
    <n v="0"/>
    <n v="0"/>
    <n v="100000"/>
    <n v="100000"/>
    <n v="0"/>
    <n v="0"/>
    <n v="100000"/>
    <n v="100000"/>
    <n v="0"/>
  </r>
  <r>
    <s v="73"/>
    <x v="2"/>
    <x v="11"/>
    <s v="ZS03F030"/>
    <x v="38"/>
    <s v="F102"/>
    <s v="PARTICIPACION CIUDADANA"/>
    <s v="GI00F10200006D"/>
    <s v="GI00F10200006D INFRAESTRUCTURA COMUNITARIA"/>
    <s v="73 BIENES Y SERVICIOS PARA INVERSIÓN"/>
    <s v="730601 Consultoría, Asesoría e Investigación Es"/>
    <s v="G/730601/1FF102"/>
    <s v="001"/>
    <n v="20000"/>
    <n v="4757.49"/>
    <n v="0"/>
    <n v="24757.49"/>
    <n v="0"/>
    <n v="4757.49"/>
    <n v="4757.49"/>
    <n v="20000"/>
    <n v="20000"/>
    <n v="20000"/>
  </r>
  <r>
    <s v="73"/>
    <x v="2"/>
    <x v="11"/>
    <s v="ZS03F030"/>
    <x v="38"/>
    <s v="F102"/>
    <s v="PARTICIPACION CIUDADANA"/>
    <s v="GI00F10200006D"/>
    <s v="GI00F10200006D INFRAESTRUCTURA COMUNITARIA"/>
    <s v="73 BIENES Y SERVICIOS PARA INVERSIÓN"/>
    <s v="730604 Fiscalización e Inspecciones Técnicas"/>
    <s v="G/730604/1FF102"/>
    <s v="001"/>
    <n v="0"/>
    <n v="11500"/>
    <n v="0"/>
    <n v="11500"/>
    <n v="0"/>
    <n v="0"/>
    <n v="0"/>
    <n v="11500"/>
    <n v="11500"/>
    <n v="11500"/>
  </r>
  <r>
    <s v="73"/>
    <x v="2"/>
    <x v="11"/>
    <s v="ZN02F020"/>
    <x v="40"/>
    <s v="F102"/>
    <s v="PARTICIPACION CIUDADANA"/>
    <s v="GI00F10200006D"/>
    <s v="GI00F10200006D INFRAESTRUCTURA COMUNITARIA"/>
    <s v="73 BIENES Y SERVICIOS PARA INVERSIÓN"/>
    <s v="730605 Estudio y Diseño de Proyectos"/>
    <s v="G/730605/1FF102"/>
    <s v="001"/>
    <n v="25300"/>
    <n v="-8678.08"/>
    <n v="0"/>
    <n v="16621.919999999998"/>
    <n v="0"/>
    <n v="0"/>
    <n v="0"/>
    <n v="16621.919999999998"/>
    <n v="16621.919999999998"/>
    <n v="16621.919999999998"/>
  </r>
  <r>
    <s v="73"/>
    <x v="2"/>
    <x v="11"/>
    <s v="ZQ08F080"/>
    <x v="39"/>
    <s v="F102"/>
    <s v="PARTICIPACION CIUDADANA"/>
    <s v="GI00F10200006D"/>
    <s v="GI00F10200006D INFRAESTRUCTURA COMUNITARIA"/>
    <s v="73 BIENES Y SERVICIOS PARA INVERSIÓN"/>
    <s v="730605 Estudio y Diseño de Proyectos"/>
    <s v="G/730605/1FF102"/>
    <s v="001"/>
    <n v="20000"/>
    <n v="10371.459999999999"/>
    <n v="0"/>
    <n v="30371.46"/>
    <n v="0"/>
    <n v="0"/>
    <n v="0"/>
    <n v="30371.46"/>
    <n v="30371.46"/>
    <n v="30371.46"/>
  </r>
  <r>
    <s v="73"/>
    <x v="2"/>
    <x v="11"/>
    <s v="ZC09F090"/>
    <x v="44"/>
    <s v="F102"/>
    <s v="PARTICIPACION CIUDADANA"/>
    <s v="GI00F10200006D"/>
    <s v="GI00F10200006D INFRAESTRUCTURA COMUNITARIA"/>
    <s v="73 BIENES Y SERVICIOS PARA INVERSIÓN"/>
    <s v="730606 Honorarios por Contratos Civiles de Servici"/>
    <s v="G/730606/1FF102"/>
    <s v="001"/>
    <n v="47100"/>
    <n v="0"/>
    <n v="0"/>
    <n v="47100"/>
    <n v="0"/>
    <n v="0"/>
    <n v="0"/>
    <n v="47100"/>
    <n v="47100"/>
    <n v="47100"/>
  </r>
  <r>
    <s v="73"/>
    <x v="2"/>
    <x v="11"/>
    <s v="ZD07F070"/>
    <x v="43"/>
    <s v="F102"/>
    <s v="PARTICIPACION CIUDADANA"/>
    <s v="GI00F10200006D"/>
    <s v="GI00F10200006D INFRAESTRUCTURA COMUNITARIA"/>
    <s v="73 BIENES Y SERVICIOS PARA INVERSIÓN"/>
    <s v="730811 Insumos, Materiales y Suministros para Cons"/>
    <s v="G/730811/1FF102"/>
    <s v="001"/>
    <n v="20000"/>
    <n v="0"/>
    <n v="0"/>
    <n v="20000"/>
    <n v="0"/>
    <n v="0"/>
    <n v="0"/>
    <n v="20000"/>
    <n v="20000"/>
    <n v="20000"/>
  </r>
  <r>
    <s v="73"/>
    <x v="2"/>
    <x v="11"/>
    <s v="ZS03F030"/>
    <x v="38"/>
    <s v="F102"/>
    <s v="PARTICIPACION CIUDADANA"/>
    <s v="GI00F10200006D"/>
    <s v="GI00F10200006D INFRAESTRUCTURA COMUNITARIA"/>
    <s v="73 BIENES Y SERVICIOS PARA INVERSIÓN"/>
    <s v="730811 Insumos, Materiales y Suministros para Cons"/>
    <s v="G/730811/1FF102"/>
    <s v="001"/>
    <n v="30000"/>
    <n v="0"/>
    <n v="0"/>
    <n v="30000"/>
    <n v="8938.6299999999992"/>
    <n v="21061.37"/>
    <n v="0"/>
    <n v="8938.6299999999992"/>
    <n v="30000"/>
    <n v="0"/>
  </r>
  <r>
    <s v="73"/>
    <x v="2"/>
    <x v="11"/>
    <s v="ZV05F050"/>
    <x v="37"/>
    <s v="F102"/>
    <s v="PARTICIPACION CIUDADANA"/>
    <s v="GI00F10200006D"/>
    <s v="GI00F10200006D INFRAESTRUCTURA COMUNITARIA"/>
    <s v="73 BIENES Y SERVICIOS PARA INVERSIÓN"/>
    <s v="730811 Insumos, Materiales y Suministros para Cons"/>
    <s v="G/730811/1FF102"/>
    <s v="001"/>
    <n v="11000"/>
    <n v="35000"/>
    <n v="0"/>
    <n v="46000"/>
    <n v="6977.83"/>
    <n v="32715.98"/>
    <n v="23508.799999999999"/>
    <n v="13284.02"/>
    <n v="22491.200000000001"/>
    <n v="6306.19"/>
  </r>
  <r>
    <s v="73"/>
    <x v="2"/>
    <x v="11"/>
    <s v="ZN02F020"/>
    <x v="40"/>
    <s v="F102"/>
    <s v="PARTICIPACION CIUDADANA"/>
    <s v="GI00F10200007D"/>
    <s v="GI00F10200007D COLONIAS VACACIONALES RECREANDO QUITO"/>
    <s v="73 BIENES Y SERVICIOS PARA INVERSIÓN"/>
    <s v="730204 Edición, Impresión, Reproducción, Public"/>
    <s v="G/730204/1FF102"/>
    <s v="001"/>
    <n v="3500"/>
    <n v="0"/>
    <n v="0"/>
    <n v="3500"/>
    <n v="0"/>
    <n v="0"/>
    <n v="0"/>
    <n v="3500"/>
    <n v="3500"/>
    <n v="3500"/>
  </r>
  <r>
    <s v="73"/>
    <x v="2"/>
    <x v="11"/>
    <s v="ZC09F090"/>
    <x v="44"/>
    <s v="F102"/>
    <s v="PARTICIPACION CIUDADANA"/>
    <s v="GI00F10200007D"/>
    <s v="GI00F10200007D COLONIAS VACACIONALES RECREANDO QUITO"/>
    <s v="73 BIENES Y SERVICIOS PARA INVERSIÓN"/>
    <s v="730204 Edición, Impresión, Reproducción, Public"/>
    <s v="G/730204/1FF102"/>
    <s v="001"/>
    <n v="2500"/>
    <n v="0"/>
    <n v="0"/>
    <n v="2500"/>
    <n v="0"/>
    <n v="0"/>
    <n v="0"/>
    <n v="2500"/>
    <n v="2500"/>
    <n v="2500"/>
  </r>
  <r>
    <s v="73"/>
    <x v="2"/>
    <x v="11"/>
    <s v="ZC09F090"/>
    <x v="44"/>
    <s v="F102"/>
    <s v="PARTICIPACION CIUDADANA"/>
    <s v="GI00F10200007D"/>
    <s v="GI00F10200007D COLONIAS VACACIONALES RECREANDO QUITO"/>
    <s v="73 BIENES Y SERVICIOS PARA INVERSIÓN"/>
    <s v="730205 Espectáculos Culturales y Sociales"/>
    <s v="G/730205/1FF102"/>
    <s v="001"/>
    <n v="8159"/>
    <n v="0"/>
    <n v="0"/>
    <n v="8159"/>
    <n v="0"/>
    <n v="0"/>
    <n v="0"/>
    <n v="8159"/>
    <n v="8159"/>
    <n v="8159"/>
  </r>
  <r>
    <s v="73"/>
    <x v="2"/>
    <x v="11"/>
    <s v="ZS03F030"/>
    <x v="38"/>
    <s v="F102"/>
    <s v="PARTICIPACION CIUDADANA"/>
    <s v="GI00F10200007D"/>
    <s v="GI00F10200007D COLONIAS VACACIONALES RECREANDO QUITO"/>
    <s v="73 BIENES Y SERVICIOS PARA INVERSIÓN"/>
    <s v="730205 Espectáculos Culturales y Sociales"/>
    <s v="G/730205/1FF102"/>
    <s v="001"/>
    <n v="5000"/>
    <n v="0"/>
    <n v="0"/>
    <n v="5000"/>
    <n v="0"/>
    <n v="0"/>
    <n v="0"/>
    <n v="5000"/>
    <n v="5000"/>
    <n v="5000"/>
  </r>
  <r>
    <s v="73"/>
    <x v="2"/>
    <x v="11"/>
    <s v="ZV05F050"/>
    <x v="37"/>
    <s v="F102"/>
    <s v="PARTICIPACION CIUDADANA"/>
    <s v="GI00F10200007D"/>
    <s v="GI00F10200007D COLONIAS VACACIONALES RECREANDO QUITO"/>
    <s v="73 BIENES Y SERVICIOS PARA INVERSIÓN"/>
    <s v="730205 Espectáculos Culturales y Sociales"/>
    <s v="G/730205/1FF102"/>
    <s v="001"/>
    <n v="3000"/>
    <n v="0"/>
    <n v="0"/>
    <n v="3000"/>
    <n v="0"/>
    <n v="0"/>
    <n v="0"/>
    <n v="3000"/>
    <n v="3000"/>
    <n v="3000"/>
  </r>
  <r>
    <s v="73"/>
    <x v="2"/>
    <x v="11"/>
    <s v="ZD07F070"/>
    <x v="43"/>
    <s v="F102"/>
    <s v="PARTICIPACION CIUDADANA"/>
    <s v="GI00F10200007D"/>
    <s v="GI00F10200007D COLONIAS VACACIONALES RECREANDO QUITO"/>
    <s v="73 BIENES Y SERVICIOS PARA INVERSIÓN"/>
    <s v="730205 Espectáculos Culturales y Sociales"/>
    <s v="G/730205/1FF102"/>
    <s v="001"/>
    <n v="1360"/>
    <n v="0"/>
    <n v="0"/>
    <n v="1360"/>
    <n v="0"/>
    <n v="0"/>
    <n v="0"/>
    <n v="1360"/>
    <n v="1360"/>
    <n v="1360"/>
  </r>
  <r>
    <s v="73"/>
    <x v="2"/>
    <x v="11"/>
    <s v="ZA01F000"/>
    <x v="31"/>
    <s v="F102"/>
    <s v="PARTICIPACION CIUDADANA"/>
    <s v="GI00F10200007D"/>
    <s v="GI00F10200007D COLONIAS VACACIONALES RECREANDO QUITO"/>
    <s v="73 BIENES Y SERVICIOS PARA INVERSIÓN"/>
    <s v="730205 Espectáculos Culturales y Sociales"/>
    <s v="G/730205/1FF102"/>
    <s v="001"/>
    <n v="6322.42"/>
    <n v="0"/>
    <n v="0"/>
    <n v="6322.42"/>
    <n v="0"/>
    <n v="0"/>
    <n v="0"/>
    <n v="6322.42"/>
    <n v="6322.42"/>
    <n v="6322.42"/>
  </r>
  <r>
    <s v="73"/>
    <x v="2"/>
    <x v="11"/>
    <s v="ZN02F020"/>
    <x v="40"/>
    <s v="F102"/>
    <s v="PARTICIPACION CIUDADANA"/>
    <s v="GI00F10200007D"/>
    <s v="GI00F10200007D COLONIAS VACACIONALES RECREANDO QUITO"/>
    <s v="73 BIENES Y SERVICIOS PARA INVERSIÓN"/>
    <s v="730205 Espectáculos Culturales y Sociales"/>
    <s v="G/730205/1FF102"/>
    <s v="001"/>
    <n v="5582.81"/>
    <n v="0"/>
    <n v="0"/>
    <n v="5582.81"/>
    <n v="0"/>
    <n v="0"/>
    <n v="0"/>
    <n v="5582.81"/>
    <n v="5582.81"/>
    <n v="5582.81"/>
  </r>
  <r>
    <s v="73"/>
    <x v="2"/>
    <x v="11"/>
    <s v="ZT06F060"/>
    <x v="25"/>
    <s v="F102"/>
    <s v="PARTICIPACION CIUDADANA"/>
    <s v="GI00F10200007D"/>
    <s v="GI00F10200007D COLONIAS VACACIONALES RECREANDO QUITO"/>
    <s v="73 BIENES Y SERVICIOS PARA INVERSIÓN"/>
    <s v="730205 Espectáculos Culturales y Sociales"/>
    <s v="G/730205/1FF102"/>
    <s v="001"/>
    <n v="3750"/>
    <n v="0"/>
    <n v="0"/>
    <n v="3750"/>
    <n v="0"/>
    <n v="0"/>
    <n v="0"/>
    <n v="3750"/>
    <n v="3750"/>
    <n v="3750"/>
  </r>
  <r>
    <s v="73"/>
    <x v="2"/>
    <x v="11"/>
    <s v="ZQ08F080"/>
    <x v="39"/>
    <s v="F102"/>
    <s v="PARTICIPACION CIUDADANA"/>
    <s v="GI00F10200007D"/>
    <s v="GI00F10200007D COLONIAS VACACIONALES RECREANDO QUITO"/>
    <s v="73 BIENES Y SERVICIOS PARA INVERSIÓN"/>
    <s v="730205 Espectáculos Culturales y Sociales"/>
    <s v="G/730205/1FF102"/>
    <s v="001"/>
    <n v="10000"/>
    <n v="0"/>
    <n v="0"/>
    <n v="10000"/>
    <n v="0"/>
    <n v="0"/>
    <n v="0"/>
    <n v="10000"/>
    <n v="10000"/>
    <n v="10000"/>
  </r>
  <r>
    <s v="73"/>
    <x v="2"/>
    <x v="11"/>
    <s v="ZN02F020"/>
    <x v="40"/>
    <s v="F102"/>
    <s v="PARTICIPACION CIUDADANA"/>
    <s v="GI00F10200007D"/>
    <s v="GI00F10200007D COLONIAS VACACIONALES RECREANDO QUITO"/>
    <s v="73 BIENES Y SERVICIOS PARA INVERSIÓN"/>
    <s v="730235 Servicio de Alimentación"/>
    <s v="G/730235/1FF102"/>
    <s v="001"/>
    <n v="39000"/>
    <n v="0"/>
    <n v="0"/>
    <n v="39000"/>
    <n v="0"/>
    <n v="0"/>
    <n v="0"/>
    <n v="39000"/>
    <n v="39000"/>
    <n v="39000"/>
  </r>
  <r>
    <s v="73"/>
    <x v="2"/>
    <x v="11"/>
    <s v="ZA01F000"/>
    <x v="31"/>
    <s v="F102"/>
    <s v="PARTICIPACION CIUDADANA"/>
    <s v="GI00F10200007D"/>
    <s v="GI00F10200007D COLONIAS VACACIONALES RECREANDO QUITO"/>
    <s v="73 BIENES Y SERVICIOS PARA INVERSIÓN"/>
    <s v="730235 Servicio de Alimentación"/>
    <s v="G/730235/1FF102"/>
    <s v="001"/>
    <n v="6160"/>
    <n v="0"/>
    <n v="0"/>
    <n v="6160"/>
    <n v="0"/>
    <n v="0"/>
    <n v="0"/>
    <n v="6160"/>
    <n v="6160"/>
    <n v="6160"/>
  </r>
  <r>
    <s v="73"/>
    <x v="2"/>
    <x v="11"/>
    <s v="ZQ08F080"/>
    <x v="39"/>
    <s v="F102"/>
    <s v="PARTICIPACION CIUDADANA"/>
    <s v="GI00F10200007D"/>
    <s v="GI00F10200007D COLONIAS VACACIONALES RECREANDO QUITO"/>
    <s v="73 BIENES Y SERVICIOS PARA INVERSIÓN"/>
    <s v="730235 Servicio de Alimentación"/>
    <s v="G/730235/1FF102"/>
    <s v="001"/>
    <n v="67633.84"/>
    <n v="0"/>
    <n v="0"/>
    <n v="67633.84"/>
    <n v="0"/>
    <n v="0"/>
    <n v="0"/>
    <n v="67633.84"/>
    <n v="67633.84"/>
    <n v="67633.84"/>
  </r>
  <r>
    <s v="73"/>
    <x v="2"/>
    <x v="11"/>
    <s v="ZT06F060"/>
    <x v="25"/>
    <s v="F102"/>
    <s v="PARTICIPACION CIUDADANA"/>
    <s v="GI00F10200007D"/>
    <s v="GI00F10200007D COLONIAS VACACIONALES RECREANDO QUITO"/>
    <s v="73 BIENES Y SERVICIOS PARA INVERSIÓN"/>
    <s v="730235 Servicio de Alimentación"/>
    <s v="G/730235/1FF102"/>
    <s v="001"/>
    <n v="37000"/>
    <n v="0"/>
    <n v="0"/>
    <n v="37000"/>
    <n v="0"/>
    <n v="0"/>
    <n v="0"/>
    <n v="37000"/>
    <n v="37000"/>
    <n v="37000"/>
  </r>
  <r>
    <s v="73"/>
    <x v="2"/>
    <x v="11"/>
    <s v="ZM04F040"/>
    <x v="41"/>
    <s v="F102"/>
    <s v="PARTICIPACION CIUDADANA"/>
    <s v="GI00F10200007D"/>
    <s v="GI00F10200007D COLONIAS VACACIONALES RECREANDO QUITO"/>
    <s v="73 BIENES Y SERVICIOS PARA INVERSIÓN"/>
    <s v="730235 Servicio de Alimentación"/>
    <s v="G/730235/1FF102"/>
    <s v="001"/>
    <n v="48000"/>
    <n v="0"/>
    <n v="0"/>
    <n v="48000"/>
    <n v="0"/>
    <n v="0"/>
    <n v="0"/>
    <n v="48000"/>
    <n v="48000"/>
    <n v="48000"/>
  </r>
  <r>
    <s v="73"/>
    <x v="2"/>
    <x v="11"/>
    <s v="ZV05F050"/>
    <x v="37"/>
    <s v="F102"/>
    <s v="PARTICIPACION CIUDADANA"/>
    <s v="GI00F10200007D"/>
    <s v="GI00F10200007D COLONIAS VACACIONALES RECREANDO QUITO"/>
    <s v="73 BIENES Y SERVICIOS PARA INVERSIÓN"/>
    <s v="730235 Servicio de Alimentación"/>
    <s v="G/730235/1FF102"/>
    <s v="001"/>
    <n v="52900"/>
    <n v="0"/>
    <n v="0"/>
    <n v="52900"/>
    <n v="0"/>
    <n v="0"/>
    <n v="0"/>
    <n v="52900"/>
    <n v="52900"/>
    <n v="52900"/>
  </r>
  <r>
    <s v="73"/>
    <x v="2"/>
    <x v="11"/>
    <s v="ZS03F030"/>
    <x v="38"/>
    <s v="F102"/>
    <s v="PARTICIPACION CIUDADANA"/>
    <s v="GI00F10200007D"/>
    <s v="GI00F10200007D COLONIAS VACACIONALES RECREANDO QUITO"/>
    <s v="73 BIENES Y SERVICIOS PARA INVERSIÓN"/>
    <s v="730235 Servicio de Alimentación"/>
    <s v="G/730235/1FF102"/>
    <s v="001"/>
    <n v="17287.98"/>
    <n v="0"/>
    <n v="0"/>
    <n v="17287.98"/>
    <n v="0"/>
    <n v="0"/>
    <n v="0"/>
    <n v="17287.98"/>
    <n v="17287.98"/>
    <n v="17287.98"/>
  </r>
  <r>
    <s v="73"/>
    <x v="2"/>
    <x v="11"/>
    <s v="ZC09F090"/>
    <x v="44"/>
    <s v="F102"/>
    <s v="PARTICIPACION CIUDADANA"/>
    <s v="GI00F10200007D"/>
    <s v="GI00F10200007D COLONIAS VACACIONALES RECREANDO QUITO"/>
    <s v="73 BIENES Y SERVICIOS PARA INVERSIÓN"/>
    <s v="730235 Servicio de Alimentación"/>
    <s v="G/730235/1FF102"/>
    <s v="001"/>
    <n v="38473.71"/>
    <n v="0"/>
    <n v="0"/>
    <n v="38473.71"/>
    <n v="0"/>
    <n v="0"/>
    <n v="0"/>
    <n v="38473.71"/>
    <n v="38473.71"/>
    <n v="38473.71"/>
  </r>
  <r>
    <s v="73"/>
    <x v="2"/>
    <x v="11"/>
    <s v="ZD07F070"/>
    <x v="43"/>
    <s v="F102"/>
    <s v="PARTICIPACION CIUDADANA"/>
    <s v="GI00F10200007D"/>
    <s v="GI00F10200007D COLONIAS VACACIONALES RECREANDO QUITO"/>
    <s v="73 BIENES Y SERVICIOS PARA INVERSIÓN"/>
    <s v="730235 Servicio de Alimentación"/>
    <s v="G/730235/1FF102"/>
    <s v="001"/>
    <n v="46000"/>
    <n v="0"/>
    <n v="0"/>
    <n v="46000"/>
    <n v="0"/>
    <n v="0"/>
    <n v="0"/>
    <n v="46000"/>
    <n v="46000"/>
    <n v="46000"/>
  </r>
  <r>
    <s v="73"/>
    <x v="2"/>
    <x v="11"/>
    <s v="ZS03F030"/>
    <x v="38"/>
    <s v="F102"/>
    <s v="PARTICIPACION CIUDADANA"/>
    <s v="GI00F10200007D"/>
    <s v="GI00F10200007D COLONIAS VACACIONALES RECREANDO QUITO"/>
    <s v="73 BIENES Y SERVICIOS PARA INVERSIÓN"/>
    <s v="730505 Vehículos (Arrendamiento)"/>
    <s v="G/730505/1FF102"/>
    <s v="001"/>
    <n v="8000"/>
    <n v="0"/>
    <n v="0"/>
    <n v="8000"/>
    <n v="0"/>
    <n v="0"/>
    <n v="0"/>
    <n v="8000"/>
    <n v="8000"/>
    <n v="8000"/>
  </r>
  <r>
    <s v="73"/>
    <x v="2"/>
    <x v="11"/>
    <s v="ZV05F050"/>
    <x v="37"/>
    <s v="F102"/>
    <s v="PARTICIPACION CIUDADANA"/>
    <s v="GI00F10200007D"/>
    <s v="GI00F10200007D COLONIAS VACACIONALES RECREANDO QUITO"/>
    <s v="73 BIENES Y SERVICIOS PARA INVERSIÓN"/>
    <s v="730505 Vehículos (Arrendamiento)"/>
    <s v="G/730505/1FF102"/>
    <s v="001"/>
    <n v="13500"/>
    <n v="0"/>
    <n v="0"/>
    <n v="13500"/>
    <n v="0"/>
    <n v="0"/>
    <n v="0"/>
    <n v="13500"/>
    <n v="13500"/>
    <n v="13500"/>
  </r>
  <r>
    <s v="73"/>
    <x v="2"/>
    <x v="11"/>
    <s v="ZM04F040"/>
    <x v="41"/>
    <s v="F102"/>
    <s v="PARTICIPACION CIUDADANA"/>
    <s v="GI00F10200007D"/>
    <s v="GI00F10200007D COLONIAS VACACIONALES RECREANDO QUITO"/>
    <s v="73 BIENES Y SERVICIOS PARA INVERSIÓN"/>
    <s v="730505 Vehículos (Arrendamiento)"/>
    <s v="G/730505/1FF102"/>
    <s v="001"/>
    <n v="13000"/>
    <n v="0"/>
    <n v="0"/>
    <n v="13000"/>
    <n v="0"/>
    <n v="0"/>
    <n v="0"/>
    <n v="13000"/>
    <n v="13000"/>
    <n v="13000"/>
  </r>
  <r>
    <s v="73"/>
    <x v="2"/>
    <x v="11"/>
    <s v="ZQ08F080"/>
    <x v="39"/>
    <s v="F102"/>
    <s v="PARTICIPACION CIUDADANA"/>
    <s v="GI00F10200007D"/>
    <s v="GI00F10200007D COLONIAS VACACIONALES RECREANDO QUITO"/>
    <s v="73 BIENES Y SERVICIOS PARA INVERSIÓN"/>
    <s v="730505 Vehículos (Arrendamiento)"/>
    <s v="G/730505/1FF102"/>
    <s v="001"/>
    <n v="15000"/>
    <n v="0"/>
    <n v="0"/>
    <n v="15000"/>
    <n v="0"/>
    <n v="0"/>
    <n v="0"/>
    <n v="15000"/>
    <n v="15000"/>
    <n v="15000"/>
  </r>
  <r>
    <s v="73"/>
    <x v="2"/>
    <x v="11"/>
    <s v="ZD07F070"/>
    <x v="43"/>
    <s v="F102"/>
    <s v="PARTICIPACION CIUDADANA"/>
    <s v="GI00F10200007D"/>
    <s v="GI00F10200007D COLONIAS VACACIONALES RECREANDO QUITO"/>
    <s v="73 BIENES Y SERVICIOS PARA INVERSIÓN"/>
    <s v="730505 Vehículos (Arrendamiento)"/>
    <s v="G/730505/1FF102"/>
    <s v="001"/>
    <n v="14000"/>
    <n v="0"/>
    <n v="0"/>
    <n v="14000"/>
    <n v="0"/>
    <n v="0"/>
    <n v="0"/>
    <n v="14000"/>
    <n v="14000"/>
    <n v="14000"/>
  </r>
  <r>
    <s v="73"/>
    <x v="2"/>
    <x v="11"/>
    <s v="ZC09F090"/>
    <x v="44"/>
    <s v="F102"/>
    <s v="PARTICIPACION CIUDADANA"/>
    <s v="GI00F10200007D"/>
    <s v="GI00F10200007D COLONIAS VACACIONALES RECREANDO QUITO"/>
    <s v="73 BIENES Y SERVICIOS PARA INVERSIÓN"/>
    <s v="730505 Vehículos (Arrendamiento)"/>
    <s v="G/730505/1FF102"/>
    <s v="001"/>
    <n v="14000"/>
    <n v="0"/>
    <n v="0"/>
    <n v="14000"/>
    <n v="0"/>
    <n v="0"/>
    <n v="0"/>
    <n v="14000"/>
    <n v="14000"/>
    <n v="14000"/>
  </r>
  <r>
    <s v="73"/>
    <x v="2"/>
    <x v="11"/>
    <s v="ZT06F060"/>
    <x v="25"/>
    <s v="F102"/>
    <s v="PARTICIPACION CIUDADANA"/>
    <s v="GI00F10200007D"/>
    <s v="GI00F10200007D COLONIAS VACACIONALES RECREANDO QUITO"/>
    <s v="73 BIENES Y SERVICIOS PARA INVERSIÓN"/>
    <s v="730505 Vehículos (Arrendamiento)"/>
    <s v="G/730505/1FF102"/>
    <s v="001"/>
    <n v="14000"/>
    <n v="0"/>
    <n v="0"/>
    <n v="14000"/>
    <n v="0"/>
    <n v="0"/>
    <n v="0"/>
    <n v="14000"/>
    <n v="14000"/>
    <n v="14000"/>
  </r>
  <r>
    <s v="73"/>
    <x v="2"/>
    <x v="11"/>
    <s v="ZN02F020"/>
    <x v="40"/>
    <s v="F102"/>
    <s v="PARTICIPACION CIUDADANA"/>
    <s v="GI00F10200007D"/>
    <s v="GI00F10200007D COLONIAS VACACIONALES RECREANDO QUITO"/>
    <s v="73 BIENES Y SERVICIOS PARA INVERSIÓN"/>
    <s v="730505 Vehículos (Arrendamiento)"/>
    <s v="G/730505/1FF102"/>
    <s v="001"/>
    <n v="13000"/>
    <n v="0"/>
    <n v="0"/>
    <n v="13000"/>
    <n v="0"/>
    <n v="0"/>
    <n v="0"/>
    <n v="13000"/>
    <n v="13000"/>
    <n v="13000"/>
  </r>
  <r>
    <s v="73"/>
    <x v="2"/>
    <x v="11"/>
    <s v="ZM04F040"/>
    <x v="41"/>
    <s v="F102"/>
    <s v="PARTICIPACION CIUDADANA"/>
    <s v="GI00F10200007D"/>
    <s v="GI00F10200007D COLONIAS VACACIONALES RECREANDO QUITO"/>
    <s v="73 BIENES Y SERVICIOS PARA INVERSIÓN"/>
    <s v="730613 Capacitación para la Ciudadanía en Gener"/>
    <s v="G/730613/1FF102"/>
    <s v="001"/>
    <n v="7000"/>
    <n v="0"/>
    <n v="0"/>
    <n v="7000"/>
    <n v="0"/>
    <n v="0"/>
    <n v="0"/>
    <n v="7000"/>
    <n v="7000"/>
    <n v="7000"/>
  </r>
  <r>
    <s v="73"/>
    <x v="2"/>
    <x v="11"/>
    <s v="ZQ08F080"/>
    <x v="39"/>
    <s v="F102"/>
    <s v="PARTICIPACION CIUDADANA"/>
    <s v="GI00F10200007D"/>
    <s v="GI00F10200007D COLONIAS VACACIONALES RECREANDO QUITO"/>
    <s v="73 BIENES Y SERVICIOS PARA INVERSIÓN"/>
    <s v="730613 Capacitación para la Ciudadanía en Gener"/>
    <s v="G/730613/1FF102"/>
    <s v="001"/>
    <n v="5000"/>
    <n v="0"/>
    <n v="0"/>
    <n v="5000"/>
    <n v="0"/>
    <n v="0"/>
    <n v="0"/>
    <n v="5000"/>
    <n v="5000"/>
    <n v="5000"/>
  </r>
  <r>
    <s v="73"/>
    <x v="2"/>
    <x v="11"/>
    <s v="ZT06F060"/>
    <x v="25"/>
    <s v="F102"/>
    <s v="PARTICIPACION CIUDADANA"/>
    <s v="GI00F10200007D"/>
    <s v="GI00F10200007D COLONIAS VACACIONALES RECREANDO QUITO"/>
    <s v="73 BIENES Y SERVICIOS PARA INVERSIÓN"/>
    <s v="730613 Capacitación para la Ciudadanía en Gener"/>
    <s v="G/730613/1FF102"/>
    <s v="001"/>
    <n v="1700"/>
    <n v="0"/>
    <n v="0"/>
    <n v="1700"/>
    <n v="0"/>
    <n v="0"/>
    <n v="0"/>
    <n v="1700"/>
    <n v="1700"/>
    <n v="1700"/>
  </r>
  <r>
    <s v="73"/>
    <x v="2"/>
    <x v="11"/>
    <s v="ZA01F000"/>
    <x v="31"/>
    <s v="F102"/>
    <s v="PARTICIPACION CIUDADANA"/>
    <s v="GI00F10200007D"/>
    <s v="GI00F10200007D COLONIAS VACACIONALES RECREANDO QUITO"/>
    <s v="73 BIENES Y SERVICIOS PARA INVERSIÓN"/>
    <s v="730613 Capacitación para la Ciudadanía en Gener"/>
    <s v="G/730613/1FF102"/>
    <s v="001"/>
    <n v="12343.34"/>
    <n v="7840"/>
    <n v="0"/>
    <n v="20183.34"/>
    <n v="0"/>
    <n v="7840"/>
    <n v="0"/>
    <n v="12343.34"/>
    <n v="20183.34"/>
    <n v="12343.34"/>
  </r>
  <r>
    <s v="73"/>
    <x v="2"/>
    <x v="11"/>
    <s v="ZS03F030"/>
    <x v="38"/>
    <s v="F102"/>
    <s v="PARTICIPACION CIUDADANA"/>
    <s v="GI00F10200007D"/>
    <s v="GI00F10200007D COLONIAS VACACIONALES RECREANDO QUITO"/>
    <s v="73 BIENES Y SERVICIOS PARA INVERSIÓN"/>
    <s v="730613 Capacitación para la Ciudadanía en Gener"/>
    <s v="G/730613/1FF102"/>
    <s v="001"/>
    <n v="4500"/>
    <n v="0"/>
    <n v="0"/>
    <n v="4500"/>
    <n v="0"/>
    <n v="0"/>
    <n v="0"/>
    <n v="4500"/>
    <n v="4500"/>
    <n v="4500"/>
  </r>
  <r>
    <s v="73"/>
    <x v="2"/>
    <x v="11"/>
    <s v="ZN02F020"/>
    <x v="40"/>
    <s v="F102"/>
    <s v="PARTICIPACION CIUDADANA"/>
    <s v="GI00F10200007D"/>
    <s v="GI00F10200007D COLONIAS VACACIONALES RECREANDO QUITO"/>
    <s v="73 BIENES Y SERVICIOS PARA INVERSIÓN"/>
    <s v="730613 Capacitación para la Ciudadanía en Gener"/>
    <s v="G/730613/1FF102"/>
    <s v="001"/>
    <n v="2000"/>
    <n v="0"/>
    <n v="0"/>
    <n v="2000"/>
    <n v="0"/>
    <n v="0"/>
    <n v="0"/>
    <n v="2000"/>
    <n v="2000"/>
    <n v="2000"/>
  </r>
  <r>
    <s v="73"/>
    <x v="2"/>
    <x v="11"/>
    <s v="ZC09F090"/>
    <x v="44"/>
    <s v="F102"/>
    <s v="PARTICIPACION CIUDADANA"/>
    <s v="GI00F10200007D"/>
    <s v="GI00F10200007D COLONIAS VACACIONALES RECREANDO QUITO"/>
    <s v="73 BIENES Y SERVICIOS PARA INVERSIÓN"/>
    <s v="730613 Capacitación para la Ciudadanía en Gener"/>
    <s v="G/730613/1FF102"/>
    <s v="001"/>
    <n v="2000"/>
    <n v="0"/>
    <n v="0"/>
    <n v="2000"/>
    <n v="0"/>
    <n v="0"/>
    <n v="0"/>
    <n v="2000"/>
    <n v="2000"/>
    <n v="2000"/>
  </r>
  <r>
    <s v="73"/>
    <x v="2"/>
    <x v="11"/>
    <s v="ZV05F050"/>
    <x v="37"/>
    <s v="F102"/>
    <s v="PARTICIPACION CIUDADANA"/>
    <s v="GI00F10200007D"/>
    <s v="GI00F10200007D COLONIAS VACACIONALES RECREANDO QUITO"/>
    <s v="73 BIENES Y SERVICIOS PARA INVERSIÓN"/>
    <s v="730613 Capacitación para la Ciudadanía en Gener"/>
    <s v="G/730613/1FF102"/>
    <s v="001"/>
    <n v="9860.5"/>
    <n v="0"/>
    <n v="0"/>
    <n v="9860.5"/>
    <n v="0"/>
    <n v="0"/>
    <n v="0"/>
    <n v="9860.5"/>
    <n v="9860.5"/>
    <n v="9860.5"/>
  </r>
  <r>
    <s v="73"/>
    <x v="2"/>
    <x v="11"/>
    <s v="ZT06F060"/>
    <x v="25"/>
    <s v="F102"/>
    <s v="PARTICIPACION CIUDADANA"/>
    <s v="GI00F10200007D"/>
    <s v="GI00F10200007D COLONIAS VACACIONALES RECREANDO QUITO"/>
    <s v="73 BIENES Y SERVICIOS PARA INVERSIÓN"/>
    <s v="730802 Vestuario, Lencería, Prendas de Protecci"/>
    <s v="G/730802/1FF102"/>
    <s v="001"/>
    <n v="9675"/>
    <n v="0"/>
    <n v="0"/>
    <n v="9675"/>
    <n v="0"/>
    <n v="0"/>
    <n v="0"/>
    <n v="9675"/>
    <n v="9675"/>
    <n v="9675"/>
  </r>
  <r>
    <s v="73"/>
    <x v="2"/>
    <x v="11"/>
    <s v="ZN02F020"/>
    <x v="40"/>
    <s v="F102"/>
    <s v="PARTICIPACION CIUDADANA"/>
    <s v="GI00F10200007D"/>
    <s v="GI00F10200007D COLONIAS VACACIONALES RECREANDO QUITO"/>
    <s v="73 BIENES Y SERVICIOS PARA INVERSIÓN"/>
    <s v="730802 Vestuario, Lencería, Prendas de Protecci"/>
    <s v="G/730802/1FF102"/>
    <s v="001"/>
    <n v="18000"/>
    <n v="0"/>
    <n v="0"/>
    <n v="18000"/>
    <n v="0"/>
    <n v="0"/>
    <n v="0"/>
    <n v="18000"/>
    <n v="18000"/>
    <n v="18000"/>
  </r>
  <r>
    <s v="73"/>
    <x v="2"/>
    <x v="11"/>
    <s v="ZS03F030"/>
    <x v="38"/>
    <s v="F102"/>
    <s v="PARTICIPACION CIUDADANA"/>
    <s v="GI00F10200007D"/>
    <s v="GI00F10200007D COLONIAS VACACIONALES RECREANDO QUITO"/>
    <s v="73 BIENES Y SERVICIOS PARA INVERSIÓN"/>
    <s v="730802 Vestuario, Lencería, Prendas de Protecci"/>
    <s v="G/730802/1FF102"/>
    <s v="001"/>
    <n v="15000"/>
    <n v="0"/>
    <n v="0"/>
    <n v="15000"/>
    <n v="0"/>
    <n v="0"/>
    <n v="0"/>
    <n v="15000"/>
    <n v="15000"/>
    <n v="15000"/>
  </r>
  <r>
    <s v="73"/>
    <x v="2"/>
    <x v="11"/>
    <s v="ZC09F090"/>
    <x v="44"/>
    <s v="F102"/>
    <s v="PARTICIPACION CIUDADANA"/>
    <s v="GI00F10200007D"/>
    <s v="GI00F10200007D COLONIAS VACACIONALES RECREANDO QUITO"/>
    <s v="73 BIENES Y SERVICIOS PARA INVERSIÓN"/>
    <s v="730802 Vestuario, Lencería, Prendas de Protecci"/>
    <s v="G/730802/1FF102"/>
    <s v="001"/>
    <n v="16058"/>
    <n v="0"/>
    <n v="0"/>
    <n v="16058"/>
    <n v="0"/>
    <n v="0"/>
    <n v="0"/>
    <n v="16058"/>
    <n v="16058"/>
    <n v="16058"/>
  </r>
  <r>
    <s v="73"/>
    <x v="2"/>
    <x v="11"/>
    <s v="ZV05F050"/>
    <x v="37"/>
    <s v="F102"/>
    <s v="PARTICIPACION CIUDADANA"/>
    <s v="GI00F10200007D"/>
    <s v="GI00F10200007D COLONIAS VACACIONALES RECREANDO QUITO"/>
    <s v="73 BIENES Y SERVICIOS PARA INVERSIÓN"/>
    <s v="730802 Vestuario, Lencería, Prendas de Protecci"/>
    <s v="G/730802/1FF102"/>
    <s v="001"/>
    <n v="12100"/>
    <n v="0"/>
    <n v="0"/>
    <n v="12100"/>
    <n v="0"/>
    <n v="0"/>
    <n v="0"/>
    <n v="12100"/>
    <n v="12100"/>
    <n v="12100"/>
  </r>
  <r>
    <s v="73"/>
    <x v="2"/>
    <x v="11"/>
    <s v="ZQ08F080"/>
    <x v="39"/>
    <s v="F102"/>
    <s v="PARTICIPACION CIUDADANA"/>
    <s v="GI00F10200007D"/>
    <s v="GI00F10200007D COLONIAS VACACIONALES RECREANDO QUITO"/>
    <s v="73 BIENES Y SERVICIOS PARA INVERSIÓN"/>
    <s v="730802 Vestuario, Lencería, Prendas de Protecci"/>
    <s v="G/730802/1FF102"/>
    <s v="001"/>
    <n v="30000"/>
    <n v="0"/>
    <n v="0"/>
    <n v="30000"/>
    <n v="0"/>
    <n v="0"/>
    <n v="0"/>
    <n v="30000"/>
    <n v="30000"/>
    <n v="30000"/>
  </r>
  <r>
    <s v="73"/>
    <x v="2"/>
    <x v="11"/>
    <s v="ZM04F040"/>
    <x v="41"/>
    <s v="F102"/>
    <s v="PARTICIPACION CIUDADANA"/>
    <s v="GI00F10200007D"/>
    <s v="GI00F10200007D COLONIAS VACACIONALES RECREANDO QUITO"/>
    <s v="73 BIENES Y SERVICIOS PARA INVERSIÓN"/>
    <s v="730802 Vestuario, Lencería, Prendas de Protecci"/>
    <s v="G/730802/1FF102"/>
    <s v="001"/>
    <n v="25331.05"/>
    <n v="0"/>
    <n v="0"/>
    <n v="25331.05"/>
    <n v="0"/>
    <n v="0"/>
    <n v="0"/>
    <n v="25331.05"/>
    <n v="25331.05"/>
    <n v="25331.05"/>
  </r>
  <r>
    <s v="73"/>
    <x v="2"/>
    <x v="11"/>
    <s v="ZD07F070"/>
    <x v="43"/>
    <s v="F102"/>
    <s v="PARTICIPACION CIUDADANA"/>
    <s v="GI00F10200007D"/>
    <s v="GI00F10200007D COLONIAS VACACIONALES RECREANDO QUITO"/>
    <s v="73 BIENES Y SERVICIOS PARA INVERSIÓN"/>
    <s v="730802 Vestuario, Lencería, Prendas de Protecci"/>
    <s v="G/730802/1FF102"/>
    <s v="001"/>
    <n v="15125.03"/>
    <n v="0"/>
    <n v="0"/>
    <n v="15125.03"/>
    <n v="81.540000000000006"/>
    <n v="15039.89"/>
    <n v="15039.89"/>
    <n v="85.14"/>
    <n v="85.14"/>
    <n v="3.6"/>
  </r>
  <r>
    <s v="73"/>
    <x v="2"/>
    <x v="11"/>
    <s v="ZQ08F080"/>
    <x v="39"/>
    <s v="F102"/>
    <s v="PARTICIPACION CIUDADANA"/>
    <s v="GI00F10200007D"/>
    <s v="GI00F10200007D COLONIAS VACACIONALES RECREANDO QUITO"/>
    <s v="73 BIENES Y SERVICIOS PARA INVERSIÓN"/>
    <s v="730804 Materiales de Oficina"/>
    <s v="G/730804/1FF102"/>
    <s v="001"/>
    <n v="1000"/>
    <n v="0"/>
    <n v="0"/>
    <n v="1000"/>
    <n v="0"/>
    <n v="0"/>
    <n v="0"/>
    <n v="1000"/>
    <n v="1000"/>
    <n v="1000"/>
  </r>
  <r>
    <s v="73"/>
    <x v="2"/>
    <x v="11"/>
    <s v="ZV05F050"/>
    <x v="37"/>
    <s v="F102"/>
    <s v="PARTICIPACION CIUDADANA"/>
    <s v="GI00F10200007D"/>
    <s v="GI00F10200007D COLONIAS VACACIONALES RECREANDO QUITO"/>
    <s v="73 BIENES Y SERVICIOS PARA INVERSIÓN"/>
    <s v="730811 Insumos, Materiales y Suministros para Cons"/>
    <s v="G/730811/1FF102"/>
    <s v="001"/>
    <n v="600"/>
    <n v="0"/>
    <n v="0"/>
    <n v="600"/>
    <n v="0"/>
    <n v="0"/>
    <n v="0"/>
    <n v="600"/>
    <n v="600"/>
    <n v="600"/>
  </r>
  <r>
    <s v="73"/>
    <x v="2"/>
    <x v="11"/>
    <s v="ZV05F050"/>
    <x v="37"/>
    <s v="F102"/>
    <s v="PARTICIPACION CIUDADANA"/>
    <s v="GI00F10200007D"/>
    <s v="GI00F10200007D COLONIAS VACACIONALES RECREANDO QUITO"/>
    <s v="73 BIENES Y SERVICIOS PARA INVERSIÓN"/>
    <s v="730812 Materiales Didácticos"/>
    <s v="G/730812/1FF102"/>
    <s v="001"/>
    <n v="5500"/>
    <n v="0"/>
    <n v="0"/>
    <n v="5500"/>
    <n v="0"/>
    <n v="0"/>
    <n v="0"/>
    <n v="5500"/>
    <n v="5500"/>
    <n v="5500"/>
  </r>
  <r>
    <s v="73"/>
    <x v="2"/>
    <x v="11"/>
    <s v="ZT06F060"/>
    <x v="25"/>
    <s v="F102"/>
    <s v="PARTICIPACION CIUDADANA"/>
    <s v="GI00F10200007D"/>
    <s v="GI00F10200007D COLONIAS VACACIONALES RECREANDO QUITO"/>
    <s v="73 BIENES Y SERVICIOS PARA INVERSIÓN"/>
    <s v="730812 Materiales Didácticos"/>
    <s v="G/730812/1FF102"/>
    <s v="001"/>
    <n v="7897.2"/>
    <n v="0"/>
    <n v="0"/>
    <n v="7897.2"/>
    <n v="0"/>
    <n v="0"/>
    <n v="0"/>
    <n v="7897.2"/>
    <n v="7897.2"/>
    <n v="7897.2"/>
  </r>
  <r>
    <s v="73"/>
    <x v="2"/>
    <x v="11"/>
    <s v="ZS03F030"/>
    <x v="38"/>
    <s v="F102"/>
    <s v="PARTICIPACION CIUDADANA"/>
    <s v="GI00F10200007D"/>
    <s v="GI00F10200007D COLONIAS VACACIONALES RECREANDO QUITO"/>
    <s v="73 BIENES Y SERVICIOS PARA INVERSIÓN"/>
    <s v="730812 Materiales Didácticos"/>
    <s v="G/730812/1FF102"/>
    <s v="001"/>
    <n v="3500"/>
    <n v="0"/>
    <n v="0"/>
    <n v="3500"/>
    <n v="0"/>
    <n v="0"/>
    <n v="0"/>
    <n v="3500"/>
    <n v="3500"/>
    <n v="3500"/>
  </r>
  <r>
    <s v="73"/>
    <x v="2"/>
    <x v="11"/>
    <s v="ZQ08F080"/>
    <x v="39"/>
    <s v="F102"/>
    <s v="PARTICIPACION CIUDADANA"/>
    <s v="GI00F10200007D"/>
    <s v="GI00F10200007D COLONIAS VACACIONALES RECREANDO QUITO"/>
    <s v="73 BIENES Y SERVICIOS PARA INVERSIÓN"/>
    <s v="730812 Materiales Didácticos"/>
    <s v="G/730812/1FF102"/>
    <s v="001"/>
    <n v="7000"/>
    <n v="0"/>
    <n v="0"/>
    <n v="7000"/>
    <n v="0"/>
    <n v="0"/>
    <n v="0"/>
    <n v="7000"/>
    <n v="7000"/>
    <n v="7000"/>
  </r>
  <r>
    <s v="73"/>
    <x v="2"/>
    <x v="11"/>
    <s v="ZN02F020"/>
    <x v="40"/>
    <s v="F102"/>
    <s v="PARTICIPACION CIUDADANA"/>
    <s v="GI00F10200007D"/>
    <s v="GI00F10200007D COLONIAS VACACIONALES RECREANDO QUITO"/>
    <s v="73 BIENES Y SERVICIOS PARA INVERSIÓN"/>
    <s v="730812 Materiales Didácticos"/>
    <s v="G/730812/1FF102"/>
    <s v="001"/>
    <n v="15000"/>
    <n v="0"/>
    <n v="0"/>
    <n v="15000"/>
    <n v="0"/>
    <n v="0"/>
    <n v="0"/>
    <n v="15000"/>
    <n v="15000"/>
    <n v="15000"/>
  </r>
  <r>
    <s v="73"/>
    <x v="2"/>
    <x v="11"/>
    <s v="ZC09F090"/>
    <x v="44"/>
    <s v="F102"/>
    <s v="PARTICIPACION CIUDADANA"/>
    <s v="GI00F10200007D"/>
    <s v="GI00F10200007D COLONIAS VACACIONALES RECREANDO QUITO"/>
    <s v="73 BIENES Y SERVICIOS PARA INVERSIÓN"/>
    <s v="730812 Materiales Didácticos"/>
    <s v="G/730812/1FF102"/>
    <s v="001"/>
    <n v="8000"/>
    <n v="0"/>
    <n v="0"/>
    <n v="8000"/>
    <n v="0"/>
    <n v="0"/>
    <n v="0"/>
    <n v="8000"/>
    <n v="8000"/>
    <n v="8000"/>
  </r>
  <r>
    <s v="73"/>
    <x v="2"/>
    <x v="11"/>
    <s v="ZM04F040"/>
    <x v="41"/>
    <s v="F102"/>
    <s v="PARTICIPACION CIUDADANA"/>
    <s v="GI00F10200007D"/>
    <s v="GI00F10200007D COLONIAS VACACIONALES RECREANDO QUITO"/>
    <s v="73 BIENES Y SERVICIOS PARA INVERSIÓN"/>
    <s v="730812 Materiales Didácticos"/>
    <s v="G/730812/1FF102"/>
    <s v="001"/>
    <n v="6000"/>
    <n v="0"/>
    <n v="0"/>
    <n v="6000"/>
    <n v="0"/>
    <n v="0"/>
    <n v="0"/>
    <n v="6000"/>
    <n v="6000"/>
    <n v="6000"/>
  </r>
  <r>
    <s v="73"/>
    <x v="2"/>
    <x v="11"/>
    <s v="ZD07F070"/>
    <x v="43"/>
    <s v="F102"/>
    <s v="PARTICIPACION CIUDADANA"/>
    <s v="GI00F10200007D"/>
    <s v="GI00F10200007D COLONIAS VACACIONALES RECREANDO QUITO"/>
    <s v="73 BIENES Y SERVICIOS PARA INVERSIÓN"/>
    <s v="730812 Materiales Didácticos"/>
    <s v="G/730812/1FF102"/>
    <s v="001"/>
    <n v="8000"/>
    <n v="0"/>
    <n v="0"/>
    <n v="8000"/>
    <n v="0"/>
    <n v="3483.98"/>
    <n v="3483.98"/>
    <n v="4516.0200000000004"/>
    <n v="4516.0200000000004"/>
    <n v="4516.0200000000004"/>
  </r>
  <r>
    <s v="73"/>
    <x v="2"/>
    <x v="11"/>
    <s v="ZA01F000"/>
    <x v="31"/>
    <s v="F102"/>
    <s v="PARTICIPACION CIUDADANA"/>
    <s v="GI00F10200008D"/>
    <s v="GI00F10200008D FORTALECIMIENTO A PARROQUIAS RURALES Y C"/>
    <s v="73 BIENES Y SERVICIOS PARA INVERSIÓN"/>
    <s v="730205 Espectáculos Culturales y Sociales"/>
    <s v="G/730205/1FF102"/>
    <s v="001"/>
    <n v="1346248.22"/>
    <n v="4500"/>
    <n v="0"/>
    <n v="1350748.22"/>
    <n v="0"/>
    <n v="4500"/>
    <n v="0"/>
    <n v="1346248.22"/>
    <n v="1350748.22"/>
    <n v="1346248.22"/>
  </r>
  <r>
    <s v="73"/>
    <x v="2"/>
    <x v="11"/>
    <s v="ZA01F000"/>
    <x v="31"/>
    <s v="F102"/>
    <s v="PARTICIPACION CIUDADANA"/>
    <s v="GI00F10200008D"/>
    <s v="GI00F10200008D FORTALECIMIENTO A PARROQUIAS RURALES Y C"/>
    <s v="73 BIENES Y SERVICIOS PARA INVERSIÓN"/>
    <s v="730249 Eventos Públicos Promocionales"/>
    <s v="G/730249/1FF102"/>
    <s v="001"/>
    <n v="5000"/>
    <n v="0"/>
    <n v="0"/>
    <n v="5000"/>
    <n v="0"/>
    <n v="0"/>
    <n v="0"/>
    <n v="5000"/>
    <n v="5000"/>
    <n v="5000"/>
  </r>
  <r>
    <s v="73"/>
    <x v="2"/>
    <x v="11"/>
    <s v="ZA01F000"/>
    <x v="31"/>
    <s v="F102"/>
    <s v="PARTICIPACION CIUDADANA"/>
    <s v="GI00F10200008D"/>
    <s v="GI00F10200008D FORTALECIMIENTO A PARROQUIAS RURALES Y C"/>
    <s v="73 BIENES Y SERVICIOS PARA INVERSIÓN"/>
    <s v="730505 Vehículos (Arrendamiento)"/>
    <s v="G/730505/1FF102"/>
    <s v="001"/>
    <n v="1300"/>
    <n v="0"/>
    <n v="0"/>
    <n v="1300"/>
    <n v="0"/>
    <n v="0"/>
    <n v="0"/>
    <n v="1300"/>
    <n v="1300"/>
    <n v="1300"/>
  </r>
  <r>
    <s v="73"/>
    <x v="2"/>
    <x v="11"/>
    <s v="ZA01F000"/>
    <x v="31"/>
    <s v="F102"/>
    <s v="PARTICIPACION CIUDADANA"/>
    <s v="GI00F10200008D"/>
    <s v="GI00F10200008D FORTALECIMIENTO A PARROQUIAS RURALES Y C"/>
    <s v="73 BIENES Y SERVICIOS PARA INVERSIÓN"/>
    <s v="730613 Capacitación para la Ciudadanía en Gener"/>
    <s v="G/730613/1FF102"/>
    <s v="001"/>
    <n v="8000"/>
    <n v="-4500"/>
    <n v="0"/>
    <n v="3500"/>
    <n v="0"/>
    <n v="0"/>
    <n v="0"/>
    <n v="3500"/>
    <n v="3500"/>
    <n v="3500"/>
  </r>
  <r>
    <s v="73"/>
    <x v="2"/>
    <x v="11"/>
    <s v="ZA01F000"/>
    <x v="31"/>
    <s v="F102"/>
    <s v="PARTICIPACION CIUDADANA"/>
    <s v="GI00F10200009D"/>
    <s v="GI00F10200009D MEGAMINGAS EN BARRIOS DEL DMQ"/>
    <s v="73 BIENES Y SERVICIOS PARA INVERSIÓN"/>
    <s v="730811 Insumos, Materiales y Suministros para Cons"/>
    <s v="G/730811/1FF102"/>
    <s v="001"/>
    <n v="10000"/>
    <n v="0"/>
    <n v="0"/>
    <n v="10000"/>
    <n v="0"/>
    <n v="0"/>
    <n v="0"/>
    <n v="10000"/>
    <n v="10000"/>
    <n v="10000"/>
  </r>
  <r>
    <s v="73"/>
    <x v="2"/>
    <x v="11"/>
    <s v="ZS03F030"/>
    <x v="38"/>
    <s v="G101"/>
    <s v="ARTE, CULTURA Y PATRIMONIO"/>
    <s v="GI00G10100001D"/>
    <s v="GI00G10100001D AGENDA CULTURAL METROPOLITANA"/>
    <s v="73 BIENES Y SERVICIOS PARA INVERSIÓN"/>
    <s v="730204 Edición, Impresión, Reproducción, Public"/>
    <s v="G/730204/1FG101"/>
    <s v="001"/>
    <n v="1800"/>
    <n v="0"/>
    <n v="0"/>
    <n v="1800"/>
    <n v="0"/>
    <n v="0"/>
    <n v="0"/>
    <n v="1800"/>
    <n v="1800"/>
    <n v="1800"/>
  </r>
  <r>
    <s v="73"/>
    <x v="2"/>
    <x v="11"/>
    <s v="TM68F100"/>
    <x v="34"/>
    <s v="G101"/>
    <s v="ARTE, CULTURA Y PATRIMONIO"/>
    <s v="GI00G10100001D"/>
    <s v="GI00G10100001D AGENDA CULTURAL METROPOLITANA"/>
    <s v="73 BIENES Y SERVICIOS PARA INVERSIÓN"/>
    <s v="730205 Espectáculos Culturales y Sociales"/>
    <s v="G/730205/1FG101"/>
    <s v="001"/>
    <n v="69318.759999999995"/>
    <n v="0"/>
    <n v="0"/>
    <n v="69318.759999999995"/>
    <n v="0"/>
    <n v="0"/>
    <n v="0"/>
    <n v="69318.759999999995"/>
    <n v="69318.759999999995"/>
    <n v="69318.759999999995"/>
  </r>
  <r>
    <s v="73"/>
    <x v="2"/>
    <x v="11"/>
    <s v="ZT06F060"/>
    <x v="25"/>
    <s v="G101"/>
    <s v="ARTE, CULTURA Y PATRIMONIO"/>
    <s v="GI00G10100001D"/>
    <s v="GI00G10100001D AGENDA CULTURAL METROPOLITANA"/>
    <s v="73 BIENES Y SERVICIOS PARA INVERSIÓN"/>
    <s v="730205 Espectáculos Culturales y Sociales"/>
    <s v="G/730205/1FG101"/>
    <s v="001"/>
    <n v="45000"/>
    <n v="0"/>
    <n v="0"/>
    <n v="45000"/>
    <n v="0"/>
    <n v="0"/>
    <n v="0"/>
    <n v="45000"/>
    <n v="45000"/>
    <n v="45000"/>
  </r>
  <r>
    <s v="73"/>
    <x v="1"/>
    <x v="13"/>
    <s v="ZA01G000"/>
    <x v="29"/>
    <s v="G101"/>
    <s v="ARTE, CULTURA Y PATRIMONIO"/>
    <s v="GI00G10100001D"/>
    <s v="GI00G10100001D AGENDA CULTURAL METROPOLITANA"/>
    <s v="73 BIENES Y SERVICIOS PARA INVERSIÓN"/>
    <s v="730205 Espectáculos Culturales y Sociales"/>
    <s v="G/730205/1GG101"/>
    <s v="001"/>
    <n v="2492000"/>
    <n v="-632150"/>
    <n v="0"/>
    <n v="1859850"/>
    <n v="0"/>
    <n v="1263250"/>
    <n v="1263250"/>
    <n v="596600"/>
    <n v="596600"/>
    <n v="596600"/>
  </r>
  <r>
    <s v="73"/>
    <x v="2"/>
    <x v="11"/>
    <s v="ZS03F030"/>
    <x v="38"/>
    <s v="G101"/>
    <s v="ARTE, CULTURA Y PATRIMONIO"/>
    <s v="GI00G10100001D"/>
    <s v="GI00G10100001D AGENDA CULTURAL METROPOLITANA"/>
    <s v="73 BIENES Y SERVICIOS PARA INVERSIÓN"/>
    <s v="730205 Espectáculos Culturales y Sociales"/>
    <s v="G/730205/1FG101"/>
    <s v="001"/>
    <n v="38200"/>
    <n v="0"/>
    <n v="0"/>
    <n v="38200"/>
    <n v="0"/>
    <n v="0"/>
    <n v="0"/>
    <n v="38200"/>
    <n v="38200"/>
    <n v="38200"/>
  </r>
  <r>
    <s v="73"/>
    <x v="2"/>
    <x v="11"/>
    <s v="ZQ08F080"/>
    <x v="39"/>
    <s v="G101"/>
    <s v="ARTE, CULTURA Y PATRIMONIO"/>
    <s v="GI00G10100001D"/>
    <s v="GI00G10100001D AGENDA CULTURAL METROPOLITANA"/>
    <s v="73 BIENES Y SERVICIOS PARA INVERSIÓN"/>
    <s v="730205 Espectáculos Culturales y Sociales"/>
    <s v="G/730205/1FG101"/>
    <s v="001"/>
    <n v="40000"/>
    <n v="0"/>
    <n v="0"/>
    <n v="40000"/>
    <n v="0"/>
    <n v="0"/>
    <n v="0"/>
    <n v="40000"/>
    <n v="40000"/>
    <n v="40000"/>
  </r>
  <r>
    <s v="73"/>
    <x v="2"/>
    <x v="11"/>
    <s v="ZN02F020"/>
    <x v="40"/>
    <s v="G101"/>
    <s v="ARTE, CULTURA Y PATRIMONIO"/>
    <s v="GI00G10100001D"/>
    <s v="GI00G10100001D AGENDA CULTURAL METROPOLITANA"/>
    <s v="73 BIENES Y SERVICIOS PARA INVERSIÓN"/>
    <s v="730205 Espectáculos Culturales y Sociales"/>
    <s v="G/730205/1FG101"/>
    <s v="001"/>
    <n v="45000"/>
    <n v="0"/>
    <n v="0"/>
    <n v="45000"/>
    <n v="0"/>
    <n v="0"/>
    <n v="0"/>
    <n v="45000"/>
    <n v="45000"/>
    <n v="45000"/>
  </r>
  <r>
    <s v="73"/>
    <x v="2"/>
    <x v="11"/>
    <s v="ZV05F050"/>
    <x v="37"/>
    <s v="G101"/>
    <s v="ARTE, CULTURA Y PATRIMONIO"/>
    <s v="GI00G10100001D"/>
    <s v="GI00G10100001D AGENDA CULTURAL METROPOLITANA"/>
    <s v="73 BIENES Y SERVICIOS PARA INVERSIÓN"/>
    <s v="730205 Espectáculos Culturales y Sociales"/>
    <s v="G/730205/1FG101"/>
    <s v="001"/>
    <n v="120000"/>
    <n v="0"/>
    <n v="0"/>
    <n v="120000"/>
    <n v="0"/>
    <n v="70000"/>
    <n v="70000"/>
    <n v="50000"/>
    <n v="50000"/>
    <n v="50000"/>
  </r>
  <r>
    <s v="73"/>
    <x v="2"/>
    <x v="11"/>
    <s v="ZC09F090"/>
    <x v="44"/>
    <s v="G101"/>
    <s v="ARTE, CULTURA Y PATRIMONIO"/>
    <s v="GI00G10100001D"/>
    <s v="GI00G10100001D AGENDA CULTURAL METROPOLITANA"/>
    <s v="73 BIENES Y SERVICIOS PARA INVERSIÓN"/>
    <s v="730205 Espectáculos Culturales y Sociales"/>
    <s v="G/730205/1FG101"/>
    <s v="001"/>
    <n v="45000"/>
    <n v="-8300"/>
    <n v="0"/>
    <n v="36700"/>
    <n v="0"/>
    <n v="33000"/>
    <n v="0"/>
    <n v="3700"/>
    <n v="36700"/>
    <n v="3700"/>
  </r>
  <r>
    <s v="73"/>
    <x v="2"/>
    <x v="11"/>
    <s v="ZD07F070"/>
    <x v="43"/>
    <s v="G101"/>
    <s v="ARTE, CULTURA Y PATRIMONIO"/>
    <s v="GI00G10100001D"/>
    <s v="GI00G10100001D AGENDA CULTURAL METROPOLITANA"/>
    <s v="73 BIENES Y SERVICIOS PARA INVERSIÓN"/>
    <s v="730205 Espectáculos Culturales y Sociales"/>
    <s v="G/730205/1FG101"/>
    <s v="001"/>
    <n v="45000"/>
    <n v="0"/>
    <n v="0"/>
    <n v="45000"/>
    <n v="0"/>
    <n v="0"/>
    <n v="0"/>
    <n v="45000"/>
    <n v="45000"/>
    <n v="45000"/>
  </r>
  <r>
    <s v="73"/>
    <x v="2"/>
    <x v="11"/>
    <s v="ZM04F040"/>
    <x v="41"/>
    <s v="G101"/>
    <s v="ARTE, CULTURA Y PATRIMONIO"/>
    <s v="GI00G10100001D"/>
    <s v="GI00G10100001D AGENDA CULTURAL METROPOLITANA"/>
    <s v="73 BIENES Y SERVICIOS PARA INVERSIÓN"/>
    <s v="730205 Espectáculos Culturales y Sociales"/>
    <s v="G/730205/1FG101"/>
    <s v="001"/>
    <n v="40000"/>
    <n v="0"/>
    <n v="0"/>
    <n v="40000"/>
    <n v="0"/>
    <n v="0"/>
    <n v="0"/>
    <n v="40000"/>
    <n v="40000"/>
    <n v="40000"/>
  </r>
  <r>
    <s v="73"/>
    <x v="1"/>
    <x v="13"/>
    <s v="ZA01G000"/>
    <x v="29"/>
    <s v="G101"/>
    <s v="ARTE, CULTURA Y PATRIMONIO"/>
    <s v="GI00G10100001D"/>
    <s v="GI00G10100001D AGENDA CULTURAL METROPOLITANA"/>
    <s v="73 BIENES Y SERVICIOS PARA INVERSIÓN"/>
    <s v="730504 Maquinarias y Equipos (Arrendamiento)"/>
    <s v="G/730504/1GG101"/>
    <s v="001"/>
    <n v="1068000"/>
    <n v="-1056000"/>
    <n v="0"/>
    <n v="12000"/>
    <n v="0"/>
    <n v="0"/>
    <n v="0"/>
    <n v="12000"/>
    <n v="12000"/>
    <n v="12000"/>
  </r>
  <r>
    <s v="73"/>
    <x v="1"/>
    <x v="13"/>
    <s v="ZA01G000"/>
    <x v="29"/>
    <s v="G101"/>
    <s v="ARTE, CULTURA Y PATRIMONIO"/>
    <s v="GI00G10100002D"/>
    <s v="GI00G10100002D PROMOCION DE DERECHOS CULTURALES"/>
    <s v="73 BIENES Y SERVICIOS PARA INVERSIÓN"/>
    <s v="730204 Edición, Impresión, Reproducción, Public"/>
    <s v="G/730204/1GG101"/>
    <s v="001"/>
    <n v="28000"/>
    <n v="-28000"/>
    <n v="0"/>
    <n v="0"/>
    <n v="0"/>
    <n v="0"/>
    <n v="0"/>
    <n v="0"/>
    <n v="0"/>
    <n v="0"/>
  </r>
  <r>
    <s v="73"/>
    <x v="1"/>
    <x v="13"/>
    <s v="ZA01G000"/>
    <x v="29"/>
    <s v="G101"/>
    <s v="ARTE, CULTURA Y PATRIMONIO"/>
    <s v="GI00G10100002D"/>
    <s v="GI00G10100002D PROMOCION DE DERECHOS CULTURALES"/>
    <s v="73 BIENES Y SERVICIOS PARA INVERSIÓN"/>
    <s v="730205 Espectáculos Culturales y Sociales"/>
    <s v="G/730205/1GG101"/>
    <s v="001"/>
    <n v="292500"/>
    <n v="-228000"/>
    <n v="0"/>
    <n v="64500"/>
    <n v="0"/>
    <n v="0"/>
    <n v="0"/>
    <n v="64500"/>
    <n v="64500"/>
    <n v="64500"/>
  </r>
  <r>
    <s v="73"/>
    <x v="1"/>
    <x v="13"/>
    <s v="ZA01G000"/>
    <x v="29"/>
    <s v="G101"/>
    <s v="ARTE, CULTURA Y PATRIMONIO"/>
    <s v="GI00G10100002D"/>
    <s v="GI00G10100002D PROMOCION DE DERECHOS CULTURALES"/>
    <s v="73 BIENES Y SERVICIOS PARA INVERSIÓN"/>
    <s v="730207 Difusión, Información y Publicidad"/>
    <s v="G/730207/1GG101"/>
    <s v="001"/>
    <n v="7000"/>
    <n v="-7000"/>
    <n v="0"/>
    <n v="0"/>
    <n v="0"/>
    <n v="0"/>
    <n v="0"/>
    <n v="0"/>
    <n v="0"/>
    <n v="0"/>
  </r>
  <r>
    <s v="73"/>
    <x v="1"/>
    <x v="13"/>
    <s v="ZA01G000"/>
    <x v="29"/>
    <s v="G101"/>
    <s v="ARTE, CULTURA Y PATRIMONIO"/>
    <s v="GI00G10100002D"/>
    <s v="GI00G10100002D PROMOCION DE DERECHOS CULTURALES"/>
    <s v="73 BIENES Y SERVICIOS PARA INVERSIÓN"/>
    <s v="730235 Servicio de Alimentación"/>
    <s v="G/730235/1GG101"/>
    <s v="001"/>
    <n v="1000"/>
    <n v="-1000"/>
    <n v="0"/>
    <n v="0"/>
    <n v="0"/>
    <n v="0"/>
    <n v="0"/>
    <n v="0"/>
    <n v="0"/>
    <n v="0"/>
  </r>
  <r>
    <s v="73"/>
    <x v="1"/>
    <x v="13"/>
    <s v="ZA01G000"/>
    <x v="29"/>
    <s v="G101"/>
    <s v="ARTE, CULTURA Y PATRIMONIO"/>
    <s v="GI00G10100002D"/>
    <s v="GI00G10100002D PROMOCION DE DERECHOS CULTURALES"/>
    <s v="73 BIENES Y SERVICIOS PARA INVERSIÓN"/>
    <s v="730402 Edificios, Locales, Residencias y Cablea"/>
    <s v="G/730402/1GG101"/>
    <s v="001"/>
    <n v="20000"/>
    <n v="0"/>
    <n v="0"/>
    <n v="20000"/>
    <n v="0"/>
    <n v="0"/>
    <n v="0"/>
    <n v="20000"/>
    <n v="20000"/>
    <n v="20000"/>
  </r>
  <r>
    <s v="73"/>
    <x v="1"/>
    <x v="13"/>
    <s v="ZA01G000"/>
    <x v="29"/>
    <s v="G101"/>
    <s v="ARTE, CULTURA Y PATRIMONIO"/>
    <s v="GI00G10100002D"/>
    <s v="GI00G10100002D PROMOCION DE DERECHOS CULTURALES"/>
    <s v="73 BIENES Y SERVICIOS PARA INVERSIÓN"/>
    <s v="730425 Instalación, Readecuación, Montaje de Expos"/>
    <s v="G/730425/1GG101"/>
    <s v="001"/>
    <n v="15000"/>
    <n v="0"/>
    <n v="0"/>
    <n v="15000"/>
    <n v="0"/>
    <n v="0"/>
    <n v="0"/>
    <n v="15000"/>
    <n v="15000"/>
    <n v="15000"/>
  </r>
  <r>
    <s v="73"/>
    <x v="1"/>
    <x v="13"/>
    <s v="ZA01G000"/>
    <x v="29"/>
    <s v="G101"/>
    <s v="ARTE, CULTURA Y PATRIMONIO"/>
    <s v="GI00G10100002D"/>
    <s v="GI00G10100002D PROMOCION DE DERECHOS CULTURALES"/>
    <s v="73 BIENES Y SERVICIOS PARA INVERSIÓN"/>
    <s v="730606 Honorarios por Contratos Civiles de Servici"/>
    <s v="G/730606/1GG101"/>
    <s v="001"/>
    <n v="65000"/>
    <n v="-10000"/>
    <n v="0"/>
    <n v="55000"/>
    <n v="0"/>
    <n v="0"/>
    <n v="0"/>
    <n v="55000"/>
    <n v="55000"/>
    <n v="55000"/>
  </r>
  <r>
    <s v="73"/>
    <x v="1"/>
    <x v="13"/>
    <s v="ZA01G000"/>
    <x v="29"/>
    <s v="G101"/>
    <s v="ARTE, CULTURA Y PATRIMONIO"/>
    <s v="GI00G10100002D"/>
    <s v="GI00G10100002D PROMOCION DE DERECHOS CULTURALES"/>
    <s v="73 BIENES Y SERVICIOS PARA INVERSIÓN"/>
    <s v="730613 Capacitación para la Ciudadanía en Gener"/>
    <s v="G/730613/1GG101"/>
    <s v="001"/>
    <n v="95000"/>
    <n v="-95000"/>
    <n v="0"/>
    <n v="0"/>
    <n v="0"/>
    <n v="0"/>
    <n v="0"/>
    <n v="0"/>
    <n v="0"/>
    <n v="0"/>
  </r>
  <r>
    <s v="73"/>
    <x v="1"/>
    <x v="13"/>
    <s v="ZA01G000"/>
    <x v="29"/>
    <s v="G101"/>
    <s v="ARTE, CULTURA Y PATRIMONIO"/>
    <s v="GI00G10100002D"/>
    <s v="GI00G10100002D PROMOCION DE DERECHOS CULTURALES"/>
    <s v="73 BIENES Y SERVICIOS PARA INVERSIÓN"/>
    <s v="730812 Materiales Didácticos"/>
    <s v="G/730812/1GG101"/>
    <s v="001"/>
    <n v="1500"/>
    <n v="-1000"/>
    <n v="0"/>
    <n v="500"/>
    <n v="0"/>
    <n v="0"/>
    <n v="0"/>
    <n v="500"/>
    <n v="500"/>
    <n v="500"/>
  </r>
  <r>
    <s v="73"/>
    <x v="1"/>
    <x v="13"/>
    <s v="ZA01G000"/>
    <x v="29"/>
    <s v="G101"/>
    <s v="ARTE, CULTURA Y PATRIMONIO"/>
    <s v="GI00G10100003D"/>
    <s v="GI00G10100003D SERVICIOS CULTURALES COMUNITARIOS Y DEPO"/>
    <s v="73 BIENES Y SERVICIOS PARA INVERSIÓN"/>
    <s v="730204 Edición, Impresión, Reproducción, Public"/>
    <s v="G/730204/1GG101"/>
    <s v="001"/>
    <n v="7000"/>
    <n v="0"/>
    <n v="0"/>
    <n v="7000"/>
    <n v="0"/>
    <n v="0"/>
    <n v="0"/>
    <n v="7000"/>
    <n v="7000"/>
    <n v="7000"/>
  </r>
  <r>
    <s v="73"/>
    <x v="1"/>
    <x v="13"/>
    <s v="ZA01G000"/>
    <x v="29"/>
    <s v="G101"/>
    <s v="ARTE, CULTURA Y PATRIMONIO"/>
    <s v="GI00G10100003D"/>
    <s v="GI00G10100003D SERVICIOS CULTURALES COMUNITARIOS Y DEPO"/>
    <s v="73 BIENES Y SERVICIOS PARA INVERSIÓN"/>
    <s v="730205 Espectáculos Culturales y Sociales"/>
    <s v="G/730205/1GG101"/>
    <s v="001"/>
    <n v="211700"/>
    <n v="-111440"/>
    <n v="0"/>
    <n v="100260"/>
    <n v="0"/>
    <n v="0"/>
    <n v="0"/>
    <n v="100260"/>
    <n v="100260"/>
    <n v="100260"/>
  </r>
  <r>
    <s v="73"/>
    <x v="1"/>
    <x v="13"/>
    <s v="ZA01G000"/>
    <x v="29"/>
    <s v="G101"/>
    <s v="ARTE, CULTURA Y PATRIMONIO"/>
    <s v="GI00G10100003D"/>
    <s v="GI00G10100003D SERVICIOS CULTURALES COMUNITARIOS Y DEPO"/>
    <s v="73 BIENES Y SERVICIOS PARA INVERSIÓN"/>
    <s v="730207 Difusión, Información y Publicidad"/>
    <s v="G/730207/1GG101"/>
    <s v="001"/>
    <n v="7500"/>
    <n v="0"/>
    <n v="0"/>
    <n v="7500"/>
    <n v="0"/>
    <n v="0"/>
    <n v="0"/>
    <n v="7500"/>
    <n v="7500"/>
    <n v="7500"/>
  </r>
  <r>
    <s v="73"/>
    <x v="1"/>
    <x v="13"/>
    <s v="ZA01G000"/>
    <x v="29"/>
    <s v="G101"/>
    <s v="ARTE, CULTURA Y PATRIMONIO"/>
    <s v="GI00G10100003D"/>
    <s v="GI00G10100003D SERVICIOS CULTURALES COMUNITARIOS Y DEPO"/>
    <s v="73 BIENES Y SERVICIOS PARA INVERSIÓN"/>
    <s v="730209 Servicios de Aseo, Lavado de Vestimenta"/>
    <s v="G/730209/1GG101"/>
    <s v="001"/>
    <n v="51570.400000000001"/>
    <n v="0"/>
    <n v="0"/>
    <n v="51570.400000000001"/>
    <n v="0"/>
    <n v="10340.59"/>
    <n v="10340.59"/>
    <n v="41229.81"/>
    <n v="41229.81"/>
    <n v="41229.81"/>
  </r>
  <r>
    <s v="73"/>
    <x v="1"/>
    <x v="13"/>
    <s v="ZA01G000"/>
    <x v="29"/>
    <s v="G101"/>
    <s v="ARTE, CULTURA Y PATRIMONIO"/>
    <s v="GI00G10100003D"/>
    <s v="GI00G10100003D SERVICIOS CULTURALES COMUNITARIOS Y DEPO"/>
    <s v="73 BIENES Y SERVICIOS PARA INVERSIÓN"/>
    <s v="730402 Edificios, Locales, Residencias y Cablea"/>
    <s v="G/730402/1GG101"/>
    <s v="001"/>
    <n v="184154.4"/>
    <n v="0"/>
    <n v="0"/>
    <n v="184154.4"/>
    <n v="0"/>
    <n v="4996.32"/>
    <n v="4996.32"/>
    <n v="179158.08"/>
    <n v="179158.08"/>
    <n v="179158.08"/>
  </r>
  <r>
    <s v="73"/>
    <x v="1"/>
    <x v="13"/>
    <s v="ZA01G000"/>
    <x v="29"/>
    <s v="G101"/>
    <s v="ARTE, CULTURA Y PATRIMONIO"/>
    <s v="GI00G10100003D"/>
    <s v="GI00G10100003D SERVICIOS CULTURALES COMUNITARIOS Y DEPO"/>
    <s v="73 BIENES Y SERVICIOS PARA INVERSIÓN"/>
    <s v="730403 Mobiliarios (Instalación, Mantenimiento"/>
    <s v="G/730403/1GG101"/>
    <s v="001"/>
    <n v="12804.62"/>
    <n v="0"/>
    <n v="0"/>
    <n v="12804.62"/>
    <n v="0"/>
    <n v="0"/>
    <n v="0"/>
    <n v="12804.62"/>
    <n v="12804.62"/>
    <n v="12804.62"/>
  </r>
  <r>
    <s v="73"/>
    <x v="1"/>
    <x v="13"/>
    <s v="ZA01G000"/>
    <x v="29"/>
    <s v="G101"/>
    <s v="ARTE, CULTURA Y PATRIMONIO"/>
    <s v="GI00G10100003D"/>
    <s v="GI00G10100003D SERVICIOS CULTURALES COMUNITARIOS Y DEPO"/>
    <s v="73 BIENES Y SERVICIOS PARA INVERSIÓN"/>
    <s v="730404 Maquinarias y Equipos (Instalación, Mant"/>
    <s v="G/730404/1GG101"/>
    <s v="001"/>
    <n v="48352.3"/>
    <n v="0"/>
    <n v="0"/>
    <n v="48352.3"/>
    <n v="0"/>
    <n v="16527.63"/>
    <n v="8682.24"/>
    <n v="31824.67"/>
    <n v="39670.06"/>
    <n v="31824.67"/>
  </r>
  <r>
    <s v="73"/>
    <x v="1"/>
    <x v="13"/>
    <s v="ZA01G000"/>
    <x v="29"/>
    <s v="G101"/>
    <s v="ARTE, CULTURA Y PATRIMONIO"/>
    <s v="GI00G10100003D"/>
    <s v="GI00G10100003D SERVICIOS CULTURALES COMUNITARIOS Y DEPO"/>
    <s v="73 BIENES Y SERVICIOS PARA INVERSIÓN"/>
    <s v="730418 Mantenimiento de Áreas Verdes y Arreglo"/>
    <s v="G/730418/1GG101"/>
    <s v="001"/>
    <n v="20913.28"/>
    <n v="0"/>
    <n v="0"/>
    <n v="20913.28"/>
    <n v="0"/>
    <n v="0"/>
    <n v="0"/>
    <n v="20913.28"/>
    <n v="20913.28"/>
    <n v="20913.28"/>
  </r>
  <r>
    <s v="73"/>
    <x v="1"/>
    <x v="13"/>
    <s v="ZA01G000"/>
    <x v="29"/>
    <s v="G101"/>
    <s v="ARTE, CULTURA Y PATRIMONIO"/>
    <s v="GI00G10100003D"/>
    <s v="GI00G10100003D SERVICIOS CULTURALES COMUNITARIOS Y DEPO"/>
    <s v="73 BIENES Y SERVICIOS PARA INVERSIÓN"/>
    <s v="730606 Honorarios por Contratos Civiles de Servici"/>
    <s v="G/730606/1GG101"/>
    <s v="001"/>
    <n v="2240"/>
    <n v="-2240"/>
    <n v="0"/>
    <n v="0"/>
    <n v="0"/>
    <n v="0"/>
    <n v="0"/>
    <n v="0"/>
    <n v="0"/>
    <n v="0"/>
  </r>
  <r>
    <s v="73"/>
    <x v="1"/>
    <x v="13"/>
    <s v="ZA01G000"/>
    <x v="29"/>
    <s v="G101"/>
    <s v="ARTE, CULTURA Y PATRIMONIO"/>
    <s v="GI00G10100003D"/>
    <s v="GI00G10100003D SERVICIOS CULTURALES COMUNITARIOS Y DEPO"/>
    <s v="73 BIENES Y SERVICIOS PARA INVERSIÓN"/>
    <s v="730613 Capacitación para la Ciudadanía en Gener"/>
    <s v="G/730613/1GG101"/>
    <s v="001"/>
    <n v="95870"/>
    <n v="-61870"/>
    <n v="0"/>
    <n v="34000"/>
    <n v="0"/>
    <n v="0"/>
    <n v="0"/>
    <n v="34000"/>
    <n v="34000"/>
    <n v="34000"/>
  </r>
  <r>
    <s v="73"/>
    <x v="1"/>
    <x v="13"/>
    <s v="ZA01G000"/>
    <x v="29"/>
    <s v="G101"/>
    <s v="ARTE, CULTURA Y PATRIMONIO"/>
    <s v="GI00G10100003D"/>
    <s v="GI00G10100003D SERVICIOS CULTURALES COMUNITARIOS Y DEPO"/>
    <s v="73 BIENES Y SERVICIOS PARA INVERSIÓN"/>
    <s v="730704 Mantenimiento y Reparación de Equipos y"/>
    <s v="G/730704/1GG101"/>
    <s v="001"/>
    <n v="2500"/>
    <n v="0"/>
    <n v="0"/>
    <n v="2500"/>
    <n v="0"/>
    <n v="0"/>
    <n v="0"/>
    <n v="2500"/>
    <n v="2500"/>
    <n v="2500"/>
  </r>
  <r>
    <s v="73"/>
    <x v="1"/>
    <x v="13"/>
    <s v="ZA01G000"/>
    <x v="29"/>
    <s v="G101"/>
    <s v="ARTE, CULTURA Y PATRIMONIO"/>
    <s v="GI00G10100003D"/>
    <s v="GI00G10100003D SERVICIOS CULTURALES COMUNITARIOS Y DEPO"/>
    <s v="73 BIENES Y SERVICIOS PARA INVERSIÓN"/>
    <s v="730811 Insumos, Materiales y Suministros para Cons"/>
    <s v="G/730811/1GG101"/>
    <s v="001"/>
    <n v="5340"/>
    <n v="0"/>
    <n v="0"/>
    <n v="5340"/>
    <n v="0"/>
    <n v="0"/>
    <n v="0"/>
    <n v="5340"/>
    <n v="5340"/>
    <n v="5340"/>
  </r>
  <r>
    <s v="73"/>
    <x v="1"/>
    <x v="13"/>
    <s v="ZA01G000"/>
    <x v="29"/>
    <s v="G101"/>
    <s v="ARTE, CULTURA Y PATRIMONIO"/>
    <s v="GI00G10100003D"/>
    <s v="GI00G10100003D SERVICIOS CULTURALES COMUNITARIOS Y DEPO"/>
    <s v="73 BIENES Y SERVICIOS PARA INVERSIÓN"/>
    <s v="730812 Materiales Didácticos"/>
    <s v="G/730812/1GG101"/>
    <s v="001"/>
    <n v="7000"/>
    <n v="0"/>
    <n v="0"/>
    <n v="7000"/>
    <n v="0"/>
    <n v="0"/>
    <n v="0"/>
    <n v="7000"/>
    <n v="7000"/>
    <n v="7000"/>
  </r>
  <r>
    <s v="73"/>
    <x v="1"/>
    <x v="13"/>
    <s v="ZA01G000"/>
    <x v="29"/>
    <s v="G101"/>
    <s v="ARTE, CULTURA Y PATRIMONIO"/>
    <s v="GI00G10100003D"/>
    <s v="GI00G10100003D SERVICIOS CULTURALES COMUNITARIOS Y DEPO"/>
    <s v="73 BIENES Y SERVICIOS PARA INVERSIÓN"/>
    <s v="731409 Libros y Colecciones"/>
    <s v="G/731409/1GG101"/>
    <s v="001"/>
    <n v="2000"/>
    <n v="0"/>
    <n v="0"/>
    <n v="2000"/>
    <n v="0"/>
    <n v="0"/>
    <n v="0"/>
    <n v="2000"/>
    <n v="2000"/>
    <n v="2000"/>
  </r>
  <r>
    <s v="73"/>
    <x v="1"/>
    <x v="13"/>
    <s v="ZA01G000"/>
    <x v="29"/>
    <s v="G101"/>
    <s v="ARTE, CULTURA Y PATRIMONIO"/>
    <s v="GI00G10100003D"/>
    <s v="GI00G10100003D SERVICIOS CULTURALES COMUNITARIOS Y DEPO"/>
    <s v="73 BIENES Y SERVICIOS PARA INVERSIÓN"/>
    <s v="731411 Partes y Repuestos"/>
    <s v="G/731411/1GG101"/>
    <s v="001"/>
    <n v="6160"/>
    <n v="0"/>
    <n v="0"/>
    <n v="6160"/>
    <n v="0"/>
    <n v="0"/>
    <n v="0"/>
    <n v="6160"/>
    <n v="6160"/>
    <n v="6160"/>
  </r>
  <r>
    <s v="73"/>
    <x v="1"/>
    <x v="13"/>
    <s v="ZA01G040"/>
    <x v="56"/>
    <s v="G101"/>
    <s v="ARTE, CULTURA Y PATRIMONIO"/>
    <s v="GI00G10100004D"/>
    <s v="GI00G10100004D SISTEMA DE CENTROS CULTURALES"/>
    <s v="73 BIENES Y SERVICIOS PARA INVERSIÓN"/>
    <s v="730204 Edición, Impresión, Reproducción, Public"/>
    <s v="G/730204/1GG101"/>
    <s v="001"/>
    <n v="40000"/>
    <n v="0"/>
    <n v="0"/>
    <n v="40000"/>
    <n v="0"/>
    <n v="0"/>
    <n v="0"/>
    <n v="40000"/>
    <n v="40000"/>
    <n v="40000"/>
  </r>
  <r>
    <s v="73"/>
    <x v="1"/>
    <x v="13"/>
    <s v="ZA01G030"/>
    <x v="57"/>
    <s v="G101"/>
    <s v="ARTE, CULTURA Y PATRIMONIO"/>
    <s v="GI00G10100004D"/>
    <s v="GI00G10100004D SISTEMA DE CENTROS CULTURALES"/>
    <s v="73 BIENES Y SERVICIOS PARA INVERSIÓN"/>
    <s v="730205 Espectáculos Culturales y Sociales"/>
    <s v="G/730205/1GG101"/>
    <s v="001"/>
    <n v="196000"/>
    <n v="-23730"/>
    <n v="0"/>
    <n v="172270"/>
    <n v="3500"/>
    <n v="0"/>
    <n v="0"/>
    <n v="172270"/>
    <n v="172270"/>
    <n v="168770"/>
  </r>
  <r>
    <s v="73"/>
    <x v="1"/>
    <x v="13"/>
    <s v="ZA01G040"/>
    <x v="56"/>
    <s v="G101"/>
    <s v="ARTE, CULTURA Y PATRIMONIO"/>
    <s v="GI00G10100004D"/>
    <s v="GI00G10100004D SISTEMA DE CENTROS CULTURALES"/>
    <s v="73 BIENES Y SERVICIOS PARA INVERSIÓN"/>
    <s v="730205 Espectáculos Culturales y Sociales"/>
    <s v="G/730205/1GG101"/>
    <s v="001"/>
    <n v="75000"/>
    <n v="-10000"/>
    <n v="0"/>
    <n v="65000"/>
    <n v="0"/>
    <n v="0"/>
    <n v="0"/>
    <n v="65000"/>
    <n v="65000"/>
    <n v="65000"/>
  </r>
  <r>
    <s v="73"/>
    <x v="1"/>
    <x v="13"/>
    <s v="ZA01G030"/>
    <x v="57"/>
    <s v="G101"/>
    <s v="ARTE, CULTURA Y PATRIMONIO"/>
    <s v="GI00G10100004D"/>
    <s v="GI00G10100004D SISTEMA DE CENTROS CULTURALES"/>
    <s v="73 BIENES Y SERVICIOS PARA INVERSIÓN"/>
    <s v="730402 Edificios, Locales, Residencias y Cablea"/>
    <s v="G/730402/1GG101"/>
    <s v="001"/>
    <n v="20000"/>
    <n v="-20000"/>
    <n v="0"/>
    <n v="0"/>
    <n v="0"/>
    <n v="0"/>
    <n v="0"/>
    <n v="0"/>
    <n v="0"/>
    <n v="0"/>
  </r>
  <r>
    <s v="73"/>
    <x v="1"/>
    <x v="13"/>
    <s v="ZA01G030"/>
    <x v="57"/>
    <s v="G101"/>
    <s v="ARTE, CULTURA Y PATRIMONIO"/>
    <s v="GI00G10100004D"/>
    <s v="GI00G10100004D SISTEMA DE CENTROS CULTURALES"/>
    <s v="73 BIENES Y SERVICIOS PARA INVERSIÓN"/>
    <s v="730425 Instalación, Readecuación, Montaje de Expos"/>
    <s v="G/730425/1GG101"/>
    <s v="001"/>
    <n v="14000"/>
    <n v="0"/>
    <n v="0"/>
    <n v="14000"/>
    <n v="0"/>
    <n v="0"/>
    <n v="0"/>
    <n v="14000"/>
    <n v="14000"/>
    <n v="14000"/>
  </r>
  <r>
    <s v="73"/>
    <x v="1"/>
    <x v="13"/>
    <s v="ZA01G040"/>
    <x v="56"/>
    <s v="G101"/>
    <s v="ARTE, CULTURA Y PATRIMONIO"/>
    <s v="GI00G10100004D"/>
    <s v="GI00G10100004D SISTEMA DE CENTROS CULTURALES"/>
    <s v="73 BIENES Y SERVICIOS PARA INVERSIÓN"/>
    <s v="730613 Capacitación para la Ciudadanía en Gener"/>
    <s v="G/730613/1GG101"/>
    <s v="001"/>
    <n v="15000"/>
    <n v="0"/>
    <n v="0"/>
    <n v="15000"/>
    <n v="0"/>
    <n v="0"/>
    <n v="0"/>
    <n v="15000"/>
    <n v="15000"/>
    <n v="15000"/>
  </r>
  <r>
    <s v="73"/>
    <x v="1"/>
    <x v="13"/>
    <s v="ZA01G000"/>
    <x v="29"/>
    <s v="G101"/>
    <s v="ARTE, CULTURA Y PATRIMONIO"/>
    <s v="GI00G10100007D"/>
    <s v="GI00G10100007D AMPLIACION DE LA OFERTA CULTURAL A TRAVE"/>
    <s v="73 BIENES Y SERVICIOS PARA INVERSIÓN"/>
    <s v="730605 Estudio y Diseño de Proyectos"/>
    <s v="G/730605/1GG101"/>
    <s v="001"/>
    <n v="50000"/>
    <n v="-50000"/>
    <n v="0"/>
    <n v="0"/>
    <n v="0"/>
    <n v="0"/>
    <n v="0"/>
    <n v="0"/>
    <n v="0"/>
    <n v="0"/>
  </r>
  <r>
    <s v="73"/>
    <x v="1"/>
    <x v="13"/>
    <s v="ZA01G000"/>
    <x v="29"/>
    <s v="G101"/>
    <s v="ARTE, CULTURA Y PATRIMONIO"/>
    <s v="GI00G10100007D"/>
    <s v="GI00G10100007D AMPLIACION DE LA OFERTA CULTURAL A TRAVE"/>
    <s v="73 BIENES Y SERVICIOS PARA INVERSIÓN"/>
    <s v="730606 Honorarios por Contratos Civiles de Servici"/>
    <s v="G/730606/1GG101"/>
    <s v="001"/>
    <n v="50000"/>
    <n v="-50000"/>
    <n v="0"/>
    <n v="0"/>
    <n v="0"/>
    <n v="0"/>
    <n v="0"/>
    <n v="0"/>
    <n v="0"/>
    <n v="0"/>
  </r>
  <r>
    <s v="73"/>
    <x v="1"/>
    <x v="13"/>
    <s v="ZA01G030"/>
    <x v="57"/>
    <s v="G101"/>
    <s v="ARTE, CULTURA Y PATRIMONIO"/>
    <s v="GI00G10100008D"/>
    <s v="GI00G10100008D FORTALECIMIENTO DE LA RED METROPOLITANA"/>
    <s v="73 BIENES Y SERVICIOS PARA INVERSIÓN"/>
    <s v="730204 Edición, Impresión, Reproducción, Public"/>
    <s v="G/730204/1GG101"/>
    <s v="001"/>
    <n v="15000"/>
    <n v="0"/>
    <n v="0"/>
    <n v="15000"/>
    <n v="0"/>
    <n v="0"/>
    <n v="0"/>
    <n v="15000"/>
    <n v="15000"/>
    <n v="15000"/>
  </r>
  <r>
    <s v="73"/>
    <x v="1"/>
    <x v="13"/>
    <s v="ZA01G030"/>
    <x v="57"/>
    <s v="G101"/>
    <s v="ARTE, CULTURA Y PATRIMONIO"/>
    <s v="GI00G10100008D"/>
    <s v="GI00G10100008D FORTALECIMIENTO DE LA RED METROPOLITANA"/>
    <s v="73 BIENES Y SERVICIOS PARA INVERSIÓN"/>
    <s v="730239 Membrecías"/>
    <s v="G/730239/1GG101"/>
    <s v="001"/>
    <n v="5080"/>
    <n v="0"/>
    <n v="0"/>
    <n v="5080"/>
    <n v="0"/>
    <n v="0"/>
    <n v="0"/>
    <n v="5080"/>
    <n v="5080"/>
    <n v="5080"/>
  </r>
  <r>
    <s v="73"/>
    <x v="1"/>
    <x v="13"/>
    <s v="ZA01G030"/>
    <x v="57"/>
    <s v="G101"/>
    <s v="ARTE, CULTURA Y PATRIMONIO"/>
    <s v="GI00G10100008D"/>
    <s v="GI00G10100008D FORTALECIMIENTO DE LA RED METROPOLITANA"/>
    <s v="73 BIENES Y SERVICIOS PARA INVERSIÓN"/>
    <s v="730302 Pasajes al Exterior"/>
    <s v="G/730302/1GG101"/>
    <s v="001"/>
    <n v="2500"/>
    <n v="-2500"/>
    <n v="0"/>
    <n v="0"/>
    <n v="0"/>
    <n v="0"/>
    <n v="0"/>
    <n v="0"/>
    <n v="0"/>
    <n v="0"/>
  </r>
  <r>
    <s v="73"/>
    <x v="1"/>
    <x v="13"/>
    <s v="ZA01G030"/>
    <x v="57"/>
    <s v="G101"/>
    <s v="ARTE, CULTURA Y PATRIMONIO"/>
    <s v="GI00G10100008D"/>
    <s v="GI00G10100008D FORTALECIMIENTO DE LA RED METROPOLITANA"/>
    <s v="73 BIENES Y SERVICIOS PARA INVERSIÓN"/>
    <s v="730402 Edificios, Locales, Residencias y Cablea"/>
    <s v="G/730402/1GG101"/>
    <s v="001"/>
    <n v="10000"/>
    <n v="0"/>
    <n v="0"/>
    <n v="10000"/>
    <n v="0"/>
    <n v="0"/>
    <n v="0"/>
    <n v="10000"/>
    <n v="10000"/>
    <n v="10000"/>
  </r>
  <r>
    <s v="73"/>
    <x v="1"/>
    <x v="13"/>
    <s v="ZA01G030"/>
    <x v="57"/>
    <s v="G101"/>
    <s v="ARTE, CULTURA Y PATRIMONIO"/>
    <s v="GI00G10100008D"/>
    <s v="GI00G10100008D FORTALECIMIENTO DE LA RED METROPOLITANA"/>
    <s v="73 BIENES Y SERVICIOS PARA INVERSIÓN"/>
    <s v="730602 Servicio de Auditoría"/>
    <s v="G/730602/1GG101"/>
    <s v="001"/>
    <n v="5000"/>
    <n v="-5000"/>
    <n v="0"/>
    <n v="0"/>
    <n v="0"/>
    <n v="0"/>
    <n v="0"/>
    <n v="0"/>
    <n v="0"/>
    <n v="0"/>
  </r>
  <r>
    <s v="73"/>
    <x v="1"/>
    <x v="13"/>
    <s v="ZA01G030"/>
    <x v="57"/>
    <s v="G101"/>
    <s v="ARTE, CULTURA Y PATRIMONIO"/>
    <s v="GI00G10100008D"/>
    <s v="GI00G10100008D FORTALECIMIENTO DE LA RED METROPOLITANA"/>
    <s v="73 BIENES Y SERVICIOS PARA INVERSIÓN"/>
    <s v="730605 Estudio y Diseño de Proyectos"/>
    <s v="G/730605/1GG101"/>
    <s v="001"/>
    <n v="15000"/>
    <n v="0"/>
    <n v="0"/>
    <n v="15000"/>
    <n v="0"/>
    <n v="0"/>
    <n v="0"/>
    <n v="15000"/>
    <n v="15000"/>
    <n v="15000"/>
  </r>
  <r>
    <s v="73"/>
    <x v="1"/>
    <x v="13"/>
    <s v="ZA01G030"/>
    <x v="57"/>
    <s v="G101"/>
    <s v="ARTE, CULTURA Y PATRIMONIO"/>
    <s v="GI00G10100008D"/>
    <s v="GI00G10100008D FORTALECIMIENTO DE LA RED METROPOLITANA"/>
    <s v="73 BIENES Y SERVICIOS PARA INVERSIÓN"/>
    <s v="730804 Materiales de Oficina"/>
    <s v="G/730804/1GG101"/>
    <s v="001"/>
    <n v="2500"/>
    <n v="0"/>
    <n v="0"/>
    <n v="2500"/>
    <n v="0"/>
    <n v="0"/>
    <n v="0"/>
    <n v="2500"/>
    <n v="2500"/>
    <n v="2500"/>
  </r>
  <r>
    <s v="73"/>
    <x v="1"/>
    <x v="13"/>
    <s v="ZA01G030"/>
    <x v="57"/>
    <s v="G101"/>
    <s v="ARTE, CULTURA Y PATRIMONIO"/>
    <s v="GI00G10100008D"/>
    <s v="GI00G10100008D FORTALECIMIENTO DE LA RED METROPOLITANA"/>
    <s v="73 BIENES Y SERVICIOS PARA INVERSIÓN"/>
    <s v="730812 Materiales Didácticos"/>
    <s v="G/730812/1GG101"/>
    <s v="001"/>
    <n v="30000"/>
    <n v="0"/>
    <n v="0"/>
    <n v="30000"/>
    <n v="0"/>
    <n v="0"/>
    <n v="0"/>
    <n v="30000"/>
    <n v="30000"/>
    <n v="30000"/>
  </r>
  <r>
    <s v="73"/>
    <x v="1"/>
    <x v="13"/>
    <s v="ZA01G030"/>
    <x v="57"/>
    <s v="G101"/>
    <s v="ARTE, CULTURA Y PATRIMONIO"/>
    <s v="GI00G10100008D"/>
    <s v="GI00G10100008D FORTALECIMIENTO DE LA RED METROPOLITANA"/>
    <s v="73 BIENES Y SERVICIOS PARA INVERSIÓN"/>
    <s v="731403 Mobiliarios"/>
    <s v="G/731403/1GG101"/>
    <s v="001"/>
    <n v="25000"/>
    <n v="-5000"/>
    <n v="0"/>
    <n v="20000"/>
    <n v="0"/>
    <n v="0"/>
    <n v="0"/>
    <n v="20000"/>
    <n v="20000"/>
    <n v="20000"/>
  </r>
  <r>
    <s v="73"/>
    <x v="1"/>
    <x v="13"/>
    <s v="ZA01G030"/>
    <x v="57"/>
    <s v="G101"/>
    <s v="ARTE, CULTURA Y PATRIMONIO"/>
    <s v="GI00G10100008D"/>
    <s v="GI00G10100008D FORTALECIMIENTO DE LA RED METROPOLITANA"/>
    <s v="73 BIENES Y SERVICIOS PARA INVERSIÓN"/>
    <s v="731404 Maquinarias y Equipos"/>
    <s v="G/731404/1GG101"/>
    <s v="001"/>
    <n v="10200"/>
    <n v="-10200"/>
    <n v="0"/>
    <n v="0"/>
    <n v="0"/>
    <n v="0"/>
    <n v="0"/>
    <n v="0"/>
    <n v="0"/>
    <n v="0"/>
  </r>
  <r>
    <s v="73"/>
    <x v="1"/>
    <x v="13"/>
    <s v="ZA01G030"/>
    <x v="57"/>
    <s v="G101"/>
    <s v="ARTE, CULTURA Y PATRIMONIO"/>
    <s v="GI00G10100008D"/>
    <s v="GI00G10100008D FORTALECIMIENTO DE LA RED METROPOLITANA"/>
    <s v="73 BIENES Y SERVICIOS PARA INVERSIÓN"/>
    <s v="731407 Equipos, Sistemas y Paquetes Informáticos"/>
    <s v="G/731407/1GG101"/>
    <s v="001"/>
    <n v="18650"/>
    <n v="0"/>
    <n v="0"/>
    <n v="18650"/>
    <n v="0"/>
    <n v="0"/>
    <n v="0"/>
    <n v="18650"/>
    <n v="18650"/>
    <n v="18650"/>
  </r>
  <r>
    <s v="73"/>
    <x v="1"/>
    <x v="13"/>
    <s v="ZA01G030"/>
    <x v="57"/>
    <s v="G101"/>
    <s v="ARTE, CULTURA Y PATRIMONIO"/>
    <s v="GI00G10100008D"/>
    <s v="GI00G10100008D FORTALECIMIENTO DE LA RED METROPOLITANA"/>
    <s v="73 BIENES Y SERVICIOS PARA INVERSIÓN"/>
    <s v="731409 Libros y Colecciones"/>
    <s v="G/731409/1GG101"/>
    <s v="001"/>
    <n v="7000"/>
    <n v="0"/>
    <n v="0"/>
    <n v="7000"/>
    <n v="0"/>
    <n v="0"/>
    <n v="0"/>
    <n v="7000"/>
    <n v="7000"/>
    <n v="7000"/>
  </r>
  <r>
    <s v="73"/>
    <x v="2"/>
    <x v="11"/>
    <s v="ZS03F030"/>
    <x v="38"/>
    <s v="G101"/>
    <s v="ARTE, CULTURA Y PATRIMONIO"/>
    <s v="GI00G10100011D"/>
    <s v="GI00G10100011D TERRITORIO Y CULTURA"/>
    <s v="73 BIENES Y SERVICIOS PARA INVERSIÓN"/>
    <s v="730204 Edición, Impresión, Reproducción, Public"/>
    <s v="G/730204/1FG101"/>
    <s v="001"/>
    <n v="3000"/>
    <n v="0"/>
    <n v="0"/>
    <n v="3000"/>
    <n v="0"/>
    <n v="0"/>
    <n v="0"/>
    <n v="3000"/>
    <n v="3000"/>
    <n v="3000"/>
  </r>
  <r>
    <s v="73"/>
    <x v="2"/>
    <x v="11"/>
    <s v="ZC09F090"/>
    <x v="44"/>
    <s v="G101"/>
    <s v="ARTE, CULTURA Y PATRIMONIO"/>
    <s v="GI00G10100011D"/>
    <s v="GI00G10100011D TERRITORIO Y CULTURA"/>
    <s v="73 BIENES Y SERVICIOS PARA INVERSIÓN"/>
    <s v="730204 Edición, Impresión, Reproducción, Public"/>
    <s v="G/730204/1FG101"/>
    <s v="001"/>
    <n v="3000"/>
    <n v="0"/>
    <n v="0"/>
    <n v="3000"/>
    <n v="0"/>
    <n v="0"/>
    <n v="0"/>
    <n v="3000"/>
    <n v="3000"/>
    <n v="3000"/>
  </r>
  <r>
    <s v="73"/>
    <x v="1"/>
    <x v="13"/>
    <s v="ZA01G000"/>
    <x v="29"/>
    <s v="G101"/>
    <s v="ARTE, CULTURA Y PATRIMONIO"/>
    <s v="GI00G10100011D"/>
    <s v="GI00G10100011D TERRITORIO Y CULTURA"/>
    <s v="73 BIENES Y SERVICIOS PARA INVERSIÓN"/>
    <s v="730204 Edición, Impresión, Reproducción, Public"/>
    <s v="G/730204/1GG101"/>
    <s v="001"/>
    <n v="33700"/>
    <n v="-17700"/>
    <n v="0"/>
    <n v="16000"/>
    <n v="0"/>
    <n v="0"/>
    <n v="0"/>
    <n v="16000"/>
    <n v="16000"/>
    <n v="16000"/>
  </r>
  <r>
    <s v="73"/>
    <x v="1"/>
    <x v="13"/>
    <s v="ZA01G000"/>
    <x v="29"/>
    <s v="G101"/>
    <s v="ARTE, CULTURA Y PATRIMONIO"/>
    <s v="GI00G10100011D"/>
    <s v="GI00G10100011D TERRITORIO Y CULTURA"/>
    <s v="73 BIENES Y SERVICIOS PARA INVERSIÓN"/>
    <s v="730205 Espectáculos Culturales y Sociales"/>
    <s v="G/730205/1GG101"/>
    <s v="001"/>
    <n v="505200"/>
    <n v="-365000"/>
    <n v="0"/>
    <n v="140200"/>
    <n v="0"/>
    <n v="0"/>
    <n v="0"/>
    <n v="140200"/>
    <n v="140200"/>
    <n v="140200"/>
  </r>
  <r>
    <s v="73"/>
    <x v="2"/>
    <x v="11"/>
    <s v="ZD07F070"/>
    <x v="43"/>
    <s v="G101"/>
    <s v="ARTE, CULTURA Y PATRIMONIO"/>
    <s v="GI00G10100011D"/>
    <s v="GI00G10100011D TERRITORIO Y CULTURA"/>
    <s v="73 BIENES Y SERVICIOS PARA INVERSIÓN"/>
    <s v="730205 Espectáculos Culturales y Sociales"/>
    <s v="G/730205/1FG101"/>
    <s v="001"/>
    <n v="67000"/>
    <n v="0"/>
    <n v="0"/>
    <n v="67000"/>
    <n v="0"/>
    <n v="7095"/>
    <n v="7095"/>
    <n v="59905"/>
    <n v="59905"/>
    <n v="59905"/>
  </r>
  <r>
    <s v="73"/>
    <x v="2"/>
    <x v="11"/>
    <s v="ZC09F090"/>
    <x v="44"/>
    <s v="G101"/>
    <s v="ARTE, CULTURA Y PATRIMONIO"/>
    <s v="GI00G10100011D"/>
    <s v="GI00G10100011D TERRITORIO Y CULTURA"/>
    <s v="73 BIENES Y SERVICIOS PARA INVERSIÓN"/>
    <s v="730205 Espectáculos Culturales y Sociales"/>
    <s v="G/730205/1FG101"/>
    <s v="001"/>
    <n v="50000"/>
    <n v="0"/>
    <n v="0"/>
    <n v="50000"/>
    <n v="0"/>
    <n v="40000"/>
    <n v="15600"/>
    <n v="10000"/>
    <n v="34400"/>
    <n v="10000"/>
  </r>
  <r>
    <s v="73"/>
    <x v="2"/>
    <x v="11"/>
    <s v="ZV05F050"/>
    <x v="37"/>
    <s v="G101"/>
    <s v="ARTE, CULTURA Y PATRIMONIO"/>
    <s v="GI00G10100011D"/>
    <s v="GI00G10100011D TERRITORIO Y CULTURA"/>
    <s v="73 BIENES Y SERVICIOS PARA INVERSIÓN"/>
    <s v="730205 Espectáculos Culturales y Sociales"/>
    <s v="G/730205/1FG101"/>
    <s v="001"/>
    <n v="62000"/>
    <n v="0"/>
    <n v="0"/>
    <n v="62000"/>
    <n v="0"/>
    <n v="0"/>
    <n v="0"/>
    <n v="62000"/>
    <n v="62000"/>
    <n v="62000"/>
  </r>
  <r>
    <s v="73"/>
    <x v="2"/>
    <x v="11"/>
    <s v="ZN02F020"/>
    <x v="40"/>
    <s v="G101"/>
    <s v="ARTE, CULTURA Y PATRIMONIO"/>
    <s v="GI00G10100011D"/>
    <s v="GI00G10100011D TERRITORIO Y CULTURA"/>
    <s v="73 BIENES Y SERVICIOS PARA INVERSIÓN"/>
    <s v="730205 Espectáculos Culturales y Sociales"/>
    <s v="G/730205/1FG101"/>
    <s v="001"/>
    <n v="67000"/>
    <n v="0"/>
    <n v="0"/>
    <n v="67000"/>
    <n v="0"/>
    <n v="0"/>
    <n v="0"/>
    <n v="67000"/>
    <n v="67000"/>
    <n v="67000"/>
  </r>
  <r>
    <s v="73"/>
    <x v="2"/>
    <x v="11"/>
    <s v="ZM04F040"/>
    <x v="41"/>
    <s v="G101"/>
    <s v="ARTE, CULTURA Y PATRIMONIO"/>
    <s v="GI00G10100011D"/>
    <s v="GI00G10100011D TERRITORIO Y CULTURA"/>
    <s v="73 BIENES Y SERVICIOS PARA INVERSIÓN"/>
    <s v="730205 Espectáculos Culturales y Sociales"/>
    <s v="G/730205/1FG101"/>
    <s v="001"/>
    <n v="62000"/>
    <n v="0"/>
    <n v="0"/>
    <n v="62000"/>
    <n v="0"/>
    <n v="0"/>
    <n v="0"/>
    <n v="62000"/>
    <n v="62000"/>
    <n v="62000"/>
  </r>
  <r>
    <s v="73"/>
    <x v="2"/>
    <x v="11"/>
    <s v="ZT06F060"/>
    <x v="25"/>
    <s v="G101"/>
    <s v="ARTE, CULTURA Y PATRIMONIO"/>
    <s v="GI00G10100011D"/>
    <s v="GI00G10100011D TERRITORIO Y CULTURA"/>
    <s v="73 BIENES Y SERVICIOS PARA INVERSIÓN"/>
    <s v="730205 Espectáculos Culturales y Sociales"/>
    <s v="G/730205/1FG101"/>
    <s v="001"/>
    <n v="62000"/>
    <n v="0"/>
    <n v="0"/>
    <n v="62000"/>
    <n v="0"/>
    <n v="3000"/>
    <n v="0"/>
    <n v="59000"/>
    <n v="62000"/>
    <n v="59000"/>
  </r>
  <r>
    <s v="73"/>
    <x v="2"/>
    <x v="11"/>
    <s v="ZS03F030"/>
    <x v="38"/>
    <s v="G101"/>
    <s v="ARTE, CULTURA Y PATRIMONIO"/>
    <s v="GI00G10100011D"/>
    <s v="GI00G10100011D TERRITORIO Y CULTURA"/>
    <s v="73 BIENES Y SERVICIOS PARA INVERSIÓN"/>
    <s v="730205 Espectáculos Culturales y Sociales"/>
    <s v="G/730205/1FG101"/>
    <s v="001"/>
    <n v="77250"/>
    <n v="0"/>
    <n v="0"/>
    <n v="77250"/>
    <n v="300.24"/>
    <n v="12119.76"/>
    <n v="11656.22"/>
    <n v="65130.239999999998"/>
    <n v="65593.78"/>
    <n v="64830"/>
  </r>
  <r>
    <s v="73"/>
    <x v="2"/>
    <x v="11"/>
    <s v="ZQ08F080"/>
    <x v="39"/>
    <s v="G101"/>
    <s v="ARTE, CULTURA Y PATRIMONIO"/>
    <s v="GI00G10100011D"/>
    <s v="GI00G10100011D TERRITORIO Y CULTURA"/>
    <s v="73 BIENES Y SERVICIOS PARA INVERSIÓN"/>
    <s v="730205 Espectáculos Culturales y Sociales"/>
    <s v="G/730205/1FG101"/>
    <s v="001"/>
    <n v="66000"/>
    <n v="0"/>
    <n v="0"/>
    <n v="66000"/>
    <n v="0"/>
    <n v="0"/>
    <n v="0"/>
    <n v="66000"/>
    <n v="66000"/>
    <n v="66000"/>
  </r>
  <r>
    <s v="73"/>
    <x v="2"/>
    <x v="11"/>
    <s v="TM68F100"/>
    <x v="34"/>
    <s v="G101"/>
    <s v="ARTE, CULTURA Y PATRIMONIO"/>
    <s v="GI00G10100011D"/>
    <s v="GI00G10100011D TERRITORIO Y CULTURA"/>
    <s v="73 BIENES Y SERVICIOS PARA INVERSIÓN"/>
    <s v="730205 Espectáculos Culturales y Sociales"/>
    <s v="G/730205/1FG101"/>
    <s v="001"/>
    <n v="30000"/>
    <n v="0"/>
    <n v="0"/>
    <n v="30000"/>
    <n v="0"/>
    <n v="0"/>
    <n v="0"/>
    <n v="30000"/>
    <n v="30000"/>
    <n v="30000"/>
  </r>
  <r>
    <s v="73"/>
    <x v="2"/>
    <x v="11"/>
    <s v="ZS03F030"/>
    <x v="38"/>
    <s v="G101"/>
    <s v="ARTE, CULTURA Y PATRIMONIO"/>
    <s v="GI00G10100011D"/>
    <s v="GI00G10100011D TERRITORIO Y CULTURA"/>
    <s v="73 BIENES Y SERVICIOS PARA INVERSIÓN"/>
    <s v="730235 Servicio de Alimentación"/>
    <s v="G/730235/1FG101"/>
    <s v="001"/>
    <n v="1750"/>
    <n v="0"/>
    <n v="0"/>
    <n v="1750"/>
    <n v="204.4"/>
    <n v="495.6"/>
    <n v="495.6"/>
    <n v="1254.4000000000001"/>
    <n v="1254.4000000000001"/>
    <n v="1050"/>
  </r>
  <r>
    <s v="73"/>
    <x v="2"/>
    <x v="11"/>
    <s v="ZC09F090"/>
    <x v="44"/>
    <s v="G101"/>
    <s v="ARTE, CULTURA Y PATRIMONIO"/>
    <s v="GI00G10100011D"/>
    <s v="GI00G10100011D TERRITORIO Y CULTURA"/>
    <s v="73 BIENES Y SERVICIOS PARA INVERSIÓN"/>
    <s v="730235 Servicio de Alimentación"/>
    <s v="G/730235/1FG101"/>
    <s v="001"/>
    <n v="2000"/>
    <n v="0"/>
    <n v="0"/>
    <n v="2000"/>
    <n v="0"/>
    <n v="0"/>
    <n v="0"/>
    <n v="2000"/>
    <n v="2000"/>
    <n v="2000"/>
  </r>
  <r>
    <s v="73"/>
    <x v="2"/>
    <x v="11"/>
    <s v="TM68F100"/>
    <x v="34"/>
    <s v="G101"/>
    <s v="ARTE, CULTURA Y PATRIMONIO"/>
    <s v="GI00G10100011D"/>
    <s v="GI00G10100011D TERRITORIO Y CULTURA"/>
    <s v="73 BIENES Y SERVICIOS PARA INVERSIÓN"/>
    <s v="730249 Eventos Públicos Promocionales"/>
    <s v="G/730249/1FG101"/>
    <s v="001"/>
    <n v="10000"/>
    <n v="0"/>
    <n v="0"/>
    <n v="10000"/>
    <n v="0"/>
    <n v="5415.2"/>
    <n v="2335.1999999999998"/>
    <n v="4584.8"/>
    <n v="7664.8"/>
    <n v="4584.8"/>
  </r>
  <r>
    <s v="73"/>
    <x v="1"/>
    <x v="13"/>
    <s v="ZA01G000"/>
    <x v="29"/>
    <s v="G101"/>
    <s v="ARTE, CULTURA Y PATRIMONIO"/>
    <s v="GI00G10100011D"/>
    <s v="GI00G10100011D TERRITORIO Y CULTURA"/>
    <s v="73 BIENES Y SERVICIOS PARA INVERSIÓN"/>
    <s v="730402 Edificios, Locales, Residencias y Cablea"/>
    <s v="G/730402/1GG101"/>
    <s v="001"/>
    <n v="60000"/>
    <n v="-7000"/>
    <n v="0"/>
    <n v="53000"/>
    <n v="0"/>
    <n v="0"/>
    <n v="0"/>
    <n v="53000"/>
    <n v="53000"/>
    <n v="53000"/>
  </r>
  <r>
    <s v="73"/>
    <x v="1"/>
    <x v="13"/>
    <s v="ZA01G000"/>
    <x v="29"/>
    <s v="G101"/>
    <s v="ARTE, CULTURA Y PATRIMONIO"/>
    <s v="GI00G10100011D"/>
    <s v="GI00G10100011D TERRITORIO Y CULTURA"/>
    <s v="73 BIENES Y SERVICIOS PARA INVERSIÓN"/>
    <s v="730404 Maquinarias y Equipos (Instalación, Mant"/>
    <s v="G/730404/1GG101"/>
    <s v="001"/>
    <n v="8000"/>
    <n v="0"/>
    <n v="0"/>
    <n v="8000"/>
    <n v="0"/>
    <n v="0"/>
    <n v="0"/>
    <n v="8000"/>
    <n v="8000"/>
    <n v="8000"/>
  </r>
  <r>
    <s v="73"/>
    <x v="1"/>
    <x v="13"/>
    <s v="ZA01G000"/>
    <x v="29"/>
    <s v="G101"/>
    <s v="ARTE, CULTURA Y PATRIMONIO"/>
    <s v="GI00G10100011D"/>
    <s v="GI00G10100011D TERRITORIO Y CULTURA"/>
    <s v="73 BIENES Y SERVICIOS PARA INVERSIÓN"/>
    <s v="730504 Maquinarias y Equipos (Arrendamiento)"/>
    <s v="G/730504/1GG101"/>
    <s v="001"/>
    <n v="113000"/>
    <n v="-89000"/>
    <n v="0"/>
    <n v="24000"/>
    <n v="0"/>
    <n v="0"/>
    <n v="0"/>
    <n v="24000"/>
    <n v="24000"/>
    <n v="24000"/>
  </r>
  <r>
    <s v="73"/>
    <x v="2"/>
    <x v="11"/>
    <s v="ZC09F090"/>
    <x v="44"/>
    <s v="G101"/>
    <s v="ARTE, CULTURA Y PATRIMONIO"/>
    <s v="GI00G10100011D"/>
    <s v="GI00G10100011D TERRITORIO Y CULTURA"/>
    <s v="73 BIENES Y SERVICIOS PARA INVERSIÓN"/>
    <s v="730505 Vehículos (Arrendamiento)"/>
    <s v="G/730505/1FG101"/>
    <s v="001"/>
    <n v="2000"/>
    <n v="0"/>
    <n v="0"/>
    <n v="2000"/>
    <n v="0"/>
    <n v="0"/>
    <n v="0"/>
    <n v="2000"/>
    <n v="2000"/>
    <n v="2000"/>
  </r>
  <r>
    <s v="73"/>
    <x v="2"/>
    <x v="11"/>
    <s v="ZC09F090"/>
    <x v="44"/>
    <s v="G101"/>
    <s v="ARTE, CULTURA Y PATRIMONIO"/>
    <s v="GI00G10100011D"/>
    <s v="GI00G10100011D TERRITORIO Y CULTURA"/>
    <s v="73 BIENES Y SERVICIOS PARA INVERSIÓN"/>
    <s v="730606 Honorarios por Contratos Civiles de Servici"/>
    <s v="G/730606/1FG101"/>
    <s v="001"/>
    <n v="0"/>
    <n v="8300"/>
    <n v="0"/>
    <n v="8300"/>
    <n v="0"/>
    <n v="0"/>
    <n v="0"/>
    <n v="8300"/>
    <n v="8300"/>
    <n v="8300"/>
  </r>
  <r>
    <s v="73"/>
    <x v="1"/>
    <x v="13"/>
    <s v="ZA01G000"/>
    <x v="29"/>
    <s v="G101"/>
    <s v="ARTE, CULTURA Y PATRIMONIO"/>
    <s v="GI00G10100011D"/>
    <s v="GI00G10100011D TERRITORIO Y CULTURA"/>
    <s v="73 BIENES Y SERVICIOS PARA INVERSIÓN"/>
    <s v="730606 Honorarios por Contratos Civiles de Servici"/>
    <s v="G/730606/1GG101"/>
    <s v="001"/>
    <n v="24000"/>
    <n v="-14000"/>
    <n v="0"/>
    <n v="10000"/>
    <n v="0"/>
    <n v="0"/>
    <n v="0"/>
    <n v="10000"/>
    <n v="10000"/>
    <n v="10000"/>
  </r>
  <r>
    <s v="73"/>
    <x v="2"/>
    <x v="11"/>
    <s v="ZQ08F080"/>
    <x v="39"/>
    <s v="G101"/>
    <s v="ARTE, CULTURA Y PATRIMONIO"/>
    <s v="GI00G10100011D"/>
    <s v="GI00G10100011D TERRITORIO Y CULTURA"/>
    <s v="73 BIENES Y SERVICIOS PARA INVERSIÓN"/>
    <s v="730613 Capacitación para la Ciudadanía en Gener"/>
    <s v="G/730613/1FG101"/>
    <s v="001"/>
    <n v="6000"/>
    <n v="0"/>
    <n v="0"/>
    <n v="6000"/>
    <n v="0"/>
    <n v="0"/>
    <n v="0"/>
    <n v="6000"/>
    <n v="6000"/>
    <n v="6000"/>
  </r>
  <r>
    <s v="73"/>
    <x v="2"/>
    <x v="11"/>
    <s v="ZC09F090"/>
    <x v="44"/>
    <s v="G101"/>
    <s v="ARTE, CULTURA Y PATRIMONIO"/>
    <s v="GI00G10100011D"/>
    <s v="GI00G10100011D TERRITORIO Y CULTURA"/>
    <s v="73 BIENES Y SERVICIOS PARA INVERSIÓN"/>
    <s v="730613 Capacitación para la Ciudadanía en Gener"/>
    <s v="G/730613/1FG101"/>
    <s v="001"/>
    <n v="2000"/>
    <n v="0"/>
    <n v="0"/>
    <n v="2000"/>
    <n v="0"/>
    <n v="0"/>
    <n v="0"/>
    <n v="2000"/>
    <n v="2000"/>
    <n v="2000"/>
  </r>
  <r>
    <s v="73"/>
    <x v="1"/>
    <x v="13"/>
    <s v="ZA01G000"/>
    <x v="29"/>
    <s v="G101"/>
    <s v="ARTE, CULTURA Y PATRIMONIO"/>
    <s v="GI00G10100011D"/>
    <s v="GI00G10100011D TERRITORIO Y CULTURA"/>
    <s v="73 BIENES Y SERVICIOS PARA INVERSIÓN"/>
    <s v="730811 Insumos, Materiales y Suministros para Cons"/>
    <s v="G/730811/1GG101"/>
    <s v="001"/>
    <n v="3000"/>
    <n v="0"/>
    <n v="0"/>
    <n v="3000"/>
    <n v="0"/>
    <n v="0"/>
    <n v="0"/>
    <n v="3000"/>
    <n v="3000"/>
    <n v="3000"/>
  </r>
  <r>
    <s v="73"/>
    <x v="2"/>
    <x v="11"/>
    <s v="ZC09F090"/>
    <x v="44"/>
    <s v="G101"/>
    <s v="ARTE, CULTURA Y PATRIMONIO"/>
    <s v="GI00G10100011D"/>
    <s v="GI00G10100011D TERRITORIO Y CULTURA"/>
    <s v="73 BIENES Y SERVICIOS PARA INVERSIÓN"/>
    <s v="730812 Materiales Didácticos"/>
    <s v="G/730812/1FG101"/>
    <s v="001"/>
    <n v="3000"/>
    <n v="0"/>
    <n v="0"/>
    <n v="3000"/>
    <n v="0"/>
    <n v="0"/>
    <n v="0"/>
    <n v="3000"/>
    <n v="3000"/>
    <n v="3000"/>
  </r>
  <r>
    <s v="73"/>
    <x v="1"/>
    <x v="13"/>
    <s v="ZA01G000"/>
    <x v="29"/>
    <s v="G101"/>
    <s v="ARTE, CULTURA Y PATRIMONIO"/>
    <s v="GI00G10100011D"/>
    <s v="GI00G10100011D TERRITORIO Y CULTURA"/>
    <s v="73 BIENES Y SERVICIOS PARA INVERSIÓN"/>
    <s v="730813 Repuestos y Accesorios"/>
    <s v="G/730813/1GG101"/>
    <s v="001"/>
    <n v="10000"/>
    <n v="0"/>
    <n v="0"/>
    <n v="10000"/>
    <n v="0.43"/>
    <n v="7799.56"/>
    <n v="0"/>
    <n v="2200.44"/>
    <n v="10000"/>
    <n v="2200.0100000000002"/>
  </r>
  <r>
    <s v="73"/>
    <x v="1"/>
    <x v="13"/>
    <s v="ZA01G000"/>
    <x v="29"/>
    <s v="G101"/>
    <s v="ARTE, CULTURA Y PATRIMONIO"/>
    <s v="GI00G10100011D"/>
    <s v="GI00G10100011D TERRITORIO Y CULTURA"/>
    <s v="73 BIENES Y SERVICIOS PARA INVERSIÓN"/>
    <s v="731403 Mobiliarios"/>
    <s v="G/731403/1GG101"/>
    <s v="001"/>
    <n v="2000"/>
    <n v="0"/>
    <n v="0"/>
    <n v="2000"/>
    <n v="0"/>
    <n v="0"/>
    <n v="0"/>
    <n v="2000"/>
    <n v="2000"/>
    <n v="2000"/>
  </r>
  <r>
    <s v="73"/>
    <x v="3"/>
    <x v="15"/>
    <s v="AC67Q000"/>
    <x v="32"/>
    <s v="H209"/>
    <s v="FOMENTO DEL DESARROLLO ECONÓMICO LOCAL"/>
    <s v="GI00H20900001D"/>
    <s v="GI00H20900001D REPOTENCIACION DE INFRAESTRUCTURA DE MER"/>
    <s v="73 BIENES Y SERVICIOS PARA INVERSIÓN"/>
    <s v="730601 Consultoría, Asesoría e Investigación Es"/>
    <s v="G/730601/2QH209"/>
    <s v="001"/>
    <n v="0"/>
    <n v="4188"/>
    <n v="0"/>
    <n v="4188"/>
    <n v="2688"/>
    <n v="0"/>
    <n v="0"/>
    <n v="4188"/>
    <n v="4188"/>
    <n v="1500"/>
  </r>
  <r>
    <s v="73"/>
    <x v="3"/>
    <x v="15"/>
    <s v="AC67Q000"/>
    <x v="32"/>
    <s v="H209"/>
    <s v="FOMENTO DEL DESARROLLO ECONÓMICO LOCAL"/>
    <s v="GI00H20900002D"/>
    <s v="GI00H20900002D MEJORAMIENTO DEL SERVICIO DEL SISTEMA DE"/>
    <s v="73 BIENES Y SERVICIOS PARA INVERSIÓN"/>
    <s v="730105 Telecomunicaciones"/>
    <s v="G/730105/2QH209"/>
    <s v="001"/>
    <n v="0"/>
    <n v="5336"/>
    <n v="0"/>
    <n v="5336"/>
    <n v="0"/>
    <n v="4790.24"/>
    <n v="3688.54"/>
    <n v="545.76"/>
    <n v="1647.46"/>
    <n v="545.76"/>
  </r>
  <r>
    <s v="73"/>
    <x v="3"/>
    <x v="15"/>
    <s v="AC67Q000"/>
    <x v="32"/>
    <s v="H209"/>
    <s v="FOMENTO DEL DESARROLLO ECONÓMICO LOCAL"/>
    <s v="GI00H20900002D"/>
    <s v="GI00H20900002D MEJORAMIENTO DEL SERVICIO DEL SISTEMA DE"/>
    <s v="73 BIENES Y SERVICIOS PARA INVERSIÓN"/>
    <s v="730207 Difusión, Información y Publicidad"/>
    <s v="G/730207/2QH209"/>
    <s v="001"/>
    <n v="255000"/>
    <n v="0"/>
    <n v="0"/>
    <n v="255000"/>
    <n v="0"/>
    <n v="0"/>
    <n v="0"/>
    <n v="255000"/>
    <n v="255000"/>
    <n v="255000"/>
  </r>
  <r>
    <s v="73"/>
    <x v="3"/>
    <x v="15"/>
    <s v="AC67Q000"/>
    <x v="32"/>
    <s v="H209"/>
    <s v="FOMENTO DEL DESARROLLO ECONÓMICO LOCAL"/>
    <s v="GI00H20900002D"/>
    <s v="GI00H20900002D MEJORAMIENTO DEL SERVICIO DEL SISTEMA DE"/>
    <s v="73 BIENES Y SERVICIOS PARA INVERSIÓN"/>
    <s v="730224 Servicio de Implementación de Bancos de Inf"/>
    <s v="G/730224/2QH209"/>
    <s v="001"/>
    <n v="15000"/>
    <n v="0"/>
    <n v="0"/>
    <n v="15000"/>
    <n v="0"/>
    <n v="0"/>
    <n v="0"/>
    <n v="15000"/>
    <n v="15000"/>
    <n v="15000"/>
  </r>
  <r>
    <s v="73"/>
    <x v="3"/>
    <x v="15"/>
    <s v="AC67Q000"/>
    <x v="32"/>
    <s v="H209"/>
    <s v="FOMENTO DEL DESARROLLO ECONÓMICO LOCAL"/>
    <s v="GI00H20900002D"/>
    <s v="GI00H20900002D MEJORAMIENTO DEL SERVICIO DEL SISTEMA DE"/>
    <s v="73 BIENES Y SERVICIOS PARA INVERSIÓN"/>
    <s v="730249 Eventos Públicos Promocionales"/>
    <s v="G/730249/2QH209"/>
    <s v="001"/>
    <n v="100000"/>
    <n v="-100000"/>
    <n v="0"/>
    <n v="0"/>
    <n v="0"/>
    <n v="0"/>
    <n v="0"/>
    <n v="0"/>
    <n v="0"/>
    <n v="0"/>
  </r>
  <r>
    <s v="73"/>
    <x v="3"/>
    <x v="15"/>
    <s v="AC67Q000"/>
    <x v="32"/>
    <s v="H209"/>
    <s v="FOMENTO DEL DESARROLLO ECONÓMICO LOCAL"/>
    <s v="GI00H20900002D"/>
    <s v="GI00H20900002D MEJORAMIENTO DEL SERVICIO DEL SISTEMA DE"/>
    <s v="73 BIENES Y SERVICIOS PARA INVERSIÓN"/>
    <s v="730402 Edificios, Locales, Residencias y Cablea"/>
    <s v="G/730402/2QH209"/>
    <s v="001"/>
    <n v="50000"/>
    <n v="0"/>
    <n v="0"/>
    <n v="50000"/>
    <n v="0"/>
    <n v="17663"/>
    <n v="0"/>
    <n v="32337"/>
    <n v="50000"/>
    <n v="32337"/>
  </r>
  <r>
    <s v="73"/>
    <x v="3"/>
    <x v="15"/>
    <s v="AC67Q000"/>
    <x v="32"/>
    <s v="H209"/>
    <s v="FOMENTO DEL DESARROLLO ECONÓMICO LOCAL"/>
    <s v="GI00H20900002D"/>
    <s v="GI00H20900002D MEJORAMIENTO DEL SERVICIO DEL SISTEMA DE"/>
    <s v="73 BIENES Y SERVICIOS PARA INVERSIÓN"/>
    <s v="730404 Maquinarias y Equipos (Instalación, Mant"/>
    <s v="G/730404/2QH209"/>
    <s v="001"/>
    <n v="5000"/>
    <n v="0"/>
    <n v="0"/>
    <n v="5000"/>
    <n v="4969.4399999999996"/>
    <n v="0"/>
    <n v="0"/>
    <n v="5000"/>
    <n v="5000"/>
    <n v="30.56"/>
  </r>
  <r>
    <s v="73"/>
    <x v="3"/>
    <x v="15"/>
    <s v="AC67Q000"/>
    <x v="32"/>
    <s v="H209"/>
    <s v="FOMENTO DEL DESARROLLO ECONÓMICO LOCAL"/>
    <s v="GI00H20900002D"/>
    <s v="GI00H20900002D MEJORAMIENTO DEL SERVICIO DEL SISTEMA DE"/>
    <s v="73 BIENES Y SERVICIOS PARA INVERSIÓN"/>
    <s v="730601 Consultoría, Asesoría e Investigación Es"/>
    <s v="G/730601/2QH209"/>
    <s v="001"/>
    <n v="134000"/>
    <n v="0"/>
    <n v="0"/>
    <n v="134000"/>
    <n v="0"/>
    <n v="0"/>
    <n v="0"/>
    <n v="134000"/>
    <n v="134000"/>
    <n v="134000"/>
  </r>
  <r>
    <s v="73"/>
    <x v="3"/>
    <x v="15"/>
    <s v="AC67Q000"/>
    <x v="32"/>
    <s v="H209"/>
    <s v="FOMENTO DEL DESARROLLO ECONÓMICO LOCAL"/>
    <s v="GI00H20900002D"/>
    <s v="GI00H20900002D MEJORAMIENTO DEL SERVICIO DEL SISTEMA DE"/>
    <s v="73 BIENES Y SERVICIOS PARA INVERSIÓN"/>
    <s v="730613 Capacitación para la Ciudadanía en Gener"/>
    <s v="G/730613/2QH209"/>
    <s v="001"/>
    <n v="30000"/>
    <n v="0"/>
    <n v="0"/>
    <n v="30000"/>
    <n v="0"/>
    <n v="0"/>
    <n v="0"/>
    <n v="30000"/>
    <n v="30000"/>
    <n v="30000"/>
  </r>
  <r>
    <s v="73"/>
    <x v="3"/>
    <x v="15"/>
    <s v="AC67Q000"/>
    <x v="32"/>
    <s v="H209"/>
    <s v="FOMENTO DEL DESARROLLO ECONÓMICO LOCAL"/>
    <s v="GI00H20900002D"/>
    <s v="GI00H20900002D MEJORAMIENTO DEL SERVICIO DEL SISTEMA DE"/>
    <s v="73 BIENES Y SERVICIOS PARA INVERSIÓN"/>
    <s v="730702 Arrendamiento y Licencias de Uso de Paquete"/>
    <s v="G/730702/2QH209"/>
    <s v="001"/>
    <n v="0"/>
    <n v="4032"/>
    <n v="0"/>
    <n v="4032"/>
    <n v="0"/>
    <n v="0"/>
    <n v="0"/>
    <n v="4032"/>
    <n v="4032"/>
    <n v="4032"/>
  </r>
  <r>
    <s v="73"/>
    <x v="3"/>
    <x v="15"/>
    <s v="AC67Q000"/>
    <x v="32"/>
    <s v="H209"/>
    <s v="FOMENTO DEL DESARROLLO ECONÓMICO LOCAL"/>
    <s v="GI00H20900002D"/>
    <s v="GI00H20900002D MEJORAMIENTO DEL SERVICIO DEL SISTEMA DE"/>
    <s v="73 BIENES Y SERVICIOS PARA INVERSIÓN"/>
    <s v="730802 Vestuario, Lencería, Prendas de Protecci"/>
    <s v="G/730802/2QH209"/>
    <s v="001"/>
    <n v="0"/>
    <n v="50000"/>
    <n v="0"/>
    <n v="50000"/>
    <n v="10574.51"/>
    <n v="7425.49"/>
    <n v="4241.8900000000003"/>
    <n v="42574.51"/>
    <n v="45758.11"/>
    <n v="32000"/>
  </r>
  <r>
    <s v="73"/>
    <x v="3"/>
    <x v="14"/>
    <s v="ZA01H000"/>
    <x v="30"/>
    <s v="H210"/>
    <s v="CLÚSTER PRODUCTIVOS"/>
    <s v="GI00H21000001D"/>
    <s v="GI00H21000001D CADENAS PRODUCTIVAS DE VALOR"/>
    <s v="73 BIENES Y SERVICIOS PARA INVERSIÓN"/>
    <s v="730606 Honorarios por Contratos Civiles de Servici"/>
    <s v="G/730606/2HH210"/>
    <s v="001"/>
    <n v="6000"/>
    <n v="-6000"/>
    <n v="0"/>
    <n v="0"/>
    <n v="0"/>
    <n v="0"/>
    <n v="0"/>
    <n v="0"/>
    <n v="0"/>
    <n v="0"/>
  </r>
  <r>
    <s v="73"/>
    <x v="2"/>
    <x v="11"/>
    <s v="TM68F100"/>
    <x v="34"/>
    <s v="H211"/>
    <s v="DESARROLLO TERRITORIAL"/>
    <s v="GI00H21100002D"/>
    <s v="GI00H21100002D PROMOCIÓN DE VOCACIONES PRODUCTIVAS TERR"/>
    <s v="73 BIENES Y SERVICIOS PARA INVERSIÓN"/>
    <s v="730204 Edición, Impresión, Reproducción, Public"/>
    <s v="G/730204/2FH211"/>
    <s v="001"/>
    <n v="2450"/>
    <n v="0"/>
    <n v="0"/>
    <n v="2450"/>
    <n v="0"/>
    <n v="2450"/>
    <n v="2450"/>
    <n v="0"/>
    <n v="0"/>
    <n v="0"/>
  </r>
  <r>
    <s v="73"/>
    <x v="2"/>
    <x v="11"/>
    <s v="ZS03F030"/>
    <x v="38"/>
    <s v="H211"/>
    <s v="DESARROLLO TERRITORIAL"/>
    <s v="GI00H21100002D"/>
    <s v="GI00H21100002D PROMOCIÓN DE VOCACIONES PRODUCTIVAS TERR"/>
    <s v="73 BIENES Y SERVICIOS PARA INVERSIÓN"/>
    <s v="730204 Edición, Impresión, Reproducción, Public"/>
    <s v="G/730204/2FH211"/>
    <s v="001"/>
    <n v="2000"/>
    <n v="0"/>
    <n v="0"/>
    <n v="2000"/>
    <n v="0"/>
    <n v="0"/>
    <n v="0"/>
    <n v="2000"/>
    <n v="2000"/>
    <n v="2000"/>
  </r>
  <r>
    <s v="73"/>
    <x v="2"/>
    <x v="11"/>
    <s v="ZQ08F080"/>
    <x v="39"/>
    <s v="H211"/>
    <s v="DESARROLLO TERRITORIAL"/>
    <s v="GI00H21100002D"/>
    <s v="GI00H21100002D PROMOCIÓN DE VOCACIONES PRODUCTIVAS TERR"/>
    <s v="73 BIENES Y SERVICIOS PARA INVERSIÓN"/>
    <s v="730204 Edición, Impresión, Reproducción, Public"/>
    <s v="G/730204/2FH211"/>
    <s v="001"/>
    <n v="1500"/>
    <n v="0"/>
    <n v="0"/>
    <n v="1500"/>
    <n v="0"/>
    <n v="0"/>
    <n v="0"/>
    <n v="1500"/>
    <n v="1500"/>
    <n v="1500"/>
  </r>
  <r>
    <s v="73"/>
    <x v="2"/>
    <x v="11"/>
    <s v="ZV05F050"/>
    <x v="37"/>
    <s v="H211"/>
    <s v="DESARROLLO TERRITORIAL"/>
    <s v="GI00H21100002D"/>
    <s v="GI00H21100002D PROMOCIÓN DE VOCACIONES PRODUCTIVAS TERR"/>
    <s v="73 BIENES Y SERVICIOS PARA INVERSIÓN"/>
    <s v="730204 Edición, Impresión, Reproducción, Public"/>
    <s v="G/730204/2FH211"/>
    <s v="001"/>
    <n v="2014.23"/>
    <n v="0"/>
    <n v="0"/>
    <n v="2014.23"/>
    <n v="0"/>
    <n v="0"/>
    <n v="0"/>
    <n v="2014.23"/>
    <n v="2014.23"/>
    <n v="2014.23"/>
  </r>
  <r>
    <s v="73"/>
    <x v="2"/>
    <x v="11"/>
    <s v="ZC09F090"/>
    <x v="44"/>
    <s v="H211"/>
    <s v="DESARROLLO TERRITORIAL"/>
    <s v="GI00H21100002D"/>
    <s v="GI00H21100002D PROMOCIÓN DE VOCACIONES PRODUCTIVAS TERR"/>
    <s v="73 BIENES Y SERVICIOS PARA INVERSIÓN"/>
    <s v="730204 Edición, Impresión, Reproducción, Public"/>
    <s v="G/730204/2FH211"/>
    <s v="001"/>
    <n v="1000"/>
    <n v="0"/>
    <n v="0"/>
    <n v="1000"/>
    <n v="0"/>
    <n v="0"/>
    <n v="0"/>
    <n v="1000"/>
    <n v="1000"/>
    <n v="1000"/>
  </r>
  <r>
    <s v="73"/>
    <x v="2"/>
    <x v="11"/>
    <s v="ZN02F020"/>
    <x v="40"/>
    <s v="H211"/>
    <s v="DESARROLLO TERRITORIAL"/>
    <s v="GI00H21100002D"/>
    <s v="GI00H21100002D PROMOCIÓN DE VOCACIONES PRODUCTIVAS TERR"/>
    <s v="73 BIENES Y SERVICIOS PARA INVERSIÓN"/>
    <s v="730204 Edición, Impresión, Reproducción, Public"/>
    <s v="G/730204/2FH211"/>
    <s v="001"/>
    <n v="1000"/>
    <n v="0"/>
    <n v="0"/>
    <n v="1000"/>
    <n v="0"/>
    <n v="0"/>
    <n v="0"/>
    <n v="1000"/>
    <n v="1000"/>
    <n v="1000"/>
  </r>
  <r>
    <s v="73"/>
    <x v="2"/>
    <x v="11"/>
    <s v="ZD07F070"/>
    <x v="43"/>
    <s v="H211"/>
    <s v="DESARROLLO TERRITORIAL"/>
    <s v="GI00H21100002D"/>
    <s v="GI00H21100002D PROMOCIÓN DE VOCACIONES PRODUCTIVAS TERR"/>
    <s v="73 BIENES Y SERVICIOS PARA INVERSIÓN"/>
    <s v="730204 Edición, Impresión, Reproducción, Public"/>
    <s v="G/730204/2FH211"/>
    <s v="001"/>
    <n v="4255"/>
    <n v="0"/>
    <n v="0"/>
    <n v="4255"/>
    <n v="0"/>
    <n v="0"/>
    <n v="0"/>
    <n v="4255"/>
    <n v="4255"/>
    <n v="4255"/>
  </r>
  <r>
    <s v="73"/>
    <x v="2"/>
    <x v="11"/>
    <s v="ZQ08F080"/>
    <x v="39"/>
    <s v="H211"/>
    <s v="DESARROLLO TERRITORIAL"/>
    <s v="GI00H21100002D"/>
    <s v="GI00H21100002D PROMOCIÓN DE VOCACIONES PRODUCTIVAS TERR"/>
    <s v="73 BIENES Y SERVICIOS PARA INVERSIÓN"/>
    <s v="730205 Espectáculos Culturales y Sociales"/>
    <s v="G/730205/2FH211"/>
    <s v="001"/>
    <n v="15500"/>
    <n v="0"/>
    <n v="0"/>
    <n v="15500"/>
    <n v="0"/>
    <n v="0"/>
    <n v="0"/>
    <n v="15500"/>
    <n v="15500"/>
    <n v="15500"/>
  </r>
  <r>
    <s v="73"/>
    <x v="2"/>
    <x v="11"/>
    <s v="ZM04F040"/>
    <x v="41"/>
    <s v="H211"/>
    <s v="DESARROLLO TERRITORIAL"/>
    <s v="GI00H21100002D"/>
    <s v="GI00H21100002D PROMOCIÓN DE VOCACIONES PRODUCTIVAS TERR"/>
    <s v="73 BIENES Y SERVICIOS PARA INVERSIÓN"/>
    <s v="730205 Espectáculos Culturales y Sociales"/>
    <s v="G/730205/2FH211"/>
    <s v="001"/>
    <n v="12500"/>
    <n v="0"/>
    <n v="0"/>
    <n v="12500"/>
    <n v="0"/>
    <n v="0"/>
    <n v="0"/>
    <n v="12500"/>
    <n v="12500"/>
    <n v="12500"/>
  </r>
  <r>
    <s v="73"/>
    <x v="2"/>
    <x v="11"/>
    <s v="ZS03F030"/>
    <x v="38"/>
    <s v="H211"/>
    <s v="DESARROLLO TERRITORIAL"/>
    <s v="GI00H21100002D"/>
    <s v="GI00H21100002D PROMOCIÓN DE VOCACIONES PRODUCTIVAS TERR"/>
    <s v="73 BIENES Y SERVICIOS PARA INVERSIÓN"/>
    <s v="730205 Espectáculos Culturales y Sociales"/>
    <s v="G/730205/2FH211"/>
    <s v="001"/>
    <n v="12000"/>
    <n v="0"/>
    <n v="0"/>
    <n v="12000"/>
    <n v="0"/>
    <n v="0"/>
    <n v="0"/>
    <n v="12000"/>
    <n v="12000"/>
    <n v="12000"/>
  </r>
  <r>
    <s v="73"/>
    <x v="2"/>
    <x v="11"/>
    <s v="ZN02F020"/>
    <x v="40"/>
    <s v="H211"/>
    <s v="DESARROLLO TERRITORIAL"/>
    <s v="GI00H21100002D"/>
    <s v="GI00H21100002D PROMOCIÓN DE VOCACIONES PRODUCTIVAS TERR"/>
    <s v="73 BIENES Y SERVICIOS PARA INVERSIÓN"/>
    <s v="730205 Espectáculos Culturales y Sociales"/>
    <s v="G/730205/2FH211"/>
    <s v="001"/>
    <n v="2000"/>
    <n v="0"/>
    <n v="0"/>
    <n v="2000"/>
    <n v="0"/>
    <n v="0"/>
    <n v="0"/>
    <n v="2000"/>
    <n v="2000"/>
    <n v="2000"/>
  </r>
  <r>
    <s v="73"/>
    <x v="2"/>
    <x v="11"/>
    <s v="ZD07F070"/>
    <x v="43"/>
    <s v="H211"/>
    <s v="DESARROLLO TERRITORIAL"/>
    <s v="GI00H21100002D"/>
    <s v="GI00H21100002D PROMOCIÓN DE VOCACIONES PRODUCTIVAS TERR"/>
    <s v="73 BIENES Y SERVICIOS PARA INVERSIÓN"/>
    <s v="730235 Servicio de Alimentación"/>
    <s v="G/730235/2FH211"/>
    <s v="001"/>
    <n v="2300"/>
    <n v="0"/>
    <n v="0"/>
    <n v="2300"/>
    <n v="0"/>
    <n v="0"/>
    <n v="0"/>
    <n v="2300"/>
    <n v="2300"/>
    <n v="2300"/>
  </r>
  <r>
    <s v="73"/>
    <x v="2"/>
    <x v="11"/>
    <s v="TM68F100"/>
    <x v="34"/>
    <s v="H211"/>
    <s v="DESARROLLO TERRITORIAL"/>
    <s v="GI00H21100002D"/>
    <s v="GI00H21100002D PROMOCIÓN DE VOCACIONES PRODUCTIVAS TERR"/>
    <s v="73 BIENES Y SERVICIOS PARA INVERSIÓN"/>
    <s v="730249 Eventos Públicos Promocionales"/>
    <s v="G/730249/2FH211"/>
    <s v="001"/>
    <n v="18000"/>
    <n v="0"/>
    <n v="0"/>
    <n v="18000"/>
    <n v="0"/>
    <n v="10601.92"/>
    <n v="0"/>
    <n v="7398.08"/>
    <n v="18000"/>
    <n v="7398.08"/>
  </r>
  <r>
    <s v="73"/>
    <x v="2"/>
    <x v="11"/>
    <s v="ZC09F090"/>
    <x v="44"/>
    <s v="H211"/>
    <s v="DESARROLLO TERRITORIAL"/>
    <s v="GI00H21100002D"/>
    <s v="GI00H21100002D PROMOCIÓN DE VOCACIONES PRODUCTIVAS TERR"/>
    <s v="73 BIENES Y SERVICIOS PARA INVERSIÓN"/>
    <s v="730249 Eventos Públicos Promocionales"/>
    <s v="G/730249/2FH211"/>
    <s v="001"/>
    <n v="14000"/>
    <n v="0"/>
    <n v="0"/>
    <n v="14000"/>
    <n v="0"/>
    <n v="0"/>
    <n v="0"/>
    <n v="14000"/>
    <n v="14000"/>
    <n v="14000"/>
  </r>
  <r>
    <s v="73"/>
    <x v="2"/>
    <x v="11"/>
    <s v="ZD07F070"/>
    <x v="43"/>
    <s v="H211"/>
    <s v="DESARROLLO TERRITORIAL"/>
    <s v="GI00H21100002D"/>
    <s v="GI00H21100002D PROMOCIÓN DE VOCACIONES PRODUCTIVAS TERR"/>
    <s v="73 BIENES Y SERVICIOS PARA INVERSIÓN"/>
    <s v="730503 Mobiliario (Arrendamiento)"/>
    <s v="G/730503/2FH211"/>
    <s v="001"/>
    <n v="6745"/>
    <n v="0"/>
    <n v="0"/>
    <n v="6745"/>
    <n v="0"/>
    <n v="0"/>
    <n v="0"/>
    <n v="6745"/>
    <n v="6745"/>
    <n v="6745"/>
  </r>
  <r>
    <s v="73"/>
    <x v="2"/>
    <x v="11"/>
    <s v="ZD07F070"/>
    <x v="43"/>
    <s v="H211"/>
    <s v="DESARROLLO TERRITORIAL"/>
    <s v="GI00H21100002D"/>
    <s v="GI00H21100002D PROMOCIÓN DE VOCACIONES PRODUCTIVAS TERR"/>
    <s v="73 BIENES Y SERVICIOS PARA INVERSIÓN"/>
    <s v="730505 Vehículos (Arrendamiento)"/>
    <s v="G/730505/2FH211"/>
    <s v="001"/>
    <n v="2700"/>
    <n v="0"/>
    <n v="0"/>
    <n v="2700"/>
    <n v="0"/>
    <n v="0"/>
    <n v="0"/>
    <n v="2700"/>
    <n v="2700"/>
    <n v="2700"/>
  </r>
  <r>
    <s v="73"/>
    <x v="2"/>
    <x v="11"/>
    <s v="ZV05F050"/>
    <x v="37"/>
    <s v="H211"/>
    <s v="DESARROLLO TERRITORIAL"/>
    <s v="GI00H21100002D"/>
    <s v="GI00H21100002D PROMOCIÓN DE VOCACIONES PRODUCTIVAS TERR"/>
    <s v="73 BIENES Y SERVICIOS PARA INVERSIÓN"/>
    <s v="730505 Vehículos (Arrendamiento)"/>
    <s v="G/730505/2FH211"/>
    <s v="001"/>
    <n v="1040"/>
    <n v="0"/>
    <n v="0"/>
    <n v="1040"/>
    <n v="0"/>
    <n v="0"/>
    <n v="0"/>
    <n v="1040"/>
    <n v="1040"/>
    <n v="1040"/>
  </r>
  <r>
    <s v="73"/>
    <x v="2"/>
    <x v="11"/>
    <s v="ZN02F020"/>
    <x v="40"/>
    <s v="H211"/>
    <s v="DESARROLLO TERRITORIAL"/>
    <s v="GI00H21100002D"/>
    <s v="GI00H21100002D PROMOCIÓN DE VOCACIONES PRODUCTIVAS TERR"/>
    <s v="73 BIENES Y SERVICIOS PARA INVERSIÓN"/>
    <s v="730505 Vehículos (Arrendamiento)"/>
    <s v="G/730505/2FH211"/>
    <s v="001"/>
    <n v="5000"/>
    <n v="0"/>
    <n v="0"/>
    <n v="5000"/>
    <n v="0"/>
    <n v="0"/>
    <n v="0"/>
    <n v="5000"/>
    <n v="5000"/>
    <n v="5000"/>
  </r>
  <r>
    <s v="73"/>
    <x v="2"/>
    <x v="11"/>
    <s v="ZT06F060"/>
    <x v="25"/>
    <s v="H211"/>
    <s v="DESARROLLO TERRITORIAL"/>
    <s v="GI00H21100002D"/>
    <s v="GI00H21100002D PROMOCIÓN DE VOCACIONES PRODUCTIVAS TERR"/>
    <s v="73 BIENES Y SERVICIOS PARA INVERSIÓN"/>
    <s v="730606 Honorarios por Contratos Civiles de Servici"/>
    <s v="G/730606/2FH211"/>
    <s v="001"/>
    <n v="12500"/>
    <n v="-4500"/>
    <n v="0"/>
    <n v="8000"/>
    <n v="0"/>
    <n v="0"/>
    <n v="0"/>
    <n v="8000"/>
    <n v="8000"/>
    <n v="8000"/>
  </r>
  <r>
    <s v="73"/>
    <x v="2"/>
    <x v="11"/>
    <s v="ZM04F040"/>
    <x v="41"/>
    <s v="H211"/>
    <s v="DESARROLLO TERRITORIAL"/>
    <s v="GI00H21100002D"/>
    <s v="GI00H21100002D PROMOCIÓN DE VOCACIONES PRODUCTIVAS TERR"/>
    <s v="73 BIENES Y SERVICIOS PARA INVERSIÓN"/>
    <s v="730613 Capacitación para la Ciudadanía en Gener"/>
    <s v="G/730613/2FH211"/>
    <s v="001"/>
    <n v="15700"/>
    <n v="0"/>
    <n v="0"/>
    <n v="15700"/>
    <n v="0"/>
    <n v="0"/>
    <n v="0"/>
    <n v="15700"/>
    <n v="15700"/>
    <n v="15700"/>
  </r>
  <r>
    <s v="73"/>
    <x v="2"/>
    <x v="11"/>
    <s v="ZV05F050"/>
    <x v="37"/>
    <s v="H211"/>
    <s v="DESARROLLO TERRITORIAL"/>
    <s v="GI00H21100002D"/>
    <s v="GI00H21100002D PROMOCIÓN DE VOCACIONES PRODUCTIVAS TERR"/>
    <s v="73 BIENES Y SERVICIOS PARA INVERSIÓN"/>
    <s v="730613 Capacitación para la Ciudadanía en Gener"/>
    <s v="G/730613/2FH211"/>
    <s v="001"/>
    <n v="5000"/>
    <n v="0"/>
    <n v="0"/>
    <n v="5000"/>
    <n v="0"/>
    <n v="0"/>
    <n v="0"/>
    <n v="5000"/>
    <n v="5000"/>
    <n v="5000"/>
  </r>
  <r>
    <s v="73"/>
    <x v="2"/>
    <x v="11"/>
    <s v="ZC09F090"/>
    <x v="44"/>
    <s v="H211"/>
    <s v="DESARROLLO TERRITORIAL"/>
    <s v="GI00H21100002D"/>
    <s v="GI00H21100002D PROMOCIÓN DE VOCACIONES PRODUCTIVAS TERR"/>
    <s v="73 BIENES Y SERVICIOS PARA INVERSIÓN"/>
    <s v="730613 Capacitación para la Ciudadanía en Gener"/>
    <s v="G/730613/2FH211"/>
    <s v="001"/>
    <n v="8000"/>
    <n v="0"/>
    <n v="0"/>
    <n v="8000"/>
    <n v="0"/>
    <n v="0"/>
    <n v="0"/>
    <n v="8000"/>
    <n v="8000"/>
    <n v="8000"/>
  </r>
  <r>
    <s v="73"/>
    <x v="2"/>
    <x v="11"/>
    <s v="ZS03F030"/>
    <x v="38"/>
    <s v="H211"/>
    <s v="DESARROLLO TERRITORIAL"/>
    <s v="GI00H21100002D"/>
    <s v="GI00H21100002D PROMOCIÓN DE VOCACIONES PRODUCTIVAS TERR"/>
    <s v="73 BIENES Y SERVICIOS PARA INVERSIÓN"/>
    <s v="730613 Capacitación para la Ciudadanía en Gener"/>
    <s v="G/730613/2FH211"/>
    <s v="001"/>
    <n v="5000"/>
    <n v="0"/>
    <n v="0"/>
    <n v="5000"/>
    <n v="0"/>
    <n v="0"/>
    <n v="0"/>
    <n v="5000"/>
    <n v="5000"/>
    <n v="5000"/>
  </r>
  <r>
    <s v="73"/>
    <x v="2"/>
    <x v="11"/>
    <s v="ZN02F020"/>
    <x v="40"/>
    <s v="H211"/>
    <s v="DESARROLLO TERRITORIAL"/>
    <s v="GI00H21100002D"/>
    <s v="GI00H21100002D PROMOCIÓN DE VOCACIONES PRODUCTIVAS TERR"/>
    <s v="73 BIENES Y SERVICIOS PARA INVERSIÓN"/>
    <s v="730613 Capacitación para la Ciudadanía en Gener"/>
    <s v="G/730613/2FH211"/>
    <s v="001"/>
    <n v="11000"/>
    <n v="0"/>
    <n v="0"/>
    <n v="11000"/>
    <n v="0"/>
    <n v="0"/>
    <n v="0"/>
    <n v="11000"/>
    <n v="11000"/>
    <n v="11000"/>
  </r>
  <r>
    <s v="73"/>
    <x v="2"/>
    <x v="11"/>
    <s v="TM68F100"/>
    <x v="34"/>
    <s v="H211"/>
    <s v="DESARROLLO TERRITORIAL"/>
    <s v="GI00H21100002D"/>
    <s v="GI00H21100002D PROMOCIÓN DE VOCACIONES PRODUCTIVAS TERR"/>
    <s v="73 BIENES Y SERVICIOS PARA INVERSIÓN"/>
    <s v="730613 Capacitación para la Ciudadanía en Gener"/>
    <s v="G/730613/2FH211"/>
    <s v="001"/>
    <n v="20000"/>
    <n v="0"/>
    <n v="0"/>
    <n v="20000"/>
    <n v="0"/>
    <n v="0"/>
    <n v="0"/>
    <n v="20000"/>
    <n v="20000"/>
    <n v="20000"/>
  </r>
  <r>
    <s v="73"/>
    <x v="2"/>
    <x v="11"/>
    <s v="ZQ08F080"/>
    <x v="39"/>
    <s v="H211"/>
    <s v="DESARROLLO TERRITORIAL"/>
    <s v="GI00H21100002D"/>
    <s v="GI00H21100002D PROMOCIÓN DE VOCACIONES PRODUCTIVAS TERR"/>
    <s v="73 BIENES Y SERVICIOS PARA INVERSIÓN"/>
    <s v="730613 Capacitación para la Ciudadanía en Gener"/>
    <s v="G/730613/2FH211"/>
    <s v="001"/>
    <n v="5000"/>
    <n v="0"/>
    <n v="0"/>
    <n v="5000"/>
    <n v="0"/>
    <n v="0"/>
    <n v="0"/>
    <n v="5000"/>
    <n v="5000"/>
    <n v="5000"/>
  </r>
  <r>
    <s v="73"/>
    <x v="2"/>
    <x v="11"/>
    <s v="ZD07F070"/>
    <x v="43"/>
    <s v="H211"/>
    <s v="DESARROLLO TERRITORIAL"/>
    <s v="GI00H21100002D"/>
    <s v="GI00H21100002D PROMOCIÓN DE VOCACIONES PRODUCTIVAS TERR"/>
    <s v="73 BIENES Y SERVICIOS PARA INVERSIÓN"/>
    <s v="730613 Capacitación para la Ciudadanía en Gener"/>
    <s v="G/730613/2FH211"/>
    <s v="001"/>
    <n v="7000"/>
    <n v="0"/>
    <n v="0"/>
    <n v="7000"/>
    <n v="0"/>
    <n v="0"/>
    <n v="0"/>
    <n v="7000"/>
    <n v="7000"/>
    <n v="7000"/>
  </r>
  <r>
    <s v="73"/>
    <x v="2"/>
    <x v="11"/>
    <s v="ZM04F040"/>
    <x v="41"/>
    <s v="H211"/>
    <s v="DESARROLLO TERRITORIAL"/>
    <s v="GI00H21100002D"/>
    <s v="GI00H21100002D PROMOCIÓN DE VOCACIONES PRODUCTIVAS TERR"/>
    <s v="73 BIENES Y SERVICIOS PARA INVERSIÓN"/>
    <s v="730804 Materiales de Oficina"/>
    <s v="G/730804/2FH211"/>
    <s v="001"/>
    <n v="1000"/>
    <n v="0"/>
    <n v="0"/>
    <n v="1000"/>
    <n v="0"/>
    <n v="0"/>
    <n v="0"/>
    <n v="1000"/>
    <n v="1000"/>
    <n v="1000"/>
  </r>
  <r>
    <s v="73"/>
    <x v="2"/>
    <x v="11"/>
    <s v="ZT06F060"/>
    <x v="25"/>
    <s v="H211"/>
    <s v="DESARROLLO TERRITORIAL"/>
    <s v="GI00H21100002D"/>
    <s v="GI00H21100002D PROMOCIÓN DE VOCACIONES PRODUCTIVAS TERR"/>
    <s v="73 BIENES Y SERVICIOS PARA INVERSIÓN"/>
    <s v="730811 Insumos, Materiales y Suministros para Cons"/>
    <s v="G/730811/2FH211"/>
    <s v="001"/>
    <n v="1000"/>
    <n v="2500"/>
    <n v="0"/>
    <n v="3500"/>
    <n v="0"/>
    <n v="0"/>
    <n v="0"/>
    <n v="3500"/>
    <n v="3500"/>
    <n v="3500"/>
  </r>
  <r>
    <s v="73"/>
    <x v="2"/>
    <x v="11"/>
    <s v="ZV05F050"/>
    <x v="37"/>
    <s v="H211"/>
    <s v="DESARROLLO TERRITORIAL"/>
    <s v="GI00H21100002D"/>
    <s v="GI00H21100002D PROMOCIÓN DE VOCACIONES PRODUCTIVAS TERR"/>
    <s v="73 BIENES Y SERVICIOS PARA INVERSIÓN"/>
    <s v="730814 Suministros para Actividades Agropecuarias,"/>
    <s v="G/730814/2FH211"/>
    <s v="001"/>
    <n v="9000"/>
    <n v="0"/>
    <n v="0"/>
    <n v="9000"/>
    <n v="0"/>
    <n v="0"/>
    <n v="0"/>
    <n v="9000"/>
    <n v="9000"/>
    <n v="9000"/>
  </r>
  <r>
    <s v="73"/>
    <x v="2"/>
    <x v="11"/>
    <s v="ZD07F070"/>
    <x v="43"/>
    <s v="H211"/>
    <s v="DESARROLLO TERRITORIAL"/>
    <s v="GI00H21100002D"/>
    <s v="GI00H21100002D PROMOCIÓN DE VOCACIONES PRODUCTIVAS TERR"/>
    <s v="73 BIENES Y SERVICIOS PARA INVERSIÓN"/>
    <s v="730814 Suministros para Actividades Agropecuarias,"/>
    <s v="G/730814/2FH211"/>
    <s v="001"/>
    <n v="1500"/>
    <n v="0"/>
    <n v="0"/>
    <n v="1500"/>
    <n v="0"/>
    <n v="1498.5"/>
    <n v="1498.5"/>
    <n v="1.5"/>
    <n v="1.5"/>
    <n v="1.5"/>
  </r>
  <r>
    <s v="73"/>
    <x v="2"/>
    <x v="11"/>
    <s v="ZM04F040"/>
    <x v="41"/>
    <s v="H211"/>
    <s v="DESARROLLO TERRITORIAL"/>
    <s v="GI00H21100002D"/>
    <s v="GI00H21100002D PROMOCIÓN DE VOCACIONES PRODUCTIVAS TERR"/>
    <s v="73 BIENES Y SERVICIOS PARA INVERSIÓN"/>
    <s v="730814 Suministros para Actividades Agropecuarias,"/>
    <s v="G/730814/2FH211"/>
    <s v="001"/>
    <n v="5000"/>
    <n v="0"/>
    <n v="0"/>
    <n v="5000"/>
    <n v="0"/>
    <n v="0"/>
    <n v="0"/>
    <n v="5000"/>
    <n v="5000"/>
    <n v="5000"/>
  </r>
  <r>
    <s v="73"/>
    <x v="2"/>
    <x v="11"/>
    <s v="ZC09F090"/>
    <x v="44"/>
    <s v="H211"/>
    <s v="DESARROLLO TERRITORIAL"/>
    <s v="GI00H21100002D"/>
    <s v="GI00H21100002D PROMOCIÓN DE VOCACIONES PRODUCTIVAS TERR"/>
    <s v="73 BIENES Y SERVICIOS PARA INVERSIÓN"/>
    <s v="730814 Suministros para Actividades Agropecuarias,"/>
    <s v="G/730814/2FH211"/>
    <s v="001"/>
    <n v="2000"/>
    <n v="0"/>
    <n v="0"/>
    <n v="2000"/>
    <n v="0"/>
    <n v="0"/>
    <n v="0"/>
    <n v="2000"/>
    <n v="2000"/>
    <n v="2000"/>
  </r>
  <r>
    <s v="73"/>
    <x v="2"/>
    <x v="11"/>
    <s v="ZQ08F080"/>
    <x v="39"/>
    <s v="H211"/>
    <s v="DESARROLLO TERRITORIAL"/>
    <s v="GI00H21100002D"/>
    <s v="GI00H21100002D PROMOCIÓN DE VOCACIONES PRODUCTIVAS TERR"/>
    <s v="73 BIENES Y SERVICIOS PARA INVERSIÓN"/>
    <s v="730814 Suministros para Actividades Agropecuarias,"/>
    <s v="G/730814/2FH211"/>
    <s v="001"/>
    <n v="8050"/>
    <n v="0"/>
    <n v="0"/>
    <n v="8050"/>
    <n v="0"/>
    <n v="7050.5"/>
    <n v="7050.5"/>
    <n v="999.5"/>
    <n v="999.5"/>
    <n v="999.5"/>
  </r>
  <r>
    <s v="73"/>
    <x v="2"/>
    <x v="11"/>
    <s v="ZN02F020"/>
    <x v="40"/>
    <s v="H211"/>
    <s v="DESARROLLO TERRITORIAL"/>
    <s v="GI00H21100002D"/>
    <s v="GI00H21100002D PROMOCIÓN DE VOCACIONES PRODUCTIVAS TERR"/>
    <s v="73 BIENES Y SERVICIOS PARA INVERSIÓN"/>
    <s v="730814 Suministros para Actividades Agropecuarias,"/>
    <s v="G/730814/2FH211"/>
    <s v="001"/>
    <n v="3000"/>
    <n v="0"/>
    <n v="0"/>
    <n v="3000"/>
    <n v="0"/>
    <n v="2504.5500000000002"/>
    <n v="2504.5500000000002"/>
    <n v="495.45"/>
    <n v="495.45"/>
    <n v="495.45"/>
  </r>
  <r>
    <s v="73"/>
    <x v="2"/>
    <x v="11"/>
    <s v="ZT06F060"/>
    <x v="25"/>
    <s v="H211"/>
    <s v="DESARROLLO TERRITORIAL"/>
    <s v="GI00H21100002D"/>
    <s v="GI00H21100002D PROMOCIÓN DE VOCACIONES PRODUCTIVAS TERR"/>
    <s v="73 BIENES Y SERVICIOS PARA INVERSIÓN"/>
    <s v="730814 Suministros para Actividades Agropecuarias,"/>
    <s v="G/730814/2FH211"/>
    <s v="001"/>
    <n v="1500"/>
    <n v="2000"/>
    <n v="0"/>
    <n v="3500"/>
    <n v="0"/>
    <n v="0"/>
    <n v="0"/>
    <n v="3500"/>
    <n v="3500"/>
    <n v="3500"/>
  </r>
  <r>
    <s v="73"/>
    <x v="3"/>
    <x v="14"/>
    <s v="ZA01H000"/>
    <x v="30"/>
    <s v="H212"/>
    <s v="FORTALECIMIENTO DE LA COMPETITIVIDAD"/>
    <s v="GI00H21200002D"/>
    <s v="GI00H21200002D QUITO COMPETITIVA Y DE INVERSIONES"/>
    <s v="73 BIENES Y SERVICIOS PARA INVERSIÓN"/>
    <s v="730249 Eventos Públicos Promocionales"/>
    <s v="G/730249/2HH212"/>
    <s v="001"/>
    <n v="6000"/>
    <n v="0"/>
    <n v="0"/>
    <n v="6000"/>
    <n v="0"/>
    <n v="1521.34"/>
    <n v="0"/>
    <n v="4478.66"/>
    <n v="6000"/>
    <n v="4478.66"/>
  </r>
  <r>
    <s v="73"/>
    <x v="3"/>
    <x v="14"/>
    <s v="ZA01H000"/>
    <x v="30"/>
    <s v="H212"/>
    <s v="FORTALECIMIENTO DE LA COMPETITIVIDAD"/>
    <s v="GI00H21200002D"/>
    <s v="GI00H21200002D QUITO COMPETITIVA Y DE INVERSIONES"/>
    <s v="73 BIENES Y SERVICIOS PARA INVERSIÓN"/>
    <s v="730601 Consultoría, Asesoría e Investigación Es"/>
    <s v="G/730601/2HH212"/>
    <s v="001"/>
    <n v="83000"/>
    <n v="0"/>
    <n v="0"/>
    <n v="83000"/>
    <n v="0"/>
    <n v="0"/>
    <n v="0"/>
    <n v="83000"/>
    <n v="83000"/>
    <n v="83000"/>
  </r>
  <r>
    <s v="73"/>
    <x v="3"/>
    <x v="14"/>
    <s v="ZA01H000"/>
    <x v="30"/>
    <s v="H212"/>
    <s v="FORTALECIMIENTO DE LA COMPETITIVIDAD"/>
    <s v="GI00H21200002D"/>
    <s v="GI00H21200002D QUITO COMPETITIVA Y DE INVERSIONES"/>
    <s v="73 BIENES Y SERVICIOS PARA INVERSIÓN"/>
    <s v="730606 Honorarios por Contratos Civiles de Servici"/>
    <s v="G/730606/2HH212"/>
    <s v="001"/>
    <n v="4574"/>
    <n v="0"/>
    <n v="0"/>
    <n v="4574"/>
    <n v="0"/>
    <n v="0"/>
    <n v="0"/>
    <n v="4574"/>
    <n v="4574"/>
    <n v="4574"/>
  </r>
  <r>
    <s v="73"/>
    <x v="3"/>
    <x v="14"/>
    <s v="ZA01H000"/>
    <x v="30"/>
    <s v="H213"/>
    <s v="LOGÍSTICA EFICIENTE"/>
    <s v="GI00H21300002D"/>
    <s v="GI00H21300002D SISTEMAS AGROALIMENTARIOS SOSTENIBLES"/>
    <s v="73 BIENES Y SERVICIOS PARA INVERSIÓN"/>
    <s v="730249 Eventos Públicos Promocionales"/>
    <s v="G/730249/2HH213"/>
    <s v="001"/>
    <n v="1000"/>
    <n v="0"/>
    <n v="0"/>
    <n v="1000"/>
    <n v="0"/>
    <n v="0"/>
    <n v="0"/>
    <n v="1000"/>
    <n v="1000"/>
    <n v="1000"/>
  </r>
  <r>
    <s v="73"/>
    <x v="3"/>
    <x v="14"/>
    <s v="ZA01H000"/>
    <x v="30"/>
    <s v="H213"/>
    <s v="LOGÍSTICA EFICIENTE"/>
    <s v="GI00H21300002D"/>
    <s v="GI00H21300002D SISTEMAS AGROALIMENTARIOS SOSTENIBLES"/>
    <s v="73 BIENES Y SERVICIOS PARA INVERSIÓN"/>
    <s v="730601 Consultoría, Asesoría e Investigación Es"/>
    <s v="G/730601/2HH213"/>
    <s v="001"/>
    <n v="44000"/>
    <n v="17000"/>
    <n v="0"/>
    <n v="61000"/>
    <n v="0"/>
    <n v="0"/>
    <n v="0"/>
    <n v="61000"/>
    <n v="61000"/>
    <n v="61000"/>
  </r>
  <r>
    <s v="73"/>
    <x v="1"/>
    <x v="2"/>
    <s v="ZA01I000"/>
    <x v="5"/>
    <s v="I101"/>
    <s v="PRACTICAS SALUDABLES"/>
    <s v="GI00I10100003D"/>
    <s v="GI00I10100003D QUITO SI LA MUEVE"/>
    <s v="73 BIENES Y SERVICIOS PARA INVERSIÓN"/>
    <s v="730205 Espectáculos Culturales y Sociales"/>
    <s v="G/730205/1II101"/>
    <s v="001"/>
    <n v="2647786.7799999998"/>
    <n v="-2095235.6"/>
    <n v="0"/>
    <n v="552551.18000000005"/>
    <n v="0"/>
    <n v="299521.82"/>
    <n v="23215.58"/>
    <n v="253029.36"/>
    <n v="529335.6"/>
    <n v="253029.36"/>
  </r>
  <r>
    <s v="73"/>
    <x v="1"/>
    <x v="2"/>
    <s v="ZA01I000"/>
    <x v="5"/>
    <s v="I101"/>
    <s v="PRACTICAS SALUDABLES"/>
    <s v="GI00I10100003D"/>
    <s v="GI00I10100003D QUITO SI LA MUEVE"/>
    <s v="73 BIENES Y SERVICIOS PARA INVERSIÓN"/>
    <s v="730606 Honorarios por Contratos Civiles de Servici"/>
    <s v="G/730606/1II101"/>
    <s v="001"/>
    <n v="92213.22"/>
    <n v="0"/>
    <n v="0"/>
    <n v="92213.22"/>
    <n v="0"/>
    <n v="0"/>
    <n v="0"/>
    <n v="92213.22"/>
    <n v="92213.22"/>
    <n v="92213.22"/>
  </r>
  <r>
    <s v="73"/>
    <x v="1"/>
    <x v="2"/>
    <s v="ZA01I000"/>
    <x v="5"/>
    <s v="I101"/>
    <s v="PRACTICAS SALUDABLES"/>
    <s v="GI00I10100004D"/>
    <s v="GI00I10100004D QUITO A LA CANCHA"/>
    <s v="73 BIENES Y SERVICIOS PARA INVERSIÓN"/>
    <s v="730604 Fiscalización e Inspecciones Técnicas"/>
    <s v="G/730604/1II101"/>
    <s v="001"/>
    <n v="627328"/>
    <n v="-239086.56"/>
    <n v="0"/>
    <n v="388241.44"/>
    <n v="0"/>
    <n v="0"/>
    <n v="0"/>
    <n v="388241.44"/>
    <n v="388241.44"/>
    <n v="388241.44"/>
  </r>
  <r>
    <s v="73"/>
    <x v="1"/>
    <x v="2"/>
    <s v="ZA01I000"/>
    <x v="5"/>
    <s v="I101"/>
    <s v="PRACTICAS SALUDABLES"/>
    <s v="GI00I10100004D"/>
    <s v="GI00I10100004D QUITO A LA CANCHA"/>
    <s v="73 BIENES Y SERVICIOS PARA INVERSIÓN"/>
    <s v="730606 Honorarios por Contratos Civiles de Servici"/>
    <s v="G/730606/1II101"/>
    <s v="001"/>
    <n v="230000"/>
    <n v="0"/>
    <n v="0"/>
    <n v="230000"/>
    <n v="89328"/>
    <n v="140672"/>
    <n v="44352"/>
    <n v="89328"/>
    <n v="185648"/>
    <n v="0"/>
  </r>
  <r>
    <s v="73"/>
    <x v="1"/>
    <x v="2"/>
    <s v="ZA01I000"/>
    <x v="5"/>
    <s v="I101"/>
    <s v="PRACTICAS SALUDABLES"/>
    <s v="GI00I10100004D"/>
    <s v="GI00I10100004D QUITO A LA CANCHA"/>
    <s v="73 BIENES Y SERVICIOS PARA INVERSIÓN"/>
    <s v="730702 Arrendamiento y Licencias de Uso de Paquete"/>
    <s v="G/730702/1II101"/>
    <s v="001"/>
    <n v="2000"/>
    <n v="-2000"/>
    <n v="0"/>
    <n v="0"/>
    <n v="0"/>
    <n v="0"/>
    <n v="0"/>
    <n v="0"/>
    <n v="0"/>
    <n v="0"/>
  </r>
  <r>
    <s v="73"/>
    <x v="1"/>
    <x v="2"/>
    <s v="CB21I040"/>
    <x v="23"/>
    <s v="I102"/>
    <s v="SISTEMA EDUCATIVO MUNICIPAL"/>
    <s v="GI00I10200004D"/>
    <s v="GI00I10200004D FORTALECIMIENTO PEDAGOGICO"/>
    <s v="73 BIENES Y SERVICIOS PARA INVERSIÓN"/>
    <s v="730106 Servicio de Correo"/>
    <s v="G/730106/1II102"/>
    <s v="001"/>
    <n v="3500"/>
    <n v="0"/>
    <n v="0"/>
    <n v="3500"/>
    <n v="0"/>
    <n v="0"/>
    <n v="0"/>
    <n v="3500"/>
    <n v="3500"/>
    <n v="3500"/>
  </r>
  <r>
    <s v="73"/>
    <x v="1"/>
    <x v="2"/>
    <s v="CB21I040"/>
    <x v="23"/>
    <s v="I102"/>
    <s v="SISTEMA EDUCATIVO MUNICIPAL"/>
    <s v="GI00I10200004D"/>
    <s v="GI00I10200004D FORTALECIMIENTO PEDAGOGICO"/>
    <s v="73 BIENES Y SERVICIOS PARA INVERSIÓN"/>
    <s v="730204 Edición, Impresión, Reproducción, Public"/>
    <s v="G/730204/1II102"/>
    <s v="001"/>
    <n v="7000"/>
    <n v="0"/>
    <n v="0"/>
    <n v="7000"/>
    <n v="0"/>
    <n v="0"/>
    <n v="0"/>
    <n v="7000"/>
    <n v="7000"/>
    <n v="7000"/>
  </r>
  <r>
    <s v="73"/>
    <x v="1"/>
    <x v="2"/>
    <s v="CB21I040"/>
    <x v="23"/>
    <s v="I102"/>
    <s v="SISTEMA EDUCATIVO MUNICIPAL"/>
    <s v="GI00I10200004D"/>
    <s v="GI00I10200004D FORTALECIMIENTO PEDAGOGICO"/>
    <s v="73 BIENES Y SERVICIOS PARA INVERSIÓN"/>
    <s v="730239 Membrecías"/>
    <s v="G/730239/1II102"/>
    <s v="001"/>
    <n v="63500"/>
    <n v="0"/>
    <n v="0"/>
    <n v="63500"/>
    <n v="0"/>
    <n v="63500"/>
    <n v="105"/>
    <n v="0"/>
    <n v="63395"/>
    <n v="0"/>
  </r>
  <r>
    <s v="73"/>
    <x v="1"/>
    <x v="2"/>
    <s v="CB21I040"/>
    <x v="23"/>
    <s v="I102"/>
    <s v="SISTEMA EDUCATIVO MUNICIPAL"/>
    <s v="GI00I10200004D"/>
    <s v="GI00I10200004D FORTALECIMIENTO PEDAGOGICO"/>
    <s v="73 BIENES Y SERVICIOS PARA INVERSIÓN"/>
    <s v="730301 Pasajes al Interior"/>
    <s v="G/730301/1II102"/>
    <s v="001"/>
    <n v="10000"/>
    <n v="0"/>
    <n v="0"/>
    <n v="10000"/>
    <n v="0"/>
    <n v="0"/>
    <n v="0"/>
    <n v="10000"/>
    <n v="10000"/>
    <n v="10000"/>
  </r>
  <r>
    <s v="73"/>
    <x v="1"/>
    <x v="2"/>
    <s v="CB21I040"/>
    <x v="23"/>
    <s v="I102"/>
    <s v="SISTEMA EDUCATIVO MUNICIPAL"/>
    <s v="GI00I10200004D"/>
    <s v="GI00I10200004D FORTALECIMIENTO PEDAGOGICO"/>
    <s v="73 BIENES Y SERVICIOS PARA INVERSIÓN"/>
    <s v="730303 Viáticos y Subsistencias en el Interior"/>
    <s v="G/730303/1II102"/>
    <s v="001"/>
    <n v="10000"/>
    <n v="0"/>
    <n v="0"/>
    <n v="10000"/>
    <n v="0"/>
    <n v="0"/>
    <n v="0"/>
    <n v="10000"/>
    <n v="10000"/>
    <n v="10000"/>
  </r>
  <r>
    <s v="73"/>
    <x v="1"/>
    <x v="2"/>
    <s v="EQ13I030"/>
    <x v="20"/>
    <s v="I102"/>
    <s v="SISTEMA EDUCATIVO MUNICIPAL"/>
    <s v="GI00I10200004D"/>
    <s v="GI00I10200004D FORTALECIMIENTO PEDAGOGICO"/>
    <s v="73 BIENES Y SERVICIOS PARA INVERSIÓN"/>
    <s v="730402 Edificios, Locales, Residencias y Cablea"/>
    <s v="G/730402/1II102"/>
    <s v="001"/>
    <n v="0"/>
    <n v="50400"/>
    <n v="0"/>
    <n v="50400"/>
    <n v="50400"/>
    <n v="0"/>
    <n v="0"/>
    <n v="50400"/>
    <n v="50400"/>
    <n v="0"/>
  </r>
  <r>
    <s v="73"/>
    <x v="1"/>
    <x v="2"/>
    <s v="SF43I080"/>
    <x v="35"/>
    <s v="I102"/>
    <s v="SISTEMA EDUCATIVO MUNICIPAL"/>
    <s v="GI00I10200004D"/>
    <s v="GI00I10200004D FORTALECIMIENTO PEDAGOGICO"/>
    <s v="73 BIENES Y SERVICIOS PARA INVERSIÓN"/>
    <s v="730402 Edificios, Locales, Residencias y Cablea"/>
    <s v="G/730402/1II102"/>
    <s v="001"/>
    <n v="502708.47"/>
    <n v="0"/>
    <n v="0"/>
    <n v="502708.47"/>
    <n v="0"/>
    <n v="0"/>
    <n v="0"/>
    <n v="502708.47"/>
    <n v="502708.47"/>
    <n v="502708.47"/>
  </r>
  <r>
    <s v="73"/>
    <x v="1"/>
    <x v="2"/>
    <s v="OL41I060"/>
    <x v="42"/>
    <s v="I102"/>
    <s v="SISTEMA EDUCATIVO MUNICIPAL"/>
    <s v="GI00I10200004D"/>
    <s v="GI00I10200004D FORTALECIMIENTO PEDAGOGICO"/>
    <s v="73 BIENES Y SERVICIOS PARA INVERSIÓN"/>
    <s v="730404 Maquinarias y Equipos (Instalación, Mant"/>
    <s v="G/730404/1II102"/>
    <s v="001"/>
    <n v="800"/>
    <n v="0"/>
    <n v="0"/>
    <n v="800"/>
    <n v="0"/>
    <n v="0"/>
    <n v="0"/>
    <n v="800"/>
    <n v="800"/>
    <n v="800"/>
  </r>
  <r>
    <s v="73"/>
    <x v="1"/>
    <x v="2"/>
    <s v="CF22I050"/>
    <x v="22"/>
    <s v="I102"/>
    <s v="SISTEMA EDUCATIVO MUNICIPAL"/>
    <s v="GI00I10200004D"/>
    <s v="GI00I10200004D FORTALECIMIENTO PEDAGOGICO"/>
    <s v="73 BIENES Y SERVICIOS PARA INVERSIÓN"/>
    <s v="730606 Honorarios por Contratos Civiles de Servici"/>
    <s v="G/730606/1II102"/>
    <s v="001"/>
    <n v="6000"/>
    <n v="0"/>
    <n v="0"/>
    <n v="6000"/>
    <n v="0"/>
    <n v="0"/>
    <n v="0"/>
    <n v="6000"/>
    <n v="6000"/>
    <n v="6000"/>
  </r>
  <r>
    <s v="73"/>
    <x v="1"/>
    <x v="2"/>
    <s v="MB42I090"/>
    <x v="26"/>
    <s v="I102"/>
    <s v="SISTEMA EDUCATIVO MUNICIPAL"/>
    <s v="GI00I10200004D"/>
    <s v="GI00I10200004D FORTALECIMIENTO PEDAGOGICO"/>
    <s v="73 BIENES Y SERVICIOS PARA INVERSIÓN"/>
    <s v="730612 Capacitación a Servidores Públicos"/>
    <s v="G/730612/1II102"/>
    <s v="001"/>
    <n v="30000"/>
    <n v="0"/>
    <n v="0"/>
    <n v="30000"/>
    <n v="5135"/>
    <n v="0"/>
    <n v="0"/>
    <n v="30000"/>
    <n v="30000"/>
    <n v="24865"/>
  </r>
  <r>
    <s v="73"/>
    <x v="1"/>
    <x v="2"/>
    <s v="CB21I040"/>
    <x v="23"/>
    <s v="I102"/>
    <s v="SISTEMA EDUCATIVO MUNICIPAL"/>
    <s v="GI00I10200004D"/>
    <s v="GI00I10200004D FORTALECIMIENTO PEDAGOGICO"/>
    <s v="73 BIENES Y SERVICIOS PARA INVERSIÓN"/>
    <s v="730612 Capacitación a Servidores Públicos"/>
    <s v="G/730612/1II102"/>
    <s v="001"/>
    <n v="40000"/>
    <n v="0"/>
    <n v="0"/>
    <n v="40000"/>
    <n v="0"/>
    <n v="20000"/>
    <n v="0"/>
    <n v="20000"/>
    <n v="40000"/>
    <n v="20000"/>
  </r>
  <r>
    <s v="73"/>
    <x v="1"/>
    <x v="2"/>
    <s v="JM40I070"/>
    <x v="12"/>
    <s v="I102"/>
    <s v="SISTEMA EDUCATIVO MUNICIPAL"/>
    <s v="GI00I10200004D"/>
    <s v="GI00I10200004D FORTALECIMIENTO PEDAGOGICO"/>
    <s v="73 BIENES Y SERVICIOS PARA INVERSIÓN"/>
    <s v="730612 Capacitación a Servidores Públicos"/>
    <s v="G/730612/1II102"/>
    <s v="001"/>
    <n v="10260"/>
    <n v="0"/>
    <n v="0"/>
    <n v="10260"/>
    <n v="0"/>
    <n v="0"/>
    <n v="0"/>
    <n v="10260"/>
    <n v="10260"/>
    <n v="10260"/>
  </r>
  <r>
    <s v="73"/>
    <x v="1"/>
    <x v="2"/>
    <s v="OL41I060"/>
    <x v="42"/>
    <s v="I102"/>
    <s v="SISTEMA EDUCATIVO MUNICIPAL"/>
    <s v="GI00I10200004D"/>
    <s v="GI00I10200004D FORTALECIMIENTO PEDAGOGICO"/>
    <s v="73 BIENES Y SERVICIOS PARA INVERSIÓN"/>
    <s v="730802 Vestuario, Lencería, Prendas de Protecci"/>
    <s v="G/730802/1II102"/>
    <s v="001"/>
    <n v="6475"/>
    <n v="0"/>
    <n v="0"/>
    <n v="6475"/>
    <n v="0"/>
    <n v="0"/>
    <n v="0"/>
    <n v="6475"/>
    <n v="6475"/>
    <n v="6475"/>
  </r>
  <r>
    <s v="73"/>
    <x v="1"/>
    <x v="2"/>
    <s v="OL41I060"/>
    <x v="42"/>
    <s v="I102"/>
    <s v="SISTEMA EDUCATIVO MUNICIPAL"/>
    <s v="GI00I10200004D"/>
    <s v="GI00I10200004D FORTALECIMIENTO PEDAGOGICO"/>
    <s v="73 BIENES Y SERVICIOS PARA INVERSIÓN"/>
    <s v="730813 Repuestos y Accesorios"/>
    <s v="G/730813/1II102"/>
    <s v="001"/>
    <n v="425"/>
    <n v="0"/>
    <n v="0"/>
    <n v="425"/>
    <n v="0"/>
    <n v="0"/>
    <n v="0"/>
    <n v="425"/>
    <n v="425"/>
    <n v="425"/>
  </r>
  <r>
    <s v="73"/>
    <x v="1"/>
    <x v="2"/>
    <s v="OL41I060"/>
    <x v="42"/>
    <s v="I102"/>
    <s v="SISTEMA EDUCATIVO MUNICIPAL"/>
    <s v="GI00I10200004D"/>
    <s v="GI00I10200004D FORTALECIMIENTO PEDAGOGICO"/>
    <s v="73 BIENES Y SERVICIOS PARA INVERSIÓN"/>
    <s v="731404 Maquinarias y Equipos"/>
    <s v="G/731404/1II102"/>
    <s v="001"/>
    <n v="1260"/>
    <n v="0"/>
    <n v="0"/>
    <n v="1260"/>
    <n v="0"/>
    <n v="0"/>
    <n v="0"/>
    <n v="1260"/>
    <n v="1260"/>
    <n v="1260"/>
  </r>
  <r>
    <s v="73"/>
    <x v="1"/>
    <x v="2"/>
    <s v="CB21I040"/>
    <x v="23"/>
    <s v="I102"/>
    <s v="SISTEMA EDUCATIVO MUNICIPAL"/>
    <s v="GI00I10200004D"/>
    <s v="GI00I10200004D FORTALECIMIENTO PEDAGOGICO"/>
    <s v="73 BIENES Y SERVICIOS PARA INVERSIÓN"/>
    <s v="731409 Libros y Colecciones"/>
    <s v="G/731409/1II102"/>
    <s v="001"/>
    <n v="3000"/>
    <n v="0"/>
    <n v="0"/>
    <n v="3000"/>
    <n v="0"/>
    <n v="0"/>
    <n v="0"/>
    <n v="3000"/>
    <n v="3000"/>
    <n v="3000"/>
  </r>
  <r>
    <s v="73"/>
    <x v="1"/>
    <x v="2"/>
    <s v="ZA01I000"/>
    <x v="5"/>
    <s v="I102"/>
    <s v="SISTEMA EDUCATIVO MUNICIPAL"/>
    <s v="GI00I10200007D"/>
    <s v="GI00I10200007D AMPLIACIÓN DE LA OFERTA DE ATENCIÓN PSIC"/>
    <s v="73 BIENES Y SERVICIOS PARA INVERSIÓN"/>
    <s v="730804 Materiales de Oficina"/>
    <s v="G/730804/1II102"/>
    <s v="001"/>
    <n v="25000"/>
    <n v="0"/>
    <n v="0"/>
    <n v="25000"/>
    <n v="0"/>
    <n v="0"/>
    <n v="0"/>
    <n v="25000"/>
    <n v="25000"/>
    <n v="25000"/>
  </r>
  <r>
    <s v="73"/>
    <x v="1"/>
    <x v="2"/>
    <s v="ZA01I000"/>
    <x v="5"/>
    <s v="I102"/>
    <s v="SISTEMA EDUCATIVO MUNICIPAL"/>
    <s v="GI00I10200007D"/>
    <s v="GI00I10200007D AMPLIACIÓN DE LA OFERTA DE ATENCIÓN PSIC"/>
    <s v="73 BIENES Y SERVICIOS PARA INVERSIÓN"/>
    <s v="730812 Materiales Didácticos"/>
    <s v="G/730812/1II102"/>
    <s v="001"/>
    <n v="30000"/>
    <n v="0"/>
    <n v="0"/>
    <n v="30000"/>
    <n v="0"/>
    <n v="0"/>
    <n v="0"/>
    <n v="30000"/>
    <n v="30000"/>
    <n v="30000"/>
  </r>
  <r>
    <s v="73"/>
    <x v="1"/>
    <x v="2"/>
    <s v="ZA01I000"/>
    <x v="5"/>
    <s v="I102"/>
    <s v="SISTEMA EDUCATIVO MUNICIPAL"/>
    <s v="GI00I10200008D"/>
    <s v="GI00I10200008D AMPLIACIÓN DE LA OFERTA EDUCATIVA VIRTUA"/>
    <s v="73 BIENES Y SERVICIOS PARA INVERSIÓN"/>
    <s v="730204 Edición, Impresión, Reproducción, Public"/>
    <s v="G/730204/1II102"/>
    <s v="001"/>
    <n v="5000"/>
    <n v="0"/>
    <n v="0"/>
    <n v="5000"/>
    <n v="0"/>
    <n v="0"/>
    <n v="0"/>
    <n v="5000"/>
    <n v="5000"/>
    <n v="5000"/>
  </r>
  <r>
    <s v="73"/>
    <x v="1"/>
    <x v="2"/>
    <s v="ZA01I000"/>
    <x v="5"/>
    <s v="I102"/>
    <s v="SISTEMA EDUCATIVO MUNICIPAL"/>
    <s v="GI00I10200008D"/>
    <s v="GI00I10200008D AMPLIACIÓN DE LA OFERTA EDUCATIVA VIRTUA"/>
    <s v="73 BIENES Y SERVICIOS PARA INVERSIÓN"/>
    <s v="730205 Espectáculos Culturales y Sociales"/>
    <s v="G/730205/1II102"/>
    <s v="001"/>
    <n v="16000"/>
    <n v="0"/>
    <n v="0"/>
    <n v="16000"/>
    <n v="0"/>
    <n v="0"/>
    <n v="0"/>
    <n v="16000"/>
    <n v="16000"/>
    <n v="16000"/>
  </r>
  <r>
    <s v="73"/>
    <x v="1"/>
    <x v="2"/>
    <s v="ZA01I000"/>
    <x v="5"/>
    <s v="I102"/>
    <s v="SISTEMA EDUCATIVO MUNICIPAL"/>
    <s v="GI00I10200008D"/>
    <s v="GI00I10200008D AMPLIACIÓN DE LA OFERTA EDUCATIVA VIRTUA"/>
    <s v="73 BIENES Y SERVICIOS PARA INVERSIÓN"/>
    <s v="730207 Difusión, Información y Publicidad"/>
    <s v="G/730207/1II102"/>
    <s v="001"/>
    <n v="10000"/>
    <n v="0"/>
    <n v="0"/>
    <n v="10000"/>
    <n v="0"/>
    <n v="0"/>
    <n v="0"/>
    <n v="10000"/>
    <n v="10000"/>
    <n v="10000"/>
  </r>
  <r>
    <s v="73"/>
    <x v="1"/>
    <x v="2"/>
    <s v="ZA01I000"/>
    <x v="5"/>
    <s v="I102"/>
    <s v="SISTEMA EDUCATIVO MUNICIPAL"/>
    <s v="GI00I10200008D"/>
    <s v="GI00I10200008D AMPLIACIÓN DE LA OFERTA EDUCATIVA VIRTUA"/>
    <s v="73 BIENES Y SERVICIOS PARA INVERSIÓN"/>
    <s v="730606 Honorarios por Contratos Civiles de Servici"/>
    <s v="G/730606/1II102"/>
    <s v="001"/>
    <n v="1430013.75"/>
    <n v="-400000"/>
    <n v="0"/>
    <n v="1030013.75"/>
    <n v="0"/>
    <n v="0"/>
    <n v="0"/>
    <n v="1030013.75"/>
    <n v="1030013.75"/>
    <n v="1030013.75"/>
  </r>
  <r>
    <s v="73"/>
    <x v="1"/>
    <x v="2"/>
    <s v="ZA01I000"/>
    <x v="5"/>
    <s v="I102"/>
    <s v="SISTEMA EDUCATIVO MUNICIPAL"/>
    <s v="GI00I10200008D"/>
    <s v="GI00I10200008D AMPLIACIÓN DE LA OFERTA EDUCATIVA VIRTUA"/>
    <s v="73 BIENES Y SERVICIOS PARA INVERSIÓN"/>
    <s v="730612 Capacitación a Servidores Públicos"/>
    <s v="G/730612/1II102"/>
    <s v="001"/>
    <n v="21000"/>
    <n v="0"/>
    <n v="0"/>
    <n v="21000"/>
    <n v="0"/>
    <n v="0"/>
    <n v="0"/>
    <n v="21000"/>
    <n v="21000"/>
    <n v="21000"/>
  </r>
  <r>
    <s v="73"/>
    <x v="1"/>
    <x v="2"/>
    <s v="ZA01I000"/>
    <x v="5"/>
    <s v="I102"/>
    <s v="SISTEMA EDUCATIVO MUNICIPAL"/>
    <s v="GI00I10200008D"/>
    <s v="GI00I10200008D AMPLIACIÓN DE LA OFERTA EDUCATIVA VIRTUA"/>
    <s v="73 BIENES Y SERVICIOS PARA INVERSIÓN"/>
    <s v="730701 Desarrollo, Actualización, Asistencia Té"/>
    <s v="G/730701/1II102"/>
    <s v="001"/>
    <n v="176986.25"/>
    <n v="0"/>
    <n v="0"/>
    <n v="176986.25"/>
    <n v="0"/>
    <n v="0"/>
    <n v="0"/>
    <n v="176986.25"/>
    <n v="176986.25"/>
    <n v="176986.25"/>
  </r>
  <r>
    <s v="73"/>
    <x v="1"/>
    <x v="2"/>
    <s v="ZA01I000"/>
    <x v="5"/>
    <s v="I102"/>
    <s v="SISTEMA EDUCATIVO MUNICIPAL"/>
    <s v="GI00I10200008D"/>
    <s v="GI00I10200008D AMPLIACIÓN DE LA OFERTA EDUCATIVA VIRTUA"/>
    <s v="73 BIENES Y SERVICIOS PARA INVERSIÓN"/>
    <s v="730802 Vestuario, Lencería, Prendas de Protecci"/>
    <s v="G/730802/1II102"/>
    <s v="001"/>
    <n v="16500"/>
    <n v="0"/>
    <n v="0"/>
    <n v="16500"/>
    <n v="0"/>
    <n v="0"/>
    <n v="0"/>
    <n v="16500"/>
    <n v="16500"/>
    <n v="16500"/>
  </r>
  <r>
    <s v="73"/>
    <x v="1"/>
    <x v="2"/>
    <s v="ZA01I000"/>
    <x v="5"/>
    <s v="I102"/>
    <s v="SISTEMA EDUCATIVO MUNICIPAL"/>
    <s v="GI00I10200008D"/>
    <s v="GI00I10200008D AMPLIACIÓN DE LA OFERTA EDUCATIVA VIRTUA"/>
    <s v="73 BIENES Y SERVICIOS PARA INVERSIÓN"/>
    <s v="730804 Materiales de Oficina"/>
    <s v="G/730804/1II102"/>
    <s v="001"/>
    <n v="14000"/>
    <n v="0"/>
    <n v="0"/>
    <n v="14000"/>
    <n v="0"/>
    <n v="0"/>
    <n v="0"/>
    <n v="14000"/>
    <n v="14000"/>
    <n v="14000"/>
  </r>
  <r>
    <s v="73"/>
    <x v="1"/>
    <x v="2"/>
    <s v="ZA01I000"/>
    <x v="5"/>
    <s v="I102"/>
    <s v="SISTEMA EDUCATIVO MUNICIPAL"/>
    <s v="GI00I10200008D"/>
    <s v="GI00I10200008D AMPLIACIÓN DE LA OFERTA EDUCATIVA VIRTUA"/>
    <s v="73 BIENES Y SERVICIOS PARA INVERSIÓN"/>
    <s v="731407 Equipos, Sistemas y Paquetes Informáticos"/>
    <s v="G/731407/1II102"/>
    <s v="001"/>
    <n v="18500"/>
    <n v="0"/>
    <n v="0"/>
    <n v="18500"/>
    <n v="0"/>
    <n v="0"/>
    <n v="0"/>
    <n v="18500"/>
    <n v="18500"/>
    <n v="18500"/>
  </r>
  <r>
    <s v="73"/>
    <x v="1"/>
    <x v="2"/>
    <s v="ZA01I000"/>
    <x v="5"/>
    <s v="I102"/>
    <s v="SISTEMA EDUCATIVO MUNICIPAL"/>
    <s v="GI00I10200009D"/>
    <s v="GI00I10200009D EDUCACIÓN EXTRAORDINARIA PRESENCIAL Y SE"/>
    <s v="73 BIENES Y SERVICIOS PARA INVERSIÓN"/>
    <s v="730205 Espectáculos Culturales y Sociales"/>
    <s v="G/730205/1II102"/>
    <s v="001"/>
    <n v="15000"/>
    <n v="0"/>
    <n v="0"/>
    <n v="15000"/>
    <n v="0"/>
    <n v="0"/>
    <n v="0"/>
    <n v="15000"/>
    <n v="15000"/>
    <n v="15000"/>
  </r>
  <r>
    <s v="73"/>
    <x v="1"/>
    <x v="2"/>
    <s v="ZA01I000"/>
    <x v="5"/>
    <s v="I102"/>
    <s v="SISTEMA EDUCATIVO MUNICIPAL"/>
    <s v="GI00I10200009D"/>
    <s v="GI00I10200009D EDUCACIÓN EXTRAORDINARIA PRESENCIAL Y SE"/>
    <s v="73 BIENES Y SERVICIOS PARA INVERSIÓN"/>
    <s v="730207 Difusión, Información y Publicidad"/>
    <s v="G/730207/1II102"/>
    <s v="001"/>
    <n v="10000"/>
    <n v="0"/>
    <n v="0"/>
    <n v="10000"/>
    <n v="0"/>
    <n v="0"/>
    <n v="0"/>
    <n v="10000"/>
    <n v="10000"/>
    <n v="10000"/>
  </r>
  <r>
    <s v="73"/>
    <x v="1"/>
    <x v="2"/>
    <s v="ZA01I000"/>
    <x v="5"/>
    <s v="I102"/>
    <s v="SISTEMA EDUCATIVO MUNICIPAL"/>
    <s v="GI00I10200009D"/>
    <s v="GI00I10200009D EDUCACIÓN EXTRAORDINARIA PRESENCIAL Y SE"/>
    <s v="73 BIENES Y SERVICIOS PARA INVERSIÓN"/>
    <s v="730613 Capacitación para la Ciudadanía en Gener"/>
    <s v="G/730613/1II102"/>
    <s v="001"/>
    <n v="8600"/>
    <n v="0"/>
    <n v="0"/>
    <n v="8600"/>
    <n v="0"/>
    <n v="0"/>
    <n v="0"/>
    <n v="8600"/>
    <n v="8600"/>
    <n v="8600"/>
  </r>
  <r>
    <s v="73"/>
    <x v="1"/>
    <x v="2"/>
    <s v="ZA01I000"/>
    <x v="5"/>
    <s v="I102"/>
    <s v="SISTEMA EDUCATIVO MUNICIPAL"/>
    <s v="GI00I10200009D"/>
    <s v="GI00I10200009D EDUCACIÓN EXTRAORDINARIA PRESENCIAL Y SE"/>
    <s v="73 BIENES Y SERVICIOS PARA INVERSIÓN"/>
    <s v="730802 Vestuario, Lencería, Prendas de Protecci"/>
    <s v="G/730802/1II102"/>
    <s v="001"/>
    <n v="86800"/>
    <n v="0"/>
    <n v="0"/>
    <n v="86800"/>
    <n v="0"/>
    <n v="0"/>
    <n v="0"/>
    <n v="86800"/>
    <n v="86800"/>
    <n v="86800"/>
  </r>
  <r>
    <s v="73"/>
    <x v="1"/>
    <x v="2"/>
    <s v="ZA01I000"/>
    <x v="5"/>
    <s v="I102"/>
    <s v="SISTEMA EDUCATIVO MUNICIPAL"/>
    <s v="GI00I10200009D"/>
    <s v="GI00I10200009D EDUCACIÓN EXTRAORDINARIA PRESENCIAL Y SE"/>
    <s v="73 BIENES Y SERVICIOS PARA INVERSIÓN"/>
    <s v="730804 Materiales de Oficina"/>
    <s v="G/730804/1II102"/>
    <s v="001"/>
    <n v="23360"/>
    <n v="0"/>
    <n v="0"/>
    <n v="23360"/>
    <n v="0"/>
    <n v="0"/>
    <n v="0"/>
    <n v="23360"/>
    <n v="23360"/>
    <n v="23360"/>
  </r>
  <r>
    <s v="73"/>
    <x v="1"/>
    <x v="2"/>
    <s v="ZA01I000"/>
    <x v="5"/>
    <s v="I102"/>
    <s v="SISTEMA EDUCATIVO MUNICIPAL"/>
    <s v="GI00I10200009D"/>
    <s v="GI00I10200009D EDUCACIÓN EXTRAORDINARIA PRESENCIAL Y SE"/>
    <s v="73 BIENES Y SERVICIOS PARA INVERSIÓN"/>
    <s v="730807 Materiales de Impresión, Fotografía, Rep"/>
    <s v="G/730807/1II102"/>
    <s v="001"/>
    <n v="2000"/>
    <n v="0"/>
    <n v="0"/>
    <n v="2000"/>
    <n v="0"/>
    <n v="0"/>
    <n v="0"/>
    <n v="2000"/>
    <n v="2000"/>
    <n v="2000"/>
  </r>
  <r>
    <s v="73"/>
    <x v="1"/>
    <x v="2"/>
    <s v="ZA01I000"/>
    <x v="5"/>
    <s v="I102"/>
    <s v="SISTEMA EDUCATIVO MUNICIPAL"/>
    <s v="GI00I10200009D"/>
    <s v="GI00I10200009D EDUCACIÓN EXTRAORDINARIA PRESENCIAL Y SE"/>
    <s v="73 BIENES Y SERVICIOS PARA INVERSIÓN"/>
    <s v="730812 Materiales Didácticos"/>
    <s v="G/730812/1II102"/>
    <s v="001"/>
    <n v="7000"/>
    <n v="0"/>
    <n v="0"/>
    <n v="7000"/>
    <n v="0"/>
    <n v="0"/>
    <n v="0"/>
    <n v="7000"/>
    <n v="7000"/>
    <n v="7000"/>
  </r>
  <r>
    <s v="73"/>
    <x v="1"/>
    <x v="2"/>
    <s v="ZA01I000"/>
    <x v="5"/>
    <s v="I102"/>
    <s v="SISTEMA EDUCATIVO MUNICIPAL"/>
    <s v="GI00I10200010D"/>
    <s v="GI00I10200010D FORTALECIMIENTO DE LA CALIDAD DEL SERVIC"/>
    <s v="73 BIENES Y SERVICIOS PARA INVERSIÓN"/>
    <s v="730105 Telecomunicaciones"/>
    <s v="G/730105/1II102"/>
    <s v="001"/>
    <n v="1000"/>
    <n v="0"/>
    <n v="0"/>
    <n v="1000"/>
    <n v="0"/>
    <n v="0"/>
    <n v="0"/>
    <n v="1000"/>
    <n v="1000"/>
    <n v="1000"/>
  </r>
  <r>
    <s v="73"/>
    <x v="1"/>
    <x v="2"/>
    <s v="ZA01I000"/>
    <x v="5"/>
    <s v="I102"/>
    <s v="SISTEMA EDUCATIVO MUNICIPAL"/>
    <s v="GI00I10200010D"/>
    <s v="GI00I10200010D FORTALECIMIENTO DE LA CALIDAD DEL SERVIC"/>
    <s v="73 BIENES Y SERVICIOS PARA INVERSIÓN"/>
    <s v="730204 Edición, Impresión, Reproducción, Public"/>
    <s v="G/730204/1II102"/>
    <s v="001"/>
    <n v="206770.83"/>
    <n v="0"/>
    <n v="0"/>
    <n v="206770.83"/>
    <n v="0"/>
    <n v="0"/>
    <n v="0"/>
    <n v="206770.83"/>
    <n v="206770.83"/>
    <n v="206770.83"/>
  </r>
  <r>
    <s v="73"/>
    <x v="1"/>
    <x v="2"/>
    <s v="ZA01I000"/>
    <x v="5"/>
    <s v="I102"/>
    <s v="SISTEMA EDUCATIVO MUNICIPAL"/>
    <s v="GI00I10200010D"/>
    <s v="GI00I10200010D FORTALECIMIENTO DE LA CALIDAD DEL SERVIC"/>
    <s v="73 BIENES Y SERVICIOS PARA INVERSIÓN"/>
    <s v="730205 Espectáculos Culturales y Sociales"/>
    <s v="G/730205/1II102"/>
    <s v="001"/>
    <n v="186500"/>
    <n v="0"/>
    <n v="0"/>
    <n v="186500"/>
    <n v="0"/>
    <n v="0"/>
    <n v="0"/>
    <n v="186500"/>
    <n v="186500"/>
    <n v="186500"/>
  </r>
  <r>
    <s v="73"/>
    <x v="1"/>
    <x v="2"/>
    <s v="ZA01I000"/>
    <x v="5"/>
    <s v="I102"/>
    <s v="SISTEMA EDUCATIVO MUNICIPAL"/>
    <s v="GI00I10200010D"/>
    <s v="GI00I10200010D FORTALECIMIENTO DE LA CALIDAD DEL SERVIC"/>
    <s v="73 BIENES Y SERVICIOS PARA INVERSIÓN"/>
    <s v="730402 Edificios, Locales, Residencias y Cablea"/>
    <s v="G/730402/1II102"/>
    <s v="001"/>
    <n v="374273.69"/>
    <n v="0"/>
    <n v="0"/>
    <n v="374273.69"/>
    <n v="0"/>
    <n v="0"/>
    <n v="0"/>
    <n v="374273.69"/>
    <n v="374273.69"/>
    <n v="374273.69"/>
  </r>
  <r>
    <s v="73"/>
    <x v="1"/>
    <x v="2"/>
    <s v="ZA01I000"/>
    <x v="5"/>
    <s v="I102"/>
    <s v="SISTEMA EDUCATIVO MUNICIPAL"/>
    <s v="GI00I10200010D"/>
    <s v="GI00I10200010D FORTALECIMIENTO DE LA CALIDAD DEL SERVIC"/>
    <s v="73 BIENES Y SERVICIOS PARA INVERSIÓN"/>
    <s v="730609 Investigaciones Profesionales y Análisis de"/>
    <s v="G/730609/1II102"/>
    <s v="001"/>
    <n v="150000"/>
    <n v="0"/>
    <n v="0"/>
    <n v="150000"/>
    <n v="0"/>
    <n v="0"/>
    <n v="0"/>
    <n v="150000"/>
    <n v="150000"/>
    <n v="150000"/>
  </r>
  <r>
    <s v="73"/>
    <x v="1"/>
    <x v="2"/>
    <s v="ZA01I000"/>
    <x v="5"/>
    <s v="I102"/>
    <s v="SISTEMA EDUCATIVO MUNICIPAL"/>
    <s v="GI00I10200010D"/>
    <s v="GI00I10200010D FORTALECIMIENTO DE LA CALIDAD DEL SERVIC"/>
    <s v="73 BIENES Y SERVICIOS PARA INVERSIÓN"/>
    <s v="730612 Capacitación a Servidores Públicos"/>
    <s v="G/730612/1II102"/>
    <s v="001"/>
    <n v="584209.28"/>
    <n v="-15000"/>
    <n v="0"/>
    <n v="569209.28"/>
    <n v="0"/>
    <n v="0"/>
    <n v="0"/>
    <n v="569209.28"/>
    <n v="569209.28"/>
    <n v="569209.28"/>
  </r>
  <r>
    <s v="73"/>
    <x v="1"/>
    <x v="2"/>
    <s v="ZA01I000"/>
    <x v="5"/>
    <s v="I102"/>
    <s v="SISTEMA EDUCATIVO MUNICIPAL"/>
    <s v="GI00I10200010D"/>
    <s v="GI00I10200010D FORTALECIMIENTO DE LA CALIDAD DEL SERVIC"/>
    <s v="73 BIENES Y SERVICIOS PARA INVERSIÓN"/>
    <s v="730701 Desarrollo, Actualización, Asistencia Té"/>
    <s v="G/730701/1II102"/>
    <s v="001"/>
    <n v="300000"/>
    <n v="0"/>
    <n v="0"/>
    <n v="300000"/>
    <n v="0"/>
    <n v="0"/>
    <n v="0"/>
    <n v="300000"/>
    <n v="300000"/>
    <n v="300000"/>
  </r>
  <r>
    <s v="73"/>
    <x v="1"/>
    <x v="2"/>
    <s v="ZA01I000"/>
    <x v="5"/>
    <s v="I102"/>
    <s v="SISTEMA EDUCATIVO MUNICIPAL"/>
    <s v="GI00I10200010D"/>
    <s v="GI00I10200010D FORTALECIMIENTO DE LA CALIDAD DEL SERVIC"/>
    <s v="73 BIENES Y SERVICIOS PARA INVERSIÓN"/>
    <s v="730704 Mantenimiento y Reparación de Equipos y"/>
    <s v="G/730704/1II102"/>
    <s v="001"/>
    <n v="127680"/>
    <n v="0"/>
    <n v="0"/>
    <n v="127680"/>
    <n v="0"/>
    <n v="0"/>
    <n v="0"/>
    <n v="127680"/>
    <n v="127680"/>
    <n v="127680"/>
  </r>
  <r>
    <s v="73"/>
    <x v="1"/>
    <x v="2"/>
    <s v="ZA01I000"/>
    <x v="5"/>
    <s v="I102"/>
    <s v="SISTEMA EDUCATIVO MUNICIPAL"/>
    <s v="GI00I10200010D"/>
    <s v="GI00I10200010D FORTALECIMIENTO DE LA CALIDAD DEL SERVIC"/>
    <s v="73 BIENES Y SERVICIOS PARA INVERSIÓN"/>
    <s v="730812 Materiales Didácticos"/>
    <s v="G/730812/1II102"/>
    <s v="001"/>
    <n v="463565.65"/>
    <n v="0"/>
    <n v="0"/>
    <n v="463565.65"/>
    <n v="0"/>
    <n v="0"/>
    <n v="0"/>
    <n v="463565.65"/>
    <n v="463565.65"/>
    <n v="463565.65"/>
  </r>
  <r>
    <s v="73"/>
    <x v="1"/>
    <x v="2"/>
    <s v="ZA01I000"/>
    <x v="5"/>
    <s v="I102"/>
    <s v="SISTEMA EDUCATIVO MUNICIPAL"/>
    <s v="GI00I10200010D"/>
    <s v="GI00I10200010D FORTALECIMIENTO DE LA CALIDAD DEL SERVIC"/>
    <s v="73 BIENES Y SERVICIOS PARA INVERSIÓN"/>
    <s v="731408 Bienes Artísticos, Culturales, Bienes De"/>
    <s v="G/731408/1II102"/>
    <s v="001"/>
    <n v="3240"/>
    <n v="0"/>
    <n v="0"/>
    <n v="3240"/>
    <n v="0"/>
    <n v="0"/>
    <n v="0"/>
    <n v="3240"/>
    <n v="3240"/>
    <n v="3240"/>
  </r>
  <r>
    <s v="73"/>
    <x v="1"/>
    <x v="2"/>
    <s v="ZA01I000"/>
    <x v="5"/>
    <s v="I102"/>
    <s v="SISTEMA EDUCATIVO MUNICIPAL"/>
    <s v="GI00I10200012D"/>
    <s v="GI00I10200012D REPOTENCIACIÓN DE LA INFRAESTRUCTURA EDU"/>
    <s v="73 BIENES Y SERVICIOS PARA INVERSIÓN"/>
    <s v="730402 Edificios, Locales, Residencias y Cablea"/>
    <s v="G/730402/1II102"/>
    <s v="001"/>
    <n v="1308464.8400000001"/>
    <n v="0"/>
    <n v="0"/>
    <n v="1308464.8400000001"/>
    <n v="0"/>
    <n v="0"/>
    <n v="0"/>
    <n v="1308464.8400000001"/>
    <n v="1308464.8400000001"/>
    <n v="1308464.8400000001"/>
  </r>
  <r>
    <s v="73"/>
    <x v="1"/>
    <x v="2"/>
    <s v="ZA01I000"/>
    <x v="5"/>
    <s v="I102"/>
    <s v="SISTEMA EDUCATIVO MUNICIPAL"/>
    <s v="GI00I10200012D"/>
    <s v="GI00I10200012D REPOTENCIACIÓN DE LA INFRAESTRUCTURA EDU"/>
    <s v="73 BIENES Y SERVICIOS PARA INVERSIÓN"/>
    <s v="730605 Estudio y Diseño de Proyectos"/>
    <s v="G/730605/1II102"/>
    <s v="001"/>
    <n v="471065.16"/>
    <n v="0"/>
    <n v="0"/>
    <n v="471065.16"/>
    <n v="0"/>
    <n v="15726.51"/>
    <n v="15726.51"/>
    <n v="455338.65"/>
    <n v="455338.65"/>
    <n v="455338.65"/>
  </r>
  <r>
    <s v="73"/>
    <x v="1"/>
    <x v="2"/>
    <s v="ZA01I000"/>
    <x v="5"/>
    <s v="I102"/>
    <s v="SISTEMA EDUCATIVO MUNICIPAL"/>
    <s v="GI00I10200012D"/>
    <s v="GI00I10200012D REPOTENCIACIÓN DE LA INFRAESTRUCTURA EDU"/>
    <s v="73 BIENES Y SERVICIOS PARA INVERSIÓN"/>
    <s v="730606 Honorarios por Contratos Civiles de Servici"/>
    <s v="G/730606/1II102"/>
    <s v="001"/>
    <n v="150000"/>
    <n v="0"/>
    <n v="0"/>
    <n v="150000"/>
    <n v="0"/>
    <n v="0"/>
    <n v="0"/>
    <n v="150000"/>
    <n v="150000"/>
    <n v="150000"/>
  </r>
  <r>
    <s v="73"/>
    <x v="1"/>
    <x v="2"/>
    <s v="ZA01I000"/>
    <x v="5"/>
    <s v="I102"/>
    <s v="SISTEMA EDUCATIVO MUNICIPAL"/>
    <s v="GI00I10200012D"/>
    <s v="GI00I10200012D REPOTENCIACIÓN DE LA INFRAESTRUCTURA EDU"/>
    <s v="73 BIENES Y SERVICIOS PARA INVERSIÓN"/>
    <s v="730702 Arrendamiento y Licencias de Uso de Paquete"/>
    <s v="G/730702/1II102"/>
    <s v="001"/>
    <n v="8500"/>
    <n v="0"/>
    <n v="0"/>
    <n v="8500"/>
    <n v="0"/>
    <n v="0"/>
    <n v="0"/>
    <n v="8500"/>
    <n v="8500"/>
    <n v="8500"/>
  </r>
  <r>
    <s v="73"/>
    <x v="1"/>
    <x v="2"/>
    <s v="ZA01I000"/>
    <x v="5"/>
    <s v="I102"/>
    <s v="SISTEMA EDUCATIVO MUNICIPAL"/>
    <s v="GI00I10200013D"/>
    <s v="GI00I10200013D MODELO  PSICOPEDAGÓGICO  INTEGRAL PARA I"/>
    <s v="73 BIENES Y SERVICIOS PARA INVERSIÓN"/>
    <s v="730201 Transporte de Personal"/>
    <s v="G/730201/1II102"/>
    <s v="001"/>
    <n v="5000"/>
    <n v="0"/>
    <n v="0"/>
    <n v="5000"/>
    <n v="0"/>
    <n v="0"/>
    <n v="0"/>
    <n v="5000"/>
    <n v="5000"/>
    <n v="5000"/>
  </r>
  <r>
    <s v="73"/>
    <x v="1"/>
    <x v="2"/>
    <s v="ZA01I000"/>
    <x v="5"/>
    <s v="I102"/>
    <s v="SISTEMA EDUCATIVO MUNICIPAL"/>
    <s v="GI00I10200013D"/>
    <s v="GI00I10200013D MODELO  PSICOPEDAGÓGICO  INTEGRAL PARA I"/>
    <s v="73 BIENES Y SERVICIOS PARA INVERSIÓN"/>
    <s v="730613 Capacitación para la Ciudadanía en Gener"/>
    <s v="G/730613/1II102"/>
    <s v="001"/>
    <n v="10000"/>
    <n v="0"/>
    <n v="0"/>
    <n v="10000"/>
    <n v="0"/>
    <n v="0"/>
    <n v="0"/>
    <n v="10000"/>
    <n v="10000"/>
    <n v="10000"/>
  </r>
  <r>
    <s v="73"/>
    <x v="1"/>
    <x v="2"/>
    <s v="ZA01I000"/>
    <x v="5"/>
    <s v="I102"/>
    <s v="SISTEMA EDUCATIVO MUNICIPAL"/>
    <s v="GI00I10200013D"/>
    <s v="GI00I10200013D MODELO  PSICOPEDAGÓGICO  INTEGRAL PARA I"/>
    <s v="73 BIENES Y SERVICIOS PARA INVERSIÓN"/>
    <s v="730812 Materiales Didácticos"/>
    <s v="G/730812/1II102"/>
    <s v="001"/>
    <n v="20000"/>
    <n v="0"/>
    <n v="0"/>
    <n v="20000"/>
    <n v="0"/>
    <n v="0"/>
    <n v="0"/>
    <n v="20000"/>
    <n v="20000"/>
    <n v="20000"/>
  </r>
  <r>
    <s v="73"/>
    <x v="1"/>
    <x v="3"/>
    <s v="ZA01M000"/>
    <x v="6"/>
    <s v="J102"/>
    <s v="POLÍTICA SOCIAL INTEGRAL"/>
    <s v="GI00J10200001D"/>
    <s v="GI00J10200001D POLÍTICAS  PÚBLICAS  DE SALUD EN EL DMQ"/>
    <s v="73 BIENES Y SERVICIOS PARA INVERSIÓN"/>
    <s v="730248 Eventos Oficiales"/>
    <s v="G/730248/1MJ102"/>
    <s v="001"/>
    <n v="3500"/>
    <n v="-3500"/>
    <n v="0"/>
    <n v="0"/>
    <n v="0"/>
    <n v="0"/>
    <n v="0"/>
    <n v="0"/>
    <n v="0"/>
    <n v="0"/>
  </r>
  <r>
    <s v="73"/>
    <x v="1"/>
    <x v="3"/>
    <s v="ZA01M000"/>
    <x v="6"/>
    <s v="J102"/>
    <s v="POLÍTICA SOCIAL INTEGRAL"/>
    <s v="GI00J10200001D"/>
    <s v="GI00J10200001D POLÍTICAS  PÚBLICAS  DE SALUD EN EL DMQ"/>
    <s v="73 BIENES Y SERVICIOS PARA INVERSIÓN"/>
    <s v="730249 Eventos Públicos Promocionales"/>
    <s v="G/730249/1MJ102"/>
    <s v="001"/>
    <n v="3500"/>
    <n v="-3500"/>
    <n v="0"/>
    <n v="0"/>
    <n v="0"/>
    <n v="0"/>
    <n v="0"/>
    <n v="0"/>
    <n v="0"/>
    <n v="0"/>
  </r>
  <r>
    <s v="73"/>
    <x v="1"/>
    <x v="3"/>
    <s v="ZA01M000"/>
    <x v="6"/>
    <s v="J102"/>
    <s v="POLÍTICA SOCIAL INTEGRAL"/>
    <s v="GI00J10200001D"/>
    <s v="GI00J10200001D POLÍTICAS  PÚBLICAS  DE SALUD EN EL DMQ"/>
    <s v="73 BIENES Y SERVICIOS PARA INVERSIÓN"/>
    <s v="730605 Estudio y Diseño de Proyectos"/>
    <s v="G/730605/1MJ102"/>
    <s v="001"/>
    <n v="65000"/>
    <n v="-65000"/>
    <n v="0"/>
    <n v="0"/>
    <n v="0"/>
    <n v="0"/>
    <n v="0"/>
    <n v="0"/>
    <n v="0"/>
    <n v="0"/>
  </r>
  <r>
    <s v="73"/>
    <x v="1"/>
    <x v="4"/>
    <s v="ZA01J000"/>
    <x v="9"/>
    <s v="J103"/>
    <s v="PROMOCIÓN Y PROTECCIÓN DE DERECHOS"/>
    <s v="GI00J10300001D"/>
    <s v="GI00J10300001D GARANTÍA DE PROTECCIÓN DE DERECHOS"/>
    <s v="73 BIENES Y SERVICIOS PARA INVERSIÓN"/>
    <s v="730205 Espectáculos Culturales y Sociales"/>
    <s v="G/730205/1JJ103"/>
    <s v="001"/>
    <n v="7000"/>
    <n v="0"/>
    <n v="0"/>
    <n v="7000"/>
    <n v="0"/>
    <n v="0"/>
    <n v="0"/>
    <n v="7000"/>
    <n v="7000"/>
    <n v="7000"/>
  </r>
  <r>
    <s v="73"/>
    <x v="1"/>
    <x v="4"/>
    <s v="ZA01J000"/>
    <x v="9"/>
    <s v="J103"/>
    <s v="PROMOCIÓN Y PROTECCIÓN DE DERECHOS"/>
    <s v="GI00J10300001D"/>
    <s v="GI00J10300001D GARANTÍA DE PROTECCIÓN DE DERECHOS"/>
    <s v="73 BIENES Y SERVICIOS PARA INVERSIÓN"/>
    <s v="730235 Servicio de Alimentación"/>
    <s v="G/730235/1JJ103"/>
    <s v="001"/>
    <n v="172000"/>
    <n v="0"/>
    <n v="0"/>
    <n v="172000"/>
    <n v="0"/>
    <n v="0"/>
    <n v="0"/>
    <n v="172000"/>
    <n v="172000"/>
    <n v="172000"/>
  </r>
  <r>
    <s v="73"/>
    <x v="1"/>
    <x v="4"/>
    <s v="ZA01J000"/>
    <x v="9"/>
    <s v="J103"/>
    <s v="PROMOCIÓN Y PROTECCIÓN DE DERECHOS"/>
    <s v="GI00J10300001D"/>
    <s v="GI00J10300001D GARANTÍA DE PROTECCIÓN DE DERECHOS"/>
    <s v="73 BIENES Y SERVICIOS PARA INVERSIÓN"/>
    <s v="730402 Edificios, Locales, Residencias y Cablea"/>
    <s v="G/730402/1JJ103"/>
    <s v="001"/>
    <n v="2500"/>
    <n v="0"/>
    <n v="0"/>
    <n v="2500"/>
    <n v="0"/>
    <n v="0"/>
    <n v="0"/>
    <n v="2500"/>
    <n v="2500"/>
    <n v="2500"/>
  </r>
  <r>
    <s v="73"/>
    <x v="1"/>
    <x v="4"/>
    <s v="ZA01J000"/>
    <x v="9"/>
    <s v="J103"/>
    <s v="PROMOCIÓN Y PROTECCIÓN DE DERECHOS"/>
    <s v="GI00J10300001D"/>
    <s v="GI00J10300001D GARANTÍA DE PROTECCIÓN DE DERECHOS"/>
    <s v="73 BIENES Y SERVICIOS PARA INVERSIÓN"/>
    <s v="730606 Honorarios por Contratos Civiles de Servici"/>
    <s v="G/730606/1JJ103"/>
    <s v="001"/>
    <n v="30000"/>
    <n v="0"/>
    <n v="0"/>
    <n v="30000"/>
    <n v="0"/>
    <n v="0"/>
    <n v="0"/>
    <n v="30000"/>
    <n v="30000"/>
    <n v="30000"/>
  </r>
  <r>
    <s v="73"/>
    <x v="1"/>
    <x v="4"/>
    <s v="ZA01J000"/>
    <x v="9"/>
    <s v="J103"/>
    <s v="PROMOCIÓN Y PROTECCIÓN DE DERECHOS"/>
    <s v="GI00J10300001D"/>
    <s v="GI00J10300001D GARANTÍA DE PROTECCIÓN DE DERECHOS"/>
    <s v="73 BIENES Y SERVICIOS PARA INVERSIÓN"/>
    <s v="730613 Capacitación para la Ciudadanía en Gener"/>
    <s v="G/730613/1JJ103"/>
    <s v="001"/>
    <n v="8000"/>
    <n v="0"/>
    <n v="0"/>
    <n v="8000"/>
    <n v="0"/>
    <n v="1097.5999999999999"/>
    <n v="1097.5999999999999"/>
    <n v="6902.4"/>
    <n v="6902.4"/>
    <n v="6902.4"/>
  </r>
  <r>
    <s v="73"/>
    <x v="1"/>
    <x v="4"/>
    <s v="ZA01J000"/>
    <x v="9"/>
    <s v="J103"/>
    <s v="PROMOCIÓN Y PROTECCIÓN DE DERECHOS"/>
    <s v="GI00J10300001D"/>
    <s v="GI00J10300001D GARANTÍA DE PROTECCIÓN DE DERECHOS"/>
    <s v="73 BIENES Y SERVICIOS PARA INVERSIÓN"/>
    <s v="730820 Menaje y Accesorios Descartables"/>
    <s v="G/730820/1JJ103"/>
    <s v="001"/>
    <n v="4000"/>
    <n v="0"/>
    <n v="0"/>
    <n v="4000"/>
    <n v="0"/>
    <n v="0"/>
    <n v="0"/>
    <n v="4000"/>
    <n v="4000"/>
    <n v="4000"/>
  </r>
  <r>
    <s v="73"/>
    <x v="1"/>
    <x v="4"/>
    <s v="ZA01J000"/>
    <x v="9"/>
    <s v="J103"/>
    <s v="PROMOCIÓN Y PROTECCIÓN DE DERECHOS"/>
    <s v="GI00J10300001D"/>
    <s v="GI00J10300001D GARANTÍA DE PROTECCIÓN DE DERECHOS"/>
    <s v="73 BIENES Y SERVICIOS PARA INVERSIÓN"/>
    <s v="731404 Maquinarias y Equipos"/>
    <s v="G/731404/1JJ103"/>
    <s v="001"/>
    <n v="500"/>
    <n v="0"/>
    <n v="0"/>
    <n v="500"/>
    <n v="0"/>
    <n v="0"/>
    <n v="0"/>
    <n v="500"/>
    <n v="500"/>
    <n v="500"/>
  </r>
  <r>
    <s v="73"/>
    <x v="2"/>
    <x v="11"/>
    <s v="ZV05F050"/>
    <x v="37"/>
    <s v="J103"/>
    <s v="PROMOCIÓN Y PROTECCIÓN DE DERECHOS"/>
    <s v="GI00J10300002D"/>
    <s v="GI00J10300002D PROMOCIÓN DE DERECHOS DE GRUPOS DE ATENC"/>
    <s v="73 BIENES Y SERVICIOS PARA INVERSIÓN"/>
    <s v="730204 Edición, Impresión, Reproducción, Public"/>
    <s v="G/730204/1FJ103"/>
    <s v="001"/>
    <n v="10000"/>
    <n v="0"/>
    <n v="0"/>
    <n v="10000"/>
    <n v="0"/>
    <n v="0"/>
    <n v="0"/>
    <n v="10000"/>
    <n v="10000"/>
    <n v="10000"/>
  </r>
  <r>
    <s v="73"/>
    <x v="2"/>
    <x v="11"/>
    <s v="ZT06F060"/>
    <x v="25"/>
    <s v="J103"/>
    <s v="PROMOCIÓN Y PROTECCIÓN DE DERECHOS"/>
    <s v="GI00J10300002D"/>
    <s v="GI00J10300002D PROMOCIÓN DE DERECHOS DE GRUPOS DE ATENC"/>
    <s v="73 BIENES Y SERVICIOS PARA INVERSIÓN"/>
    <s v="730204 Edición, Impresión, Reproducción, Public"/>
    <s v="G/730204/1FJ103"/>
    <s v="001"/>
    <n v="2000"/>
    <n v="0"/>
    <n v="0"/>
    <n v="2000"/>
    <n v="0"/>
    <n v="0"/>
    <n v="0"/>
    <n v="2000"/>
    <n v="2000"/>
    <n v="2000"/>
  </r>
  <r>
    <s v="73"/>
    <x v="2"/>
    <x v="11"/>
    <s v="ZM04F040"/>
    <x v="41"/>
    <s v="J103"/>
    <s v="PROMOCIÓN Y PROTECCIÓN DE DERECHOS"/>
    <s v="GI00J10300002D"/>
    <s v="GI00J10300002D PROMOCIÓN DE DERECHOS DE GRUPOS DE ATENC"/>
    <s v="73 BIENES Y SERVICIOS PARA INVERSIÓN"/>
    <s v="730204 Edición, Impresión, Reproducción, Public"/>
    <s v="G/730204/1FJ103"/>
    <s v="001"/>
    <n v="8000"/>
    <n v="0"/>
    <n v="0"/>
    <n v="8000"/>
    <n v="0"/>
    <n v="0"/>
    <n v="0"/>
    <n v="8000"/>
    <n v="8000"/>
    <n v="8000"/>
  </r>
  <r>
    <s v="73"/>
    <x v="2"/>
    <x v="11"/>
    <s v="TM68F100"/>
    <x v="34"/>
    <s v="J103"/>
    <s v="PROMOCIÓN Y PROTECCIÓN DE DERECHOS"/>
    <s v="GI00J10300002D"/>
    <s v="GI00J10300002D PROMOCIÓN DE DERECHOS DE GRUPOS DE ATENC"/>
    <s v="73 BIENES Y SERVICIOS PARA INVERSIÓN"/>
    <s v="730204 Edición, Impresión, Reproducción, Public"/>
    <s v="G/730204/1FJ103"/>
    <s v="001"/>
    <n v="3000"/>
    <n v="0"/>
    <n v="0"/>
    <n v="3000"/>
    <n v="0"/>
    <n v="0"/>
    <n v="0"/>
    <n v="3000"/>
    <n v="3000"/>
    <n v="3000"/>
  </r>
  <r>
    <s v="73"/>
    <x v="1"/>
    <x v="4"/>
    <s v="ZA01J000"/>
    <x v="9"/>
    <s v="J103"/>
    <s v="PROMOCIÓN Y PROTECCIÓN DE DERECHOS"/>
    <s v="GI00J10300002D"/>
    <s v="GI00J10300002D PROMOCIÓN DE DERECHOS DE GRUPOS DE ATENC"/>
    <s v="73 BIENES Y SERVICIOS PARA INVERSIÓN"/>
    <s v="730204 Edición, Impresión, Reproducción, Public"/>
    <s v="G/730204/1JJ103"/>
    <s v="001"/>
    <n v="50000"/>
    <n v="0"/>
    <n v="0"/>
    <n v="50000"/>
    <n v="0"/>
    <n v="0"/>
    <n v="0"/>
    <n v="50000"/>
    <n v="50000"/>
    <n v="50000"/>
  </r>
  <r>
    <s v="73"/>
    <x v="2"/>
    <x v="11"/>
    <s v="ZT06F060"/>
    <x v="25"/>
    <s v="J103"/>
    <s v="PROMOCIÓN Y PROTECCIÓN DE DERECHOS"/>
    <s v="GI00J10300002D"/>
    <s v="GI00J10300002D PROMOCIÓN DE DERECHOS DE GRUPOS DE ATENC"/>
    <s v="73 BIENES Y SERVICIOS PARA INVERSIÓN"/>
    <s v="730205 Espectáculos Culturales y Sociales"/>
    <s v="G/730205/1FJ103"/>
    <s v="001"/>
    <n v="11360"/>
    <n v="0"/>
    <n v="0"/>
    <n v="11360"/>
    <n v="0"/>
    <n v="0"/>
    <n v="0"/>
    <n v="11360"/>
    <n v="11360"/>
    <n v="11360"/>
  </r>
  <r>
    <s v="73"/>
    <x v="2"/>
    <x v="11"/>
    <s v="ZV05F050"/>
    <x v="37"/>
    <s v="J103"/>
    <s v="PROMOCIÓN Y PROTECCIÓN DE DERECHOS"/>
    <s v="GI00J10300002D"/>
    <s v="GI00J10300002D PROMOCIÓN DE DERECHOS DE GRUPOS DE ATENC"/>
    <s v="73 BIENES Y SERVICIOS PARA INVERSIÓN"/>
    <s v="730205 Espectáculos Culturales y Sociales"/>
    <s v="G/730205/1FJ103"/>
    <s v="001"/>
    <n v="23000"/>
    <n v="0"/>
    <n v="0"/>
    <n v="23000"/>
    <n v="0"/>
    <n v="0"/>
    <n v="0"/>
    <n v="23000"/>
    <n v="23000"/>
    <n v="23000"/>
  </r>
  <r>
    <s v="73"/>
    <x v="1"/>
    <x v="4"/>
    <s v="ZA01J000"/>
    <x v="9"/>
    <s v="J103"/>
    <s v="PROMOCIÓN Y PROTECCIÓN DE DERECHOS"/>
    <s v="GI00J10300002D"/>
    <s v="GI00J10300002D PROMOCIÓN DE DERECHOS DE GRUPOS DE ATENC"/>
    <s v="73 BIENES Y SERVICIOS PARA INVERSIÓN"/>
    <s v="730205 Espectáculos Culturales y Sociales"/>
    <s v="G/730205/1JJ103"/>
    <s v="001"/>
    <n v="476600"/>
    <n v="-240000"/>
    <n v="0"/>
    <n v="236600"/>
    <n v="22.4"/>
    <n v="18853.3"/>
    <n v="18277.28"/>
    <n v="217746.7"/>
    <n v="218322.72"/>
    <n v="217724.3"/>
  </r>
  <r>
    <s v="73"/>
    <x v="2"/>
    <x v="11"/>
    <s v="ZQ08F080"/>
    <x v="39"/>
    <s v="J103"/>
    <s v="PROMOCIÓN Y PROTECCIÓN DE DERECHOS"/>
    <s v="GI00J10300002D"/>
    <s v="GI00J10300002D PROMOCIÓN DE DERECHOS DE GRUPOS DE ATENC"/>
    <s v="73 BIENES Y SERVICIOS PARA INVERSIÓN"/>
    <s v="730205 Espectáculos Culturales y Sociales"/>
    <s v="G/730205/1FJ103"/>
    <s v="001"/>
    <n v="26000"/>
    <n v="0"/>
    <n v="0"/>
    <n v="26000"/>
    <n v="0"/>
    <n v="0"/>
    <n v="0"/>
    <n v="26000"/>
    <n v="26000"/>
    <n v="26000"/>
  </r>
  <r>
    <s v="73"/>
    <x v="2"/>
    <x v="11"/>
    <s v="ZM04F040"/>
    <x v="41"/>
    <s v="J103"/>
    <s v="PROMOCIÓN Y PROTECCIÓN DE DERECHOS"/>
    <s v="GI00J10300002D"/>
    <s v="GI00J10300002D PROMOCIÓN DE DERECHOS DE GRUPOS DE ATENC"/>
    <s v="73 BIENES Y SERVICIOS PARA INVERSIÓN"/>
    <s v="730205 Espectáculos Culturales y Sociales"/>
    <s v="G/730205/1FJ103"/>
    <s v="001"/>
    <n v="10000"/>
    <n v="0"/>
    <n v="0"/>
    <n v="10000"/>
    <n v="0"/>
    <n v="0"/>
    <n v="0"/>
    <n v="10000"/>
    <n v="10000"/>
    <n v="10000"/>
  </r>
  <r>
    <s v="73"/>
    <x v="2"/>
    <x v="11"/>
    <s v="ZC09F090"/>
    <x v="44"/>
    <s v="J103"/>
    <s v="PROMOCIÓN Y PROTECCIÓN DE DERECHOS"/>
    <s v="GI00J10300002D"/>
    <s v="GI00J10300002D PROMOCIÓN DE DERECHOS DE GRUPOS DE ATENC"/>
    <s v="73 BIENES Y SERVICIOS PARA INVERSIÓN"/>
    <s v="730205 Espectáculos Culturales y Sociales"/>
    <s v="G/730205/1FJ103"/>
    <s v="001"/>
    <n v="20000"/>
    <n v="0"/>
    <n v="0"/>
    <n v="20000"/>
    <n v="0"/>
    <n v="0"/>
    <n v="0"/>
    <n v="20000"/>
    <n v="20000"/>
    <n v="20000"/>
  </r>
  <r>
    <s v="73"/>
    <x v="2"/>
    <x v="11"/>
    <s v="ZD07F070"/>
    <x v="43"/>
    <s v="J103"/>
    <s v="PROMOCIÓN Y PROTECCIÓN DE DERECHOS"/>
    <s v="GI00J10300002D"/>
    <s v="GI00J10300002D PROMOCIÓN DE DERECHOS DE GRUPOS DE ATENC"/>
    <s v="73 BIENES Y SERVICIOS PARA INVERSIÓN"/>
    <s v="730205 Espectáculos Culturales y Sociales"/>
    <s v="G/730205/1FJ103"/>
    <s v="001"/>
    <n v="31800"/>
    <n v="0"/>
    <n v="0"/>
    <n v="31800"/>
    <n v="0"/>
    <n v="7000"/>
    <n v="7000"/>
    <n v="24800"/>
    <n v="24800"/>
    <n v="24800"/>
  </r>
  <r>
    <s v="73"/>
    <x v="1"/>
    <x v="4"/>
    <s v="ZA01J000"/>
    <x v="9"/>
    <s v="J103"/>
    <s v="PROMOCIÓN Y PROTECCIÓN DE DERECHOS"/>
    <s v="GI00J10300002D"/>
    <s v="GI00J10300002D PROMOCIÓN DE DERECHOS DE GRUPOS DE ATENC"/>
    <s v="73 BIENES Y SERVICIOS PARA INVERSIÓN"/>
    <s v="730207 Difusión, Información y Publicidad"/>
    <s v="G/730207/1JJ103"/>
    <s v="001"/>
    <n v="30000"/>
    <n v="0"/>
    <n v="0"/>
    <n v="30000"/>
    <n v="0"/>
    <n v="0"/>
    <n v="0"/>
    <n v="30000"/>
    <n v="30000"/>
    <n v="30000"/>
  </r>
  <r>
    <s v="73"/>
    <x v="2"/>
    <x v="11"/>
    <s v="ZQ08F080"/>
    <x v="39"/>
    <s v="J103"/>
    <s v="PROMOCIÓN Y PROTECCIÓN DE DERECHOS"/>
    <s v="GI00J10300002D"/>
    <s v="GI00J10300002D PROMOCIÓN DE DERECHOS DE GRUPOS DE ATENC"/>
    <s v="73 BIENES Y SERVICIOS PARA INVERSIÓN"/>
    <s v="730235 Servicio de Alimentación"/>
    <s v="G/730235/1FJ103"/>
    <s v="001"/>
    <n v="3000"/>
    <n v="0"/>
    <n v="0"/>
    <n v="3000"/>
    <n v="0"/>
    <n v="0"/>
    <n v="0"/>
    <n v="3000"/>
    <n v="3000"/>
    <n v="3000"/>
  </r>
  <r>
    <s v="73"/>
    <x v="2"/>
    <x v="11"/>
    <s v="ZT06F060"/>
    <x v="25"/>
    <s v="J103"/>
    <s v="PROMOCIÓN Y PROTECCIÓN DE DERECHOS"/>
    <s v="GI00J10300002D"/>
    <s v="GI00J10300002D PROMOCIÓN DE DERECHOS DE GRUPOS DE ATENC"/>
    <s v="73 BIENES Y SERVICIOS PARA INVERSIÓN"/>
    <s v="730235 Servicio de Alimentación"/>
    <s v="G/730235/1FJ103"/>
    <s v="001"/>
    <n v="1500"/>
    <n v="0"/>
    <n v="0"/>
    <n v="1500"/>
    <n v="0"/>
    <n v="0"/>
    <n v="0"/>
    <n v="1500"/>
    <n v="1500"/>
    <n v="1500"/>
  </r>
  <r>
    <s v="73"/>
    <x v="2"/>
    <x v="11"/>
    <s v="ZM04F040"/>
    <x v="41"/>
    <s v="J103"/>
    <s v="PROMOCIÓN Y PROTECCIÓN DE DERECHOS"/>
    <s v="GI00J10300002D"/>
    <s v="GI00J10300002D PROMOCIÓN DE DERECHOS DE GRUPOS DE ATENC"/>
    <s v="73 BIENES Y SERVICIOS PARA INVERSIÓN"/>
    <s v="730235 Servicio de Alimentación"/>
    <s v="G/730235/1FJ103"/>
    <s v="001"/>
    <n v="4900"/>
    <n v="0"/>
    <n v="0"/>
    <n v="4900"/>
    <n v="0"/>
    <n v="0"/>
    <n v="0"/>
    <n v="4900"/>
    <n v="4900"/>
    <n v="4900"/>
  </r>
  <r>
    <s v="73"/>
    <x v="1"/>
    <x v="4"/>
    <s v="ZA01J000"/>
    <x v="9"/>
    <s v="J103"/>
    <s v="PROMOCIÓN Y PROTECCIÓN DE DERECHOS"/>
    <s v="GI00J10300002D"/>
    <s v="GI00J10300002D PROMOCIÓN DE DERECHOS DE GRUPOS DE ATENC"/>
    <s v="73 BIENES Y SERVICIOS PARA INVERSIÓN"/>
    <s v="730235 Servicio de Alimentación"/>
    <s v="G/730235/1JJ103"/>
    <s v="001"/>
    <n v="20000"/>
    <n v="0"/>
    <n v="0"/>
    <n v="20000"/>
    <n v="0"/>
    <n v="504"/>
    <n v="504"/>
    <n v="19496"/>
    <n v="19496"/>
    <n v="19496"/>
  </r>
  <r>
    <s v="73"/>
    <x v="2"/>
    <x v="11"/>
    <s v="ZC09F090"/>
    <x v="44"/>
    <s v="J103"/>
    <s v="PROMOCIÓN Y PROTECCIÓN DE DERECHOS"/>
    <s v="GI00J10300002D"/>
    <s v="GI00J10300002D PROMOCIÓN DE DERECHOS DE GRUPOS DE ATENC"/>
    <s v="73 BIENES Y SERVICIOS PARA INVERSIÓN"/>
    <s v="730235 Servicio de Alimentación"/>
    <s v="G/730235/1FJ103"/>
    <s v="001"/>
    <n v="700"/>
    <n v="0"/>
    <n v="0"/>
    <n v="700"/>
    <n v="0"/>
    <n v="0"/>
    <n v="0"/>
    <n v="700"/>
    <n v="700"/>
    <n v="700"/>
  </r>
  <r>
    <s v="73"/>
    <x v="2"/>
    <x v="11"/>
    <s v="ZN02F020"/>
    <x v="40"/>
    <s v="J103"/>
    <s v="PROMOCIÓN Y PROTECCIÓN DE DERECHOS"/>
    <s v="GI00J10300002D"/>
    <s v="GI00J10300002D PROMOCIÓN DE DERECHOS DE GRUPOS DE ATENC"/>
    <s v="73 BIENES Y SERVICIOS PARA INVERSIÓN"/>
    <s v="730249 Eventos Públicos Promocionales"/>
    <s v="G/730249/1FJ103"/>
    <s v="001"/>
    <n v="18000"/>
    <n v="0"/>
    <n v="0"/>
    <n v="18000"/>
    <n v="0"/>
    <n v="0"/>
    <n v="0"/>
    <n v="18000"/>
    <n v="18000"/>
    <n v="18000"/>
  </r>
  <r>
    <s v="73"/>
    <x v="2"/>
    <x v="11"/>
    <s v="TM68F100"/>
    <x v="34"/>
    <s v="J103"/>
    <s v="PROMOCIÓN Y PROTECCIÓN DE DERECHOS"/>
    <s v="GI00J10300002D"/>
    <s v="GI00J10300002D PROMOCIÓN DE DERECHOS DE GRUPOS DE ATENC"/>
    <s v="73 BIENES Y SERVICIOS PARA INVERSIÓN"/>
    <s v="730249 Eventos Públicos Promocionales"/>
    <s v="G/730249/1FJ103"/>
    <s v="001"/>
    <n v="23000"/>
    <n v="0"/>
    <n v="0"/>
    <n v="23000"/>
    <n v="0"/>
    <n v="12261.76"/>
    <n v="0"/>
    <n v="10738.24"/>
    <n v="23000"/>
    <n v="10738.24"/>
  </r>
  <r>
    <s v="73"/>
    <x v="2"/>
    <x v="11"/>
    <s v="ZC09F090"/>
    <x v="44"/>
    <s v="J103"/>
    <s v="PROMOCIÓN Y PROTECCIÓN DE DERECHOS"/>
    <s v="GI00J10300002D"/>
    <s v="GI00J10300002D PROMOCIÓN DE DERECHOS DE GRUPOS DE ATENC"/>
    <s v="73 BIENES Y SERVICIOS PARA INVERSIÓN"/>
    <s v="730505 Vehículos (Arrendamiento)"/>
    <s v="G/730505/1FJ103"/>
    <s v="001"/>
    <n v="14200"/>
    <n v="0"/>
    <n v="0"/>
    <n v="14200"/>
    <n v="0"/>
    <n v="0"/>
    <n v="0"/>
    <n v="14200"/>
    <n v="14200"/>
    <n v="14200"/>
  </r>
  <r>
    <s v="73"/>
    <x v="2"/>
    <x v="11"/>
    <s v="ZV05F050"/>
    <x v="37"/>
    <s v="J103"/>
    <s v="PROMOCIÓN Y PROTECCIÓN DE DERECHOS"/>
    <s v="GI00J10300002D"/>
    <s v="GI00J10300002D PROMOCIÓN DE DERECHOS DE GRUPOS DE ATENC"/>
    <s v="73 BIENES Y SERVICIOS PARA INVERSIÓN"/>
    <s v="730505 Vehículos (Arrendamiento)"/>
    <s v="G/730505/1FJ103"/>
    <s v="001"/>
    <n v="3000"/>
    <n v="0"/>
    <n v="0"/>
    <n v="3000"/>
    <n v="0"/>
    <n v="0"/>
    <n v="0"/>
    <n v="3000"/>
    <n v="3000"/>
    <n v="3000"/>
  </r>
  <r>
    <s v="73"/>
    <x v="2"/>
    <x v="11"/>
    <s v="ZQ08F080"/>
    <x v="39"/>
    <s v="J103"/>
    <s v="PROMOCIÓN Y PROTECCIÓN DE DERECHOS"/>
    <s v="GI00J10300002D"/>
    <s v="GI00J10300002D PROMOCIÓN DE DERECHOS DE GRUPOS DE ATENC"/>
    <s v="73 BIENES Y SERVICIOS PARA INVERSIÓN"/>
    <s v="730505 Vehículos (Arrendamiento)"/>
    <s v="G/730505/1FJ103"/>
    <s v="001"/>
    <n v="4000"/>
    <n v="0"/>
    <n v="0"/>
    <n v="4000"/>
    <n v="0"/>
    <n v="0"/>
    <n v="0"/>
    <n v="4000"/>
    <n v="4000"/>
    <n v="4000"/>
  </r>
  <r>
    <s v="73"/>
    <x v="2"/>
    <x v="11"/>
    <s v="ZS03F030"/>
    <x v="38"/>
    <s v="J103"/>
    <s v="PROMOCIÓN Y PROTECCIÓN DE DERECHOS"/>
    <s v="GI00J10300002D"/>
    <s v="GI00J10300002D PROMOCIÓN DE DERECHOS DE GRUPOS DE ATENC"/>
    <s v="73 BIENES Y SERVICIOS PARA INVERSIÓN"/>
    <s v="730505 Vehículos (Arrendamiento)"/>
    <s v="G/730505/1FJ103"/>
    <s v="001"/>
    <n v="10000"/>
    <n v="0"/>
    <n v="0"/>
    <n v="10000"/>
    <n v="0"/>
    <n v="0"/>
    <n v="0"/>
    <n v="10000"/>
    <n v="10000"/>
    <n v="10000"/>
  </r>
  <r>
    <s v="73"/>
    <x v="2"/>
    <x v="11"/>
    <s v="TM68F100"/>
    <x v="34"/>
    <s v="J103"/>
    <s v="PROMOCIÓN Y PROTECCIÓN DE DERECHOS"/>
    <s v="GI00J10300002D"/>
    <s v="GI00J10300002D PROMOCIÓN DE DERECHOS DE GRUPOS DE ATENC"/>
    <s v="73 BIENES Y SERVICIOS PARA INVERSIÓN"/>
    <s v="730505 Vehículos (Arrendamiento)"/>
    <s v="G/730505/1FJ103"/>
    <s v="001"/>
    <n v="6000"/>
    <n v="0"/>
    <n v="0"/>
    <n v="6000"/>
    <n v="3942.4"/>
    <n v="0"/>
    <n v="0"/>
    <n v="6000"/>
    <n v="6000"/>
    <n v="2057.6"/>
  </r>
  <r>
    <s v="73"/>
    <x v="2"/>
    <x v="11"/>
    <s v="ZT06F060"/>
    <x v="25"/>
    <s v="J103"/>
    <s v="PROMOCIÓN Y PROTECCIÓN DE DERECHOS"/>
    <s v="GI00J10300002D"/>
    <s v="GI00J10300002D PROMOCIÓN DE DERECHOS DE GRUPOS DE ATENC"/>
    <s v="73 BIENES Y SERVICIOS PARA INVERSIÓN"/>
    <s v="730505 Vehículos (Arrendamiento)"/>
    <s v="G/730505/1FJ103"/>
    <s v="001"/>
    <n v="15540"/>
    <n v="0"/>
    <n v="0"/>
    <n v="15540"/>
    <n v="0"/>
    <n v="0"/>
    <n v="0"/>
    <n v="15540"/>
    <n v="15540"/>
    <n v="15540"/>
  </r>
  <r>
    <s v="73"/>
    <x v="2"/>
    <x v="11"/>
    <s v="ZC09F090"/>
    <x v="44"/>
    <s v="J103"/>
    <s v="PROMOCIÓN Y PROTECCIÓN DE DERECHOS"/>
    <s v="GI00J10300002D"/>
    <s v="GI00J10300002D PROMOCIÓN DE DERECHOS DE GRUPOS DE ATENC"/>
    <s v="73 BIENES Y SERVICIOS PARA INVERSIÓN"/>
    <s v="730606 Honorarios por Contratos Civiles de Servici"/>
    <s v="G/730606/1FJ103"/>
    <s v="001"/>
    <n v="28800"/>
    <n v="0"/>
    <n v="0"/>
    <n v="28800"/>
    <n v="0"/>
    <n v="0"/>
    <n v="0"/>
    <n v="28800"/>
    <n v="28800"/>
    <n v="28800"/>
  </r>
  <r>
    <s v="73"/>
    <x v="2"/>
    <x v="11"/>
    <s v="ZS03F030"/>
    <x v="38"/>
    <s v="J103"/>
    <s v="PROMOCIÓN Y PROTECCIÓN DE DERECHOS"/>
    <s v="GI00J10300002D"/>
    <s v="GI00J10300002D PROMOCIÓN DE DERECHOS DE GRUPOS DE ATENC"/>
    <s v="73 BIENES Y SERVICIOS PARA INVERSIÓN"/>
    <s v="730606 Honorarios por Contratos Civiles de Servici"/>
    <s v="G/730606/1FJ103"/>
    <s v="001"/>
    <n v="30000"/>
    <n v="0"/>
    <n v="0"/>
    <n v="30000"/>
    <n v="0"/>
    <n v="0"/>
    <n v="0"/>
    <n v="30000"/>
    <n v="30000"/>
    <n v="30000"/>
  </r>
  <r>
    <s v="73"/>
    <x v="2"/>
    <x v="11"/>
    <s v="ZM04F040"/>
    <x v="41"/>
    <s v="J103"/>
    <s v="PROMOCIÓN Y PROTECCIÓN DE DERECHOS"/>
    <s v="GI00J10300002D"/>
    <s v="GI00J10300002D PROMOCIÓN DE DERECHOS DE GRUPOS DE ATENC"/>
    <s v="73 BIENES Y SERVICIOS PARA INVERSIÓN"/>
    <s v="730606 Honorarios por Contratos Civiles de Servici"/>
    <s v="G/730606/1FJ103"/>
    <s v="001"/>
    <n v="14400"/>
    <n v="0"/>
    <n v="0"/>
    <n v="14400"/>
    <n v="0"/>
    <n v="0"/>
    <n v="0"/>
    <n v="14400"/>
    <n v="14400"/>
    <n v="14400"/>
  </r>
  <r>
    <s v="73"/>
    <x v="2"/>
    <x v="11"/>
    <s v="ZT06F060"/>
    <x v="25"/>
    <s v="J103"/>
    <s v="PROMOCIÓN Y PROTECCIÓN DE DERECHOS"/>
    <s v="GI00J10300002D"/>
    <s v="GI00J10300002D PROMOCIÓN DE DERECHOS DE GRUPOS DE ATENC"/>
    <s v="73 BIENES Y SERVICIOS PARA INVERSIÓN"/>
    <s v="730606 Honorarios por Contratos Civiles de Servici"/>
    <s v="G/730606/1FJ103"/>
    <s v="001"/>
    <n v="14400"/>
    <n v="0"/>
    <n v="0"/>
    <n v="14400"/>
    <n v="0"/>
    <n v="0"/>
    <n v="0"/>
    <n v="14400"/>
    <n v="14400"/>
    <n v="14400"/>
  </r>
  <r>
    <s v="73"/>
    <x v="2"/>
    <x v="11"/>
    <s v="TM68F100"/>
    <x v="34"/>
    <s v="J103"/>
    <s v="PROMOCIÓN Y PROTECCIÓN DE DERECHOS"/>
    <s v="GI00J10300002D"/>
    <s v="GI00J10300002D PROMOCIÓN DE DERECHOS DE GRUPOS DE ATENC"/>
    <s v="73 BIENES Y SERVICIOS PARA INVERSIÓN"/>
    <s v="730606 Honorarios por Contratos Civiles de Servici"/>
    <s v="G/730606/1FJ103"/>
    <s v="001"/>
    <n v="14000"/>
    <n v="0"/>
    <n v="0"/>
    <n v="14000"/>
    <n v="0"/>
    <n v="5051.9799999999996"/>
    <n v="5051.9799999999996"/>
    <n v="8948.02"/>
    <n v="8948.02"/>
    <n v="8948.02"/>
  </r>
  <r>
    <s v="73"/>
    <x v="2"/>
    <x v="11"/>
    <s v="ZQ08F080"/>
    <x v="39"/>
    <s v="J103"/>
    <s v="PROMOCIÓN Y PROTECCIÓN DE DERECHOS"/>
    <s v="GI00J10300002D"/>
    <s v="GI00J10300002D PROMOCIÓN DE DERECHOS DE GRUPOS DE ATENC"/>
    <s v="73 BIENES Y SERVICIOS PARA INVERSIÓN"/>
    <s v="730606 Honorarios por Contratos Civiles de Servici"/>
    <s v="G/730606/1FJ103"/>
    <s v="001"/>
    <n v="28700"/>
    <n v="0"/>
    <n v="0"/>
    <n v="28700"/>
    <n v="0"/>
    <n v="0"/>
    <n v="0"/>
    <n v="28700"/>
    <n v="28700"/>
    <n v="28700"/>
  </r>
  <r>
    <s v="73"/>
    <x v="1"/>
    <x v="4"/>
    <s v="ZA01J000"/>
    <x v="9"/>
    <s v="J103"/>
    <s v="PROMOCIÓN Y PROTECCIÓN DE DERECHOS"/>
    <s v="GI00J10300002D"/>
    <s v="GI00J10300002D PROMOCIÓN DE DERECHOS DE GRUPOS DE ATENC"/>
    <s v="73 BIENES Y SERVICIOS PARA INVERSIÓN"/>
    <s v="730607 Servicios Técnicos Especializados"/>
    <s v="G/730607/1JJ103"/>
    <s v="001"/>
    <n v="91500"/>
    <n v="-35000"/>
    <n v="0"/>
    <n v="56500"/>
    <n v="0"/>
    <n v="0"/>
    <n v="0"/>
    <n v="56500"/>
    <n v="56500"/>
    <n v="56500"/>
  </r>
  <r>
    <s v="73"/>
    <x v="2"/>
    <x v="11"/>
    <s v="ZV05F050"/>
    <x v="37"/>
    <s v="J103"/>
    <s v="PROMOCIÓN Y PROTECCIÓN DE DERECHOS"/>
    <s v="GI00J10300002D"/>
    <s v="GI00J10300002D PROMOCIÓN DE DERECHOS DE GRUPOS DE ATENC"/>
    <s v="73 BIENES Y SERVICIOS PARA INVERSIÓN"/>
    <s v="730613 Capacitación para la Ciudadanía en Gener"/>
    <s v="G/730613/1FJ103"/>
    <s v="001"/>
    <n v="10000"/>
    <n v="0"/>
    <n v="0"/>
    <n v="10000"/>
    <n v="0"/>
    <n v="0"/>
    <n v="0"/>
    <n v="10000"/>
    <n v="10000"/>
    <n v="10000"/>
  </r>
  <r>
    <s v="73"/>
    <x v="2"/>
    <x v="11"/>
    <s v="ZN02F020"/>
    <x v="40"/>
    <s v="J103"/>
    <s v="PROMOCIÓN Y PROTECCIÓN DE DERECHOS"/>
    <s v="GI00J10300002D"/>
    <s v="GI00J10300002D PROMOCIÓN DE DERECHOS DE GRUPOS DE ATENC"/>
    <s v="73 BIENES Y SERVICIOS PARA INVERSIÓN"/>
    <s v="730613 Capacitación para la Ciudadanía en Gener"/>
    <s v="G/730613/1FJ103"/>
    <s v="001"/>
    <n v="10000"/>
    <n v="0"/>
    <n v="0"/>
    <n v="10000"/>
    <n v="0"/>
    <n v="0"/>
    <n v="0"/>
    <n v="10000"/>
    <n v="10000"/>
    <n v="10000"/>
  </r>
  <r>
    <s v="73"/>
    <x v="2"/>
    <x v="11"/>
    <s v="ZM04F040"/>
    <x v="41"/>
    <s v="J103"/>
    <s v="PROMOCIÓN Y PROTECCIÓN DE DERECHOS"/>
    <s v="GI00J10300002D"/>
    <s v="GI00J10300002D PROMOCIÓN DE DERECHOS DE GRUPOS DE ATENC"/>
    <s v="73 BIENES Y SERVICIOS PARA INVERSIÓN"/>
    <s v="730613 Capacitación para la Ciudadanía en Gener"/>
    <s v="G/730613/1FJ103"/>
    <s v="001"/>
    <n v="5000"/>
    <n v="0"/>
    <n v="0"/>
    <n v="5000"/>
    <n v="0"/>
    <n v="0"/>
    <n v="0"/>
    <n v="5000"/>
    <n v="5000"/>
    <n v="5000"/>
  </r>
  <r>
    <s v="73"/>
    <x v="2"/>
    <x v="11"/>
    <s v="ZD07F070"/>
    <x v="43"/>
    <s v="J103"/>
    <s v="PROMOCIÓN Y PROTECCIÓN DE DERECHOS"/>
    <s v="GI00J10300002D"/>
    <s v="GI00J10300002D PROMOCIÓN DE DERECHOS DE GRUPOS DE ATENC"/>
    <s v="73 BIENES Y SERVICIOS PARA INVERSIÓN"/>
    <s v="730613 Capacitación para la Ciudadanía en Gener"/>
    <s v="G/730613/1FJ103"/>
    <s v="001"/>
    <n v="14200"/>
    <n v="0"/>
    <n v="0"/>
    <n v="14200"/>
    <n v="0"/>
    <n v="0"/>
    <n v="0"/>
    <n v="14200"/>
    <n v="14200"/>
    <n v="14200"/>
  </r>
  <r>
    <s v="73"/>
    <x v="2"/>
    <x v="11"/>
    <s v="ZT06F060"/>
    <x v="25"/>
    <s v="J103"/>
    <s v="PROMOCIÓN Y PROTECCIÓN DE DERECHOS"/>
    <s v="GI00J10300002D"/>
    <s v="GI00J10300002D PROMOCIÓN DE DERECHOS DE GRUPOS DE ATENC"/>
    <s v="73 BIENES Y SERVICIOS PARA INVERSIÓN"/>
    <s v="730613 Capacitación para la Ciudadanía en Gener"/>
    <s v="G/730613/1FJ103"/>
    <s v="001"/>
    <n v="8000"/>
    <n v="0"/>
    <n v="0"/>
    <n v="8000"/>
    <n v="0"/>
    <n v="0"/>
    <n v="0"/>
    <n v="8000"/>
    <n v="8000"/>
    <n v="8000"/>
  </r>
  <r>
    <s v="73"/>
    <x v="2"/>
    <x v="11"/>
    <s v="ZC09F090"/>
    <x v="44"/>
    <s v="J103"/>
    <s v="PROMOCIÓN Y PROTECCIÓN DE DERECHOS"/>
    <s v="GI00J10300002D"/>
    <s v="GI00J10300002D PROMOCIÓN DE DERECHOS DE GRUPOS DE ATENC"/>
    <s v="73 BIENES Y SERVICIOS PARA INVERSIÓN"/>
    <s v="730613 Capacitación para la Ciudadanía en Gener"/>
    <s v="G/730613/1FJ103"/>
    <s v="001"/>
    <n v="11000"/>
    <n v="0"/>
    <n v="0"/>
    <n v="11000"/>
    <n v="0"/>
    <n v="0"/>
    <n v="0"/>
    <n v="11000"/>
    <n v="11000"/>
    <n v="11000"/>
  </r>
  <r>
    <s v="73"/>
    <x v="2"/>
    <x v="11"/>
    <s v="ZS03F030"/>
    <x v="38"/>
    <s v="J103"/>
    <s v="PROMOCIÓN Y PROTECCIÓN DE DERECHOS"/>
    <s v="GI00J10300002D"/>
    <s v="GI00J10300002D PROMOCIÓN DE DERECHOS DE GRUPOS DE ATENC"/>
    <s v="73 BIENES Y SERVICIOS PARA INVERSIÓN"/>
    <s v="730613 Capacitación para la Ciudadanía en Gener"/>
    <s v="G/730613/1FJ103"/>
    <s v="001"/>
    <n v="6000"/>
    <n v="0"/>
    <n v="0"/>
    <n v="6000"/>
    <n v="0"/>
    <n v="0"/>
    <n v="0"/>
    <n v="6000"/>
    <n v="6000"/>
    <n v="6000"/>
  </r>
  <r>
    <s v="73"/>
    <x v="1"/>
    <x v="4"/>
    <s v="ZA01J000"/>
    <x v="9"/>
    <s v="J103"/>
    <s v="PROMOCIÓN Y PROTECCIÓN DE DERECHOS"/>
    <s v="GI00J10300002D"/>
    <s v="GI00J10300002D PROMOCIÓN DE DERECHOS DE GRUPOS DE ATENC"/>
    <s v="73 BIENES Y SERVICIOS PARA INVERSIÓN"/>
    <s v="730613 Capacitación para la Ciudadanía en Gener"/>
    <s v="G/730613/1JJ103"/>
    <s v="001"/>
    <n v="71000"/>
    <n v="-6500"/>
    <n v="0"/>
    <n v="64500"/>
    <n v="0"/>
    <n v="4228"/>
    <n v="4228"/>
    <n v="60272"/>
    <n v="60272"/>
    <n v="60272"/>
  </r>
  <r>
    <s v="73"/>
    <x v="2"/>
    <x v="11"/>
    <s v="ZQ08F080"/>
    <x v="39"/>
    <s v="J103"/>
    <s v="PROMOCIÓN Y PROTECCIÓN DE DERECHOS"/>
    <s v="GI00J10300002D"/>
    <s v="GI00J10300002D PROMOCIÓN DE DERECHOS DE GRUPOS DE ATENC"/>
    <s v="73 BIENES Y SERVICIOS PARA INVERSIÓN"/>
    <s v="730613 Capacitación para la Ciudadanía en Gener"/>
    <s v="G/730613/1FJ103"/>
    <s v="001"/>
    <n v="7000"/>
    <n v="0"/>
    <n v="0"/>
    <n v="7000"/>
    <n v="0"/>
    <n v="0"/>
    <n v="0"/>
    <n v="7000"/>
    <n v="7000"/>
    <n v="7000"/>
  </r>
  <r>
    <s v="73"/>
    <x v="1"/>
    <x v="4"/>
    <s v="ZA01J000"/>
    <x v="9"/>
    <s v="J103"/>
    <s v="PROMOCIÓN Y PROTECCIÓN DE DERECHOS"/>
    <s v="GI00J10300002D"/>
    <s v="GI00J10300002D PROMOCIÓN DE DERECHOS DE GRUPOS DE ATENC"/>
    <s v="73 BIENES Y SERVICIOS PARA INVERSIÓN"/>
    <s v="730801 Alimentos y Bebidas"/>
    <s v="G/730801/1JJ103"/>
    <s v="001"/>
    <n v="0"/>
    <n v="32000"/>
    <n v="0"/>
    <n v="32000"/>
    <n v="2997"/>
    <n v="24975"/>
    <n v="24975"/>
    <n v="7025"/>
    <n v="7025"/>
    <n v="4028"/>
  </r>
  <r>
    <s v="73"/>
    <x v="2"/>
    <x v="11"/>
    <s v="ZM04F040"/>
    <x v="41"/>
    <s v="J103"/>
    <s v="PROMOCIÓN Y PROTECCIÓN DE DERECHOS"/>
    <s v="GI00J10300002D"/>
    <s v="GI00J10300002D PROMOCIÓN DE DERECHOS DE GRUPOS DE ATENC"/>
    <s v="73 BIENES Y SERVICIOS PARA INVERSIÓN"/>
    <s v="730802 Vestuario, Lencería, Prendas de Protecci"/>
    <s v="G/730802/1FJ103"/>
    <s v="001"/>
    <n v="15000"/>
    <n v="0"/>
    <n v="0"/>
    <n v="15000"/>
    <n v="0"/>
    <n v="0"/>
    <n v="0"/>
    <n v="15000"/>
    <n v="15000"/>
    <n v="15000"/>
  </r>
  <r>
    <s v="73"/>
    <x v="1"/>
    <x v="4"/>
    <s v="ZA01J000"/>
    <x v="9"/>
    <s v="J103"/>
    <s v="PROMOCIÓN Y PROTECCIÓN DE DERECHOS"/>
    <s v="GI00J10300002D"/>
    <s v="GI00J10300002D PROMOCIÓN DE DERECHOS DE GRUPOS DE ATENC"/>
    <s v="73 BIENES Y SERVICIOS PARA INVERSIÓN"/>
    <s v="730802 Vestuario, Lencería, Prendas de Protecci"/>
    <s v="G/730802/1JJ103"/>
    <s v="001"/>
    <n v="0"/>
    <n v="12700"/>
    <n v="0"/>
    <n v="12700"/>
    <n v="0"/>
    <n v="11745.16"/>
    <n v="11745.16"/>
    <n v="954.84"/>
    <n v="954.84"/>
    <n v="954.84"/>
  </r>
  <r>
    <s v="73"/>
    <x v="2"/>
    <x v="11"/>
    <s v="ZQ08F080"/>
    <x v="39"/>
    <s v="J103"/>
    <s v="PROMOCIÓN Y PROTECCIÓN DE DERECHOS"/>
    <s v="GI00J10300002D"/>
    <s v="GI00J10300002D PROMOCIÓN DE DERECHOS DE GRUPOS DE ATENC"/>
    <s v="73 BIENES Y SERVICIOS PARA INVERSIÓN"/>
    <s v="730802 Vestuario, Lencería, Prendas de Protecci"/>
    <s v="G/730802/1FJ103"/>
    <s v="001"/>
    <n v="2500"/>
    <n v="0"/>
    <n v="0"/>
    <n v="2500"/>
    <n v="0"/>
    <n v="0"/>
    <n v="0"/>
    <n v="2500"/>
    <n v="2500"/>
    <n v="2500"/>
  </r>
  <r>
    <s v="73"/>
    <x v="2"/>
    <x v="11"/>
    <s v="ZQ08F080"/>
    <x v="39"/>
    <s v="J103"/>
    <s v="PROMOCIÓN Y PROTECCIÓN DE DERECHOS"/>
    <s v="GI00J10300002D"/>
    <s v="GI00J10300002D PROMOCIÓN DE DERECHOS DE GRUPOS DE ATENC"/>
    <s v="73 BIENES Y SERVICIOS PARA INVERSIÓN"/>
    <s v="730804 Materiales de Oficina"/>
    <s v="G/730804/1FJ103"/>
    <s v="001"/>
    <n v="1000"/>
    <n v="0"/>
    <n v="0"/>
    <n v="1000"/>
    <n v="0"/>
    <n v="0"/>
    <n v="0"/>
    <n v="1000"/>
    <n v="1000"/>
    <n v="1000"/>
  </r>
  <r>
    <s v="73"/>
    <x v="1"/>
    <x v="4"/>
    <s v="ZA01J000"/>
    <x v="9"/>
    <s v="J103"/>
    <s v="PROMOCIÓN Y PROTECCIÓN DE DERECHOS"/>
    <s v="GI00J10300002D"/>
    <s v="GI00J10300002D PROMOCIÓN DE DERECHOS DE GRUPOS DE ATENC"/>
    <s v="73 BIENES Y SERVICIOS PARA INVERSIÓN"/>
    <s v="730805 Materiales de Aseo"/>
    <s v="G/730805/1JJ103"/>
    <s v="001"/>
    <n v="0"/>
    <n v="1200"/>
    <n v="0"/>
    <n v="1200"/>
    <n v="0"/>
    <n v="1075.2"/>
    <n v="1075.2"/>
    <n v="124.8"/>
    <n v="124.8"/>
    <n v="124.8"/>
  </r>
  <r>
    <s v="73"/>
    <x v="2"/>
    <x v="11"/>
    <s v="ZT06F060"/>
    <x v="25"/>
    <s v="J103"/>
    <s v="PROMOCIÓN Y PROTECCIÓN DE DERECHOS"/>
    <s v="GI00J10300002D"/>
    <s v="GI00J10300002D PROMOCIÓN DE DERECHOS DE GRUPOS DE ATENC"/>
    <s v="73 BIENES Y SERVICIOS PARA INVERSIÓN"/>
    <s v="730811 Insumos, Materiales y Suministros para Cons"/>
    <s v="G/730811/1FJ103"/>
    <s v="001"/>
    <n v="3000"/>
    <n v="0"/>
    <n v="0"/>
    <n v="3000"/>
    <n v="0"/>
    <n v="0"/>
    <n v="0"/>
    <n v="3000"/>
    <n v="3000"/>
    <n v="3000"/>
  </r>
  <r>
    <s v="73"/>
    <x v="2"/>
    <x v="11"/>
    <s v="ZQ08F080"/>
    <x v="39"/>
    <s v="J103"/>
    <s v="PROMOCIÓN Y PROTECCIÓN DE DERECHOS"/>
    <s v="GI00J10300002D"/>
    <s v="GI00J10300002D PROMOCIÓN DE DERECHOS DE GRUPOS DE ATENC"/>
    <s v="73 BIENES Y SERVICIOS PARA INVERSIÓN"/>
    <s v="730812 Materiales Didácticos"/>
    <s v="G/730812/1FJ103"/>
    <s v="001"/>
    <n v="2500"/>
    <n v="0"/>
    <n v="0"/>
    <n v="2500"/>
    <n v="0"/>
    <n v="0"/>
    <n v="0"/>
    <n v="2500"/>
    <n v="2500"/>
    <n v="2500"/>
  </r>
  <r>
    <s v="73"/>
    <x v="2"/>
    <x v="11"/>
    <s v="ZT06F060"/>
    <x v="25"/>
    <s v="J103"/>
    <s v="PROMOCIÓN Y PROTECCIÓN DE DERECHOS"/>
    <s v="GI00J10300002D"/>
    <s v="GI00J10300002D PROMOCIÓN DE DERECHOS DE GRUPOS DE ATENC"/>
    <s v="73 BIENES Y SERVICIOS PARA INVERSIÓN"/>
    <s v="730812 Materiales Didácticos"/>
    <s v="G/730812/1FJ103"/>
    <s v="001"/>
    <n v="4000"/>
    <n v="0"/>
    <n v="0"/>
    <n v="4000"/>
    <n v="0"/>
    <n v="0"/>
    <n v="0"/>
    <n v="4000"/>
    <n v="4000"/>
    <n v="4000"/>
  </r>
  <r>
    <s v="73"/>
    <x v="2"/>
    <x v="11"/>
    <s v="ZM04F040"/>
    <x v="41"/>
    <s v="J103"/>
    <s v="PROMOCIÓN Y PROTECCIÓN DE DERECHOS"/>
    <s v="GI00J10300002D"/>
    <s v="GI00J10300002D PROMOCIÓN DE DERECHOS DE GRUPOS DE ATENC"/>
    <s v="73 BIENES Y SERVICIOS PARA INVERSIÓN"/>
    <s v="730812 Materiales Didácticos"/>
    <s v="G/730812/1FJ103"/>
    <s v="001"/>
    <n v="3000"/>
    <n v="0"/>
    <n v="0"/>
    <n v="3000"/>
    <n v="0"/>
    <n v="0"/>
    <n v="0"/>
    <n v="3000"/>
    <n v="3000"/>
    <n v="3000"/>
  </r>
  <r>
    <s v="73"/>
    <x v="2"/>
    <x v="11"/>
    <s v="ZN02F020"/>
    <x v="40"/>
    <s v="J103"/>
    <s v="PROMOCIÓN Y PROTECCIÓN DE DERECHOS"/>
    <s v="GI00J10300002D"/>
    <s v="GI00J10300002D PROMOCIÓN DE DERECHOS DE GRUPOS DE ATENC"/>
    <s v="73 BIENES Y SERVICIOS PARA INVERSIÓN"/>
    <s v="730812 Materiales Didácticos"/>
    <s v="G/730812/1FJ103"/>
    <s v="001"/>
    <n v="6000"/>
    <n v="0"/>
    <n v="0"/>
    <n v="6000"/>
    <n v="0"/>
    <n v="0"/>
    <n v="0"/>
    <n v="6000"/>
    <n v="6000"/>
    <n v="6000"/>
  </r>
  <r>
    <s v="73"/>
    <x v="1"/>
    <x v="4"/>
    <s v="ZA01J000"/>
    <x v="9"/>
    <s v="J103"/>
    <s v="PROMOCIÓN Y PROTECCIÓN DE DERECHOS"/>
    <s v="GI00J10300002D"/>
    <s v="GI00J10300002D PROMOCIÓN DE DERECHOS DE GRUPOS DE ATENC"/>
    <s v="73 BIENES Y SERVICIOS PARA INVERSIÓN"/>
    <s v="730820 Menaje y Accesorios Descartables"/>
    <s v="G/730820/1JJ103"/>
    <s v="001"/>
    <n v="0"/>
    <n v="100"/>
    <n v="0"/>
    <n v="100"/>
    <n v="0"/>
    <n v="67.2"/>
    <n v="67.2"/>
    <n v="32.799999999999997"/>
    <n v="32.799999999999997"/>
    <n v="32.799999999999997"/>
  </r>
  <r>
    <s v="73"/>
    <x v="2"/>
    <x v="11"/>
    <s v="ZT06F060"/>
    <x v="25"/>
    <s v="J103"/>
    <s v="PROMOCIÓN Y PROTECCIÓN DE DERECHOS"/>
    <s v="GI00J10300002D"/>
    <s v="GI00J10300002D PROMOCIÓN DE DERECHOS DE GRUPOS DE ATENC"/>
    <s v="73 BIENES Y SERVICIOS PARA INVERSIÓN"/>
    <s v="730820 Menaje y Accesorios Descartables"/>
    <s v="G/730820/1FJ103"/>
    <s v="001"/>
    <n v="500"/>
    <n v="0"/>
    <n v="0"/>
    <n v="500"/>
    <n v="0"/>
    <n v="0"/>
    <n v="0"/>
    <n v="500"/>
    <n v="500"/>
    <n v="500"/>
  </r>
  <r>
    <s v="73"/>
    <x v="2"/>
    <x v="11"/>
    <s v="ZN02F020"/>
    <x v="40"/>
    <s v="J103"/>
    <s v="PROMOCIÓN Y PROTECCIÓN DE DERECHOS"/>
    <s v="GI00J10300002D"/>
    <s v="GI00J10300002D PROMOCIÓN DE DERECHOS DE GRUPOS DE ATENC"/>
    <s v="73 BIENES Y SERVICIOS PARA INVERSIÓN"/>
    <s v="730820 Menaje y Accesorios Descartables"/>
    <s v="G/730820/1FJ103"/>
    <s v="001"/>
    <n v="6000"/>
    <n v="0"/>
    <n v="0"/>
    <n v="6000"/>
    <n v="0"/>
    <n v="0"/>
    <n v="0"/>
    <n v="6000"/>
    <n v="6000"/>
    <n v="6000"/>
  </r>
  <r>
    <s v="73"/>
    <x v="1"/>
    <x v="4"/>
    <s v="ZA01J000"/>
    <x v="9"/>
    <s v="J103"/>
    <s v="PROMOCIÓN Y PROTECCIÓN DE DERECHOS"/>
    <s v="GI00J10300002D"/>
    <s v="GI00J10300002D PROMOCIÓN DE DERECHOS DE GRUPOS DE ATENC"/>
    <s v="73 BIENES Y SERVICIOS PARA INVERSIÓN"/>
    <s v="730826 Dispositivos Médicos de Uso General"/>
    <s v="G/730826/1JJ103"/>
    <s v="001"/>
    <n v="0"/>
    <n v="250"/>
    <n v="0"/>
    <n v="250"/>
    <n v="0"/>
    <n v="235.2"/>
    <n v="235.2"/>
    <n v="14.8"/>
    <n v="14.8"/>
    <n v="14.8"/>
  </r>
  <r>
    <s v="73"/>
    <x v="1"/>
    <x v="4"/>
    <s v="ZA01J000"/>
    <x v="9"/>
    <s v="J103"/>
    <s v="PROMOCIÓN Y PROTECCIÓN DE DERECHOS"/>
    <s v="GI00J10300002D"/>
    <s v="GI00J10300002D PROMOCIÓN DE DERECHOS DE GRUPOS DE ATENC"/>
    <s v="73 BIENES Y SERVICIOS PARA INVERSIÓN"/>
    <s v="731404 Maquinarias y Equipos"/>
    <s v="G/731404/1JJ103"/>
    <s v="001"/>
    <n v="0"/>
    <n v="250"/>
    <n v="0"/>
    <n v="250"/>
    <n v="0"/>
    <n v="219.52"/>
    <n v="219.52"/>
    <n v="30.48"/>
    <n v="30.48"/>
    <n v="30.48"/>
  </r>
  <r>
    <s v="73"/>
    <x v="2"/>
    <x v="11"/>
    <s v="ZN02F020"/>
    <x v="40"/>
    <s v="J103"/>
    <s v="PROMOCIÓN Y PROTECCIÓN DE DERECHOS"/>
    <s v="GI00J10300002D"/>
    <s v="GI00J10300002D PROMOCIÓN DE DERECHOS DE GRUPOS DE ATENC"/>
    <s v="73 BIENES Y SERVICIOS PARA INVERSIÓN"/>
    <s v="731407 Equipos, Sistemas y Paquetes Informáticos"/>
    <s v="G/731407/1FJ103"/>
    <s v="001"/>
    <n v="6000"/>
    <n v="0"/>
    <n v="0"/>
    <n v="6000"/>
    <n v="0"/>
    <n v="0"/>
    <n v="0"/>
    <n v="6000"/>
    <n v="6000"/>
    <n v="6000"/>
  </r>
  <r>
    <s v="73"/>
    <x v="1"/>
    <x v="4"/>
    <s v="ZA01J000"/>
    <x v="9"/>
    <s v="J103"/>
    <s v="PROMOCIÓN Y PROTECCIÓN DE DERECHOS"/>
    <s v="GI00J10300004D"/>
    <s v="GI00J10300004D IMPLEMENTACIÓN CASA DE LA INCLUSIÓN A FA"/>
    <s v="73 BIENES Y SERVICIOS PARA INVERSIÓN"/>
    <s v="730101 Agua Potable"/>
    <s v="G/730101/1JJ103"/>
    <s v="001"/>
    <n v="1000"/>
    <n v="-1000"/>
    <n v="0"/>
    <n v="0"/>
    <n v="0"/>
    <n v="0"/>
    <n v="0"/>
    <n v="0"/>
    <n v="0"/>
    <n v="0"/>
  </r>
  <r>
    <s v="73"/>
    <x v="1"/>
    <x v="4"/>
    <s v="ZA01J000"/>
    <x v="9"/>
    <s v="J103"/>
    <s v="PROMOCIÓN Y PROTECCIÓN DE DERECHOS"/>
    <s v="GI00J10300004D"/>
    <s v="GI00J10300004D IMPLEMENTACIÓN CASA DE LA INCLUSIÓN A FA"/>
    <s v="73 BIENES Y SERVICIOS PARA INVERSIÓN"/>
    <s v="730104 Energía Eléctrica"/>
    <s v="G/730104/1JJ103"/>
    <s v="001"/>
    <n v="3000"/>
    <n v="-3000"/>
    <n v="0"/>
    <n v="0"/>
    <n v="0"/>
    <n v="0"/>
    <n v="0"/>
    <n v="0"/>
    <n v="0"/>
    <n v="0"/>
  </r>
  <r>
    <s v="73"/>
    <x v="1"/>
    <x v="4"/>
    <s v="ZA01J000"/>
    <x v="9"/>
    <s v="J103"/>
    <s v="PROMOCIÓN Y PROTECCIÓN DE DERECHOS"/>
    <s v="GI00J10300004D"/>
    <s v="GI00J10300004D IMPLEMENTACIÓN CASA DE LA INCLUSIÓN A FA"/>
    <s v="73 BIENES Y SERVICIOS PARA INVERSIÓN"/>
    <s v="730105 Telecomunicaciones"/>
    <s v="G/730105/1JJ103"/>
    <s v="001"/>
    <n v="7000"/>
    <n v="-7000"/>
    <n v="0"/>
    <n v="0"/>
    <n v="0"/>
    <n v="0"/>
    <n v="0"/>
    <n v="0"/>
    <n v="0"/>
    <n v="0"/>
  </r>
  <r>
    <s v="73"/>
    <x v="1"/>
    <x v="4"/>
    <s v="ZA01J000"/>
    <x v="9"/>
    <s v="J103"/>
    <s v="PROMOCIÓN Y PROTECCIÓN DE DERECHOS"/>
    <s v="GI00J10300004D"/>
    <s v="GI00J10300004D IMPLEMENTACIÓN CASA DE LA INCLUSIÓN A FA"/>
    <s v="73 BIENES Y SERVICIOS PARA INVERSIÓN"/>
    <s v="730208 Servicio de Seguridad y Vigilancia"/>
    <s v="G/730208/1JJ103"/>
    <s v="001"/>
    <n v="30000"/>
    <n v="-30000"/>
    <n v="0"/>
    <n v="0"/>
    <n v="0"/>
    <n v="0"/>
    <n v="0"/>
    <n v="0"/>
    <n v="0"/>
    <n v="0"/>
  </r>
  <r>
    <s v="73"/>
    <x v="1"/>
    <x v="4"/>
    <s v="ZA01J000"/>
    <x v="9"/>
    <s v="J103"/>
    <s v="PROMOCIÓN Y PROTECCIÓN DE DERECHOS"/>
    <s v="GI00J10300004D"/>
    <s v="GI00J10300004D IMPLEMENTACIÓN CASA DE LA INCLUSIÓN A FA"/>
    <s v="73 BIENES Y SERVICIOS PARA INVERSIÓN"/>
    <s v="730224 Servicio de Implementación de Bancos de Inf"/>
    <s v="G/730224/1JJ103"/>
    <s v="001"/>
    <n v="7400"/>
    <n v="600"/>
    <n v="0"/>
    <n v="8000"/>
    <n v="0"/>
    <n v="0"/>
    <n v="0"/>
    <n v="8000"/>
    <n v="8000"/>
    <n v="8000"/>
  </r>
  <r>
    <s v="73"/>
    <x v="1"/>
    <x v="4"/>
    <s v="ZA01J000"/>
    <x v="9"/>
    <s v="J103"/>
    <s v="PROMOCIÓN Y PROTECCIÓN DE DERECHOS"/>
    <s v="GI00J10300004D"/>
    <s v="GI00J10300004D IMPLEMENTACIÓN CASA DE LA INCLUSIÓN A FA"/>
    <s v="73 BIENES Y SERVICIOS PARA INVERSIÓN"/>
    <s v="730235 Servicio de Alimentación"/>
    <s v="G/730235/1JJ103"/>
    <s v="001"/>
    <n v="3000"/>
    <n v="-3000"/>
    <n v="0"/>
    <n v="0"/>
    <n v="0"/>
    <n v="0"/>
    <n v="0"/>
    <n v="0"/>
    <n v="0"/>
    <n v="0"/>
  </r>
  <r>
    <s v="73"/>
    <x v="1"/>
    <x v="4"/>
    <s v="ZA01J000"/>
    <x v="9"/>
    <s v="J103"/>
    <s v="PROMOCIÓN Y PROTECCIÓN DE DERECHOS"/>
    <s v="GI00J10300004D"/>
    <s v="GI00J10300004D IMPLEMENTACIÓN CASA DE LA INCLUSIÓN A FA"/>
    <s v="73 BIENES Y SERVICIOS PARA INVERSIÓN"/>
    <s v="730402 Edificios, Locales, Residencias y Cablea"/>
    <s v="G/730402/1JJ103"/>
    <s v="001"/>
    <n v="340000"/>
    <n v="-340000"/>
    <n v="0"/>
    <n v="0"/>
    <n v="0"/>
    <n v="0"/>
    <n v="0"/>
    <n v="0"/>
    <n v="0"/>
    <n v="0"/>
  </r>
  <r>
    <s v="73"/>
    <x v="1"/>
    <x v="4"/>
    <s v="ZA01J000"/>
    <x v="9"/>
    <s v="J103"/>
    <s v="PROMOCIÓN Y PROTECCIÓN DE DERECHOS"/>
    <s v="GI00J10300004D"/>
    <s v="GI00J10300004D IMPLEMENTACIÓN CASA DE LA INCLUSIÓN A FA"/>
    <s v="73 BIENES Y SERVICIOS PARA INVERSIÓN"/>
    <s v="730606 Honorarios por Contratos Civiles de Servici"/>
    <s v="G/730606/1JJ103"/>
    <s v="001"/>
    <n v="154916.70000000001"/>
    <n v="-11324.58"/>
    <n v="0"/>
    <n v="143592.12"/>
    <n v="0"/>
    <n v="0"/>
    <n v="0"/>
    <n v="143592.12"/>
    <n v="143592.12"/>
    <n v="143592.12"/>
  </r>
  <r>
    <s v="73"/>
    <x v="1"/>
    <x v="4"/>
    <s v="ZA01J000"/>
    <x v="9"/>
    <s v="J103"/>
    <s v="PROMOCIÓN Y PROTECCIÓN DE DERECHOS"/>
    <s v="GI00J10300004D"/>
    <s v="GI00J10300004D IMPLEMENTACIÓN CASA DE LA INCLUSIÓN A FA"/>
    <s v="73 BIENES Y SERVICIOS PARA INVERSIÓN"/>
    <s v="730613 Capacitación para la Ciudadanía en Gener"/>
    <s v="G/730613/1JJ103"/>
    <s v="001"/>
    <n v="35000"/>
    <n v="-35000"/>
    <n v="0"/>
    <n v="0"/>
    <n v="0"/>
    <n v="0"/>
    <n v="0"/>
    <n v="0"/>
    <n v="0"/>
    <n v="0"/>
  </r>
  <r>
    <s v="73"/>
    <x v="1"/>
    <x v="4"/>
    <s v="ZA01J000"/>
    <x v="9"/>
    <s v="J103"/>
    <s v="PROMOCIÓN Y PROTECCIÓN DE DERECHOS"/>
    <s v="GI00J10300004D"/>
    <s v="GI00J10300004D IMPLEMENTACIÓN CASA DE LA INCLUSIÓN A FA"/>
    <s v="73 BIENES Y SERVICIOS PARA INVERSIÓN"/>
    <s v="730820 Menaje y Accesorios Descartables"/>
    <s v="G/730820/1JJ103"/>
    <s v="001"/>
    <n v="1000"/>
    <n v="-1000"/>
    <n v="0"/>
    <n v="0"/>
    <n v="0"/>
    <n v="0"/>
    <n v="0"/>
    <n v="0"/>
    <n v="0"/>
    <n v="0"/>
  </r>
  <r>
    <s v="73"/>
    <x v="1"/>
    <x v="4"/>
    <s v="ZA01J000"/>
    <x v="9"/>
    <s v="J103"/>
    <s v="PROMOCIÓN Y PROTECCIÓN DE DERECHOS"/>
    <s v="GI00J10300004D"/>
    <s v="GI00J10300004D IMPLEMENTACIÓN CASA DE LA INCLUSIÓN A FA"/>
    <s v="73 BIENES Y SERVICIOS PARA INVERSIÓN"/>
    <s v="731403 Mobiliarios"/>
    <s v="G/731403/1JJ103"/>
    <s v="001"/>
    <n v="4083.3"/>
    <n v="-4083.3"/>
    <n v="0"/>
    <n v="0"/>
    <n v="0"/>
    <n v="0"/>
    <n v="0"/>
    <n v="0"/>
    <n v="0"/>
    <n v="0"/>
  </r>
  <r>
    <s v="73"/>
    <x v="1"/>
    <x v="4"/>
    <s v="ZA01J000"/>
    <x v="9"/>
    <s v="J103"/>
    <s v="PROMOCIÓN Y PROTECCIÓN DE DERECHOS"/>
    <s v="GI00J10300004D"/>
    <s v="GI00J10300004D IMPLEMENTACIÓN CASA DE LA INCLUSIÓN A FA"/>
    <s v="73 BIENES Y SERVICIOS PARA INVERSIÓN"/>
    <s v="731404 Maquinarias y Equipos"/>
    <s v="G/731404/1JJ103"/>
    <s v="001"/>
    <n v="1000"/>
    <n v="-1000"/>
    <n v="0"/>
    <n v="0"/>
    <n v="0"/>
    <n v="0"/>
    <n v="0"/>
    <n v="0"/>
    <n v="0"/>
    <n v="0"/>
  </r>
  <r>
    <s v="73"/>
    <x v="2"/>
    <x v="6"/>
    <s v="AT69K040"/>
    <x v="13"/>
    <s v="K305"/>
    <s v="MOVILIDAD SEGURA"/>
    <s v="GI00K30500003D"/>
    <s v="GI00K30500003D AUDITORÍA DE SEGURIDAD VIAL"/>
    <s v="73 BIENES Y SERVICIOS PARA INVERSIÓN"/>
    <s v="730612 Capacitación a Servidores Públicos"/>
    <s v="G/730612/3KK305"/>
    <s v="001"/>
    <n v="16573.349999999999"/>
    <n v="0"/>
    <n v="0"/>
    <n v="16573.349999999999"/>
    <n v="0"/>
    <n v="0"/>
    <n v="0"/>
    <n v="16573.349999999999"/>
    <n v="16573.349999999999"/>
    <n v="16573.349999999999"/>
  </r>
  <r>
    <s v="73"/>
    <x v="2"/>
    <x v="6"/>
    <s v="ZA01K000"/>
    <x v="17"/>
    <s v="K305"/>
    <s v="MOVILIDAD SEGURA"/>
    <s v="GI00K30500004D"/>
    <s v="GI00K30500004D EDUCACIÓN VIAL"/>
    <s v="73 BIENES Y SERVICIOS PARA INVERSIÓN"/>
    <s v="730207 Difusión, Información y Publicidad"/>
    <s v="G/730207/3KK305"/>
    <s v="001"/>
    <n v="600000"/>
    <n v="0"/>
    <n v="0"/>
    <n v="600000"/>
    <n v="0"/>
    <n v="599999.97"/>
    <n v="78400"/>
    <n v="0.03"/>
    <n v="521600"/>
    <n v="0.03"/>
  </r>
  <r>
    <s v="73"/>
    <x v="2"/>
    <x v="6"/>
    <s v="AT69K040"/>
    <x v="13"/>
    <s v="K305"/>
    <s v="MOVILIDAD SEGURA"/>
    <s v="GI00K30500005D"/>
    <s v="GI00K30500005D EDUCACIÓN Y SEGURIDAD VIAL"/>
    <s v="73 BIENES Y SERVICIOS PARA INVERSIÓN"/>
    <s v="730204 Edición, Impresión, Reproducción, Public"/>
    <s v="G/730204/3KK305"/>
    <s v="001"/>
    <n v="3571.36"/>
    <n v="0"/>
    <n v="0"/>
    <n v="3571.36"/>
    <n v="0"/>
    <n v="0"/>
    <n v="0"/>
    <n v="3571.36"/>
    <n v="3571.36"/>
    <n v="3571.36"/>
  </r>
  <r>
    <s v="73"/>
    <x v="2"/>
    <x v="6"/>
    <s v="AT69K040"/>
    <x v="13"/>
    <s v="K305"/>
    <s v="MOVILIDAD SEGURA"/>
    <s v="GI00K30500005D"/>
    <s v="GI00K30500005D EDUCACIÓN Y SEGURIDAD VIAL"/>
    <s v="73 BIENES Y SERVICIOS PARA INVERSIÓN"/>
    <s v="730612 Capacitación a Servidores Públicos"/>
    <s v="G/730612/3KK305"/>
    <s v="001"/>
    <n v="5600"/>
    <n v="0"/>
    <n v="0"/>
    <n v="5600"/>
    <n v="0"/>
    <n v="0"/>
    <n v="0"/>
    <n v="5600"/>
    <n v="5600"/>
    <n v="5600"/>
  </r>
  <r>
    <s v="73"/>
    <x v="2"/>
    <x v="6"/>
    <s v="AT69K040"/>
    <x v="13"/>
    <s v="K305"/>
    <s v="MOVILIDAD SEGURA"/>
    <s v="GI00K30500005D"/>
    <s v="GI00K30500005D EDUCACIÓN Y SEGURIDAD VIAL"/>
    <s v="73 BIENES Y SERVICIOS PARA INVERSIÓN"/>
    <s v="730802 Vestuario, Lencería, Prendas de Protecci"/>
    <s v="G/730802/3KK305"/>
    <s v="001"/>
    <n v="640"/>
    <n v="0"/>
    <n v="0"/>
    <n v="640"/>
    <n v="0"/>
    <n v="630"/>
    <n v="630"/>
    <n v="10"/>
    <n v="10"/>
    <n v="10"/>
  </r>
  <r>
    <s v="73"/>
    <x v="2"/>
    <x v="6"/>
    <s v="AT69K040"/>
    <x v="13"/>
    <s v="K305"/>
    <s v="MOVILIDAD SEGURA"/>
    <s v="GI00K30500005D"/>
    <s v="GI00K30500005D EDUCACIÓN Y SEGURIDAD VIAL"/>
    <s v="73 BIENES Y SERVICIOS PARA INVERSIÓN"/>
    <s v="730811 Insumos, Materiales y Suministros para Cons"/>
    <s v="G/730811/3KK305"/>
    <s v="001"/>
    <n v="2150"/>
    <n v="0"/>
    <n v="0"/>
    <n v="2150"/>
    <n v="0"/>
    <n v="0"/>
    <n v="0"/>
    <n v="2150"/>
    <n v="2150"/>
    <n v="2150"/>
  </r>
  <r>
    <s v="73"/>
    <x v="2"/>
    <x v="6"/>
    <s v="AT69K040"/>
    <x v="13"/>
    <s v="K305"/>
    <s v="MOVILIDAD SEGURA"/>
    <s v="GI00K30500005D"/>
    <s v="GI00K30500005D EDUCACIÓN Y SEGURIDAD VIAL"/>
    <s v="73 BIENES Y SERVICIOS PARA INVERSIÓN"/>
    <s v="730812 Materiales Didácticos"/>
    <s v="G/730812/3KK305"/>
    <s v="001"/>
    <n v="8862.4500000000007"/>
    <n v="0"/>
    <n v="0"/>
    <n v="8862.4500000000007"/>
    <n v="0"/>
    <n v="0"/>
    <n v="0"/>
    <n v="8862.4500000000007"/>
    <n v="8862.4500000000007"/>
    <n v="8862.4500000000007"/>
  </r>
  <r>
    <s v="73"/>
    <x v="2"/>
    <x v="6"/>
    <s v="AT69K040"/>
    <x v="13"/>
    <s v="K305"/>
    <s v="MOVILIDAD SEGURA"/>
    <s v="GI00K30500005D"/>
    <s v="GI00K30500005D EDUCACIÓN Y SEGURIDAD VIAL"/>
    <s v="73 BIENES Y SERVICIOS PARA INVERSIÓN"/>
    <s v="731403 Mobiliarios"/>
    <s v="G/731403/3KK305"/>
    <s v="001"/>
    <n v="408"/>
    <n v="0"/>
    <n v="0"/>
    <n v="408"/>
    <n v="0"/>
    <n v="407.9"/>
    <n v="407.9"/>
    <n v="0.1"/>
    <n v="0.1"/>
    <n v="0.1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105 Telecomunicaciones"/>
    <s v="G/730105/3KK305"/>
    <s v="001"/>
    <n v="68000"/>
    <n v="0"/>
    <n v="0"/>
    <n v="68000"/>
    <n v="0"/>
    <n v="0"/>
    <n v="0"/>
    <n v="68000"/>
    <n v="68000"/>
    <n v="68000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204 Edición, Impresión, Reproducción, Public"/>
    <s v="G/730204/3KK305"/>
    <s v="001"/>
    <n v="568799.62"/>
    <n v="160872.6"/>
    <n v="0"/>
    <n v="729672.22"/>
    <n v="27.01"/>
    <n v="413115.78"/>
    <n v="76080.11"/>
    <n v="316556.44"/>
    <n v="653592.11"/>
    <n v="316529.43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205 Espectáculos Culturales y Sociales"/>
    <s v="G/730205/3KK305"/>
    <s v="001"/>
    <n v="0"/>
    <n v="112000"/>
    <n v="0"/>
    <n v="112000"/>
    <n v="1282.8399999999999"/>
    <n v="78233.52"/>
    <n v="78233.52"/>
    <n v="33766.480000000003"/>
    <n v="33766.480000000003"/>
    <n v="32483.64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207 Difusión, Información y Publicidad"/>
    <s v="G/730207/3KK305"/>
    <s v="001"/>
    <n v="0"/>
    <n v="213267.66"/>
    <n v="0"/>
    <n v="213267.66"/>
    <n v="0"/>
    <n v="207594.26"/>
    <n v="174220.37"/>
    <n v="5673.4"/>
    <n v="39047.29"/>
    <n v="5673.4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208 Servicio de Seguridad y Vigilancia"/>
    <s v="G/730208/3KK305"/>
    <s v="001"/>
    <n v="454826.78"/>
    <n v="1460752.74"/>
    <n v="0"/>
    <n v="1915579.52"/>
    <n v="0"/>
    <n v="1622237.62"/>
    <n v="1046431"/>
    <n v="293341.90000000002"/>
    <n v="869148.52"/>
    <n v="293341.90000000002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235 Servicio de Alimentación"/>
    <s v="G/730235/3KK305"/>
    <s v="001"/>
    <n v="3500"/>
    <n v="0"/>
    <n v="0"/>
    <n v="3500"/>
    <n v="0"/>
    <n v="0"/>
    <n v="0"/>
    <n v="3500"/>
    <n v="3500"/>
    <n v="3500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404 Maquinarias y Equipos (Instalación, Mant"/>
    <s v="G/730404/3KK305"/>
    <s v="001"/>
    <n v="267847.34000000003"/>
    <n v="14000"/>
    <n v="0"/>
    <n v="281847.34000000003"/>
    <n v="392"/>
    <n v="162700.93"/>
    <n v="29972.55"/>
    <n v="119146.41"/>
    <n v="251874.79"/>
    <n v="118754.41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405 Vehículos (Servicio para Mantenimiento y"/>
    <s v="G/730405/3KK305"/>
    <s v="001"/>
    <n v="751887.45"/>
    <n v="322342.14"/>
    <n v="0"/>
    <n v="1074229.5900000001"/>
    <n v="173323.17"/>
    <n v="549664.97"/>
    <n v="346937.52"/>
    <n v="524564.62"/>
    <n v="727292.07"/>
    <n v="351241.45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505 Vehículos (Arrendamiento)"/>
    <s v="G/730505/3KK305"/>
    <s v="001"/>
    <n v="11082"/>
    <n v="0"/>
    <n v="0"/>
    <n v="11082"/>
    <n v="0"/>
    <n v="4496.72"/>
    <n v="4496.67"/>
    <n v="6585.28"/>
    <n v="6585.33"/>
    <n v="6585.28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601 Consultoría, Asesoría e Investigación Es"/>
    <s v="G/730601/3KK305"/>
    <s v="001"/>
    <n v="56754.51"/>
    <n v="0"/>
    <n v="0"/>
    <n v="56754.51"/>
    <n v="0"/>
    <n v="0"/>
    <n v="0"/>
    <n v="56754.51"/>
    <n v="56754.51"/>
    <n v="56754.51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612 Capacitación a Servidores Públicos"/>
    <s v="G/730612/3KK305"/>
    <s v="001"/>
    <n v="16000"/>
    <n v="0"/>
    <n v="0"/>
    <n v="16000"/>
    <n v="0"/>
    <n v="0"/>
    <n v="0"/>
    <n v="16000"/>
    <n v="16000"/>
    <n v="16000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702 Arrendamiento y Licencias de Uso de Paquete"/>
    <s v="G/730702/3KK305"/>
    <s v="001"/>
    <n v="80355.929999999993"/>
    <n v="11707.14"/>
    <n v="0"/>
    <n v="92063.07"/>
    <n v="0"/>
    <n v="58574.720000000001"/>
    <n v="58228.97"/>
    <n v="33488.35"/>
    <n v="33834.1"/>
    <n v="33488.35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802 Vestuario, Lencería, Prendas de Protecci"/>
    <s v="G/730802/3KK305"/>
    <s v="001"/>
    <n v="1787832.17"/>
    <n v="116819.89"/>
    <n v="0"/>
    <n v="1904652.06"/>
    <n v="0.03"/>
    <n v="1812836.14"/>
    <n v="25004"/>
    <n v="91815.92"/>
    <n v="1879648.06"/>
    <n v="91815.89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803 Combustibles y Lubricantes"/>
    <s v="G/730803/3KK305"/>
    <s v="001"/>
    <n v="76552.070000000007"/>
    <n v="390970.61"/>
    <n v="0"/>
    <n v="467522.68"/>
    <n v="33571.449999999997"/>
    <n v="357262.57"/>
    <n v="240647.27"/>
    <n v="110260.11"/>
    <n v="226875.41"/>
    <n v="76688.66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804 Materiales de Oficina"/>
    <s v="G/730804/3KK305"/>
    <s v="001"/>
    <n v="53600"/>
    <n v="64000"/>
    <n v="0"/>
    <n v="117600"/>
    <n v="376.32"/>
    <n v="6394.75"/>
    <n v="6394.75"/>
    <n v="111205.25"/>
    <n v="111205.25"/>
    <n v="110828.93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805 Materiales de Aseo"/>
    <s v="G/730805/3KK305"/>
    <s v="001"/>
    <n v="0"/>
    <n v="112.19"/>
    <n v="0"/>
    <n v="112.19"/>
    <n v="0"/>
    <n v="0"/>
    <n v="0"/>
    <n v="112.19"/>
    <n v="112.19"/>
    <n v="112.19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807 Materiales de Impresión, Fotografía, Rep"/>
    <s v="G/730807/3KK305"/>
    <s v="001"/>
    <n v="0"/>
    <n v="6000"/>
    <n v="0"/>
    <n v="6000"/>
    <n v="5828.48"/>
    <n v="0"/>
    <n v="0"/>
    <n v="6000"/>
    <n v="6000"/>
    <n v="171.52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808 Instrumental Médico Quirúrgico"/>
    <s v="G/730808/3KK305"/>
    <s v="001"/>
    <n v="0"/>
    <n v="78.400000000000006"/>
    <n v="0"/>
    <n v="78.400000000000006"/>
    <n v="0"/>
    <n v="0"/>
    <n v="0"/>
    <n v="78.400000000000006"/>
    <n v="78.400000000000006"/>
    <n v="78.400000000000006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809 Medicamentos"/>
    <s v="G/730809/3KK305"/>
    <s v="001"/>
    <n v="0"/>
    <n v="2564.8000000000002"/>
    <n v="0"/>
    <n v="2564.8000000000002"/>
    <n v="0"/>
    <n v="0"/>
    <n v="0"/>
    <n v="2564.8000000000002"/>
    <n v="2564.8000000000002"/>
    <n v="2564.8000000000002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810 Dispositivos Médicos para Laboratorio Cl"/>
    <s v="G/730810/3KK305"/>
    <s v="001"/>
    <n v="0"/>
    <n v="65.709999999999994"/>
    <n v="0"/>
    <n v="65.709999999999994"/>
    <n v="0"/>
    <n v="0"/>
    <n v="0"/>
    <n v="65.709999999999994"/>
    <n v="65.709999999999994"/>
    <n v="65.709999999999994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811 Insumos, Materiales y Suministros para Cons"/>
    <s v="G/730811/3KK305"/>
    <s v="001"/>
    <n v="97428.4"/>
    <n v="27744.71"/>
    <n v="0"/>
    <n v="125173.11"/>
    <n v="1722.83"/>
    <n v="88667.91"/>
    <n v="76099.539999999994"/>
    <n v="36505.199999999997"/>
    <n v="49073.57"/>
    <n v="34782.370000000003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813 Repuestos y Accesorios"/>
    <s v="G/730813/3KK305"/>
    <s v="001"/>
    <n v="2154545"/>
    <n v="289980.45"/>
    <n v="0"/>
    <n v="2444525.4500000002"/>
    <n v="276287.52"/>
    <n v="1280478.3400000001"/>
    <n v="844377.46"/>
    <n v="1164047.1100000001"/>
    <n v="1600147.99"/>
    <n v="887759.59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826 Dispositivos Médicos de Uso General"/>
    <s v="G/730826/3KK305"/>
    <s v="001"/>
    <n v="0"/>
    <n v="280060.09999999998"/>
    <n v="0"/>
    <n v="280060.09999999998"/>
    <n v="14.56"/>
    <n v="164821.44"/>
    <n v="164821.44"/>
    <n v="115238.66"/>
    <n v="115238.66"/>
    <n v="115224.1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0832 Dispositivos Médicos para Odontología"/>
    <s v="G/730832/3KK305"/>
    <s v="001"/>
    <n v="0"/>
    <n v="3387.44"/>
    <n v="0"/>
    <n v="3387.44"/>
    <n v="0"/>
    <n v="0"/>
    <n v="0"/>
    <n v="3387.44"/>
    <n v="3387.44"/>
    <n v="3387.44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1404 Maquinarias y Equipos"/>
    <s v="G/731404/3KK305"/>
    <s v="001"/>
    <n v="5000"/>
    <n v="0"/>
    <n v="0"/>
    <n v="5000"/>
    <n v="0"/>
    <n v="0"/>
    <n v="0"/>
    <n v="5000"/>
    <n v="5000"/>
    <n v="5000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1406 Herramientas y equipos menores"/>
    <s v="G/731406/3KK305"/>
    <s v="001"/>
    <n v="0"/>
    <n v="5767.34"/>
    <n v="0"/>
    <n v="5767.34"/>
    <n v="0"/>
    <n v="0"/>
    <n v="0"/>
    <n v="5767.34"/>
    <n v="5767.34"/>
    <n v="5767.34"/>
  </r>
  <r>
    <s v="73"/>
    <x v="2"/>
    <x v="6"/>
    <s v="AT69K040"/>
    <x v="13"/>
    <s v="K305"/>
    <s v="MOVILIDAD SEGURA"/>
    <s v="GI00K30500006D"/>
    <s v="GI00K30500006D FORTALECIMIENTO DEL CONTROL DEL TRÁNSITO"/>
    <s v="73 BIENES Y SERVICIOS PARA INVERSIÓN"/>
    <s v="731407 Equipos, Sistemas y Paquetes Informáticos"/>
    <s v="G/731407/3KK305"/>
    <s v="001"/>
    <n v="0"/>
    <n v="1769.6"/>
    <n v="0"/>
    <n v="1769.6"/>
    <n v="0"/>
    <n v="1769.6"/>
    <n v="1769.6"/>
    <n v="0"/>
    <n v="0"/>
    <n v="0"/>
  </r>
  <r>
    <s v="73"/>
    <x v="2"/>
    <x v="6"/>
    <s v="AT69K040"/>
    <x v="13"/>
    <s v="K305"/>
    <s v="MOVILIDAD SEGURA"/>
    <s v="GI00K30500007D"/>
    <s v="GI00K30500007D MODERNIZACIÓN DE LOS SERVICIOS DE LA AGE"/>
    <s v="73 BIENES Y SERVICIOS PARA INVERSIÓN"/>
    <s v="730105 Telecomunicaciones"/>
    <s v="G/730105/3KK305"/>
    <s v="001"/>
    <n v="552503.43999999994"/>
    <n v="0"/>
    <n v="0"/>
    <n v="552503.43999999994"/>
    <n v="10200"/>
    <n v="503099.03"/>
    <n v="265667.21000000002"/>
    <n v="49404.41"/>
    <n v="286836.23"/>
    <n v="39204.410000000003"/>
  </r>
  <r>
    <s v="73"/>
    <x v="2"/>
    <x v="6"/>
    <s v="AT69K040"/>
    <x v="13"/>
    <s v="K305"/>
    <s v="MOVILIDAD SEGURA"/>
    <s v="GI00K30500007D"/>
    <s v="GI00K30500007D MODERNIZACIÓN DE LOS SERVICIOS DE LA AGE"/>
    <s v="73 BIENES Y SERVICIOS PARA INVERSIÓN"/>
    <s v="730204 Edición, Impresión, Reproducción, Public"/>
    <s v="G/730204/3KK305"/>
    <s v="001"/>
    <n v="317500"/>
    <n v="0"/>
    <n v="0"/>
    <n v="317500"/>
    <n v="0"/>
    <n v="186742.93"/>
    <n v="66742.929999999993"/>
    <n v="130757.07"/>
    <n v="250757.07"/>
    <n v="130757.07"/>
  </r>
  <r>
    <s v="73"/>
    <x v="2"/>
    <x v="6"/>
    <s v="AT69K040"/>
    <x v="13"/>
    <s v="K305"/>
    <s v="MOVILIDAD SEGURA"/>
    <s v="GI00K30500007D"/>
    <s v="GI00K30500007D MODERNIZACIÓN DE LOS SERVICIOS DE LA AGE"/>
    <s v="73 BIENES Y SERVICIOS PARA INVERSIÓN"/>
    <s v="730404 Maquinarias y Equipos (Instalación, Mant"/>
    <s v="G/730404/3KK305"/>
    <s v="001"/>
    <n v="97969.33"/>
    <n v="0"/>
    <n v="0"/>
    <n v="97969.33"/>
    <n v="4060"/>
    <n v="0"/>
    <n v="0"/>
    <n v="97969.33"/>
    <n v="97969.33"/>
    <n v="93909.33"/>
  </r>
  <r>
    <s v="73"/>
    <x v="2"/>
    <x v="6"/>
    <s v="AT69K040"/>
    <x v="13"/>
    <s v="K305"/>
    <s v="MOVILIDAD SEGURA"/>
    <s v="GI00K30500007D"/>
    <s v="GI00K30500007D MODERNIZACIÓN DE LOS SERVICIOS DE LA AGE"/>
    <s v="73 BIENES Y SERVICIOS PARA INVERSIÓN"/>
    <s v="730405 Vehículos (Servicio para Mantenimiento y"/>
    <s v="G/730405/3KK305"/>
    <s v="001"/>
    <n v="43306.67"/>
    <n v="0"/>
    <n v="0"/>
    <n v="43306.67"/>
    <n v="0"/>
    <n v="0"/>
    <n v="0"/>
    <n v="43306.67"/>
    <n v="43306.67"/>
    <n v="43306.67"/>
  </r>
  <r>
    <s v="73"/>
    <x v="2"/>
    <x v="6"/>
    <s v="AT69K040"/>
    <x v="13"/>
    <s v="K305"/>
    <s v="MOVILIDAD SEGURA"/>
    <s v="GI00K30500007D"/>
    <s v="GI00K30500007D MODERNIZACIÓN DE LOS SERVICIOS DE LA AGE"/>
    <s v="73 BIENES Y SERVICIOS PARA INVERSIÓN"/>
    <s v="730701 Desarrollo, Actualización, Asistencia Té"/>
    <s v="G/730701/3KK305"/>
    <s v="001"/>
    <n v="298200"/>
    <n v="0"/>
    <n v="0"/>
    <n v="298200"/>
    <n v="0"/>
    <n v="6944"/>
    <n v="6944"/>
    <n v="291256"/>
    <n v="291256"/>
    <n v="291256"/>
  </r>
  <r>
    <s v="73"/>
    <x v="2"/>
    <x v="6"/>
    <s v="AT69K040"/>
    <x v="13"/>
    <s v="K305"/>
    <s v="MOVILIDAD SEGURA"/>
    <s v="GI00K30500007D"/>
    <s v="GI00K30500007D MODERNIZACIÓN DE LOS SERVICIOS DE LA AGE"/>
    <s v="73 BIENES Y SERVICIOS PARA INVERSIÓN"/>
    <s v="730702 Arrendamiento y Licencias de Uso de Paquete"/>
    <s v="G/730702/3KK305"/>
    <s v="001"/>
    <n v="300805.33"/>
    <n v="0"/>
    <n v="0"/>
    <n v="300805.33"/>
    <n v="0"/>
    <n v="107328.16"/>
    <n v="79889.59"/>
    <n v="193477.17"/>
    <n v="220915.74"/>
    <n v="193477.17"/>
  </r>
  <r>
    <s v="73"/>
    <x v="2"/>
    <x v="6"/>
    <s v="AT69K040"/>
    <x v="13"/>
    <s v="K305"/>
    <s v="MOVILIDAD SEGURA"/>
    <s v="GI00K30500007D"/>
    <s v="GI00K30500007D MODERNIZACIÓN DE LOS SERVICIOS DE LA AGE"/>
    <s v="73 BIENES Y SERVICIOS PARA INVERSIÓN"/>
    <s v="730704 Mantenimiento y Reparación de Equipos y"/>
    <s v="G/730704/3KK305"/>
    <s v="001"/>
    <n v="189097.81"/>
    <n v="0"/>
    <n v="0"/>
    <n v="189097.81"/>
    <n v="50624"/>
    <n v="117600"/>
    <n v="117600"/>
    <n v="71497.81"/>
    <n v="71497.81"/>
    <n v="20873.810000000001"/>
  </r>
  <r>
    <s v="73"/>
    <x v="2"/>
    <x v="6"/>
    <s v="AT69K040"/>
    <x v="13"/>
    <s v="K305"/>
    <s v="MOVILIDAD SEGURA"/>
    <s v="GI00K30500007D"/>
    <s v="GI00K30500007D MODERNIZACIÓN DE LOS SERVICIOS DE LA AGE"/>
    <s v="73 BIENES Y SERVICIOS PARA INVERSIÓN"/>
    <s v="730804 Materiales de Oficina"/>
    <s v="G/730804/3KK305"/>
    <s v="001"/>
    <n v="14374.83"/>
    <n v="0"/>
    <n v="0"/>
    <n v="14374.83"/>
    <n v="0"/>
    <n v="0"/>
    <n v="0"/>
    <n v="14374.83"/>
    <n v="14374.83"/>
    <n v="14374.83"/>
  </r>
  <r>
    <s v="73"/>
    <x v="2"/>
    <x v="6"/>
    <s v="AT69K040"/>
    <x v="13"/>
    <s v="K305"/>
    <s v="MOVILIDAD SEGURA"/>
    <s v="GI00K30500007D"/>
    <s v="GI00K30500007D MODERNIZACIÓN DE LOS SERVICIOS DE LA AGE"/>
    <s v="73 BIENES Y SERVICIOS PARA INVERSIÓN"/>
    <s v="730813 Repuestos y Accesorios"/>
    <s v="G/730813/3KK305"/>
    <s v="001"/>
    <n v="45912"/>
    <n v="0"/>
    <n v="0"/>
    <n v="45912"/>
    <n v="638.4"/>
    <n v="0"/>
    <n v="0"/>
    <n v="45912"/>
    <n v="45912"/>
    <n v="45273.599999999999"/>
  </r>
  <r>
    <s v="73"/>
    <x v="2"/>
    <x v="6"/>
    <s v="AT69K040"/>
    <x v="13"/>
    <s v="K305"/>
    <s v="MOVILIDAD SEGURA"/>
    <s v="GI00K30500007D"/>
    <s v="GI00K30500007D MODERNIZACIÓN DE LOS SERVICIOS DE LA AGE"/>
    <s v="73 BIENES Y SERVICIOS PARA INVERSIÓN"/>
    <s v="731403 Mobiliarios"/>
    <s v="G/731403/3KK305"/>
    <s v="001"/>
    <n v="15000"/>
    <n v="0"/>
    <n v="0"/>
    <n v="15000"/>
    <n v="0"/>
    <n v="0"/>
    <n v="0"/>
    <n v="15000"/>
    <n v="15000"/>
    <n v="15000"/>
  </r>
  <r>
    <s v="73"/>
    <x v="2"/>
    <x v="6"/>
    <s v="ZA01K000"/>
    <x v="17"/>
    <s v="K308"/>
    <s v="MOVILIDAD SOSTENIBLE"/>
    <s v="GI00K30800002D"/>
    <s v="GI00K30800002D MEJORAMIENTO DE LA CIRCULACIÓN DEL TRÁFI"/>
    <s v="73 BIENES Y SERVICIOS PARA INVERSIÓN"/>
    <s v="730207 Difusión, Información y Publicidad"/>
    <s v="G/730207/3KK308"/>
    <s v="001"/>
    <n v="0"/>
    <n v="37464"/>
    <n v="0"/>
    <n v="37464"/>
    <n v="0"/>
    <n v="37464"/>
    <n v="37464"/>
    <n v="0"/>
    <n v="0"/>
    <n v="0"/>
  </r>
  <r>
    <s v="73"/>
    <x v="2"/>
    <x v="6"/>
    <s v="ZA01K000"/>
    <x v="17"/>
    <s v="K308"/>
    <s v="MOVILIDAD SOSTENIBLE"/>
    <s v="GI00K30800002D"/>
    <s v="GI00K30800002D MEJORAMIENTO DE LA CIRCULACIÓN DEL TRÁFI"/>
    <s v="73 BIENES Y SERVICIOS PARA INVERSIÓN"/>
    <s v="730404 Maquinarias y Equipos (Instalación, Mant"/>
    <s v="G/730404/3KK308"/>
    <s v="001"/>
    <n v="0"/>
    <n v="2288.16"/>
    <n v="0"/>
    <n v="2288.16"/>
    <n v="0"/>
    <n v="2288.16"/>
    <n v="2288.16"/>
    <n v="0"/>
    <n v="0"/>
    <n v="0"/>
  </r>
  <r>
    <s v="73"/>
    <x v="2"/>
    <x v="6"/>
    <s v="ZA01K000"/>
    <x v="17"/>
    <s v="K308"/>
    <s v="MOVILIDAD SOSTENIBLE"/>
    <s v="GI00K30800002D"/>
    <s v="GI00K30800002D MEJORAMIENTO DE LA CIRCULACIÓN DEL TRÁFI"/>
    <s v="73 BIENES Y SERVICIOS PARA INVERSIÓN"/>
    <s v="730601 Consultoría, Asesoría e Investigación Es"/>
    <s v="G/730601/3KK308"/>
    <s v="001"/>
    <n v="640000"/>
    <n v="-276203.2"/>
    <n v="0"/>
    <n v="363796.8"/>
    <n v="0"/>
    <n v="13440"/>
    <n v="9408"/>
    <n v="350356.8"/>
    <n v="354388.8"/>
    <n v="350356.8"/>
  </r>
  <r>
    <s v="73"/>
    <x v="2"/>
    <x v="6"/>
    <s v="ZA01K000"/>
    <x v="17"/>
    <s v="K308"/>
    <s v="MOVILIDAD SOSTENIBLE"/>
    <s v="GI00K30800002D"/>
    <s v="GI00K30800002D MEJORAMIENTO DE LA CIRCULACIÓN DEL TRÁFI"/>
    <s v="73 BIENES Y SERVICIOS PARA INVERSIÓN"/>
    <s v="730605 Estudio y Diseño de Proyectos"/>
    <s v="G/730605/3KK308"/>
    <s v="001"/>
    <n v="420000"/>
    <n v="0"/>
    <n v="0"/>
    <n v="420000"/>
    <n v="0"/>
    <n v="0"/>
    <n v="0"/>
    <n v="420000"/>
    <n v="420000"/>
    <n v="420000"/>
  </r>
  <r>
    <s v="73"/>
    <x v="2"/>
    <x v="6"/>
    <s v="ZA01K000"/>
    <x v="17"/>
    <s v="K308"/>
    <s v="MOVILIDAD SOSTENIBLE"/>
    <s v="GI00K30800002D"/>
    <s v="GI00K30800002D MEJORAMIENTO DE LA CIRCULACIÓN DEL TRÁFI"/>
    <s v="73 BIENES Y SERVICIOS PARA INVERSIÓN"/>
    <s v="730606 Honorarios por Contratos Civiles de Servici"/>
    <s v="G/730606/3KK308"/>
    <s v="001"/>
    <n v="23520"/>
    <n v="0"/>
    <n v="0"/>
    <n v="23520"/>
    <n v="7792.2"/>
    <n v="10588.48"/>
    <n v="4742.08"/>
    <n v="12931.52"/>
    <n v="18777.919999999998"/>
    <n v="5139.32"/>
  </r>
  <r>
    <s v="73"/>
    <x v="2"/>
    <x v="6"/>
    <s v="ZA01K000"/>
    <x v="17"/>
    <s v="K308"/>
    <s v="MOVILIDAD SOSTENIBLE"/>
    <s v="GI00K30800003D"/>
    <s v="GI00K30800003D MEJORAMIENTO DEL SERVICIO DE TRANSPORTE"/>
    <s v="73 BIENES Y SERVICIOS PARA INVERSIÓN"/>
    <s v="730601 Consultoría, Asesoría e Investigación Es"/>
    <s v="G/730601/3KK308"/>
    <s v="001"/>
    <n v="60000"/>
    <n v="154560"/>
    <n v="0"/>
    <n v="214560"/>
    <n v="128801.60000000001"/>
    <n v="59998.400000000001"/>
    <n v="59998.400000000001"/>
    <n v="154561.60000000001"/>
    <n v="154561.60000000001"/>
    <n v="25760"/>
  </r>
  <r>
    <s v="73"/>
    <x v="2"/>
    <x v="6"/>
    <s v="AT69K040"/>
    <x v="13"/>
    <s v="K308"/>
    <s v="MOVILIDAD SOSTENIBLE"/>
    <s v="GI00K30800004D"/>
    <s v="GI00K30800004D PASEO DOMINICAL"/>
    <s v="73 BIENES Y SERVICIOS PARA INVERSIÓN"/>
    <s v="730402 Edificios, Locales, Residencias y Cablea"/>
    <s v="G/730402/3KK308"/>
    <s v="001"/>
    <n v="5400"/>
    <n v="0"/>
    <n v="0"/>
    <n v="5400"/>
    <n v="0"/>
    <n v="0"/>
    <n v="0"/>
    <n v="5400"/>
    <n v="5400"/>
    <n v="5400"/>
  </r>
  <r>
    <s v="73"/>
    <x v="2"/>
    <x v="6"/>
    <s v="AT69K040"/>
    <x v="13"/>
    <s v="K308"/>
    <s v="MOVILIDAD SOSTENIBLE"/>
    <s v="GI00K30800004D"/>
    <s v="GI00K30800004D PASEO DOMINICAL"/>
    <s v="73 BIENES Y SERVICIOS PARA INVERSIÓN"/>
    <s v="730505 Vehículos (Arrendamiento)"/>
    <s v="G/730505/3KK308"/>
    <s v="001"/>
    <n v="14840.08"/>
    <n v="0"/>
    <n v="0"/>
    <n v="14840.08"/>
    <n v="0"/>
    <n v="0"/>
    <n v="0"/>
    <n v="14840.08"/>
    <n v="14840.08"/>
    <n v="14840.08"/>
  </r>
  <r>
    <s v="73"/>
    <x v="2"/>
    <x v="6"/>
    <s v="AT69K040"/>
    <x v="13"/>
    <s v="K308"/>
    <s v="MOVILIDAD SOSTENIBLE"/>
    <s v="GI00K30800004D"/>
    <s v="GI00K30800004D PASEO DOMINICAL"/>
    <s v="73 BIENES Y SERVICIOS PARA INVERSIÓN"/>
    <s v="730811 Insumos, Materiales y Suministros para Cons"/>
    <s v="G/730811/3KK308"/>
    <s v="001"/>
    <n v="2304"/>
    <n v="0"/>
    <n v="0"/>
    <n v="2304"/>
    <n v="0"/>
    <n v="0"/>
    <n v="0"/>
    <n v="2304"/>
    <n v="2304"/>
    <n v="2304"/>
  </r>
  <r>
    <s v="73"/>
    <x v="2"/>
    <x v="6"/>
    <s v="AT69K040"/>
    <x v="13"/>
    <s v="K308"/>
    <s v="MOVILIDAD SOSTENIBLE"/>
    <s v="GI00K30800004D"/>
    <s v="GI00K30800004D PASEO DOMINICAL"/>
    <s v="73 BIENES Y SERVICIOS PARA INVERSIÓN"/>
    <s v="731404 Maquinarias y Equipos"/>
    <s v="G/731404/3KK308"/>
    <s v="001"/>
    <n v="3200"/>
    <n v="-3200"/>
    <n v="0"/>
    <n v="0"/>
    <n v="0"/>
    <n v="0"/>
    <n v="0"/>
    <n v="0"/>
    <n v="0"/>
    <n v="0"/>
  </r>
  <r>
    <s v="73"/>
    <x v="2"/>
    <x v="6"/>
    <s v="ZA01K000"/>
    <x v="17"/>
    <s v="K308"/>
    <s v="MOVILIDAD SOSTENIBLE"/>
    <s v="GI00K30800005D"/>
    <s v="GI00K30800005D PROMOCIÓN DE LOS MODOS DE TRANSPORTE NO"/>
    <s v="73 BIENES Y SERVICIOS PARA INVERSIÓN"/>
    <s v="730207 Difusión, Información y Publicidad"/>
    <s v="G/730207/3KK308"/>
    <s v="001"/>
    <n v="200000"/>
    <n v="0"/>
    <n v="0"/>
    <n v="200000"/>
    <n v="822.4"/>
    <n v="53177.599999999999"/>
    <n v="0"/>
    <n v="146822.39999999999"/>
    <n v="200000"/>
    <n v="146000"/>
  </r>
  <r>
    <s v="73"/>
    <x v="2"/>
    <x v="6"/>
    <s v="ZA01K000"/>
    <x v="17"/>
    <s v="K308"/>
    <s v="MOVILIDAD SOSTENIBLE"/>
    <s v="GI00K30800005D"/>
    <s v="GI00K30800005D PROMOCIÓN DE LOS MODOS DE TRANSPORTE NO"/>
    <s v="73 BIENES Y SERVICIOS PARA INVERSIÓN"/>
    <s v="730601 Consultoría, Asesoría e Investigación Es"/>
    <s v="G/730601/3KK308"/>
    <s v="001"/>
    <n v="800000"/>
    <n v="0"/>
    <n v="0"/>
    <n v="800000"/>
    <n v="66504.45"/>
    <n v="102049.95"/>
    <n v="39613.07"/>
    <n v="697950.05"/>
    <n v="760386.93"/>
    <n v="631445.6"/>
  </r>
  <r>
    <s v="73"/>
    <x v="2"/>
    <x v="6"/>
    <s v="ZA01K000"/>
    <x v="17"/>
    <s v="K310"/>
    <s v="SISTEMA  DE TRANSPORTE PÚBLICO EFICIENTE"/>
    <s v="GI00K31000001D"/>
    <s v="GI00K31000001D MEJORAMIENTO DEL SERVICIO DEL SISTEMA ME"/>
    <s v="73 BIENES Y SERVICIOS PARA INVERSIÓN"/>
    <s v="730249 Eventos Públicos Promocionales"/>
    <s v="G/730249/3KK310"/>
    <s v="001"/>
    <n v="0"/>
    <n v="1276.8"/>
    <n v="0"/>
    <n v="1276.8"/>
    <n v="0"/>
    <n v="1276.8"/>
    <n v="1276.8"/>
    <n v="0"/>
    <n v="0"/>
    <n v="0"/>
  </r>
  <r>
    <s v="73"/>
    <x v="2"/>
    <x v="6"/>
    <s v="ZA01K000"/>
    <x v="17"/>
    <s v="K310"/>
    <s v="SISTEMA  DE TRANSPORTE PÚBLICO EFICIENTE"/>
    <s v="GI00K31000001D"/>
    <s v="GI00K31000001D MEJORAMIENTO DEL SERVICIO DEL SISTEMA ME"/>
    <s v="73 BIENES Y SERVICIOS PARA INVERSIÓN"/>
    <s v="730601 Consultoría, Asesoría e Investigación Es"/>
    <s v="G/730601/3KK310"/>
    <s v="001"/>
    <n v="740000"/>
    <n v="78506.399999999994"/>
    <n v="0"/>
    <n v="818506.4"/>
    <n v="626.02"/>
    <n v="197420.38"/>
    <n v="114124.02"/>
    <n v="621086.02"/>
    <n v="704382.38"/>
    <n v="620460"/>
  </r>
  <r>
    <s v="73"/>
    <x v="2"/>
    <x v="6"/>
    <s v="ZA01K000"/>
    <x v="17"/>
    <s v="K310"/>
    <s v="SISTEMA  DE TRANSPORTE PÚBLICO EFICIENTE"/>
    <s v="GI00K31000001D"/>
    <s v="GI00K31000001D MEJORAMIENTO DEL SERVICIO DEL SISTEMA ME"/>
    <s v="73 BIENES Y SERVICIOS PARA INVERSIÓN"/>
    <s v="730605 Estudio y Diseño de Proyectos"/>
    <s v="G/730605/3KK310"/>
    <s v="001"/>
    <n v="1100000"/>
    <n v="0"/>
    <n v="0"/>
    <n v="1100000"/>
    <n v="0"/>
    <n v="0"/>
    <n v="0"/>
    <n v="1100000"/>
    <n v="1100000"/>
    <n v="1100000"/>
  </r>
  <r>
    <s v="73"/>
    <x v="2"/>
    <x v="6"/>
    <s v="ZA01K000"/>
    <x v="17"/>
    <s v="K310"/>
    <s v="SISTEMA  DE TRANSPORTE PÚBLICO EFICIENTE"/>
    <s v="GI00K31000001D"/>
    <s v="GI00K31000001D MEJORAMIENTO DEL SERVICIO DEL SISTEMA ME"/>
    <s v="73 BIENES Y SERVICIOS PARA INVERSIÓN"/>
    <s v="730606 Honorarios por Contratos Civiles de Servici"/>
    <s v="G/730606/3KK310"/>
    <s v="001"/>
    <n v="300000"/>
    <n v="0"/>
    <n v="0"/>
    <n v="300000"/>
    <n v="288198.40000000002"/>
    <n v="0"/>
    <n v="0"/>
    <n v="300000"/>
    <n v="300000"/>
    <n v="11801.6"/>
  </r>
  <r>
    <s v="73"/>
    <x v="0"/>
    <x v="0"/>
    <s v="ZA01A005"/>
    <x v="49"/>
    <s v="L101"/>
    <s v="GESTION INSTITUCIONAL EFICIENTE E INNOVADORA"/>
    <s v="GI00L10100001D"/>
    <s v="GI00L10100001D GESTION CATASTRAL"/>
    <s v="73 BIENES Y SERVICIOS PARA INVERSIÓN"/>
    <s v="730505 Vehículos (Arrendamiento)"/>
    <s v="G/730505/1AL101"/>
    <s v="002"/>
    <n v="32957.19"/>
    <n v="0"/>
    <n v="0"/>
    <n v="32957.19"/>
    <n v="0"/>
    <n v="0"/>
    <n v="0"/>
    <n v="32957.19"/>
    <n v="32957.19"/>
    <n v="32957.19"/>
  </r>
  <r>
    <s v="73"/>
    <x v="0"/>
    <x v="0"/>
    <s v="ZA01A005"/>
    <x v="49"/>
    <s v="L101"/>
    <s v="GESTION INSTITUCIONAL EFICIENTE E INNOVADORA"/>
    <s v="GI00L10100001D"/>
    <s v="GI00L10100001D GESTION CATASTRAL"/>
    <s v="73 BIENES Y SERVICIOS PARA INVERSIÓN"/>
    <s v="730601 Consultoría, Asesoría e Investigación Es"/>
    <s v="G/730601/1AL101"/>
    <s v="002"/>
    <n v="34669.69"/>
    <n v="0"/>
    <n v="0"/>
    <n v="34669.69"/>
    <n v="0"/>
    <n v="0"/>
    <n v="0"/>
    <n v="34669.69"/>
    <n v="34669.69"/>
    <n v="34669.69"/>
  </r>
  <r>
    <s v="73"/>
    <x v="0"/>
    <x v="0"/>
    <s v="ZA01A005"/>
    <x v="49"/>
    <s v="L101"/>
    <s v="GESTION INSTITUCIONAL EFICIENTE E INNOVADORA"/>
    <s v="GI00L10100001D"/>
    <s v="GI00L10100001D GESTION CATASTRAL"/>
    <s v="73 BIENES Y SERVICIOS PARA INVERSIÓN"/>
    <s v="730606 Honorarios por Contratos Civiles de Servici"/>
    <s v="G/730606/1AL101"/>
    <s v="002"/>
    <n v="629836.48"/>
    <n v="0"/>
    <n v="0"/>
    <n v="629836.48"/>
    <n v="0"/>
    <n v="594006.52"/>
    <n v="569218.59"/>
    <n v="35829.96"/>
    <n v="60617.89"/>
    <n v="35829.96"/>
  </r>
  <r>
    <s v="73"/>
    <x v="0"/>
    <x v="0"/>
    <s v="ZA01A005"/>
    <x v="49"/>
    <s v="L101"/>
    <s v="GESTION INSTITUCIONAL EFICIENTE E INNOVADORA"/>
    <s v="GI00L10100001D"/>
    <s v="GI00L10100001D GESTION CATASTRAL"/>
    <s v="73 BIENES Y SERVICIOS PARA INVERSIÓN"/>
    <s v="730610 Servicios de Cartografía"/>
    <s v="G/730610/1AL101"/>
    <s v="002"/>
    <n v="1000000"/>
    <n v="250621.74"/>
    <n v="0"/>
    <n v="1250621.74"/>
    <n v="0"/>
    <n v="0"/>
    <n v="0"/>
    <n v="1250621.74"/>
    <n v="1250621.74"/>
    <n v="1250621.74"/>
  </r>
  <r>
    <s v="73"/>
    <x v="0"/>
    <x v="0"/>
    <s v="ZA01A003"/>
    <x v="48"/>
    <s v="L101"/>
    <s v="GESTION INSTITUCIONAL EFICIENTE E INNOVADORA"/>
    <s v="GI00L10100005D"/>
    <s v="GI00L10100005D GESTIÓN FINANCIERA"/>
    <s v="73 BIENES Y SERVICIOS PARA INVERSIÓN"/>
    <s v="730701 Desarrollo, Actualización, Asistencia Té"/>
    <s v="G/730701/1AL101"/>
    <s v="002"/>
    <n v="500000"/>
    <n v="0"/>
    <n v="0"/>
    <n v="500000"/>
    <n v="0"/>
    <n v="0"/>
    <n v="0"/>
    <n v="500000"/>
    <n v="500000"/>
    <n v="500000"/>
  </r>
  <r>
    <s v="73"/>
    <x v="0"/>
    <x v="0"/>
    <s v="RP36A010"/>
    <x v="2"/>
    <s v="L101"/>
    <s v="GESTION INSTITUCIONAL EFICIENTE E INNOVADORA"/>
    <s v="GI00L10100009D"/>
    <s v="GI00L10100009D MODERNIZACION INTEGRAL DEL REGISTRO DE L"/>
    <s v="73 BIENES Y SERVICIOS PARA INVERSIÓN"/>
    <s v="730204 Edición, Impresión, Reproducción, Public"/>
    <s v="G/730204/1AL101"/>
    <s v="002"/>
    <n v="13000"/>
    <n v="-1000"/>
    <n v="0"/>
    <n v="12000"/>
    <n v="0"/>
    <n v="0"/>
    <n v="0"/>
    <n v="12000"/>
    <n v="12000"/>
    <n v="12000"/>
  </r>
  <r>
    <s v="73"/>
    <x v="0"/>
    <x v="0"/>
    <s v="RP36A010"/>
    <x v="2"/>
    <s v="L101"/>
    <s v="GESTION INSTITUCIONAL EFICIENTE E INNOVADORA"/>
    <s v="GI00L10100009D"/>
    <s v="GI00L10100009D MODERNIZACION INTEGRAL DEL REGISTRO DE L"/>
    <s v="73 BIENES Y SERVICIOS PARA INVERSIÓN"/>
    <s v="730207 Difusión, Información y Publicidad"/>
    <s v="G/730207/1AL101"/>
    <s v="002"/>
    <n v="8000"/>
    <n v="-1000"/>
    <n v="0"/>
    <n v="7000"/>
    <n v="0"/>
    <n v="0"/>
    <n v="0"/>
    <n v="7000"/>
    <n v="7000"/>
    <n v="7000"/>
  </r>
  <r>
    <s v="73"/>
    <x v="0"/>
    <x v="0"/>
    <s v="RP36A010"/>
    <x v="2"/>
    <s v="L101"/>
    <s v="GESTION INSTITUCIONAL EFICIENTE E INNOVADORA"/>
    <s v="GI00L10100009D"/>
    <s v="GI00L10100009D MODERNIZACION INTEGRAL DEL REGISTRO DE L"/>
    <s v="73 BIENES Y SERVICIOS PARA INVERSIÓN"/>
    <s v="730222 Servicios y Derechos en Producción y Progra"/>
    <s v="G/730222/1AL101"/>
    <s v="002"/>
    <n v="48000"/>
    <n v="0"/>
    <n v="0"/>
    <n v="48000"/>
    <n v="0"/>
    <n v="0"/>
    <n v="0"/>
    <n v="48000"/>
    <n v="48000"/>
    <n v="48000"/>
  </r>
  <r>
    <s v="73"/>
    <x v="0"/>
    <x v="0"/>
    <s v="RP36A010"/>
    <x v="2"/>
    <s v="L101"/>
    <s v="GESTION INSTITUCIONAL EFICIENTE E INNOVADORA"/>
    <s v="GI00L10100009D"/>
    <s v="GI00L10100009D MODERNIZACION INTEGRAL DEL REGISTRO DE L"/>
    <s v="73 BIENES Y SERVICIOS PARA INVERSIÓN"/>
    <s v="730230 Digitalización de Información y Datos Públi"/>
    <s v="G/730230/1AL101"/>
    <s v="002"/>
    <n v="0"/>
    <n v="62655.22"/>
    <n v="0"/>
    <n v="62655.22"/>
    <n v="0"/>
    <n v="62655.22"/>
    <n v="21718.01"/>
    <n v="0"/>
    <n v="40937.21"/>
    <n v="0"/>
  </r>
  <r>
    <s v="73"/>
    <x v="0"/>
    <x v="0"/>
    <s v="RP36A010"/>
    <x v="2"/>
    <s v="L101"/>
    <s v="GESTION INSTITUCIONAL EFICIENTE E INNOVADORA"/>
    <s v="GI00L10100009D"/>
    <s v="GI00L10100009D MODERNIZACION INTEGRAL DEL REGISTRO DE L"/>
    <s v="73 BIENES Y SERVICIOS PARA INVERSIÓN"/>
    <s v="730404 Maquinarias y Equipos (Instalación, Mant"/>
    <s v="G/730404/1AL101"/>
    <s v="002"/>
    <n v="200"/>
    <n v="0"/>
    <n v="0"/>
    <n v="200"/>
    <n v="0"/>
    <n v="0"/>
    <n v="0"/>
    <n v="200"/>
    <n v="200"/>
    <n v="200"/>
  </r>
  <r>
    <s v="73"/>
    <x v="0"/>
    <x v="0"/>
    <s v="RP36A010"/>
    <x v="2"/>
    <s v="L101"/>
    <s v="GESTION INSTITUCIONAL EFICIENTE E INNOVADORA"/>
    <s v="GI00L10100009D"/>
    <s v="GI00L10100009D MODERNIZACION INTEGRAL DEL REGISTRO DE L"/>
    <s v="73 BIENES Y SERVICIOS PARA INVERSIÓN"/>
    <s v="730601 Consultoría, Asesoría e Investigación Es"/>
    <s v="G/730601/1AL101"/>
    <s v="002"/>
    <n v="0"/>
    <n v="17598.03"/>
    <n v="0"/>
    <n v="17598.03"/>
    <n v="0"/>
    <n v="0"/>
    <n v="0"/>
    <n v="17598.03"/>
    <n v="17598.03"/>
    <n v="17598.03"/>
  </r>
  <r>
    <s v="73"/>
    <x v="0"/>
    <x v="0"/>
    <s v="RP36A010"/>
    <x v="2"/>
    <s v="L101"/>
    <s v="GESTION INSTITUCIONAL EFICIENTE E INNOVADORA"/>
    <s v="GI00L10100009D"/>
    <s v="GI00L10100009D MODERNIZACION INTEGRAL DEL REGISTRO DE L"/>
    <s v="73 BIENES Y SERVICIOS PARA INVERSIÓN"/>
    <s v="730602 Servicio de Auditoría"/>
    <s v="G/730602/1AL101"/>
    <s v="002"/>
    <n v="10000"/>
    <n v="30000"/>
    <n v="0"/>
    <n v="40000"/>
    <n v="0"/>
    <n v="0"/>
    <n v="0"/>
    <n v="40000"/>
    <n v="40000"/>
    <n v="40000"/>
  </r>
  <r>
    <s v="73"/>
    <x v="0"/>
    <x v="0"/>
    <s v="RP36A010"/>
    <x v="2"/>
    <s v="L101"/>
    <s v="GESTION INSTITUCIONAL EFICIENTE E INNOVADORA"/>
    <s v="GI00L10100009D"/>
    <s v="GI00L10100009D MODERNIZACION INTEGRAL DEL REGISTRO DE L"/>
    <s v="73 BIENES Y SERVICIOS PARA INVERSIÓN"/>
    <s v="730701 Desarrollo, Actualización, Asistencia Té"/>
    <s v="G/730701/1AL101"/>
    <s v="002"/>
    <n v="202800"/>
    <n v="-196472"/>
    <n v="0"/>
    <n v="6328"/>
    <n v="0"/>
    <n v="0"/>
    <n v="0"/>
    <n v="6328"/>
    <n v="6328"/>
    <n v="6328"/>
  </r>
  <r>
    <s v="73"/>
    <x v="0"/>
    <x v="0"/>
    <s v="RP36A010"/>
    <x v="2"/>
    <s v="L101"/>
    <s v="GESTION INSTITUCIONAL EFICIENTE E INNOVADORA"/>
    <s v="GI00L10100009D"/>
    <s v="GI00L10100009D MODERNIZACION INTEGRAL DEL REGISTRO DE L"/>
    <s v="73 BIENES Y SERVICIOS PARA INVERSIÓN"/>
    <s v="730702 Arrendamiento y Licencias de Uso de Paquete"/>
    <s v="G/730702/1AL101"/>
    <s v="002"/>
    <n v="0"/>
    <n v="7033.6"/>
    <n v="0"/>
    <n v="7033.6"/>
    <n v="0"/>
    <n v="0"/>
    <n v="0"/>
    <n v="7033.6"/>
    <n v="7033.6"/>
    <n v="7033.6"/>
  </r>
  <r>
    <s v="73"/>
    <x v="0"/>
    <x v="0"/>
    <s v="RP36A010"/>
    <x v="2"/>
    <s v="L101"/>
    <s v="GESTION INSTITUCIONAL EFICIENTE E INNOVADORA"/>
    <s v="GI00L10100009D"/>
    <s v="GI00L10100009D MODERNIZACION INTEGRAL DEL REGISTRO DE L"/>
    <s v="73 BIENES Y SERVICIOS PARA INVERSIÓN"/>
    <s v="730704 Mantenimiento y Reparación de Equipos y"/>
    <s v="G/730704/1AL101"/>
    <s v="002"/>
    <n v="28125"/>
    <n v="0"/>
    <n v="0"/>
    <n v="28125"/>
    <n v="0"/>
    <n v="0"/>
    <n v="0"/>
    <n v="28125"/>
    <n v="28125"/>
    <n v="28125"/>
  </r>
  <r>
    <s v="73"/>
    <x v="0"/>
    <x v="12"/>
    <s v="MC37B000"/>
    <x v="28"/>
    <s v="L101"/>
    <s v="GESTION INSTITUCIONAL EFICIENTE E INNOVADORA"/>
    <s v="GI00L10100010D"/>
    <s v="GI00L10100010D CONTROL DE CUMPLIMIENTO DE LA NORMATIVA"/>
    <s v="73 BIENES Y SERVICIOS PARA INVERSIÓN"/>
    <s v="730105 Telecomunicaciones"/>
    <s v="G/730105/1BL101"/>
    <s v="002"/>
    <n v="24000"/>
    <n v="-16000"/>
    <n v="0"/>
    <n v="8000"/>
    <n v="0"/>
    <n v="0"/>
    <n v="0"/>
    <n v="8000"/>
    <n v="8000"/>
    <n v="8000"/>
  </r>
  <r>
    <s v="73"/>
    <x v="0"/>
    <x v="12"/>
    <s v="MC37B000"/>
    <x v="28"/>
    <s v="L101"/>
    <s v="GESTION INSTITUCIONAL EFICIENTE E INNOVADORA"/>
    <s v="GI00L10100010D"/>
    <s v="GI00L10100010D CONTROL DE CUMPLIMIENTO DE LA NORMATIVA"/>
    <s v="73 BIENES Y SERVICIOS PARA INVERSIÓN"/>
    <s v="730106 Servicio de Correo"/>
    <s v="G/730106/1BL101"/>
    <s v="002"/>
    <n v="500000"/>
    <n v="-422000"/>
    <n v="0"/>
    <n v="78000"/>
    <n v="0"/>
    <n v="0"/>
    <n v="0"/>
    <n v="78000"/>
    <n v="78000"/>
    <n v="78000"/>
  </r>
  <r>
    <s v="73"/>
    <x v="0"/>
    <x v="12"/>
    <s v="MC37B000"/>
    <x v="28"/>
    <s v="L101"/>
    <s v="GESTION INSTITUCIONAL EFICIENTE E INNOVADORA"/>
    <s v="GI00L10100010D"/>
    <s v="GI00L10100010D CONTROL DE CUMPLIMIENTO DE LA NORMATIVA"/>
    <s v="73 BIENES Y SERVICIOS PARA INVERSIÓN"/>
    <s v="730204 Edición, Impresión, Reproducción, Public"/>
    <s v="G/730204/1BL101"/>
    <s v="002"/>
    <n v="17000"/>
    <n v="-2000"/>
    <n v="0"/>
    <n v="15000"/>
    <n v="0"/>
    <n v="6899.2"/>
    <n v="6899.2"/>
    <n v="8100.8"/>
    <n v="8100.8"/>
    <n v="8100.8"/>
  </r>
  <r>
    <s v="73"/>
    <x v="0"/>
    <x v="12"/>
    <s v="MC37B000"/>
    <x v="28"/>
    <s v="L101"/>
    <s v="GESTION INSTITUCIONAL EFICIENTE E INNOVADORA"/>
    <s v="GI00L10100010D"/>
    <s v="GI00L10100010D CONTROL DE CUMPLIMIENTO DE LA NORMATIVA"/>
    <s v="73 BIENES Y SERVICIOS PARA INVERSIÓN"/>
    <s v="730207 Difusión, Información y Publicidad"/>
    <s v="G/730207/1BL101"/>
    <s v="002"/>
    <n v="399519.96"/>
    <n v="-351359.96"/>
    <n v="0"/>
    <n v="48160"/>
    <n v="0"/>
    <n v="48160"/>
    <n v="48160"/>
    <n v="0"/>
    <n v="0"/>
    <n v="0"/>
  </r>
  <r>
    <s v="73"/>
    <x v="0"/>
    <x v="12"/>
    <s v="MC37B000"/>
    <x v="28"/>
    <s v="L101"/>
    <s v="GESTION INSTITUCIONAL EFICIENTE E INNOVADORA"/>
    <s v="GI00L10100010D"/>
    <s v="GI00L10100010D CONTROL DE CUMPLIMIENTO DE LA NORMATIVA"/>
    <s v="73 BIENES Y SERVICIOS PARA INVERSIÓN"/>
    <s v="730208 Servicio de Seguridad y Vigilancia"/>
    <s v="G/730208/1BL101"/>
    <s v="002"/>
    <n v="0"/>
    <n v="17984.82"/>
    <n v="0"/>
    <n v="17984.82"/>
    <n v="0"/>
    <n v="0"/>
    <n v="0"/>
    <n v="17984.82"/>
    <n v="17984.82"/>
    <n v="17984.82"/>
  </r>
  <r>
    <s v="73"/>
    <x v="0"/>
    <x v="12"/>
    <s v="MC37B000"/>
    <x v="28"/>
    <s v="L101"/>
    <s v="GESTION INSTITUCIONAL EFICIENTE E INNOVADORA"/>
    <s v="GI00L10100010D"/>
    <s v="GI00L10100010D CONTROL DE CUMPLIMIENTO DE LA NORMATIVA"/>
    <s v="73 BIENES Y SERVICIOS PARA INVERSIÓN"/>
    <s v="730230 Digitalización de Información y Datos Públi"/>
    <s v="G/730230/1BL101"/>
    <s v="002"/>
    <n v="173752.32000000001"/>
    <n v="-173752.32000000001"/>
    <n v="0"/>
    <n v="0"/>
    <n v="0"/>
    <n v="0"/>
    <n v="0"/>
    <n v="0"/>
    <n v="0"/>
    <n v="0"/>
  </r>
  <r>
    <s v="73"/>
    <x v="0"/>
    <x v="12"/>
    <s v="MC37B000"/>
    <x v="28"/>
    <s v="L101"/>
    <s v="GESTION INSTITUCIONAL EFICIENTE E INNOVADORA"/>
    <s v="GI00L10100010D"/>
    <s v="GI00L10100010D CONTROL DE CUMPLIMIENTO DE LA NORMATIVA"/>
    <s v="73 BIENES Y SERVICIOS PARA INVERSIÓN"/>
    <s v="730249 Eventos Públicos Promocionales"/>
    <s v="G/730249/1BL101"/>
    <s v="002"/>
    <n v="40000"/>
    <n v="-40000"/>
    <n v="0"/>
    <n v="0"/>
    <n v="0"/>
    <n v="0"/>
    <n v="0"/>
    <n v="0"/>
    <n v="0"/>
    <n v="0"/>
  </r>
  <r>
    <s v="73"/>
    <x v="0"/>
    <x v="12"/>
    <s v="MC37B000"/>
    <x v="28"/>
    <s v="L101"/>
    <s v="GESTION INSTITUCIONAL EFICIENTE E INNOVADORA"/>
    <s v="GI00L10100010D"/>
    <s v="GI00L10100010D CONTROL DE CUMPLIMIENTO DE LA NORMATIVA"/>
    <s v="73 BIENES Y SERVICIOS PARA INVERSIÓN"/>
    <s v="730303 Viáticos y Subsistencias en el Interior"/>
    <s v="G/730303/1BL101"/>
    <s v="002"/>
    <n v="8000"/>
    <n v="0"/>
    <n v="0"/>
    <n v="8000"/>
    <n v="0"/>
    <n v="0"/>
    <n v="0"/>
    <n v="8000"/>
    <n v="8000"/>
    <n v="8000"/>
  </r>
  <r>
    <s v="73"/>
    <x v="0"/>
    <x v="12"/>
    <s v="MC37B000"/>
    <x v="28"/>
    <s v="L101"/>
    <s v="GESTION INSTITUCIONAL EFICIENTE E INNOVADORA"/>
    <s v="GI00L10100010D"/>
    <s v="GI00L10100010D CONTROL DE CUMPLIMIENTO DE LA NORMATIVA"/>
    <s v="73 BIENES Y SERVICIOS PARA INVERSIÓN"/>
    <s v="730505 Vehículos (Arrendamiento)"/>
    <s v="G/730505/1BL101"/>
    <s v="002"/>
    <n v="1923400.16"/>
    <n v="-1170468.73"/>
    <n v="0"/>
    <n v="752931.43"/>
    <n v="0"/>
    <n v="682931.43"/>
    <n v="447385.68"/>
    <n v="70000"/>
    <n v="305545.75"/>
    <n v="70000"/>
  </r>
  <r>
    <s v="73"/>
    <x v="0"/>
    <x v="12"/>
    <s v="MC37B000"/>
    <x v="28"/>
    <s v="L101"/>
    <s v="GESTION INSTITUCIONAL EFICIENTE E INNOVADORA"/>
    <s v="GI00L10100010D"/>
    <s v="GI00L10100010D CONTROL DE CUMPLIMIENTO DE LA NORMATIVA"/>
    <s v="73 BIENES Y SERVICIOS PARA INVERSIÓN"/>
    <s v="730601 Consultoría, Asesoría e Investigación Es"/>
    <s v="G/730601/1BL101"/>
    <s v="002"/>
    <n v="146689"/>
    <n v="-146689"/>
    <n v="0"/>
    <n v="0"/>
    <n v="0"/>
    <n v="0"/>
    <n v="0"/>
    <n v="0"/>
    <n v="0"/>
    <n v="0"/>
  </r>
  <r>
    <s v="73"/>
    <x v="0"/>
    <x v="12"/>
    <s v="MC37B000"/>
    <x v="28"/>
    <s v="L101"/>
    <s v="GESTION INSTITUCIONAL EFICIENTE E INNOVADORA"/>
    <s v="GI00L10100010D"/>
    <s v="GI00L10100010D CONTROL DE CUMPLIMIENTO DE LA NORMATIVA"/>
    <s v="73 BIENES Y SERVICIOS PARA INVERSIÓN"/>
    <s v="730606 Honorarios por Contratos Civiles de Servici"/>
    <s v="G/730606/1BL101"/>
    <s v="002"/>
    <n v="27157.15"/>
    <n v="-27157.15"/>
    <n v="0"/>
    <n v="0"/>
    <n v="0"/>
    <n v="0"/>
    <n v="0"/>
    <n v="0"/>
    <n v="0"/>
    <n v="0"/>
  </r>
  <r>
    <s v="73"/>
    <x v="0"/>
    <x v="12"/>
    <s v="MC37B000"/>
    <x v="28"/>
    <s v="L101"/>
    <s v="GESTION INSTITUCIONAL EFICIENTE E INNOVADORA"/>
    <s v="GI00L10100010D"/>
    <s v="GI00L10100010D CONTROL DE CUMPLIMIENTO DE LA NORMATIVA"/>
    <s v="73 BIENES Y SERVICIOS PARA INVERSIÓN"/>
    <s v="730701 Desarrollo, Actualización, Asistencia Té"/>
    <s v="G/730701/1BL101"/>
    <s v="002"/>
    <n v="30000"/>
    <n v="576585.35"/>
    <n v="0"/>
    <n v="606585.35"/>
    <n v="0"/>
    <n v="0"/>
    <n v="0"/>
    <n v="606585.35"/>
    <n v="606585.35"/>
    <n v="606585.35"/>
  </r>
  <r>
    <s v="73"/>
    <x v="0"/>
    <x v="12"/>
    <s v="MC37B000"/>
    <x v="28"/>
    <s v="L101"/>
    <s v="GESTION INSTITUCIONAL EFICIENTE E INNOVADORA"/>
    <s v="GI00L10100010D"/>
    <s v="GI00L10100010D CONTROL DE CUMPLIMIENTO DE LA NORMATIVA"/>
    <s v="73 BIENES Y SERVICIOS PARA INVERSIÓN"/>
    <s v="730702 Arrendamiento y Licencias de Uso de Paquete"/>
    <s v="G/730702/1BL101"/>
    <s v="002"/>
    <n v="5000"/>
    <n v="-3499.2"/>
    <n v="0"/>
    <n v="1500.8"/>
    <n v="0"/>
    <n v="1500.8"/>
    <n v="1500.8"/>
    <n v="0"/>
    <n v="0"/>
    <n v="0"/>
  </r>
  <r>
    <s v="73"/>
    <x v="0"/>
    <x v="12"/>
    <s v="MC37B000"/>
    <x v="28"/>
    <s v="L101"/>
    <s v="GESTION INSTITUCIONAL EFICIENTE E INNOVADORA"/>
    <s v="GI00L10100010D"/>
    <s v="GI00L10100010D CONTROL DE CUMPLIMIENTO DE LA NORMATIVA"/>
    <s v="73 BIENES Y SERVICIOS PARA INVERSIÓN"/>
    <s v="730802 Vestuario, Lencería, Prendas de Protecci"/>
    <s v="G/730802/1BL101"/>
    <s v="002"/>
    <n v="52955"/>
    <n v="15000"/>
    <n v="0"/>
    <n v="67955"/>
    <n v="4859.01"/>
    <n v="7815.36"/>
    <n v="7815.36"/>
    <n v="60139.64"/>
    <n v="60139.64"/>
    <n v="55280.63"/>
  </r>
  <r>
    <s v="73"/>
    <x v="0"/>
    <x v="12"/>
    <s v="MC37B000"/>
    <x v="28"/>
    <s v="L101"/>
    <s v="GESTION INSTITUCIONAL EFICIENTE E INNOVADORA"/>
    <s v="GI00L10100010D"/>
    <s v="GI00L10100010D CONTROL DE CUMPLIMIENTO DE LA NORMATIVA"/>
    <s v="73 BIENES Y SERVICIOS PARA INVERSIÓN"/>
    <s v="730805 Materiales de Aseo"/>
    <s v="G/730805/1BL101"/>
    <s v="002"/>
    <n v="0"/>
    <n v="7000"/>
    <n v="0"/>
    <n v="7000"/>
    <n v="0"/>
    <n v="2043"/>
    <n v="2043"/>
    <n v="4957"/>
    <n v="4957"/>
    <n v="4957"/>
  </r>
  <r>
    <s v="73"/>
    <x v="0"/>
    <x v="12"/>
    <s v="MC37B000"/>
    <x v="28"/>
    <s v="L101"/>
    <s v="GESTION INSTITUCIONAL EFICIENTE E INNOVADORA"/>
    <s v="GI00L10100010D"/>
    <s v="GI00L10100010D CONTROL DE CUMPLIMIENTO DE LA NORMATIVA"/>
    <s v="73 BIENES Y SERVICIOS PARA INVERSIÓN"/>
    <s v="730820 Menaje y Accesorios Descartables"/>
    <s v="G/730820/1BL101"/>
    <s v="002"/>
    <n v="0"/>
    <n v="2195.5300000000002"/>
    <n v="0"/>
    <n v="2195.5300000000002"/>
    <n v="0"/>
    <n v="0"/>
    <n v="0"/>
    <n v="2195.5300000000002"/>
    <n v="2195.5300000000002"/>
    <n v="2195.5300000000002"/>
  </r>
  <r>
    <s v="73"/>
    <x v="0"/>
    <x v="9"/>
    <s v="ZA01E000"/>
    <x v="18"/>
    <s v="L101"/>
    <s v="GESTION INSTITUCIONAL EFICIENTE E INNOVADORA"/>
    <s v="GI00L10100011D"/>
    <s v="GI00L10100011D DIFUSION DE LA GESTION INSTITUCIONAL"/>
    <s v="73 BIENES Y SERVICIOS PARA INVERSIÓN"/>
    <s v="730105 Telecomunicaciones"/>
    <s v="G/730105/1EL101"/>
    <s v="002"/>
    <n v="0"/>
    <n v="1344"/>
    <n v="0"/>
    <n v="1344"/>
    <n v="1344"/>
    <n v="0"/>
    <n v="0"/>
    <n v="1344"/>
    <n v="1344"/>
    <n v="0"/>
  </r>
  <r>
    <s v="73"/>
    <x v="0"/>
    <x v="9"/>
    <s v="ZA01E000"/>
    <x v="18"/>
    <s v="L101"/>
    <s v="GESTION INSTITUCIONAL EFICIENTE E INNOVADORA"/>
    <s v="GI00L10100011D"/>
    <s v="GI00L10100011D DIFUSION DE LA GESTION INSTITUCIONAL"/>
    <s v="73 BIENES Y SERVICIOS PARA INVERSIÓN"/>
    <s v="730207 Difusión, Información y Publicidad"/>
    <s v="G/730207/1EL101"/>
    <s v="002"/>
    <n v="2843600"/>
    <n v="35600"/>
    <n v="0"/>
    <n v="2879200"/>
    <n v="297594.58"/>
    <n v="1920713.28"/>
    <n v="1196939.27"/>
    <n v="958486.72"/>
    <n v="1682260.73"/>
    <n v="660892.14"/>
  </r>
  <r>
    <s v="73"/>
    <x v="0"/>
    <x v="9"/>
    <s v="ZA01E000"/>
    <x v="18"/>
    <s v="L101"/>
    <s v="GESTION INSTITUCIONAL EFICIENTE E INNOVADORA"/>
    <s v="GI00L10100011D"/>
    <s v="GI00L10100011D DIFUSION DE LA GESTION INSTITUCIONAL"/>
    <s v="73 BIENES Y SERVICIOS PARA INVERSIÓN"/>
    <s v="730222 Servicios y Derechos en Producción y Progra"/>
    <s v="G/730222/1EL101"/>
    <s v="002"/>
    <n v="600480"/>
    <n v="200000"/>
    <n v="0"/>
    <n v="800480"/>
    <n v="212030.39"/>
    <n v="576454.56999999995"/>
    <n v="497098.27"/>
    <n v="224025.43"/>
    <n v="303381.73"/>
    <n v="11995.04"/>
  </r>
  <r>
    <s v="73"/>
    <x v="0"/>
    <x v="9"/>
    <s v="ZA01E000"/>
    <x v="18"/>
    <s v="L101"/>
    <s v="GESTION INSTITUCIONAL EFICIENTE E INNOVADORA"/>
    <s v="GI00L10100011D"/>
    <s v="GI00L10100011D DIFUSION DE LA GESTION INSTITUCIONAL"/>
    <s v="73 BIENES Y SERVICIOS PARA INVERSIÓN"/>
    <s v="730241 Servicios de Monitoreo de la Información en"/>
    <s v="G/730241/1EL101"/>
    <s v="002"/>
    <n v="40064"/>
    <n v="0"/>
    <n v="0"/>
    <n v="40064"/>
    <n v="12.8"/>
    <n v="37363.199999999997"/>
    <n v="24061.22"/>
    <n v="2700.8"/>
    <n v="16002.78"/>
    <n v="2688"/>
  </r>
  <r>
    <s v="73"/>
    <x v="0"/>
    <x v="9"/>
    <s v="ZA01E000"/>
    <x v="18"/>
    <s v="L101"/>
    <s v="GESTION INSTITUCIONAL EFICIENTE E INNOVADORA"/>
    <s v="GI00L10100011D"/>
    <s v="GI00L10100011D DIFUSION DE LA GESTION INSTITUCIONAL"/>
    <s v="73 BIENES Y SERVICIOS PARA INVERSIÓN"/>
    <s v="730248 Eventos Oficiales"/>
    <s v="G/730248/1EL101"/>
    <s v="002"/>
    <n v="370000"/>
    <n v="-235600"/>
    <n v="0"/>
    <n v="134400"/>
    <n v="0"/>
    <n v="134400"/>
    <n v="16803.36"/>
    <n v="0"/>
    <n v="117596.64"/>
    <n v="0"/>
  </r>
  <r>
    <s v="73"/>
    <x v="0"/>
    <x v="9"/>
    <s v="ZA01E000"/>
    <x v="18"/>
    <s v="L101"/>
    <s v="GESTION INSTITUCIONAL EFICIENTE E INNOVADORA"/>
    <s v="GI00L10100011D"/>
    <s v="GI00L10100011D DIFUSION DE LA GESTION INSTITUCIONAL"/>
    <s v="73 BIENES Y SERVICIOS PARA INVERSIÓN"/>
    <s v="730404 Maquinarias y Equipos (Instalación, Mant"/>
    <s v="G/730404/1EL101"/>
    <s v="002"/>
    <n v="11200"/>
    <n v="0"/>
    <n v="0"/>
    <n v="11200"/>
    <n v="0"/>
    <n v="0"/>
    <n v="0"/>
    <n v="11200"/>
    <n v="11200"/>
    <n v="11200"/>
  </r>
  <r>
    <s v="73"/>
    <x v="0"/>
    <x v="9"/>
    <s v="ZA01E000"/>
    <x v="18"/>
    <s v="L101"/>
    <s v="GESTION INSTITUCIONAL EFICIENTE E INNOVADORA"/>
    <s v="GI00L10100011D"/>
    <s v="GI00L10100011D DIFUSION DE LA GESTION INSTITUCIONAL"/>
    <s v="73 BIENES Y SERVICIOS PARA INVERSIÓN"/>
    <s v="730701 Desarrollo, Actualización, Asistencia Té"/>
    <s v="G/730701/1EL101"/>
    <s v="002"/>
    <n v="100000"/>
    <n v="0"/>
    <n v="0"/>
    <n v="100000"/>
    <n v="0"/>
    <n v="0"/>
    <n v="0"/>
    <n v="100000"/>
    <n v="100000"/>
    <n v="100000"/>
  </r>
  <r>
    <s v="73"/>
    <x v="0"/>
    <x v="9"/>
    <s v="ZA01E000"/>
    <x v="18"/>
    <s v="L101"/>
    <s v="GESTION INSTITUCIONAL EFICIENTE E INNOVADORA"/>
    <s v="GI00L10100011D"/>
    <s v="GI00L10100011D DIFUSION DE LA GESTION INSTITUCIONAL"/>
    <s v="73 BIENES Y SERVICIOS PARA INVERSIÓN"/>
    <s v="730702 Arrendamiento y Licencias de Uso de Paquete"/>
    <s v="G/730702/1EL101"/>
    <s v="002"/>
    <n v="800"/>
    <n v="0"/>
    <n v="0"/>
    <n v="800"/>
    <n v="0"/>
    <n v="0"/>
    <n v="0"/>
    <n v="800"/>
    <n v="800"/>
    <n v="800"/>
  </r>
  <r>
    <s v="73"/>
    <x v="0"/>
    <x v="7"/>
    <s v="ZA01L010"/>
    <x v="58"/>
    <s v="L101"/>
    <s v="GESTION INSTITUCIONAL EFICIENTE E INNOVADORA"/>
    <s v="GI00L10100015D"/>
    <s v="GI00L10100015D CAPACITACION, FORMACION Y DESARROLLO DEL"/>
    <s v="73 BIENES Y SERVICIOS PARA INVERSIÓN"/>
    <s v="730612 Capacitación a Servidores Públicos"/>
    <s v="G/730612/1LL101"/>
    <s v="002"/>
    <n v="210528.03"/>
    <n v="0"/>
    <n v="0"/>
    <n v="210528.03"/>
    <n v="0"/>
    <n v="4050"/>
    <n v="4050"/>
    <n v="206478.03"/>
    <n v="206478.03"/>
    <n v="206478.03"/>
  </r>
  <r>
    <s v="73"/>
    <x v="0"/>
    <x v="7"/>
    <s v="ZA01L000"/>
    <x v="14"/>
    <s v="L101"/>
    <s v="GESTION INSTITUCIONAL EFICIENTE E INNOVADORA"/>
    <s v="GI00L10100017D"/>
    <s v="GI00L10100017D PLANIFICACION, SEGUIMIENTO Y EVALUACION"/>
    <s v="73 BIENES Y SERVICIOS PARA INVERSIÓN"/>
    <s v="730606 Honorarios por Contratos Civiles de Servici"/>
    <s v="G/730606/1LL101"/>
    <s v="002"/>
    <n v="20000"/>
    <n v="-140"/>
    <n v="0"/>
    <n v="19860"/>
    <n v="0"/>
    <n v="0"/>
    <n v="0"/>
    <n v="19860"/>
    <n v="19860"/>
    <n v="19860"/>
  </r>
  <r>
    <s v="73"/>
    <x v="0"/>
    <x v="7"/>
    <s v="ZA01L000"/>
    <x v="14"/>
    <s v="L101"/>
    <s v="GESTION INSTITUCIONAL EFICIENTE E INNOVADORA"/>
    <s v="GI00L10100024D"/>
    <s v="GI00L10100024D MEJORA CONTINUA DE PROCESOS"/>
    <s v="73 BIENES Y SERVICIOS PARA INVERSIÓN"/>
    <s v="730601 Consultoría, Asesoría e Investigación Es"/>
    <s v="G/730601/1LL101"/>
    <s v="002"/>
    <n v="60000"/>
    <n v="0"/>
    <n v="0"/>
    <n v="60000"/>
    <n v="0"/>
    <n v="0"/>
    <n v="0"/>
    <n v="60000"/>
    <n v="60000"/>
    <n v="60000"/>
  </r>
  <r>
    <s v="73"/>
    <x v="0"/>
    <x v="7"/>
    <s v="ZA01L000"/>
    <x v="14"/>
    <s v="L101"/>
    <s v="GESTION INSTITUCIONAL EFICIENTE E INNOVADORA"/>
    <s v="GI00L10100025D"/>
    <s v="GI00L10100025D IMPLEMENTACIÓN DE UN PLAN PARA MEJORAR L"/>
    <s v="73 BIENES Y SERVICIOS PARA INVERSIÓN"/>
    <s v="730601 Consultoría, Asesoría e Investigación Es"/>
    <s v="G/730601/1LL101"/>
    <s v="002"/>
    <n v="40000"/>
    <n v="0"/>
    <n v="0"/>
    <n v="40000"/>
    <n v="0"/>
    <n v="0"/>
    <n v="0"/>
    <n v="40000"/>
    <n v="40000"/>
    <n v="40000"/>
  </r>
  <r>
    <s v="73"/>
    <x v="0"/>
    <x v="7"/>
    <s v="ZA01L000"/>
    <x v="14"/>
    <s v="L101"/>
    <s v="GESTION INSTITUCIONAL EFICIENTE E INNOVADORA"/>
    <s v="GI00L10100027D"/>
    <s v="GI00L10100027D SISTEMA METROPOLITANO DE INFORMACIÓN DEL"/>
    <s v="73 BIENES Y SERVICIOS PARA INVERSIÓN"/>
    <s v="730702 Arrendamiento y Licencias de Uso de Paquete"/>
    <s v="G/730702/1LL101"/>
    <s v="002"/>
    <n v="0"/>
    <n v="140"/>
    <n v="0"/>
    <n v="140"/>
    <n v="0"/>
    <n v="123.36"/>
    <n v="123.36"/>
    <n v="16.64"/>
    <n v="16.64"/>
    <n v="16.64"/>
  </r>
  <r>
    <s v="73"/>
    <x v="0"/>
    <x v="1"/>
    <s v="ZA01C060"/>
    <x v="45"/>
    <s v="L101"/>
    <s v="GESTION INSTITUCIONAL EFICIENTE E INNOVADORA"/>
    <s v="GI00L10100031D"/>
    <s v="GI00L10100031D PLANEACIÓN DE DESARROLLO"/>
    <s v="73 BIENES Y SERVICIOS PARA INVERSIÓN"/>
    <s v="730204 Edición, Impresión, Reproducción, Public"/>
    <s v="G/730204/1CL101"/>
    <s v="002"/>
    <n v="38630.15"/>
    <n v="-22400"/>
    <n v="0"/>
    <n v="16230.15"/>
    <n v="0"/>
    <n v="0"/>
    <n v="0"/>
    <n v="16230.15"/>
    <n v="16230.15"/>
    <n v="16230.15"/>
  </r>
  <r>
    <s v="73"/>
    <x v="0"/>
    <x v="1"/>
    <s v="ZA01C060"/>
    <x v="45"/>
    <s v="L101"/>
    <s v="GESTION INSTITUCIONAL EFICIENTE E INNOVADORA"/>
    <s v="GI00L10100031D"/>
    <s v="GI00L10100031D PLANEACIÓN DE DESARROLLO"/>
    <s v="73 BIENES Y SERVICIOS PARA INVERSIÓN"/>
    <s v="730605 Estudio y Diseño de Proyectos"/>
    <s v="G/730605/1CL101"/>
    <s v="002"/>
    <n v="0"/>
    <n v="44800"/>
    <n v="0"/>
    <n v="44800"/>
    <n v="0"/>
    <n v="0"/>
    <n v="0"/>
    <n v="44800"/>
    <n v="44800"/>
    <n v="44800"/>
  </r>
  <r>
    <s v="73"/>
    <x v="0"/>
    <x v="1"/>
    <s v="ZA01C060"/>
    <x v="45"/>
    <s v="L101"/>
    <s v="GESTION INSTITUCIONAL EFICIENTE E INNOVADORA"/>
    <s v="GI00L10100031D"/>
    <s v="GI00L10100031D PLANEACIÓN DE DESARROLLO"/>
    <s v="73 BIENES Y SERVICIOS PARA INVERSIÓN"/>
    <s v="730613 Capacitación para la Ciudadanía en Gener"/>
    <s v="G/730613/1CL101"/>
    <s v="002"/>
    <n v="38630.14"/>
    <n v="-22400"/>
    <n v="0"/>
    <n v="16230.14"/>
    <n v="0"/>
    <n v="0"/>
    <n v="0"/>
    <n v="16230.14"/>
    <n v="16230.14"/>
    <n v="16230.14"/>
  </r>
  <r>
    <s v="73"/>
    <x v="0"/>
    <x v="1"/>
    <s v="ZA01C002"/>
    <x v="46"/>
    <s v="L101"/>
    <s v="GESTION INSTITUCIONAL EFICIENTE E INNOVADORA"/>
    <s v="GI00L10100032D"/>
    <s v="GI00L10100032D RELACIONES Y COOPERACIÓN INTERNACIONAL P"/>
    <s v="73 BIENES Y SERVICIOS PARA INVERSIÓN"/>
    <s v="730204 Edición, Impresión, Reproducción, Public"/>
    <s v="G/730204/1CL101"/>
    <s v="002"/>
    <n v="14000"/>
    <n v="19600"/>
    <n v="0"/>
    <n v="33600"/>
    <n v="0"/>
    <n v="0"/>
    <n v="0"/>
    <n v="33600"/>
    <n v="33600"/>
    <n v="33600"/>
  </r>
  <r>
    <s v="73"/>
    <x v="0"/>
    <x v="1"/>
    <s v="ZA01C002"/>
    <x v="46"/>
    <s v="L101"/>
    <s v="GESTION INSTITUCIONAL EFICIENTE E INNOVADORA"/>
    <s v="GI00L10100032D"/>
    <s v="GI00L10100032D RELACIONES Y COOPERACIÓN INTERNACIONAL P"/>
    <s v="73 BIENES Y SERVICIOS PARA INVERSIÓN"/>
    <s v="730207 Difusión, Información y Publicidad"/>
    <s v="G/730207/1CL101"/>
    <s v="002"/>
    <n v="0"/>
    <n v="58240"/>
    <n v="0"/>
    <n v="58240"/>
    <n v="0"/>
    <n v="0"/>
    <n v="0"/>
    <n v="58240"/>
    <n v="58240"/>
    <n v="58240"/>
  </r>
  <r>
    <s v="73"/>
    <x v="0"/>
    <x v="1"/>
    <s v="ZA01C002"/>
    <x v="46"/>
    <s v="L101"/>
    <s v="GESTION INSTITUCIONAL EFICIENTE E INNOVADORA"/>
    <s v="GI00L10100032D"/>
    <s v="GI00L10100032D RELACIONES Y COOPERACIÓN INTERNACIONAL P"/>
    <s v="73 BIENES Y SERVICIOS PARA INVERSIÓN"/>
    <s v="730239 Membrecías"/>
    <s v="G/730239/1CL101"/>
    <s v="002"/>
    <n v="21000"/>
    <n v="0"/>
    <n v="0"/>
    <n v="21000"/>
    <n v="0"/>
    <n v="0"/>
    <n v="0"/>
    <n v="21000"/>
    <n v="21000"/>
    <n v="21000"/>
  </r>
  <r>
    <s v="73"/>
    <x v="0"/>
    <x v="1"/>
    <s v="ZA01C002"/>
    <x v="46"/>
    <s v="L101"/>
    <s v="GESTION INSTITUCIONAL EFICIENTE E INNOVADORA"/>
    <s v="GI00L10100032D"/>
    <s v="GI00L10100032D RELACIONES Y COOPERACIÓN INTERNACIONAL P"/>
    <s v="73 BIENES Y SERVICIOS PARA INVERSIÓN"/>
    <s v="730248 Eventos Oficiales"/>
    <s v="G/730248/1CL101"/>
    <s v="002"/>
    <n v="122000"/>
    <n v="-77840"/>
    <n v="0"/>
    <n v="44160"/>
    <n v="79.2"/>
    <n v="5420.8"/>
    <n v="5420.8"/>
    <n v="38739.199999999997"/>
    <n v="38739.199999999997"/>
    <n v="38660"/>
  </r>
  <r>
    <s v="73"/>
    <x v="0"/>
    <x v="1"/>
    <s v="ZA01C002"/>
    <x v="46"/>
    <s v="L101"/>
    <s v="GESTION INSTITUCIONAL EFICIENTE E INNOVADORA"/>
    <s v="GI00L10100032D"/>
    <s v="GI00L10100032D RELACIONES Y COOPERACIÓN INTERNACIONAL P"/>
    <s v="73 BIENES Y SERVICIOS PARA INVERSIÓN"/>
    <s v="730307 Atención a Delegados Extranjeros y Nacional"/>
    <s v="G/730307/1CL101"/>
    <s v="002"/>
    <n v="9000"/>
    <n v="0"/>
    <n v="0"/>
    <n v="9000"/>
    <n v="0"/>
    <n v="0"/>
    <n v="0"/>
    <n v="9000"/>
    <n v="9000"/>
    <n v="9000"/>
  </r>
  <r>
    <s v="73"/>
    <x v="0"/>
    <x v="0"/>
    <s v="ZA01A004"/>
    <x v="52"/>
    <s v="L101"/>
    <s v="GESTION INSTITUCIONAL EFICIENTE E INNOVADORA"/>
    <s v="GI00L10100033D"/>
    <s v="GI00L10100033D GESTIÓN TRIBUTARIA EFICIENTE"/>
    <s v="73 BIENES Y SERVICIOS PARA INVERSIÓN"/>
    <s v="730606 Honorarios por Contratos Civiles de Servici"/>
    <s v="G/730606/1AL101"/>
    <s v="002"/>
    <n v="85000"/>
    <n v="0"/>
    <n v="0"/>
    <n v="85000"/>
    <n v="0"/>
    <n v="0"/>
    <n v="0"/>
    <n v="85000"/>
    <n v="85000"/>
    <n v="85000"/>
  </r>
  <r>
    <s v="73"/>
    <x v="0"/>
    <x v="0"/>
    <s v="ZA01A004"/>
    <x v="52"/>
    <s v="L101"/>
    <s v="GESTION INSTITUCIONAL EFICIENTE E INNOVADORA"/>
    <s v="GI00L10100033D"/>
    <s v="GI00L10100033D GESTIÓN TRIBUTARIA EFICIENTE"/>
    <s v="73 BIENES Y SERVICIOS PARA INVERSIÓN"/>
    <s v="730607 Servicios Técnicos Especializados"/>
    <s v="G/730607/1AL101"/>
    <s v="002"/>
    <n v="10000"/>
    <n v="0"/>
    <n v="0"/>
    <n v="10000"/>
    <n v="0"/>
    <n v="0"/>
    <n v="0"/>
    <n v="10000"/>
    <n v="10000"/>
    <n v="10000"/>
  </r>
  <r>
    <s v="73"/>
    <x v="0"/>
    <x v="0"/>
    <s v="ZA01A004"/>
    <x v="52"/>
    <s v="L101"/>
    <s v="GESTION INSTITUCIONAL EFICIENTE E INNOVADORA"/>
    <s v="GI00L10100033D"/>
    <s v="GI00L10100033D GESTIÓN TRIBUTARIA EFICIENTE"/>
    <s v="73 BIENES Y SERVICIOS PARA INVERSIÓN"/>
    <s v="730612 Capacitación a Servidores Públicos"/>
    <s v="G/730612/1AL101"/>
    <s v="002"/>
    <n v="20000"/>
    <n v="0"/>
    <n v="0"/>
    <n v="20000"/>
    <n v="0"/>
    <n v="0"/>
    <n v="0"/>
    <n v="20000"/>
    <n v="20000"/>
    <n v="20000"/>
  </r>
  <r>
    <s v="73"/>
    <x v="0"/>
    <x v="0"/>
    <s v="ZA01A004"/>
    <x v="52"/>
    <s v="L101"/>
    <s v="GESTION INSTITUCIONAL EFICIENTE E INNOVADORA"/>
    <s v="GI00L10100033D"/>
    <s v="GI00L10100033D GESTIÓN TRIBUTARIA EFICIENTE"/>
    <s v="73 BIENES Y SERVICIOS PARA INVERSIÓN"/>
    <s v="730701 Desarrollo, Actualización, Asistencia Té"/>
    <s v="G/730701/1AL101"/>
    <s v="002"/>
    <n v="30000"/>
    <n v="0"/>
    <n v="0"/>
    <n v="30000"/>
    <n v="0"/>
    <n v="0"/>
    <n v="0"/>
    <n v="30000"/>
    <n v="30000"/>
    <n v="30000"/>
  </r>
  <r>
    <s v="73"/>
    <x v="0"/>
    <x v="0"/>
    <s v="ZA01A009"/>
    <x v="0"/>
    <s v="L101"/>
    <s v="GESTION INSTITUCIONAL EFICIENTE E INNOVADORA"/>
    <s v="GI00L10100034D"/>
    <s v="GI00L10100034D INNOVACIÓN DE LOS SERVICIOS DE ATENCIÓN"/>
    <s v="73 BIENES Y SERVICIOS PARA INVERSIÓN"/>
    <s v="730105 Telecomunicaciones"/>
    <s v="G/730105/1AL101"/>
    <s v="002"/>
    <n v="46709"/>
    <n v="0"/>
    <n v="0"/>
    <n v="46709"/>
    <n v="0"/>
    <n v="14000"/>
    <n v="2012.17"/>
    <n v="32709"/>
    <n v="44696.83"/>
    <n v="32709"/>
  </r>
  <r>
    <s v="73"/>
    <x v="0"/>
    <x v="0"/>
    <s v="ZA01A009"/>
    <x v="0"/>
    <s v="L101"/>
    <s v="GESTION INSTITUCIONAL EFICIENTE E INNOVADORA"/>
    <s v="GI00L10100034D"/>
    <s v="GI00L10100034D INNOVACIÓN DE LOS SERVICIOS DE ATENCIÓN"/>
    <s v="73 BIENES Y SERVICIOS PARA INVERSIÓN"/>
    <s v="730201 Transporte de Personal"/>
    <s v="G/730201/1AL101"/>
    <s v="002"/>
    <n v="5000"/>
    <n v="0"/>
    <n v="0"/>
    <n v="5000"/>
    <n v="0"/>
    <n v="0"/>
    <n v="0"/>
    <n v="5000"/>
    <n v="5000"/>
    <n v="5000"/>
  </r>
  <r>
    <s v="73"/>
    <x v="0"/>
    <x v="0"/>
    <s v="ZA01A009"/>
    <x v="0"/>
    <s v="L101"/>
    <s v="GESTION INSTITUCIONAL EFICIENTE E INNOVADORA"/>
    <s v="GI00L10100034D"/>
    <s v="GI00L10100034D INNOVACIÓN DE LOS SERVICIOS DE ATENCIÓN"/>
    <s v="73 BIENES Y SERVICIOS PARA INVERSIÓN"/>
    <s v="730402 Edificios, Locales, Residencias y Cablea"/>
    <s v="G/730402/1AL101"/>
    <s v="002"/>
    <n v="175322.04"/>
    <n v="0"/>
    <n v="0"/>
    <n v="175322.04"/>
    <n v="0"/>
    <n v="0"/>
    <n v="0"/>
    <n v="175322.04"/>
    <n v="175322.04"/>
    <n v="175322.04"/>
  </r>
  <r>
    <s v="73"/>
    <x v="0"/>
    <x v="0"/>
    <s v="ZA01A009"/>
    <x v="0"/>
    <s v="L101"/>
    <s v="GESTION INSTITUCIONAL EFICIENTE E INNOVADORA"/>
    <s v="GI00L10100034D"/>
    <s v="GI00L10100034D INNOVACIÓN DE LOS SERVICIOS DE ATENCIÓN"/>
    <s v="73 BIENES Y SERVICIOS PARA INVERSIÓN"/>
    <s v="730503 Mobiliario (Arrendamiento)"/>
    <s v="G/730503/1AL101"/>
    <s v="002"/>
    <n v="20000"/>
    <n v="0"/>
    <n v="0"/>
    <n v="20000"/>
    <n v="0"/>
    <n v="0"/>
    <n v="0"/>
    <n v="20000"/>
    <n v="20000"/>
    <n v="20000"/>
  </r>
  <r>
    <s v="73"/>
    <x v="0"/>
    <x v="0"/>
    <s v="ZA01A009"/>
    <x v="0"/>
    <s v="L101"/>
    <s v="GESTION INSTITUCIONAL EFICIENTE E INNOVADORA"/>
    <s v="GI00L10100034D"/>
    <s v="GI00L10100034D INNOVACIÓN DE LOS SERVICIOS DE ATENCIÓN"/>
    <s v="73 BIENES Y SERVICIOS PARA INVERSIÓN"/>
    <s v="730704 Mantenimiento y Reparación de Equipos y"/>
    <s v="G/730704/1AL101"/>
    <s v="002"/>
    <n v="12000"/>
    <n v="0"/>
    <n v="0"/>
    <n v="12000"/>
    <n v="0.01"/>
    <n v="5556.41"/>
    <n v="0"/>
    <n v="6443.59"/>
    <n v="12000"/>
    <n v="6443.58"/>
  </r>
  <r>
    <s v="73"/>
    <x v="0"/>
    <x v="0"/>
    <s v="ZA01A009"/>
    <x v="0"/>
    <s v="L101"/>
    <s v="GESTION INSTITUCIONAL EFICIENTE E INNOVADORA"/>
    <s v="GI00L10100034D"/>
    <s v="GI00L10100034D INNOVACIÓN DE LOS SERVICIOS DE ATENCIÓN"/>
    <s v="73 BIENES Y SERVICIOS PARA INVERSIÓN"/>
    <s v="731403 Mobiliarios"/>
    <s v="G/731403/1AL101"/>
    <s v="002"/>
    <n v="2900"/>
    <n v="0"/>
    <n v="0"/>
    <n v="2900"/>
    <n v="0"/>
    <n v="0"/>
    <n v="0"/>
    <n v="2900"/>
    <n v="2900"/>
    <n v="2900"/>
  </r>
  <r>
    <s v="73"/>
    <x v="0"/>
    <x v="0"/>
    <s v="ZA01A000"/>
    <x v="1"/>
    <s v="L101"/>
    <s v="GESTION INSTITUCIONAL EFICIENTE E INNOVADORA"/>
    <s v="GI00L10100035D"/>
    <s v="GI00L10100035D MODERNIZACIÓN DE LA ADMINISTRACIÓN"/>
    <s v="73 BIENES Y SERVICIOS PARA INVERSIÓN"/>
    <s v="730606 Honorarios por Contratos Civiles de Servici"/>
    <s v="G/730606/1AL101"/>
    <s v="002"/>
    <n v="170000"/>
    <n v="0"/>
    <n v="0"/>
    <n v="170000"/>
    <n v="0"/>
    <n v="0"/>
    <n v="0"/>
    <n v="170000"/>
    <n v="170000"/>
    <n v="170000"/>
  </r>
  <r>
    <s v="73"/>
    <x v="0"/>
    <x v="0"/>
    <s v="ZA01A000"/>
    <x v="1"/>
    <s v="L101"/>
    <s v="GESTION INSTITUCIONAL EFICIENTE E INNOVADORA"/>
    <s v="GI00L10100035D"/>
    <s v="GI00L10100035D MODERNIZACIÓN DE LA ADMINISTRACIÓN"/>
    <s v="73 BIENES Y SERVICIOS PARA INVERSIÓN"/>
    <s v="730612 Capacitación a Servidores Públicos"/>
    <s v="G/730612/1AL101"/>
    <s v="002"/>
    <n v="120000"/>
    <n v="0"/>
    <n v="0"/>
    <n v="120000"/>
    <n v="0"/>
    <n v="0"/>
    <n v="0"/>
    <n v="120000"/>
    <n v="120000"/>
    <n v="120000"/>
  </r>
  <r>
    <s v="73"/>
    <x v="0"/>
    <x v="0"/>
    <s v="ZA01A008"/>
    <x v="51"/>
    <s v="L101"/>
    <s v="GESTION INSTITUCIONAL EFICIENTE E INNOVADORA"/>
    <s v="GI00L10100036D"/>
    <s v="GI00L10100036D MODERNIZACIÓN DE LA GESTIÓN DE BIENES IN"/>
    <s v="73 BIENES Y SERVICIOS PARA INVERSIÓN"/>
    <s v="730207 Difusión, Información y Publicidad"/>
    <s v="G/730207/1AL101"/>
    <s v="002"/>
    <n v="0"/>
    <n v="20000"/>
    <n v="0"/>
    <n v="20000"/>
    <n v="0"/>
    <n v="0"/>
    <n v="0"/>
    <n v="20000"/>
    <n v="20000"/>
    <n v="20000"/>
  </r>
  <r>
    <s v="73"/>
    <x v="0"/>
    <x v="0"/>
    <s v="ZA01A008"/>
    <x v="51"/>
    <s v="L101"/>
    <s v="GESTION INSTITUCIONAL EFICIENTE E INNOVADORA"/>
    <s v="GI00L10100036D"/>
    <s v="GI00L10100036D MODERNIZACIÓN DE LA GESTIÓN DE BIENES IN"/>
    <s v="73 BIENES Y SERVICIOS PARA INVERSIÓN"/>
    <s v="730402 Edificios, Locales, Residencias y Cablea"/>
    <s v="G/730402/1AL101"/>
    <s v="002"/>
    <n v="0"/>
    <n v="354323.6"/>
    <n v="0"/>
    <n v="354323.6"/>
    <n v="0"/>
    <n v="0"/>
    <n v="0"/>
    <n v="354323.6"/>
    <n v="354323.6"/>
    <n v="354323.6"/>
  </r>
  <r>
    <s v="73"/>
    <x v="0"/>
    <x v="0"/>
    <s v="ZA01A008"/>
    <x v="51"/>
    <s v="L101"/>
    <s v="GESTION INSTITUCIONAL EFICIENTE E INNOVADORA"/>
    <s v="GI00L10100036D"/>
    <s v="GI00L10100036D MODERNIZACIÓN DE LA GESTIÓN DE BIENES IN"/>
    <s v="73 BIENES Y SERVICIOS PARA INVERSIÓN"/>
    <s v="730701 Desarrollo, Actualización, Asistencia Té"/>
    <s v="G/730701/1AL101"/>
    <s v="002"/>
    <n v="427694"/>
    <n v="-427693.96"/>
    <n v="0"/>
    <n v="0.04"/>
    <n v="0"/>
    <n v="0"/>
    <n v="0"/>
    <n v="0.04"/>
    <n v="0.04"/>
    <n v="0.04"/>
  </r>
  <r>
    <s v="73"/>
    <x v="0"/>
    <x v="0"/>
    <s v="ZA01A006"/>
    <x v="50"/>
    <s v="L101"/>
    <s v="GESTION INSTITUCIONAL EFICIENTE E INNOVADORA"/>
    <s v="GI00L10100037D"/>
    <s v="GI00L10100037D MODERNIZACIÓN DE LA GESTIÓN DOCUMENTAL Y"/>
    <s v="73 BIENES Y SERVICIOS PARA INVERSIÓN"/>
    <s v="730202 Fletes y Maniobras"/>
    <s v="G/730202/1AL101"/>
    <s v="002"/>
    <n v="20000"/>
    <n v="-8000"/>
    <n v="0"/>
    <n v="12000"/>
    <n v="0"/>
    <n v="0"/>
    <n v="0"/>
    <n v="12000"/>
    <n v="12000"/>
    <n v="12000"/>
  </r>
  <r>
    <s v="73"/>
    <x v="0"/>
    <x v="0"/>
    <s v="ZA01A006"/>
    <x v="50"/>
    <s v="L101"/>
    <s v="GESTION INSTITUCIONAL EFICIENTE E INNOVADORA"/>
    <s v="GI00L10100037D"/>
    <s v="GI00L10100037D MODERNIZACIÓN DE LA GESTIÓN DOCUMENTAL Y"/>
    <s v="73 BIENES Y SERVICIOS PARA INVERSIÓN"/>
    <s v="730402 Edificios, Locales, Residencias y Cablea"/>
    <s v="G/730402/1AL101"/>
    <s v="002"/>
    <n v="186317"/>
    <n v="-96092.75"/>
    <n v="0"/>
    <n v="90224.25"/>
    <n v="0"/>
    <n v="0"/>
    <n v="0"/>
    <n v="90224.25"/>
    <n v="90224.25"/>
    <n v="90224.25"/>
  </r>
  <r>
    <s v="73"/>
    <x v="0"/>
    <x v="0"/>
    <s v="ZA01A006"/>
    <x v="50"/>
    <s v="L101"/>
    <s v="GESTION INSTITUCIONAL EFICIENTE E INNOVADORA"/>
    <s v="GI00L10100037D"/>
    <s v="GI00L10100037D MODERNIZACIÓN DE LA GESTIÓN DOCUMENTAL Y"/>
    <s v="73 BIENES Y SERVICIOS PARA INVERSIÓN"/>
    <s v="730601 Consultoría, Asesoría e Investigación Es"/>
    <s v="G/730601/1AL101"/>
    <s v="002"/>
    <n v="100000"/>
    <n v="-3000"/>
    <n v="0"/>
    <n v="97000"/>
    <n v="0"/>
    <n v="0"/>
    <n v="0"/>
    <n v="97000"/>
    <n v="97000"/>
    <n v="97000"/>
  </r>
  <r>
    <s v="73"/>
    <x v="0"/>
    <x v="0"/>
    <s v="ZA01A006"/>
    <x v="50"/>
    <s v="L101"/>
    <s v="GESTION INSTITUCIONAL EFICIENTE E INNOVADORA"/>
    <s v="GI00L10100037D"/>
    <s v="GI00L10100037D MODERNIZACIÓN DE LA GESTIÓN DOCUMENTAL Y"/>
    <s v="73 BIENES Y SERVICIOS PARA INVERSIÓN"/>
    <s v="730701 Desarrollo, Actualización, Asistencia Té"/>
    <s v="G/730701/1AL101"/>
    <s v="002"/>
    <n v="0"/>
    <n v="7840"/>
    <n v="0"/>
    <n v="7840"/>
    <n v="0"/>
    <n v="5880"/>
    <n v="224"/>
    <n v="1960"/>
    <n v="7616"/>
    <n v="1960"/>
  </r>
  <r>
    <s v="73"/>
    <x v="0"/>
    <x v="0"/>
    <s v="ZA01A006"/>
    <x v="50"/>
    <s v="L101"/>
    <s v="GESTION INSTITUCIONAL EFICIENTE E INNOVADORA"/>
    <s v="GI00L10100037D"/>
    <s v="GI00L10100037D MODERNIZACIÓN DE LA GESTIÓN DOCUMENTAL Y"/>
    <s v="73 BIENES Y SERVICIOS PARA INVERSIÓN"/>
    <s v="730811 Insumos, Materiales y Suministros para Cons"/>
    <s v="G/730811/1AL101"/>
    <s v="002"/>
    <n v="10000"/>
    <n v="-10000"/>
    <n v="0"/>
    <n v="0"/>
    <n v="0"/>
    <n v="0"/>
    <n v="0"/>
    <n v="0"/>
    <n v="0"/>
    <n v="0"/>
  </r>
  <r>
    <s v="73"/>
    <x v="0"/>
    <x v="0"/>
    <s v="ZA01A006"/>
    <x v="50"/>
    <s v="L101"/>
    <s v="GESTION INSTITUCIONAL EFICIENTE E INNOVADORA"/>
    <s v="GI00L10100037D"/>
    <s v="GI00L10100037D MODERNIZACIÓN DE LA GESTIÓN DOCUMENTAL Y"/>
    <s v="73 BIENES Y SERVICIOS PARA INVERSIÓN"/>
    <s v="731403 Mobiliarios"/>
    <s v="G/731403/1AL101"/>
    <s v="002"/>
    <n v="154000"/>
    <n v="-154000"/>
    <n v="0"/>
    <n v="0"/>
    <n v="0"/>
    <n v="0"/>
    <n v="0"/>
    <n v="0"/>
    <n v="0"/>
    <n v="0"/>
  </r>
  <r>
    <s v="73"/>
    <x v="0"/>
    <x v="0"/>
    <s v="ZA01A000"/>
    <x v="1"/>
    <s v="L101"/>
    <s v="GESTION INSTITUCIONAL EFICIENTE E INNOVADORA"/>
    <s v="GI00L10100038D"/>
    <s v="GI00L10100038D PROYECTOS ESPECIALES DE EJECUCIÓN DEL NU"/>
    <s v="73 BIENES Y SERVICIOS PARA INVERSIÓN"/>
    <s v="730606 Honorarios por Contratos Civiles de Servici"/>
    <s v="G/730606/1AL101"/>
    <s v="002"/>
    <n v="50000"/>
    <n v="0"/>
    <n v="0"/>
    <n v="50000"/>
    <n v="0"/>
    <n v="0"/>
    <n v="0"/>
    <n v="50000"/>
    <n v="50000"/>
    <n v="50000"/>
  </r>
  <r>
    <s v="73"/>
    <x v="0"/>
    <x v="0"/>
    <s v="ZA01A000"/>
    <x v="1"/>
    <s v="L101"/>
    <s v="GESTION INSTITUCIONAL EFICIENTE E INNOVADORA"/>
    <s v="GI00L10100038D"/>
    <s v="GI00L10100038D PROYECTOS ESPECIALES DE EJECUCIÓN DEL NU"/>
    <s v="73 BIENES Y SERVICIOS PARA INVERSIÓN"/>
    <s v="730701 Desarrollo, Actualización, Asistencia Té"/>
    <s v="G/730701/1AL101"/>
    <s v="002"/>
    <n v="250000"/>
    <n v="0"/>
    <n v="0"/>
    <n v="250000"/>
    <n v="0"/>
    <n v="0"/>
    <n v="0"/>
    <n v="250000"/>
    <n v="250000"/>
    <n v="250000"/>
  </r>
  <r>
    <s v="73"/>
    <x v="0"/>
    <x v="12"/>
    <s v="MC37B000"/>
    <x v="28"/>
    <s v="L101"/>
    <s v="GESTION INSTITUCIONAL EFICIENTE E INNOVADORA"/>
    <s v="GI00L10100039D"/>
    <s v="GI00L10100039D CONTROL Y BUEN USO DEL ESPACIO PÚBLICO &quot;"/>
    <s v="73 BIENES Y SERVICIOS PARA INVERSIÓN"/>
    <s v="730105 Telecomunicaciones"/>
    <s v="G/730105/1BL101"/>
    <s v="002"/>
    <n v="29200"/>
    <n v="-29200"/>
    <n v="0"/>
    <n v="0"/>
    <n v="0"/>
    <n v="0"/>
    <n v="0"/>
    <n v="0"/>
    <n v="0"/>
    <n v="0"/>
  </r>
  <r>
    <s v="73"/>
    <x v="0"/>
    <x v="12"/>
    <s v="MC37B000"/>
    <x v="28"/>
    <s v="L101"/>
    <s v="GESTION INSTITUCIONAL EFICIENTE E INNOVADORA"/>
    <s v="GI00L10100039D"/>
    <s v="GI00L10100039D CONTROL Y BUEN USO DEL ESPACIO PÚBLICO &quot;"/>
    <s v="73 BIENES Y SERVICIOS PARA INVERSIÓN"/>
    <s v="730601 Consultoría, Asesoría e Investigación Es"/>
    <s v="G/730601/1BL101"/>
    <s v="002"/>
    <n v="25000"/>
    <n v="0"/>
    <n v="0"/>
    <n v="25000"/>
    <n v="0"/>
    <n v="0"/>
    <n v="0"/>
    <n v="25000"/>
    <n v="25000"/>
    <n v="25000"/>
  </r>
  <r>
    <s v="73"/>
    <x v="0"/>
    <x v="12"/>
    <s v="MC37B000"/>
    <x v="28"/>
    <s v="L101"/>
    <s v="GESTION INSTITUCIONAL EFICIENTE E INNOVADORA"/>
    <s v="GI00L10100039D"/>
    <s v="GI00L10100039D CONTROL Y BUEN USO DEL ESPACIO PÚBLICO &quot;"/>
    <s v="73 BIENES Y SERVICIOS PARA INVERSIÓN"/>
    <s v="730606 Honorarios por Contratos Civiles de Servici"/>
    <s v="G/730606/1BL101"/>
    <s v="002"/>
    <n v="107142.86"/>
    <n v="-107142.86"/>
    <n v="0"/>
    <n v="0"/>
    <n v="0"/>
    <n v="0"/>
    <n v="0"/>
    <n v="0"/>
    <n v="0"/>
    <n v="0"/>
  </r>
  <r>
    <s v="73"/>
    <x v="0"/>
    <x v="12"/>
    <s v="MC37B000"/>
    <x v="28"/>
    <s v="L101"/>
    <s v="GESTION INSTITUCIONAL EFICIENTE E INNOVADORA"/>
    <s v="GI00L10100039D"/>
    <s v="GI00L10100039D CONTROL Y BUEN USO DEL ESPACIO PÚBLICO &quot;"/>
    <s v="73 BIENES Y SERVICIOS PARA INVERSIÓN"/>
    <s v="730704 Mantenimiento y Reparación de Equipos y"/>
    <s v="G/730704/1BL101"/>
    <s v="002"/>
    <n v="40300"/>
    <n v="-40300"/>
    <n v="0"/>
    <n v="0"/>
    <n v="0"/>
    <n v="0"/>
    <n v="0"/>
    <n v="0"/>
    <n v="0"/>
    <n v="0"/>
  </r>
  <r>
    <s v="73"/>
    <x v="0"/>
    <x v="12"/>
    <s v="MC37B000"/>
    <x v="28"/>
    <s v="L101"/>
    <s v="GESTION INSTITUCIONAL EFICIENTE E INNOVADORA"/>
    <s v="GI00L10100039D"/>
    <s v="GI00L10100039D CONTROL Y BUEN USO DEL ESPACIO PÚBLICO &quot;"/>
    <s v="73 BIENES Y SERVICIOS PARA INVERSIÓN"/>
    <s v="730802 Vestuario, Lencería, Prendas de Protecci"/>
    <s v="G/730802/1BL101"/>
    <s v="002"/>
    <n v="6002.85"/>
    <n v="0"/>
    <n v="0"/>
    <n v="6002.85"/>
    <n v="0"/>
    <n v="0"/>
    <n v="0"/>
    <n v="6002.85"/>
    <n v="6002.85"/>
    <n v="6002.85"/>
  </r>
  <r>
    <s v="73"/>
    <x v="0"/>
    <x v="12"/>
    <s v="MC37B000"/>
    <x v="28"/>
    <s v="L101"/>
    <s v="GESTION INSTITUCIONAL EFICIENTE E INNOVADORA"/>
    <s v="GI00L10100039D"/>
    <s v="GI00L10100039D CONTROL Y BUEN USO DEL ESPACIO PÚBLICO &quot;"/>
    <s v="73 BIENES Y SERVICIOS PARA INVERSIÓN"/>
    <s v="731403 Mobiliarios"/>
    <s v="G/731403/1BL101"/>
    <s v="002"/>
    <n v="2000"/>
    <n v="-2000"/>
    <n v="0"/>
    <n v="0"/>
    <n v="0"/>
    <n v="0"/>
    <n v="0"/>
    <n v="0"/>
    <n v="0"/>
    <n v="0"/>
  </r>
  <r>
    <s v="73"/>
    <x v="0"/>
    <x v="0"/>
    <s v="ZA01A007"/>
    <x v="59"/>
    <s v="L101"/>
    <s v="GESTION INSTITUCIONAL EFICIENTE E INNOVADORA"/>
    <s v="GI00L10100040D"/>
    <s v="GI00L10100040D CIUDAD INTELIGENTE"/>
    <s v="73 BIENES Y SERVICIOS PARA INVERSIÓN"/>
    <s v="730105 Telecomunicaciones"/>
    <s v="G/730105/1AL101"/>
    <s v="002"/>
    <n v="43200"/>
    <n v="64800.01"/>
    <n v="0"/>
    <n v="108000.01"/>
    <n v="0"/>
    <n v="0"/>
    <n v="0"/>
    <n v="108000.01"/>
    <n v="108000.01"/>
    <n v="108000.01"/>
  </r>
  <r>
    <s v="73"/>
    <x v="0"/>
    <x v="0"/>
    <s v="ZA01A007"/>
    <x v="59"/>
    <s v="L101"/>
    <s v="GESTION INSTITUCIONAL EFICIENTE E INNOVADORA"/>
    <s v="GI00L10100040D"/>
    <s v="GI00L10100040D CIUDAD INTELIGENTE"/>
    <s v="73 BIENES Y SERVICIOS PARA INVERSIÓN"/>
    <s v="730402 Edificios, Locales, Residencias y Cablea"/>
    <s v="G/730402/1AL101"/>
    <s v="002"/>
    <n v="50000"/>
    <n v="196360"/>
    <n v="0"/>
    <n v="246360"/>
    <n v="0"/>
    <n v="0"/>
    <n v="0"/>
    <n v="246360"/>
    <n v="246360"/>
    <n v="246360"/>
  </r>
  <r>
    <s v="73"/>
    <x v="0"/>
    <x v="0"/>
    <s v="ZA01A007"/>
    <x v="59"/>
    <s v="L101"/>
    <s v="GESTION INSTITUCIONAL EFICIENTE E INNOVADORA"/>
    <s v="GI00L10100040D"/>
    <s v="GI00L10100040D CIUDAD INTELIGENTE"/>
    <s v="73 BIENES Y SERVICIOS PARA INVERSIÓN"/>
    <s v="730701 Desarrollo, Actualización, Asistencia Té"/>
    <s v="G/730701/1AL101"/>
    <s v="002"/>
    <n v="0"/>
    <n v="65000"/>
    <n v="0"/>
    <n v="65000"/>
    <n v="0"/>
    <n v="0"/>
    <n v="0"/>
    <n v="65000"/>
    <n v="65000"/>
    <n v="65000"/>
  </r>
  <r>
    <s v="73"/>
    <x v="0"/>
    <x v="0"/>
    <s v="ZA01A007"/>
    <x v="59"/>
    <s v="L101"/>
    <s v="GESTION INSTITUCIONAL EFICIENTE E INNOVADORA"/>
    <s v="GI00L10100040D"/>
    <s v="GI00L10100040D CIUDAD INTELIGENTE"/>
    <s v="73 BIENES Y SERVICIOS PARA INVERSIÓN"/>
    <s v="730702 Arrendamiento y Licencias de Uso de Paquete"/>
    <s v="G/730702/1AL101"/>
    <s v="002"/>
    <n v="545000"/>
    <n v="31794.78"/>
    <n v="0"/>
    <n v="576794.78"/>
    <n v="0"/>
    <n v="0"/>
    <n v="0"/>
    <n v="576794.78"/>
    <n v="576794.78"/>
    <n v="576794.78"/>
  </r>
  <r>
    <s v="73"/>
    <x v="0"/>
    <x v="0"/>
    <s v="ZA01A007"/>
    <x v="59"/>
    <s v="L101"/>
    <s v="GESTION INSTITUCIONAL EFICIENTE E INNOVADORA"/>
    <s v="GI00L10100040D"/>
    <s v="GI00L10100040D CIUDAD INTELIGENTE"/>
    <s v="73 BIENES Y SERVICIOS PARA INVERSIÓN"/>
    <s v="730704 Mantenimiento y Reparación de Equipos y"/>
    <s v="G/730704/1AL101"/>
    <s v="002"/>
    <n v="300000"/>
    <n v="44677.85"/>
    <n v="0"/>
    <n v="344677.85"/>
    <n v="125400.8"/>
    <n v="100653.84"/>
    <n v="0"/>
    <n v="244024.01"/>
    <n v="344677.85"/>
    <n v="118623.21"/>
  </r>
  <r>
    <s v="73"/>
    <x v="0"/>
    <x v="0"/>
    <s v="ZA01A007"/>
    <x v="59"/>
    <s v="L101"/>
    <s v="GESTION INSTITUCIONAL EFICIENTE E INNOVADORA"/>
    <s v="GI00L10100041D"/>
    <s v="GI00L10100041D INNOVACION Y FORTALECIMIENTO DE LA INFRA"/>
    <s v="73 BIENES Y SERVICIOS PARA INVERSIÓN"/>
    <s v="730105 Telecomunicaciones"/>
    <s v="G/730105/1AL101"/>
    <s v="002"/>
    <n v="1138288.02"/>
    <n v="0"/>
    <n v="0"/>
    <n v="1138288.02"/>
    <n v="13838.83"/>
    <n v="813693.16"/>
    <n v="526734.14"/>
    <n v="324594.86"/>
    <n v="611553.88"/>
    <n v="310756.03000000003"/>
  </r>
  <r>
    <s v="73"/>
    <x v="0"/>
    <x v="0"/>
    <s v="ZA01A007"/>
    <x v="59"/>
    <s v="L101"/>
    <s v="GESTION INSTITUCIONAL EFICIENTE E INNOVADORA"/>
    <s v="GI00L10100041D"/>
    <s v="GI00L10100041D INNOVACION Y FORTALECIMIENTO DE LA INFRA"/>
    <s v="73 BIENES Y SERVICIOS PARA INVERSIÓN"/>
    <s v="730402 Edificios, Locales, Residencias y Cablea"/>
    <s v="G/730402/1AL101"/>
    <s v="002"/>
    <n v="112000"/>
    <n v="-39264.959999999999"/>
    <n v="0"/>
    <n v="72735.039999999994"/>
    <n v="0"/>
    <n v="72735.039999999994"/>
    <n v="0"/>
    <n v="0"/>
    <n v="72735.039999999994"/>
    <n v="0"/>
  </r>
  <r>
    <s v="73"/>
    <x v="0"/>
    <x v="0"/>
    <s v="ZA01A007"/>
    <x v="59"/>
    <s v="L101"/>
    <s v="GESTION INSTITUCIONAL EFICIENTE E INNOVADORA"/>
    <s v="GI00L10100041D"/>
    <s v="GI00L10100041D INNOVACION Y FORTALECIMIENTO DE LA INFRA"/>
    <s v="73 BIENES Y SERVICIOS PARA INVERSIÓN"/>
    <s v="730502 Edificios, Locales, Residencias, Parquea"/>
    <s v="G/730502/1AL101"/>
    <s v="002"/>
    <n v="12600"/>
    <n v="-12600"/>
    <n v="0"/>
    <n v="0"/>
    <n v="0"/>
    <n v="0"/>
    <n v="0"/>
    <n v="0"/>
    <n v="0"/>
    <n v="0"/>
  </r>
  <r>
    <s v="73"/>
    <x v="0"/>
    <x v="0"/>
    <s v="ZA01A007"/>
    <x v="59"/>
    <s v="L101"/>
    <s v="GESTION INSTITUCIONAL EFICIENTE E INNOVADORA"/>
    <s v="GI00L10100041D"/>
    <s v="GI00L10100041D INNOVACION Y FORTALECIMIENTO DE LA INFRA"/>
    <s v="73 BIENES Y SERVICIOS PARA INVERSIÓN"/>
    <s v="730701 Desarrollo, Actualización, Asistencia Té"/>
    <s v="G/730701/1AL101"/>
    <s v="002"/>
    <n v="25088"/>
    <n v="-10976"/>
    <n v="0"/>
    <n v="14112"/>
    <n v="0"/>
    <n v="0"/>
    <n v="0"/>
    <n v="14112"/>
    <n v="14112"/>
    <n v="14112"/>
  </r>
  <r>
    <s v="73"/>
    <x v="0"/>
    <x v="0"/>
    <s v="ZA01A007"/>
    <x v="59"/>
    <s v="L101"/>
    <s v="GESTION INSTITUCIONAL EFICIENTE E INNOVADORA"/>
    <s v="GI00L10100041D"/>
    <s v="GI00L10100041D INNOVACION Y FORTALECIMIENTO DE LA INFRA"/>
    <s v="73 BIENES Y SERVICIOS PARA INVERSIÓN"/>
    <s v="730702 Arrendamiento y Licencias de Uso de Paquete"/>
    <s v="G/730702/1AL101"/>
    <s v="002"/>
    <n v="512008.35"/>
    <n v="382362.23"/>
    <n v="0"/>
    <n v="894370.58"/>
    <n v="233685.78"/>
    <n v="391447.41"/>
    <n v="386145.54"/>
    <n v="502923.17"/>
    <n v="508225.04"/>
    <n v="269237.39"/>
  </r>
  <r>
    <s v="73"/>
    <x v="0"/>
    <x v="0"/>
    <s v="ZA01A007"/>
    <x v="59"/>
    <s v="L101"/>
    <s v="GESTION INSTITUCIONAL EFICIENTE E INNOVADORA"/>
    <s v="GI00L10100041D"/>
    <s v="GI00L10100041D INNOVACION Y FORTALECIMIENTO DE LA INFRA"/>
    <s v="73 BIENES Y SERVICIOS PARA INVERSIÓN"/>
    <s v="730704 Mantenimiento y Reparación de Equipos y"/>
    <s v="G/730704/1AL101"/>
    <s v="002"/>
    <n v="725470.62"/>
    <n v="-65962.97"/>
    <n v="0"/>
    <n v="659507.65"/>
    <n v="182472.38"/>
    <n v="280371.3"/>
    <n v="246852"/>
    <n v="379136.35"/>
    <n v="412655.65"/>
    <n v="196663.97"/>
  </r>
  <r>
    <s v="73"/>
    <x v="0"/>
    <x v="0"/>
    <s v="ZA01A007"/>
    <x v="59"/>
    <s v="L101"/>
    <s v="GESTION INSTITUCIONAL EFICIENTE E INNOVADORA"/>
    <s v="GI00L10100041D"/>
    <s v="GI00L10100041D INNOVACION Y FORTALECIMIENTO DE LA INFRA"/>
    <s v="73 BIENES Y SERVICIOS PARA INVERSIÓN"/>
    <s v="730804 Materiales de Oficina"/>
    <s v="G/730804/1AL101"/>
    <s v="002"/>
    <n v="42086.28"/>
    <n v="-42086.28"/>
    <n v="0"/>
    <n v="0"/>
    <n v="0"/>
    <n v="0"/>
    <n v="0"/>
    <n v="0"/>
    <n v="0"/>
    <n v="0"/>
  </r>
  <r>
    <s v="73"/>
    <x v="0"/>
    <x v="0"/>
    <s v="ZA01A007"/>
    <x v="59"/>
    <s v="L101"/>
    <s v="GESTION INSTITUCIONAL EFICIENTE E INNOVADORA"/>
    <s v="GI00L10100041D"/>
    <s v="GI00L10100041D INNOVACION Y FORTALECIMIENTO DE LA INFRA"/>
    <s v="73 BIENES Y SERVICIOS PARA INVERSIÓN"/>
    <s v="730811 Insumos, Materiales y Suministros para Cons"/>
    <s v="G/730811/1AL101"/>
    <s v="002"/>
    <n v="0"/>
    <n v="10000"/>
    <n v="0"/>
    <n v="10000"/>
    <n v="1612.36"/>
    <n v="6128.64"/>
    <n v="6128.64"/>
    <n v="3871.36"/>
    <n v="3871.36"/>
    <n v="2259"/>
  </r>
  <r>
    <s v="73"/>
    <x v="0"/>
    <x v="0"/>
    <s v="ZA01A007"/>
    <x v="59"/>
    <s v="L101"/>
    <s v="GESTION INSTITUCIONAL EFICIENTE E INNOVADORA"/>
    <s v="GI00L10100041D"/>
    <s v="GI00L10100041D INNOVACION Y FORTALECIMIENTO DE LA INFRA"/>
    <s v="73 BIENES Y SERVICIOS PARA INVERSIÓN"/>
    <s v="730813 Repuestos y Accesorios"/>
    <s v="G/730813/1AL101"/>
    <s v="002"/>
    <n v="28659.56"/>
    <n v="11819.16"/>
    <n v="0"/>
    <n v="40478.720000000001"/>
    <n v="0"/>
    <n v="24478.720000000001"/>
    <n v="17700.86"/>
    <n v="16000"/>
    <n v="22777.86"/>
    <n v="16000"/>
  </r>
  <r>
    <s v="73"/>
    <x v="0"/>
    <x v="1"/>
    <s v="ZA01C002"/>
    <x v="46"/>
    <s v="L101"/>
    <s v="GESTION INSTITUCIONAL EFICIENTE E INNOVADORA"/>
    <s v="GI00L10100042D"/>
    <s v="GI00L10100042D GEOPARQUE QUITO"/>
    <s v="73 BIENES Y SERVICIOS PARA INVERSIÓN"/>
    <s v="730204 Edición, Impresión, Reproducción, Public"/>
    <s v="G/730204/1CL101"/>
    <s v="002"/>
    <n v="5000"/>
    <n v="0"/>
    <n v="0"/>
    <n v="5000"/>
    <n v="0"/>
    <n v="0"/>
    <n v="0"/>
    <n v="5000"/>
    <n v="5000"/>
    <n v="5000"/>
  </r>
  <r>
    <s v="73"/>
    <x v="0"/>
    <x v="1"/>
    <s v="ZA01C002"/>
    <x v="46"/>
    <s v="L101"/>
    <s v="GESTION INSTITUCIONAL EFICIENTE E INNOVADORA"/>
    <s v="GI00L10100042D"/>
    <s v="GI00L10100042D GEOPARQUE QUITO"/>
    <s v="73 BIENES Y SERVICIOS PARA INVERSIÓN"/>
    <s v="730207 Difusión, Información y Publicidad"/>
    <s v="G/730207/1CL101"/>
    <s v="002"/>
    <n v="65000"/>
    <n v="0"/>
    <n v="0"/>
    <n v="65000"/>
    <n v="0"/>
    <n v="0"/>
    <n v="0"/>
    <n v="65000"/>
    <n v="65000"/>
    <n v="65000"/>
  </r>
  <r>
    <s v="73"/>
    <x v="0"/>
    <x v="1"/>
    <s v="ZA01C002"/>
    <x v="46"/>
    <s v="L101"/>
    <s v="GESTION INSTITUCIONAL EFICIENTE E INNOVADORA"/>
    <s v="GI00L10100042D"/>
    <s v="GI00L10100042D GEOPARQUE QUITO"/>
    <s v="73 BIENES Y SERVICIOS PARA INVERSIÓN"/>
    <s v="730248 Eventos Oficiales"/>
    <s v="G/730248/1CL101"/>
    <s v="002"/>
    <n v="65000"/>
    <n v="0"/>
    <n v="0"/>
    <n v="65000"/>
    <n v="0"/>
    <n v="0"/>
    <n v="0"/>
    <n v="65000"/>
    <n v="65000"/>
    <n v="65000"/>
  </r>
  <r>
    <s v="73"/>
    <x v="0"/>
    <x v="1"/>
    <s v="ZA01C002"/>
    <x v="46"/>
    <s v="L101"/>
    <s v="GESTION INSTITUCIONAL EFICIENTE E INNOVADORA"/>
    <s v="GI00L10100042D"/>
    <s v="GI00L10100042D GEOPARQUE QUITO"/>
    <s v="73 BIENES Y SERVICIOS PARA INVERSIÓN"/>
    <s v="730307 Atención a Delegados Extranjeros y Nacional"/>
    <s v="G/730307/1CL101"/>
    <s v="002"/>
    <n v="15000"/>
    <n v="0"/>
    <n v="0"/>
    <n v="15000"/>
    <n v="0"/>
    <n v="0"/>
    <n v="0"/>
    <n v="15000"/>
    <n v="15000"/>
    <n v="15000"/>
  </r>
  <r>
    <s v="73"/>
    <x v="1"/>
    <x v="3"/>
    <s v="ZA01M000"/>
    <x v="6"/>
    <s v="M103"/>
    <s v="SALUD AL DIA"/>
    <s v="GI00M10300001D"/>
    <s v="GI00M10300001D MEJORAMIENTO DEL MODELO DE GESTIÓN DE SA"/>
    <s v="73 BIENES Y SERVICIOS PARA INVERSIÓN"/>
    <s v="730201 Transporte de Personal"/>
    <s v="G/730201/1MM103"/>
    <s v="001"/>
    <n v="0"/>
    <n v="110080"/>
    <n v="0"/>
    <n v="110080"/>
    <n v="0"/>
    <n v="0"/>
    <n v="0"/>
    <n v="110080"/>
    <n v="110080"/>
    <n v="110080"/>
  </r>
  <r>
    <s v="73"/>
    <x v="1"/>
    <x v="3"/>
    <s v="ZA01M000"/>
    <x v="6"/>
    <s v="M103"/>
    <s v="SALUD AL DIA"/>
    <s v="GI00M10300001D"/>
    <s v="GI00M10300001D MEJORAMIENTO DEL MODELO DE GESTIÓN DE SA"/>
    <s v="73 BIENES Y SERVICIOS PARA INVERSIÓN"/>
    <s v="730204 Edición, Impresión, Reproducción, Public"/>
    <s v="G/730204/1MM103"/>
    <s v="001"/>
    <n v="0"/>
    <n v="9498.7199999999993"/>
    <n v="0"/>
    <n v="9498.7199999999993"/>
    <n v="3949.58"/>
    <n v="0"/>
    <n v="0"/>
    <n v="9498.7199999999993"/>
    <n v="9498.7199999999993"/>
    <n v="5549.14"/>
  </r>
  <r>
    <s v="73"/>
    <x v="1"/>
    <x v="3"/>
    <s v="ZA01M000"/>
    <x v="6"/>
    <s v="M103"/>
    <s v="SALUD AL DIA"/>
    <s v="GI00M10300001D"/>
    <s v="GI00M10300001D MEJORAMIENTO DEL MODELO DE GESTIÓN DE SA"/>
    <s v="73 BIENES Y SERVICIOS PARA INVERSIÓN"/>
    <s v="730226 Servicios Médicos Hospitalarios y Complemen"/>
    <s v="G/730226/1MM103"/>
    <s v="001"/>
    <n v="0"/>
    <n v="3528000"/>
    <n v="0"/>
    <n v="3528000"/>
    <n v="0"/>
    <n v="728000"/>
    <n v="0"/>
    <n v="2800000"/>
    <n v="3528000"/>
    <n v="2800000"/>
  </r>
  <r>
    <s v="73"/>
    <x v="1"/>
    <x v="3"/>
    <s v="ZA01M000"/>
    <x v="6"/>
    <s v="M103"/>
    <s v="SALUD AL DIA"/>
    <s v="GI00M10300001D"/>
    <s v="GI00M10300001D MEJORAMIENTO DEL MODELO DE GESTIÓN DE SA"/>
    <s v="73 BIENES Y SERVICIOS PARA INVERSIÓN"/>
    <s v="730242 Servicios de Almacenamiento,Control,Custodi"/>
    <s v="G/730242/1MM103"/>
    <s v="001"/>
    <n v="0"/>
    <n v="7840"/>
    <n v="0"/>
    <n v="7840"/>
    <n v="0"/>
    <n v="1600"/>
    <n v="0"/>
    <n v="6240"/>
    <n v="7840"/>
    <n v="6240"/>
  </r>
  <r>
    <s v="73"/>
    <x v="1"/>
    <x v="3"/>
    <s v="ZA01M000"/>
    <x v="6"/>
    <s v="M103"/>
    <s v="SALUD AL DIA"/>
    <s v="GI00M10300001D"/>
    <s v="GI00M10300001D MEJORAMIENTO DEL MODELO DE GESTIÓN DE SA"/>
    <s v="73 BIENES Y SERVICIOS PARA INVERSIÓN"/>
    <s v="730402 Edificios, Locales, Residencias y Cablea"/>
    <s v="G/730402/1MM103"/>
    <s v="001"/>
    <n v="0"/>
    <n v="7001.12"/>
    <n v="0"/>
    <n v="7001.12"/>
    <n v="0"/>
    <n v="0"/>
    <n v="0"/>
    <n v="7001.12"/>
    <n v="7001.12"/>
    <n v="7001.12"/>
  </r>
  <r>
    <s v="73"/>
    <x v="1"/>
    <x v="3"/>
    <s v="ZA01M000"/>
    <x v="6"/>
    <s v="M103"/>
    <s v="SALUD AL DIA"/>
    <s v="GI00M10300001D"/>
    <s v="GI00M10300001D MEJORAMIENTO DEL MODELO DE GESTIÓN DE SA"/>
    <s v="73 BIENES Y SERVICIOS PARA INVERSIÓN"/>
    <s v="730802 Vestuario, Lencería, Prendas de Protecci"/>
    <s v="G/730802/1MM103"/>
    <s v="001"/>
    <n v="0"/>
    <n v="7050"/>
    <n v="0"/>
    <n v="7050"/>
    <n v="0"/>
    <n v="7050"/>
    <n v="7050"/>
    <n v="0"/>
    <n v="0"/>
    <n v="0"/>
  </r>
  <r>
    <s v="73"/>
    <x v="1"/>
    <x v="3"/>
    <s v="ZA01M000"/>
    <x v="6"/>
    <s v="M103"/>
    <s v="SALUD AL DIA"/>
    <s v="GI00M10300001D"/>
    <s v="GI00M10300001D MEJORAMIENTO DEL MODELO DE GESTIÓN DE SA"/>
    <s v="73 BIENES Y SERVICIOS PARA INVERSIÓN"/>
    <s v="730804 Materiales de Oficina"/>
    <s v="G/730804/1MM103"/>
    <s v="001"/>
    <n v="0"/>
    <n v="1020.88"/>
    <n v="0"/>
    <n v="1020.88"/>
    <n v="0"/>
    <n v="873.6"/>
    <n v="0"/>
    <n v="147.28"/>
    <n v="1020.88"/>
    <n v="147.28"/>
  </r>
  <r>
    <s v="73"/>
    <x v="1"/>
    <x v="3"/>
    <s v="ZA01M000"/>
    <x v="6"/>
    <s v="M103"/>
    <s v="SALUD AL DIA"/>
    <s v="GI00M10300001D"/>
    <s v="GI00M10300001D MEJORAMIENTO DEL MODELO DE GESTIÓN DE SA"/>
    <s v="73 BIENES Y SERVICIOS PARA INVERSIÓN"/>
    <s v="730805 Materiales de Aseo"/>
    <s v="G/730805/1MM103"/>
    <s v="001"/>
    <n v="0"/>
    <n v="28864.66"/>
    <n v="0"/>
    <n v="28864.66"/>
    <n v="9596.25"/>
    <n v="7940.8"/>
    <n v="7940.8"/>
    <n v="20923.86"/>
    <n v="20923.86"/>
    <n v="11327.61"/>
  </r>
  <r>
    <s v="73"/>
    <x v="1"/>
    <x v="3"/>
    <s v="ZA01M000"/>
    <x v="6"/>
    <s v="M103"/>
    <s v="SALUD AL DIA"/>
    <s v="GI00M10300001D"/>
    <s v="GI00M10300001D MEJORAMIENTO DEL MODELO DE GESTIÓN DE SA"/>
    <s v="73 BIENES Y SERVICIOS PARA INVERSIÓN"/>
    <s v="730810 Dispositivos Médicos para Laboratorio Cl"/>
    <s v="G/730810/1MM103"/>
    <s v="001"/>
    <n v="0"/>
    <n v="4271007.62"/>
    <n v="0"/>
    <n v="4271007.62"/>
    <n v="0"/>
    <n v="4234677.57"/>
    <n v="7797.57"/>
    <n v="36330.050000000003"/>
    <n v="4263210.05"/>
    <n v="36330.050000000003"/>
  </r>
  <r>
    <s v="73"/>
    <x v="1"/>
    <x v="3"/>
    <s v="ZA01M000"/>
    <x v="6"/>
    <s v="M103"/>
    <s v="SALUD AL DIA"/>
    <s v="GI00M10300001D"/>
    <s v="GI00M10300001D MEJORAMIENTO DEL MODELO DE GESTIÓN DE SA"/>
    <s v="73 BIENES Y SERVICIOS PARA INVERSIÓN"/>
    <s v="730826 Dispositivos Médicos de Uso General"/>
    <s v="G/730826/1MM103"/>
    <s v="001"/>
    <n v="0"/>
    <n v="40367.360000000001"/>
    <n v="0"/>
    <n v="40367.360000000001"/>
    <n v="0"/>
    <n v="7932.4"/>
    <n v="7932.4"/>
    <n v="32434.959999999999"/>
    <n v="32434.959999999999"/>
    <n v="32434.959999999999"/>
  </r>
  <r>
    <s v="73"/>
    <x v="1"/>
    <x v="3"/>
    <s v="ZA01M000"/>
    <x v="6"/>
    <s v="M103"/>
    <s v="SALUD AL DIA"/>
    <s v="GI00M10300001D"/>
    <s v="GI00M10300001D MEJORAMIENTO DEL MODELO DE GESTIÓN DE SA"/>
    <s v="73 BIENES Y SERVICIOS PARA INVERSIÓN"/>
    <s v="731404 Maquinarias y Equipos"/>
    <s v="G/731404/1MM103"/>
    <s v="001"/>
    <n v="0"/>
    <n v="2265.7600000000002"/>
    <n v="0"/>
    <n v="2265.7600000000002"/>
    <n v="0"/>
    <n v="732.48"/>
    <n v="732.48"/>
    <n v="1533.28"/>
    <n v="1533.28"/>
    <n v="1533.28"/>
  </r>
  <r>
    <s v="73"/>
    <x v="2"/>
    <x v="11"/>
    <s v="ZT06F060"/>
    <x v="25"/>
    <s v="M103"/>
    <s v="SALUD AL DIA"/>
    <s v="GI00M10300003D"/>
    <s v="GI00M10300003D SEGURIDAD ALIMENTARIA Y DE CALIDAD"/>
    <s v="73 BIENES Y SERVICIOS PARA INVERSIÓN"/>
    <s v="730204 Edición, Impresión, Reproducción, Public"/>
    <s v="G/730204/1FM103"/>
    <s v="001"/>
    <n v="1000"/>
    <n v="-1000"/>
    <n v="0"/>
    <n v="0"/>
    <n v="0"/>
    <n v="0"/>
    <n v="0"/>
    <n v="0"/>
    <n v="0"/>
    <n v="0"/>
  </r>
  <r>
    <s v="73"/>
    <x v="2"/>
    <x v="11"/>
    <s v="ZQ08F080"/>
    <x v="39"/>
    <s v="M103"/>
    <s v="SALUD AL DIA"/>
    <s v="GI00M10300003D"/>
    <s v="GI00M10300003D SEGURIDAD ALIMENTARIA Y DE CALIDAD"/>
    <s v="73 BIENES Y SERVICIOS PARA INVERSIÓN"/>
    <s v="730204 Edición, Impresión, Reproducción, Public"/>
    <s v="G/730204/1FM103"/>
    <s v="001"/>
    <n v="10000"/>
    <n v="0"/>
    <n v="0"/>
    <n v="10000"/>
    <n v="0"/>
    <n v="0"/>
    <n v="0"/>
    <n v="10000"/>
    <n v="10000"/>
    <n v="10000"/>
  </r>
  <r>
    <s v="73"/>
    <x v="2"/>
    <x v="11"/>
    <s v="ZN02F020"/>
    <x v="40"/>
    <s v="M103"/>
    <s v="SALUD AL DIA"/>
    <s v="GI00M10300003D"/>
    <s v="GI00M10300003D SEGURIDAD ALIMENTARIA Y DE CALIDAD"/>
    <s v="73 BIENES Y SERVICIOS PARA INVERSIÓN"/>
    <s v="730204 Edición, Impresión, Reproducción, Public"/>
    <s v="G/730204/1FM103"/>
    <s v="001"/>
    <n v="4000"/>
    <n v="0"/>
    <n v="0"/>
    <n v="4000"/>
    <n v="0"/>
    <n v="0"/>
    <n v="0"/>
    <n v="4000"/>
    <n v="4000"/>
    <n v="4000"/>
  </r>
  <r>
    <s v="73"/>
    <x v="2"/>
    <x v="11"/>
    <s v="ZD07F070"/>
    <x v="43"/>
    <s v="M103"/>
    <s v="SALUD AL DIA"/>
    <s v="GI00M10300003D"/>
    <s v="GI00M10300003D SEGURIDAD ALIMENTARIA Y DE CALIDAD"/>
    <s v="73 BIENES Y SERVICIOS PARA INVERSIÓN"/>
    <s v="730204 Edición, Impresión, Reproducción, Public"/>
    <s v="G/730204/1FM103"/>
    <s v="001"/>
    <n v="5000"/>
    <n v="0"/>
    <n v="0"/>
    <n v="5000"/>
    <n v="0"/>
    <n v="0"/>
    <n v="0"/>
    <n v="5000"/>
    <n v="5000"/>
    <n v="5000"/>
  </r>
  <r>
    <s v="73"/>
    <x v="2"/>
    <x v="11"/>
    <s v="ZM04F040"/>
    <x v="41"/>
    <s v="M103"/>
    <s v="SALUD AL DIA"/>
    <s v="GI00M10300003D"/>
    <s v="GI00M10300003D SEGURIDAD ALIMENTARIA Y DE CALIDAD"/>
    <s v="73 BIENES Y SERVICIOS PARA INVERSIÓN"/>
    <s v="730204 Edición, Impresión, Reproducción, Public"/>
    <s v="G/730204/1FM103"/>
    <s v="001"/>
    <n v="2000"/>
    <n v="0"/>
    <n v="0"/>
    <n v="2000"/>
    <n v="0"/>
    <n v="0"/>
    <n v="0"/>
    <n v="2000"/>
    <n v="2000"/>
    <n v="2000"/>
  </r>
  <r>
    <s v="73"/>
    <x v="2"/>
    <x v="11"/>
    <s v="ZS03F030"/>
    <x v="38"/>
    <s v="M103"/>
    <s v="SALUD AL DIA"/>
    <s v="GI00M10300003D"/>
    <s v="GI00M10300003D SEGURIDAD ALIMENTARIA Y DE CALIDAD"/>
    <s v="73 BIENES Y SERVICIOS PARA INVERSIÓN"/>
    <s v="730204 Edición, Impresión, Reproducción, Public"/>
    <s v="G/730204/1FM103"/>
    <s v="001"/>
    <n v="1000"/>
    <n v="0"/>
    <n v="0"/>
    <n v="1000"/>
    <n v="0"/>
    <n v="0"/>
    <n v="0"/>
    <n v="1000"/>
    <n v="1000"/>
    <n v="1000"/>
  </r>
  <r>
    <s v="73"/>
    <x v="2"/>
    <x v="11"/>
    <s v="ZV05F050"/>
    <x v="37"/>
    <s v="M103"/>
    <s v="SALUD AL DIA"/>
    <s v="GI00M10300003D"/>
    <s v="GI00M10300003D SEGURIDAD ALIMENTARIA Y DE CALIDAD"/>
    <s v="73 BIENES Y SERVICIOS PARA INVERSIÓN"/>
    <s v="730204 Edición, Impresión, Reproducción, Public"/>
    <s v="G/730204/1FM103"/>
    <s v="001"/>
    <n v="6000"/>
    <n v="0"/>
    <n v="0"/>
    <n v="6000"/>
    <n v="0"/>
    <n v="0"/>
    <n v="0"/>
    <n v="6000"/>
    <n v="6000"/>
    <n v="6000"/>
  </r>
  <r>
    <s v="73"/>
    <x v="2"/>
    <x v="11"/>
    <s v="ZT06F060"/>
    <x v="25"/>
    <s v="M103"/>
    <s v="SALUD AL DIA"/>
    <s v="GI00M10300003D"/>
    <s v="GI00M10300003D SEGURIDAD ALIMENTARIA Y DE CALIDAD"/>
    <s v="73 BIENES Y SERVICIOS PARA INVERSIÓN"/>
    <s v="730205 Espectáculos Culturales y Sociales"/>
    <s v="G/730205/1FM103"/>
    <s v="001"/>
    <n v="3000"/>
    <n v="-3000"/>
    <n v="0"/>
    <n v="0"/>
    <n v="0"/>
    <n v="0"/>
    <n v="0"/>
    <n v="0"/>
    <n v="0"/>
    <n v="0"/>
  </r>
  <r>
    <s v="73"/>
    <x v="2"/>
    <x v="11"/>
    <s v="ZD07F070"/>
    <x v="43"/>
    <s v="M103"/>
    <s v="SALUD AL DIA"/>
    <s v="GI00M10300003D"/>
    <s v="GI00M10300003D SEGURIDAD ALIMENTARIA Y DE CALIDAD"/>
    <s v="73 BIENES Y SERVICIOS PARA INVERSIÓN"/>
    <s v="730205 Espectáculos Culturales y Sociales"/>
    <s v="G/730205/1FM103"/>
    <s v="001"/>
    <n v="3000"/>
    <n v="-3000"/>
    <n v="0"/>
    <n v="0"/>
    <n v="0"/>
    <n v="0"/>
    <n v="0"/>
    <n v="0"/>
    <n v="0"/>
    <n v="0"/>
  </r>
  <r>
    <s v="73"/>
    <x v="2"/>
    <x v="11"/>
    <s v="ZV05F050"/>
    <x v="37"/>
    <s v="M103"/>
    <s v="SALUD AL DIA"/>
    <s v="GI00M10300003D"/>
    <s v="GI00M10300003D SEGURIDAD ALIMENTARIA Y DE CALIDAD"/>
    <s v="73 BIENES Y SERVICIOS PARA INVERSIÓN"/>
    <s v="730205 Espectáculos Culturales y Sociales"/>
    <s v="G/730205/1FM103"/>
    <s v="001"/>
    <n v="3000"/>
    <n v="0"/>
    <n v="0"/>
    <n v="3000"/>
    <n v="0"/>
    <n v="0"/>
    <n v="0"/>
    <n v="3000"/>
    <n v="3000"/>
    <n v="3000"/>
  </r>
  <r>
    <s v="73"/>
    <x v="2"/>
    <x v="11"/>
    <s v="ZS03F030"/>
    <x v="38"/>
    <s v="M103"/>
    <s v="SALUD AL DIA"/>
    <s v="GI00M10300003D"/>
    <s v="GI00M10300003D SEGURIDAD ALIMENTARIA Y DE CALIDAD"/>
    <s v="73 BIENES Y SERVICIOS PARA INVERSIÓN"/>
    <s v="730205 Espectáculos Culturales y Sociales"/>
    <s v="G/730205/1FM103"/>
    <s v="001"/>
    <n v="6000"/>
    <n v="0"/>
    <n v="0"/>
    <n v="6000"/>
    <n v="0"/>
    <n v="0"/>
    <n v="0"/>
    <n v="6000"/>
    <n v="6000"/>
    <n v="6000"/>
  </r>
  <r>
    <s v="73"/>
    <x v="2"/>
    <x v="11"/>
    <s v="ZC09F090"/>
    <x v="44"/>
    <s v="M103"/>
    <s v="SALUD AL DIA"/>
    <s v="GI00M10300003D"/>
    <s v="GI00M10300003D SEGURIDAD ALIMENTARIA Y DE CALIDAD"/>
    <s v="73 BIENES Y SERVICIOS PARA INVERSIÓN"/>
    <s v="730205 Espectáculos Culturales y Sociales"/>
    <s v="G/730205/1FM103"/>
    <s v="001"/>
    <n v="3000"/>
    <n v="0"/>
    <n v="0"/>
    <n v="3000"/>
    <n v="0"/>
    <n v="0"/>
    <n v="0"/>
    <n v="3000"/>
    <n v="3000"/>
    <n v="3000"/>
  </r>
  <r>
    <s v="73"/>
    <x v="2"/>
    <x v="11"/>
    <s v="ZM04F040"/>
    <x v="41"/>
    <s v="M103"/>
    <s v="SALUD AL DIA"/>
    <s v="GI00M10300003D"/>
    <s v="GI00M10300003D SEGURIDAD ALIMENTARIA Y DE CALIDAD"/>
    <s v="73 BIENES Y SERVICIOS PARA INVERSIÓN"/>
    <s v="730205 Espectáculos Culturales y Sociales"/>
    <s v="G/730205/1FM103"/>
    <s v="001"/>
    <n v="6000"/>
    <n v="0"/>
    <n v="0"/>
    <n v="6000"/>
    <n v="0"/>
    <n v="0"/>
    <n v="0"/>
    <n v="6000"/>
    <n v="6000"/>
    <n v="6000"/>
  </r>
  <r>
    <s v="73"/>
    <x v="2"/>
    <x v="11"/>
    <s v="ZN02F020"/>
    <x v="40"/>
    <s v="M103"/>
    <s v="SALUD AL DIA"/>
    <s v="GI00M10300003D"/>
    <s v="GI00M10300003D SEGURIDAD ALIMENTARIA Y DE CALIDAD"/>
    <s v="73 BIENES Y SERVICIOS PARA INVERSIÓN"/>
    <s v="730205 Espectáculos Culturales y Sociales"/>
    <s v="G/730205/1FM103"/>
    <s v="001"/>
    <n v="9000"/>
    <n v="0"/>
    <n v="0"/>
    <n v="9000"/>
    <n v="0"/>
    <n v="0"/>
    <n v="0"/>
    <n v="9000"/>
    <n v="9000"/>
    <n v="9000"/>
  </r>
  <r>
    <s v="73"/>
    <x v="2"/>
    <x v="11"/>
    <s v="ZQ08F080"/>
    <x v="39"/>
    <s v="M103"/>
    <s v="SALUD AL DIA"/>
    <s v="GI00M10300003D"/>
    <s v="GI00M10300003D SEGURIDAD ALIMENTARIA Y DE CALIDAD"/>
    <s v="73 BIENES Y SERVICIOS PARA INVERSIÓN"/>
    <s v="730205 Espectáculos Culturales y Sociales"/>
    <s v="G/730205/1FM103"/>
    <s v="001"/>
    <n v="3000"/>
    <n v="0"/>
    <n v="0"/>
    <n v="3000"/>
    <n v="0"/>
    <n v="0"/>
    <n v="0"/>
    <n v="3000"/>
    <n v="3000"/>
    <n v="3000"/>
  </r>
  <r>
    <s v="73"/>
    <x v="1"/>
    <x v="3"/>
    <s v="ZA01M000"/>
    <x v="6"/>
    <s v="M103"/>
    <s v="SALUD AL DIA"/>
    <s v="GI00M10300003D"/>
    <s v="GI00M10300003D SEGURIDAD ALIMENTARIA Y DE CALIDAD"/>
    <s v="73 BIENES Y SERVICIOS PARA INVERSIÓN"/>
    <s v="730404 Maquinarias y Equipos (Instalación, Mant"/>
    <s v="G/730404/1MM103"/>
    <s v="001"/>
    <n v="2500"/>
    <n v="0"/>
    <n v="0"/>
    <n v="2500"/>
    <n v="0"/>
    <n v="0"/>
    <n v="0"/>
    <n v="2500"/>
    <n v="2500"/>
    <n v="2500"/>
  </r>
  <r>
    <s v="73"/>
    <x v="2"/>
    <x v="11"/>
    <s v="ZC09F090"/>
    <x v="44"/>
    <s v="M103"/>
    <s v="SALUD AL DIA"/>
    <s v="GI00M10300003D"/>
    <s v="GI00M10300003D SEGURIDAD ALIMENTARIA Y DE CALIDAD"/>
    <s v="73 BIENES Y SERVICIOS PARA INVERSIÓN"/>
    <s v="730505 Vehículos (Arrendamiento)"/>
    <s v="G/730505/1FM103"/>
    <s v="001"/>
    <n v="21090.240000000002"/>
    <n v="0"/>
    <n v="0"/>
    <n v="21090.240000000002"/>
    <n v="0"/>
    <n v="1569.39"/>
    <n v="1569.39"/>
    <n v="19520.849999999999"/>
    <n v="19520.849999999999"/>
    <n v="19520.849999999999"/>
  </r>
  <r>
    <s v="73"/>
    <x v="2"/>
    <x v="11"/>
    <s v="ZN02F020"/>
    <x v="40"/>
    <s v="M103"/>
    <s v="SALUD AL DIA"/>
    <s v="GI00M10300003D"/>
    <s v="GI00M10300003D SEGURIDAD ALIMENTARIA Y DE CALIDAD"/>
    <s v="73 BIENES Y SERVICIOS PARA INVERSIÓN"/>
    <s v="730505 Vehículos (Arrendamiento)"/>
    <s v="G/730505/1FM103"/>
    <s v="001"/>
    <n v="21090.240000000002"/>
    <n v="0"/>
    <n v="0"/>
    <n v="21090.240000000002"/>
    <n v="0"/>
    <n v="0"/>
    <n v="0"/>
    <n v="21090.240000000002"/>
    <n v="21090.240000000002"/>
    <n v="21090.240000000002"/>
  </r>
  <r>
    <s v="73"/>
    <x v="2"/>
    <x v="11"/>
    <s v="ZQ08F080"/>
    <x v="39"/>
    <s v="M103"/>
    <s v="SALUD AL DIA"/>
    <s v="GI00M10300003D"/>
    <s v="GI00M10300003D SEGURIDAD ALIMENTARIA Y DE CALIDAD"/>
    <s v="73 BIENES Y SERVICIOS PARA INVERSIÓN"/>
    <s v="730505 Vehículos (Arrendamiento)"/>
    <s v="G/730505/1FM103"/>
    <s v="001"/>
    <n v="21090.240000000002"/>
    <n v="0"/>
    <n v="0"/>
    <n v="21090.240000000002"/>
    <n v="0"/>
    <n v="7030.28"/>
    <n v="1757.57"/>
    <n v="14059.96"/>
    <n v="19332.669999999998"/>
    <n v="14059.96"/>
  </r>
  <r>
    <s v="73"/>
    <x v="2"/>
    <x v="11"/>
    <s v="ZT06F060"/>
    <x v="25"/>
    <s v="M103"/>
    <s v="SALUD AL DIA"/>
    <s v="GI00M10300003D"/>
    <s v="GI00M10300003D SEGURIDAD ALIMENTARIA Y DE CALIDAD"/>
    <s v="73 BIENES Y SERVICIOS PARA INVERSIÓN"/>
    <s v="730505 Vehículos (Arrendamiento)"/>
    <s v="G/730505/1FM103"/>
    <s v="001"/>
    <n v="21090.240000000002"/>
    <n v="-5000"/>
    <n v="0"/>
    <n v="16090.24"/>
    <n v="0"/>
    <n v="0"/>
    <n v="0"/>
    <n v="16090.24"/>
    <n v="16090.24"/>
    <n v="16090.24"/>
  </r>
  <r>
    <s v="73"/>
    <x v="2"/>
    <x v="11"/>
    <s v="ZS03F030"/>
    <x v="38"/>
    <s v="M103"/>
    <s v="SALUD AL DIA"/>
    <s v="GI00M10300003D"/>
    <s v="GI00M10300003D SEGURIDAD ALIMENTARIA Y DE CALIDAD"/>
    <s v="73 BIENES Y SERVICIOS PARA INVERSIÓN"/>
    <s v="730505 Vehículos (Arrendamiento)"/>
    <s v="G/730505/1FM103"/>
    <s v="001"/>
    <n v="21090.240000000002"/>
    <n v="0"/>
    <n v="0"/>
    <n v="21090.240000000002"/>
    <n v="0"/>
    <n v="0"/>
    <n v="0"/>
    <n v="21090.240000000002"/>
    <n v="21090.240000000002"/>
    <n v="21090.240000000002"/>
  </r>
  <r>
    <s v="73"/>
    <x v="2"/>
    <x v="11"/>
    <s v="ZV05F050"/>
    <x v="37"/>
    <s v="M103"/>
    <s v="SALUD AL DIA"/>
    <s v="GI00M10300003D"/>
    <s v="GI00M10300003D SEGURIDAD ALIMENTARIA Y DE CALIDAD"/>
    <s v="73 BIENES Y SERVICIOS PARA INVERSIÓN"/>
    <s v="730505 Vehículos (Arrendamiento)"/>
    <s v="G/730505/1FM103"/>
    <s v="001"/>
    <n v="21090.240000000002"/>
    <n v="0"/>
    <n v="0"/>
    <n v="21090.240000000002"/>
    <n v="0"/>
    <n v="0"/>
    <n v="0"/>
    <n v="21090.240000000002"/>
    <n v="21090.240000000002"/>
    <n v="21090.240000000002"/>
  </r>
  <r>
    <s v="73"/>
    <x v="2"/>
    <x v="11"/>
    <s v="ZM04F040"/>
    <x v="41"/>
    <s v="M103"/>
    <s v="SALUD AL DIA"/>
    <s v="GI00M10300003D"/>
    <s v="GI00M10300003D SEGURIDAD ALIMENTARIA Y DE CALIDAD"/>
    <s v="73 BIENES Y SERVICIOS PARA INVERSIÓN"/>
    <s v="730505 Vehículos (Arrendamiento)"/>
    <s v="G/730505/1FM103"/>
    <s v="001"/>
    <n v="21090.240000000002"/>
    <n v="-5000"/>
    <n v="0"/>
    <n v="16090.24"/>
    <n v="0"/>
    <n v="0"/>
    <n v="0"/>
    <n v="16090.24"/>
    <n v="16090.24"/>
    <n v="16090.24"/>
  </r>
  <r>
    <s v="73"/>
    <x v="2"/>
    <x v="11"/>
    <s v="ZD07F070"/>
    <x v="43"/>
    <s v="M103"/>
    <s v="SALUD AL DIA"/>
    <s v="GI00M10300003D"/>
    <s v="GI00M10300003D SEGURIDAD ALIMENTARIA Y DE CALIDAD"/>
    <s v="73 BIENES Y SERVICIOS PARA INVERSIÓN"/>
    <s v="730505 Vehículos (Arrendamiento)"/>
    <s v="G/730505/1FM103"/>
    <s v="001"/>
    <n v="21090.240000000002"/>
    <n v="-5000"/>
    <n v="0"/>
    <n v="16090.24"/>
    <n v="0"/>
    <n v="9748.39"/>
    <n v="0"/>
    <n v="6341.85"/>
    <n v="16090.24"/>
    <n v="6341.85"/>
  </r>
  <r>
    <s v="73"/>
    <x v="2"/>
    <x v="11"/>
    <s v="ZN02F020"/>
    <x v="40"/>
    <s v="M103"/>
    <s v="SALUD AL DIA"/>
    <s v="GI00M10300003D"/>
    <s v="GI00M10300003D SEGURIDAD ALIMENTARIA Y DE CALIDAD"/>
    <s v="73 BIENES Y SERVICIOS PARA INVERSIÓN"/>
    <s v="730606 Honorarios por Contratos Civiles de Servici"/>
    <s v="G/730606/1FM103"/>
    <s v="001"/>
    <n v="56830.68"/>
    <n v="0"/>
    <n v="0"/>
    <n v="56830.68"/>
    <n v="0"/>
    <n v="0"/>
    <n v="0"/>
    <n v="56830.68"/>
    <n v="56830.68"/>
    <n v="56830.68"/>
  </r>
  <r>
    <s v="73"/>
    <x v="2"/>
    <x v="11"/>
    <s v="ZQ08F080"/>
    <x v="39"/>
    <s v="M103"/>
    <s v="SALUD AL DIA"/>
    <s v="GI00M10300003D"/>
    <s v="GI00M10300003D SEGURIDAD ALIMENTARIA Y DE CALIDAD"/>
    <s v="73 BIENES Y SERVICIOS PARA INVERSIÓN"/>
    <s v="730606 Honorarios por Contratos Civiles de Servici"/>
    <s v="G/730606/1FM103"/>
    <s v="001"/>
    <n v="56830.68"/>
    <n v="0"/>
    <n v="0"/>
    <n v="56830.68"/>
    <n v="0"/>
    <n v="0"/>
    <n v="0"/>
    <n v="56830.68"/>
    <n v="56830.68"/>
    <n v="56830.68"/>
  </r>
  <r>
    <s v="73"/>
    <x v="2"/>
    <x v="11"/>
    <s v="ZM04F040"/>
    <x v="41"/>
    <s v="M103"/>
    <s v="SALUD AL DIA"/>
    <s v="GI00M10300003D"/>
    <s v="GI00M10300003D SEGURIDAD ALIMENTARIA Y DE CALIDAD"/>
    <s v="73 BIENES Y SERVICIOS PARA INVERSIÓN"/>
    <s v="730606 Honorarios por Contratos Civiles de Servici"/>
    <s v="G/730606/1FM103"/>
    <s v="001"/>
    <n v="37887.120000000003"/>
    <n v="-7893.15"/>
    <n v="0"/>
    <n v="29993.97"/>
    <n v="0"/>
    <n v="0"/>
    <n v="0"/>
    <n v="29993.97"/>
    <n v="29993.97"/>
    <n v="29993.97"/>
  </r>
  <r>
    <s v="73"/>
    <x v="2"/>
    <x v="11"/>
    <s v="ZC09F090"/>
    <x v="44"/>
    <s v="M103"/>
    <s v="SALUD AL DIA"/>
    <s v="GI00M10300003D"/>
    <s v="GI00M10300003D SEGURIDAD ALIMENTARIA Y DE CALIDAD"/>
    <s v="73 BIENES Y SERVICIOS PARA INVERSIÓN"/>
    <s v="730606 Honorarios por Contratos Civiles de Servici"/>
    <s v="G/730606/1FM103"/>
    <s v="001"/>
    <n v="37887.120000000003"/>
    <n v="0"/>
    <n v="0"/>
    <n v="37887.120000000003"/>
    <n v="0"/>
    <n v="0"/>
    <n v="0"/>
    <n v="37887.120000000003"/>
    <n v="37887.120000000003"/>
    <n v="37887.120000000003"/>
  </r>
  <r>
    <s v="73"/>
    <x v="1"/>
    <x v="3"/>
    <s v="ZA01M000"/>
    <x v="6"/>
    <s v="M103"/>
    <s v="SALUD AL DIA"/>
    <s v="GI00M10300003D"/>
    <s v="GI00M10300003D SEGURIDAD ALIMENTARIA Y DE CALIDAD"/>
    <s v="73 BIENES Y SERVICIOS PARA INVERSIÓN"/>
    <s v="730606 Honorarios por Contratos Civiles de Servici"/>
    <s v="G/730606/1MM103"/>
    <s v="001"/>
    <n v="7799.89"/>
    <n v="0"/>
    <n v="0"/>
    <n v="7799.89"/>
    <n v="0"/>
    <n v="0"/>
    <n v="0"/>
    <n v="7799.89"/>
    <n v="7799.89"/>
    <n v="7799.89"/>
  </r>
  <r>
    <s v="73"/>
    <x v="2"/>
    <x v="11"/>
    <s v="TM68F100"/>
    <x v="34"/>
    <s v="M103"/>
    <s v="SALUD AL DIA"/>
    <s v="GI00M10300003D"/>
    <s v="GI00M10300003D SEGURIDAD ALIMENTARIA Y DE CALIDAD"/>
    <s v="73 BIENES Y SERVICIOS PARA INVERSIÓN"/>
    <s v="730606 Honorarios por Contratos Civiles de Servici"/>
    <s v="G/730606/1FM103"/>
    <s v="001"/>
    <n v="18943.560000000001"/>
    <n v="0"/>
    <n v="0"/>
    <n v="18943.560000000001"/>
    <n v="0"/>
    <n v="0"/>
    <n v="0"/>
    <n v="18943.560000000001"/>
    <n v="18943.560000000001"/>
    <n v="18943.560000000001"/>
  </r>
  <r>
    <s v="73"/>
    <x v="2"/>
    <x v="11"/>
    <s v="ZD07F070"/>
    <x v="43"/>
    <s v="M103"/>
    <s v="SALUD AL DIA"/>
    <s v="GI00M10300003D"/>
    <s v="GI00M10300003D SEGURIDAD ALIMENTARIA Y DE CALIDAD"/>
    <s v="73 BIENES Y SERVICIOS PARA INVERSIÓN"/>
    <s v="730606 Honorarios por Contratos Civiles de Servici"/>
    <s v="G/730606/1FM103"/>
    <s v="001"/>
    <n v="56830.68"/>
    <n v="0"/>
    <n v="0"/>
    <n v="56830.68"/>
    <n v="0"/>
    <n v="0"/>
    <n v="0"/>
    <n v="56830.68"/>
    <n v="56830.68"/>
    <n v="56830.68"/>
  </r>
  <r>
    <s v="73"/>
    <x v="2"/>
    <x v="11"/>
    <s v="ZT06F060"/>
    <x v="25"/>
    <s v="M103"/>
    <s v="SALUD AL DIA"/>
    <s v="GI00M10300003D"/>
    <s v="GI00M10300003D SEGURIDAD ALIMENTARIA Y DE CALIDAD"/>
    <s v="73 BIENES Y SERVICIOS PARA INVERSIÓN"/>
    <s v="730606 Honorarios por Contratos Civiles de Servici"/>
    <s v="G/730606/1FM103"/>
    <s v="001"/>
    <n v="37887.120000000003"/>
    <n v="0"/>
    <n v="0"/>
    <n v="37887.120000000003"/>
    <n v="0"/>
    <n v="0"/>
    <n v="0"/>
    <n v="37887.120000000003"/>
    <n v="37887.120000000003"/>
    <n v="37887.120000000003"/>
  </r>
  <r>
    <s v="73"/>
    <x v="2"/>
    <x v="11"/>
    <s v="ZV05F050"/>
    <x v="37"/>
    <s v="M103"/>
    <s v="SALUD AL DIA"/>
    <s v="GI00M10300003D"/>
    <s v="GI00M10300003D SEGURIDAD ALIMENTARIA Y DE CALIDAD"/>
    <s v="73 BIENES Y SERVICIOS PARA INVERSIÓN"/>
    <s v="730606 Honorarios por Contratos Civiles de Servici"/>
    <s v="G/730606/1FM103"/>
    <s v="001"/>
    <n v="56830.7"/>
    <n v="0"/>
    <n v="0"/>
    <n v="56830.7"/>
    <n v="0"/>
    <n v="0"/>
    <n v="0"/>
    <n v="56830.7"/>
    <n v="56830.7"/>
    <n v="56830.7"/>
  </r>
  <r>
    <s v="73"/>
    <x v="2"/>
    <x v="11"/>
    <s v="ZS03F030"/>
    <x v="38"/>
    <s v="M103"/>
    <s v="SALUD AL DIA"/>
    <s v="GI00M10300003D"/>
    <s v="GI00M10300003D SEGURIDAD ALIMENTARIA Y DE CALIDAD"/>
    <s v="73 BIENES Y SERVICIOS PARA INVERSIÓN"/>
    <s v="730606 Honorarios por Contratos Civiles de Servici"/>
    <s v="G/730606/1FM103"/>
    <s v="001"/>
    <n v="18943.560000000001"/>
    <n v="0"/>
    <n v="0"/>
    <n v="18943.560000000001"/>
    <n v="0"/>
    <n v="0"/>
    <n v="0"/>
    <n v="18943.560000000001"/>
    <n v="18943.560000000001"/>
    <n v="18943.560000000001"/>
  </r>
  <r>
    <s v="73"/>
    <x v="2"/>
    <x v="11"/>
    <s v="ZM04F040"/>
    <x v="41"/>
    <s v="M103"/>
    <s v="SALUD AL DIA"/>
    <s v="GI00M10300003D"/>
    <s v="GI00M10300003D SEGURIDAD ALIMENTARIA Y DE CALIDAD"/>
    <s v="73 BIENES Y SERVICIOS PARA INVERSIÓN"/>
    <s v="730802 Vestuario, Lencería, Prendas de Protecci"/>
    <s v="G/730802/1FM103"/>
    <s v="001"/>
    <n v="0"/>
    <n v="7893.15"/>
    <n v="0"/>
    <n v="7893.15"/>
    <n v="0"/>
    <n v="0"/>
    <n v="0"/>
    <n v="7893.15"/>
    <n v="7893.15"/>
    <n v="7893.15"/>
  </r>
  <r>
    <s v="73"/>
    <x v="1"/>
    <x v="3"/>
    <s v="ZA01M000"/>
    <x v="6"/>
    <s v="M103"/>
    <s v="SALUD AL DIA"/>
    <s v="GI00M10300003D"/>
    <s v="GI00M10300003D SEGURIDAD ALIMENTARIA Y DE CALIDAD"/>
    <s v="73 BIENES Y SERVICIOS PARA INVERSIÓN"/>
    <s v="730804 Materiales de Oficina"/>
    <s v="G/730804/1MM103"/>
    <s v="001"/>
    <n v="1000"/>
    <n v="0"/>
    <n v="0"/>
    <n v="1000"/>
    <n v="0"/>
    <n v="0"/>
    <n v="0"/>
    <n v="1000"/>
    <n v="1000"/>
    <n v="1000"/>
  </r>
  <r>
    <s v="73"/>
    <x v="2"/>
    <x v="11"/>
    <s v="ZM04F040"/>
    <x v="41"/>
    <s v="M103"/>
    <s v="SALUD AL DIA"/>
    <s v="GI00M10300003D"/>
    <s v="GI00M10300003D SEGURIDAD ALIMENTARIA Y DE CALIDAD"/>
    <s v="73 BIENES Y SERVICIOS PARA INVERSIÓN"/>
    <s v="730810 Dispositivos Médicos para Laboratorio Cl"/>
    <s v="G/730810/1FM103"/>
    <s v="001"/>
    <n v="0"/>
    <n v="1500"/>
    <n v="0"/>
    <n v="1500"/>
    <n v="0"/>
    <n v="0"/>
    <n v="0"/>
    <n v="1500"/>
    <n v="1500"/>
    <n v="1500"/>
  </r>
  <r>
    <s v="73"/>
    <x v="2"/>
    <x v="11"/>
    <s v="ZD07F070"/>
    <x v="43"/>
    <s v="M103"/>
    <s v="SALUD AL DIA"/>
    <s v="GI00M10300003D"/>
    <s v="GI00M10300003D SEGURIDAD ALIMENTARIA Y DE CALIDAD"/>
    <s v="73 BIENES Y SERVICIOS PARA INVERSIÓN"/>
    <s v="730810 Dispositivos Médicos para Laboratorio Cl"/>
    <s v="G/730810/1FM103"/>
    <s v="001"/>
    <n v="0"/>
    <n v="1500"/>
    <n v="0"/>
    <n v="1500"/>
    <n v="0"/>
    <n v="0"/>
    <n v="0"/>
    <n v="1500"/>
    <n v="1500"/>
    <n v="1500"/>
  </r>
  <r>
    <s v="73"/>
    <x v="2"/>
    <x v="11"/>
    <s v="ZT06F060"/>
    <x v="25"/>
    <s v="M103"/>
    <s v="SALUD AL DIA"/>
    <s v="GI00M10300003D"/>
    <s v="GI00M10300003D SEGURIDAD ALIMENTARIA Y DE CALIDAD"/>
    <s v="73 BIENES Y SERVICIOS PARA INVERSIÓN"/>
    <s v="730810 Dispositivos Médicos para Laboratorio Cl"/>
    <s v="G/730810/1FM103"/>
    <s v="001"/>
    <n v="0"/>
    <n v="1000"/>
    <n v="0"/>
    <n v="1000"/>
    <n v="0"/>
    <n v="0"/>
    <n v="0"/>
    <n v="1000"/>
    <n v="1000"/>
    <n v="1000"/>
  </r>
  <r>
    <s v="73"/>
    <x v="1"/>
    <x v="3"/>
    <s v="ZA01M000"/>
    <x v="6"/>
    <s v="M103"/>
    <s v="SALUD AL DIA"/>
    <s v="GI00M10300003D"/>
    <s v="GI00M10300003D SEGURIDAD ALIMENTARIA Y DE CALIDAD"/>
    <s v="73 BIENES Y SERVICIOS PARA INVERSIÓN"/>
    <s v="730810 Dispositivos Médicos para Laboratorio Cl"/>
    <s v="G/730810/1MM103"/>
    <s v="001"/>
    <n v="55000"/>
    <n v="0"/>
    <n v="0"/>
    <n v="55000"/>
    <n v="37207.08"/>
    <n v="0"/>
    <n v="0"/>
    <n v="55000"/>
    <n v="55000"/>
    <n v="17792.919999999998"/>
  </r>
  <r>
    <s v="73"/>
    <x v="2"/>
    <x v="11"/>
    <s v="ZT06F060"/>
    <x v="25"/>
    <s v="M103"/>
    <s v="SALUD AL DIA"/>
    <s v="GI00M10300003D"/>
    <s v="GI00M10300003D SEGURIDAD ALIMENTARIA Y DE CALIDAD"/>
    <s v="73 BIENES Y SERVICIOS PARA INVERSIÓN"/>
    <s v="730812 Materiales Didácticos"/>
    <s v="G/730812/1FM103"/>
    <s v="001"/>
    <n v="0"/>
    <n v="4000"/>
    <n v="0"/>
    <n v="4000"/>
    <n v="0"/>
    <n v="0"/>
    <n v="0"/>
    <n v="4000"/>
    <n v="4000"/>
    <n v="4000"/>
  </r>
  <r>
    <s v="73"/>
    <x v="2"/>
    <x v="11"/>
    <s v="ZD07F070"/>
    <x v="43"/>
    <s v="M103"/>
    <s v="SALUD AL DIA"/>
    <s v="GI00M10300003D"/>
    <s v="GI00M10300003D SEGURIDAD ALIMENTARIA Y DE CALIDAD"/>
    <s v="73 BIENES Y SERVICIOS PARA INVERSIÓN"/>
    <s v="730812 Materiales Didácticos"/>
    <s v="G/730812/1FM103"/>
    <s v="001"/>
    <n v="0"/>
    <n v="3000"/>
    <n v="0"/>
    <n v="3000"/>
    <n v="0"/>
    <n v="0"/>
    <n v="0"/>
    <n v="3000"/>
    <n v="3000"/>
    <n v="3000"/>
  </r>
  <r>
    <s v="73"/>
    <x v="2"/>
    <x v="11"/>
    <s v="ZT06F060"/>
    <x v="25"/>
    <s v="M103"/>
    <s v="SALUD AL DIA"/>
    <s v="GI00M10300004D"/>
    <s v="GI00M10300004D SISTEMA INTEGRAL DE PROMOCIÓN DE LA SALU"/>
    <s v="73 BIENES Y SERVICIOS PARA INVERSIÓN"/>
    <s v="730105 Telecomunicaciones"/>
    <s v="G/730105/1FM103"/>
    <s v="001"/>
    <n v="0"/>
    <n v="1000"/>
    <n v="0"/>
    <n v="1000"/>
    <n v="0"/>
    <n v="0"/>
    <n v="0"/>
    <n v="1000"/>
    <n v="1000"/>
    <n v="1000"/>
  </r>
  <r>
    <s v="73"/>
    <x v="2"/>
    <x v="11"/>
    <s v="ZN02F020"/>
    <x v="40"/>
    <s v="M103"/>
    <s v="SALUD AL DIA"/>
    <s v="GI00M10300004D"/>
    <s v="GI00M10300004D SISTEMA INTEGRAL DE PROMOCIÓN DE LA SALU"/>
    <s v="73 BIENES Y SERVICIOS PARA INVERSIÓN"/>
    <s v="730205 Espectáculos Culturales y Sociales"/>
    <s v="G/730205/1FM103"/>
    <s v="001"/>
    <n v="9938"/>
    <n v="0"/>
    <n v="0"/>
    <n v="9938"/>
    <n v="0"/>
    <n v="0"/>
    <n v="0"/>
    <n v="9938"/>
    <n v="9938"/>
    <n v="9938"/>
  </r>
  <r>
    <s v="73"/>
    <x v="2"/>
    <x v="11"/>
    <s v="ZQ08F080"/>
    <x v="39"/>
    <s v="M103"/>
    <s v="SALUD AL DIA"/>
    <s v="GI00M10300004D"/>
    <s v="GI00M10300004D SISTEMA INTEGRAL DE PROMOCIÓN DE LA SALU"/>
    <s v="73 BIENES Y SERVICIOS PARA INVERSIÓN"/>
    <s v="730205 Espectáculos Culturales y Sociales"/>
    <s v="G/730205/1FM103"/>
    <s v="001"/>
    <n v="8730"/>
    <n v="0"/>
    <n v="0"/>
    <n v="8730"/>
    <n v="0"/>
    <n v="0"/>
    <n v="0"/>
    <n v="8730"/>
    <n v="8730"/>
    <n v="8730"/>
  </r>
  <r>
    <s v="73"/>
    <x v="2"/>
    <x v="11"/>
    <s v="ZM04F040"/>
    <x v="41"/>
    <s v="M103"/>
    <s v="SALUD AL DIA"/>
    <s v="GI00M10300004D"/>
    <s v="GI00M10300004D SISTEMA INTEGRAL DE PROMOCIÓN DE LA SALU"/>
    <s v="73 BIENES Y SERVICIOS PARA INVERSIÓN"/>
    <s v="730205 Espectáculos Culturales y Sociales"/>
    <s v="G/730205/1FM103"/>
    <s v="001"/>
    <n v="9400"/>
    <n v="-4000"/>
    <n v="0"/>
    <n v="5400"/>
    <n v="0"/>
    <n v="0"/>
    <n v="0"/>
    <n v="5400"/>
    <n v="5400"/>
    <n v="5400"/>
  </r>
  <r>
    <s v="73"/>
    <x v="2"/>
    <x v="11"/>
    <s v="ZV05F050"/>
    <x v="37"/>
    <s v="M103"/>
    <s v="SALUD AL DIA"/>
    <s v="GI00M10300004D"/>
    <s v="GI00M10300004D SISTEMA INTEGRAL DE PROMOCIÓN DE LA SALU"/>
    <s v="73 BIENES Y SERVICIOS PARA INVERSIÓN"/>
    <s v="730205 Espectáculos Culturales y Sociales"/>
    <s v="G/730205/1FM103"/>
    <s v="001"/>
    <n v="5352"/>
    <n v="0"/>
    <n v="0"/>
    <n v="5352"/>
    <n v="0"/>
    <n v="0"/>
    <n v="0"/>
    <n v="5352"/>
    <n v="5352"/>
    <n v="5352"/>
  </r>
  <r>
    <s v="73"/>
    <x v="2"/>
    <x v="11"/>
    <s v="ZS03F030"/>
    <x v="38"/>
    <s v="M103"/>
    <s v="SALUD AL DIA"/>
    <s v="GI00M10300004D"/>
    <s v="GI00M10300004D SISTEMA INTEGRAL DE PROMOCIÓN DE LA SALU"/>
    <s v="73 BIENES Y SERVICIOS PARA INVERSIÓN"/>
    <s v="730205 Espectáculos Culturales y Sociales"/>
    <s v="G/730205/1FM103"/>
    <s v="001"/>
    <n v="6030"/>
    <n v="0"/>
    <n v="0"/>
    <n v="6030"/>
    <n v="0"/>
    <n v="0"/>
    <n v="0"/>
    <n v="6030"/>
    <n v="6030"/>
    <n v="6030"/>
  </r>
  <r>
    <s v="73"/>
    <x v="2"/>
    <x v="11"/>
    <s v="ZC09F090"/>
    <x v="44"/>
    <s v="M103"/>
    <s v="SALUD AL DIA"/>
    <s v="GI00M10300004D"/>
    <s v="GI00M10300004D SISTEMA INTEGRAL DE PROMOCIÓN DE LA SALU"/>
    <s v="73 BIENES Y SERVICIOS PARA INVERSIÓN"/>
    <s v="730205 Espectáculos Culturales y Sociales"/>
    <s v="G/730205/1FM103"/>
    <s v="001"/>
    <n v="3908"/>
    <n v="0"/>
    <n v="0"/>
    <n v="3908"/>
    <n v="0"/>
    <n v="0"/>
    <n v="0"/>
    <n v="3908"/>
    <n v="3908"/>
    <n v="3908"/>
  </r>
  <r>
    <s v="73"/>
    <x v="2"/>
    <x v="11"/>
    <s v="ZT06F060"/>
    <x v="25"/>
    <s v="M103"/>
    <s v="SALUD AL DIA"/>
    <s v="GI00M10300004D"/>
    <s v="GI00M10300004D SISTEMA INTEGRAL DE PROMOCIÓN DE LA SALU"/>
    <s v="73 BIENES Y SERVICIOS PARA INVERSIÓN"/>
    <s v="730205 Espectáculos Culturales y Sociales"/>
    <s v="G/730205/1FM103"/>
    <s v="001"/>
    <n v="3908"/>
    <n v="-3908"/>
    <n v="0"/>
    <n v="0"/>
    <n v="0"/>
    <n v="0"/>
    <n v="0"/>
    <n v="0"/>
    <n v="0"/>
    <n v="0"/>
  </r>
  <r>
    <s v="73"/>
    <x v="2"/>
    <x v="11"/>
    <s v="ZD07F070"/>
    <x v="43"/>
    <s v="M103"/>
    <s v="SALUD AL DIA"/>
    <s v="GI00M10300004D"/>
    <s v="GI00M10300004D SISTEMA INTEGRAL DE PROMOCIÓN DE LA SALU"/>
    <s v="73 BIENES Y SERVICIOS PARA INVERSIÓN"/>
    <s v="730205 Espectáculos Culturales y Sociales"/>
    <s v="G/730205/1FM103"/>
    <s v="001"/>
    <n v="5424"/>
    <n v="-4000"/>
    <n v="0"/>
    <n v="1424"/>
    <n v="0"/>
    <n v="0"/>
    <n v="0"/>
    <n v="1424"/>
    <n v="1424"/>
    <n v="1424"/>
  </r>
  <r>
    <s v="73"/>
    <x v="2"/>
    <x v="11"/>
    <s v="ZD07F070"/>
    <x v="43"/>
    <s v="M103"/>
    <s v="SALUD AL DIA"/>
    <s v="GI00M10300004D"/>
    <s v="GI00M10300004D SISTEMA INTEGRAL DE PROMOCIÓN DE LA SALU"/>
    <s v="73 BIENES Y SERVICIOS PARA INVERSIÓN"/>
    <s v="730606 Honorarios por Contratos Civiles de Servici"/>
    <s v="G/730606/1FM103"/>
    <s v="001"/>
    <n v="37887.120000000003"/>
    <n v="-2000"/>
    <n v="0"/>
    <n v="35887.120000000003"/>
    <n v="0"/>
    <n v="0"/>
    <n v="0"/>
    <n v="35887.120000000003"/>
    <n v="35887.120000000003"/>
    <n v="35887.120000000003"/>
  </r>
  <r>
    <s v="73"/>
    <x v="2"/>
    <x v="11"/>
    <s v="ZV05F050"/>
    <x v="37"/>
    <s v="M103"/>
    <s v="SALUD AL DIA"/>
    <s v="GI00M10300004D"/>
    <s v="GI00M10300004D SISTEMA INTEGRAL DE PROMOCIÓN DE LA SALU"/>
    <s v="73 BIENES Y SERVICIOS PARA INVERSIÓN"/>
    <s v="730606 Honorarios por Contratos Civiles de Servici"/>
    <s v="G/730606/1FM103"/>
    <s v="001"/>
    <n v="37887.120000000003"/>
    <n v="0"/>
    <n v="0"/>
    <n v="37887.120000000003"/>
    <n v="0"/>
    <n v="0"/>
    <n v="0"/>
    <n v="37887.120000000003"/>
    <n v="37887.120000000003"/>
    <n v="37887.120000000003"/>
  </r>
  <r>
    <s v="73"/>
    <x v="2"/>
    <x v="11"/>
    <s v="ZS03F030"/>
    <x v="38"/>
    <s v="M103"/>
    <s v="SALUD AL DIA"/>
    <s v="GI00M10300004D"/>
    <s v="GI00M10300004D SISTEMA INTEGRAL DE PROMOCIÓN DE LA SALU"/>
    <s v="73 BIENES Y SERVICIOS PARA INVERSIÓN"/>
    <s v="730606 Honorarios por Contratos Civiles de Servici"/>
    <s v="G/730606/1FM103"/>
    <s v="001"/>
    <n v="37887.120000000003"/>
    <n v="0"/>
    <n v="0"/>
    <n v="37887.120000000003"/>
    <n v="6315"/>
    <n v="0"/>
    <n v="0"/>
    <n v="37887.120000000003"/>
    <n v="37887.120000000003"/>
    <n v="31572.12"/>
  </r>
  <r>
    <s v="73"/>
    <x v="2"/>
    <x v="11"/>
    <s v="ZM04F040"/>
    <x v="41"/>
    <s v="M103"/>
    <s v="SALUD AL DIA"/>
    <s v="GI00M10300004D"/>
    <s v="GI00M10300004D SISTEMA INTEGRAL DE PROMOCIÓN DE LA SALU"/>
    <s v="73 BIENES Y SERVICIOS PARA INVERSIÓN"/>
    <s v="730606 Honorarios por Contratos Civiles de Servici"/>
    <s v="G/730606/1FM103"/>
    <s v="001"/>
    <n v="37887.120000000003"/>
    <n v="-2000"/>
    <n v="0"/>
    <n v="35887.120000000003"/>
    <n v="0"/>
    <n v="0"/>
    <n v="0"/>
    <n v="35887.120000000003"/>
    <n v="35887.120000000003"/>
    <n v="35887.120000000003"/>
  </r>
  <r>
    <s v="73"/>
    <x v="2"/>
    <x v="11"/>
    <s v="ZC09F090"/>
    <x v="44"/>
    <s v="M103"/>
    <s v="SALUD AL DIA"/>
    <s v="GI00M10300004D"/>
    <s v="GI00M10300004D SISTEMA INTEGRAL DE PROMOCIÓN DE LA SALU"/>
    <s v="73 BIENES Y SERVICIOS PARA INVERSIÓN"/>
    <s v="730606 Honorarios por Contratos Civiles de Servici"/>
    <s v="G/730606/1FM103"/>
    <s v="001"/>
    <n v="37887.120000000003"/>
    <n v="0"/>
    <n v="0"/>
    <n v="37887.120000000003"/>
    <n v="0"/>
    <n v="0"/>
    <n v="0"/>
    <n v="37887.120000000003"/>
    <n v="37887.120000000003"/>
    <n v="37887.120000000003"/>
  </r>
  <r>
    <s v="73"/>
    <x v="2"/>
    <x v="11"/>
    <s v="ZQ08F080"/>
    <x v="39"/>
    <s v="M103"/>
    <s v="SALUD AL DIA"/>
    <s v="GI00M10300004D"/>
    <s v="GI00M10300004D SISTEMA INTEGRAL DE PROMOCIÓN DE LA SALU"/>
    <s v="73 BIENES Y SERVICIOS PARA INVERSIÓN"/>
    <s v="730606 Honorarios por Contratos Civiles de Servici"/>
    <s v="G/730606/1FM103"/>
    <s v="001"/>
    <n v="37887.120000000003"/>
    <n v="0"/>
    <n v="0"/>
    <n v="37887.120000000003"/>
    <n v="0"/>
    <n v="0"/>
    <n v="0"/>
    <n v="37887.120000000003"/>
    <n v="37887.120000000003"/>
    <n v="37887.120000000003"/>
  </r>
  <r>
    <s v="73"/>
    <x v="2"/>
    <x v="11"/>
    <s v="ZT06F060"/>
    <x v="25"/>
    <s v="M103"/>
    <s v="SALUD AL DIA"/>
    <s v="GI00M10300004D"/>
    <s v="GI00M10300004D SISTEMA INTEGRAL DE PROMOCIÓN DE LA SALU"/>
    <s v="73 BIENES Y SERVICIOS PARA INVERSIÓN"/>
    <s v="730606 Honorarios por Contratos Civiles de Servici"/>
    <s v="G/730606/1FM103"/>
    <s v="001"/>
    <n v="37887.120000000003"/>
    <n v="-1300"/>
    <n v="0"/>
    <n v="36587.120000000003"/>
    <n v="0"/>
    <n v="0"/>
    <n v="0"/>
    <n v="36587.120000000003"/>
    <n v="36587.120000000003"/>
    <n v="36587.120000000003"/>
  </r>
  <r>
    <s v="73"/>
    <x v="2"/>
    <x v="11"/>
    <s v="ZN02F020"/>
    <x v="40"/>
    <s v="M103"/>
    <s v="SALUD AL DIA"/>
    <s v="GI00M10300004D"/>
    <s v="GI00M10300004D SISTEMA INTEGRAL DE PROMOCIÓN DE LA SALU"/>
    <s v="73 BIENES Y SERVICIOS PARA INVERSIÓN"/>
    <s v="730606 Honorarios por Contratos Civiles de Servici"/>
    <s v="G/730606/1FM103"/>
    <s v="001"/>
    <n v="56830.58"/>
    <n v="0"/>
    <n v="0"/>
    <n v="56830.58"/>
    <n v="0"/>
    <n v="0"/>
    <n v="0"/>
    <n v="56830.58"/>
    <n v="56830.58"/>
    <n v="56830.58"/>
  </r>
  <r>
    <s v="73"/>
    <x v="1"/>
    <x v="3"/>
    <s v="ZA01M000"/>
    <x v="6"/>
    <s v="M103"/>
    <s v="SALUD AL DIA"/>
    <s v="GI00M10300004D"/>
    <s v="GI00M10300004D SISTEMA INTEGRAL DE PROMOCIÓN DE LA SALU"/>
    <s v="73 BIENES Y SERVICIOS PARA INVERSIÓN"/>
    <s v="730612 Capacitación a Servidores Públicos"/>
    <s v="G/730612/1MM103"/>
    <s v="001"/>
    <n v="0"/>
    <n v="8000"/>
    <n v="0"/>
    <n v="8000"/>
    <n v="0"/>
    <n v="0"/>
    <n v="0"/>
    <n v="8000"/>
    <n v="8000"/>
    <n v="8000"/>
  </r>
  <r>
    <s v="73"/>
    <x v="2"/>
    <x v="11"/>
    <s v="ZT06F060"/>
    <x v="25"/>
    <s v="M103"/>
    <s v="SALUD AL DIA"/>
    <s v="GI00M10300004D"/>
    <s v="GI00M10300004D SISTEMA INTEGRAL DE PROMOCIÓN DE LA SALU"/>
    <s v="73 BIENES Y SERVICIOS PARA INVERSIÓN"/>
    <s v="730812 Materiales Didácticos"/>
    <s v="G/730812/1FM103"/>
    <s v="001"/>
    <n v="1589"/>
    <n v="0"/>
    <n v="0"/>
    <n v="1589"/>
    <n v="0"/>
    <n v="0"/>
    <n v="0"/>
    <n v="1589"/>
    <n v="1589"/>
    <n v="1589"/>
  </r>
  <r>
    <s v="73"/>
    <x v="2"/>
    <x v="11"/>
    <s v="ZQ08F080"/>
    <x v="39"/>
    <s v="M103"/>
    <s v="SALUD AL DIA"/>
    <s v="GI00M10300004D"/>
    <s v="GI00M10300004D SISTEMA INTEGRAL DE PROMOCIÓN DE LA SALU"/>
    <s v="73 BIENES Y SERVICIOS PARA INVERSIÓN"/>
    <s v="730812 Materiales Didácticos"/>
    <s v="G/730812/1FM103"/>
    <s v="001"/>
    <n v="4777"/>
    <n v="0"/>
    <n v="0"/>
    <n v="4777"/>
    <n v="0"/>
    <n v="0"/>
    <n v="0"/>
    <n v="4777"/>
    <n v="4777"/>
    <n v="4777"/>
  </r>
  <r>
    <s v="73"/>
    <x v="2"/>
    <x v="11"/>
    <s v="ZS03F030"/>
    <x v="38"/>
    <s v="M103"/>
    <s v="SALUD AL DIA"/>
    <s v="GI00M10300004D"/>
    <s v="GI00M10300004D SISTEMA INTEGRAL DE PROMOCIÓN DE LA SALU"/>
    <s v="73 BIENES Y SERVICIOS PARA INVERSIÓN"/>
    <s v="730812 Materiales Didácticos"/>
    <s v="G/730812/1FM103"/>
    <s v="001"/>
    <n v="5302"/>
    <n v="0"/>
    <n v="0"/>
    <n v="5302"/>
    <n v="0"/>
    <n v="0"/>
    <n v="0"/>
    <n v="5302"/>
    <n v="5302"/>
    <n v="5302"/>
  </r>
  <r>
    <s v="73"/>
    <x v="2"/>
    <x v="11"/>
    <s v="ZN02F020"/>
    <x v="40"/>
    <s v="M103"/>
    <s v="SALUD AL DIA"/>
    <s v="GI00M10300004D"/>
    <s v="GI00M10300004D SISTEMA INTEGRAL DE PROMOCIÓN DE LA SALU"/>
    <s v="73 BIENES Y SERVICIOS PARA INVERSIÓN"/>
    <s v="730812 Materiales Didácticos"/>
    <s v="G/730812/1FM103"/>
    <s v="001"/>
    <n v="6891"/>
    <n v="0"/>
    <n v="0"/>
    <n v="6891"/>
    <n v="0"/>
    <n v="0"/>
    <n v="0"/>
    <n v="6891"/>
    <n v="6891"/>
    <n v="6891"/>
  </r>
  <r>
    <s v="73"/>
    <x v="2"/>
    <x v="11"/>
    <s v="ZD07F070"/>
    <x v="43"/>
    <s v="M103"/>
    <s v="SALUD AL DIA"/>
    <s v="GI00M10300004D"/>
    <s v="GI00M10300004D SISTEMA INTEGRAL DE PROMOCIÓN DE LA SALU"/>
    <s v="73 BIENES Y SERVICIOS PARA INVERSIÓN"/>
    <s v="730812 Materiales Didácticos"/>
    <s v="G/730812/1FM103"/>
    <s v="001"/>
    <n v="4242"/>
    <n v="0"/>
    <n v="0"/>
    <n v="4242"/>
    <n v="0"/>
    <n v="0"/>
    <n v="0"/>
    <n v="4242"/>
    <n v="4242"/>
    <n v="4242"/>
  </r>
  <r>
    <s v="73"/>
    <x v="2"/>
    <x v="11"/>
    <s v="ZV05F050"/>
    <x v="37"/>
    <s v="M103"/>
    <s v="SALUD AL DIA"/>
    <s v="GI00M10300004D"/>
    <s v="GI00M10300004D SISTEMA INTEGRAL DE PROMOCIÓN DE LA SALU"/>
    <s v="73 BIENES Y SERVICIOS PARA INVERSIÓN"/>
    <s v="730812 Materiales Didácticos"/>
    <s v="G/730812/1FM103"/>
    <s v="001"/>
    <n v="4116"/>
    <n v="0"/>
    <n v="0"/>
    <n v="4116"/>
    <n v="0"/>
    <n v="0"/>
    <n v="0"/>
    <n v="4116"/>
    <n v="4116"/>
    <n v="4116"/>
  </r>
  <r>
    <s v="73"/>
    <x v="2"/>
    <x v="11"/>
    <s v="ZC09F090"/>
    <x v="44"/>
    <s v="M103"/>
    <s v="SALUD AL DIA"/>
    <s v="GI00M10300004D"/>
    <s v="GI00M10300004D SISTEMA INTEGRAL DE PROMOCIÓN DE LA SALU"/>
    <s v="73 BIENES Y SERVICIOS PARA INVERSIÓN"/>
    <s v="730812 Materiales Didácticos"/>
    <s v="G/730812/1FM103"/>
    <s v="001"/>
    <n v="1589"/>
    <n v="0"/>
    <n v="0"/>
    <n v="1589"/>
    <n v="0"/>
    <n v="0"/>
    <n v="0"/>
    <n v="1589"/>
    <n v="1589"/>
    <n v="1589"/>
  </r>
  <r>
    <s v="73"/>
    <x v="2"/>
    <x v="11"/>
    <s v="ZM04F040"/>
    <x v="41"/>
    <s v="M103"/>
    <s v="SALUD AL DIA"/>
    <s v="GI00M10300004D"/>
    <s v="GI00M10300004D SISTEMA INTEGRAL DE PROMOCIÓN DE LA SALU"/>
    <s v="73 BIENES Y SERVICIOS PARA INVERSIÓN"/>
    <s v="730812 Materiales Didácticos"/>
    <s v="G/730812/1FM103"/>
    <s v="001"/>
    <n v="5950"/>
    <n v="0"/>
    <n v="0"/>
    <n v="5950"/>
    <n v="0"/>
    <n v="0"/>
    <n v="0"/>
    <n v="5950"/>
    <n v="5950"/>
    <n v="5950"/>
  </r>
  <r>
    <s v="73"/>
    <x v="1"/>
    <x v="3"/>
    <s v="ZA01M000"/>
    <x v="6"/>
    <s v="M103"/>
    <s v="SALUD AL DIA"/>
    <s v="GI00M10300005D"/>
    <s v="GI00M10300005D MANEJO DE FAUNA URBANA EN EL DMQ"/>
    <s v="73 BIENES Y SERVICIOS PARA INVERSIÓN"/>
    <s v="730105 Telecomunicaciones"/>
    <s v="G/730105/1MM103"/>
    <s v="001"/>
    <n v="0"/>
    <n v="5000"/>
    <n v="0"/>
    <n v="5000"/>
    <n v="0"/>
    <n v="0"/>
    <n v="0"/>
    <n v="5000"/>
    <n v="5000"/>
    <n v="5000"/>
  </r>
  <r>
    <s v="73"/>
    <x v="2"/>
    <x v="11"/>
    <s v="ZS03F030"/>
    <x v="38"/>
    <s v="M103"/>
    <s v="SALUD AL DIA"/>
    <s v="GI00M10300005D"/>
    <s v="GI00M10300005D MANEJO DE FAUNA URBANA EN EL DMQ"/>
    <s v="73 BIENES Y SERVICIOS PARA INVERSIÓN"/>
    <s v="730204 Edición, Impresión, Reproducción, Public"/>
    <s v="G/730204/1FM103"/>
    <s v="001"/>
    <n v="1472.46"/>
    <n v="0"/>
    <n v="0"/>
    <n v="1472.46"/>
    <n v="0"/>
    <n v="0"/>
    <n v="0"/>
    <n v="1472.46"/>
    <n v="1472.46"/>
    <n v="1472.46"/>
  </r>
  <r>
    <s v="73"/>
    <x v="1"/>
    <x v="3"/>
    <s v="ZA01M000"/>
    <x v="6"/>
    <s v="M103"/>
    <s v="SALUD AL DIA"/>
    <s v="GI00M10300005D"/>
    <s v="GI00M10300005D MANEJO DE FAUNA URBANA EN EL DMQ"/>
    <s v="73 BIENES Y SERVICIOS PARA INVERSIÓN"/>
    <s v="730204 Edición, Impresión, Reproducción, Public"/>
    <s v="G/730204/1MM103"/>
    <s v="001"/>
    <n v="12000"/>
    <n v="-6000"/>
    <n v="0"/>
    <n v="6000"/>
    <n v="0"/>
    <n v="0"/>
    <n v="0"/>
    <n v="6000"/>
    <n v="6000"/>
    <n v="6000"/>
  </r>
  <r>
    <s v="73"/>
    <x v="2"/>
    <x v="11"/>
    <s v="ZV05F050"/>
    <x v="37"/>
    <s v="M103"/>
    <s v="SALUD AL DIA"/>
    <s v="GI00M10300005D"/>
    <s v="GI00M10300005D MANEJO DE FAUNA URBANA EN EL DMQ"/>
    <s v="73 BIENES Y SERVICIOS PARA INVERSIÓN"/>
    <s v="730204 Edición, Impresión, Reproducción, Public"/>
    <s v="G/730204/1FM103"/>
    <s v="001"/>
    <n v="2000"/>
    <n v="0"/>
    <n v="0"/>
    <n v="2000"/>
    <n v="0"/>
    <n v="0"/>
    <n v="0"/>
    <n v="2000"/>
    <n v="2000"/>
    <n v="2000"/>
  </r>
  <r>
    <s v="73"/>
    <x v="2"/>
    <x v="11"/>
    <s v="ZN02F020"/>
    <x v="40"/>
    <s v="M103"/>
    <s v="SALUD AL DIA"/>
    <s v="GI00M10300005D"/>
    <s v="GI00M10300005D MANEJO DE FAUNA URBANA EN EL DMQ"/>
    <s v="73 BIENES Y SERVICIOS PARA INVERSIÓN"/>
    <s v="730204 Edición, Impresión, Reproducción, Public"/>
    <s v="G/730204/1FM103"/>
    <s v="001"/>
    <n v="2000"/>
    <n v="0"/>
    <n v="0"/>
    <n v="2000"/>
    <n v="0"/>
    <n v="0"/>
    <n v="0"/>
    <n v="2000"/>
    <n v="2000"/>
    <n v="2000"/>
  </r>
  <r>
    <s v="73"/>
    <x v="2"/>
    <x v="11"/>
    <s v="ZQ08F080"/>
    <x v="39"/>
    <s v="M103"/>
    <s v="SALUD AL DIA"/>
    <s v="GI00M10300005D"/>
    <s v="GI00M10300005D MANEJO DE FAUNA URBANA EN EL DMQ"/>
    <s v="73 BIENES Y SERVICIOS PARA INVERSIÓN"/>
    <s v="730204 Edición, Impresión, Reproducción, Public"/>
    <s v="G/730204/1FM103"/>
    <s v="001"/>
    <n v="2000"/>
    <n v="0"/>
    <n v="0"/>
    <n v="2000"/>
    <n v="0"/>
    <n v="0"/>
    <n v="0"/>
    <n v="2000"/>
    <n v="2000"/>
    <n v="2000"/>
  </r>
  <r>
    <s v="73"/>
    <x v="2"/>
    <x v="11"/>
    <s v="ZT06F060"/>
    <x v="25"/>
    <s v="M103"/>
    <s v="SALUD AL DIA"/>
    <s v="GI00M10300005D"/>
    <s v="GI00M10300005D MANEJO DE FAUNA URBANA EN EL DMQ"/>
    <s v="73 BIENES Y SERVICIOS PARA INVERSIÓN"/>
    <s v="730204 Edición, Impresión, Reproducción, Public"/>
    <s v="G/730204/1FM103"/>
    <s v="001"/>
    <n v="2000"/>
    <n v="0"/>
    <n v="0"/>
    <n v="2000"/>
    <n v="0"/>
    <n v="0"/>
    <n v="0"/>
    <n v="2000"/>
    <n v="2000"/>
    <n v="2000"/>
  </r>
  <r>
    <s v="73"/>
    <x v="2"/>
    <x v="11"/>
    <s v="ZD07F070"/>
    <x v="43"/>
    <s v="M103"/>
    <s v="SALUD AL DIA"/>
    <s v="GI00M10300005D"/>
    <s v="GI00M10300005D MANEJO DE FAUNA URBANA EN EL DMQ"/>
    <s v="73 BIENES Y SERVICIOS PARA INVERSIÓN"/>
    <s v="730204 Edición, Impresión, Reproducción, Public"/>
    <s v="G/730204/1FM103"/>
    <s v="001"/>
    <n v="2000"/>
    <n v="0"/>
    <n v="0"/>
    <n v="2000"/>
    <n v="0"/>
    <n v="0"/>
    <n v="0"/>
    <n v="2000"/>
    <n v="2000"/>
    <n v="2000"/>
  </r>
  <r>
    <s v="73"/>
    <x v="2"/>
    <x v="11"/>
    <s v="ZM04F040"/>
    <x v="41"/>
    <s v="M103"/>
    <s v="SALUD AL DIA"/>
    <s v="GI00M10300005D"/>
    <s v="GI00M10300005D MANEJO DE FAUNA URBANA EN EL DMQ"/>
    <s v="73 BIENES Y SERVICIOS PARA INVERSIÓN"/>
    <s v="730204 Edición, Impresión, Reproducción, Public"/>
    <s v="G/730204/1FM103"/>
    <s v="001"/>
    <n v="2000"/>
    <n v="0"/>
    <n v="0"/>
    <n v="2000"/>
    <n v="0"/>
    <n v="0"/>
    <n v="0"/>
    <n v="2000"/>
    <n v="2000"/>
    <n v="2000"/>
  </r>
  <r>
    <s v="73"/>
    <x v="2"/>
    <x v="11"/>
    <s v="ZC09F090"/>
    <x v="44"/>
    <s v="M103"/>
    <s v="SALUD AL DIA"/>
    <s v="GI00M10300005D"/>
    <s v="GI00M10300005D MANEJO DE FAUNA URBANA EN EL DMQ"/>
    <s v="73 BIENES Y SERVICIOS PARA INVERSIÓN"/>
    <s v="730204 Edición, Impresión, Reproducción, Public"/>
    <s v="G/730204/1FM103"/>
    <s v="001"/>
    <n v="2000"/>
    <n v="0"/>
    <n v="0"/>
    <n v="2000"/>
    <n v="0"/>
    <n v="0"/>
    <n v="0"/>
    <n v="2000"/>
    <n v="2000"/>
    <n v="2000"/>
  </r>
  <r>
    <s v="73"/>
    <x v="2"/>
    <x v="11"/>
    <s v="ZN02F020"/>
    <x v="40"/>
    <s v="M103"/>
    <s v="SALUD AL DIA"/>
    <s v="GI00M10300005D"/>
    <s v="GI00M10300005D MANEJO DE FAUNA URBANA EN EL DMQ"/>
    <s v="73 BIENES Y SERVICIOS PARA INVERSIÓN"/>
    <s v="730205 Espectáculos Culturales y Sociales"/>
    <s v="G/730205/1FM103"/>
    <s v="001"/>
    <n v="3000"/>
    <n v="0"/>
    <n v="0"/>
    <n v="3000"/>
    <n v="0"/>
    <n v="0"/>
    <n v="0"/>
    <n v="3000"/>
    <n v="3000"/>
    <n v="3000"/>
  </r>
  <r>
    <s v="73"/>
    <x v="2"/>
    <x v="11"/>
    <s v="ZT06F060"/>
    <x v="25"/>
    <s v="M103"/>
    <s v="SALUD AL DIA"/>
    <s v="GI00M10300005D"/>
    <s v="GI00M10300005D MANEJO DE FAUNA URBANA EN EL DMQ"/>
    <s v="73 BIENES Y SERVICIOS PARA INVERSIÓN"/>
    <s v="730205 Espectáculos Culturales y Sociales"/>
    <s v="G/730205/1FM103"/>
    <s v="001"/>
    <n v="3000"/>
    <n v="0"/>
    <n v="0"/>
    <n v="3000"/>
    <n v="0"/>
    <n v="0"/>
    <n v="0"/>
    <n v="3000"/>
    <n v="3000"/>
    <n v="3000"/>
  </r>
  <r>
    <s v="73"/>
    <x v="2"/>
    <x v="11"/>
    <s v="ZD07F070"/>
    <x v="43"/>
    <s v="M103"/>
    <s v="SALUD AL DIA"/>
    <s v="GI00M10300005D"/>
    <s v="GI00M10300005D MANEJO DE FAUNA URBANA EN EL DMQ"/>
    <s v="73 BIENES Y SERVICIOS PARA INVERSIÓN"/>
    <s v="730205 Espectáculos Culturales y Sociales"/>
    <s v="G/730205/1FM103"/>
    <s v="001"/>
    <n v="3000"/>
    <n v="0"/>
    <n v="0"/>
    <n v="3000"/>
    <n v="0"/>
    <n v="0"/>
    <n v="0"/>
    <n v="3000"/>
    <n v="3000"/>
    <n v="3000"/>
  </r>
  <r>
    <s v="73"/>
    <x v="2"/>
    <x v="11"/>
    <s v="ZQ08F080"/>
    <x v="39"/>
    <s v="M103"/>
    <s v="SALUD AL DIA"/>
    <s v="GI00M10300005D"/>
    <s v="GI00M10300005D MANEJO DE FAUNA URBANA EN EL DMQ"/>
    <s v="73 BIENES Y SERVICIOS PARA INVERSIÓN"/>
    <s v="730205 Espectáculos Culturales y Sociales"/>
    <s v="G/730205/1FM103"/>
    <s v="001"/>
    <n v="3000"/>
    <n v="0"/>
    <n v="0"/>
    <n v="3000"/>
    <n v="0"/>
    <n v="0"/>
    <n v="0"/>
    <n v="3000"/>
    <n v="3000"/>
    <n v="3000"/>
  </r>
  <r>
    <s v="73"/>
    <x v="2"/>
    <x v="11"/>
    <s v="ZM04F040"/>
    <x v="41"/>
    <s v="M103"/>
    <s v="SALUD AL DIA"/>
    <s v="GI00M10300005D"/>
    <s v="GI00M10300005D MANEJO DE FAUNA URBANA EN EL DMQ"/>
    <s v="73 BIENES Y SERVICIOS PARA INVERSIÓN"/>
    <s v="730205 Espectáculos Culturales y Sociales"/>
    <s v="G/730205/1FM103"/>
    <s v="001"/>
    <n v="3000"/>
    <n v="0"/>
    <n v="0"/>
    <n v="3000"/>
    <n v="0"/>
    <n v="0"/>
    <n v="0"/>
    <n v="3000"/>
    <n v="3000"/>
    <n v="3000"/>
  </r>
  <r>
    <s v="73"/>
    <x v="2"/>
    <x v="11"/>
    <s v="ZC09F090"/>
    <x v="44"/>
    <s v="M103"/>
    <s v="SALUD AL DIA"/>
    <s v="GI00M10300005D"/>
    <s v="GI00M10300005D MANEJO DE FAUNA URBANA EN EL DMQ"/>
    <s v="73 BIENES Y SERVICIOS PARA INVERSIÓN"/>
    <s v="730205 Espectáculos Culturales y Sociales"/>
    <s v="G/730205/1FM103"/>
    <s v="001"/>
    <n v="3000"/>
    <n v="0"/>
    <n v="0"/>
    <n v="3000"/>
    <n v="0"/>
    <n v="0"/>
    <n v="0"/>
    <n v="3000"/>
    <n v="3000"/>
    <n v="3000"/>
  </r>
  <r>
    <s v="73"/>
    <x v="2"/>
    <x v="11"/>
    <s v="ZV05F050"/>
    <x v="37"/>
    <s v="M103"/>
    <s v="SALUD AL DIA"/>
    <s v="GI00M10300005D"/>
    <s v="GI00M10300005D MANEJO DE FAUNA URBANA EN EL DMQ"/>
    <s v="73 BIENES Y SERVICIOS PARA INVERSIÓN"/>
    <s v="730205 Espectáculos Culturales y Sociales"/>
    <s v="G/730205/1FM103"/>
    <s v="001"/>
    <n v="3000"/>
    <n v="0"/>
    <n v="0"/>
    <n v="3000"/>
    <n v="0"/>
    <n v="0"/>
    <n v="0"/>
    <n v="3000"/>
    <n v="3000"/>
    <n v="3000"/>
  </r>
  <r>
    <s v="73"/>
    <x v="1"/>
    <x v="3"/>
    <s v="ZA01M000"/>
    <x v="6"/>
    <s v="M103"/>
    <s v="SALUD AL DIA"/>
    <s v="GI00M10300005D"/>
    <s v="GI00M10300005D MANEJO DE FAUNA URBANA EN EL DMQ"/>
    <s v="73 BIENES Y SERVICIOS PARA INVERSIÓN"/>
    <s v="730209 Servicios de Aseo, Lavado de Vestimenta"/>
    <s v="G/730209/1MM103"/>
    <s v="001"/>
    <n v="16680"/>
    <n v="0"/>
    <n v="0"/>
    <n v="16680"/>
    <n v="0"/>
    <n v="0"/>
    <n v="0"/>
    <n v="16680"/>
    <n v="16680"/>
    <n v="16680"/>
  </r>
  <r>
    <s v="73"/>
    <x v="1"/>
    <x v="3"/>
    <s v="ZA01M000"/>
    <x v="6"/>
    <s v="M103"/>
    <s v="SALUD AL DIA"/>
    <s v="GI00M10300005D"/>
    <s v="GI00M10300005D MANEJO DE FAUNA URBANA EN EL DMQ"/>
    <s v="73 BIENES Y SERVICIOS PARA INVERSIÓN"/>
    <s v="730225 Servicio de Incineración de Documentos Públ"/>
    <s v="G/730225/1MM103"/>
    <s v="001"/>
    <n v="15150"/>
    <n v="0"/>
    <n v="0"/>
    <n v="15150"/>
    <n v="0"/>
    <n v="0"/>
    <n v="0"/>
    <n v="15150"/>
    <n v="15150"/>
    <n v="15150"/>
  </r>
  <r>
    <s v="73"/>
    <x v="1"/>
    <x v="3"/>
    <s v="ZA01M000"/>
    <x v="6"/>
    <s v="M103"/>
    <s v="SALUD AL DIA"/>
    <s v="GI00M10300005D"/>
    <s v="GI00M10300005D MANEJO DE FAUNA URBANA EN EL DMQ"/>
    <s v="73 BIENES Y SERVICIOS PARA INVERSIÓN"/>
    <s v="730402 Edificios, Locales, Residencias y Cablea"/>
    <s v="G/730402/1MM103"/>
    <s v="001"/>
    <n v="0"/>
    <n v="207500"/>
    <n v="0"/>
    <n v="207500"/>
    <n v="0"/>
    <n v="0"/>
    <n v="0"/>
    <n v="207500"/>
    <n v="207500"/>
    <n v="207500"/>
  </r>
  <r>
    <s v="73"/>
    <x v="1"/>
    <x v="3"/>
    <s v="ZA01M000"/>
    <x v="6"/>
    <s v="M103"/>
    <s v="SALUD AL DIA"/>
    <s v="GI00M10300005D"/>
    <s v="GI00M10300005D MANEJO DE FAUNA URBANA EN EL DMQ"/>
    <s v="73 BIENES Y SERVICIOS PARA INVERSIÓN"/>
    <s v="730404 Maquinarias y Equipos (Instalación, Mant"/>
    <s v="G/730404/1MM103"/>
    <s v="001"/>
    <n v="3930.01"/>
    <n v="0"/>
    <n v="0"/>
    <n v="3930.01"/>
    <n v="0"/>
    <n v="0"/>
    <n v="0"/>
    <n v="3930.01"/>
    <n v="3930.01"/>
    <n v="3930.01"/>
  </r>
  <r>
    <s v="73"/>
    <x v="1"/>
    <x v="3"/>
    <s v="ZA01M000"/>
    <x v="6"/>
    <s v="M103"/>
    <s v="SALUD AL DIA"/>
    <s v="GI00M10300005D"/>
    <s v="GI00M10300005D MANEJO DE FAUNA URBANA EN EL DMQ"/>
    <s v="73 BIENES Y SERVICIOS PARA INVERSIÓN"/>
    <s v="730405 Vehículos (Servicio para Mantenimiento y"/>
    <s v="G/730405/1MM103"/>
    <s v="001"/>
    <n v="0"/>
    <n v="1000"/>
    <n v="0"/>
    <n v="1000"/>
    <n v="0"/>
    <n v="0"/>
    <n v="0"/>
    <n v="1000"/>
    <n v="1000"/>
    <n v="1000"/>
  </r>
  <r>
    <s v="73"/>
    <x v="1"/>
    <x v="3"/>
    <s v="ZA01M000"/>
    <x v="6"/>
    <s v="M103"/>
    <s v="SALUD AL DIA"/>
    <s v="GI00M10300005D"/>
    <s v="GI00M10300005D MANEJO DE FAUNA URBANA EN EL DMQ"/>
    <s v="73 BIENES Y SERVICIOS PARA INVERSIÓN"/>
    <s v="730505 Vehículos (Arrendamiento)"/>
    <s v="G/730505/1MM103"/>
    <s v="001"/>
    <n v="0"/>
    <n v="15000"/>
    <n v="0"/>
    <n v="15000"/>
    <n v="0"/>
    <n v="0"/>
    <n v="0"/>
    <n v="15000"/>
    <n v="15000"/>
    <n v="15000"/>
  </r>
  <r>
    <s v="73"/>
    <x v="2"/>
    <x v="11"/>
    <s v="ZQ08F080"/>
    <x v="39"/>
    <s v="M103"/>
    <s v="SALUD AL DIA"/>
    <s v="GI00M10300005D"/>
    <s v="GI00M10300005D MANEJO DE FAUNA URBANA EN EL DMQ"/>
    <s v="73 BIENES Y SERVICIOS PARA INVERSIÓN"/>
    <s v="730606 Honorarios por Contratos Civiles de Servici"/>
    <s v="G/730606/1FM103"/>
    <s v="001"/>
    <n v="18943.560000000001"/>
    <n v="-12299.87"/>
    <n v="0"/>
    <n v="6643.69"/>
    <n v="0"/>
    <n v="0"/>
    <n v="0"/>
    <n v="6643.69"/>
    <n v="6643.69"/>
    <n v="6643.69"/>
  </r>
  <r>
    <s v="73"/>
    <x v="2"/>
    <x v="11"/>
    <s v="ZD07F070"/>
    <x v="43"/>
    <s v="M103"/>
    <s v="SALUD AL DIA"/>
    <s v="GI00M10300005D"/>
    <s v="GI00M10300005D MANEJO DE FAUNA URBANA EN EL DMQ"/>
    <s v="73 BIENES Y SERVICIOS PARA INVERSIÓN"/>
    <s v="730606 Honorarios por Contratos Civiles de Servici"/>
    <s v="G/730606/1FM103"/>
    <s v="001"/>
    <n v="18943.560000000001"/>
    <n v="-12299.87"/>
    <n v="0"/>
    <n v="6643.69"/>
    <n v="0"/>
    <n v="0"/>
    <n v="0"/>
    <n v="6643.69"/>
    <n v="6643.69"/>
    <n v="6643.69"/>
  </r>
  <r>
    <s v="73"/>
    <x v="2"/>
    <x v="11"/>
    <s v="ZT06F060"/>
    <x v="25"/>
    <s v="M103"/>
    <s v="SALUD AL DIA"/>
    <s v="GI00M10300005D"/>
    <s v="GI00M10300005D MANEJO DE FAUNA URBANA EN EL DMQ"/>
    <s v="73 BIENES Y SERVICIOS PARA INVERSIÓN"/>
    <s v="730606 Honorarios por Contratos Civiles de Servici"/>
    <s v="G/730606/1FM103"/>
    <s v="001"/>
    <n v="18943.560000000001"/>
    <n v="-12299.87"/>
    <n v="0"/>
    <n v="6643.69"/>
    <n v="0"/>
    <n v="0"/>
    <n v="0"/>
    <n v="6643.69"/>
    <n v="6643.69"/>
    <n v="6643.69"/>
  </r>
  <r>
    <s v="73"/>
    <x v="1"/>
    <x v="3"/>
    <s v="ZA01M000"/>
    <x v="6"/>
    <s v="M103"/>
    <s v="SALUD AL DIA"/>
    <s v="GI00M10300005D"/>
    <s v="GI00M10300005D MANEJO DE FAUNA URBANA EN EL DMQ"/>
    <s v="73 BIENES Y SERVICIOS PARA INVERSIÓN"/>
    <s v="730606 Honorarios por Contratos Civiles de Servici"/>
    <s v="G/730606/1MM103"/>
    <s v="001"/>
    <n v="870996"/>
    <n v="-847122.09"/>
    <n v="0"/>
    <n v="23873.91"/>
    <n v="0"/>
    <n v="5873.91"/>
    <n v="5622.15"/>
    <n v="18000"/>
    <n v="18251.759999999998"/>
    <n v="18000"/>
  </r>
  <r>
    <s v="73"/>
    <x v="2"/>
    <x v="11"/>
    <s v="ZS03F030"/>
    <x v="38"/>
    <s v="M103"/>
    <s v="SALUD AL DIA"/>
    <s v="GI00M10300005D"/>
    <s v="GI00M10300005D MANEJO DE FAUNA URBANA EN EL DMQ"/>
    <s v="73 BIENES Y SERVICIOS PARA INVERSIÓN"/>
    <s v="730606 Honorarios por Contratos Civiles de Servici"/>
    <s v="G/730606/1FM103"/>
    <s v="001"/>
    <n v="18943.560000000001"/>
    <n v="-12299.87"/>
    <n v="0"/>
    <n v="6643.69"/>
    <n v="0"/>
    <n v="0"/>
    <n v="0"/>
    <n v="6643.69"/>
    <n v="6643.69"/>
    <n v="6643.69"/>
  </r>
  <r>
    <s v="73"/>
    <x v="2"/>
    <x v="11"/>
    <s v="ZV05F050"/>
    <x v="37"/>
    <s v="M103"/>
    <s v="SALUD AL DIA"/>
    <s v="GI00M10300005D"/>
    <s v="GI00M10300005D MANEJO DE FAUNA URBANA EN EL DMQ"/>
    <s v="73 BIENES Y SERVICIOS PARA INVERSIÓN"/>
    <s v="730606 Honorarios por Contratos Civiles de Servici"/>
    <s v="G/730606/1FM103"/>
    <s v="001"/>
    <n v="18943.560000000001"/>
    <n v="-12299.87"/>
    <n v="0"/>
    <n v="6643.69"/>
    <n v="0"/>
    <n v="0"/>
    <n v="0"/>
    <n v="6643.69"/>
    <n v="6643.69"/>
    <n v="6643.69"/>
  </r>
  <r>
    <s v="73"/>
    <x v="2"/>
    <x v="11"/>
    <s v="ZM04F040"/>
    <x v="41"/>
    <s v="M103"/>
    <s v="SALUD AL DIA"/>
    <s v="GI00M10300005D"/>
    <s v="GI00M10300005D MANEJO DE FAUNA URBANA EN EL DMQ"/>
    <s v="73 BIENES Y SERVICIOS PARA INVERSIÓN"/>
    <s v="730606 Honorarios por Contratos Civiles de Servici"/>
    <s v="G/730606/1FM103"/>
    <s v="001"/>
    <n v="18943.560000000001"/>
    <n v="-12299.87"/>
    <n v="0"/>
    <n v="6643.69"/>
    <n v="0"/>
    <n v="0"/>
    <n v="0"/>
    <n v="6643.69"/>
    <n v="6643.69"/>
    <n v="6643.69"/>
  </r>
  <r>
    <s v="73"/>
    <x v="2"/>
    <x v="11"/>
    <s v="ZN02F020"/>
    <x v="40"/>
    <s v="M103"/>
    <s v="SALUD AL DIA"/>
    <s v="GI00M10300005D"/>
    <s v="GI00M10300005D MANEJO DE FAUNA URBANA EN EL DMQ"/>
    <s v="73 BIENES Y SERVICIOS PARA INVERSIÓN"/>
    <s v="730606 Honorarios por Contratos Civiles de Servici"/>
    <s v="G/730606/1FM103"/>
    <s v="001"/>
    <n v="18943.560000000001"/>
    <n v="-12299.87"/>
    <n v="0"/>
    <n v="6643.69"/>
    <n v="0"/>
    <n v="0"/>
    <n v="0"/>
    <n v="6643.69"/>
    <n v="6643.69"/>
    <n v="6643.69"/>
  </r>
  <r>
    <s v="73"/>
    <x v="2"/>
    <x v="11"/>
    <s v="ZC09F090"/>
    <x v="44"/>
    <s v="M103"/>
    <s v="SALUD AL DIA"/>
    <s v="GI00M10300005D"/>
    <s v="GI00M10300005D MANEJO DE FAUNA URBANA EN EL DMQ"/>
    <s v="73 BIENES Y SERVICIOS PARA INVERSIÓN"/>
    <s v="730606 Honorarios por Contratos Civiles de Servici"/>
    <s v="G/730606/1FM103"/>
    <s v="001"/>
    <n v="18943.560000000001"/>
    <n v="-12299.87"/>
    <n v="0"/>
    <n v="6643.69"/>
    <n v="0"/>
    <n v="0"/>
    <n v="0"/>
    <n v="6643.69"/>
    <n v="6643.69"/>
    <n v="6643.69"/>
  </r>
  <r>
    <s v="73"/>
    <x v="1"/>
    <x v="3"/>
    <s v="ZA01M000"/>
    <x v="6"/>
    <s v="M103"/>
    <s v="SALUD AL DIA"/>
    <s v="GI00M10300005D"/>
    <s v="GI00M10300005D MANEJO DE FAUNA URBANA EN EL DMQ"/>
    <s v="73 BIENES Y SERVICIOS PARA INVERSIÓN"/>
    <s v="730701 Desarrollo, Actualización, Asistencia Té"/>
    <s v="G/730701/1MM103"/>
    <s v="001"/>
    <n v="20000"/>
    <n v="-18000"/>
    <n v="0"/>
    <n v="2000"/>
    <n v="0"/>
    <n v="0"/>
    <n v="0"/>
    <n v="2000"/>
    <n v="2000"/>
    <n v="2000"/>
  </r>
  <r>
    <s v="73"/>
    <x v="1"/>
    <x v="3"/>
    <s v="ZA01M000"/>
    <x v="6"/>
    <s v="M103"/>
    <s v="SALUD AL DIA"/>
    <s v="GI00M10300005D"/>
    <s v="GI00M10300005D MANEJO DE FAUNA URBANA EN EL DMQ"/>
    <s v="73 BIENES Y SERVICIOS PARA INVERSIÓN"/>
    <s v="730704 Mantenimiento y Reparación de Equipos y"/>
    <s v="G/730704/1MM103"/>
    <s v="001"/>
    <n v="312.5"/>
    <n v="0"/>
    <n v="0"/>
    <n v="312.5"/>
    <n v="0"/>
    <n v="0"/>
    <n v="0"/>
    <n v="312.5"/>
    <n v="312.5"/>
    <n v="312.5"/>
  </r>
  <r>
    <s v="73"/>
    <x v="1"/>
    <x v="3"/>
    <s v="ZA01M000"/>
    <x v="6"/>
    <s v="M103"/>
    <s v="SALUD AL DIA"/>
    <s v="GI00M10300005D"/>
    <s v="GI00M10300005D MANEJO DE FAUNA URBANA EN EL DMQ"/>
    <s v="73 BIENES Y SERVICIOS PARA INVERSIÓN"/>
    <s v="730802 Vestuario, Lencería, Prendas de Protecci"/>
    <s v="G/730802/1MM103"/>
    <s v="001"/>
    <n v="13500"/>
    <n v="7736"/>
    <n v="0"/>
    <n v="21236"/>
    <n v="0"/>
    <n v="0"/>
    <n v="0"/>
    <n v="21236"/>
    <n v="21236"/>
    <n v="21236"/>
  </r>
  <r>
    <s v="73"/>
    <x v="1"/>
    <x v="3"/>
    <s v="ZA01M000"/>
    <x v="6"/>
    <s v="M103"/>
    <s v="SALUD AL DIA"/>
    <s v="GI00M10300005D"/>
    <s v="GI00M10300005D MANEJO DE FAUNA URBANA EN EL DMQ"/>
    <s v="73 BIENES Y SERVICIOS PARA INVERSIÓN"/>
    <s v="730804 Materiales de Oficina"/>
    <s v="G/730804/1MM103"/>
    <s v="001"/>
    <n v="1000"/>
    <n v="0"/>
    <n v="0"/>
    <n v="1000"/>
    <n v="0"/>
    <n v="0"/>
    <n v="0"/>
    <n v="1000"/>
    <n v="1000"/>
    <n v="1000"/>
  </r>
  <r>
    <s v="73"/>
    <x v="1"/>
    <x v="3"/>
    <s v="ZA01M000"/>
    <x v="6"/>
    <s v="M103"/>
    <s v="SALUD AL DIA"/>
    <s v="GI00M10300005D"/>
    <s v="GI00M10300005D MANEJO DE FAUNA URBANA EN EL DMQ"/>
    <s v="73 BIENES Y SERVICIOS PARA INVERSIÓN"/>
    <s v="730805 Materiales de Aseo"/>
    <s v="G/730805/1MM103"/>
    <s v="001"/>
    <n v="11654"/>
    <n v="5000"/>
    <n v="0"/>
    <n v="16654"/>
    <n v="648.84"/>
    <n v="474.9"/>
    <n v="474.9"/>
    <n v="16179.1"/>
    <n v="16179.1"/>
    <n v="15530.26"/>
  </r>
  <r>
    <s v="73"/>
    <x v="1"/>
    <x v="3"/>
    <s v="ZA01M000"/>
    <x v="6"/>
    <s v="M103"/>
    <s v="SALUD AL DIA"/>
    <s v="GI00M10300005D"/>
    <s v="GI00M10300005D MANEJO DE FAUNA URBANA EN EL DMQ"/>
    <s v="73 BIENES Y SERVICIOS PARA INVERSIÓN"/>
    <s v="730807 Materiales de Impresión, Fotografía, Rep"/>
    <s v="G/730807/1MM103"/>
    <s v="001"/>
    <n v="2000"/>
    <n v="0"/>
    <n v="0"/>
    <n v="2000"/>
    <n v="0"/>
    <n v="0"/>
    <n v="0"/>
    <n v="2000"/>
    <n v="2000"/>
    <n v="2000"/>
  </r>
  <r>
    <s v="73"/>
    <x v="1"/>
    <x v="3"/>
    <s v="ZA01M000"/>
    <x v="6"/>
    <s v="M103"/>
    <s v="SALUD AL DIA"/>
    <s v="GI00M10300005D"/>
    <s v="GI00M10300005D MANEJO DE FAUNA URBANA EN EL DMQ"/>
    <s v="73 BIENES Y SERVICIOS PARA INVERSIÓN"/>
    <s v="730808 Instrumental Médico Quirúrgico"/>
    <s v="G/730808/1MM103"/>
    <s v="001"/>
    <n v="0"/>
    <n v="15500"/>
    <n v="0"/>
    <n v="15500"/>
    <n v="0"/>
    <n v="0"/>
    <n v="0"/>
    <n v="15500"/>
    <n v="15500"/>
    <n v="15500"/>
  </r>
  <r>
    <s v="73"/>
    <x v="1"/>
    <x v="3"/>
    <s v="ZA01M000"/>
    <x v="6"/>
    <s v="M103"/>
    <s v="SALUD AL DIA"/>
    <s v="GI00M10300005D"/>
    <s v="GI00M10300005D MANEJO DE FAUNA URBANA EN EL DMQ"/>
    <s v="73 BIENES Y SERVICIOS PARA INVERSIÓN"/>
    <s v="730809 Medicamentos"/>
    <s v="G/730809/1MM103"/>
    <s v="001"/>
    <n v="28084"/>
    <n v="0"/>
    <n v="0"/>
    <n v="28084"/>
    <n v="1453.4"/>
    <n v="1072.8399999999999"/>
    <n v="632.84"/>
    <n v="27011.16"/>
    <n v="27451.16"/>
    <n v="25557.759999999998"/>
  </r>
  <r>
    <s v="73"/>
    <x v="1"/>
    <x v="3"/>
    <s v="ZA01M000"/>
    <x v="6"/>
    <s v="M103"/>
    <s v="SALUD AL DIA"/>
    <s v="GI00M10300005D"/>
    <s v="GI00M10300005D MANEJO DE FAUNA URBANA EN EL DMQ"/>
    <s v="73 BIENES Y SERVICIOS PARA INVERSIÓN"/>
    <s v="730810 Dispositivos Médicos para Laboratorio Cl"/>
    <s v="G/730810/1MM103"/>
    <s v="001"/>
    <n v="2000"/>
    <n v="0"/>
    <n v="0"/>
    <n v="2000"/>
    <n v="0"/>
    <n v="0"/>
    <n v="0"/>
    <n v="2000"/>
    <n v="2000"/>
    <n v="2000"/>
  </r>
  <r>
    <s v="73"/>
    <x v="1"/>
    <x v="3"/>
    <s v="ZA01M000"/>
    <x v="6"/>
    <s v="M103"/>
    <s v="SALUD AL DIA"/>
    <s v="GI00M10300005D"/>
    <s v="GI00M10300005D MANEJO DE FAUNA URBANA EN EL DMQ"/>
    <s v="73 BIENES Y SERVICIOS PARA INVERSIÓN"/>
    <s v="730813 Repuestos y Accesorios"/>
    <s v="G/730813/1MM103"/>
    <s v="001"/>
    <n v="4916"/>
    <n v="0"/>
    <n v="0"/>
    <n v="4916"/>
    <n v="0"/>
    <n v="1236.82"/>
    <n v="1236.82"/>
    <n v="3679.18"/>
    <n v="3679.18"/>
    <n v="3679.18"/>
  </r>
  <r>
    <s v="73"/>
    <x v="1"/>
    <x v="3"/>
    <s v="ZA01M000"/>
    <x v="6"/>
    <s v="M103"/>
    <s v="SALUD AL DIA"/>
    <s v="GI00M10300005D"/>
    <s v="GI00M10300005D MANEJO DE FAUNA URBANA EN EL DMQ"/>
    <s v="73 BIENES Y SERVICIOS PARA INVERSIÓN"/>
    <s v="730819 Accesorios e Insumos Químicos y Orgánicos"/>
    <s v="G/730819/1MM103"/>
    <s v="001"/>
    <n v="11340"/>
    <n v="0"/>
    <n v="0"/>
    <n v="11340"/>
    <n v="0"/>
    <n v="0"/>
    <n v="0"/>
    <n v="11340"/>
    <n v="11340"/>
    <n v="11340"/>
  </r>
  <r>
    <s v="73"/>
    <x v="1"/>
    <x v="3"/>
    <s v="ZA01M000"/>
    <x v="6"/>
    <s v="M103"/>
    <s v="SALUD AL DIA"/>
    <s v="GI00M10300005D"/>
    <s v="GI00M10300005D MANEJO DE FAUNA URBANA EN EL DMQ"/>
    <s v="73 BIENES Y SERVICIOS PARA INVERSIÓN"/>
    <s v="730823 Egresos para Sanidad Agropecuaria"/>
    <s v="G/730823/1MM103"/>
    <s v="001"/>
    <n v="293101.99"/>
    <n v="0"/>
    <n v="0"/>
    <n v="293101.99"/>
    <n v="20201.54"/>
    <n v="87663.14"/>
    <n v="78266.03"/>
    <n v="205438.85"/>
    <n v="214835.96"/>
    <n v="185237.31"/>
  </r>
  <r>
    <s v="73"/>
    <x v="1"/>
    <x v="3"/>
    <s v="ZA01M000"/>
    <x v="6"/>
    <s v="M103"/>
    <s v="SALUD AL DIA"/>
    <s v="GI00M10300005D"/>
    <s v="GI00M10300005D MANEJO DE FAUNA URBANA EN EL DMQ"/>
    <s v="73 BIENES Y SERVICIOS PARA INVERSIÓN"/>
    <s v="730826 Dispositivos Médicos de Uso General"/>
    <s v="G/730826/1MM103"/>
    <s v="001"/>
    <n v="149475"/>
    <n v="-45587.4"/>
    <n v="0"/>
    <n v="103887.6"/>
    <n v="21170.53"/>
    <n v="37259"/>
    <n v="12275.98"/>
    <n v="66628.600000000006"/>
    <n v="91611.62"/>
    <n v="45458.07"/>
  </r>
  <r>
    <s v="73"/>
    <x v="1"/>
    <x v="3"/>
    <s v="ZA01M000"/>
    <x v="6"/>
    <s v="M103"/>
    <s v="SALUD AL DIA"/>
    <s v="GI00M10300005D"/>
    <s v="GI00M10300005D MANEJO DE FAUNA URBANA EN EL DMQ"/>
    <s v="73 BIENES Y SERVICIOS PARA INVERSIÓN"/>
    <s v="731406 Herramientas y equipos menores"/>
    <s v="G/731406/1MM103"/>
    <s v="001"/>
    <n v="0"/>
    <n v="5464"/>
    <n v="0"/>
    <n v="5464"/>
    <n v="0"/>
    <n v="0"/>
    <n v="0"/>
    <n v="5464"/>
    <n v="5464"/>
    <n v="5464"/>
  </r>
  <r>
    <s v="73"/>
    <x v="1"/>
    <x v="3"/>
    <s v="US33M030"/>
    <x v="8"/>
    <s v="M103"/>
    <s v="SALUD AL DIA"/>
    <s v="GI00M10300006D"/>
    <s v="GI00M10300006D ATENCIÓN Y PREVENCIÓN DE LA ENFERMEDAD"/>
    <s v="73 BIENES Y SERVICIOS PARA INVERSIÓN"/>
    <s v="730101 Agua Potable"/>
    <s v="G/730101/1MM103"/>
    <s v="001"/>
    <n v="0"/>
    <n v="2400"/>
    <n v="0"/>
    <n v="2400"/>
    <n v="0"/>
    <n v="1692.95"/>
    <n v="1692.95"/>
    <n v="707.05"/>
    <n v="707.05"/>
    <n v="707.05"/>
  </r>
  <r>
    <s v="73"/>
    <x v="1"/>
    <x v="3"/>
    <s v="US33M030"/>
    <x v="8"/>
    <s v="M103"/>
    <s v="SALUD AL DIA"/>
    <s v="GI00M10300006D"/>
    <s v="GI00M10300006D ATENCIÓN Y PREVENCIÓN DE LA ENFERMEDAD"/>
    <s v="73 BIENES Y SERVICIOS PARA INVERSIÓN"/>
    <s v="730104 Energía Eléctrica"/>
    <s v="G/730104/1MM103"/>
    <s v="001"/>
    <n v="0"/>
    <n v="27800"/>
    <n v="0"/>
    <n v="27800"/>
    <n v="0"/>
    <n v="16370.69"/>
    <n v="16370.69"/>
    <n v="11429.31"/>
    <n v="11429.31"/>
    <n v="11429.31"/>
  </r>
  <r>
    <s v="73"/>
    <x v="1"/>
    <x v="3"/>
    <s v="US33M030"/>
    <x v="8"/>
    <s v="M103"/>
    <s v="SALUD AL DIA"/>
    <s v="GI00M10300006D"/>
    <s v="GI00M10300006D ATENCIÓN Y PREVENCIÓN DE LA ENFERMEDAD"/>
    <s v="73 BIENES Y SERVICIOS PARA INVERSIÓN"/>
    <s v="730201 Transporte de Personal"/>
    <s v="G/730201/1MM103"/>
    <s v="001"/>
    <n v="0"/>
    <n v="52300"/>
    <n v="0"/>
    <n v="52300"/>
    <n v="0"/>
    <n v="45300"/>
    <n v="32966.660000000003"/>
    <n v="7000"/>
    <n v="19333.34"/>
    <n v="7000"/>
  </r>
  <r>
    <s v="73"/>
    <x v="1"/>
    <x v="3"/>
    <s v="US33M030"/>
    <x v="8"/>
    <s v="M103"/>
    <s v="SALUD AL DIA"/>
    <s v="GI00M10300006D"/>
    <s v="GI00M10300006D ATENCIÓN Y PREVENCIÓN DE LA ENFERMEDAD"/>
    <s v="73 BIENES Y SERVICIOS PARA INVERSIÓN"/>
    <s v="730202 Fletes y Maniobras"/>
    <s v="G/730202/1MM103"/>
    <s v="001"/>
    <n v="0"/>
    <n v="700"/>
    <n v="0"/>
    <n v="700"/>
    <n v="0"/>
    <n v="681"/>
    <n v="681"/>
    <n v="19"/>
    <n v="19"/>
    <n v="19"/>
  </r>
  <r>
    <s v="73"/>
    <x v="1"/>
    <x v="3"/>
    <s v="UN31M010"/>
    <x v="11"/>
    <s v="M103"/>
    <s v="SALUD AL DIA"/>
    <s v="GI00M10300006D"/>
    <s v="GI00M10300006D ATENCIÓN Y PREVENCIÓN DE LA ENFERMEDAD"/>
    <s v="73 BIENES Y SERVICIOS PARA INVERSIÓN"/>
    <s v="730204 Edición, Impresión, Reproducción, Public"/>
    <s v="G/730204/1MM103"/>
    <s v="001"/>
    <n v="3000"/>
    <n v="33180.639999999999"/>
    <n v="0"/>
    <n v="36180.639999999999"/>
    <n v="0"/>
    <n v="0"/>
    <n v="0"/>
    <n v="36180.639999999999"/>
    <n v="36180.639999999999"/>
    <n v="36180.639999999999"/>
  </r>
  <r>
    <s v="73"/>
    <x v="1"/>
    <x v="3"/>
    <s v="UC32M020"/>
    <x v="7"/>
    <s v="M103"/>
    <s v="SALUD AL DIA"/>
    <s v="GI00M10300006D"/>
    <s v="GI00M10300006D ATENCIÓN Y PREVENCIÓN DE LA ENFERMEDAD"/>
    <s v="73 BIENES Y SERVICIOS PARA INVERSIÓN"/>
    <s v="730204 Edición, Impresión, Reproducción, Public"/>
    <s v="G/730204/1MM103"/>
    <s v="001"/>
    <n v="25000"/>
    <n v="-23300"/>
    <n v="0"/>
    <n v="1700"/>
    <n v="0"/>
    <n v="1657.2"/>
    <n v="1657.2"/>
    <n v="42.8"/>
    <n v="42.8"/>
    <n v="42.8"/>
  </r>
  <r>
    <s v="73"/>
    <x v="1"/>
    <x v="3"/>
    <s v="UN31M010"/>
    <x v="11"/>
    <s v="M103"/>
    <s v="SALUD AL DIA"/>
    <s v="GI00M10300006D"/>
    <s v="GI00M10300006D ATENCIÓN Y PREVENCIÓN DE LA ENFERMEDAD"/>
    <s v="73 BIENES Y SERVICIOS PARA INVERSIÓN"/>
    <s v="730205 Espectáculos Culturales y Sociales"/>
    <s v="G/730205/1MM103"/>
    <s v="001"/>
    <n v="6500"/>
    <n v="0"/>
    <n v="0"/>
    <n v="6500"/>
    <n v="0"/>
    <n v="0"/>
    <n v="0"/>
    <n v="6500"/>
    <n v="6500"/>
    <n v="6500"/>
  </r>
  <r>
    <s v="73"/>
    <x v="1"/>
    <x v="3"/>
    <s v="US33M030"/>
    <x v="8"/>
    <s v="M103"/>
    <s v="SALUD AL DIA"/>
    <s v="GI00M10300006D"/>
    <s v="GI00M10300006D ATENCIÓN Y PREVENCIÓN DE LA ENFERMEDAD"/>
    <s v="73 BIENES Y SERVICIOS PARA INVERSIÓN"/>
    <s v="730208 Servicio de Seguridad y Vigilancia"/>
    <s v="G/730208/1MM103"/>
    <s v="001"/>
    <n v="0"/>
    <n v="97828"/>
    <n v="0"/>
    <n v="97828"/>
    <n v="0"/>
    <n v="76608"/>
    <n v="58307.199999999997"/>
    <n v="21220"/>
    <n v="39520.800000000003"/>
    <n v="21220"/>
  </r>
  <r>
    <s v="73"/>
    <x v="1"/>
    <x v="3"/>
    <s v="US33M030"/>
    <x v="8"/>
    <s v="M103"/>
    <s v="SALUD AL DIA"/>
    <s v="GI00M10300006D"/>
    <s v="GI00M10300006D ATENCIÓN Y PREVENCIÓN DE LA ENFERMEDAD"/>
    <s v="73 BIENES Y SERVICIOS PARA INVERSIÓN"/>
    <s v="730209 Servicios de Aseo, Lavado de Vestimenta"/>
    <s v="G/730209/1MM103"/>
    <s v="001"/>
    <n v="160000"/>
    <n v="573939.96"/>
    <n v="0"/>
    <n v="733939.96"/>
    <n v="105808.63"/>
    <n v="615874.68999999994"/>
    <n v="208997.15"/>
    <n v="118065.27"/>
    <n v="524942.81000000006"/>
    <n v="12256.64"/>
  </r>
  <r>
    <s v="73"/>
    <x v="1"/>
    <x v="3"/>
    <s v="UN31M010"/>
    <x v="11"/>
    <s v="M103"/>
    <s v="SALUD AL DIA"/>
    <s v="GI00M10300006D"/>
    <s v="GI00M10300006D ATENCIÓN Y PREVENCIÓN DE LA ENFERMEDAD"/>
    <s v="73 BIENES Y SERVICIOS PARA INVERSIÓN"/>
    <s v="730209 Servicios de Aseo, Lavado de Vestimenta"/>
    <s v="G/730209/1MM103"/>
    <s v="001"/>
    <n v="0"/>
    <n v="88842.59"/>
    <n v="0"/>
    <n v="88842.59"/>
    <n v="0"/>
    <n v="88842.59"/>
    <n v="61371.519999999997"/>
    <n v="0"/>
    <n v="27471.07"/>
    <n v="0"/>
  </r>
  <r>
    <s v="73"/>
    <x v="1"/>
    <x v="3"/>
    <s v="UN31M010"/>
    <x v="11"/>
    <s v="M103"/>
    <s v="SALUD AL DIA"/>
    <s v="GI00M10300006D"/>
    <s v="GI00M10300006D ATENCIÓN Y PREVENCIÓN DE LA ENFERMEDAD"/>
    <s v="73 BIENES Y SERVICIOS PARA INVERSIÓN"/>
    <s v="730226 Servicios Médicos Hospitalarios y Complemen"/>
    <s v="G/730226/1MM103"/>
    <s v="001"/>
    <n v="45000"/>
    <n v="-45000"/>
    <n v="0"/>
    <n v="0"/>
    <n v="0"/>
    <n v="0"/>
    <n v="0"/>
    <n v="0"/>
    <n v="0"/>
    <n v="0"/>
  </r>
  <r>
    <s v="73"/>
    <x v="1"/>
    <x v="3"/>
    <s v="US33M030"/>
    <x v="8"/>
    <s v="M103"/>
    <s v="SALUD AL DIA"/>
    <s v="GI00M10300006D"/>
    <s v="GI00M10300006D ATENCIÓN Y PREVENCIÓN DE LA ENFERMEDAD"/>
    <s v="73 BIENES Y SERVICIOS PARA INVERSIÓN"/>
    <s v="730226 Servicios Médicos Hospitalarios y Complemen"/>
    <s v="G/730226/1MM103"/>
    <s v="001"/>
    <n v="0"/>
    <n v="6400"/>
    <n v="0"/>
    <n v="6400"/>
    <n v="0"/>
    <n v="6400"/>
    <n v="2240"/>
    <n v="0"/>
    <n v="4160"/>
    <n v="0"/>
  </r>
  <r>
    <s v="73"/>
    <x v="1"/>
    <x v="3"/>
    <s v="UC32M020"/>
    <x v="7"/>
    <s v="M103"/>
    <s v="SALUD AL DIA"/>
    <s v="GI00M10300006D"/>
    <s v="GI00M10300006D ATENCIÓN Y PREVENCIÓN DE LA ENFERMEDAD"/>
    <s v="73 BIENES Y SERVICIOS PARA INVERSIÓN"/>
    <s v="730226 Servicios Médicos Hospitalarios y Complemen"/>
    <s v="G/730226/1MM103"/>
    <s v="001"/>
    <n v="32000"/>
    <n v="13350"/>
    <n v="0"/>
    <n v="45350"/>
    <n v="7816.74"/>
    <n v="8690"/>
    <n v="6908.5"/>
    <n v="36660"/>
    <n v="38441.5"/>
    <n v="28843.26"/>
  </r>
  <r>
    <s v="73"/>
    <x v="1"/>
    <x v="3"/>
    <s v="US33M030"/>
    <x v="8"/>
    <s v="M103"/>
    <s v="SALUD AL DIA"/>
    <s v="GI00M10300006D"/>
    <s v="GI00M10300006D ATENCIÓN Y PREVENCIÓN DE LA ENFERMEDAD"/>
    <s v="73 BIENES Y SERVICIOS PARA INVERSIÓN"/>
    <s v="730235 Servicio de Alimentación"/>
    <s v="G/730235/1MM103"/>
    <s v="001"/>
    <n v="0"/>
    <n v="963791.1"/>
    <n v="0"/>
    <n v="963791.1"/>
    <n v="0"/>
    <n v="874191.1"/>
    <n v="177614.64"/>
    <n v="89600"/>
    <n v="786176.46"/>
    <n v="89600"/>
  </r>
  <r>
    <s v="73"/>
    <x v="1"/>
    <x v="3"/>
    <s v="UC32M020"/>
    <x v="7"/>
    <s v="M103"/>
    <s v="SALUD AL DIA"/>
    <s v="GI00M10300006D"/>
    <s v="GI00M10300006D ATENCIÓN Y PREVENCIÓN DE LA ENFERMEDAD"/>
    <s v="73 BIENES Y SERVICIOS PARA INVERSIÓN"/>
    <s v="730235 Servicio de Alimentación"/>
    <s v="G/730235/1MM103"/>
    <s v="001"/>
    <n v="10000"/>
    <n v="-6220"/>
    <n v="0"/>
    <n v="3780"/>
    <n v="3780"/>
    <n v="0"/>
    <n v="0"/>
    <n v="3780"/>
    <n v="3780"/>
    <n v="0"/>
  </r>
  <r>
    <s v="73"/>
    <x v="1"/>
    <x v="3"/>
    <s v="UC32M020"/>
    <x v="7"/>
    <s v="M103"/>
    <s v="SALUD AL DIA"/>
    <s v="GI00M10300006D"/>
    <s v="GI00M10300006D ATENCIÓN Y PREVENCIÓN DE LA ENFERMEDAD"/>
    <s v="73 BIENES Y SERVICIOS PARA INVERSIÓN"/>
    <s v="730402 Edificios, Locales, Residencias y Cablea"/>
    <s v="G/730402/1MM103"/>
    <s v="001"/>
    <n v="80876.490000000005"/>
    <n v="0"/>
    <n v="0"/>
    <n v="80876.490000000005"/>
    <n v="808.64"/>
    <n v="16484.03"/>
    <n v="16484.03"/>
    <n v="64392.46"/>
    <n v="64392.46"/>
    <n v="63583.82"/>
  </r>
  <r>
    <s v="73"/>
    <x v="1"/>
    <x v="3"/>
    <s v="UN31M010"/>
    <x v="11"/>
    <s v="M103"/>
    <s v="SALUD AL DIA"/>
    <s v="GI00M10300006D"/>
    <s v="GI00M10300006D ATENCIÓN Y PREVENCIÓN DE LA ENFERMEDAD"/>
    <s v="73 BIENES Y SERVICIOS PARA INVERSIÓN"/>
    <s v="730402 Edificios, Locales, Residencias y Cablea"/>
    <s v="G/730402/1MM103"/>
    <s v="001"/>
    <n v="129000"/>
    <n v="137914"/>
    <n v="0"/>
    <n v="266914"/>
    <n v="0"/>
    <n v="131995"/>
    <n v="125397.68"/>
    <n v="134919"/>
    <n v="141516.32"/>
    <n v="134919"/>
  </r>
  <r>
    <s v="73"/>
    <x v="1"/>
    <x v="3"/>
    <s v="US33M030"/>
    <x v="8"/>
    <s v="M103"/>
    <s v="SALUD AL DIA"/>
    <s v="GI00M10300006D"/>
    <s v="GI00M10300006D ATENCIÓN Y PREVENCIÓN DE LA ENFERMEDAD"/>
    <s v="73 BIENES Y SERVICIOS PARA INVERSIÓN"/>
    <s v="730402 Edificios, Locales, Residencias y Cablea"/>
    <s v="G/730402/1MM103"/>
    <s v="001"/>
    <n v="0"/>
    <n v="457177.4"/>
    <n v="0"/>
    <n v="457177.4"/>
    <n v="0"/>
    <n v="456689.42"/>
    <n v="447749.99"/>
    <n v="487.98"/>
    <n v="9427.41"/>
    <n v="487.98"/>
  </r>
  <r>
    <s v="73"/>
    <x v="1"/>
    <x v="3"/>
    <s v="UC32M020"/>
    <x v="7"/>
    <s v="M103"/>
    <s v="SALUD AL DIA"/>
    <s v="GI00M10300006D"/>
    <s v="GI00M10300006D ATENCIÓN Y PREVENCIÓN DE LA ENFERMEDAD"/>
    <s v="73 BIENES Y SERVICIOS PARA INVERSIÓN"/>
    <s v="730403 Mobiliarios (Instalación, Mantenimiento"/>
    <s v="G/730403/1MM103"/>
    <s v="001"/>
    <n v="5000"/>
    <n v="-2000"/>
    <n v="0"/>
    <n v="3000"/>
    <n v="0"/>
    <n v="0"/>
    <n v="0"/>
    <n v="3000"/>
    <n v="3000"/>
    <n v="3000"/>
  </r>
  <r>
    <s v="73"/>
    <x v="1"/>
    <x v="3"/>
    <s v="UC32M020"/>
    <x v="7"/>
    <s v="M103"/>
    <s v="SALUD AL DIA"/>
    <s v="GI00M10300006D"/>
    <s v="GI00M10300006D ATENCIÓN Y PREVENCIÓN DE LA ENFERMEDAD"/>
    <s v="73 BIENES Y SERVICIOS PARA INVERSIÓN"/>
    <s v="730404 Maquinarias y Equipos (Instalación, Mant"/>
    <s v="G/730404/1MM103"/>
    <s v="001"/>
    <n v="50000"/>
    <n v="-20000"/>
    <n v="0"/>
    <n v="30000"/>
    <n v="4794.57"/>
    <n v="18725.5"/>
    <n v="13513.47"/>
    <n v="11274.5"/>
    <n v="16486.53"/>
    <n v="6479.93"/>
  </r>
  <r>
    <s v="73"/>
    <x v="1"/>
    <x v="3"/>
    <s v="UN31M010"/>
    <x v="11"/>
    <s v="M103"/>
    <s v="SALUD AL DIA"/>
    <s v="GI00M10300006D"/>
    <s v="GI00M10300006D ATENCIÓN Y PREVENCIÓN DE LA ENFERMEDAD"/>
    <s v="73 BIENES Y SERVICIOS PARA INVERSIÓN"/>
    <s v="730404 Maquinarias y Equipos (Instalación, Mant"/>
    <s v="G/730404/1MM103"/>
    <s v="001"/>
    <n v="50000"/>
    <n v="0"/>
    <n v="0"/>
    <n v="50000"/>
    <n v="3587.2"/>
    <n v="8584.7999999999993"/>
    <n v="5073.6000000000004"/>
    <n v="41415.199999999997"/>
    <n v="44926.400000000001"/>
    <n v="37828"/>
  </r>
  <r>
    <s v="73"/>
    <x v="1"/>
    <x v="3"/>
    <s v="UC32M020"/>
    <x v="7"/>
    <s v="M103"/>
    <s v="SALUD AL DIA"/>
    <s v="GI00M10300006D"/>
    <s v="GI00M10300006D ATENCIÓN Y PREVENCIÓN DE LA ENFERMEDAD"/>
    <s v="73 BIENES Y SERVICIOS PARA INVERSIÓN"/>
    <s v="730405 Vehículos (Servicio para Mantenimiento y"/>
    <s v="G/730405/1MM103"/>
    <s v="001"/>
    <n v="25000"/>
    <n v="-7710"/>
    <n v="0"/>
    <n v="17290"/>
    <n v="0"/>
    <n v="7950.88"/>
    <n v="5346.67"/>
    <n v="9339.1200000000008"/>
    <n v="11943.33"/>
    <n v="9339.1200000000008"/>
  </r>
  <r>
    <s v="73"/>
    <x v="1"/>
    <x v="3"/>
    <s v="US33M030"/>
    <x v="8"/>
    <s v="M103"/>
    <s v="SALUD AL DIA"/>
    <s v="GI00M10300006D"/>
    <s v="GI00M10300006D ATENCIÓN Y PREVENCIÓN DE LA ENFERMEDAD"/>
    <s v="73 BIENES Y SERVICIOS PARA INVERSIÓN"/>
    <s v="730606 Honorarios por Contratos Civiles de Servici"/>
    <s v="G/730606/1MM103"/>
    <s v="001"/>
    <n v="0"/>
    <n v="89778.4"/>
    <n v="0"/>
    <n v="89778.4"/>
    <n v="0"/>
    <n v="74648"/>
    <n v="27404.59"/>
    <n v="15130.4"/>
    <n v="62373.81"/>
    <n v="15130.4"/>
  </r>
  <r>
    <s v="73"/>
    <x v="1"/>
    <x v="3"/>
    <s v="UN31M010"/>
    <x v="11"/>
    <s v="M103"/>
    <s v="SALUD AL DIA"/>
    <s v="GI00M10300006D"/>
    <s v="GI00M10300006D ATENCIÓN Y PREVENCIÓN DE LA ENFERMEDAD"/>
    <s v="73 BIENES Y SERVICIOS PARA INVERSIÓN"/>
    <s v="730606 Honorarios por Contratos Civiles de Servici"/>
    <s v="G/730606/1MM103"/>
    <s v="001"/>
    <n v="68961"/>
    <n v="-42551"/>
    <n v="0"/>
    <n v="26410"/>
    <n v="0"/>
    <n v="0"/>
    <n v="0"/>
    <n v="26410"/>
    <n v="26410"/>
    <n v="26410"/>
  </r>
  <r>
    <s v="73"/>
    <x v="1"/>
    <x v="3"/>
    <s v="UC32M020"/>
    <x v="7"/>
    <s v="M103"/>
    <s v="SALUD AL DIA"/>
    <s v="GI00M10300006D"/>
    <s v="GI00M10300006D ATENCIÓN Y PREVENCIÓN DE LA ENFERMEDAD"/>
    <s v="73 BIENES Y SERVICIOS PARA INVERSIÓN"/>
    <s v="730704 Mantenimiento y Reparación de Equipos y"/>
    <s v="G/730704/1MM103"/>
    <s v="001"/>
    <n v="20000"/>
    <n v="-8200"/>
    <n v="0"/>
    <n v="11800"/>
    <n v="2729.44"/>
    <n v="3223.36"/>
    <n v="2278.8200000000002"/>
    <n v="8576.64"/>
    <n v="9521.18"/>
    <n v="5847.2"/>
  </r>
  <r>
    <s v="73"/>
    <x v="1"/>
    <x v="3"/>
    <s v="UN31M010"/>
    <x v="11"/>
    <s v="M103"/>
    <s v="SALUD AL DIA"/>
    <s v="GI00M10300006D"/>
    <s v="GI00M10300006D ATENCIÓN Y PREVENCIÓN DE LA ENFERMEDAD"/>
    <s v="73 BIENES Y SERVICIOS PARA INVERSIÓN"/>
    <s v="730802 Vestuario, Lencería, Prendas de Protecci"/>
    <s v="G/730802/1MM103"/>
    <s v="001"/>
    <n v="18500"/>
    <n v="181880"/>
    <n v="0"/>
    <n v="200380"/>
    <n v="2.0699999999999998"/>
    <n v="29173.37"/>
    <n v="29173.37"/>
    <n v="171206.63"/>
    <n v="171206.63"/>
    <n v="171204.56"/>
  </r>
  <r>
    <s v="73"/>
    <x v="1"/>
    <x v="3"/>
    <s v="US33M030"/>
    <x v="8"/>
    <s v="M103"/>
    <s v="SALUD AL DIA"/>
    <s v="GI00M10300006D"/>
    <s v="GI00M10300006D ATENCIÓN Y PREVENCIÓN DE LA ENFERMEDAD"/>
    <s v="73 BIENES Y SERVICIOS PARA INVERSIÓN"/>
    <s v="730802 Vestuario, Lencería, Prendas de Protecci"/>
    <s v="G/730802/1MM103"/>
    <s v="001"/>
    <n v="5000"/>
    <n v="290509.53999999998"/>
    <n v="0"/>
    <n v="295509.53999999998"/>
    <n v="0"/>
    <n v="268044.31"/>
    <n v="262444.31"/>
    <n v="27465.23"/>
    <n v="33065.230000000003"/>
    <n v="27465.23"/>
  </r>
  <r>
    <s v="73"/>
    <x v="1"/>
    <x v="3"/>
    <s v="UC32M020"/>
    <x v="7"/>
    <s v="M103"/>
    <s v="SALUD AL DIA"/>
    <s v="GI00M10300006D"/>
    <s v="GI00M10300006D ATENCIÓN Y PREVENCIÓN DE LA ENFERMEDAD"/>
    <s v="73 BIENES Y SERVICIOS PARA INVERSIÓN"/>
    <s v="730802 Vestuario, Lencería, Prendas de Protecci"/>
    <s v="G/730802/1MM103"/>
    <s v="001"/>
    <n v="4000"/>
    <n v="262996.32"/>
    <n v="0"/>
    <n v="266996.32"/>
    <n v="7493.14"/>
    <n v="28886.7"/>
    <n v="28886.7"/>
    <n v="238109.62"/>
    <n v="238109.62"/>
    <n v="230616.48"/>
  </r>
  <r>
    <s v="73"/>
    <x v="1"/>
    <x v="3"/>
    <s v="UC32M020"/>
    <x v="7"/>
    <s v="M103"/>
    <s v="SALUD AL DIA"/>
    <s v="GI00M10300006D"/>
    <s v="GI00M10300006D ATENCIÓN Y PREVENCIÓN DE LA ENFERMEDAD"/>
    <s v="73 BIENES Y SERVICIOS PARA INVERSIÓN"/>
    <s v="730804 Materiales de Oficina"/>
    <s v="G/730804/1MM103"/>
    <s v="001"/>
    <n v="6000"/>
    <n v="3200"/>
    <n v="0"/>
    <n v="9200"/>
    <n v="3583.36"/>
    <n v="5513.24"/>
    <n v="5513.24"/>
    <n v="3686.76"/>
    <n v="3686.76"/>
    <n v="103.4"/>
  </r>
  <r>
    <s v="73"/>
    <x v="1"/>
    <x v="3"/>
    <s v="US33M030"/>
    <x v="8"/>
    <s v="M103"/>
    <s v="SALUD AL DIA"/>
    <s v="GI00M10300006D"/>
    <s v="GI00M10300006D ATENCIÓN Y PREVENCIÓN DE LA ENFERMEDAD"/>
    <s v="73 BIENES Y SERVICIOS PARA INVERSIÓN"/>
    <s v="730805 Materiales de Aseo"/>
    <s v="G/730805/1MM103"/>
    <s v="001"/>
    <n v="0"/>
    <n v="10383.049999999999"/>
    <n v="0"/>
    <n v="10383.049999999999"/>
    <n v="0"/>
    <n v="3959.29"/>
    <n v="961.35"/>
    <n v="6423.76"/>
    <n v="9421.7000000000007"/>
    <n v="6423.76"/>
  </r>
  <r>
    <s v="73"/>
    <x v="1"/>
    <x v="3"/>
    <s v="UC32M020"/>
    <x v="7"/>
    <s v="M103"/>
    <s v="SALUD AL DIA"/>
    <s v="GI00M10300006D"/>
    <s v="GI00M10300006D ATENCIÓN Y PREVENCIÓN DE LA ENFERMEDAD"/>
    <s v="73 BIENES Y SERVICIOS PARA INVERSIÓN"/>
    <s v="730805 Materiales de Aseo"/>
    <s v="G/730805/1MM103"/>
    <s v="001"/>
    <n v="15000"/>
    <n v="7000"/>
    <n v="0"/>
    <n v="22000"/>
    <n v="5231.05"/>
    <n v="14611.49"/>
    <n v="14611.49"/>
    <n v="7388.51"/>
    <n v="7388.51"/>
    <n v="2157.46"/>
  </r>
  <r>
    <s v="73"/>
    <x v="1"/>
    <x v="3"/>
    <s v="UN31M010"/>
    <x v="11"/>
    <s v="M103"/>
    <s v="SALUD AL DIA"/>
    <s v="GI00M10300006D"/>
    <s v="GI00M10300006D ATENCIÓN Y PREVENCIÓN DE LA ENFERMEDAD"/>
    <s v="73 BIENES Y SERVICIOS PARA INVERSIÓN"/>
    <s v="730807 Materiales de Impresión, Fotografía, Rep"/>
    <s v="G/730807/1MM103"/>
    <s v="001"/>
    <n v="4000"/>
    <n v="0"/>
    <n v="0"/>
    <n v="4000"/>
    <n v="0"/>
    <n v="0"/>
    <n v="0"/>
    <n v="4000"/>
    <n v="4000"/>
    <n v="4000"/>
  </r>
  <r>
    <s v="73"/>
    <x v="1"/>
    <x v="3"/>
    <s v="UC32M020"/>
    <x v="7"/>
    <s v="M103"/>
    <s v="SALUD AL DIA"/>
    <s v="GI00M10300006D"/>
    <s v="GI00M10300006D ATENCIÓN Y PREVENCIÓN DE LA ENFERMEDAD"/>
    <s v="73 BIENES Y SERVICIOS PARA INVERSIÓN"/>
    <s v="730807 Materiales de Impresión, Fotografía, Rep"/>
    <s v="G/730807/1MM103"/>
    <s v="001"/>
    <n v="20000"/>
    <n v="-6700"/>
    <n v="0"/>
    <n v="13300"/>
    <n v="0"/>
    <n v="0"/>
    <n v="0"/>
    <n v="13300"/>
    <n v="13300"/>
    <n v="13300"/>
  </r>
  <r>
    <s v="73"/>
    <x v="1"/>
    <x v="3"/>
    <s v="US33M030"/>
    <x v="8"/>
    <s v="M103"/>
    <s v="SALUD AL DIA"/>
    <s v="GI00M10300006D"/>
    <s v="GI00M10300006D ATENCIÓN Y PREVENCIÓN DE LA ENFERMEDAD"/>
    <s v="73 BIENES Y SERVICIOS PARA INVERSIÓN"/>
    <s v="730808 Instrumental Médico Quirúrgico"/>
    <s v="G/730808/1MM103"/>
    <s v="001"/>
    <n v="6872"/>
    <n v="-6872"/>
    <n v="0"/>
    <n v="0"/>
    <n v="0"/>
    <n v="0"/>
    <n v="0"/>
    <n v="0"/>
    <n v="0"/>
    <n v="0"/>
  </r>
  <r>
    <s v="73"/>
    <x v="1"/>
    <x v="3"/>
    <s v="UN31M010"/>
    <x v="11"/>
    <s v="M103"/>
    <s v="SALUD AL DIA"/>
    <s v="GI00M10300006D"/>
    <s v="GI00M10300006D ATENCIÓN Y PREVENCIÓN DE LA ENFERMEDAD"/>
    <s v="73 BIENES Y SERVICIOS PARA INVERSIÓN"/>
    <s v="730809 Medicamentos"/>
    <s v="G/730809/1MM103"/>
    <s v="001"/>
    <n v="130998.14"/>
    <n v="-44056.01"/>
    <n v="0"/>
    <n v="86942.13"/>
    <n v="2284.7199999999998"/>
    <n v="17578.79"/>
    <n v="8207.86"/>
    <n v="69363.34"/>
    <n v="78734.27"/>
    <n v="67078.62"/>
  </r>
  <r>
    <s v="73"/>
    <x v="1"/>
    <x v="3"/>
    <s v="US33M030"/>
    <x v="8"/>
    <s v="M103"/>
    <s v="SALUD AL DIA"/>
    <s v="GI00M10300006D"/>
    <s v="GI00M10300006D ATENCIÓN Y PREVENCIÓN DE LA ENFERMEDAD"/>
    <s v="73 BIENES Y SERVICIOS PARA INVERSIÓN"/>
    <s v="730809 Medicamentos"/>
    <s v="G/730809/1MM103"/>
    <s v="001"/>
    <n v="70000"/>
    <n v="272960"/>
    <n v="0"/>
    <n v="342960"/>
    <n v="0"/>
    <n v="301011.01"/>
    <n v="97131.9"/>
    <n v="41948.99"/>
    <n v="245828.1"/>
    <n v="41948.99"/>
  </r>
  <r>
    <s v="73"/>
    <x v="1"/>
    <x v="3"/>
    <s v="UC32M020"/>
    <x v="7"/>
    <s v="M103"/>
    <s v="SALUD AL DIA"/>
    <s v="GI00M10300006D"/>
    <s v="GI00M10300006D ATENCIÓN Y PREVENCIÓN DE LA ENFERMEDAD"/>
    <s v="73 BIENES Y SERVICIOS PARA INVERSIÓN"/>
    <s v="730809 Medicamentos"/>
    <s v="G/730809/1MM103"/>
    <s v="001"/>
    <n v="60000"/>
    <n v="-28903.439999999999"/>
    <n v="0"/>
    <n v="31096.560000000001"/>
    <n v="672.81"/>
    <n v="15034.4"/>
    <n v="15034.4"/>
    <n v="16062.16"/>
    <n v="16062.16"/>
    <n v="15389.35"/>
  </r>
  <r>
    <s v="73"/>
    <x v="1"/>
    <x v="3"/>
    <s v="US33M030"/>
    <x v="8"/>
    <s v="M103"/>
    <s v="SALUD AL DIA"/>
    <s v="GI00M10300006D"/>
    <s v="GI00M10300006D ATENCIÓN Y PREVENCIÓN DE LA ENFERMEDAD"/>
    <s v="73 BIENES Y SERVICIOS PARA INVERSIÓN"/>
    <s v="730810 Dispositivos Médicos para Laboratorio Cl"/>
    <s v="G/730810/1MM103"/>
    <s v="001"/>
    <n v="140000"/>
    <n v="180000"/>
    <n v="0"/>
    <n v="320000"/>
    <n v="132053.16"/>
    <n v="21145.599999999999"/>
    <n v="21145.599999999999"/>
    <n v="298854.40000000002"/>
    <n v="298854.40000000002"/>
    <n v="166801.24"/>
  </r>
  <r>
    <s v="73"/>
    <x v="1"/>
    <x v="3"/>
    <s v="UN31M010"/>
    <x v="11"/>
    <s v="M103"/>
    <s v="SALUD AL DIA"/>
    <s v="GI00M10300006D"/>
    <s v="GI00M10300006D ATENCIÓN Y PREVENCIÓN DE LA ENFERMEDAD"/>
    <s v="73 BIENES Y SERVICIOS PARA INVERSIÓN"/>
    <s v="730810 Dispositivos Médicos para Laboratorio Cl"/>
    <s v="G/730810/1MM103"/>
    <s v="001"/>
    <n v="193316.22"/>
    <n v="0"/>
    <n v="0"/>
    <n v="193316.22"/>
    <n v="0"/>
    <n v="32782.43"/>
    <n v="32782.43"/>
    <n v="160533.79"/>
    <n v="160533.79"/>
    <n v="160533.79"/>
  </r>
  <r>
    <s v="73"/>
    <x v="1"/>
    <x v="3"/>
    <s v="UC32M020"/>
    <x v="7"/>
    <s v="M103"/>
    <s v="SALUD AL DIA"/>
    <s v="GI00M10300006D"/>
    <s v="GI00M10300006D ATENCIÓN Y PREVENCIÓN DE LA ENFERMEDAD"/>
    <s v="73 BIENES Y SERVICIOS PARA INVERSIÓN"/>
    <s v="730810 Dispositivos Médicos para Laboratorio Cl"/>
    <s v="G/730810/1MM103"/>
    <s v="001"/>
    <n v="115000"/>
    <n v="-53900"/>
    <n v="0"/>
    <n v="61100"/>
    <n v="426.72"/>
    <n v="14522.85"/>
    <n v="14522.85"/>
    <n v="46577.15"/>
    <n v="46577.15"/>
    <n v="46150.43"/>
  </r>
  <r>
    <s v="73"/>
    <x v="1"/>
    <x v="3"/>
    <s v="UC32M020"/>
    <x v="7"/>
    <s v="M103"/>
    <s v="SALUD AL DIA"/>
    <s v="GI00M10300006D"/>
    <s v="GI00M10300006D ATENCIÓN Y PREVENCIÓN DE LA ENFERMEDAD"/>
    <s v="73 BIENES Y SERVICIOS PARA INVERSIÓN"/>
    <s v="730811 Insumos, Materiales y Suministros para Cons"/>
    <s v="G/730811/1MM103"/>
    <s v="001"/>
    <n v="2000"/>
    <n v="0"/>
    <n v="0"/>
    <n v="2000"/>
    <n v="580.34"/>
    <n v="0"/>
    <n v="0"/>
    <n v="2000"/>
    <n v="2000"/>
    <n v="1419.66"/>
  </r>
  <r>
    <s v="73"/>
    <x v="1"/>
    <x v="3"/>
    <s v="UN31M010"/>
    <x v="11"/>
    <s v="M103"/>
    <s v="SALUD AL DIA"/>
    <s v="GI00M10300006D"/>
    <s v="GI00M10300006D ATENCIÓN Y PREVENCIÓN DE LA ENFERMEDAD"/>
    <s v="73 BIENES Y SERVICIOS PARA INVERSIÓN"/>
    <s v="730812 Materiales Didácticos"/>
    <s v="G/730812/1MM103"/>
    <s v="001"/>
    <n v="11352.41"/>
    <n v="-11352.41"/>
    <n v="0"/>
    <n v="0"/>
    <n v="0"/>
    <n v="0"/>
    <n v="0"/>
    <n v="0"/>
    <n v="0"/>
    <n v="0"/>
  </r>
  <r>
    <s v="73"/>
    <x v="1"/>
    <x v="3"/>
    <s v="UN31M010"/>
    <x v="11"/>
    <s v="M103"/>
    <s v="SALUD AL DIA"/>
    <s v="GI00M10300006D"/>
    <s v="GI00M10300006D ATENCIÓN Y PREVENCIÓN DE LA ENFERMEDAD"/>
    <s v="73 BIENES Y SERVICIOS PARA INVERSIÓN"/>
    <s v="730813 Repuestos y Accesorios"/>
    <s v="G/730813/1MM103"/>
    <s v="001"/>
    <n v="40000"/>
    <n v="6068.15"/>
    <n v="0"/>
    <n v="46068.15"/>
    <n v="9842.4599999999991"/>
    <n v="6012.16"/>
    <n v="6012.16"/>
    <n v="40055.99"/>
    <n v="40055.99"/>
    <n v="30213.53"/>
  </r>
  <r>
    <s v="73"/>
    <x v="1"/>
    <x v="3"/>
    <s v="UC32M020"/>
    <x v="7"/>
    <s v="M103"/>
    <s v="SALUD AL DIA"/>
    <s v="GI00M10300006D"/>
    <s v="GI00M10300006D ATENCIÓN Y PREVENCIÓN DE LA ENFERMEDAD"/>
    <s v="73 BIENES Y SERVICIOS PARA INVERSIÓN"/>
    <s v="730813 Repuestos y Accesorios"/>
    <s v="G/730813/1MM103"/>
    <s v="001"/>
    <n v="18000"/>
    <n v="0"/>
    <n v="0"/>
    <n v="18000"/>
    <n v="0"/>
    <n v="0"/>
    <n v="0"/>
    <n v="18000"/>
    <n v="18000"/>
    <n v="18000"/>
  </r>
  <r>
    <s v="73"/>
    <x v="1"/>
    <x v="3"/>
    <s v="US33M030"/>
    <x v="8"/>
    <s v="M103"/>
    <s v="SALUD AL DIA"/>
    <s v="GI00M10300006D"/>
    <s v="GI00M10300006D ATENCIÓN Y PREVENCIÓN DE LA ENFERMEDAD"/>
    <s v="73 BIENES Y SERVICIOS PARA INVERSIÓN"/>
    <s v="730813 Repuestos y Accesorios"/>
    <s v="G/730813/1MM103"/>
    <s v="001"/>
    <n v="0"/>
    <n v="20000"/>
    <n v="0"/>
    <n v="20000"/>
    <n v="0"/>
    <n v="14067.74"/>
    <n v="14000"/>
    <n v="5932.26"/>
    <n v="6000"/>
    <n v="5932.26"/>
  </r>
  <r>
    <s v="73"/>
    <x v="1"/>
    <x v="3"/>
    <s v="US33M030"/>
    <x v="8"/>
    <s v="M103"/>
    <s v="SALUD AL DIA"/>
    <s v="GI00M10300006D"/>
    <s v="GI00M10300006D ATENCIÓN Y PREVENCIÓN DE LA ENFERMEDAD"/>
    <s v="73 BIENES Y SERVICIOS PARA INVERSIÓN"/>
    <s v="730820 Menaje y Accesorios Descartables"/>
    <s v="G/730820/1MM103"/>
    <s v="001"/>
    <n v="0"/>
    <n v="67550.8"/>
    <n v="0"/>
    <n v="67550.8"/>
    <n v="0"/>
    <n v="66550.8"/>
    <n v="66550.8"/>
    <n v="1000"/>
    <n v="1000"/>
    <n v="1000"/>
  </r>
  <r>
    <s v="73"/>
    <x v="1"/>
    <x v="3"/>
    <s v="UC32M020"/>
    <x v="7"/>
    <s v="M103"/>
    <s v="SALUD AL DIA"/>
    <s v="GI00M10300006D"/>
    <s v="GI00M10300006D ATENCIÓN Y PREVENCIÓN DE LA ENFERMEDAD"/>
    <s v="73 BIENES Y SERVICIOS PARA INVERSIÓN"/>
    <s v="730820 Menaje y Accesorios Descartables"/>
    <s v="G/730820/1MM103"/>
    <s v="001"/>
    <n v="0"/>
    <n v="6100"/>
    <n v="0"/>
    <n v="6100"/>
    <n v="4141.76"/>
    <n v="1877.21"/>
    <n v="1877.21"/>
    <n v="4222.79"/>
    <n v="4222.79"/>
    <n v="81.03"/>
  </r>
  <r>
    <s v="73"/>
    <x v="1"/>
    <x v="3"/>
    <s v="UC32M020"/>
    <x v="7"/>
    <s v="M103"/>
    <s v="SALUD AL DIA"/>
    <s v="GI00M10300006D"/>
    <s v="GI00M10300006D ATENCIÓN Y PREVENCIÓN DE LA ENFERMEDAD"/>
    <s v="73 BIENES Y SERVICIOS PARA INVERSIÓN"/>
    <s v="730826 Dispositivos Médicos de Uso General"/>
    <s v="G/730826/1MM103"/>
    <s v="001"/>
    <n v="33000"/>
    <n v="223460"/>
    <n v="0"/>
    <n v="256460"/>
    <n v="40427.42"/>
    <n v="37121.360000000001"/>
    <n v="37121.360000000001"/>
    <n v="219338.64"/>
    <n v="219338.64"/>
    <n v="178911.22"/>
  </r>
  <r>
    <s v="73"/>
    <x v="1"/>
    <x v="3"/>
    <s v="UN31M010"/>
    <x v="11"/>
    <s v="M103"/>
    <s v="SALUD AL DIA"/>
    <s v="GI00M10300006D"/>
    <s v="GI00M10300006D ATENCIÓN Y PREVENCIÓN DE LA ENFERMEDAD"/>
    <s v="73 BIENES Y SERVICIOS PARA INVERSIÓN"/>
    <s v="730826 Dispositivos Médicos de Uso General"/>
    <s v="G/730826/1MM103"/>
    <s v="001"/>
    <n v="230000"/>
    <n v="233947.11"/>
    <n v="0"/>
    <n v="463947.11"/>
    <n v="1203.51"/>
    <n v="19055.52"/>
    <n v="17269.95"/>
    <n v="444891.59"/>
    <n v="446677.16"/>
    <n v="443688.08"/>
  </r>
  <r>
    <s v="73"/>
    <x v="1"/>
    <x v="3"/>
    <s v="US33M030"/>
    <x v="8"/>
    <s v="M103"/>
    <s v="SALUD AL DIA"/>
    <s v="GI00M10300006D"/>
    <s v="GI00M10300006D ATENCIÓN Y PREVENCIÓN DE LA ENFERMEDAD"/>
    <s v="73 BIENES Y SERVICIOS PARA INVERSIÓN"/>
    <s v="730826 Dispositivos Médicos de Uso General"/>
    <s v="G/730826/1MM103"/>
    <s v="001"/>
    <n v="100000"/>
    <n v="575078.66"/>
    <n v="0"/>
    <n v="675078.66"/>
    <n v="111937.16"/>
    <n v="549859.36"/>
    <n v="493822.24"/>
    <n v="125219.3"/>
    <n v="181256.42"/>
    <n v="13282.14"/>
  </r>
  <r>
    <s v="73"/>
    <x v="1"/>
    <x v="3"/>
    <s v="UC32M020"/>
    <x v="7"/>
    <s v="M103"/>
    <s v="SALUD AL DIA"/>
    <s v="GI00M10300006D"/>
    <s v="GI00M10300006D ATENCIÓN Y PREVENCIÓN DE LA ENFERMEDAD"/>
    <s v="73 BIENES Y SERVICIOS PARA INVERSIÓN"/>
    <s v="730832 Dispositivos Médicos para Odontología"/>
    <s v="G/730832/1MM103"/>
    <s v="001"/>
    <n v="40000"/>
    <n v="-12700"/>
    <n v="0"/>
    <n v="27300"/>
    <n v="0"/>
    <n v="0"/>
    <n v="0"/>
    <n v="27300"/>
    <n v="27300"/>
    <n v="27300"/>
  </r>
  <r>
    <s v="73"/>
    <x v="1"/>
    <x v="3"/>
    <s v="UN31M010"/>
    <x v="11"/>
    <s v="M103"/>
    <s v="SALUD AL DIA"/>
    <s v="GI00M10300006D"/>
    <s v="GI00M10300006D ATENCIÓN Y PREVENCIÓN DE LA ENFERMEDAD"/>
    <s v="73 BIENES Y SERVICIOS PARA INVERSIÓN"/>
    <s v="730832 Dispositivos Médicos para Odontología"/>
    <s v="G/730832/1MM103"/>
    <s v="001"/>
    <n v="37000"/>
    <n v="-13000"/>
    <n v="0"/>
    <n v="24000"/>
    <n v="0"/>
    <n v="0"/>
    <n v="0"/>
    <n v="24000"/>
    <n v="24000"/>
    <n v="24000"/>
  </r>
  <r>
    <s v="73"/>
    <x v="1"/>
    <x v="3"/>
    <s v="US33M030"/>
    <x v="8"/>
    <s v="M103"/>
    <s v="SALUD AL DIA"/>
    <s v="GI00M10300006D"/>
    <s v="GI00M10300006D ATENCIÓN Y PREVENCIÓN DE LA ENFERMEDAD"/>
    <s v="73 BIENES Y SERVICIOS PARA INVERSIÓN"/>
    <s v="730832 Dispositivos Médicos para Odontología"/>
    <s v="G/730832/1MM103"/>
    <s v="001"/>
    <n v="36000"/>
    <n v="-27526.35"/>
    <n v="0"/>
    <n v="8473.65"/>
    <n v="0"/>
    <n v="0"/>
    <n v="0"/>
    <n v="8473.65"/>
    <n v="8473.65"/>
    <n v="8473.65"/>
  </r>
  <r>
    <s v="73"/>
    <x v="1"/>
    <x v="3"/>
    <s v="US33M030"/>
    <x v="8"/>
    <s v="M103"/>
    <s v="SALUD AL DIA"/>
    <s v="GI00M10300006D"/>
    <s v="GI00M10300006D ATENCIÓN Y PREVENCIÓN DE LA ENFERMEDAD"/>
    <s v="73 BIENES Y SERVICIOS PARA INVERSIÓN"/>
    <s v="731403 Mobiliarios"/>
    <s v="G/731403/1MM103"/>
    <s v="001"/>
    <n v="0"/>
    <n v="7770"/>
    <n v="0"/>
    <n v="7770"/>
    <n v="0"/>
    <n v="7770"/>
    <n v="7770"/>
    <n v="0"/>
    <n v="0"/>
    <n v="0"/>
  </r>
  <r>
    <s v="73"/>
    <x v="1"/>
    <x v="3"/>
    <s v="UC32M020"/>
    <x v="7"/>
    <s v="M103"/>
    <s v="SALUD AL DIA"/>
    <s v="GI00M10300006D"/>
    <s v="GI00M10300006D ATENCIÓN Y PREVENCIÓN DE LA ENFERMEDAD"/>
    <s v="73 BIENES Y SERVICIOS PARA INVERSIÓN"/>
    <s v="731403 Mobiliarios"/>
    <s v="G/731403/1MM103"/>
    <s v="001"/>
    <n v="0"/>
    <n v="2000"/>
    <n v="0"/>
    <n v="2000"/>
    <n v="0"/>
    <n v="0"/>
    <n v="0"/>
    <n v="2000"/>
    <n v="2000"/>
    <n v="2000"/>
  </r>
  <r>
    <s v="73"/>
    <x v="1"/>
    <x v="3"/>
    <s v="US33M030"/>
    <x v="8"/>
    <s v="M103"/>
    <s v="SALUD AL DIA"/>
    <s v="GI00M10300006D"/>
    <s v="GI00M10300006D ATENCIÓN Y PREVENCIÓN DE LA ENFERMEDAD"/>
    <s v="73 BIENES Y SERVICIOS PARA INVERSIÓN"/>
    <s v="731404 Maquinarias y Equipos"/>
    <s v="G/731404/1MM103"/>
    <s v="001"/>
    <n v="0"/>
    <n v="10584"/>
    <n v="0"/>
    <n v="10584"/>
    <n v="0"/>
    <n v="10584"/>
    <n v="10584"/>
    <n v="0"/>
    <n v="0"/>
    <n v="0"/>
  </r>
  <r>
    <s v="73"/>
    <x v="1"/>
    <x v="3"/>
    <s v="UC32M020"/>
    <x v="7"/>
    <s v="M103"/>
    <s v="SALUD AL DIA"/>
    <s v="GI00M10300006D"/>
    <s v="GI00M10300006D ATENCIÓN Y PREVENCIÓN DE LA ENFERMEDAD"/>
    <s v="73 BIENES Y SERVICIOS PARA INVERSIÓN"/>
    <s v="731404 Maquinarias y Equipos"/>
    <s v="G/731404/1MM103"/>
    <s v="001"/>
    <n v="4000"/>
    <n v="5100"/>
    <n v="0"/>
    <n v="9100"/>
    <n v="0"/>
    <n v="211.68"/>
    <n v="211.68"/>
    <n v="8888.32"/>
    <n v="8888.32"/>
    <n v="8888.32"/>
  </r>
  <r>
    <s v="73"/>
    <x v="1"/>
    <x v="3"/>
    <s v="UN31M010"/>
    <x v="11"/>
    <s v="M103"/>
    <s v="SALUD AL DIA"/>
    <s v="GI00M10300007D"/>
    <s v="GI00M10300007D PREVENCION INTEGRAL DE ADICCIONES"/>
    <s v="73 BIENES Y SERVICIOS PARA INVERSIÓN"/>
    <s v="730101 Agua Potable"/>
    <s v="G/730101/1MM103"/>
    <s v="001"/>
    <n v="0"/>
    <n v="3000"/>
    <n v="0"/>
    <n v="3000"/>
    <n v="0"/>
    <n v="3000"/>
    <n v="179.98"/>
    <n v="0"/>
    <n v="2820.02"/>
    <n v="0"/>
  </r>
  <r>
    <s v="73"/>
    <x v="1"/>
    <x v="3"/>
    <s v="UN31M010"/>
    <x v="11"/>
    <s v="M103"/>
    <s v="SALUD AL DIA"/>
    <s v="GI00M10300007D"/>
    <s v="GI00M10300007D PREVENCION INTEGRAL DE ADICCIONES"/>
    <s v="73 BIENES Y SERVICIOS PARA INVERSIÓN"/>
    <s v="730104 Energía Eléctrica"/>
    <s v="G/730104/1MM103"/>
    <s v="001"/>
    <n v="0"/>
    <n v="25000"/>
    <n v="0"/>
    <n v="25000"/>
    <n v="0"/>
    <n v="25000"/>
    <n v="3423.28"/>
    <n v="0"/>
    <n v="21576.720000000001"/>
    <n v="0"/>
  </r>
  <r>
    <s v="73"/>
    <x v="1"/>
    <x v="3"/>
    <s v="UN31M010"/>
    <x v="11"/>
    <s v="M103"/>
    <s v="SALUD AL DIA"/>
    <s v="GI00M10300007D"/>
    <s v="GI00M10300007D PREVENCION INTEGRAL DE ADICCIONES"/>
    <s v="73 BIENES Y SERVICIOS PARA INVERSIÓN"/>
    <s v="730105 Telecomunicaciones"/>
    <s v="G/730105/1MM103"/>
    <s v="001"/>
    <n v="0"/>
    <n v="22000"/>
    <n v="0"/>
    <n v="22000"/>
    <n v="0"/>
    <n v="22000"/>
    <n v="0"/>
    <n v="0"/>
    <n v="22000"/>
    <n v="0"/>
  </r>
  <r>
    <s v="73"/>
    <x v="1"/>
    <x v="3"/>
    <s v="UN31M010"/>
    <x v="11"/>
    <s v="M103"/>
    <s v="SALUD AL DIA"/>
    <s v="GI00M10300007D"/>
    <s v="GI00M10300007D PREVENCION INTEGRAL DE ADICCIONES"/>
    <s v="73 BIENES Y SERVICIOS PARA INVERSIÓN"/>
    <s v="730202 Fletes y Maniobras"/>
    <s v="G/730202/1MM103"/>
    <s v="001"/>
    <n v="6500"/>
    <n v="-6500"/>
    <n v="0"/>
    <n v="0"/>
    <n v="0"/>
    <n v="0"/>
    <n v="0"/>
    <n v="0"/>
    <n v="0"/>
    <n v="0"/>
  </r>
  <r>
    <s v="73"/>
    <x v="1"/>
    <x v="3"/>
    <s v="UN31M010"/>
    <x v="11"/>
    <s v="M103"/>
    <s v="SALUD AL DIA"/>
    <s v="GI00M10300007D"/>
    <s v="GI00M10300007D PREVENCION INTEGRAL DE ADICCIONES"/>
    <s v="73 BIENES Y SERVICIOS PARA INVERSIÓN"/>
    <s v="730204 Edición, Impresión, Reproducción, Public"/>
    <s v="G/730204/1MM103"/>
    <s v="001"/>
    <n v="105000"/>
    <n v="-105000"/>
    <n v="0"/>
    <n v="0"/>
    <n v="0"/>
    <n v="0"/>
    <n v="0"/>
    <n v="0"/>
    <n v="0"/>
    <n v="0"/>
  </r>
  <r>
    <s v="73"/>
    <x v="1"/>
    <x v="3"/>
    <s v="UN31M010"/>
    <x v="11"/>
    <s v="M103"/>
    <s v="SALUD AL DIA"/>
    <s v="GI00M10300007D"/>
    <s v="GI00M10300007D PREVENCION INTEGRAL DE ADICCIONES"/>
    <s v="73 BIENES Y SERVICIOS PARA INVERSIÓN"/>
    <s v="730205 Espectáculos Culturales y Sociales"/>
    <s v="G/730205/1MM103"/>
    <s v="001"/>
    <n v="95000"/>
    <n v="-20000"/>
    <n v="0"/>
    <n v="75000"/>
    <n v="0"/>
    <n v="0"/>
    <n v="0"/>
    <n v="75000"/>
    <n v="75000"/>
    <n v="75000"/>
  </r>
  <r>
    <s v="73"/>
    <x v="1"/>
    <x v="3"/>
    <s v="UN31M010"/>
    <x v="11"/>
    <s v="M103"/>
    <s v="SALUD AL DIA"/>
    <s v="GI00M10300007D"/>
    <s v="GI00M10300007D PREVENCION INTEGRAL DE ADICCIONES"/>
    <s v="73 BIENES Y SERVICIOS PARA INVERSIÓN"/>
    <s v="730207 Difusión, Información y Publicidad"/>
    <s v="G/730207/1MM103"/>
    <s v="001"/>
    <n v="80000"/>
    <n v="-60000"/>
    <n v="0"/>
    <n v="20000"/>
    <n v="0"/>
    <n v="0"/>
    <n v="0"/>
    <n v="20000"/>
    <n v="20000"/>
    <n v="20000"/>
  </r>
  <r>
    <s v="73"/>
    <x v="1"/>
    <x v="3"/>
    <s v="UN31M010"/>
    <x v="11"/>
    <s v="M103"/>
    <s v="SALUD AL DIA"/>
    <s v="GI00M10300007D"/>
    <s v="GI00M10300007D PREVENCION INTEGRAL DE ADICCIONES"/>
    <s v="73 BIENES Y SERVICIOS PARA INVERSIÓN"/>
    <s v="730208 Servicio de Seguridad y Vigilancia"/>
    <s v="G/730208/1MM103"/>
    <s v="001"/>
    <n v="54000"/>
    <n v="51800"/>
    <n v="0"/>
    <n v="105800"/>
    <n v="0"/>
    <n v="31352.560000000001"/>
    <n v="15676.28"/>
    <n v="74447.44"/>
    <n v="90123.72"/>
    <n v="74447.44"/>
  </r>
  <r>
    <s v="73"/>
    <x v="1"/>
    <x v="3"/>
    <s v="UN31M010"/>
    <x v="11"/>
    <s v="M103"/>
    <s v="SALUD AL DIA"/>
    <s v="GI00M10300007D"/>
    <s v="GI00M10300007D PREVENCION INTEGRAL DE ADICCIONES"/>
    <s v="73 BIENES Y SERVICIOS PARA INVERSIÓN"/>
    <s v="730248 Eventos Oficiales"/>
    <s v="G/730248/1MM103"/>
    <s v="001"/>
    <n v="20000"/>
    <n v="50000"/>
    <n v="0"/>
    <n v="70000"/>
    <n v="0"/>
    <n v="0"/>
    <n v="0"/>
    <n v="70000"/>
    <n v="70000"/>
    <n v="70000"/>
  </r>
  <r>
    <s v="73"/>
    <x v="1"/>
    <x v="3"/>
    <s v="UN31M010"/>
    <x v="11"/>
    <s v="M103"/>
    <s v="SALUD AL DIA"/>
    <s v="GI00M10300007D"/>
    <s v="GI00M10300007D PREVENCION INTEGRAL DE ADICCIONES"/>
    <s v="73 BIENES Y SERVICIOS PARA INVERSIÓN"/>
    <s v="730249 Eventos Públicos Promocionales"/>
    <s v="G/730249/1MM103"/>
    <s v="001"/>
    <n v="115000"/>
    <n v="-15000"/>
    <n v="0"/>
    <n v="100000"/>
    <n v="0"/>
    <n v="0"/>
    <n v="0"/>
    <n v="100000"/>
    <n v="100000"/>
    <n v="100000"/>
  </r>
  <r>
    <s v="73"/>
    <x v="1"/>
    <x v="3"/>
    <s v="UN31M010"/>
    <x v="11"/>
    <s v="M103"/>
    <s v="SALUD AL DIA"/>
    <s v="GI00M10300007D"/>
    <s v="GI00M10300007D PREVENCION INTEGRAL DE ADICCIONES"/>
    <s v="73 BIENES Y SERVICIOS PARA INVERSIÓN"/>
    <s v="730402 Edificios, Locales, Residencias y Cablea"/>
    <s v="G/730402/1MM103"/>
    <s v="001"/>
    <n v="0"/>
    <n v="50000"/>
    <n v="0"/>
    <n v="50000"/>
    <n v="0"/>
    <n v="23816.57"/>
    <n v="0"/>
    <n v="26183.43"/>
    <n v="50000"/>
    <n v="26183.43"/>
  </r>
  <r>
    <s v="73"/>
    <x v="1"/>
    <x v="3"/>
    <s v="UN31M010"/>
    <x v="11"/>
    <s v="M103"/>
    <s v="SALUD AL DIA"/>
    <s v="GI00M10300007D"/>
    <s v="GI00M10300007D PREVENCION INTEGRAL DE ADICCIONES"/>
    <s v="73 BIENES Y SERVICIOS PARA INVERSIÓN"/>
    <s v="730417 Infraestructura"/>
    <s v="G/730417/1MM103"/>
    <s v="001"/>
    <n v="270000"/>
    <n v="-100000"/>
    <n v="0"/>
    <n v="170000"/>
    <n v="0"/>
    <n v="0"/>
    <n v="0"/>
    <n v="170000"/>
    <n v="170000"/>
    <n v="170000"/>
  </r>
  <r>
    <s v="73"/>
    <x v="1"/>
    <x v="3"/>
    <s v="UN31M010"/>
    <x v="11"/>
    <s v="M103"/>
    <s v="SALUD AL DIA"/>
    <s v="GI00M10300007D"/>
    <s v="GI00M10300007D PREVENCION INTEGRAL DE ADICCIONES"/>
    <s v="73 BIENES Y SERVICIOS PARA INVERSIÓN"/>
    <s v="730418 Mantenimiento de Áreas Verdes y Arreglo"/>
    <s v="G/730418/1MM103"/>
    <s v="001"/>
    <n v="0"/>
    <n v="1000"/>
    <n v="0"/>
    <n v="1000"/>
    <n v="0"/>
    <n v="0"/>
    <n v="0"/>
    <n v="1000"/>
    <n v="1000"/>
    <n v="1000"/>
  </r>
  <r>
    <s v="73"/>
    <x v="1"/>
    <x v="3"/>
    <s v="UN31M010"/>
    <x v="11"/>
    <s v="M103"/>
    <s v="SALUD AL DIA"/>
    <s v="GI00M10300007D"/>
    <s v="GI00M10300007D PREVENCION INTEGRAL DE ADICCIONES"/>
    <s v="73 BIENES Y SERVICIOS PARA INVERSIÓN"/>
    <s v="730612 Capacitación a Servidores Públicos"/>
    <s v="G/730612/1MM103"/>
    <s v="001"/>
    <n v="105000"/>
    <n v="-55000"/>
    <n v="0"/>
    <n v="50000"/>
    <n v="0"/>
    <n v="0"/>
    <n v="0"/>
    <n v="50000"/>
    <n v="50000"/>
    <n v="50000"/>
  </r>
  <r>
    <s v="73"/>
    <x v="1"/>
    <x v="3"/>
    <s v="UN31M010"/>
    <x v="11"/>
    <s v="M103"/>
    <s v="SALUD AL DIA"/>
    <s v="GI00M10300007D"/>
    <s v="GI00M10300007D PREVENCION INTEGRAL DE ADICCIONES"/>
    <s v="73 BIENES Y SERVICIOS PARA INVERSIÓN"/>
    <s v="730613 Capacitación para la Ciudadanía en Gener"/>
    <s v="G/730613/1MM103"/>
    <s v="001"/>
    <n v="120000"/>
    <n v="-87400"/>
    <n v="0"/>
    <n v="32600"/>
    <n v="0"/>
    <n v="0"/>
    <n v="0"/>
    <n v="32600"/>
    <n v="32600"/>
    <n v="32600"/>
  </r>
  <r>
    <s v="73"/>
    <x v="1"/>
    <x v="3"/>
    <s v="UN31M010"/>
    <x v="11"/>
    <s v="M103"/>
    <s v="SALUD AL DIA"/>
    <s v="GI00M10300007D"/>
    <s v="GI00M10300007D PREVENCION INTEGRAL DE ADICCIONES"/>
    <s v="73 BIENES Y SERVICIOS PARA INVERSIÓN"/>
    <s v="730804 Materiales de Oficina"/>
    <s v="G/730804/1MM103"/>
    <s v="001"/>
    <n v="10000"/>
    <n v="8800"/>
    <n v="0"/>
    <n v="18800"/>
    <n v="0"/>
    <n v="0"/>
    <n v="0"/>
    <n v="18800"/>
    <n v="18800"/>
    <n v="18800"/>
  </r>
  <r>
    <s v="73"/>
    <x v="1"/>
    <x v="3"/>
    <s v="UN31M010"/>
    <x v="11"/>
    <s v="M103"/>
    <s v="SALUD AL DIA"/>
    <s v="GI00M10300007D"/>
    <s v="GI00M10300007D PREVENCION INTEGRAL DE ADICCIONES"/>
    <s v="73 BIENES Y SERVICIOS PARA INVERSIÓN"/>
    <s v="730805 Materiales de Aseo"/>
    <s v="G/730805/1MM103"/>
    <s v="001"/>
    <n v="1750"/>
    <n v="-858.09"/>
    <n v="0"/>
    <n v="891.91"/>
    <n v="0"/>
    <n v="0"/>
    <n v="0"/>
    <n v="891.91"/>
    <n v="891.91"/>
    <n v="891.91"/>
  </r>
  <r>
    <s v="73"/>
    <x v="1"/>
    <x v="3"/>
    <s v="UN31M010"/>
    <x v="11"/>
    <s v="M103"/>
    <s v="SALUD AL DIA"/>
    <s v="GI00M10300007D"/>
    <s v="GI00M10300007D PREVENCION INTEGRAL DE ADICCIONES"/>
    <s v="73 BIENES Y SERVICIOS PARA INVERSIÓN"/>
    <s v="730807 Materiales de Impresión, Fotografía, Rep"/>
    <s v="G/730807/1MM103"/>
    <s v="001"/>
    <n v="0"/>
    <n v="3700"/>
    <n v="0"/>
    <n v="3700"/>
    <n v="0"/>
    <n v="0"/>
    <n v="0"/>
    <n v="3700"/>
    <n v="3700"/>
    <n v="3700"/>
  </r>
  <r>
    <s v="73"/>
    <x v="1"/>
    <x v="3"/>
    <s v="UN31M010"/>
    <x v="11"/>
    <s v="M103"/>
    <s v="SALUD AL DIA"/>
    <s v="GI00M10300007D"/>
    <s v="GI00M10300007D PREVENCION INTEGRAL DE ADICCIONES"/>
    <s v="73 BIENES Y SERVICIOS PARA INVERSIÓN"/>
    <s v="730812 Materiales Didácticos"/>
    <s v="G/730812/1MM103"/>
    <s v="001"/>
    <n v="90000"/>
    <n v="-60000"/>
    <n v="0"/>
    <n v="30000"/>
    <n v="0"/>
    <n v="0"/>
    <n v="0"/>
    <n v="30000"/>
    <n v="30000"/>
    <n v="30000"/>
  </r>
  <r>
    <s v="73"/>
    <x v="1"/>
    <x v="3"/>
    <s v="UN31M010"/>
    <x v="11"/>
    <s v="M103"/>
    <s v="SALUD AL DIA"/>
    <s v="GI00M10300007D"/>
    <s v="GI00M10300007D PREVENCION INTEGRAL DE ADICCIONES"/>
    <s v="73 BIENES Y SERVICIOS PARA INVERSIÓN"/>
    <s v="731403 Mobiliarios"/>
    <s v="G/731403/1MM103"/>
    <s v="001"/>
    <n v="750"/>
    <n v="0"/>
    <n v="0"/>
    <n v="750"/>
    <n v="0"/>
    <n v="0"/>
    <n v="0"/>
    <n v="750"/>
    <n v="750"/>
    <n v="750"/>
  </r>
  <r>
    <s v="73"/>
    <x v="1"/>
    <x v="3"/>
    <s v="UN31M010"/>
    <x v="11"/>
    <s v="M103"/>
    <s v="SALUD AL DIA"/>
    <s v="GI00M10300007D"/>
    <s v="GI00M10300007D PREVENCION INTEGRAL DE ADICCIONES"/>
    <s v="73 BIENES Y SERVICIOS PARA INVERSIÓN"/>
    <s v="731404 Maquinarias y Equipos"/>
    <s v="G/731404/1MM103"/>
    <s v="001"/>
    <n v="2000"/>
    <n v="-250"/>
    <n v="0"/>
    <n v="1750"/>
    <n v="0"/>
    <n v="0"/>
    <n v="0"/>
    <n v="1750"/>
    <n v="1750"/>
    <n v="1750"/>
  </r>
  <r>
    <s v="73"/>
    <x v="1"/>
    <x v="3"/>
    <s v="UC32M020"/>
    <x v="7"/>
    <s v="M103"/>
    <s v="SALUD AL DIA"/>
    <s v="GI00M10300008D"/>
    <s v="GI00M10300008D ADOLESCENTES INFORMADOS EN SEXUALIDAD RE"/>
    <s v="73 BIENES Y SERVICIOS PARA INVERSIÓN"/>
    <s v="730205 Espectáculos Culturales y Sociales"/>
    <s v="G/730205/1MM103"/>
    <s v="001"/>
    <n v="60000"/>
    <n v="0"/>
    <n v="0"/>
    <n v="60000"/>
    <n v="1185.52"/>
    <n v="5927.6"/>
    <n v="5927.6"/>
    <n v="54072.4"/>
    <n v="54072.4"/>
    <n v="52886.879999999997"/>
  </r>
  <r>
    <s v="73"/>
    <x v="1"/>
    <x v="3"/>
    <s v="UC32M020"/>
    <x v="7"/>
    <s v="M103"/>
    <s v="SALUD AL DIA"/>
    <s v="GI00M10300008D"/>
    <s v="GI00M10300008D ADOLESCENTES INFORMADOS EN SEXUALIDAD RE"/>
    <s v="73 BIENES Y SERVICIOS PARA INVERSIÓN"/>
    <s v="730235 Servicio de Alimentación"/>
    <s v="G/730235/1MM103"/>
    <s v="001"/>
    <n v="18000"/>
    <n v="0"/>
    <n v="0"/>
    <n v="18000"/>
    <n v="0"/>
    <n v="0"/>
    <n v="0"/>
    <n v="18000"/>
    <n v="18000"/>
    <n v="18000"/>
  </r>
  <r>
    <s v="73"/>
    <x v="1"/>
    <x v="3"/>
    <s v="UC32M020"/>
    <x v="7"/>
    <s v="M103"/>
    <s v="SALUD AL DIA"/>
    <s v="GI00M10300008D"/>
    <s v="GI00M10300008D ADOLESCENTES INFORMADOS EN SEXUALIDAD RE"/>
    <s v="73 BIENES Y SERVICIOS PARA INVERSIÓN"/>
    <s v="730812 Materiales Didácticos"/>
    <s v="G/730812/1MM103"/>
    <s v="001"/>
    <n v="2000"/>
    <n v="0"/>
    <n v="0"/>
    <n v="2000"/>
    <n v="0"/>
    <n v="0"/>
    <n v="0"/>
    <n v="2000"/>
    <n v="2000"/>
    <n v="2000"/>
  </r>
  <r>
    <s v="73"/>
    <x v="1"/>
    <x v="3"/>
    <s v="UC32M020"/>
    <x v="7"/>
    <s v="M103"/>
    <s v="SALUD AL DIA"/>
    <s v="GI00M10300009D"/>
    <s v="GI00M10300009D PREVENCIÓN DE LA MAL NUTRICIÓN EN EL DMQ"/>
    <s v="73 BIENES Y SERVICIOS PARA INVERSIÓN"/>
    <s v="730105 Telecomunicaciones"/>
    <s v="G/730105/1MM103"/>
    <s v="001"/>
    <n v="12000"/>
    <n v="-7000"/>
    <n v="0"/>
    <n v="5000"/>
    <n v="0"/>
    <n v="0"/>
    <n v="0"/>
    <n v="5000"/>
    <n v="5000"/>
    <n v="5000"/>
  </r>
  <r>
    <s v="73"/>
    <x v="1"/>
    <x v="3"/>
    <s v="UC32M020"/>
    <x v="7"/>
    <s v="M103"/>
    <s v="SALUD AL DIA"/>
    <s v="GI00M10300009D"/>
    <s v="GI00M10300009D PREVENCIÓN DE LA MAL NUTRICIÓN EN EL DMQ"/>
    <s v="73 BIENES Y SERVICIOS PARA INVERSIÓN"/>
    <s v="730201 Transporte de Personal"/>
    <s v="G/730201/1MM103"/>
    <s v="001"/>
    <n v="36000"/>
    <n v="0"/>
    <n v="0"/>
    <n v="36000"/>
    <n v="0"/>
    <n v="0"/>
    <n v="0"/>
    <n v="36000"/>
    <n v="36000"/>
    <n v="36000"/>
  </r>
  <r>
    <s v="73"/>
    <x v="1"/>
    <x v="3"/>
    <s v="UC32M020"/>
    <x v="7"/>
    <s v="M103"/>
    <s v="SALUD AL DIA"/>
    <s v="GI00M10300009D"/>
    <s v="GI00M10300009D PREVENCIÓN DE LA MAL NUTRICIÓN EN EL DMQ"/>
    <s v="73 BIENES Y SERVICIOS PARA INVERSIÓN"/>
    <s v="730204 Edición, Impresión, Reproducción, Public"/>
    <s v="G/730204/1MM103"/>
    <s v="001"/>
    <n v="27170"/>
    <n v="-17930"/>
    <n v="0"/>
    <n v="9240"/>
    <n v="0"/>
    <n v="0"/>
    <n v="0"/>
    <n v="9240"/>
    <n v="9240"/>
    <n v="9240"/>
  </r>
  <r>
    <s v="73"/>
    <x v="1"/>
    <x v="3"/>
    <s v="UC32M020"/>
    <x v="7"/>
    <s v="M103"/>
    <s v="SALUD AL DIA"/>
    <s v="GI00M10300009D"/>
    <s v="GI00M10300009D PREVENCIÓN DE LA MAL NUTRICIÓN EN EL DMQ"/>
    <s v="73 BIENES Y SERVICIOS PARA INVERSIÓN"/>
    <s v="730205 Espectáculos Culturales y Sociales"/>
    <s v="G/730205/1MM103"/>
    <s v="001"/>
    <n v="31150"/>
    <n v="-25150"/>
    <n v="0"/>
    <n v="6000"/>
    <n v="0"/>
    <n v="0"/>
    <n v="0"/>
    <n v="6000"/>
    <n v="6000"/>
    <n v="6000"/>
  </r>
  <r>
    <s v="73"/>
    <x v="1"/>
    <x v="3"/>
    <s v="UC32M020"/>
    <x v="7"/>
    <s v="M103"/>
    <s v="SALUD AL DIA"/>
    <s v="GI00M10300009D"/>
    <s v="GI00M10300009D PREVENCIÓN DE LA MAL NUTRICIÓN EN EL DMQ"/>
    <s v="73 BIENES Y SERVICIOS PARA INVERSIÓN"/>
    <s v="730207 Difusión, Información y Publicidad"/>
    <s v="G/730207/1MM103"/>
    <s v="001"/>
    <n v="20000"/>
    <n v="-20000"/>
    <n v="0"/>
    <n v="0"/>
    <n v="0"/>
    <n v="0"/>
    <n v="0"/>
    <n v="0"/>
    <n v="0"/>
    <n v="0"/>
  </r>
  <r>
    <s v="73"/>
    <x v="1"/>
    <x v="3"/>
    <s v="UC32M020"/>
    <x v="7"/>
    <s v="M103"/>
    <s v="SALUD AL DIA"/>
    <s v="GI00M10300009D"/>
    <s v="GI00M10300009D PREVENCIÓN DE LA MAL NUTRICIÓN EN EL DMQ"/>
    <s v="73 BIENES Y SERVICIOS PARA INVERSIÓN"/>
    <s v="730404 Maquinarias y Equipos (Instalación, Mant"/>
    <s v="G/730404/1MM103"/>
    <s v="001"/>
    <n v="6840"/>
    <n v="-6840"/>
    <n v="0"/>
    <n v="0"/>
    <n v="0"/>
    <n v="0"/>
    <n v="0"/>
    <n v="0"/>
    <n v="0"/>
    <n v="0"/>
  </r>
  <r>
    <s v="73"/>
    <x v="1"/>
    <x v="3"/>
    <s v="UC32M020"/>
    <x v="7"/>
    <s v="M103"/>
    <s v="SALUD AL DIA"/>
    <s v="GI00M10300009D"/>
    <s v="GI00M10300009D PREVENCIÓN DE LA MAL NUTRICIÓN EN EL DMQ"/>
    <s v="73 BIENES Y SERVICIOS PARA INVERSIÓN"/>
    <s v="730405 Vehículos (Servicio para Mantenimiento y"/>
    <s v="G/730405/1MM103"/>
    <s v="001"/>
    <n v="4800"/>
    <n v="-3200"/>
    <n v="0"/>
    <n v="1600"/>
    <n v="0"/>
    <n v="0"/>
    <n v="0"/>
    <n v="1600"/>
    <n v="1600"/>
    <n v="1600"/>
  </r>
  <r>
    <s v="73"/>
    <x v="1"/>
    <x v="3"/>
    <s v="ZA01M000"/>
    <x v="6"/>
    <s v="M103"/>
    <s v="SALUD AL DIA"/>
    <s v="GI00M10300009D"/>
    <s v="GI00M10300009D PREVENCIÓN DE LA MAL NUTRICIÓN EN EL DMQ"/>
    <s v="73 BIENES Y SERVICIOS PARA INVERSIÓN"/>
    <s v="730606 Honorarios por Contratos Civiles de Servici"/>
    <s v="G/730606/1MM103"/>
    <s v="001"/>
    <n v="251272.44"/>
    <n v="-251272.44"/>
    <n v="0"/>
    <n v="0"/>
    <n v="0"/>
    <n v="0"/>
    <n v="0"/>
    <n v="0"/>
    <n v="0"/>
    <n v="0"/>
  </r>
  <r>
    <s v="73"/>
    <x v="1"/>
    <x v="3"/>
    <s v="UC32M020"/>
    <x v="7"/>
    <s v="M103"/>
    <s v="SALUD AL DIA"/>
    <s v="GI00M10300009D"/>
    <s v="GI00M10300009D PREVENCIÓN DE LA MAL NUTRICIÓN EN EL DMQ"/>
    <s v="73 BIENES Y SERVICIOS PARA INVERSIÓN"/>
    <s v="730606 Honorarios por Contratos Civiles de Servici"/>
    <s v="G/730606/1MM103"/>
    <s v="001"/>
    <n v="861358.82"/>
    <n v="-861358.82"/>
    <n v="0"/>
    <n v="0"/>
    <n v="0"/>
    <n v="0"/>
    <n v="0"/>
    <n v="0"/>
    <n v="0"/>
    <n v="0"/>
  </r>
  <r>
    <s v="73"/>
    <x v="1"/>
    <x v="3"/>
    <s v="UC32M020"/>
    <x v="7"/>
    <s v="M103"/>
    <s v="SALUD AL DIA"/>
    <s v="GI00M10300009D"/>
    <s v="GI00M10300009D PREVENCIÓN DE LA MAL NUTRICIÓN EN EL DMQ"/>
    <s v="73 BIENES Y SERVICIOS PARA INVERSIÓN"/>
    <s v="730701 Desarrollo, Actualización, Asistencia Té"/>
    <s v="G/730701/1MM103"/>
    <s v="001"/>
    <n v="55000"/>
    <n v="-55000"/>
    <n v="0"/>
    <n v="0"/>
    <n v="0"/>
    <n v="0"/>
    <n v="0"/>
    <n v="0"/>
    <n v="0"/>
    <n v="0"/>
  </r>
  <r>
    <s v="73"/>
    <x v="1"/>
    <x v="3"/>
    <s v="UC32M020"/>
    <x v="7"/>
    <s v="M103"/>
    <s v="SALUD AL DIA"/>
    <s v="GI00M10300009D"/>
    <s v="GI00M10300009D PREVENCIÓN DE LA MAL NUTRICIÓN EN EL DMQ"/>
    <s v="73 BIENES Y SERVICIOS PARA INVERSIÓN"/>
    <s v="730704 Mantenimiento y Reparación de Equipos y"/>
    <s v="G/730704/1MM103"/>
    <s v="001"/>
    <n v="18152"/>
    <n v="-7650"/>
    <n v="0"/>
    <n v="10502"/>
    <n v="0"/>
    <n v="0"/>
    <n v="0"/>
    <n v="10502"/>
    <n v="10502"/>
    <n v="10502"/>
  </r>
  <r>
    <s v="73"/>
    <x v="1"/>
    <x v="3"/>
    <s v="UC32M020"/>
    <x v="7"/>
    <s v="M103"/>
    <s v="SALUD AL DIA"/>
    <s v="GI00M10300009D"/>
    <s v="GI00M10300009D PREVENCIÓN DE LA MAL NUTRICIÓN EN EL DMQ"/>
    <s v="73 BIENES Y SERVICIOS PARA INVERSIÓN"/>
    <s v="730802 Vestuario, Lencería, Prendas de Protecci"/>
    <s v="G/730802/1MM103"/>
    <s v="001"/>
    <n v="16800"/>
    <n v="0"/>
    <n v="0"/>
    <n v="16800"/>
    <n v="0"/>
    <n v="0"/>
    <n v="0"/>
    <n v="16800"/>
    <n v="16800"/>
    <n v="16800"/>
  </r>
  <r>
    <s v="73"/>
    <x v="1"/>
    <x v="3"/>
    <s v="UC32M020"/>
    <x v="7"/>
    <s v="M103"/>
    <s v="SALUD AL DIA"/>
    <s v="GI00M10300009D"/>
    <s v="GI00M10300009D PREVENCIÓN DE LA MAL NUTRICIÓN EN EL DMQ"/>
    <s v="73 BIENES Y SERVICIOS PARA INVERSIÓN"/>
    <s v="730803 Combustibles y Lubricantes"/>
    <s v="G/730803/1MM103"/>
    <s v="001"/>
    <n v="5750"/>
    <n v="-2000"/>
    <n v="0"/>
    <n v="3750"/>
    <n v="0"/>
    <n v="0"/>
    <n v="0"/>
    <n v="3750"/>
    <n v="3750"/>
    <n v="3750"/>
  </r>
  <r>
    <s v="73"/>
    <x v="1"/>
    <x v="3"/>
    <s v="UC32M020"/>
    <x v="7"/>
    <s v="M103"/>
    <s v="SALUD AL DIA"/>
    <s v="GI00M10300009D"/>
    <s v="GI00M10300009D PREVENCIÓN DE LA MAL NUTRICIÓN EN EL DMQ"/>
    <s v="73 BIENES Y SERVICIOS PARA INVERSIÓN"/>
    <s v="730804 Materiales de Oficina"/>
    <s v="G/730804/1MM103"/>
    <s v="001"/>
    <n v="3000"/>
    <n v="-2000"/>
    <n v="0"/>
    <n v="1000"/>
    <n v="0"/>
    <n v="0"/>
    <n v="0"/>
    <n v="1000"/>
    <n v="1000"/>
    <n v="1000"/>
  </r>
  <r>
    <s v="73"/>
    <x v="1"/>
    <x v="3"/>
    <s v="UC32M020"/>
    <x v="7"/>
    <s v="M103"/>
    <s v="SALUD AL DIA"/>
    <s v="GI00M10300009D"/>
    <s v="GI00M10300009D PREVENCIÓN DE LA MAL NUTRICIÓN EN EL DMQ"/>
    <s v="73 BIENES Y SERVICIOS PARA INVERSIÓN"/>
    <s v="730805 Materiales de Aseo"/>
    <s v="G/730805/1MM103"/>
    <s v="001"/>
    <n v="7000"/>
    <n v="0"/>
    <n v="0"/>
    <n v="7000"/>
    <n v="0"/>
    <n v="0"/>
    <n v="0"/>
    <n v="7000"/>
    <n v="7000"/>
    <n v="7000"/>
  </r>
  <r>
    <s v="73"/>
    <x v="1"/>
    <x v="3"/>
    <s v="UC32M020"/>
    <x v="7"/>
    <s v="M103"/>
    <s v="SALUD AL DIA"/>
    <s v="GI00M10300009D"/>
    <s v="GI00M10300009D PREVENCIÓN DE LA MAL NUTRICIÓN EN EL DMQ"/>
    <s v="73 BIENES Y SERVICIOS PARA INVERSIÓN"/>
    <s v="730810 Dispositivos Médicos para Laboratorio Cl"/>
    <s v="G/730810/1MM103"/>
    <s v="001"/>
    <n v="67631"/>
    <n v="0"/>
    <n v="0"/>
    <n v="67631"/>
    <n v="0"/>
    <n v="0"/>
    <n v="0"/>
    <n v="67631"/>
    <n v="67631"/>
    <n v="67631"/>
  </r>
  <r>
    <s v="73"/>
    <x v="1"/>
    <x v="3"/>
    <s v="UC32M020"/>
    <x v="7"/>
    <s v="M103"/>
    <s v="SALUD AL DIA"/>
    <s v="GI00M10300009D"/>
    <s v="GI00M10300009D PREVENCIÓN DE LA MAL NUTRICIÓN EN EL DMQ"/>
    <s v="73 BIENES Y SERVICIOS PARA INVERSIÓN"/>
    <s v="730826 Dispositivos Médicos de Uso General"/>
    <s v="G/730826/1MM103"/>
    <s v="001"/>
    <n v="39815.5"/>
    <n v="0"/>
    <n v="0"/>
    <n v="39815.5"/>
    <n v="0"/>
    <n v="0"/>
    <n v="0"/>
    <n v="39815.5"/>
    <n v="39815.5"/>
    <n v="39815.5"/>
  </r>
  <r>
    <s v="73"/>
    <x v="1"/>
    <x v="3"/>
    <s v="UC32M020"/>
    <x v="7"/>
    <s v="M103"/>
    <s v="SALUD AL DIA"/>
    <s v="GI00M10300009D"/>
    <s v="GI00M10300009D PREVENCIÓN DE LA MAL NUTRICIÓN EN EL DMQ"/>
    <s v="73 BIENES Y SERVICIOS PARA INVERSIÓN"/>
    <s v="731408 Bienes Artísticos, Culturales, Bienes De"/>
    <s v="G/731408/1MM103"/>
    <s v="001"/>
    <n v="4500"/>
    <n v="-4500"/>
    <n v="0"/>
    <n v="0"/>
    <n v="0"/>
    <n v="0"/>
    <n v="0"/>
    <n v="0"/>
    <n v="0"/>
    <n v="0"/>
  </r>
  <r>
    <s v="73"/>
    <x v="1"/>
    <x v="3"/>
    <s v="US33M030"/>
    <x v="8"/>
    <s v="M103"/>
    <s v="SALUD AL DIA"/>
    <s v="GI00M10300010D"/>
    <s v="GI00M10300010D REMODELACIÓN DE LA UNIDAD METROPOLITAN"/>
    <s v="73 BIENES Y SERVICIOS PARA INVERSIÓN"/>
    <s v="730402 Edificios, Locales, Residencias y Cablea"/>
    <s v="G/730402/1MM103"/>
    <s v="001"/>
    <n v="0"/>
    <n v="400000"/>
    <n v="0"/>
    <n v="400000"/>
    <n v="0"/>
    <n v="0"/>
    <n v="0"/>
    <n v="400000"/>
    <n v="400000"/>
    <n v="400000"/>
  </r>
  <r>
    <s v="73"/>
    <x v="1"/>
    <x v="3"/>
    <s v="US33M030"/>
    <x v="8"/>
    <s v="M103"/>
    <s v="SALUD AL DIA"/>
    <s v="GI00M10300010D"/>
    <s v="GI00M10300010D REMODELACIÓN DE LA UNIDAD METROPOLITAN"/>
    <s v="73 BIENES Y SERVICIOS PARA INVERSIÓN"/>
    <s v="730605 Estudio y Diseño de Proyectos"/>
    <s v="G/730605/1MM103"/>
    <s v="001"/>
    <n v="2000000"/>
    <n v="-2000000"/>
    <n v="0"/>
    <n v="0"/>
    <n v="0"/>
    <n v="0"/>
    <n v="0"/>
    <n v="0"/>
    <n v="0"/>
    <n v="0"/>
  </r>
  <r>
    <s v="73"/>
    <x v="2"/>
    <x v="5"/>
    <s v="PM71N010"/>
    <x v="27"/>
    <s v="N103"/>
    <s v="QUITO SIN MIEDO"/>
    <s v="GI00N10300002D"/>
    <s v="GI00N10300002D IMPLEMENTACIÓN DE UN NUEVO MODELO DE GES"/>
    <s v="73 BIENES Y SERVICIOS PARA INVERSIÓN"/>
    <s v="730601 Consultoría, Asesoría e Investigación Es"/>
    <s v="G/730601/1NN103"/>
    <s v="001"/>
    <n v="67500"/>
    <n v="0"/>
    <n v="0"/>
    <n v="67500"/>
    <n v="0"/>
    <n v="0"/>
    <n v="0"/>
    <n v="67500"/>
    <n v="67500"/>
    <n v="67500"/>
  </r>
  <r>
    <s v="73"/>
    <x v="2"/>
    <x v="5"/>
    <s v="PM71N010"/>
    <x v="27"/>
    <s v="N103"/>
    <s v="QUITO SIN MIEDO"/>
    <s v="GI00N10300002D"/>
    <s v="GI00N10300002D IMPLEMENTACIÓN DE UN NUEVO MODELO DE GES"/>
    <s v="73 BIENES Y SERVICIOS PARA INVERSIÓN"/>
    <s v="730612 Capacitación a Servidores Públicos"/>
    <s v="G/730612/1NN103"/>
    <s v="001"/>
    <n v="100000"/>
    <n v="0"/>
    <n v="0"/>
    <n v="100000"/>
    <n v="0"/>
    <n v="0"/>
    <n v="0"/>
    <n v="100000"/>
    <n v="100000"/>
    <n v="100000"/>
  </r>
  <r>
    <s v="73"/>
    <x v="2"/>
    <x v="5"/>
    <s v="PM71N010"/>
    <x v="27"/>
    <s v="N103"/>
    <s v="QUITO SIN MIEDO"/>
    <s v="GI00N10300002D"/>
    <s v="GI00N10300002D IMPLEMENTACIÓN DE UN NUEVO MODELO DE GES"/>
    <s v="73 BIENES Y SERVICIOS PARA INVERSIÓN"/>
    <s v="730701 Desarrollo, Actualización, Asistencia Té"/>
    <s v="G/730701/1NN103"/>
    <s v="001"/>
    <n v="20000"/>
    <n v="0"/>
    <n v="0"/>
    <n v="20000"/>
    <n v="0"/>
    <n v="0"/>
    <n v="0"/>
    <n v="20000"/>
    <n v="20000"/>
    <n v="20000"/>
  </r>
  <r>
    <s v="73"/>
    <x v="2"/>
    <x v="11"/>
    <s v="ZM04F040"/>
    <x v="41"/>
    <s v="N103"/>
    <s v="QUITO SIN MIEDO"/>
    <s v="GI00N10300003D"/>
    <s v="GI00N10300003D PREVENCIÓN DE LA VIOLENCIA INTRAFAMILIAR"/>
    <s v="73 BIENES Y SERVICIOS PARA INVERSIÓN"/>
    <s v="730203 Almacenamiento, Embalaje, Desembalaje, E"/>
    <s v="G/730203/1FN103"/>
    <s v="001"/>
    <n v="60"/>
    <n v="0"/>
    <n v="0"/>
    <n v="60"/>
    <n v="0"/>
    <n v="0"/>
    <n v="0"/>
    <n v="60"/>
    <n v="60"/>
    <n v="60"/>
  </r>
  <r>
    <s v="73"/>
    <x v="2"/>
    <x v="5"/>
    <s v="ZA01N000"/>
    <x v="10"/>
    <s v="N103"/>
    <s v="QUITO SIN MIEDO"/>
    <s v="GI00N10300003D"/>
    <s v="GI00N10300003D PREVENCIÓN DE LA VIOLENCIA INTRAFAMILIAR"/>
    <s v="73 BIENES Y SERVICIOS PARA INVERSIÓN"/>
    <s v="730204 Edición, Impresión, Reproducción, Public"/>
    <s v="G/730204/1NN103"/>
    <s v="001"/>
    <n v="28000"/>
    <n v="0"/>
    <n v="0"/>
    <n v="28000"/>
    <n v="0"/>
    <n v="0"/>
    <n v="0"/>
    <n v="28000"/>
    <n v="28000"/>
    <n v="28000"/>
  </r>
  <r>
    <s v="73"/>
    <x v="2"/>
    <x v="5"/>
    <s v="ZA01N000"/>
    <x v="10"/>
    <s v="N103"/>
    <s v="QUITO SIN MIEDO"/>
    <s v="GI00N10300003D"/>
    <s v="GI00N10300003D PREVENCIÓN DE LA VIOLENCIA INTRAFAMILIAR"/>
    <s v="73 BIENES Y SERVICIOS PARA INVERSIÓN"/>
    <s v="730205 Espectáculos Culturales y Sociales"/>
    <s v="G/730205/1NN103"/>
    <s v="001"/>
    <n v="55000"/>
    <n v="-2000"/>
    <n v="0"/>
    <n v="53000"/>
    <n v="0"/>
    <n v="7919.52"/>
    <n v="7919.52"/>
    <n v="45080.480000000003"/>
    <n v="45080.480000000003"/>
    <n v="45080.480000000003"/>
  </r>
  <r>
    <s v="73"/>
    <x v="2"/>
    <x v="5"/>
    <s v="ZA01N000"/>
    <x v="10"/>
    <s v="N103"/>
    <s v="QUITO SIN MIEDO"/>
    <s v="GI00N10300003D"/>
    <s v="GI00N10300003D PREVENCIÓN DE LA VIOLENCIA INTRAFAMILIAR"/>
    <s v="73 BIENES Y SERVICIOS PARA INVERSIÓN"/>
    <s v="730207 Difusión, Información y Publicidad"/>
    <s v="G/730207/1NN103"/>
    <s v="001"/>
    <n v="20000"/>
    <n v="0"/>
    <n v="0"/>
    <n v="20000"/>
    <n v="0"/>
    <n v="0"/>
    <n v="0"/>
    <n v="20000"/>
    <n v="20000"/>
    <n v="20000"/>
  </r>
  <r>
    <s v="73"/>
    <x v="2"/>
    <x v="5"/>
    <s v="ZA01N000"/>
    <x v="10"/>
    <s v="N103"/>
    <s v="QUITO SIN MIEDO"/>
    <s v="GI00N10300003D"/>
    <s v="GI00N10300003D PREVENCIÓN DE LA VIOLENCIA INTRAFAMILIAR"/>
    <s v="73 BIENES Y SERVICIOS PARA INVERSIÓN"/>
    <s v="730243 Garantía Extendida de Bienes"/>
    <s v="G/730243/1NN103"/>
    <s v="001"/>
    <n v="5117.1499999999996"/>
    <n v="0"/>
    <n v="0"/>
    <n v="5117.1499999999996"/>
    <n v="3048.86"/>
    <n v="1268.29"/>
    <n v="1268.29"/>
    <n v="3848.86"/>
    <n v="3848.86"/>
    <n v="800"/>
  </r>
  <r>
    <s v="73"/>
    <x v="2"/>
    <x v="5"/>
    <s v="ZA01N000"/>
    <x v="10"/>
    <s v="N103"/>
    <s v="QUITO SIN MIEDO"/>
    <s v="GI00N10300003D"/>
    <s v="GI00N10300003D PREVENCIÓN DE LA VIOLENCIA INTRAFAMILIAR"/>
    <s v="73 BIENES Y SERVICIOS PARA INVERSIÓN"/>
    <s v="730402 Edificios, Locales, Residencias y Cablea"/>
    <s v="G/730402/1NN103"/>
    <s v="001"/>
    <n v="45000"/>
    <n v="0"/>
    <n v="0"/>
    <n v="45000"/>
    <n v="0"/>
    <n v="0"/>
    <n v="0"/>
    <n v="45000"/>
    <n v="45000"/>
    <n v="45000"/>
  </r>
  <r>
    <s v="73"/>
    <x v="2"/>
    <x v="11"/>
    <s v="ZM04F040"/>
    <x v="41"/>
    <s v="N103"/>
    <s v="QUITO SIN MIEDO"/>
    <s v="GI00N10300003D"/>
    <s v="GI00N10300003D PREVENCIÓN DE LA VIOLENCIA INTRAFAMILIAR"/>
    <s v="73 BIENES Y SERVICIOS PARA INVERSIÓN"/>
    <s v="730402 Edificios, Locales, Residencias y Cablea"/>
    <s v="G/730402/1FN103"/>
    <s v="001"/>
    <n v="20000"/>
    <n v="0"/>
    <n v="0"/>
    <n v="20000"/>
    <n v="0"/>
    <n v="0"/>
    <n v="0"/>
    <n v="20000"/>
    <n v="20000"/>
    <n v="20000"/>
  </r>
  <r>
    <s v="73"/>
    <x v="2"/>
    <x v="5"/>
    <s v="ZA01N000"/>
    <x v="10"/>
    <s v="N103"/>
    <s v="QUITO SIN MIEDO"/>
    <s v="GI00N10300003D"/>
    <s v="GI00N10300003D PREVENCIÓN DE LA VIOLENCIA INTRAFAMILIAR"/>
    <s v="73 BIENES Y SERVICIOS PARA INVERSIÓN"/>
    <s v="730502 Edificios, Locales, Residencias, Parquea"/>
    <s v="G/730502/1NN103"/>
    <s v="001"/>
    <n v="188299"/>
    <n v="2000"/>
    <n v="0"/>
    <n v="190299"/>
    <n v="0"/>
    <n v="187416.81"/>
    <n v="120787.21"/>
    <n v="2882.19"/>
    <n v="69511.789999999994"/>
    <n v="2882.19"/>
  </r>
  <r>
    <s v="73"/>
    <x v="2"/>
    <x v="5"/>
    <s v="ZA01N000"/>
    <x v="10"/>
    <s v="N103"/>
    <s v="QUITO SIN MIEDO"/>
    <s v="GI00N10300003D"/>
    <s v="GI00N10300003D PREVENCIÓN DE LA VIOLENCIA INTRAFAMILIAR"/>
    <s v="73 BIENES Y SERVICIOS PARA INVERSIÓN"/>
    <s v="730704 Mantenimiento y Reparación de Equipos y"/>
    <s v="G/730704/1NN103"/>
    <s v="001"/>
    <n v="1740"/>
    <n v="0"/>
    <n v="0"/>
    <n v="1740"/>
    <n v="1640"/>
    <n v="0"/>
    <n v="0"/>
    <n v="1740"/>
    <n v="1740"/>
    <n v="100"/>
  </r>
  <r>
    <s v="73"/>
    <x v="2"/>
    <x v="11"/>
    <s v="ZM04F040"/>
    <x v="41"/>
    <s v="N103"/>
    <s v="QUITO SIN MIEDO"/>
    <s v="GI00N10300003D"/>
    <s v="GI00N10300003D PREVENCIÓN DE LA VIOLENCIA INTRAFAMILIAR"/>
    <s v="73 BIENES Y SERVICIOS PARA INVERSIÓN"/>
    <s v="730811 Insumos, Materiales y Suministros para Cons"/>
    <s v="G/730811/1FN103"/>
    <s v="001"/>
    <n v="11770"/>
    <n v="0"/>
    <n v="0"/>
    <n v="11770"/>
    <n v="0"/>
    <n v="0"/>
    <n v="0"/>
    <n v="11770"/>
    <n v="11770"/>
    <n v="11770"/>
  </r>
  <r>
    <s v="73"/>
    <x v="2"/>
    <x v="11"/>
    <s v="ZM04F040"/>
    <x v="41"/>
    <s v="N103"/>
    <s v="QUITO SIN MIEDO"/>
    <s v="GI00N10300003D"/>
    <s v="GI00N10300003D PREVENCIÓN DE LA VIOLENCIA INTRAFAMILIAR"/>
    <s v="73 BIENES Y SERVICIOS PARA INVERSIÓN"/>
    <s v="730812 Materiales Didácticos"/>
    <s v="G/730812/1FN103"/>
    <s v="001"/>
    <n v="3000"/>
    <n v="0"/>
    <n v="0"/>
    <n v="3000"/>
    <n v="0"/>
    <n v="0"/>
    <n v="0"/>
    <n v="3000"/>
    <n v="3000"/>
    <n v="3000"/>
  </r>
  <r>
    <s v="73"/>
    <x v="2"/>
    <x v="5"/>
    <s v="ZA01N000"/>
    <x v="10"/>
    <s v="N103"/>
    <s v="QUITO SIN MIEDO"/>
    <s v="GI00N10300003D"/>
    <s v="GI00N10300003D PREVENCIÓN DE LA VIOLENCIA INTRAFAMILIAR"/>
    <s v="73 BIENES Y SERVICIOS PARA INVERSIÓN"/>
    <s v="730812 Materiales Didácticos"/>
    <s v="G/730812/1NN103"/>
    <s v="001"/>
    <n v="7000"/>
    <n v="0"/>
    <n v="0"/>
    <n v="7000"/>
    <n v="0"/>
    <n v="0"/>
    <n v="0"/>
    <n v="7000"/>
    <n v="7000"/>
    <n v="7000"/>
  </r>
  <r>
    <s v="73"/>
    <x v="2"/>
    <x v="5"/>
    <s v="ZA01N000"/>
    <x v="10"/>
    <s v="N103"/>
    <s v="QUITO SIN MIEDO"/>
    <s v="GI00N10300003D"/>
    <s v="GI00N10300003D PREVENCIÓN DE LA VIOLENCIA INTRAFAMILIAR"/>
    <s v="73 BIENES Y SERVICIOS PARA INVERSIÓN"/>
    <s v="730813 Repuestos y Accesorios"/>
    <s v="G/730813/1NN103"/>
    <s v="001"/>
    <n v="1780"/>
    <n v="0"/>
    <n v="0"/>
    <n v="1780"/>
    <n v="1680"/>
    <n v="0"/>
    <n v="0"/>
    <n v="1780"/>
    <n v="1780"/>
    <n v="100"/>
  </r>
  <r>
    <s v="73"/>
    <x v="2"/>
    <x v="11"/>
    <s v="ZM04F040"/>
    <x v="41"/>
    <s v="N103"/>
    <s v="QUITO SIN MIEDO"/>
    <s v="GI00N10300003D"/>
    <s v="GI00N10300003D PREVENCIÓN DE LA VIOLENCIA INTRAFAMILIAR"/>
    <s v="73 BIENES Y SERVICIOS PARA INVERSIÓN"/>
    <s v="731403 Mobiliarios"/>
    <s v="G/731403/1FN103"/>
    <s v="001"/>
    <n v="9940"/>
    <n v="0"/>
    <n v="0"/>
    <n v="9940"/>
    <n v="0"/>
    <n v="0"/>
    <n v="0"/>
    <n v="9940"/>
    <n v="9940"/>
    <n v="9940"/>
  </r>
  <r>
    <s v="73"/>
    <x v="2"/>
    <x v="11"/>
    <s v="ZM04F040"/>
    <x v="41"/>
    <s v="N103"/>
    <s v="QUITO SIN MIEDO"/>
    <s v="GI00N10300003D"/>
    <s v="GI00N10300003D PREVENCIÓN DE LA VIOLENCIA INTRAFAMILIAR"/>
    <s v="73 BIENES Y SERVICIOS PARA INVERSIÓN"/>
    <s v="731404 Maquinarias y Equipos"/>
    <s v="G/731404/1FN103"/>
    <s v="001"/>
    <n v="230"/>
    <n v="0"/>
    <n v="0"/>
    <n v="230"/>
    <n v="0"/>
    <n v="0"/>
    <n v="0"/>
    <n v="230"/>
    <n v="230"/>
    <n v="230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105 Telecomunicaciones"/>
    <s v="G/730105/1NN103"/>
    <s v="001"/>
    <n v="90000"/>
    <n v="0"/>
    <n v="0"/>
    <n v="90000"/>
    <n v="0"/>
    <n v="75646.52"/>
    <n v="38749.599999999999"/>
    <n v="14353.48"/>
    <n v="51250.400000000001"/>
    <n v="14353.48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203 Almacenamiento, Embalaje, Desembalaje, E"/>
    <s v="G/730203/1NN103"/>
    <s v="001"/>
    <n v="3000"/>
    <n v="0"/>
    <n v="0"/>
    <n v="3000"/>
    <n v="1161.8900000000001"/>
    <n v="0"/>
    <n v="0"/>
    <n v="3000"/>
    <n v="3000"/>
    <n v="1838.11"/>
  </r>
  <r>
    <s v="73"/>
    <x v="2"/>
    <x v="11"/>
    <s v="ZC09F090"/>
    <x v="44"/>
    <s v="N103"/>
    <s v="QUITO SIN MIEDO"/>
    <s v="GI00N10300004D"/>
    <s v="GI00N10300004D PREVENCIÓN SITUACIONAL Y CONVIVENCIA PAC"/>
    <s v="73 BIENES Y SERVICIOS PARA INVERSIÓN"/>
    <s v="730203 Almacenamiento, Embalaje, Desembalaje, E"/>
    <s v="G/730203/1FN103"/>
    <s v="001"/>
    <n v="300"/>
    <n v="0"/>
    <n v="0"/>
    <n v="300"/>
    <n v="0"/>
    <n v="0"/>
    <n v="0"/>
    <n v="300"/>
    <n v="300"/>
    <n v="300"/>
  </r>
  <r>
    <s v="73"/>
    <x v="2"/>
    <x v="5"/>
    <s v="ZA01N000"/>
    <x v="10"/>
    <s v="N103"/>
    <s v="QUITO SIN MIEDO"/>
    <s v="GI00N10300004D"/>
    <s v="GI00N10300004D PREVENCIÓN SITUACIONAL Y CONVIVENCIA PAC"/>
    <s v="73 BIENES Y SERVICIOS PARA INVERSIÓN"/>
    <s v="730204 Edición, Impresión, Reproducción, Public"/>
    <s v="G/730204/1NN103"/>
    <s v="001"/>
    <n v="10000"/>
    <n v="10000"/>
    <n v="0"/>
    <n v="20000"/>
    <n v="0"/>
    <n v="0"/>
    <n v="0"/>
    <n v="20000"/>
    <n v="20000"/>
    <n v="20000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204 Edición, Impresión, Reproducción, Public"/>
    <s v="G/730204/1NN103"/>
    <s v="001"/>
    <n v="121000"/>
    <n v="0"/>
    <n v="0"/>
    <n v="121000"/>
    <n v="0"/>
    <n v="679.8"/>
    <n v="679.8"/>
    <n v="120320.2"/>
    <n v="120320.2"/>
    <n v="120320.2"/>
  </r>
  <r>
    <s v="73"/>
    <x v="2"/>
    <x v="5"/>
    <s v="ZA01N000"/>
    <x v="10"/>
    <s v="N103"/>
    <s v="QUITO SIN MIEDO"/>
    <s v="GI00N10300004D"/>
    <s v="GI00N10300004D PREVENCIÓN SITUACIONAL Y CONVIVENCIA PAC"/>
    <s v="73 BIENES Y SERVICIOS PARA INVERSIÓN"/>
    <s v="730205 Espectáculos Culturales y Sociales"/>
    <s v="G/730205/1NN103"/>
    <s v="001"/>
    <n v="0"/>
    <n v="130000"/>
    <n v="0"/>
    <n v="130000"/>
    <n v="0"/>
    <n v="0"/>
    <n v="0"/>
    <n v="130000"/>
    <n v="130000"/>
    <n v="130000"/>
  </r>
  <r>
    <s v="73"/>
    <x v="2"/>
    <x v="11"/>
    <s v="ZC09F090"/>
    <x v="44"/>
    <s v="N103"/>
    <s v="QUITO SIN MIEDO"/>
    <s v="GI00N10300004D"/>
    <s v="GI00N10300004D PREVENCIÓN SITUACIONAL Y CONVIVENCIA PAC"/>
    <s v="73 BIENES Y SERVICIOS PARA INVERSIÓN"/>
    <s v="730205 Espectáculos Culturales y Sociales"/>
    <s v="G/730205/1FN103"/>
    <s v="001"/>
    <n v="800"/>
    <n v="0"/>
    <n v="0"/>
    <n v="800"/>
    <n v="0"/>
    <n v="0"/>
    <n v="0"/>
    <n v="800"/>
    <n v="800"/>
    <n v="800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248 Eventos Oficiales"/>
    <s v="G/730248/1NN103"/>
    <s v="001"/>
    <n v="54000"/>
    <n v="0"/>
    <n v="0"/>
    <n v="54000"/>
    <n v="0"/>
    <n v="0"/>
    <n v="0"/>
    <n v="54000"/>
    <n v="54000"/>
    <n v="54000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404 Maquinarias y Equipos (Instalación, Mant"/>
    <s v="G/730404/1NN103"/>
    <s v="001"/>
    <n v="79000"/>
    <n v="0"/>
    <n v="0"/>
    <n v="79000"/>
    <n v="5080"/>
    <n v="22374.5"/>
    <n v="19276.599999999999"/>
    <n v="56625.5"/>
    <n v="59723.4"/>
    <n v="51545.5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405 Vehículos (Servicio para Mantenimiento y"/>
    <s v="G/730405/1NN103"/>
    <s v="001"/>
    <n v="175000"/>
    <n v="0"/>
    <n v="0"/>
    <n v="175000"/>
    <n v="10556.12"/>
    <n v="54762.47"/>
    <n v="32995.97"/>
    <n v="120237.53"/>
    <n v="142004.03"/>
    <n v="109681.41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415 Bienes Biológicos"/>
    <s v="G/730415/1NN103"/>
    <s v="001"/>
    <n v="16000"/>
    <n v="0"/>
    <n v="0"/>
    <n v="16000"/>
    <n v="258.72000000000003"/>
    <n v="7711.47"/>
    <n v="5863.47"/>
    <n v="8288.5300000000007"/>
    <n v="10136.530000000001"/>
    <n v="8029.81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502 Edificios, Locales, Residencias, Parquea"/>
    <s v="G/730502/1NN103"/>
    <s v="001"/>
    <n v="7000"/>
    <n v="0"/>
    <n v="0"/>
    <n v="7000"/>
    <n v="0"/>
    <n v="6988.8"/>
    <n v="5241.6000000000004"/>
    <n v="11.2"/>
    <n v="1758.4"/>
    <n v="11.2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601 Consultoría, Asesoría e Investigación Es"/>
    <s v="G/730601/1NN103"/>
    <s v="001"/>
    <n v="30000"/>
    <n v="0"/>
    <n v="0"/>
    <n v="30000"/>
    <n v="0"/>
    <n v="19267.919999999998"/>
    <n v="19267.919999999998"/>
    <n v="10732.08"/>
    <n v="10732.08"/>
    <n v="10732.08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605 Estudio y Diseño de Proyectos"/>
    <s v="G/730605/1NN103"/>
    <s v="001"/>
    <n v="0"/>
    <n v="6998"/>
    <n v="0"/>
    <n v="6998"/>
    <n v="0"/>
    <n v="1997.86"/>
    <n v="1997.86"/>
    <n v="5000.1400000000003"/>
    <n v="5000.1400000000003"/>
    <n v="5000.1400000000003"/>
  </r>
  <r>
    <s v="73"/>
    <x v="2"/>
    <x v="5"/>
    <s v="ZA01N000"/>
    <x v="10"/>
    <s v="N103"/>
    <s v="QUITO SIN MIEDO"/>
    <s v="GI00N10300004D"/>
    <s v="GI00N10300004D PREVENCIÓN SITUACIONAL Y CONVIVENCIA PAC"/>
    <s v="73 BIENES Y SERVICIOS PARA INVERSIÓN"/>
    <s v="730607 Servicios Técnicos Especializados"/>
    <s v="G/730607/1NN103"/>
    <s v="001"/>
    <n v="131000"/>
    <n v="-131000"/>
    <n v="0"/>
    <n v="0"/>
    <n v="0"/>
    <n v="0"/>
    <n v="0"/>
    <n v="0"/>
    <n v="0"/>
    <n v="0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612 Capacitación a Servidores Públicos"/>
    <s v="G/730612/1NN103"/>
    <s v="001"/>
    <n v="140000"/>
    <n v="-7896"/>
    <n v="0"/>
    <n v="132104"/>
    <n v="0"/>
    <n v="13567.5"/>
    <n v="9315"/>
    <n v="118536.5"/>
    <n v="122789"/>
    <n v="118536.5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702 Arrendamiento y Licencias de Uso de Paquete"/>
    <s v="G/730702/1NN103"/>
    <s v="001"/>
    <n v="0"/>
    <n v="7896"/>
    <n v="0"/>
    <n v="7896"/>
    <n v="0"/>
    <n v="7896"/>
    <n v="7896"/>
    <n v="0"/>
    <n v="0"/>
    <n v="0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802 Vestuario, Lencería, Prendas de Protecci"/>
    <s v="G/730802/1NN103"/>
    <s v="001"/>
    <n v="1280114"/>
    <n v="-6998"/>
    <n v="0"/>
    <n v="1273116"/>
    <n v="0.05"/>
    <n v="347994.84"/>
    <n v="340916.34"/>
    <n v="925121.16"/>
    <n v="932199.66"/>
    <n v="925121.11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802 Vestuario, Lencería, Prendas de Protecci"/>
    <s v="G/730802/1NN103"/>
    <s v="002"/>
    <n v="40854.720000000001"/>
    <n v="0"/>
    <n v="0"/>
    <n v="40854.720000000001"/>
    <n v="0"/>
    <n v="19057.25"/>
    <n v="19057.25"/>
    <n v="21797.47"/>
    <n v="21797.47"/>
    <n v="21797.47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803 Combustibles y Lubricantes"/>
    <s v="G/730803/1NN103"/>
    <s v="001"/>
    <n v="200000"/>
    <n v="0"/>
    <n v="0"/>
    <n v="200000"/>
    <n v="0"/>
    <n v="170733"/>
    <n v="109086.92"/>
    <n v="29267"/>
    <n v="90913.08"/>
    <n v="29267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805 Materiales de Aseo"/>
    <s v="G/730805/1NN103"/>
    <s v="001"/>
    <n v="1613"/>
    <n v="0"/>
    <n v="0"/>
    <n v="1613"/>
    <n v="0"/>
    <n v="0"/>
    <n v="0"/>
    <n v="1613"/>
    <n v="1613"/>
    <n v="1613"/>
  </r>
  <r>
    <s v="73"/>
    <x v="2"/>
    <x v="5"/>
    <s v="ZA01N000"/>
    <x v="10"/>
    <s v="N103"/>
    <s v="QUITO SIN MIEDO"/>
    <s v="GI00N10300004D"/>
    <s v="GI00N10300004D PREVENCIÓN SITUACIONAL Y CONVIVENCIA PAC"/>
    <s v="73 BIENES Y SERVICIOS PARA INVERSIÓN"/>
    <s v="730805 Materiales de Aseo"/>
    <s v="G/730805/1NN103"/>
    <s v="001"/>
    <n v="0"/>
    <n v="9555.84"/>
    <n v="0"/>
    <n v="9555.84"/>
    <n v="2971.78"/>
    <n v="6584.06"/>
    <n v="6584.06"/>
    <n v="2971.78"/>
    <n v="2971.78"/>
    <n v="0"/>
  </r>
  <r>
    <s v="73"/>
    <x v="2"/>
    <x v="11"/>
    <s v="TM68F100"/>
    <x v="34"/>
    <s v="N103"/>
    <s v="QUITO SIN MIEDO"/>
    <s v="GI00N10300004D"/>
    <s v="GI00N10300004D PREVENCIÓN SITUACIONAL Y CONVIVENCIA PAC"/>
    <s v="73 BIENES Y SERVICIOS PARA INVERSIÓN"/>
    <s v="730805 Materiales de Aseo"/>
    <s v="G/730805/1FN103"/>
    <s v="001"/>
    <n v="500"/>
    <n v="0"/>
    <n v="0"/>
    <n v="500"/>
    <n v="499.78"/>
    <n v="0"/>
    <n v="0"/>
    <n v="500"/>
    <n v="500"/>
    <n v="0.22"/>
  </r>
  <r>
    <s v="73"/>
    <x v="2"/>
    <x v="11"/>
    <s v="ZT06F060"/>
    <x v="25"/>
    <s v="N103"/>
    <s v="QUITO SIN MIEDO"/>
    <s v="GI00N10300004D"/>
    <s v="GI00N10300004D PREVENCIÓN SITUACIONAL Y CONVIVENCIA PAC"/>
    <s v="73 BIENES Y SERVICIOS PARA INVERSIÓN"/>
    <s v="730807 Materiales de Impresión, Fotografía, Rep"/>
    <s v="G/730807/1FN103"/>
    <s v="001"/>
    <n v="1000"/>
    <n v="0"/>
    <n v="0"/>
    <n v="1000"/>
    <n v="0"/>
    <n v="0"/>
    <n v="0"/>
    <n v="1000"/>
    <n v="1000"/>
    <n v="1000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808 Instrumental Médico Quirúrgico"/>
    <s v="G/730808/1NN103"/>
    <s v="001"/>
    <n v="950"/>
    <n v="0"/>
    <n v="0"/>
    <n v="950"/>
    <n v="0"/>
    <n v="0"/>
    <n v="0"/>
    <n v="950"/>
    <n v="950"/>
    <n v="950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809 Medicamentos"/>
    <s v="G/730809/1NN103"/>
    <s v="001"/>
    <n v="1250"/>
    <n v="0"/>
    <n v="0"/>
    <n v="1250"/>
    <n v="0"/>
    <n v="0"/>
    <n v="0"/>
    <n v="1250"/>
    <n v="1250"/>
    <n v="1250"/>
  </r>
  <r>
    <s v="73"/>
    <x v="2"/>
    <x v="11"/>
    <s v="ZC09F090"/>
    <x v="44"/>
    <s v="N103"/>
    <s v="QUITO SIN MIEDO"/>
    <s v="GI00N10300004D"/>
    <s v="GI00N10300004D PREVENCIÓN SITUACIONAL Y CONVIVENCIA PAC"/>
    <s v="73 BIENES Y SERVICIOS PARA INVERSIÓN"/>
    <s v="730811 Insumos, Materiales y Suministros para Cons"/>
    <s v="G/730811/1FN103"/>
    <s v="001"/>
    <n v="4700"/>
    <n v="0"/>
    <n v="0"/>
    <n v="4700"/>
    <n v="0"/>
    <n v="0"/>
    <n v="0"/>
    <n v="4700"/>
    <n v="4700"/>
    <n v="4700"/>
  </r>
  <r>
    <s v="73"/>
    <x v="2"/>
    <x v="11"/>
    <s v="ZS03F030"/>
    <x v="38"/>
    <s v="N103"/>
    <s v="QUITO SIN MIEDO"/>
    <s v="GI00N10300004D"/>
    <s v="GI00N10300004D PREVENCIÓN SITUACIONAL Y CONVIVENCIA PAC"/>
    <s v="73 BIENES Y SERVICIOS PARA INVERSIÓN"/>
    <s v="730811 Insumos, Materiales y Suministros para Cons"/>
    <s v="G/730811/1FN103"/>
    <s v="001"/>
    <n v="4500"/>
    <n v="0"/>
    <n v="0"/>
    <n v="4500"/>
    <n v="0"/>
    <n v="0"/>
    <n v="0"/>
    <n v="4500"/>
    <n v="4500"/>
    <n v="4500"/>
  </r>
  <r>
    <s v="73"/>
    <x v="2"/>
    <x v="5"/>
    <s v="ZA01N000"/>
    <x v="10"/>
    <s v="N103"/>
    <s v="QUITO SIN MIEDO"/>
    <s v="GI00N10300004D"/>
    <s v="GI00N10300004D PREVENCIÓN SITUACIONAL Y CONVIVENCIA PAC"/>
    <s v="73 BIENES Y SERVICIOS PARA INVERSIÓN"/>
    <s v="730811 Insumos, Materiales y Suministros para Cons"/>
    <s v="G/730811/1NN103"/>
    <s v="001"/>
    <n v="20000"/>
    <n v="0"/>
    <n v="0"/>
    <n v="20000"/>
    <n v="0"/>
    <n v="0"/>
    <n v="0"/>
    <n v="20000"/>
    <n v="20000"/>
    <n v="20000"/>
  </r>
  <r>
    <s v="73"/>
    <x v="2"/>
    <x v="11"/>
    <s v="TM68F100"/>
    <x v="34"/>
    <s v="N103"/>
    <s v="QUITO SIN MIEDO"/>
    <s v="GI00N10300004D"/>
    <s v="GI00N10300004D PREVENCIÓN SITUACIONAL Y CONVIVENCIA PAC"/>
    <s v="73 BIENES Y SERVICIOS PARA INVERSIÓN"/>
    <s v="730811 Insumos, Materiales y Suministros para Cons"/>
    <s v="G/730811/1FN103"/>
    <s v="001"/>
    <n v="500"/>
    <n v="0"/>
    <n v="0"/>
    <n v="500"/>
    <n v="0"/>
    <n v="497.17"/>
    <n v="497.17"/>
    <n v="2.83"/>
    <n v="2.83"/>
    <n v="2.83"/>
  </r>
  <r>
    <s v="73"/>
    <x v="2"/>
    <x v="11"/>
    <s v="ZV05F050"/>
    <x v="37"/>
    <s v="N103"/>
    <s v="QUITO SIN MIEDO"/>
    <s v="GI00N10300004D"/>
    <s v="GI00N10300004D PREVENCIÓN SITUACIONAL Y CONVIVENCIA PAC"/>
    <s v="73 BIENES Y SERVICIOS PARA INVERSIÓN"/>
    <s v="730811 Insumos, Materiales y Suministros para Cons"/>
    <s v="G/730811/1FN103"/>
    <s v="001"/>
    <n v="5500"/>
    <n v="0"/>
    <n v="0"/>
    <n v="5500"/>
    <n v="0"/>
    <n v="0"/>
    <n v="0"/>
    <n v="5500"/>
    <n v="5500"/>
    <n v="5500"/>
  </r>
  <r>
    <s v="73"/>
    <x v="2"/>
    <x v="11"/>
    <s v="ZQ08F080"/>
    <x v="39"/>
    <s v="N103"/>
    <s v="QUITO SIN MIEDO"/>
    <s v="GI00N10300004D"/>
    <s v="GI00N10300004D PREVENCIÓN SITUACIONAL Y CONVIVENCIA PAC"/>
    <s v="73 BIENES Y SERVICIOS PARA INVERSIÓN"/>
    <s v="730811 Insumos, Materiales y Suministros para Cons"/>
    <s v="G/730811/1FN103"/>
    <s v="001"/>
    <n v="5500"/>
    <n v="0"/>
    <n v="0"/>
    <n v="5500"/>
    <n v="0"/>
    <n v="0"/>
    <n v="0"/>
    <n v="5500"/>
    <n v="5500"/>
    <n v="5500"/>
  </r>
  <r>
    <s v="73"/>
    <x v="2"/>
    <x v="11"/>
    <s v="ZT06F060"/>
    <x v="25"/>
    <s v="N103"/>
    <s v="QUITO SIN MIEDO"/>
    <s v="GI00N10300004D"/>
    <s v="GI00N10300004D PREVENCIÓN SITUACIONAL Y CONVIVENCIA PAC"/>
    <s v="73 BIENES Y SERVICIOS PARA INVERSIÓN"/>
    <s v="730811 Insumos, Materiales y Suministros para Cons"/>
    <s v="G/730811/1FN103"/>
    <s v="001"/>
    <n v="3500"/>
    <n v="0"/>
    <n v="0"/>
    <n v="3500"/>
    <n v="0"/>
    <n v="0"/>
    <n v="0"/>
    <n v="3500"/>
    <n v="3500"/>
    <n v="3500"/>
  </r>
  <r>
    <s v="73"/>
    <x v="2"/>
    <x v="11"/>
    <s v="ZD07F070"/>
    <x v="43"/>
    <s v="N103"/>
    <s v="QUITO SIN MIEDO"/>
    <s v="GI00N10300004D"/>
    <s v="GI00N10300004D PREVENCIÓN SITUACIONAL Y CONVIVENCIA PAC"/>
    <s v="73 BIENES Y SERVICIOS PARA INVERSIÓN"/>
    <s v="730811 Insumos, Materiales y Suministros para Cons"/>
    <s v="G/730811/1FN103"/>
    <s v="001"/>
    <n v="5500"/>
    <n v="0"/>
    <n v="0"/>
    <n v="5500"/>
    <n v="0"/>
    <n v="3632.72"/>
    <n v="3632.72"/>
    <n v="1867.28"/>
    <n v="1867.28"/>
    <n v="1867.28"/>
  </r>
  <r>
    <s v="73"/>
    <x v="2"/>
    <x v="11"/>
    <s v="ZM04F040"/>
    <x v="41"/>
    <s v="N103"/>
    <s v="QUITO SIN MIEDO"/>
    <s v="GI00N10300004D"/>
    <s v="GI00N10300004D PREVENCIÓN SITUACIONAL Y CONVIVENCIA PAC"/>
    <s v="73 BIENES Y SERVICIOS PARA INVERSIÓN"/>
    <s v="730811 Insumos, Materiales y Suministros para Cons"/>
    <s v="G/730811/1FN103"/>
    <s v="001"/>
    <n v="5500"/>
    <n v="0"/>
    <n v="0"/>
    <n v="5500"/>
    <n v="0"/>
    <n v="0"/>
    <n v="0"/>
    <n v="5500"/>
    <n v="5500"/>
    <n v="5500"/>
  </r>
  <r>
    <s v="73"/>
    <x v="2"/>
    <x v="11"/>
    <s v="ZN02F020"/>
    <x v="40"/>
    <s v="N103"/>
    <s v="QUITO SIN MIEDO"/>
    <s v="GI00N10300004D"/>
    <s v="GI00N10300004D PREVENCIÓN SITUACIONAL Y CONVIVENCIA PAC"/>
    <s v="73 BIENES Y SERVICIOS PARA INVERSIÓN"/>
    <s v="730811 Insumos, Materiales y Suministros para Cons"/>
    <s v="G/730811/1FN103"/>
    <s v="001"/>
    <n v="5500"/>
    <n v="-5500"/>
    <n v="0"/>
    <n v="0"/>
    <n v="0"/>
    <n v="0"/>
    <n v="0"/>
    <n v="0"/>
    <n v="0"/>
    <n v="0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812 Materiales Didácticos"/>
    <s v="G/730812/1NN103"/>
    <s v="001"/>
    <n v="4000"/>
    <n v="0"/>
    <n v="0"/>
    <n v="4000"/>
    <n v="0"/>
    <n v="0"/>
    <n v="0"/>
    <n v="4000"/>
    <n v="4000"/>
    <n v="4000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813 Repuestos y Accesorios"/>
    <s v="G/730813/1NN103"/>
    <s v="001"/>
    <n v="514000"/>
    <n v="0"/>
    <n v="0"/>
    <n v="514000"/>
    <n v="46494.18"/>
    <n v="142667.12"/>
    <n v="96236.27"/>
    <n v="371332.88"/>
    <n v="417763.73"/>
    <n v="324838.7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820 Menaje y Accesorios Descartables"/>
    <s v="G/730820/1NN103"/>
    <s v="001"/>
    <n v="100"/>
    <n v="0"/>
    <n v="0"/>
    <n v="100"/>
    <n v="0"/>
    <n v="0"/>
    <n v="0"/>
    <n v="100"/>
    <n v="100"/>
    <n v="100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823 Egresos para Sanidad Agropecuaria"/>
    <s v="G/730823/1NN103"/>
    <s v="001"/>
    <n v="124000"/>
    <n v="0"/>
    <n v="0"/>
    <n v="124000"/>
    <n v="85279.85"/>
    <n v="11168.69"/>
    <n v="5958.79"/>
    <n v="112831.31"/>
    <n v="118041.21"/>
    <n v="27551.46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826 Dispositivos Médicos de Uso General"/>
    <s v="G/730826/1NN103"/>
    <s v="001"/>
    <n v="67000"/>
    <n v="0"/>
    <n v="0"/>
    <n v="67000"/>
    <n v="0"/>
    <n v="0"/>
    <n v="0"/>
    <n v="67000"/>
    <n v="67000"/>
    <n v="67000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0832 Dispositivos Médicos para Odontología"/>
    <s v="G/730832/1NN103"/>
    <s v="001"/>
    <n v="7200"/>
    <n v="0"/>
    <n v="0"/>
    <n v="7200"/>
    <n v="0"/>
    <n v="0"/>
    <n v="0"/>
    <n v="7200"/>
    <n v="7200"/>
    <n v="7200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1404 Maquinarias y Equipos"/>
    <s v="G/731404/1NN103"/>
    <s v="001"/>
    <n v="73418"/>
    <n v="0"/>
    <n v="0"/>
    <n v="73418"/>
    <n v="0"/>
    <n v="0"/>
    <n v="0"/>
    <n v="73418"/>
    <n v="73418"/>
    <n v="73418"/>
  </r>
  <r>
    <s v="73"/>
    <x v="2"/>
    <x v="5"/>
    <s v="ZA01N000"/>
    <x v="10"/>
    <s v="N103"/>
    <s v="QUITO SIN MIEDO"/>
    <s v="GI00N10300004D"/>
    <s v="GI00N10300004D PREVENCIÓN SITUACIONAL Y CONVIVENCIA PAC"/>
    <s v="73 BIENES Y SERVICIOS PARA INVERSIÓN"/>
    <s v="731404 Maquinarias y Equipos"/>
    <s v="G/731404/1NN103"/>
    <s v="001"/>
    <n v="0"/>
    <n v="1881.6"/>
    <n v="0"/>
    <n v="1881.6"/>
    <n v="645.12"/>
    <n v="1236.48"/>
    <n v="1236.48"/>
    <n v="645.12"/>
    <n v="645.12"/>
    <n v="0"/>
  </r>
  <r>
    <s v="73"/>
    <x v="2"/>
    <x v="11"/>
    <s v="ZS03F030"/>
    <x v="38"/>
    <s v="N103"/>
    <s v="QUITO SIN MIEDO"/>
    <s v="GI00N10300004D"/>
    <s v="GI00N10300004D PREVENCIÓN SITUACIONAL Y CONVIVENCIA PAC"/>
    <s v="73 BIENES Y SERVICIOS PARA INVERSIÓN"/>
    <s v="731406 Herramientas y equipos menores"/>
    <s v="G/731406/1FN103"/>
    <s v="001"/>
    <n v="1000"/>
    <n v="0"/>
    <n v="0"/>
    <n v="1000"/>
    <n v="0"/>
    <n v="0"/>
    <n v="0"/>
    <n v="1000"/>
    <n v="1000"/>
    <n v="1000"/>
  </r>
  <r>
    <s v="73"/>
    <x v="2"/>
    <x v="5"/>
    <s v="PM71N010"/>
    <x v="27"/>
    <s v="N103"/>
    <s v="QUITO SIN MIEDO"/>
    <s v="GI00N10300004D"/>
    <s v="GI00N10300004D PREVENCIÓN SITUACIONAL Y CONVIVENCIA PAC"/>
    <s v="73 BIENES Y SERVICIOS PARA INVERSIÓN"/>
    <s v="731406 Herramientas y equipos menores"/>
    <s v="G/731406/1NN103"/>
    <s v="001"/>
    <n v="355"/>
    <n v="0"/>
    <n v="0"/>
    <n v="355"/>
    <n v="0"/>
    <n v="0"/>
    <n v="0"/>
    <n v="355"/>
    <n v="355"/>
    <n v="355"/>
  </r>
  <r>
    <s v="73"/>
    <x v="2"/>
    <x v="5"/>
    <s v="ZA01N000"/>
    <x v="10"/>
    <s v="N103"/>
    <s v="QUITO SIN MIEDO"/>
    <s v="GI00N10300007D"/>
    <s v="GI00N10300007D SISTEMA DE INDICADORES DE SEGURIDAD CIUD"/>
    <s v="73 BIENES Y SERVICIOS PARA INVERSIÓN"/>
    <s v="730204 Edición, Impresión, Reproducción, Public"/>
    <s v="G/730204/1NN103"/>
    <s v="001"/>
    <n v="0"/>
    <n v="10000"/>
    <n v="0"/>
    <n v="10000"/>
    <n v="0"/>
    <n v="0"/>
    <n v="0"/>
    <n v="10000"/>
    <n v="10000"/>
    <n v="10000"/>
  </r>
  <r>
    <s v="73"/>
    <x v="2"/>
    <x v="5"/>
    <s v="ZA01N000"/>
    <x v="10"/>
    <s v="N103"/>
    <s v="QUITO SIN MIEDO"/>
    <s v="GI00N10300007D"/>
    <s v="GI00N10300007D SISTEMA DE INDICADORES DE SEGURIDAD CIUD"/>
    <s v="73 BIENES Y SERVICIOS PARA INVERSIÓN"/>
    <s v="730205 Espectáculos Culturales y Sociales"/>
    <s v="G/730205/1NN103"/>
    <s v="001"/>
    <n v="149500"/>
    <n v="-149500"/>
    <n v="0"/>
    <n v="0"/>
    <n v="0"/>
    <n v="0"/>
    <n v="0"/>
    <n v="0"/>
    <n v="0"/>
    <n v="0"/>
  </r>
  <r>
    <s v="73"/>
    <x v="2"/>
    <x v="5"/>
    <s v="ZA01N000"/>
    <x v="10"/>
    <s v="N103"/>
    <s v="QUITO SIN MIEDO"/>
    <s v="GI00N10300007D"/>
    <s v="GI00N10300007D SISTEMA DE INDICADORES DE SEGURIDAD CIUD"/>
    <s v="73 BIENES Y SERVICIOS PARA INVERSIÓN"/>
    <s v="730607 Servicios Técnicos Especializados"/>
    <s v="G/730607/1NN103"/>
    <s v="001"/>
    <n v="0"/>
    <n v="130500"/>
    <n v="0"/>
    <n v="130500"/>
    <n v="0"/>
    <n v="0"/>
    <n v="0"/>
    <n v="130500"/>
    <n v="130500"/>
    <n v="130500"/>
  </r>
  <r>
    <s v="73"/>
    <x v="2"/>
    <x v="5"/>
    <s v="ZA01N000"/>
    <x v="10"/>
    <s v="N301"/>
    <s v="GESTION DE RIESGOS"/>
    <s v="GI00N30100004D"/>
    <s v="GI00N30100004D ANÁLISIS DE RIESGOS NATURALES Y ANTRÓPIC"/>
    <s v="73 BIENES Y SERVICIOS PARA INVERSIÓN"/>
    <s v="730204 Edición, Impresión, Reproducción, Public"/>
    <s v="G/730204/3NN301"/>
    <s v="001"/>
    <n v="55000"/>
    <n v="0"/>
    <n v="0"/>
    <n v="55000"/>
    <n v="0"/>
    <n v="0"/>
    <n v="0"/>
    <n v="55000"/>
    <n v="55000"/>
    <n v="55000"/>
  </r>
  <r>
    <s v="73"/>
    <x v="2"/>
    <x v="11"/>
    <s v="ZM04F040"/>
    <x v="41"/>
    <s v="N301"/>
    <s v="GESTION DE RIESGOS"/>
    <s v="GI00N30100005D"/>
    <s v="GI00N30100005D REDUCCIÓN DE RIESGOS DE DESASTRES EN EL"/>
    <s v="73 BIENES Y SERVICIOS PARA INVERSIÓN"/>
    <s v="730202 Fletes y Maniobras"/>
    <s v="G/730202/3FN301"/>
    <s v="001"/>
    <n v="2000"/>
    <n v="0"/>
    <n v="0"/>
    <n v="2000"/>
    <n v="0"/>
    <n v="0"/>
    <n v="0"/>
    <n v="2000"/>
    <n v="2000"/>
    <n v="2000"/>
  </r>
  <r>
    <s v="73"/>
    <x v="2"/>
    <x v="11"/>
    <s v="ZD07F070"/>
    <x v="43"/>
    <s v="N301"/>
    <s v="GESTION DE RIESGOS"/>
    <s v="GI00N30100005D"/>
    <s v="GI00N30100005D REDUCCIÓN DE RIESGOS DE DESASTRES EN EL"/>
    <s v="73 BIENES Y SERVICIOS PARA INVERSIÓN"/>
    <s v="730204 Edición, Impresión, Reproducción, Public"/>
    <s v="G/730204/3FN301"/>
    <s v="001"/>
    <n v="2000"/>
    <n v="0"/>
    <n v="0"/>
    <n v="2000"/>
    <n v="0"/>
    <n v="0"/>
    <n v="0"/>
    <n v="2000"/>
    <n v="2000"/>
    <n v="2000"/>
  </r>
  <r>
    <s v="73"/>
    <x v="2"/>
    <x v="11"/>
    <s v="ZC09F090"/>
    <x v="44"/>
    <s v="N301"/>
    <s v="GESTION DE RIESGOS"/>
    <s v="GI00N30100005D"/>
    <s v="GI00N30100005D REDUCCIÓN DE RIESGOS DE DESASTRES EN EL"/>
    <s v="73 BIENES Y SERVICIOS PARA INVERSIÓN"/>
    <s v="730204 Edición, Impresión, Reproducción, Public"/>
    <s v="G/730204/3FN301"/>
    <s v="001"/>
    <n v="100"/>
    <n v="0"/>
    <n v="0"/>
    <n v="100"/>
    <n v="0"/>
    <n v="0"/>
    <n v="0"/>
    <n v="100"/>
    <n v="100"/>
    <n v="100"/>
  </r>
  <r>
    <s v="73"/>
    <x v="2"/>
    <x v="11"/>
    <s v="ZM04F040"/>
    <x v="41"/>
    <s v="N301"/>
    <s v="GESTION DE RIESGOS"/>
    <s v="GI00N30100005D"/>
    <s v="GI00N30100005D REDUCCIÓN DE RIESGOS DE DESASTRES EN EL"/>
    <s v="73 BIENES Y SERVICIOS PARA INVERSIÓN"/>
    <s v="730204 Edición, Impresión, Reproducción, Public"/>
    <s v="G/730204/3FN301"/>
    <s v="001"/>
    <n v="8000"/>
    <n v="0"/>
    <n v="0"/>
    <n v="8000"/>
    <n v="0"/>
    <n v="0"/>
    <n v="0"/>
    <n v="8000"/>
    <n v="8000"/>
    <n v="8000"/>
  </r>
  <r>
    <s v="73"/>
    <x v="2"/>
    <x v="11"/>
    <s v="ZS03F030"/>
    <x v="38"/>
    <s v="N301"/>
    <s v="GESTION DE RIESGOS"/>
    <s v="GI00N30100005D"/>
    <s v="GI00N30100005D REDUCCIÓN DE RIESGOS DE DESASTRES EN EL"/>
    <s v="73 BIENES Y SERVICIOS PARA INVERSIÓN"/>
    <s v="730204 Edición, Impresión, Reproducción, Public"/>
    <s v="G/730204/3FN301"/>
    <s v="001"/>
    <n v="1000"/>
    <n v="0"/>
    <n v="0"/>
    <n v="1000"/>
    <n v="0"/>
    <n v="0"/>
    <n v="0"/>
    <n v="1000"/>
    <n v="1000"/>
    <n v="1000"/>
  </r>
  <r>
    <s v="73"/>
    <x v="2"/>
    <x v="5"/>
    <s v="PM71N010"/>
    <x v="27"/>
    <s v="N301"/>
    <s v="GESTION DE RIESGOS"/>
    <s v="GI00N30100005D"/>
    <s v="GI00N30100005D REDUCCIÓN DE RIESGOS DE DESASTRES EN EL"/>
    <s v="73 BIENES Y SERVICIOS PARA INVERSIÓN"/>
    <s v="730204 Edición, Impresión, Reproducción, Public"/>
    <s v="G/730204/3NN301"/>
    <s v="001"/>
    <n v="9000"/>
    <n v="0"/>
    <n v="0"/>
    <n v="9000"/>
    <n v="0"/>
    <n v="0"/>
    <n v="0"/>
    <n v="9000"/>
    <n v="9000"/>
    <n v="9000"/>
  </r>
  <r>
    <s v="73"/>
    <x v="2"/>
    <x v="11"/>
    <s v="ZV05F050"/>
    <x v="37"/>
    <s v="N301"/>
    <s v="GESTION DE RIESGOS"/>
    <s v="GI00N30100005D"/>
    <s v="GI00N30100005D REDUCCIÓN DE RIESGOS DE DESASTRES EN EL"/>
    <s v="73 BIENES Y SERVICIOS PARA INVERSIÓN"/>
    <s v="730204 Edición, Impresión, Reproducción, Public"/>
    <s v="G/730204/3FN301"/>
    <s v="001"/>
    <n v="1500"/>
    <n v="0"/>
    <n v="0"/>
    <n v="1500"/>
    <n v="0"/>
    <n v="0"/>
    <n v="0"/>
    <n v="1500"/>
    <n v="1500"/>
    <n v="1500"/>
  </r>
  <r>
    <s v="73"/>
    <x v="2"/>
    <x v="11"/>
    <s v="ZV05F050"/>
    <x v="37"/>
    <s v="N301"/>
    <s v="GESTION DE RIESGOS"/>
    <s v="GI00N30100005D"/>
    <s v="GI00N30100005D REDUCCIÓN DE RIESGOS DE DESASTRES EN EL"/>
    <s v="73 BIENES Y SERVICIOS PARA INVERSIÓN"/>
    <s v="730205 Espectáculos Culturales y Sociales"/>
    <s v="G/730205/3FN301"/>
    <s v="001"/>
    <n v="4000"/>
    <n v="-4000"/>
    <n v="0"/>
    <n v="0"/>
    <n v="0"/>
    <n v="0"/>
    <n v="0"/>
    <n v="0"/>
    <n v="0"/>
    <n v="0"/>
  </r>
  <r>
    <s v="73"/>
    <x v="2"/>
    <x v="11"/>
    <s v="ZC09F090"/>
    <x v="44"/>
    <s v="N301"/>
    <s v="GESTION DE RIESGOS"/>
    <s v="GI00N30100005D"/>
    <s v="GI00N30100005D REDUCCIÓN DE RIESGOS DE DESASTRES EN EL"/>
    <s v="73 BIENES Y SERVICIOS PARA INVERSIÓN"/>
    <s v="730209 Servicios de Aseo, Lavado de Vestimenta"/>
    <s v="G/730209/3FN301"/>
    <s v="001"/>
    <n v="300"/>
    <n v="0"/>
    <n v="0"/>
    <n v="300"/>
    <n v="0"/>
    <n v="0"/>
    <n v="0"/>
    <n v="300"/>
    <n v="300"/>
    <n v="300"/>
  </r>
  <r>
    <s v="73"/>
    <x v="2"/>
    <x v="11"/>
    <s v="ZD07F070"/>
    <x v="43"/>
    <s v="N301"/>
    <s v="GESTION DE RIESGOS"/>
    <s v="GI00N30100005D"/>
    <s v="GI00N30100005D REDUCCIÓN DE RIESGOS DE DESASTRES EN EL"/>
    <s v="73 BIENES Y SERVICIOS PARA INVERSIÓN"/>
    <s v="730209 Servicios de Aseo, Lavado de Vestimenta"/>
    <s v="G/730209/3FN301"/>
    <s v="001"/>
    <n v="1000"/>
    <n v="0"/>
    <n v="0"/>
    <n v="1000"/>
    <n v="0"/>
    <n v="537.6"/>
    <n v="537.6"/>
    <n v="462.4"/>
    <n v="462.4"/>
    <n v="462.4"/>
  </r>
  <r>
    <s v="73"/>
    <x v="2"/>
    <x v="11"/>
    <s v="ZC09F090"/>
    <x v="44"/>
    <s v="N301"/>
    <s v="GESTION DE RIESGOS"/>
    <s v="GI00N30100005D"/>
    <s v="GI00N30100005D REDUCCIÓN DE RIESGOS DE DESASTRES EN EL"/>
    <s v="73 BIENES Y SERVICIOS PARA INVERSIÓN"/>
    <s v="730418 Mantenimiento de Áreas Verdes y Arreglo"/>
    <s v="G/730418/3FN301"/>
    <s v="001"/>
    <n v="4000"/>
    <n v="0"/>
    <n v="0"/>
    <n v="4000"/>
    <n v="0"/>
    <n v="0"/>
    <n v="0"/>
    <n v="4000"/>
    <n v="4000"/>
    <n v="4000"/>
  </r>
  <r>
    <s v="73"/>
    <x v="2"/>
    <x v="11"/>
    <s v="ZQ08F080"/>
    <x v="39"/>
    <s v="N301"/>
    <s v="GESTION DE RIESGOS"/>
    <s v="GI00N30100005D"/>
    <s v="GI00N30100005D REDUCCIÓN DE RIESGOS DE DESASTRES EN EL"/>
    <s v="73 BIENES Y SERVICIOS PARA INVERSIÓN"/>
    <s v="730418 Mantenimiento de Áreas Verdes y Arreglo"/>
    <s v="G/730418/3FN301"/>
    <s v="001"/>
    <n v="18942"/>
    <n v="0"/>
    <n v="0"/>
    <n v="18942"/>
    <n v="0"/>
    <n v="0"/>
    <n v="0"/>
    <n v="18942"/>
    <n v="18942"/>
    <n v="18942"/>
  </r>
  <r>
    <s v="73"/>
    <x v="2"/>
    <x v="11"/>
    <s v="ZS03F030"/>
    <x v="38"/>
    <s v="N301"/>
    <s v="GESTION DE RIESGOS"/>
    <s v="GI00N30100005D"/>
    <s v="GI00N30100005D REDUCCIÓN DE RIESGOS DE DESASTRES EN EL"/>
    <s v="73 BIENES Y SERVICIOS PARA INVERSIÓN"/>
    <s v="730504 Maquinarias y Equipos (Arrendamiento)"/>
    <s v="G/730504/3FN301"/>
    <s v="001"/>
    <n v="11000"/>
    <n v="0"/>
    <n v="0"/>
    <n v="11000"/>
    <n v="11000"/>
    <n v="0"/>
    <n v="0"/>
    <n v="11000"/>
    <n v="11000"/>
    <n v="0"/>
  </r>
  <r>
    <s v="73"/>
    <x v="2"/>
    <x v="11"/>
    <s v="ZD07F070"/>
    <x v="43"/>
    <s v="N301"/>
    <s v="GESTION DE RIESGOS"/>
    <s v="GI00N30100005D"/>
    <s v="GI00N30100005D REDUCCIÓN DE RIESGOS DE DESASTRES EN EL"/>
    <s v="73 BIENES Y SERVICIOS PARA INVERSIÓN"/>
    <s v="730504 Maquinarias y Equipos (Arrendamiento)"/>
    <s v="G/730504/3FN301"/>
    <s v="001"/>
    <n v="5500"/>
    <n v="0"/>
    <n v="0"/>
    <n v="5500"/>
    <n v="0"/>
    <n v="5488"/>
    <n v="0"/>
    <n v="12"/>
    <n v="5500"/>
    <n v="12"/>
  </r>
  <r>
    <s v="73"/>
    <x v="2"/>
    <x v="11"/>
    <s v="ZS03F030"/>
    <x v="38"/>
    <s v="N301"/>
    <s v="GESTION DE RIESGOS"/>
    <s v="GI00N30100005D"/>
    <s v="GI00N30100005D REDUCCIÓN DE RIESGOS DE DESASTRES EN EL"/>
    <s v="73 BIENES Y SERVICIOS PARA INVERSIÓN"/>
    <s v="730606 Honorarios por Contratos Civiles de Servici"/>
    <s v="G/730606/3FN301"/>
    <s v="001"/>
    <n v="16700"/>
    <n v="0"/>
    <n v="0"/>
    <n v="16700"/>
    <n v="0"/>
    <n v="0"/>
    <n v="0"/>
    <n v="16700"/>
    <n v="16700"/>
    <n v="16700"/>
  </r>
  <r>
    <s v="73"/>
    <x v="2"/>
    <x v="11"/>
    <s v="ZT06F060"/>
    <x v="25"/>
    <s v="N301"/>
    <s v="GESTION DE RIESGOS"/>
    <s v="GI00N30100005D"/>
    <s v="GI00N30100005D REDUCCIÓN DE RIESGOS DE DESASTRES EN EL"/>
    <s v="73 BIENES Y SERVICIOS PARA INVERSIÓN"/>
    <s v="730606 Honorarios por Contratos Civiles de Servici"/>
    <s v="G/730606/3FN301"/>
    <s v="001"/>
    <n v="29000"/>
    <n v="0"/>
    <n v="0"/>
    <n v="29000"/>
    <n v="0"/>
    <n v="0"/>
    <n v="0"/>
    <n v="29000"/>
    <n v="29000"/>
    <n v="29000"/>
  </r>
  <r>
    <s v="73"/>
    <x v="2"/>
    <x v="11"/>
    <s v="ZN02F020"/>
    <x v="40"/>
    <s v="N301"/>
    <s v="GESTION DE RIESGOS"/>
    <s v="GI00N30100005D"/>
    <s v="GI00N30100005D REDUCCIÓN DE RIESGOS DE DESASTRES EN EL"/>
    <s v="73 BIENES Y SERVICIOS PARA INVERSIÓN"/>
    <s v="730606 Honorarios por Contratos Civiles de Servici"/>
    <s v="G/730606/3FN301"/>
    <s v="001"/>
    <n v="10000"/>
    <n v="0"/>
    <n v="0"/>
    <n v="10000"/>
    <n v="0"/>
    <n v="0"/>
    <n v="0"/>
    <n v="10000"/>
    <n v="10000"/>
    <n v="10000"/>
  </r>
  <r>
    <s v="73"/>
    <x v="2"/>
    <x v="11"/>
    <s v="ZQ08F080"/>
    <x v="39"/>
    <s v="N301"/>
    <s v="GESTION DE RIESGOS"/>
    <s v="GI00N30100005D"/>
    <s v="GI00N30100005D REDUCCIÓN DE RIESGOS DE DESASTRES EN EL"/>
    <s v="73 BIENES Y SERVICIOS PARA INVERSIÓN"/>
    <s v="730606 Honorarios por Contratos Civiles de Servici"/>
    <s v="G/730606/3FN301"/>
    <s v="001"/>
    <n v="30258"/>
    <n v="0"/>
    <n v="0"/>
    <n v="30258"/>
    <n v="0"/>
    <n v="0"/>
    <n v="0"/>
    <n v="30258"/>
    <n v="30258"/>
    <n v="30258"/>
  </r>
  <r>
    <s v="73"/>
    <x v="2"/>
    <x v="11"/>
    <s v="ZD07F070"/>
    <x v="43"/>
    <s v="N301"/>
    <s v="GESTION DE RIESGOS"/>
    <s v="GI00N30100005D"/>
    <s v="GI00N30100005D REDUCCIÓN DE RIESGOS DE DESASTRES EN EL"/>
    <s v="73 BIENES Y SERVICIOS PARA INVERSIÓN"/>
    <s v="730802 Vestuario, Lencería, Prendas de Protecci"/>
    <s v="G/730802/3FN301"/>
    <s v="001"/>
    <n v="5000"/>
    <n v="0"/>
    <n v="0"/>
    <n v="5000"/>
    <n v="0"/>
    <n v="0"/>
    <n v="0"/>
    <n v="5000"/>
    <n v="5000"/>
    <n v="5000"/>
  </r>
  <r>
    <s v="73"/>
    <x v="2"/>
    <x v="11"/>
    <s v="ZC09F090"/>
    <x v="44"/>
    <s v="N301"/>
    <s v="GESTION DE RIESGOS"/>
    <s v="GI00N30100005D"/>
    <s v="GI00N30100005D REDUCCIÓN DE RIESGOS DE DESASTRES EN EL"/>
    <s v="73 BIENES Y SERVICIOS PARA INVERSIÓN"/>
    <s v="730802 Vestuario, Lencería, Prendas de Protecci"/>
    <s v="G/730802/3FN301"/>
    <s v="001"/>
    <n v="900"/>
    <n v="0"/>
    <n v="0"/>
    <n v="900"/>
    <n v="0"/>
    <n v="0"/>
    <n v="0"/>
    <n v="900"/>
    <n v="900"/>
    <n v="900"/>
  </r>
  <r>
    <s v="73"/>
    <x v="2"/>
    <x v="11"/>
    <s v="ZD07F070"/>
    <x v="43"/>
    <s v="N301"/>
    <s v="GESTION DE RIESGOS"/>
    <s v="GI00N30100005D"/>
    <s v="GI00N30100005D REDUCCIÓN DE RIESGOS DE DESASTRES EN EL"/>
    <s v="73 BIENES Y SERVICIOS PARA INVERSIÓN"/>
    <s v="730805 Materiales de Aseo"/>
    <s v="G/730805/3FN301"/>
    <s v="001"/>
    <n v="1000"/>
    <n v="0"/>
    <n v="0"/>
    <n v="1000"/>
    <n v="0"/>
    <n v="0"/>
    <n v="0"/>
    <n v="1000"/>
    <n v="1000"/>
    <n v="1000"/>
  </r>
  <r>
    <s v="73"/>
    <x v="2"/>
    <x v="11"/>
    <s v="ZM04F040"/>
    <x v="41"/>
    <s v="N301"/>
    <s v="GESTION DE RIESGOS"/>
    <s v="GI00N30100005D"/>
    <s v="GI00N30100005D REDUCCIÓN DE RIESGOS DE DESASTRES EN EL"/>
    <s v="73 BIENES Y SERVICIOS PARA INVERSIÓN"/>
    <s v="730811 Insumos, Materiales y Suministros para Cons"/>
    <s v="G/730811/3FN301"/>
    <s v="001"/>
    <n v="23000"/>
    <n v="0"/>
    <n v="0"/>
    <n v="23000"/>
    <n v="0"/>
    <n v="0"/>
    <n v="0"/>
    <n v="23000"/>
    <n v="23000"/>
    <n v="23000"/>
  </r>
  <r>
    <s v="73"/>
    <x v="2"/>
    <x v="11"/>
    <s v="ZV05F050"/>
    <x v="37"/>
    <s v="N301"/>
    <s v="GESTION DE RIESGOS"/>
    <s v="GI00N30100005D"/>
    <s v="GI00N30100005D REDUCCIÓN DE RIESGOS DE DESASTRES EN EL"/>
    <s v="73 BIENES Y SERVICIOS PARA INVERSIÓN"/>
    <s v="730811 Insumos, Materiales y Suministros para Cons"/>
    <s v="G/730811/3FN301"/>
    <s v="001"/>
    <n v="9500"/>
    <n v="0"/>
    <n v="0"/>
    <n v="9500"/>
    <n v="0"/>
    <n v="0"/>
    <n v="0"/>
    <n v="9500"/>
    <n v="9500"/>
    <n v="9500"/>
  </r>
  <r>
    <s v="73"/>
    <x v="2"/>
    <x v="11"/>
    <s v="ZT06F060"/>
    <x v="25"/>
    <s v="N301"/>
    <s v="GESTION DE RIESGOS"/>
    <s v="GI00N30100005D"/>
    <s v="GI00N30100005D REDUCCIÓN DE RIESGOS DE DESASTRES EN EL"/>
    <s v="73 BIENES Y SERVICIOS PARA INVERSIÓN"/>
    <s v="730811 Insumos, Materiales y Suministros para Cons"/>
    <s v="G/730811/3FN301"/>
    <s v="001"/>
    <n v="4700"/>
    <n v="0"/>
    <n v="0"/>
    <n v="4700"/>
    <n v="0"/>
    <n v="0"/>
    <n v="0"/>
    <n v="4700"/>
    <n v="4700"/>
    <n v="4700"/>
  </r>
  <r>
    <s v="73"/>
    <x v="2"/>
    <x v="11"/>
    <s v="ZN02F020"/>
    <x v="40"/>
    <s v="N301"/>
    <s v="GESTION DE RIESGOS"/>
    <s v="GI00N30100005D"/>
    <s v="GI00N30100005D REDUCCIÓN DE RIESGOS DE DESASTRES EN EL"/>
    <s v="73 BIENES Y SERVICIOS PARA INVERSIÓN"/>
    <s v="730811 Insumos, Materiales y Suministros para Cons"/>
    <s v="G/730811/3FN301"/>
    <s v="001"/>
    <n v="1200"/>
    <n v="-1200"/>
    <n v="0"/>
    <n v="0"/>
    <n v="0"/>
    <n v="0"/>
    <n v="0"/>
    <n v="0"/>
    <n v="0"/>
    <n v="0"/>
  </r>
  <r>
    <s v="73"/>
    <x v="2"/>
    <x v="11"/>
    <s v="ZC09F090"/>
    <x v="44"/>
    <s v="N301"/>
    <s v="GESTION DE RIESGOS"/>
    <s v="GI00N30100005D"/>
    <s v="GI00N30100005D REDUCCIÓN DE RIESGOS DE DESASTRES EN EL"/>
    <s v="73 BIENES Y SERVICIOS PARA INVERSIÓN"/>
    <s v="730811 Insumos, Materiales y Suministros para Cons"/>
    <s v="G/730811/3FN301"/>
    <s v="001"/>
    <n v="2500"/>
    <n v="0"/>
    <n v="0"/>
    <n v="2500"/>
    <n v="0"/>
    <n v="0"/>
    <n v="0"/>
    <n v="2500"/>
    <n v="2500"/>
    <n v="2500"/>
  </r>
  <r>
    <s v="73"/>
    <x v="2"/>
    <x v="11"/>
    <s v="ZS03F030"/>
    <x v="38"/>
    <s v="N301"/>
    <s v="GESTION DE RIESGOS"/>
    <s v="GI00N30100005D"/>
    <s v="GI00N30100005D REDUCCIÓN DE RIESGOS DE DESASTRES EN EL"/>
    <s v="73 BIENES Y SERVICIOS PARA INVERSIÓN"/>
    <s v="730811 Insumos, Materiales y Suministros para Cons"/>
    <s v="G/730811/3FN301"/>
    <s v="001"/>
    <n v="2000"/>
    <n v="0"/>
    <n v="0"/>
    <n v="2000"/>
    <n v="0"/>
    <n v="0"/>
    <n v="0"/>
    <n v="2000"/>
    <n v="2000"/>
    <n v="2000"/>
  </r>
  <r>
    <s v="73"/>
    <x v="2"/>
    <x v="11"/>
    <s v="ZS03F030"/>
    <x v="38"/>
    <s v="N301"/>
    <s v="GESTION DE RIESGOS"/>
    <s v="GI00N30100005D"/>
    <s v="GI00N30100005D REDUCCIÓN DE RIESGOS DE DESASTRES EN EL"/>
    <s v="73 BIENES Y SERVICIOS PARA INVERSIÓN"/>
    <s v="730820 Menaje y Accesorios Descartables"/>
    <s v="G/730820/3FN301"/>
    <s v="001"/>
    <n v="6000"/>
    <n v="0"/>
    <n v="0"/>
    <n v="6000"/>
    <n v="0"/>
    <n v="0"/>
    <n v="0"/>
    <n v="6000"/>
    <n v="6000"/>
    <n v="6000"/>
  </r>
  <r>
    <s v="73"/>
    <x v="2"/>
    <x v="11"/>
    <s v="ZM04F040"/>
    <x v="41"/>
    <s v="N301"/>
    <s v="GESTION DE RIESGOS"/>
    <s v="GI00N30100005D"/>
    <s v="GI00N30100005D REDUCCIÓN DE RIESGOS DE DESASTRES EN EL"/>
    <s v="73 BIENES Y SERVICIOS PARA INVERSIÓN"/>
    <s v="730820 Menaje y Accesorios Descartables"/>
    <s v="G/730820/3FN301"/>
    <s v="001"/>
    <n v="2000"/>
    <n v="0"/>
    <n v="0"/>
    <n v="2000"/>
    <n v="0"/>
    <n v="0"/>
    <n v="0"/>
    <n v="2000"/>
    <n v="2000"/>
    <n v="2000"/>
  </r>
  <r>
    <s v="73"/>
    <x v="2"/>
    <x v="11"/>
    <s v="ZC09F090"/>
    <x v="44"/>
    <s v="N301"/>
    <s v="GESTION DE RIESGOS"/>
    <s v="GI00N30100005D"/>
    <s v="GI00N30100005D REDUCCIÓN DE RIESGOS DE DESASTRES EN EL"/>
    <s v="73 BIENES Y SERVICIOS PARA INVERSIÓN"/>
    <s v="730820 Menaje y Accesorios Descartables"/>
    <s v="G/730820/3FN301"/>
    <s v="001"/>
    <n v="4500"/>
    <n v="0"/>
    <n v="0"/>
    <n v="4500"/>
    <n v="0"/>
    <n v="0"/>
    <n v="0"/>
    <n v="4500"/>
    <n v="4500"/>
    <n v="4500"/>
  </r>
  <r>
    <s v="73"/>
    <x v="2"/>
    <x v="11"/>
    <s v="ZT06F060"/>
    <x v="25"/>
    <s v="N301"/>
    <s v="GESTION DE RIESGOS"/>
    <s v="GI00N30100005D"/>
    <s v="GI00N30100005D REDUCCIÓN DE RIESGOS DE DESASTRES EN EL"/>
    <s v="73 BIENES Y SERVICIOS PARA INVERSIÓN"/>
    <s v="730820 Menaje y Accesorios Descartables"/>
    <s v="G/730820/3FN301"/>
    <s v="001"/>
    <n v="1000"/>
    <n v="0"/>
    <n v="0"/>
    <n v="1000"/>
    <n v="0"/>
    <n v="0"/>
    <n v="0"/>
    <n v="1000"/>
    <n v="1000"/>
    <n v="1000"/>
  </r>
  <r>
    <s v="73"/>
    <x v="2"/>
    <x v="11"/>
    <s v="ZQ08F080"/>
    <x v="39"/>
    <s v="N301"/>
    <s v="GESTION DE RIESGOS"/>
    <s v="GI00N30100005D"/>
    <s v="GI00N30100005D REDUCCIÓN DE RIESGOS DE DESASTRES EN EL"/>
    <s v="73 BIENES Y SERVICIOS PARA INVERSIÓN"/>
    <s v="730820 Menaje y Accesorios Descartables"/>
    <s v="G/730820/3FN301"/>
    <s v="001"/>
    <n v="3000"/>
    <n v="0"/>
    <n v="0"/>
    <n v="3000"/>
    <n v="0"/>
    <n v="0"/>
    <n v="0"/>
    <n v="3000"/>
    <n v="3000"/>
    <n v="3000"/>
  </r>
  <r>
    <s v="73"/>
    <x v="2"/>
    <x v="11"/>
    <s v="ZM04F040"/>
    <x v="41"/>
    <s v="N301"/>
    <s v="GESTION DE RIESGOS"/>
    <s v="GI00N30100005D"/>
    <s v="GI00N30100005D REDUCCIÓN DE RIESGOS DE DESASTRES EN EL"/>
    <s v="73 BIENES Y SERVICIOS PARA INVERSIÓN"/>
    <s v="731403 Mobiliarios"/>
    <s v="G/731403/3FN301"/>
    <s v="001"/>
    <n v="1500"/>
    <n v="0"/>
    <n v="0"/>
    <n v="1500"/>
    <n v="0"/>
    <n v="0"/>
    <n v="0"/>
    <n v="1500"/>
    <n v="1500"/>
    <n v="1500"/>
  </r>
  <r>
    <s v="73"/>
    <x v="2"/>
    <x v="11"/>
    <s v="ZC09F090"/>
    <x v="44"/>
    <s v="N301"/>
    <s v="GESTION DE RIESGOS"/>
    <s v="GI00N30100005D"/>
    <s v="GI00N30100005D REDUCCIÓN DE RIESGOS DE DESASTRES EN EL"/>
    <s v="73 BIENES Y SERVICIOS PARA INVERSIÓN"/>
    <s v="731403 Mobiliarios"/>
    <s v="G/731403/3FN301"/>
    <s v="001"/>
    <n v="3200"/>
    <n v="0"/>
    <n v="0"/>
    <n v="3200"/>
    <n v="0"/>
    <n v="0"/>
    <n v="0"/>
    <n v="3200"/>
    <n v="3200"/>
    <n v="3200"/>
  </r>
  <r>
    <s v="73"/>
    <x v="2"/>
    <x v="11"/>
    <s v="ZD07F070"/>
    <x v="43"/>
    <s v="N301"/>
    <s v="GESTION DE RIESGOS"/>
    <s v="GI00N30100006D"/>
    <s v="GI00N30100006D ATENCIÓN Y RESPUESTA DE EMERGENCIAS"/>
    <s v="73 BIENES Y SERVICIOS PARA INVERSIÓN"/>
    <s v="730203 Almacenamiento, Embalaje, Desembalaje, E"/>
    <s v="G/730203/3FN301"/>
    <s v="001"/>
    <n v="888.56"/>
    <n v="0"/>
    <n v="0"/>
    <n v="888.56"/>
    <n v="0"/>
    <n v="0"/>
    <n v="0"/>
    <n v="888.56"/>
    <n v="888.56"/>
    <n v="888.56"/>
  </r>
  <r>
    <s v="73"/>
    <x v="2"/>
    <x v="11"/>
    <s v="ZN02F020"/>
    <x v="40"/>
    <s v="N301"/>
    <s v="GESTION DE RIESGOS"/>
    <s v="GI00N30100006D"/>
    <s v="GI00N30100006D ATENCIÓN Y RESPUESTA DE EMERGENCIAS"/>
    <s v="73 BIENES Y SERVICIOS PARA INVERSIÓN"/>
    <s v="730204 Edición, Impresión, Reproducción, Public"/>
    <s v="G/730204/3FN301"/>
    <s v="001"/>
    <n v="700"/>
    <n v="0"/>
    <n v="0"/>
    <n v="700"/>
    <n v="0"/>
    <n v="0"/>
    <n v="0"/>
    <n v="700"/>
    <n v="700"/>
    <n v="700"/>
  </r>
  <r>
    <s v="73"/>
    <x v="2"/>
    <x v="11"/>
    <s v="TM68F100"/>
    <x v="34"/>
    <s v="N301"/>
    <s v="GESTION DE RIESGOS"/>
    <s v="GI00N30100006D"/>
    <s v="GI00N30100006D ATENCIÓN Y RESPUESTA DE EMERGENCIAS"/>
    <s v="73 BIENES Y SERVICIOS PARA INVERSIÓN"/>
    <s v="730204 Edición, Impresión, Reproducción, Public"/>
    <s v="G/730204/3FN301"/>
    <s v="001"/>
    <n v="2400"/>
    <n v="0"/>
    <n v="0"/>
    <n v="2400"/>
    <n v="0"/>
    <n v="2399.6"/>
    <n v="2399.6"/>
    <n v="0.4"/>
    <n v="0.4"/>
    <n v="0.4"/>
  </r>
  <r>
    <s v="73"/>
    <x v="2"/>
    <x v="11"/>
    <s v="ZS03F030"/>
    <x v="38"/>
    <s v="N301"/>
    <s v="GESTION DE RIESGOS"/>
    <s v="GI00N30100006D"/>
    <s v="GI00N30100006D ATENCIÓN Y RESPUESTA DE EMERGENCIAS"/>
    <s v="73 BIENES Y SERVICIOS PARA INVERSIÓN"/>
    <s v="730205 Espectáculos Culturales y Sociales"/>
    <s v="G/730205/3FN301"/>
    <s v="001"/>
    <n v="1000"/>
    <n v="0"/>
    <n v="0"/>
    <n v="1000"/>
    <n v="0"/>
    <n v="0"/>
    <n v="0"/>
    <n v="1000"/>
    <n v="1000"/>
    <n v="1000"/>
  </r>
  <r>
    <s v="73"/>
    <x v="2"/>
    <x v="11"/>
    <s v="ZM04F040"/>
    <x v="41"/>
    <s v="N301"/>
    <s v="GESTION DE RIESGOS"/>
    <s v="GI00N30100006D"/>
    <s v="GI00N30100006D ATENCIÓN Y RESPUESTA DE EMERGENCIAS"/>
    <s v="73 BIENES Y SERVICIOS PARA INVERSIÓN"/>
    <s v="730505 Vehículos (Arrendamiento)"/>
    <s v="G/730505/3FN301"/>
    <s v="001"/>
    <n v="7000"/>
    <n v="0"/>
    <n v="0"/>
    <n v="7000"/>
    <n v="0"/>
    <n v="0"/>
    <n v="0"/>
    <n v="7000"/>
    <n v="7000"/>
    <n v="7000"/>
  </r>
  <r>
    <s v="73"/>
    <x v="2"/>
    <x v="11"/>
    <s v="ZC09F090"/>
    <x v="44"/>
    <s v="N301"/>
    <s v="GESTION DE RIESGOS"/>
    <s v="GI00N30100006D"/>
    <s v="GI00N30100006D ATENCIÓN Y RESPUESTA DE EMERGENCIAS"/>
    <s v="73 BIENES Y SERVICIOS PARA INVERSIÓN"/>
    <s v="730802 Vestuario, Lencería, Prendas de Protecci"/>
    <s v="G/730802/3FN301"/>
    <s v="001"/>
    <n v="200"/>
    <n v="0"/>
    <n v="0"/>
    <n v="200"/>
    <n v="0"/>
    <n v="0"/>
    <n v="0"/>
    <n v="200"/>
    <n v="200"/>
    <n v="200"/>
  </r>
  <r>
    <s v="73"/>
    <x v="2"/>
    <x v="11"/>
    <s v="ZM04F040"/>
    <x v="41"/>
    <s v="N301"/>
    <s v="GESTION DE RIESGOS"/>
    <s v="GI00N30100006D"/>
    <s v="GI00N30100006D ATENCIÓN Y RESPUESTA DE EMERGENCIAS"/>
    <s v="73 BIENES Y SERVICIOS PARA INVERSIÓN"/>
    <s v="730802 Vestuario, Lencería, Prendas de Protecci"/>
    <s v="G/730802/3FN301"/>
    <s v="001"/>
    <n v="5000"/>
    <n v="0"/>
    <n v="0"/>
    <n v="5000"/>
    <n v="0"/>
    <n v="0"/>
    <n v="0"/>
    <n v="5000"/>
    <n v="5000"/>
    <n v="5000"/>
  </r>
  <r>
    <s v="73"/>
    <x v="2"/>
    <x v="5"/>
    <s v="PM71N010"/>
    <x v="27"/>
    <s v="N301"/>
    <s v="GESTION DE RIESGOS"/>
    <s v="GI00N30100006D"/>
    <s v="GI00N30100006D ATENCIÓN Y RESPUESTA DE EMERGENCIAS"/>
    <s v="73 BIENES Y SERVICIOS PARA INVERSIÓN"/>
    <s v="730802 Vestuario, Lencería, Prendas de Protecci"/>
    <s v="G/730802/3NN301"/>
    <s v="001"/>
    <n v="150000"/>
    <n v="0"/>
    <n v="0"/>
    <n v="150000"/>
    <n v="0"/>
    <n v="0"/>
    <n v="0"/>
    <n v="150000"/>
    <n v="150000"/>
    <n v="150000"/>
  </r>
  <r>
    <s v="73"/>
    <x v="2"/>
    <x v="11"/>
    <s v="ZS03F030"/>
    <x v="38"/>
    <s v="N301"/>
    <s v="GESTION DE RIESGOS"/>
    <s v="GI00N30100006D"/>
    <s v="GI00N30100006D ATENCIÓN Y RESPUESTA DE EMERGENCIAS"/>
    <s v="73 BIENES Y SERVICIOS PARA INVERSIÓN"/>
    <s v="730802 Vestuario, Lencería, Prendas de Protecci"/>
    <s v="G/730802/3FN301"/>
    <s v="001"/>
    <n v="4000"/>
    <n v="0"/>
    <n v="0"/>
    <n v="4000"/>
    <n v="3"/>
    <n v="3997"/>
    <n v="3997"/>
    <n v="3"/>
    <n v="3"/>
    <n v="0"/>
  </r>
  <r>
    <s v="73"/>
    <x v="2"/>
    <x v="11"/>
    <s v="ZN02F020"/>
    <x v="40"/>
    <s v="N301"/>
    <s v="GESTION DE RIESGOS"/>
    <s v="GI00N30100006D"/>
    <s v="GI00N30100006D ATENCIÓN Y RESPUESTA DE EMERGENCIAS"/>
    <s v="73 BIENES Y SERVICIOS PARA INVERSIÓN"/>
    <s v="730802 Vestuario, Lencería, Prendas de Protecci"/>
    <s v="G/730802/3FN301"/>
    <s v="001"/>
    <n v="3500"/>
    <n v="1500"/>
    <n v="0"/>
    <n v="5000"/>
    <n v="0"/>
    <n v="1186.47"/>
    <n v="1186.47"/>
    <n v="3813.53"/>
    <n v="3813.53"/>
    <n v="3813.53"/>
  </r>
  <r>
    <s v="73"/>
    <x v="2"/>
    <x v="11"/>
    <s v="TM68F100"/>
    <x v="34"/>
    <s v="N301"/>
    <s v="GESTION DE RIESGOS"/>
    <s v="GI00N30100006D"/>
    <s v="GI00N30100006D ATENCIÓN Y RESPUESTA DE EMERGENCIAS"/>
    <s v="73 BIENES Y SERVICIOS PARA INVERSIÓN"/>
    <s v="730802 Vestuario, Lencería, Prendas de Protecci"/>
    <s v="G/730802/3FN301"/>
    <s v="001"/>
    <n v="2000"/>
    <n v="0"/>
    <n v="0"/>
    <n v="2000"/>
    <n v="0"/>
    <n v="1981.28"/>
    <n v="1981.28"/>
    <n v="18.72"/>
    <n v="18.72"/>
    <n v="18.72"/>
  </r>
  <r>
    <s v="73"/>
    <x v="2"/>
    <x v="11"/>
    <s v="ZV05F050"/>
    <x v="37"/>
    <s v="N301"/>
    <s v="GESTION DE RIESGOS"/>
    <s v="GI00N30100006D"/>
    <s v="GI00N30100006D ATENCIÓN Y RESPUESTA DE EMERGENCIAS"/>
    <s v="73 BIENES Y SERVICIOS PARA INVERSIÓN"/>
    <s v="730802 Vestuario, Lencería, Prendas de Protecci"/>
    <s v="G/730802/3FN301"/>
    <s v="001"/>
    <n v="4000"/>
    <n v="-2498.08"/>
    <n v="0"/>
    <n v="1501.92"/>
    <n v="0"/>
    <n v="1501.92"/>
    <n v="1501.92"/>
    <n v="0"/>
    <n v="0"/>
    <n v="0"/>
  </r>
  <r>
    <s v="73"/>
    <x v="2"/>
    <x v="11"/>
    <s v="ZQ08F080"/>
    <x v="39"/>
    <s v="N301"/>
    <s v="GESTION DE RIESGOS"/>
    <s v="GI00N30100006D"/>
    <s v="GI00N30100006D ATENCIÓN Y RESPUESTA DE EMERGENCIAS"/>
    <s v="73 BIENES Y SERVICIOS PARA INVERSIÓN"/>
    <s v="730802 Vestuario, Lencería, Prendas de Protecci"/>
    <s v="G/730802/3FN301"/>
    <s v="001"/>
    <n v="6000"/>
    <n v="0"/>
    <n v="0"/>
    <n v="6000"/>
    <n v="0"/>
    <n v="4505.09"/>
    <n v="4505.09"/>
    <n v="1494.91"/>
    <n v="1494.91"/>
    <n v="1494.91"/>
  </r>
  <r>
    <s v="73"/>
    <x v="2"/>
    <x v="11"/>
    <s v="ZT06F060"/>
    <x v="25"/>
    <s v="N301"/>
    <s v="GESTION DE RIESGOS"/>
    <s v="GI00N30100006D"/>
    <s v="GI00N30100006D ATENCIÓN Y RESPUESTA DE EMERGENCIAS"/>
    <s v="73 BIENES Y SERVICIOS PARA INVERSIÓN"/>
    <s v="730802 Vestuario, Lencería, Prendas de Protecci"/>
    <s v="G/730802/3FN301"/>
    <s v="001"/>
    <n v="2500"/>
    <n v="0"/>
    <n v="0"/>
    <n v="2500"/>
    <n v="2500"/>
    <n v="0"/>
    <n v="0"/>
    <n v="2500"/>
    <n v="2500"/>
    <n v="0"/>
  </r>
  <r>
    <s v="73"/>
    <x v="2"/>
    <x v="11"/>
    <s v="ZC09F090"/>
    <x v="44"/>
    <s v="N301"/>
    <s v="GESTION DE RIESGOS"/>
    <s v="GI00N30100006D"/>
    <s v="GI00N30100006D ATENCIÓN Y RESPUESTA DE EMERGENCIAS"/>
    <s v="73 BIENES Y SERVICIOS PARA INVERSIÓN"/>
    <s v="730805 Materiales de Aseo"/>
    <s v="G/730805/3FN301"/>
    <s v="001"/>
    <n v="500"/>
    <n v="0"/>
    <n v="0"/>
    <n v="500"/>
    <n v="0"/>
    <n v="0"/>
    <n v="0"/>
    <n v="500"/>
    <n v="500"/>
    <n v="500"/>
  </r>
  <r>
    <s v="73"/>
    <x v="2"/>
    <x v="11"/>
    <s v="ZV05F050"/>
    <x v="37"/>
    <s v="N301"/>
    <s v="GESTION DE RIESGOS"/>
    <s v="GI00N30100006D"/>
    <s v="GI00N30100006D ATENCIÓN Y RESPUESTA DE EMERGENCIAS"/>
    <s v="73 BIENES Y SERVICIOS PARA INVERSIÓN"/>
    <s v="730811 Insumos, Materiales y Suministros para Cons"/>
    <s v="G/730811/3FN301"/>
    <s v="001"/>
    <n v="7000"/>
    <n v="0"/>
    <n v="0"/>
    <n v="7000"/>
    <n v="0"/>
    <n v="0"/>
    <n v="0"/>
    <n v="7000"/>
    <n v="7000"/>
    <n v="7000"/>
  </r>
  <r>
    <s v="73"/>
    <x v="2"/>
    <x v="11"/>
    <s v="ZC09F090"/>
    <x v="44"/>
    <s v="N301"/>
    <s v="GESTION DE RIESGOS"/>
    <s v="GI00N30100006D"/>
    <s v="GI00N30100006D ATENCIÓN Y RESPUESTA DE EMERGENCIAS"/>
    <s v="73 BIENES Y SERVICIOS PARA INVERSIÓN"/>
    <s v="730811 Insumos, Materiales y Suministros para Cons"/>
    <s v="G/730811/3FN301"/>
    <s v="001"/>
    <n v="4300"/>
    <n v="0"/>
    <n v="0"/>
    <n v="4300"/>
    <n v="0"/>
    <n v="0"/>
    <n v="0"/>
    <n v="4300"/>
    <n v="4300"/>
    <n v="4300"/>
  </r>
  <r>
    <s v="73"/>
    <x v="2"/>
    <x v="11"/>
    <s v="ZD07F070"/>
    <x v="43"/>
    <s v="N301"/>
    <s v="GESTION DE RIESGOS"/>
    <s v="GI00N30100006D"/>
    <s v="GI00N30100006D ATENCIÓN Y RESPUESTA DE EMERGENCIAS"/>
    <s v="73 BIENES Y SERVICIOS PARA INVERSIÓN"/>
    <s v="730811 Insumos, Materiales y Suministros para Cons"/>
    <s v="G/730811/3FN301"/>
    <s v="001"/>
    <n v="3000"/>
    <n v="0"/>
    <n v="0"/>
    <n v="3000"/>
    <n v="0"/>
    <n v="2954"/>
    <n v="2954"/>
    <n v="46"/>
    <n v="46"/>
    <n v="46"/>
  </r>
  <r>
    <s v="73"/>
    <x v="2"/>
    <x v="11"/>
    <s v="ZN02F020"/>
    <x v="40"/>
    <s v="N301"/>
    <s v="GESTION DE RIESGOS"/>
    <s v="GI00N30100006D"/>
    <s v="GI00N30100006D ATENCIÓN Y RESPUESTA DE EMERGENCIAS"/>
    <s v="73 BIENES Y SERVICIOS PARA INVERSIÓN"/>
    <s v="730820 Menaje y Accesorios Descartables"/>
    <s v="G/730820/3FN301"/>
    <s v="001"/>
    <n v="5000"/>
    <n v="2000"/>
    <n v="0"/>
    <n v="7000"/>
    <n v="0"/>
    <n v="0"/>
    <n v="0"/>
    <n v="7000"/>
    <n v="7000"/>
    <n v="7000"/>
  </r>
  <r>
    <s v="73"/>
    <x v="2"/>
    <x v="11"/>
    <s v="ZT06F060"/>
    <x v="25"/>
    <s v="N301"/>
    <s v="GESTION DE RIESGOS"/>
    <s v="GI00N30100006D"/>
    <s v="GI00N30100006D ATENCIÓN Y RESPUESTA DE EMERGENCIAS"/>
    <s v="73 BIENES Y SERVICIOS PARA INVERSIÓN"/>
    <s v="731406 Herramientas y equipos menores"/>
    <s v="G/731406/3FN301"/>
    <s v="001"/>
    <n v="2000"/>
    <n v="0"/>
    <n v="0"/>
    <n v="2000"/>
    <n v="0"/>
    <n v="0"/>
    <n v="0"/>
    <n v="2000"/>
    <n v="2000"/>
    <n v="2000"/>
  </r>
  <r>
    <s v="73"/>
    <x v="2"/>
    <x v="11"/>
    <s v="ZS03F030"/>
    <x v="38"/>
    <s v="N301"/>
    <s v="GESTION DE RIESGOS"/>
    <s v="GI00N30100006D"/>
    <s v="GI00N30100006D ATENCIÓN Y RESPUESTA DE EMERGENCIAS"/>
    <s v="73 BIENES Y SERVICIOS PARA INVERSIÓN"/>
    <s v="731406 Herramientas y equipos menores"/>
    <s v="G/731406/3FN301"/>
    <s v="001"/>
    <n v="1500"/>
    <n v="0"/>
    <n v="0"/>
    <n v="1500"/>
    <n v="0"/>
    <n v="0"/>
    <n v="0"/>
    <n v="1500"/>
    <n v="1500"/>
    <n v="1500"/>
  </r>
  <r>
    <s v="73"/>
    <x v="2"/>
    <x v="8"/>
    <s v="FS66P020"/>
    <x v="36"/>
    <s v="P303"/>
    <s v="PROTEGER EL PATRIMONIO HISTORICO Y CULTURAL DEL DM"/>
    <s v="GI00P30300005D"/>
    <s v="GI00P30300005D SISTEMA DE INFORMACION DEL PATRIMONIO CU"/>
    <s v="73 BIENES Y SERVICIOS PARA INVERSIÓN"/>
    <s v="730204 Edición, Impresión, Reproducción, Public"/>
    <s v="G/730204/3PP303"/>
    <s v="001"/>
    <n v="0"/>
    <n v="5249.07"/>
    <n v="0"/>
    <n v="5249.07"/>
    <n v="0"/>
    <n v="0"/>
    <n v="0"/>
    <n v="5249.07"/>
    <n v="5249.07"/>
    <n v="5249.07"/>
  </r>
  <r>
    <s v="73"/>
    <x v="2"/>
    <x v="8"/>
    <s v="FS66P020"/>
    <x v="36"/>
    <s v="P303"/>
    <s v="PROTEGER EL PATRIMONIO HISTORICO Y CULTURAL DEL DM"/>
    <s v="GI00P30300005D"/>
    <s v="GI00P30300005D SISTEMA DE INFORMACION DEL PATRIMONIO CU"/>
    <s v="73 BIENES Y SERVICIOS PARA INVERSIÓN"/>
    <s v="730205 Espectáculos Culturales y Sociales"/>
    <s v="G/730205/3PP303"/>
    <s v="001"/>
    <n v="170000"/>
    <n v="0"/>
    <n v="0"/>
    <n v="170000"/>
    <n v="0"/>
    <n v="152507.56"/>
    <n v="151638.51"/>
    <n v="17492.439999999999"/>
    <n v="18361.490000000002"/>
    <n v="17492.439999999999"/>
  </r>
  <r>
    <s v="73"/>
    <x v="2"/>
    <x v="8"/>
    <s v="FS66P020"/>
    <x v="36"/>
    <s v="P303"/>
    <s v="PROTEGER EL PATRIMONIO HISTORICO Y CULTURAL DEL DM"/>
    <s v="GI00P30300005D"/>
    <s v="GI00P30300005D SISTEMA DE INFORMACION DEL PATRIMONIO CU"/>
    <s v="73 BIENES Y SERVICIOS PARA INVERSIÓN"/>
    <s v="730207 Difusión, Información y Publicidad"/>
    <s v="G/730207/3PP303"/>
    <s v="001"/>
    <n v="40000"/>
    <n v="0"/>
    <n v="0"/>
    <n v="40000"/>
    <n v="0"/>
    <n v="39432.959999999999"/>
    <n v="39432.959999999999"/>
    <n v="567.04"/>
    <n v="567.04"/>
    <n v="567.04"/>
  </r>
  <r>
    <s v="73"/>
    <x v="2"/>
    <x v="8"/>
    <s v="FS66P020"/>
    <x v="36"/>
    <s v="P303"/>
    <s v="PROTEGER EL PATRIMONIO HISTORICO Y CULTURAL DEL DM"/>
    <s v="GI00P30300005D"/>
    <s v="GI00P30300005D SISTEMA DE INFORMACION DEL PATRIMONIO CU"/>
    <s v="73 BIENES Y SERVICIOS PARA INVERSIÓN"/>
    <s v="730425 Instalación, Readecuación, Montaje de Expos"/>
    <s v="G/730425/3PP303"/>
    <s v="001"/>
    <n v="0"/>
    <n v="104255.09"/>
    <n v="0"/>
    <n v="104255.09"/>
    <n v="0"/>
    <n v="0"/>
    <n v="0"/>
    <n v="104255.09"/>
    <n v="104255.09"/>
    <n v="104255.09"/>
  </r>
  <r>
    <s v="73"/>
    <x v="2"/>
    <x v="8"/>
    <s v="FS66P020"/>
    <x v="36"/>
    <s v="P303"/>
    <s v="PROTEGER EL PATRIMONIO HISTORICO Y CULTURAL DEL DM"/>
    <s v="GI00P30300005D"/>
    <s v="GI00P30300005D SISTEMA DE INFORMACION DEL PATRIMONIO CU"/>
    <s v="73 BIENES Y SERVICIOS PARA INVERSIÓN"/>
    <s v="730601 Consultoría, Asesoría e Investigación Es"/>
    <s v="G/730601/3PP303"/>
    <s v="001"/>
    <n v="430000"/>
    <n v="-127101.02"/>
    <n v="0"/>
    <n v="302898.98"/>
    <n v="0"/>
    <n v="145058.9"/>
    <n v="55256.99"/>
    <n v="157840.07999999999"/>
    <n v="247641.99"/>
    <n v="157840.07999999999"/>
  </r>
  <r>
    <s v="73"/>
    <x v="2"/>
    <x v="8"/>
    <s v="FS66P020"/>
    <x v="36"/>
    <s v="P303"/>
    <s v="PROTEGER EL PATRIMONIO HISTORICO Y CULTURAL DEL DM"/>
    <s v="GI00P30300005D"/>
    <s v="GI00P30300005D SISTEMA DE INFORMACION DEL PATRIMONIO CU"/>
    <s v="73 BIENES Y SERVICIOS PARA INVERSIÓN"/>
    <s v="730606 Honorarios por Contratos Civiles de Servici"/>
    <s v="G/730606/3PP303"/>
    <s v="001"/>
    <n v="250406.08"/>
    <n v="-19696.84"/>
    <n v="0"/>
    <n v="230709.24"/>
    <n v="4016.32"/>
    <n v="219101.04"/>
    <n v="176842.33"/>
    <n v="11608.2"/>
    <n v="53866.91"/>
    <n v="7591.88"/>
  </r>
  <r>
    <s v="73"/>
    <x v="2"/>
    <x v="8"/>
    <s v="FS66P020"/>
    <x v="36"/>
    <s v="P303"/>
    <s v="PROTEGER EL PATRIMONIO HISTORICO Y CULTURAL DEL DM"/>
    <s v="GI00P30300005D"/>
    <s v="GI00P30300005D SISTEMA DE INFORMACION DEL PATRIMONIO CU"/>
    <s v="73 BIENES Y SERVICIOS PARA INVERSIÓN"/>
    <s v="730613 Capacitación para la Ciudadanía en Gener"/>
    <s v="G/730613/3PP303"/>
    <s v="001"/>
    <n v="40000"/>
    <n v="-40000"/>
    <n v="0"/>
    <n v="0"/>
    <n v="0"/>
    <n v="0"/>
    <n v="0"/>
    <n v="0"/>
    <n v="0"/>
    <n v="0"/>
  </r>
  <r>
    <s v="73"/>
    <x v="2"/>
    <x v="8"/>
    <s v="FS66P020"/>
    <x v="36"/>
    <s v="P303"/>
    <s v="PROTEGER EL PATRIMONIO HISTORICO Y CULTURAL DEL DM"/>
    <s v="GI00P30300005D"/>
    <s v="GI00P30300005D SISTEMA DE INFORMACION DEL PATRIMONIO CU"/>
    <s v="73 BIENES Y SERVICIOS PARA INVERSIÓN"/>
    <s v="730812 Materiales Didácticos"/>
    <s v="G/730812/3PP303"/>
    <s v="001"/>
    <n v="0"/>
    <n v="38314.06"/>
    <n v="0"/>
    <n v="38314.06"/>
    <n v="0"/>
    <n v="0"/>
    <n v="0"/>
    <n v="38314.06"/>
    <n v="38314.06"/>
    <n v="38314.06"/>
  </r>
  <r>
    <s v="73"/>
    <x v="2"/>
    <x v="8"/>
    <s v="FS66P020"/>
    <x v="36"/>
    <s v="P303"/>
    <s v="PROTEGER EL PATRIMONIO HISTORICO Y CULTURAL DEL DM"/>
    <s v="GI00P30300006D"/>
    <s v="GI00P30300006D  CONSERVACIÓN DE EDIFICACIONES PATRIMONI"/>
    <s v="73 BIENES Y SERVICIOS PARA INVERSIÓN"/>
    <s v="730230 Digitalización de Información y Datos Públi"/>
    <s v="G/730230/3PP303"/>
    <s v="001"/>
    <n v="78400"/>
    <n v="-1456"/>
    <n v="0"/>
    <n v="76944"/>
    <n v="0"/>
    <n v="76944"/>
    <n v="38472"/>
    <n v="0"/>
    <n v="38472"/>
    <n v="0"/>
  </r>
  <r>
    <s v="73"/>
    <x v="2"/>
    <x v="8"/>
    <s v="FS66P020"/>
    <x v="36"/>
    <s v="P303"/>
    <s v="PROTEGER EL PATRIMONIO HISTORICO Y CULTURAL DEL DM"/>
    <s v="GI00P30300006D"/>
    <s v="GI00P30300006D  CONSERVACIÓN DE EDIFICACIONES PATRIMONI"/>
    <s v="73 BIENES Y SERVICIOS PARA INVERSIÓN"/>
    <s v="730605 Estudio y Diseño de Proyectos"/>
    <s v="G/730605/3PP303"/>
    <s v="001"/>
    <n v="295300"/>
    <n v="-67435.199999999997"/>
    <n v="0"/>
    <n v="227864.8"/>
    <n v="0"/>
    <n v="45271.519999999997"/>
    <n v="40397.760000000002"/>
    <n v="182593.28"/>
    <n v="187467.04"/>
    <n v="182593.28"/>
  </r>
  <r>
    <s v="73"/>
    <x v="2"/>
    <x v="8"/>
    <s v="FS66P020"/>
    <x v="36"/>
    <s v="P303"/>
    <s v="PROTEGER EL PATRIMONIO HISTORICO Y CULTURAL DEL DM"/>
    <s v="GI00P30300006D"/>
    <s v="GI00P30300006D  CONSERVACIÓN DE EDIFICACIONES PATRIMONI"/>
    <s v="73 BIENES Y SERVICIOS PARA INVERSIÓN"/>
    <s v="730605 Estudio y Diseño de Proyectos"/>
    <s v="G/730605/3PP303"/>
    <s v="002"/>
    <n v="1165.06"/>
    <n v="0"/>
    <n v="0"/>
    <n v="1165.06"/>
    <n v="0"/>
    <n v="1165.06"/>
    <n v="0"/>
    <n v="0"/>
    <n v="1165.06"/>
    <n v="0"/>
  </r>
  <r>
    <s v="73"/>
    <x v="2"/>
    <x v="8"/>
    <s v="FS66P020"/>
    <x v="36"/>
    <s v="P303"/>
    <s v="PROTEGER EL PATRIMONIO HISTORICO Y CULTURAL DEL DM"/>
    <s v="GI00P30300006D"/>
    <s v="GI00P30300006D  CONSERVACIÓN DE EDIFICACIONES PATRIMONI"/>
    <s v="73 BIENES Y SERVICIOS PARA INVERSIÓN"/>
    <s v="730606 Honorarios por Contratos Civiles de Servici"/>
    <s v="G/730606/3PP303"/>
    <s v="001"/>
    <n v="0"/>
    <n v="48462.400000000001"/>
    <n v="0"/>
    <n v="48462.400000000001"/>
    <n v="0"/>
    <n v="48462.400000000001"/>
    <n v="43277.919999999998"/>
    <n v="0"/>
    <n v="5184.4799999999996"/>
    <n v="0"/>
  </r>
  <r>
    <s v="73"/>
    <x v="2"/>
    <x v="8"/>
    <s v="FS66P020"/>
    <x v="36"/>
    <s v="P303"/>
    <s v="PROTEGER EL PATRIMONIO HISTORICO Y CULTURAL DEL DM"/>
    <s v="GI00P30300008D"/>
    <s v="GI00P30300008D CONSERVACIÓN DEL ESPACIO PÚBLICO EN EL C"/>
    <s v="73 BIENES Y SERVICIOS PARA INVERSIÓN"/>
    <s v="730101 Agua Potable"/>
    <s v="G/730101/3PP303"/>
    <s v="001"/>
    <n v="16000"/>
    <n v="0"/>
    <n v="0"/>
    <n v="16000"/>
    <n v="0"/>
    <n v="8000"/>
    <n v="4069.22"/>
    <n v="8000"/>
    <n v="11930.78"/>
    <n v="8000"/>
  </r>
  <r>
    <s v="73"/>
    <x v="2"/>
    <x v="8"/>
    <s v="FS66P020"/>
    <x v="36"/>
    <s v="P303"/>
    <s v="PROTEGER EL PATRIMONIO HISTORICO Y CULTURAL DEL DM"/>
    <s v="GI00P30300008D"/>
    <s v="GI00P30300008D CONSERVACIÓN DEL ESPACIO PÚBLICO EN EL C"/>
    <s v="73 BIENES Y SERVICIOS PARA INVERSIÓN"/>
    <s v="730104 Energía Eléctrica"/>
    <s v="G/730104/3PP303"/>
    <s v="001"/>
    <n v="15000"/>
    <n v="0"/>
    <n v="0"/>
    <n v="15000"/>
    <n v="0"/>
    <n v="7000"/>
    <n v="3594.22"/>
    <n v="8000"/>
    <n v="11405.78"/>
    <n v="8000"/>
  </r>
  <r>
    <s v="73"/>
    <x v="2"/>
    <x v="8"/>
    <s v="FS66P020"/>
    <x v="36"/>
    <s v="P303"/>
    <s v="PROTEGER EL PATRIMONIO HISTORICO Y CULTURAL DEL DM"/>
    <s v="GI00P30300008D"/>
    <s v="GI00P30300008D CONSERVACIÓN DEL ESPACIO PÚBLICO EN EL C"/>
    <s v="73 BIENES Y SERVICIOS PARA INVERSIÓN"/>
    <s v="730208 Servicio de Seguridad y Vigilancia"/>
    <s v="G/730208/3PP303"/>
    <s v="001"/>
    <n v="230000"/>
    <n v="93807.95"/>
    <n v="0"/>
    <n v="323807.95"/>
    <n v="15480.86"/>
    <n v="213858.94"/>
    <n v="192185.73"/>
    <n v="109949.01"/>
    <n v="131622.22"/>
    <n v="94468.15"/>
  </r>
  <r>
    <s v="73"/>
    <x v="2"/>
    <x v="8"/>
    <s v="FS66P020"/>
    <x v="36"/>
    <s v="P303"/>
    <s v="PROTEGER EL PATRIMONIO HISTORICO Y CULTURAL DEL DM"/>
    <s v="GI00P30300008D"/>
    <s v="GI00P30300008D CONSERVACIÓN DEL ESPACIO PÚBLICO EN EL C"/>
    <s v="73 BIENES Y SERVICIOS PARA INVERSIÓN"/>
    <s v="730605 Estudio y Diseño de Proyectos"/>
    <s v="G/730605/3PP303"/>
    <s v="002"/>
    <n v="28054"/>
    <n v="0"/>
    <n v="0"/>
    <n v="28054"/>
    <n v="0"/>
    <n v="23845.9"/>
    <n v="22443.200000000001"/>
    <n v="4208.1000000000004"/>
    <n v="5610.8"/>
    <n v="4208.1000000000004"/>
  </r>
  <r>
    <s v="73"/>
    <x v="2"/>
    <x v="8"/>
    <s v="FS66P020"/>
    <x v="36"/>
    <s v="P303"/>
    <s v="PROTEGER EL PATRIMONIO HISTORICO Y CULTURAL DEL DM"/>
    <s v="GI00P30300008D"/>
    <s v="GI00P30300008D CONSERVACIÓN DEL ESPACIO PÚBLICO EN EL C"/>
    <s v="73 BIENES Y SERVICIOS PARA INVERSIÓN"/>
    <s v="730605 Estudio y Diseño de Proyectos"/>
    <s v="G/730605/3PP303"/>
    <s v="001"/>
    <n v="0"/>
    <n v="1404.05"/>
    <n v="0"/>
    <n v="1404.05"/>
    <n v="0"/>
    <n v="1404.05"/>
    <n v="0"/>
    <n v="0"/>
    <n v="1404.05"/>
    <n v="0"/>
  </r>
  <r>
    <s v="73"/>
    <x v="2"/>
    <x v="8"/>
    <s v="FS66P020"/>
    <x v="36"/>
    <s v="P303"/>
    <s v="PROTEGER EL PATRIMONIO HISTORICO Y CULTURAL DEL DM"/>
    <s v="GI00P30300008D"/>
    <s v="GI00P30300008D CONSERVACIÓN DEL ESPACIO PÚBLICO EN EL C"/>
    <s v="73 BIENES Y SERVICIOS PARA INVERSIÓN"/>
    <s v="730606 Honorarios por Contratos Civiles de Servici"/>
    <s v="G/730606/3PP303"/>
    <s v="001"/>
    <n v="29639.56"/>
    <n v="-11724.04"/>
    <n v="0"/>
    <n v="17915.52"/>
    <n v="0"/>
    <n v="17915.52"/>
    <n v="13436.64"/>
    <n v="0"/>
    <n v="4478.88"/>
    <n v="0"/>
  </r>
  <r>
    <s v="73"/>
    <x v="2"/>
    <x v="8"/>
    <s v="FS66P020"/>
    <x v="36"/>
    <s v="P303"/>
    <s v="PROTEGER EL PATRIMONIO HISTORICO Y CULTURAL DEL DM"/>
    <s v="GI00P30300009D"/>
    <s v="GI00P30300009D CONSERVACIÓN DEL PATRIMONIO  ARQUEOLÓGIC"/>
    <s v="73 BIENES Y SERVICIOS PARA INVERSIÓN"/>
    <s v="730204 Edición, Impresión, Reproducción, Public"/>
    <s v="G/730204/3PP303"/>
    <s v="002"/>
    <n v="13517.5"/>
    <n v="0"/>
    <n v="0"/>
    <n v="13517.5"/>
    <n v="0"/>
    <n v="13517.5"/>
    <n v="13517.5"/>
    <n v="0"/>
    <n v="0"/>
    <n v="0"/>
  </r>
  <r>
    <s v="73"/>
    <x v="2"/>
    <x v="8"/>
    <s v="FS66P020"/>
    <x v="36"/>
    <s v="P303"/>
    <s v="PROTEGER EL PATRIMONIO HISTORICO Y CULTURAL DEL DM"/>
    <s v="GI00P30300009D"/>
    <s v="GI00P30300009D CONSERVACIÓN DEL PATRIMONIO  ARQUEOLÓGIC"/>
    <s v="73 BIENES Y SERVICIOS PARA INVERSIÓN"/>
    <s v="730204 Edición, Impresión, Reproducción, Public"/>
    <s v="G/730204/3PP303"/>
    <s v="001"/>
    <n v="0"/>
    <n v="16761.7"/>
    <n v="0"/>
    <n v="16761.7"/>
    <n v="0"/>
    <n v="16761.7"/>
    <n v="16761.7"/>
    <n v="0"/>
    <n v="0"/>
    <n v="0"/>
  </r>
  <r>
    <s v="73"/>
    <x v="2"/>
    <x v="8"/>
    <s v="FS66P020"/>
    <x v="36"/>
    <s v="P303"/>
    <s v="PROTEGER EL PATRIMONIO HISTORICO Y CULTURAL DEL DM"/>
    <s v="GI00P30300009D"/>
    <s v="GI00P30300009D CONSERVACIÓN DEL PATRIMONIO  ARQUEOLÓGIC"/>
    <s v="73 BIENES Y SERVICIOS PARA INVERSIÓN"/>
    <s v="730402 Edificios, Locales, Residencias y Cablea"/>
    <s v="G/730402/3PP303"/>
    <s v="001"/>
    <n v="60000"/>
    <n v="0"/>
    <n v="0"/>
    <n v="60000"/>
    <n v="0"/>
    <n v="0"/>
    <n v="0"/>
    <n v="60000"/>
    <n v="60000"/>
    <n v="60000"/>
  </r>
  <r>
    <s v="73"/>
    <x v="2"/>
    <x v="8"/>
    <s v="FS66P020"/>
    <x v="36"/>
    <s v="P303"/>
    <s v="PROTEGER EL PATRIMONIO HISTORICO Y CULTURAL DEL DM"/>
    <s v="GI00P30300009D"/>
    <s v="GI00P30300009D CONSERVACIÓN DEL PATRIMONIO  ARQUEOLÓGIC"/>
    <s v="73 BIENES Y SERVICIOS PARA INVERSIÓN"/>
    <s v="730418 Mantenimiento de Áreas Verdes y Arreglo"/>
    <s v="G/730418/3PP303"/>
    <s v="001"/>
    <n v="42294"/>
    <n v="46386"/>
    <n v="0"/>
    <n v="88680"/>
    <n v="11289.6"/>
    <n v="40071.019999999997"/>
    <n v="14351.92"/>
    <n v="48608.98"/>
    <n v="74328.08"/>
    <n v="37319.379999999997"/>
  </r>
  <r>
    <s v="73"/>
    <x v="2"/>
    <x v="8"/>
    <s v="FS66P020"/>
    <x v="36"/>
    <s v="P303"/>
    <s v="PROTEGER EL PATRIMONIO HISTORICO Y CULTURAL DEL DM"/>
    <s v="GI00P30300009D"/>
    <s v="GI00P30300009D CONSERVACIÓN DEL PATRIMONIO  ARQUEOLÓGIC"/>
    <s v="73 BIENES Y SERVICIOS PARA INVERSIÓN"/>
    <s v="730425 Instalación, Readecuación, Montaje de Expos"/>
    <s v="G/730425/3PP303"/>
    <s v="001"/>
    <n v="75000"/>
    <n v="35000"/>
    <n v="0"/>
    <n v="110000"/>
    <n v="0"/>
    <n v="0"/>
    <n v="0"/>
    <n v="110000"/>
    <n v="110000"/>
    <n v="110000"/>
  </r>
  <r>
    <s v="73"/>
    <x v="2"/>
    <x v="8"/>
    <s v="FS66P020"/>
    <x v="36"/>
    <s v="P303"/>
    <s v="PROTEGER EL PATRIMONIO HISTORICO Y CULTURAL DEL DM"/>
    <s v="GI00P30300009D"/>
    <s v="GI00P30300009D CONSERVACIÓN DEL PATRIMONIO  ARQUEOLÓGIC"/>
    <s v="73 BIENES Y SERVICIOS PARA INVERSIÓN"/>
    <s v="730601 Consultoría, Asesoría e Investigación Es"/>
    <s v="G/730601/3PP303"/>
    <s v="001"/>
    <n v="326100"/>
    <n v="0"/>
    <n v="0"/>
    <n v="326100"/>
    <n v="2225.9899999999998"/>
    <n v="234719.57"/>
    <n v="55627.62"/>
    <n v="91380.43"/>
    <n v="270472.38"/>
    <n v="89154.44"/>
  </r>
  <r>
    <s v="73"/>
    <x v="2"/>
    <x v="8"/>
    <s v="FS66P020"/>
    <x v="36"/>
    <s v="P303"/>
    <s v="PROTEGER EL PATRIMONIO HISTORICO Y CULTURAL DEL DM"/>
    <s v="GI00P30300009D"/>
    <s v="GI00P30300009D CONSERVACIÓN DEL PATRIMONIO  ARQUEOLÓGIC"/>
    <s v="73 BIENES Y SERVICIOS PARA INVERSIÓN"/>
    <s v="730605 Estudio y Diseño de Proyectos"/>
    <s v="G/730605/3PP303"/>
    <s v="001"/>
    <n v="20000"/>
    <n v="0"/>
    <n v="0"/>
    <n v="20000"/>
    <n v="0"/>
    <n v="0"/>
    <n v="0"/>
    <n v="20000"/>
    <n v="20000"/>
    <n v="20000"/>
  </r>
  <r>
    <s v="73"/>
    <x v="2"/>
    <x v="8"/>
    <s v="FS66P020"/>
    <x v="36"/>
    <s v="P303"/>
    <s v="PROTEGER EL PATRIMONIO HISTORICO Y CULTURAL DEL DM"/>
    <s v="GI00P30300009D"/>
    <s v="GI00P30300009D CONSERVACIÓN DEL PATRIMONIO  ARQUEOLÓGIC"/>
    <s v="73 BIENES Y SERVICIOS PARA INVERSIÓN"/>
    <s v="730606 Honorarios por Contratos Civiles de Servici"/>
    <s v="G/730606/3PP303"/>
    <s v="001"/>
    <n v="36450"/>
    <n v="-17041.52"/>
    <n v="0"/>
    <n v="19408.48"/>
    <n v="0"/>
    <n v="19408.48"/>
    <n v="14929.6"/>
    <n v="0"/>
    <n v="4478.88"/>
    <n v="0"/>
  </r>
  <r>
    <s v="73"/>
    <x v="2"/>
    <x v="8"/>
    <s v="FS66P020"/>
    <x v="36"/>
    <s v="P303"/>
    <s v="PROTEGER EL PATRIMONIO HISTORICO Y CULTURAL DEL DM"/>
    <s v="GI00P30300009D"/>
    <s v="GI00P30300009D CONSERVACIÓN DEL PATRIMONIO  ARQUEOLÓGIC"/>
    <s v="73 BIENES Y SERVICIOS PARA INVERSIÓN"/>
    <s v="730609 Investigaciones Profesionales y Análisis de"/>
    <s v="G/730609/3PP303"/>
    <s v="001"/>
    <n v="30000"/>
    <n v="0"/>
    <n v="0"/>
    <n v="30000"/>
    <n v="5.35"/>
    <n v="29545.599999999999"/>
    <n v="5909.12"/>
    <n v="454.4"/>
    <n v="24090.880000000001"/>
    <n v="449.05"/>
  </r>
  <r>
    <s v="73"/>
    <x v="2"/>
    <x v="8"/>
    <s v="ZA01P000"/>
    <x v="15"/>
    <s v="P306"/>
    <s v="REGULACIÓN DEL USO Y GESTIÓN DEL SUELO"/>
    <s v="GI00P30600001D"/>
    <s v="GI00P30600001D ACTUALIZACIÓN DE LOS INSTRUMENTOS DE PLA"/>
    <s v="73 BIENES Y SERVICIOS PARA INVERSIÓN"/>
    <s v="730207 Difusión, Información y Publicidad"/>
    <s v="G/730207/3PP306"/>
    <s v="001"/>
    <n v="14000"/>
    <n v="0"/>
    <n v="0"/>
    <n v="14000"/>
    <n v="0"/>
    <n v="0"/>
    <n v="0"/>
    <n v="14000"/>
    <n v="14000"/>
    <n v="14000"/>
  </r>
  <r>
    <s v="73"/>
    <x v="2"/>
    <x v="8"/>
    <s v="ZA01P000"/>
    <x v="15"/>
    <s v="P306"/>
    <s v="REGULACIÓN DEL USO Y GESTIÓN DEL SUELO"/>
    <s v="GI00P30600001D"/>
    <s v="GI00P30600001D ACTUALIZACIÓN DE LOS INSTRUMENTOS DE PLA"/>
    <s v="73 BIENES Y SERVICIOS PARA INVERSIÓN"/>
    <s v="730606 Honorarios por Contratos Civiles de Servici"/>
    <s v="G/730606/3PP306"/>
    <s v="001"/>
    <n v="713000"/>
    <n v="-671451.34"/>
    <n v="0"/>
    <n v="41548.660000000003"/>
    <n v="0"/>
    <n v="0"/>
    <n v="0"/>
    <n v="41548.660000000003"/>
    <n v="41548.660000000003"/>
    <n v="41548.660000000003"/>
  </r>
  <r>
    <s v="73"/>
    <x v="2"/>
    <x v="8"/>
    <s v="ZA01P000"/>
    <x v="15"/>
    <s v="P306"/>
    <s v="REGULACIÓN DEL USO Y GESTIÓN DEL SUELO"/>
    <s v="GI00P30600001D"/>
    <s v="GI00P30600001D ACTUALIZACIÓN DE LOS INSTRUMENTOS DE PLA"/>
    <s v="73 BIENES Y SERVICIOS PARA INVERSIÓN"/>
    <s v="730702 Arrendamiento y Licencias de Uso de Paquete"/>
    <s v="G/730702/3PP306"/>
    <s v="001"/>
    <n v="7000"/>
    <n v="7000"/>
    <n v="0"/>
    <n v="14000"/>
    <n v="6473.04"/>
    <n v="0"/>
    <n v="0"/>
    <n v="14000"/>
    <n v="14000"/>
    <n v="7526.96"/>
  </r>
  <r>
    <s v="73"/>
    <x v="2"/>
    <x v="8"/>
    <s v="ZA01P000"/>
    <x v="15"/>
    <s v="P306"/>
    <s v="REGULACIÓN DEL USO Y GESTIÓN DEL SUELO"/>
    <s v="GI00P30600001D"/>
    <s v="GI00P30600001D ACTUALIZACIÓN DE LOS INSTRUMENTOS DE PLA"/>
    <s v="73 BIENES Y SERVICIOS PARA INVERSIÓN"/>
    <s v="730704 Mantenimiento y Reparación de Equipos y"/>
    <s v="G/730704/3PP306"/>
    <s v="001"/>
    <n v="14000"/>
    <n v="-7000"/>
    <n v="0"/>
    <n v="7000"/>
    <n v="0"/>
    <n v="0"/>
    <n v="0"/>
    <n v="7000"/>
    <n v="7000"/>
    <n v="7000"/>
  </r>
  <r>
    <s v="73"/>
    <x v="2"/>
    <x v="8"/>
    <s v="ZA01P000"/>
    <x v="15"/>
    <s v="P306"/>
    <s v="REGULACIÓN DEL USO Y GESTIÓN DEL SUELO"/>
    <s v="GI00P30600001D"/>
    <s v="GI00P30600001D ACTUALIZACIÓN DE LOS INSTRUMENTOS DE PLA"/>
    <s v="73 BIENES Y SERVICIOS PARA INVERSIÓN"/>
    <s v="730807 Materiales de Impresión, Fotografía, Rep"/>
    <s v="G/730807/3PP306"/>
    <s v="001"/>
    <n v="7000"/>
    <n v="0"/>
    <n v="0"/>
    <n v="7000"/>
    <n v="0"/>
    <n v="0"/>
    <n v="0"/>
    <n v="7000"/>
    <n v="7000"/>
    <n v="7000"/>
  </r>
  <r>
    <s v="73"/>
    <x v="2"/>
    <x v="8"/>
    <s v="ZA01P000"/>
    <x v="15"/>
    <s v="P306"/>
    <s v="REGULACIÓN DEL USO Y GESTIÓN DEL SUELO"/>
    <s v="GI00P30600001D"/>
    <s v="GI00P30600001D ACTUALIZACIÓN DE LOS INSTRUMENTOS DE PLA"/>
    <s v="73 BIENES Y SERVICIOS PARA INVERSIÓN"/>
    <s v="730813 Repuestos y Accesorios"/>
    <s v="G/730813/3PP306"/>
    <s v="001"/>
    <n v="5000"/>
    <n v="0"/>
    <n v="0"/>
    <n v="5000"/>
    <n v="0"/>
    <n v="0"/>
    <n v="0"/>
    <n v="5000"/>
    <n v="5000"/>
    <n v="5000"/>
  </r>
  <r>
    <s v="73"/>
    <x v="2"/>
    <x v="8"/>
    <s v="ZA01P000"/>
    <x v="15"/>
    <s v="P306"/>
    <s v="REGULACIÓN DEL USO Y GESTIÓN DEL SUELO"/>
    <s v="GI00P30600002D"/>
    <s v="GI00P30600002D IMPLEMENTACIÓN DE LABORATORIOS URBANOS"/>
    <s v="73 BIENES Y SERVICIOS PARA INVERSIÓN"/>
    <s v="730204 Edición, Impresión, Reproducción, Public"/>
    <s v="G/730204/3PP306"/>
    <s v="001"/>
    <n v="10000"/>
    <n v="0"/>
    <n v="0"/>
    <n v="10000"/>
    <n v="0"/>
    <n v="0"/>
    <n v="0"/>
    <n v="10000"/>
    <n v="10000"/>
    <n v="10000"/>
  </r>
  <r>
    <s v="73"/>
    <x v="2"/>
    <x v="8"/>
    <s v="ZA01P000"/>
    <x v="15"/>
    <s v="P306"/>
    <s v="REGULACIÓN DEL USO Y GESTIÓN DEL SUELO"/>
    <s v="GI00P30600002D"/>
    <s v="GI00P30600002D IMPLEMENTACIÓN DE LABORATORIOS URBANOS"/>
    <s v="73 BIENES Y SERVICIOS PARA INVERSIÓN"/>
    <s v="730205 Espectáculos Culturales y Sociales"/>
    <s v="G/730205/3PP306"/>
    <s v="001"/>
    <n v="10000"/>
    <n v="0"/>
    <n v="0"/>
    <n v="10000"/>
    <n v="0"/>
    <n v="0"/>
    <n v="0"/>
    <n v="10000"/>
    <n v="10000"/>
    <n v="10000"/>
  </r>
  <r>
    <s v="73"/>
    <x v="2"/>
    <x v="8"/>
    <s v="ZA01P000"/>
    <x v="15"/>
    <s v="P306"/>
    <s v="REGULACIÓN DEL USO Y GESTIÓN DEL SUELO"/>
    <s v="GI00P30600003D"/>
    <s v="GI00P30600003D SISTEMA DE INFORMACIÓN DE ORDENAMIENTO T"/>
    <s v="73 BIENES Y SERVICIOS PARA INVERSIÓN"/>
    <s v="730601 Consultoría, Asesoría e Investigación Es"/>
    <s v="G/730601/3PP306"/>
    <s v="001"/>
    <n v="60000"/>
    <n v="0"/>
    <n v="0"/>
    <n v="60000"/>
    <n v="0"/>
    <n v="0"/>
    <n v="0"/>
    <n v="60000"/>
    <n v="60000"/>
    <n v="60000"/>
  </r>
  <r>
    <s v="73"/>
    <x v="2"/>
    <x v="8"/>
    <s v="ZA01P000"/>
    <x v="15"/>
    <s v="P306"/>
    <s v="REGULACIÓN DEL USO Y GESTIÓN DEL SUELO"/>
    <s v="GI00P30600003D"/>
    <s v="GI00P30600003D SISTEMA DE INFORMACIÓN DE ORDENAMIENTO T"/>
    <s v="73 BIENES Y SERVICIOS PARA INVERSIÓN"/>
    <s v="730606 Honorarios por Contratos Civiles de Servici"/>
    <s v="G/730606/3PP306"/>
    <s v="001"/>
    <n v="139485.76000000001"/>
    <n v="0"/>
    <n v="0"/>
    <n v="139485.76000000001"/>
    <n v="0"/>
    <n v="0"/>
    <n v="0"/>
    <n v="139485.76000000001"/>
    <n v="139485.76000000001"/>
    <n v="139485.76000000001"/>
  </r>
  <r>
    <s v="73"/>
    <x v="2"/>
    <x v="11"/>
    <s v="RB34F010"/>
    <x v="33"/>
    <s v="P306"/>
    <s v="REGULACIÓN DEL USO Y GESTIÓN DEL SUELO"/>
    <s v="GI00P30600004D"/>
    <s v="GI00P30600004D REGULA TU BARRIO"/>
    <s v="73 BIENES Y SERVICIOS PARA INVERSIÓN"/>
    <s v="730204 Edición, Impresión, Reproducción, Public"/>
    <s v="G/730204/3FP306"/>
    <s v="001"/>
    <n v="4000"/>
    <n v="0"/>
    <n v="0"/>
    <n v="4000"/>
    <n v="0"/>
    <n v="0"/>
    <n v="0"/>
    <n v="4000"/>
    <n v="4000"/>
    <n v="4000"/>
  </r>
  <r>
    <s v="73"/>
    <x v="2"/>
    <x v="11"/>
    <s v="RB34F010"/>
    <x v="33"/>
    <s v="P306"/>
    <s v="REGULACIÓN DEL USO Y GESTIÓN DEL SUELO"/>
    <s v="GI00P30600004D"/>
    <s v="GI00P30600004D REGULA TU BARRIO"/>
    <s v="73 BIENES Y SERVICIOS PARA INVERSIÓN"/>
    <s v="730207 Difusión, Información y Publicidad"/>
    <s v="G/730207/3FP306"/>
    <s v="001"/>
    <n v="4000"/>
    <n v="0"/>
    <n v="0"/>
    <n v="4000"/>
    <n v="0"/>
    <n v="0"/>
    <n v="0"/>
    <n v="4000"/>
    <n v="4000"/>
    <n v="4000"/>
  </r>
  <r>
    <s v="73"/>
    <x v="2"/>
    <x v="11"/>
    <s v="RB34F010"/>
    <x v="33"/>
    <s v="P306"/>
    <s v="REGULACIÓN DEL USO Y GESTIÓN DEL SUELO"/>
    <s v="GI00P30600004D"/>
    <s v="GI00P30600004D REGULA TU BARRIO"/>
    <s v="73 BIENES Y SERVICIOS PARA INVERSIÓN"/>
    <s v="730404 Maquinarias y Equipos (Instalación, Mant"/>
    <s v="G/730404/3FP306"/>
    <s v="001"/>
    <n v="8000"/>
    <n v="0"/>
    <n v="0"/>
    <n v="8000"/>
    <n v="0"/>
    <n v="0"/>
    <n v="0"/>
    <n v="8000"/>
    <n v="8000"/>
    <n v="8000"/>
  </r>
  <r>
    <s v="73"/>
    <x v="2"/>
    <x v="11"/>
    <s v="RB34F010"/>
    <x v="33"/>
    <s v="P306"/>
    <s v="REGULACIÓN DEL USO Y GESTIÓN DEL SUELO"/>
    <s v="GI00P30600004D"/>
    <s v="GI00P30600004D REGULA TU BARRIO"/>
    <s v="73 BIENES Y SERVICIOS PARA INVERSIÓN"/>
    <s v="730505 Vehículos (Arrendamiento)"/>
    <s v="G/730505/3FP306"/>
    <s v="001"/>
    <n v="115000"/>
    <n v="0"/>
    <n v="0"/>
    <n v="115000"/>
    <n v="0"/>
    <n v="5800"/>
    <n v="0"/>
    <n v="109200"/>
    <n v="115000"/>
    <n v="109200"/>
  </r>
  <r>
    <s v="73"/>
    <x v="2"/>
    <x v="11"/>
    <s v="RB34F010"/>
    <x v="33"/>
    <s v="P306"/>
    <s v="REGULACIÓN DEL USO Y GESTIÓN DEL SUELO"/>
    <s v="GI00P30600004D"/>
    <s v="GI00P30600004D REGULA TU BARRIO"/>
    <s v="73 BIENES Y SERVICIOS PARA INVERSIÓN"/>
    <s v="730601 Consultoría, Asesoría e Investigación Es"/>
    <s v="G/730601/3FP306"/>
    <s v="001"/>
    <n v="202000"/>
    <n v="0"/>
    <n v="0"/>
    <n v="202000"/>
    <n v="0"/>
    <n v="0"/>
    <n v="0"/>
    <n v="202000"/>
    <n v="202000"/>
    <n v="202000"/>
  </r>
  <r>
    <s v="73"/>
    <x v="2"/>
    <x v="11"/>
    <s v="RB34F010"/>
    <x v="33"/>
    <s v="P306"/>
    <s v="REGULACIÓN DEL USO Y GESTIÓN DEL SUELO"/>
    <s v="GI00P30600004D"/>
    <s v="GI00P30600004D REGULA TU BARRIO"/>
    <s v="73 BIENES Y SERVICIOS PARA INVERSIÓN"/>
    <s v="730606 Honorarios por Contratos Civiles de Servici"/>
    <s v="G/730606/3FP306"/>
    <s v="001"/>
    <n v="542000"/>
    <n v="-367172.78"/>
    <n v="0"/>
    <n v="174827.22"/>
    <n v="0"/>
    <n v="0"/>
    <n v="0"/>
    <n v="174827.22"/>
    <n v="174827.22"/>
    <n v="174827.22"/>
  </r>
  <r>
    <s v="73"/>
    <x v="2"/>
    <x v="11"/>
    <s v="RB34F010"/>
    <x v="33"/>
    <s v="P306"/>
    <s v="REGULACIÓN DEL USO Y GESTIÓN DEL SUELO"/>
    <s v="GI00P30600004D"/>
    <s v="GI00P30600004D REGULA TU BARRIO"/>
    <s v="73 BIENES Y SERVICIOS PARA INVERSIÓN"/>
    <s v="730702 Arrendamiento y Licencias de Uso de Paquete"/>
    <s v="G/730702/3FP306"/>
    <s v="001"/>
    <n v="22500"/>
    <n v="0"/>
    <n v="0"/>
    <n v="22500"/>
    <n v="0"/>
    <n v="0"/>
    <n v="0"/>
    <n v="22500"/>
    <n v="22500"/>
    <n v="22500"/>
  </r>
  <r>
    <s v="73"/>
    <x v="2"/>
    <x v="11"/>
    <s v="RB34F010"/>
    <x v="33"/>
    <s v="P306"/>
    <s v="REGULACIÓN DEL USO Y GESTIÓN DEL SUELO"/>
    <s v="GI00P30600004D"/>
    <s v="GI00P30600004D REGULA TU BARRIO"/>
    <s v="73 BIENES Y SERVICIOS PARA INVERSIÓN"/>
    <s v="730704 Mantenimiento y Reparación de Equipos y"/>
    <s v="G/730704/3FP306"/>
    <s v="001"/>
    <n v="8000"/>
    <n v="0"/>
    <n v="0"/>
    <n v="8000"/>
    <n v="0"/>
    <n v="0"/>
    <n v="0"/>
    <n v="8000"/>
    <n v="8000"/>
    <n v="8000"/>
  </r>
  <r>
    <s v="73"/>
    <x v="2"/>
    <x v="11"/>
    <s v="RB34F010"/>
    <x v="33"/>
    <s v="P306"/>
    <s v="REGULACIÓN DEL USO Y GESTIÓN DEL SUELO"/>
    <s v="GI00P30600004D"/>
    <s v="GI00P30600004D REGULA TU BARRIO"/>
    <s v="73 BIENES Y SERVICIOS PARA INVERSIÓN"/>
    <s v="730804 Materiales de Oficina"/>
    <s v="G/730804/3FP306"/>
    <s v="001"/>
    <n v="10000"/>
    <n v="0"/>
    <n v="0"/>
    <n v="10000"/>
    <n v="0"/>
    <n v="1399.57"/>
    <n v="1384.45"/>
    <n v="8600.43"/>
    <n v="8615.5499999999993"/>
    <n v="8600.43"/>
  </r>
  <r>
    <s v="73"/>
    <x v="2"/>
    <x v="11"/>
    <s v="RB34F010"/>
    <x v="33"/>
    <s v="P306"/>
    <s v="REGULACIÓN DEL USO Y GESTIÓN DEL SUELO"/>
    <s v="GI00P30600004D"/>
    <s v="GI00P30600004D REGULA TU BARRIO"/>
    <s v="73 BIENES Y SERVICIOS PARA INVERSIÓN"/>
    <s v="730807 Materiales de Impresión, Fotografía, Rep"/>
    <s v="G/730807/3FP306"/>
    <s v="001"/>
    <n v="51000"/>
    <n v="0"/>
    <n v="0"/>
    <n v="51000"/>
    <n v="0"/>
    <n v="0"/>
    <n v="0"/>
    <n v="51000"/>
    <n v="51000"/>
    <n v="51000"/>
  </r>
  <r>
    <s v="75"/>
    <x v="2"/>
    <x v="11"/>
    <s v="ZD07F070"/>
    <x v="43"/>
    <s v="D301"/>
    <s v="CERO RESIDUOSCERO RESIDUOS"/>
    <s v="GI00D30100004D"/>
    <s v="GI00D30100004D IMPLEMENTACIÓN DE CENTROS DE APROVECHAMI"/>
    <s v="75 OBRAS PÚBLICAS"/>
    <s v="750107 Construcciones y Edificaciones"/>
    <s v="G/750107/3FD301"/>
    <s v="001"/>
    <n v="50000"/>
    <n v="0"/>
    <n v="0"/>
    <n v="50000"/>
    <n v="0"/>
    <n v="49878.09"/>
    <n v="0"/>
    <n v="121.91"/>
    <n v="50000"/>
    <n v="121.91"/>
  </r>
  <r>
    <s v="75"/>
    <x v="2"/>
    <x v="11"/>
    <s v="ZC09F090"/>
    <x v="44"/>
    <s v="D301"/>
    <s v="CERO RESIDUOSCERO RESIDUOS"/>
    <s v="GI00D30100004D"/>
    <s v="GI00D30100004D IMPLEMENTACIÓN DE CENTROS DE APROVECHAMI"/>
    <s v="75 OBRAS PÚBLICAS"/>
    <s v="750107 Construcciones y Edificaciones"/>
    <s v="G/750107/3FD301"/>
    <s v="001"/>
    <n v="50000"/>
    <n v="0"/>
    <n v="0"/>
    <n v="50000"/>
    <n v="0"/>
    <n v="0"/>
    <n v="0"/>
    <n v="50000"/>
    <n v="50000"/>
    <n v="50000"/>
  </r>
  <r>
    <s v="75"/>
    <x v="2"/>
    <x v="11"/>
    <s v="ZV05F050"/>
    <x v="37"/>
    <s v="F102"/>
    <s v="PARTICIPACION CIUDADANA"/>
    <s v="GI00F10200001D"/>
    <s v="GI00F10200001D PRESUPUESTOS PARTICIPATIVOS"/>
    <s v="75 OBRAS PÚBLICAS"/>
    <s v="750104 Urbanización y Embellecimiento"/>
    <s v="G/750104/1FF102"/>
    <s v="001"/>
    <n v="210247.01"/>
    <n v="39912.050000000003"/>
    <n v="0"/>
    <n v="250159.06"/>
    <n v="520.54"/>
    <n v="181940.11"/>
    <n v="15492.88"/>
    <n v="68218.95"/>
    <n v="234666.18"/>
    <n v="67698.41"/>
  </r>
  <r>
    <s v="75"/>
    <x v="2"/>
    <x v="11"/>
    <s v="ZD07F070"/>
    <x v="43"/>
    <s v="F102"/>
    <s v="PARTICIPACION CIUDADANA"/>
    <s v="GI00F10200001D"/>
    <s v="GI00F10200001D PRESUPUESTOS PARTICIPATIVOS"/>
    <s v="75 OBRAS PÚBLICAS"/>
    <s v="750104 Urbanización y Embellecimiento"/>
    <s v="G/750104/1FF102"/>
    <s v="002"/>
    <n v="259644.36"/>
    <n v="-214370.71"/>
    <n v="0"/>
    <n v="45273.65"/>
    <n v="0"/>
    <n v="45273.65"/>
    <n v="45273.64"/>
    <n v="0"/>
    <n v="0.01"/>
    <n v="0"/>
  </r>
  <r>
    <s v="75"/>
    <x v="2"/>
    <x v="11"/>
    <s v="ZM04F040"/>
    <x v="41"/>
    <s v="F102"/>
    <s v="PARTICIPACION CIUDADANA"/>
    <s v="GI00F10200001D"/>
    <s v="GI00F10200001D PRESUPUESTOS PARTICIPATIVOS"/>
    <s v="75 OBRAS PÚBLICAS"/>
    <s v="750104 Urbanización y Embellecimiento"/>
    <s v="G/750104/1FF102"/>
    <s v="002"/>
    <n v="567002.05000000005"/>
    <n v="-80030.91"/>
    <n v="0"/>
    <n v="486971.14"/>
    <n v="0"/>
    <n v="486971.14"/>
    <n v="486971.08"/>
    <n v="0"/>
    <n v="0.06"/>
    <n v="0"/>
  </r>
  <r>
    <s v="75"/>
    <x v="2"/>
    <x v="11"/>
    <s v="ZC09F090"/>
    <x v="44"/>
    <s v="F102"/>
    <s v="PARTICIPACION CIUDADANA"/>
    <s v="GI00F10200001D"/>
    <s v="GI00F10200001D PRESUPUESTOS PARTICIPATIVOS"/>
    <s v="75 OBRAS PÚBLICAS"/>
    <s v="750104 Urbanización y Embellecimiento"/>
    <s v="G/750104/1FF102"/>
    <s v="001"/>
    <n v="2125517.42"/>
    <n v="-254208.4"/>
    <n v="0"/>
    <n v="1871309.02"/>
    <n v="0"/>
    <n v="1405257.86"/>
    <n v="83055.649999999994"/>
    <n v="466051.16"/>
    <n v="1788253.37"/>
    <n v="466051.16"/>
  </r>
  <r>
    <s v="75"/>
    <x v="2"/>
    <x v="11"/>
    <s v="ZD07F070"/>
    <x v="43"/>
    <s v="F102"/>
    <s v="PARTICIPACION CIUDADANA"/>
    <s v="GI00F10200001D"/>
    <s v="GI00F10200001D PRESUPUESTOS PARTICIPATIVOS"/>
    <s v="75 OBRAS PÚBLICAS"/>
    <s v="750104 Urbanización y Embellecimiento"/>
    <s v="G/750104/1FF102"/>
    <s v="001"/>
    <n v="1687354.49"/>
    <n v="-134878.67000000001"/>
    <n v="0"/>
    <n v="1552475.82"/>
    <n v="52965.51"/>
    <n v="631593.31000000006"/>
    <n v="124192.46"/>
    <n v="920882.51"/>
    <n v="1428283.36"/>
    <n v="867917"/>
  </r>
  <r>
    <s v="75"/>
    <x v="2"/>
    <x v="11"/>
    <s v="ZC09F090"/>
    <x v="44"/>
    <s v="F102"/>
    <s v="PARTICIPACION CIUDADANA"/>
    <s v="GI00F10200001D"/>
    <s v="GI00F10200001D PRESUPUESTOS PARTICIPATIVOS"/>
    <s v="75 OBRAS PÚBLICAS"/>
    <s v="750104 Urbanización y Embellecimiento"/>
    <s v="G/750104/1FF102"/>
    <s v="002"/>
    <n v="232581.4"/>
    <n v="-161665.68"/>
    <n v="0"/>
    <n v="70915.72"/>
    <n v="0"/>
    <n v="70915.72"/>
    <n v="70915.72"/>
    <n v="0"/>
    <n v="0"/>
    <n v="0"/>
  </r>
  <r>
    <s v="75"/>
    <x v="2"/>
    <x v="11"/>
    <s v="ZQ08F080"/>
    <x v="39"/>
    <s v="F102"/>
    <s v="PARTICIPACION CIUDADANA"/>
    <s v="GI00F10200001D"/>
    <s v="GI00F10200001D PRESUPUESTOS PARTICIPATIVOS"/>
    <s v="75 OBRAS PÚBLICAS"/>
    <s v="750104 Urbanización y Embellecimiento"/>
    <s v="G/750104/1FF102"/>
    <s v="001"/>
    <n v="3057015.52"/>
    <n v="9533.15"/>
    <n v="0"/>
    <n v="3066548.67"/>
    <n v="0.02"/>
    <n v="2945211.8"/>
    <n v="894149.21"/>
    <n v="121336.87"/>
    <n v="2172399.46"/>
    <n v="121336.85"/>
  </r>
  <r>
    <s v="75"/>
    <x v="2"/>
    <x v="11"/>
    <s v="ZN02F020"/>
    <x v="40"/>
    <s v="F102"/>
    <s v="PARTICIPACION CIUDADANA"/>
    <s v="GI00F10200001D"/>
    <s v="GI00F10200001D PRESUPUESTOS PARTICIPATIVOS"/>
    <s v="75 OBRAS PÚBLICAS"/>
    <s v="750104 Urbanización y Embellecimiento"/>
    <s v="G/750104/1FF102"/>
    <s v="002"/>
    <n v="275597.96000000002"/>
    <n v="298158.67"/>
    <n v="0"/>
    <n v="573756.63"/>
    <n v="0.01"/>
    <n v="449569.5"/>
    <n v="416875.53"/>
    <n v="124187.13"/>
    <n v="156881.1"/>
    <n v="124187.12"/>
  </r>
  <r>
    <s v="75"/>
    <x v="2"/>
    <x v="11"/>
    <s v="ZT06F060"/>
    <x v="25"/>
    <s v="F102"/>
    <s v="PARTICIPACION CIUDADANA"/>
    <s v="GI00F10200001D"/>
    <s v="GI00F10200001D PRESUPUESTOS PARTICIPATIVOS"/>
    <s v="75 OBRAS PÚBLICAS"/>
    <s v="750104 Urbanización y Embellecimiento"/>
    <s v="G/750104/1FF102"/>
    <s v="001"/>
    <n v="819164.85"/>
    <n v="-30945.41"/>
    <n v="0"/>
    <n v="788219.44"/>
    <n v="0.01"/>
    <n v="705771.8"/>
    <n v="14885.65"/>
    <n v="82447.64"/>
    <n v="773333.79"/>
    <n v="82447.63"/>
  </r>
  <r>
    <s v="75"/>
    <x v="2"/>
    <x v="11"/>
    <s v="ZM04F040"/>
    <x v="41"/>
    <s v="F102"/>
    <s v="PARTICIPACION CIUDADANA"/>
    <s v="GI00F10200001D"/>
    <s v="GI00F10200001D PRESUPUESTOS PARTICIPATIVOS"/>
    <s v="75 OBRAS PÚBLICAS"/>
    <s v="750104 Urbanización y Embellecimiento"/>
    <s v="G/750104/1FF102"/>
    <s v="001"/>
    <n v="2176079.4"/>
    <n v="4495.4399999999996"/>
    <n v="0"/>
    <n v="2180574.84"/>
    <n v="718282.03"/>
    <n v="1056018.4099999999"/>
    <n v="601565.24"/>
    <n v="1124556.43"/>
    <n v="1579009.6"/>
    <n v="406274.4"/>
  </r>
  <r>
    <s v="75"/>
    <x v="2"/>
    <x v="11"/>
    <s v="ZQ08F080"/>
    <x v="39"/>
    <s v="F102"/>
    <s v="PARTICIPACION CIUDADANA"/>
    <s v="GI00F10200001D"/>
    <s v="GI00F10200001D PRESUPUESTOS PARTICIPATIVOS"/>
    <s v="75 OBRAS PÚBLICAS"/>
    <s v="750104 Urbanización y Embellecimiento"/>
    <s v="G/750104/1FF102"/>
    <s v="002"/>
    <n v="787657.76"/>
    <n v="-84391.89"/>
    <n v="0"/>
    <n v="703265.87"/>
    <n v="0"/>
    <n v="703265.87"/>
    <n v="697886.11"/>
    <n v="0"/>
    <n v="5379.76"/>
    <n v="0"/>
  </r>
  <r>
    <s v="75"/>
    <x v="2"/>
    <x v="11"/>
    <s v="ZN02F020"/>
    <x v="40"/>
    <s v="F102"/>
    <s v="PARTICIPACION CIUDADANA"/>
    <s v="GI00F10200001D"/>
    <s v="GI00F10200001D PRESUPUESTOS PARTICIPATIVOS"/>
    <s v="75 OBRAS PÚBLICAS"/>
    <s v="750104 Urbanización y Embellecimiento"/>
    <s v="G/750104/1FF102"/>
    <s v="001"/>
    <n v="3924069.69"/>
    <n v="-21439.06"/>
    <n v="0"/>
    <n v="3902630.63"/>
    <n v="79197.16"/>
    <n v="2713901.26"/>
    <n v="545945.19999999995"/>
    <n v="1188729.3700000001"/>
    <n v="3356685.43"/>
    <n v="1109532.21"/>
  </r>
  <r>
    <s v="75"/>
    <x v="2"/>
    <x v="11"/>
    <s v="ZS03F030"/>
    <x v="38"/>
    <s v="F102"/>
    <s v="PARTICIPACION CIUDADANA"/>
    <s v="GI00F10200001D"/>
    <s v="GI00F10200001D PRESUPUESTOS PARTICIPATIVOS"/>
    <s v="75 OBRAS PÚBLICAS"/>
    <s v="750104 Urbanización y Embellecimiento"/>
    <s v="G/750104/1FF102"/>
    <s v="002"/>
    <n v="161918.95000000001"/>
    <n v="-111879.96"/>
    <n v="0"/>
    <n v="50038.99"/>
    <n v="0"/>
    <n v="50038.99"/>
    <n v="50038.99"/>
    <n v="0"/>
    <n v="0"/>
    <n v="0"/>
  </r>
  <r>
    <s v="75"/>
    <x v="2"/>
    <x v="11"/>
    <s v="ZS03F030"/>
    <x v="38"/>
    <s v="F102"/>
    <s v="PARTICIPACION CIUDADANA"/>
    <s v="GI00F10200001D"/>
    <s v="GI00F10200001D PRESUPUESTOS PARTICIPATIVOS"/>
    <s v="75 OBRAS PÚBLICAS"/>
    <s v="750104 Urbanización y Embellecimiento"/>
    <s v="G/750104/1FF102"/>
    <s v="001"/>
    <n v="3380061.09"/>
    <n v="-26103.68"/>
    <n v="0"/>
    <n v="3353957.41"/>
    <n v="105538.37"/>
    <n v="2779064.88"/>
    <n v="867627.21"/>
    <n v="574892.53"/>
    <n v="2486330.2000000002"/>
    <n v="469354.16"/>
  </r>
  <r>
    <s v="75"/>
    <x v="2"/>
    <x v="11"/>
    <s v="ZT06F060"/>
    <x v="25"/>
    <s v="F102"/>
    <s v="PARTICIPACION CIUDADANA"/>
    <s v="GI00F10200001D"/>
    <s v="GI00F10200001D PRESUPUESTOS PARTICIPATIVOS"/>
    <s v="75 OBRAS PÚBLICAS"/>
    <s v="750104 Urbanización y Embellecimiento"/>
    <s v="G/750104/1FF102"/>
    <s v="002"/>
    <n v="57278.64"/>
    <n v="-45250.76"/>
    <n v="0"/>
    <n v="12027.88"/>
    <n v="0"/>
    <n v="12027.87"/>
    <n v="12027.86"/>
    <n v="0.01"/>
    <n v="0.02"/>
    <n v="0.01"/>
  </r>
  <r>
    <s v="75"/>
    <x v="2"/>
    <x v="11"/>
    <s v="ZD07F070"/>
    <x v="43"/>
    <s v="F102"/>
    <s v="PARTICIPACION CIUDADANA"/>
    <s v="GI00F10200001D"/>
    <s v="GI00F10200001D PRESUPUESTOS PARTICIPATIVOS"/>
    <s v="75 OBRAS PÚBLICAS"/>
    <s v="750105 Transporte y Vías"/>
    <s v="G/750105/1FF102"/>
    <s v="002"/>
    <n v="90000"/>
    <n v="-59574.17"/>
    <n v="0"/>
    <n v="30425.83"/>
    <n v="0.01"/>
    <n v="30425.82"/>
    <n v="30425.82"/>
    <n v="0.01"/>
    <n v="0.01"/>
    <n v="0"/>
  </r>
  <r>
    <s v="75"/>
    <x v="2"/>
    <x v="11"/>
    <s v="ZN02F020"/>
    <x v="40"/>
    <s v="F102"/>
    <s v="PARTICIPACION CIUDADANA"/>
    <s v="GI00F10200001D"/>
    <s v="GI00F10200001D PRESUPUESTOS PARTICIPATIVOS"/>
    <s v="75 OBRAS PÚBLICAS"/>
    <s v="750105 Transporte y Vías"/>
    <s v="G/750105/1FF102"/>
    <s v="002"/>
    <n v="56249.919999999998"/>
    <n v="243219.5"/>
    <n v="0"/>
    <n v="299469.42"/>
    <n v="0"/>
    <n v="299469.42"/>
    <n v="299469.42"/>
    <n v="0"/>
    <n v="0"/>
    <n v="0"/>
  </r>
  <r>
    <s v="75"/>
    <x v="2"/>
    <x v="11"/>
    <s v="ZM04F040"/>
    <x v="41"/>
    <s v="F102"/>
    <s v="PARTICIPACION CIUDADANA"/>
    <s v="GI00F10200001D"/>
    <s v="GI00F10200001D PRESUPUESTOS PARTICIPATIVOS"/>
    <s v="75 OBRAS PÚBLICAS"/>
    <s v="750105 Transporte y Vías"/>
    <s v="G/750105/1FF102"/>
    <s v="001"/>
    <n v="786371.82"/>
    <n v="68751.990000000005"/>
    <n v="0"/>
    <n v="855123.81"/>
    <n v="244160"/>
    <n v="405255.8"/>
    <n v="55803.9"/>
    <n v="449868.01"/>
    <n v="799319.91"/>
    <n v="205708.01"/>
  </r>
  <r>
    <s v="75"/>
    <x v="2"/>
    <x v="11"/>
    <s v="ZV05F050"/>
    <x v="37"/>
    <s v="F102"/>
    <s v="PARTICIPACION CIUDADANA"/>
    <s v="GI00F10200001D"/>
    <s v="GI00F10200001D PRESUPUESTOS PARTICIPATIVOS"/>
    <s v="75 OBRAS PÚBLICAS"/>
    <s v="750105 Transporte y Vías"/>
    <s v="G/750105/1FF102"/>
    <s v="001"/>
    <n v="1430806.72"/>
    <n v="-17994.16"/>
    <n v="0"/>
    <n v="1412812.56"/>
    <n v="289868.09000000003"/>
    <n v="1086621"/>
    <n v="42257.84"/>
    <n v="326191.56"/>
    <n v="1370554.72"/>
    <n v="36323.47"/>
  </r>
  <r>
    <s v="75"/>
    <x v="2"/>
    <x v="11"/>
    <s v="ZT06F060"/>
    <x v="25"/>
    <s v="F102"/>
    <s v="PARTICIPACION CIUDADANA"/>
    <s v="GI00F10200001D"/>
    <s v="GI00F10200001D PRESUPUESTOS PARTICIPATIVOS"/>
    <s v="75 OBRAS PÚBLICAS"/>
    <s v="750105 Transporte y Vías"/>
    <s v="G/750105/1FF102"/>
    <s v="001"/>
    <n v="1668818.66"/>
    <n v="-169481.19"/>
    <n v="0"/>
    <n v="1499337.47"/>
    <n v="0"/>
    <n v="1343709.69"/>
    <n v="120238.18"/>
    <n v="155627.78"/>
    <n v="1379099.29"/>
    <n v="155627.78"/>
  </r>
  <r>
    <s v="75"/>
    <x v="2"/>
    <x v="11"/>
    <s v="ZD07F070"/>
    <x v="43"/>
    <s v="F102"/>
    <s v="PARTICIPACION CIUDADANA"/>
    <s v="GI00F10200001D"/>
    <s v="GI00F10200001D PRESUPUESTOS PARTICIPATIVOS"/>
    <s v="75 OBRAS PÚBLICAS"/>
    <s v="750105 Transporte y Vías"/>
    <s v="G/750105/1FF102"/>
    <s v="001"/>
    <n v="1505465.7"/>
    <n v="-109503.08"/>
    <n v="0"/>
    <n v="1395962.62"/>
    <n v="615373.87"/>
    <n v="730851.75"/>
    <n v="142045.91"/>
    <n v="665110.87"/>
    <n v="1253916.71"/>
    <n v="49737"/>
  </r>
  <r>
    <s v="75"/>
    <x v="2"/>
    <x v="11"/>
    <s v="ZM04F040"/>
    <x v="41"/>
    <s v="F102"/>
    <s v="PARTICIPACION CIUDADANA"/>
    <s v="GI00F10200001D"/>
    <s v="GI00F10200001D PRESUPUESTOS PARTICIPATIVOS"/>
    <s v="75 OBRAS PÚBLICAS"/>
    <s v="750105 Transporte y Vías"/>
    <s v="G/750105/1FF102"/>
    <s v="002"/>
    <n v="24900"/>
    <n v="22567.58"/>
    <n v="0"/>
    <n v="47467.58"/>
    <n v="0.01"/>
    <n v="47467.57"/>
    <n v="47467.57"/>
    <n v="0.01"/>
    <n v="0.01"/>
    <n v="0"/>
  </r>
  <r>
    <s v="75"/>
    <x v="2"/>
    <x v="11"/>
    <s v="ZS03F030"/>
    <x v="38"/>
    <s v="F102"/>
    <s v="PARTICIPACION CIUDADANA"/>
    <s v="GI00F10200001D"/>
    <s v="GI00F10200001D PRESUPUESTOS PARTICIPATIVOS"/>
    <s v="75 OBRAS PÚBLICAS"/>
    <s v="750105 Transporte y Vías"/>
    <s v="G/750105/1FF102"/>
    <s v="001"/>
    <n v="1533018.52"/>
    <n v="26103.68"/>
    <n v="0"/>
    <n v="1559122.2"/>
    <n v="197299.92"/>
    <n v="1177979.56"/>
    <n v="153951.10999999999"/>
    <n v="381142.64"/>
    <n v="1405171.09"/>
    <n v="183842.72"/>
  </r>
  <r>
    <s v="75"/>
    <x v="2"/>
    <x v="11"/>
    <s v="ZN02F020"/>
    <x v="40"/>
    <s v="F102"/>
    <s v="PARTICIPACION CIUDADANA"/>
    <s v="GI00F10200001D"/>
    <s v="GI00F10200001D PRESUPUESTOS PARTICIPATIVOS"/>
    <s v="75 OBRAS PÚBLICAS"/>
    <s v="750105 Transporte y Vías"/>
    <s v="G/750105/1FF102"/>
    <s v="001"/>
    <n v="1982402.14"/>
    <n v="190160.81"/>
    <n v="0"/>
    <n v="2172562.9500000002"/>
    <n v="0"/>
    <n v="1810936.45"/>
    <n v="313551.12"/>
    <n v="361626.5"/>
    <n v="1859011.83"/>
    <n v="361626.5"/>
  </r>
  <r>
    <s v="75"/>
    <x v="2"/>
    <x v="11"/>
    <s v="ZS03F030"/>
    <x v="38"/>
    <s v="F102"/>
    <s v="PARTICIPACION CIUDADANA"/>
    <s v="GI00F10200001D"/>
    <s v="GI00F10200001D PRESUPUESTOS PARTICIPATIVOS"/>
    <s v="75 OBRAS PÚBLICAS"/>
    <s v="750105 Transporte y Vías"/>
    <s v="G/750105/1FF102"/>
    <s v="002"/>
    <n v="0"/>
    <n v="111879.96"/>
    <n v="0"/>
    <n v="111879.96"/>
    <n v="0"/>
    <n v="111879.96"/>
    <n v="111879.96"/>
    <n v="0"/>
    <n v="0"/>
    <n v="0"/>
  </r>
  <r>
    <s v="75"/>
    <x v="2"/>
    <x v="11"/>
    <s v="ZC09F090"/>
    <x v="44"/>
    <s v="F102"/>
    <s v="PARTICIPACION CIUDADANA"/>
    <s v="GI00F10200001D"/>
    <s v="GI00F10200001D PRESUPUESTOS PARTICIPATIVOS"/>
    <s v="75 OBRAS PÚBLICAS"/>
    <s v="750105 Transporte y Vías"/>
    <s v="G/750105/1FF102"/>
    <s v="001"/>
    <n v="2871294.47"/>
    <n v="232581.4"/>
    <n v="0"/>
    <n v="3103875.87"/>
    <n v="151095.85999999999"/>
    <n v="2311547.13"/>
    <n v="277317.01"/>
    <n v="792328.74"/>
    <n v="2826558.86"/>
    <n v="641232.88"/>
  </r>
  <r>
    <s v="75"/>
    <x v="2"/>
    <x v="11"/>
    <s v="ZC09F090"/>
    <x v="44"/>
    <s v="F102"/>
    <s v="PARTICIPACION CIUDADANA"/>
    <s v="GI00F10200001D"/>
    <s v="GI00F10200001D PRESUPUESTOS PARTICIPATIVOS"/>
    <s v="75 OBRAS PÚBLICAS"/>
    <s v="750105 Transporte y Vías"/>
    <s v="G/750105/1FF102"/>
    <s v="002"/>
    <n v="0"/>
    <n v="174333.23"/>
    <n v="0"/>
    <n v="174333.23"/>
    <n v="0"/>
    <n v="174333.22"/>
    <n v="174333.22"/>
    <n v="0.01"/>
    <n v="0.01"/>
    <n v="0.01"/>
  </r>
  <r>
    <s v="75"/>
    <x v="2"/>
    <x v="11"/>
    <s v="ZQ08F080"/>
    <x v="39"/>
    <s v="F102"/>
    <s v="PARTICIPACION CIUDADANA"/>
    <s v="GI00F10200001D"/>
    <s v="GI00F10200001D PRESUPUESTOS PARTICIPATIVOS"/>
    <s v="75 OBRAS PÚBLICAS"/>
    <s v="750105 Transporte y Vías"/>
    <s v="G/750105/1FF102"/>
    <s v="001"/>
    <n v="2443557.15"/>
    <n v="-91757.15"/>
    <n v="0"/>
    <n v="2351800"/>
    <n v="0"/>
    <n v="1953015.46"/>
    <n v="0"/>
    <n v="398784.54"/>
    <n v="2351800"/>
    <n v="398784.54"/>
  </r>
  <r>
    <s v="75"/>
    <x v="2"/>
    <x v="11"/>
    <s v="ZT06F060"/>
    <x v="25"/>
    <s v="F102"/>
    <s v="PARTICIPACION CIUDADANA"/>
    <s v="GI00F10200001D"/>
    <s v="GI00F10200001D PRESUPUESTOS PARTICIPATIVOS"/>
    <s v="75 OBRAS PÚBLICAS"/>
    <s v="750105 Transporte y Vías"/>
    <s v="G/750105/1FF102"/>
    <s v="002"/>
    <n v="141267.42000000001"/>
    <n v="-71169.77"/>
    <n v="0"/>
    <n v="70097.649999999994"/>
    <n v="0"/>
    <n v="70097.64"/>
    <n v="70097.64"/>
    <n v="0.01"/>
    <n v="0.01"/>
    <n v="0.01"/>
  </r>
  <r>
    <s v="75"/>
    <x v="2"/>
    <x v="11"/>
    <s v="ZT06F060"/>
    <x v="25"/>
    <s v="F102"/>
    <s v="PARTICIPACION CIUDADANA"/>
    <s v="GI00F10200001D"/>
    <s v="GI00F10200001D PRESUPUESTOS PARTICIPATIVOS"/>
    <s v="75 OBRAS PÚBLICAS"/>
    <s v="750107 Construcciones y Edificaciones"/>
    <s v="G/750107/1FF102"/>
    <s v="002"/>
    <n v="234498.13"/>
    <n v="-26732.05"/>
    <n v="0"/>
    <n v="207766.08"/>
    <n v="0"/>
    <n v="207766.08"/>
    <n v="207766.07"/>
    <n v="0"/>
    <n v="0.01"/>
    <n v="0"/>
  </r>
  <r>
    <s v="75"/>
    <x v="2"/>
    <x v="11"/>
    <s v="ZT06F060"/>
    <x v="25"/>
    <s v="F102"/>
    <s v="PARTICIPACION CIUDADANA"/>
    <s v="GI00F10200001D"/>
    <s v="GI00F10200001D PRESUPUESTOS PARTICIPATIVOS"/>
    <s v="75 OBRAS PÚBLICAS"/>
    <s v="750107 Construcciones y Edificaciones"/>
    <s v="G/750107/1FF102"/>
    <s v="001"/>
    <n v="825454.9"/>
    <n v="50747.49"/>
    <n v="0"/>
    <n v="876202.39"/>
    <n v="0"/>
    <n v="604665.29"/>
    <n v="241267.05"/>
    <n v="271537.09999999998"/>
    <n v="634935.34"/>
    <n v="271537.09999999998"/>
  </r>
  <r>
    <s v="75"/>
    <x v="2"/>
    <x v="11"/>
    <s v="ZD07F070"/>
    <x v="43"/>
    <s v="F102"/>
    <s v="PARTICIPACION CIUDADANA"/>
    <s v="GI00F10200001D"/>
    <s v="GI00F10200001D PRESUPUESTOS PARTICIPATIVOS"/>
    <s v="75 OBRAS PÚBLICAS"/>
    <s v="750107 Construcciones y Edificaciones"/>
    <s v="G/750107/1FF102"/>
    <s v="002"/>
    <n v="65000"/>
    <n v="-65000"/>
    <n v="0"/>
    <n v="0"/>
    <n v="0"/>
    <n v="0"/>
    <n v="0"/>
    <n v="0"/>
    <n v="0"/>
    <n v="0"/>
  </r>
  <r>
    <s v="75"/>
    <x v="2"/>
    <x v="11"/>
    <s v="ZC09F090"/>
    <x v="44"/>
    <s v="F102"/>
    <s v="PARTICIPACION CIUDADANA"/>
    <s v="GI00F10200006D"/>
    <s v="GI00F10200006D INFRAESTRUCTURA COMUNITARIA"/>
    <s v="75 OBRAS PÚBLICAS"/>
    <s v="750104 Urbanización y Embellecimiento"/>
    <s v="G/750104/1FF102"/>
    <s v="001"/>
    <n v="230964"/>
    <n v="-164490.57"/>
    <n v="0"/>
    <n v="66473.429999999993"/>
    <n v="0"/>
    <n v="65644.009999999995"/>
    <n v="65644.009999999995"/>
    <n v="829.42"/>
    <n v="829.42"/>
    <n v="829.42"/>
  </r>
  <r>
    <s v="75"/>
    <x v="2"/>
    <x v="11"/>
    <s v="ZN02F020"/>
    <x v="40"/>
    <s v="F102"/>
    <s v="PARTICIPACION CIUDADANA"/>
    <s v="GI00F10200006D"/>
    <s v="GI00F10200006D INFRAESTRUCTURA COMUNITARIA"/>
    <s v="75 OBRAS PÚBLICAS"/>
    <s v="750104 Urbanización y Embellecimiento"/>
    <s v="G/750104/1FF102"/>
    <s v="001"/>
    <n v="300000"/>
    <n v="-31462.5"/>
    <n v="0"/>
    <n v="268537.5"/>
    <n v="0"/>
    <n v="217851.22"/>
    <n v="0"/>
    <n v="50686.28"/>
    <n v="268537.5"/>
    <n v="50686.28"/>
  </r>
  <r>
    <s v="75"/>
    <x v="2"/>
    <x v="11"/>
    <s v="ZV05F050"/>
    <x v="37"/>
    <s v="F102"/>
    <s v="PARTICIPACION CIUDADANA"/>
    <s v="GI00F10200006D"/>
    <s v="GI00F10200006D INFRAESTRUCTURA COMUNITARIA"/>
    <s v="75 OBRAS PÚBLICAS"/>
    <s v="750104 Urbanización y Embellecimiento"/>
    <s v="G/750104/1FF102"/>
    <s v="001"/>
    <n v="197716.97"/>
    <n v="10607.83"/>
    <n v="0"/>
    <n v="208324.8"/>
    <n v="0.06"/>
    <n v="208324.74"/>
    <n v="0"/>
    <n v="0.06"/>
    <n v="208324.8"/>
    <n v="0"/>
  </r>
  <r>
    <s v="75"/>
    <x v="2"/>
    <x v="11"/>
    <s v="ZT06F060"/>
    <x v="25"/>
    <s v="F102"/>
    <s v="PARTICIPACION CIUDADANA"/>
    <s v="GI00F10200006D"/>
    <s v="GI00F10200006D INFRAESTRUCTURA COMUNITARIA"/>
    <s v="75 OBRAS PÚBLICAS"/>
    <s v="750104 Urbanización y Embellecimiento"/>
    <s v="G/750104/1FF102"/>
    <s v="001"/>
    <n v="55000"/>
    <n v="-27000"/>
    <n v="0"/>
    <n v="28000"/>
    <n v="0"/>
    <n v="0"/>
    <n v="0"/>
    <n v="28000"/>
    <n v="28000"/>
    <n v="28000"/>
  </r>
  <r>
    <s v="75"/>
    <x v="2"/>
    <x v="11"/>
    <s v="ZC09F090"/>
    <x v="44"/>
    <s v="F102"/>
    <s v="PARTICIPACION CIUDADANA"/>
    <s v="GI00F10200006D"/>
    <s v="GI00F10200006D INFRAESTRUCTURA COMUNITARIA"/>
    <s v="75 OBRAS PÚBLICAS"/>
    <s v="750104 Urbanización y Embellecimiento"/>
    <s v="G/750104/1FF102"/>
    <s v="002"/>
    <n v="53123.75"/>
    <n v="0"/>
    <n v="0"/>
    <n v="53123.75"/>
    <n v="0"/>
    <n v="53123.75"/>
    <n v="53123.75"/>
    <n v="0"/>
    <n v="0"/>
    <n v="0"/>
  </r>
  <r>
    <s v="75"/>
    <x v="2"/>
    <x v="11"/>
    <s v="ZD07F070"/>
    <x v="43"/>
    <s v="F102"/>
    <s v="PARTICIPACION CIUDADANA"/>
    <s v="GI00F10200006D"/>
    <s v="GI00F10200006D INFRAESTRUCTURA COMUNITARIA"/>
    <s v="75 OBRAS PÚBLICAS"/>
    <s v="750104 Urbanización y Embellecimiento"/>
    <s v="G/750104/1FF102"/>
    <s v="001"/>
    <n v="238012.98"/>
    <n v="0"/>
    <n v="0"/>
    <n v="238012.98"/>
    <n v="10510.76"/>
    <n v="196987.9"/>
    <n v="42861.120000000003"/>
    <n v="41025.08"/>
    <n v="195151.86"/>
    <n v="30514.32"/>
  </r>
  <r>
    <s v="75"/>
    <x v="2"/>
    <x v="11"/>
    <s v="ZQ08F080"/>
    <x v="39"/>
    <s v="F102"/>
    <s v="PARTICIPACION CIUDADANA"/>
    <s v="GI00F10200006D"/>
    <s v="GI00F10200006D INFRAESTRUCTURA COMUNITARIA"/>
    <s v="75 OBRAS PÚBLICAS"/>
    <s v="750104 Urbanización y Embellecimiento"/>
    <s v="G/750104/1FF102"/>
    <s v="001"/>
    <n v="455528.6"/>
    <n v="-380528.6"/>
    <n v="0"/>
    <n v="75000"/>
    <n v="0"/>
    <n v="24981.02"/>
    <n v="0"/>
    <n v="50018.98"/>
    <n v="75000"/>
    <n v="50018.98"/>
  </r>
  <r>
    <s v="75"/>
    <x v="2"/>
    <x v="11"/>
    <s v="ZD07F070"/>
    <x v="43"/>
    <s v="F102"/>
    <s v="PARTICIPACION CIUDADANA"/>
    <s v="GI00F10200006D"/>
    <s v="GI00F10200006D INFRAESTRUCTURA COMUNITARIA"/>
    <s v="75 OBRAS PÚBLICAS"/>
    <s v="750104 Urbanización y Embellecimiento"/>
    <s v="G/750104/1FF102"/>
    <s v="002"/>
    <n v="100000"/>
    <n v="-64108.63"/>
    <n v="0"/>
    <n v="35891.370000000003"/>
    <n v="0.01"/>
    <n v="35891.360000000001"/>
    <n v="35891.360000000001"/>
    <n v="0.01"/>
    <n v="0.01"/>
    <n v="0"/>
  </r>
  <r>
    <s v="75"/>
    <x v="2"/>
    <x v="11"/>
    <s v="ZS03F030"/>
    <x v="38"/>
    <s v="F102"/>
    <s v="PARTICIPACION CIUDADANA"/>
    <s v="GI00F10200006D"/>
    <s v="GI00F10200006D INFRAESTRUCTURA COMUNITARIA"/>
    <s v="75 OBRAS PÚBLICAS"/>
    <s v="750104 Urbanización y Embellecimiento"/>
    <s v="G/750104/1FF102"/>
    <s v="001"/>
    <n v="402100.22"/>
    <n v="0"/>
    <n v="0"/>
    <n v="402100.22"/>
    <n v="35002.730000000003"/>
    <n v="233351.54"/>
    <n v="232659.59"/>
    <n v="168748.68"/>
    <n v="169440.63"/>
    <n v="133745.95000000001"/>
  </r>
  <r>
    <s v="75"/>
    <x v="2"/>
    <x v="11"/>
    <s v="ZM04F040"/>
    <x v="41"/>
    <s v="F102"/>
    <s v="PARTICIPACION CIUDADANA"/>
    <s v="GI00F10200006D"/>
    <s v="GI00F10200006D INFRAESTRUCTURA COMUNITARIA"/>
    <s v="75 OBRAS PÚBLICAS"/>
    <s v="750104 Urbanización y Embellecimiento"/>
    <s v="G/750104/1FF102"/>
    <s v="001"/>
    <n v="347040"/>
    <n v="0"/>
    <n v="0"/>
    <n v="347040"/>
    <n v="0"/>
    <n v="80640"/>
    <n v="0"/>
    <n v="266400"/>
    <n v="347040"/>
    <n v="266400"/>
  </r>
  <r>
    <s v="75"/>
    <x v="2"/>
    <x v="11"/>
    <s v="ZN02F020"/>
    <x v="40"/>
    <s v="F102"/>
    <s v="PARTICIPACION CIUDADANA"/>
    <s v="GI00F10200006D"/>
    <s v="GI00F10200006D INFRAESTRUCTURA COMUNITARIA"/>
    <s v="75 OBRAS PÚBLICAS"/>
    <s v="750105 Transporte y Vías"/>
    <s v="G/750105/1FF102"/>
    <s v="001"/>
    <n v="276402.88"/>
    <n v="0"/>
    <n v="0"/>
    <n v="276402.88"/>
    <n v="0"/>
    <n v="0"/>
    <n v="0"/>
    <n v="276402.88"/>
    <n v="276402.88"/>
    <n v="276402.88"/>
  </r>
  <r>
    <s v="75"/>
    <x v="2"/>
    <x v="11"/>
    <s v="ZD07F070"/>
    <x v="43"/>
    <s v="F102"/>
    <s v="PARTICIPACION CIUDADANA"/>
    <s v="GI00F10200006D"/>
    <s v="GI00F10200006D INFRAESTRUCTURA COMUNITARIA"/>
    <s v="75 OBRAS PÚBLICAS"/>
    <s v="750105 Transporte y Vías"/>
    <s v="G/750105/1FF102"/>
    <s v="001"/>
    <n v="220000"/>
    <n v="0"/>
    <n v="0"/>
    <n v="220000"/>
    <n v="87696.17"/>
    <n v="123063.41"/>
    <n v="0"/>
    <n v="96936.59"/>
    <n v="220000"/>
    <n v="9240.42"/>
  </r>
  <r>
    <s v="75"/>
    <x v="2"/>
    <x v="11"/>
    <s v="ZC09F090"/>
    <x v="44"/>
    <s v="F102"/>
    <s v="PARTICIPACION CIUDADANA"/>
    <s v="GI00F10200006D"/>
    <s v="GI00F10200006D INFRAESTRUCTURA COMUNITARIA"/>
    <s v="75 OBRAS PÚBLICAS"/>
    <s v="750105 Transporte y Vías"/>
    <s v="G/750105/1FF102"/>
    <s v="001"/>
    <n v="316380.99"/>
    <n v="162290.57"/>
    <n v="0"/>
    <n v="478671.56"/>
    <n v="202666.41"/>
    <n v="188878.27"/>
    <n v="108031.18"/>
    <n v="289793.28999999998"/>
    <n v="370640.38"/>
    <n v="87126.88"/>
  </r>
  <r>
    <s v="75"/>
    <x v="2"/>
    <x v="11"/>
    <s v="ZQ08F080"/>
    <x v="39"/>
    <s v="F102"/>
    <s v="PARTICIPACION CIUDADANA"/>
    <s v="GI00F10200006D"/>
    <s v="GI00F10200006D INFRAESTRUCTURA COMUNITARIA"/>
    <s v="75 OBRAS PÚBLICAS"/>
    <s v="750105 Transporte y Vías"/>
    <s v="G/750105/1FF102"/>
    <s v="001"/>
    <n v="171842.86"/>
    <n v="370157.14"/>
    <n v="0"/>
    <n v="542000"/>
    <n v="0"/>
    <n v="269455.84000000003"/>
    <n v="0"/>
    <n v="272544.15999999997"/>
    <n v="542000"/>
    <n v="272544.15999999997"/>
  </r>
  <r>
    <s v="75"/>
    <x v="2"/>
    <x v="11"/>
    <s v="ZM04F040"/>
    <x v="41"/>
    <s v="F102"/>
    <s v="PARTICIPACION CIUDADANA"/>
    <s v="GI00F10200006D"/>
    <s v="GI00F10200006D INFRAESTRUCTURA COMUNITARIA"/>
    <s v="75 OBRAS PÚBLICAS"/>
    <s v="750105 Transporte y Vías"/>
    <s v="G/750105/1FF102"/>
    <s v="001"/>
    <n v="75756.740000000005"/>
    <n v="0"/>
    <n v="0"/>
    <n v="75756.740000000005"/>
    <n v="0"/>
    <n v="25760"/>
    <n v="0"/>
    <n v="49996.74"/>
    <n v="75756.740000000005"/>
    <n v="49996.74"/>
  </r>
  <r>
    <s v="75"/>
    <x v="2"/>
    <x v="11"/>
    <s v="ZS03F030"/>
    <x v="38"/>
    <s v="F102"/>
    <s v="PARTICIPACION CIUDADANA"/>
    <s v="GI00F10200006D"/>
    <s v="GI00F10200006D INFRAESTRUCTURA COMUNITARIA"/>
    <s v="75 OBRAS PÚBLICAS"/>
    <s v="750105 Transporte y Vías"/>
    <s v="G/750105/1FF102"/>
    <s v="001"/>
    <n v="134041.07"/>
    <n v="-36257.49"/>
    <n v="0"/>
    <n v="97783.58"/>
    <n v="0"/>
    <n v="0"/>
    <n v="0"/>
    <n v="97783.58"/>
    <n v="97783.58"/>
    <n v="97783.58"/>
  </r>
  <r>
    <s v="75"/>
    <x v="2"/>
    <x v="11"/>
    <s v="ZV05F050"/>
    <x v="37"/>
    <s v="F102"/>
    <s v="PARTICIPACION CIUDADANA"/>
    <s v="GI00F10200006D"/>
    <s v="GI00F10200006D INFRAESTRUCTURA COMUNITARIA"/>
    <s v="75 OBRAS PÚBLICAS"/>
    <s v="750105 Transporte y Vías"/>
    <s v="G/750105/1FF102"/>
    <s v="001"/>
    <n v="40000"/>
    <n v="29392.17"/>
    <n v="0"/>
    <n v="69392.17"/>
    <n v="25062.74"/>
    <n v="39342"/>
    <n v="14999.22"/>
    <n v="30050.17"/>
    <n v="54392.95"/>
    <n v="4987.43"/>
  </r>
  <r>
    <s v="75"/>
    <x v="2"/>
    <x v="11"/>
    <s v="ZC09F090"/>
    <x v="44"/>
    <s v="F102"/>
    <s v="PARTICIPACION CIUDADANA"/>
    <s v="GI00F10200006D"/>
    <s v="GI00F10200006D INFRAESTRUCTURA COMUNITARIA"/>
    <s v="75 OBRAS PÚBLICAS"/>
    <s v="750105 Transporte y Vías"/>
    <s v="G/750105/1FF102"/>
    <s v="002"/>
    <n v="0"/>
    <n v="82171.839999999997"/>
    <n v="0"/>
    <n v="82171.839999999997"/>
    <n v="0"/>
    <n v="82171.839999999997"/>
    <n v="82171.83"/>
    <n v="0"/>
    <n v="0.01"/>
    <n v="0"/>
  </r>
  <r>
    <s v="75"/>
    <x v="2"/>
    <x v="11"/>
    <s v="ZT06F060"/>
    <x v="25"/>
    <s v="F102"/>
    <s v="PARTICIPACION CIUDADANA"/>
    <s v="GI00F10200006D"/>
    <s v="GI00F10200006D INFRAESTRUCTURA COMUNITARIA"/>
    <s v="75 OBRAS PÚBLICAS"/>
    <s v="750105 Transporte y Vías"/>
    <s v="G/750105/1FF102"/>
    <s v="001"/>
    <n v="80000"/>
    <n v="316151.86"/>
    <n v="0"/>
    <n v="396151.86"/>
    <n v="0"/>
    <n v="144893.82999999999"/>
    <n v="0"/>
    <n v="251258.03"/>
    <n v="396151.86"/>
    <n v="251258.03"/>
  </r>
  <r>
    <s v="75"/>
    <x v="2"/>
    <x v="11"/>
    <s v="ZT06F060"/>
    <x v="25"/>
    <s v="F102"/>
    <s v="PARTICIPACION CIUDADANA"/>
    <s v="GI00F10200006D"/>
    <s v="GI00F10200006D INFRAESTRUCTURA COMUNITARIA"/>
    <s v="75 OBRAS PÚBLICAS"/>
    <s v="750107 Construcciones y Edificaciones"/>
    <s v="G/750107/1FF102"/>
    <s v="001"/>
    <n v="289151.86"/>
    <n v="-289151.86"/>
    <n v="0"/>
    <n v="0"/>
    <n v="0"/>
    <n v="0"/>
    <n v="0"/>
    <n v="0"/>
    <n v="0"/>
    <n v="0"/>
  </r>
  <r>
    <s v="75"/>
    <x v="2"/>
    <x v="11"/>
    <s v="ZC09F090"/>
    <x v="44"/>
    <s v="F102"/>
    <s v="PARTICIPACION CIUDADANA"/>
    <s v="GI00F10200006D"/>
    <s v="GI00F10200006D INFRAESTRUCTURA COMUNITARIA"/>
    <s v="75 OBRAS PÚBLICAS"/>
    <s v="750501 Obras de Infraestructura"/>
    <s v="G/750501/1FF102"/>
    <s v="001"/>
    <n v="0"/>
    <n v="2200"/>
    <n v="0"/>
    <n v="2200"/>
    <n v="0"/>
    <n v="0"/>
    <n v="0"/>
    <n v="2200"/>
    <n v="2200"/>
    <n v="2200"/>
  </r>
  <r>
    <s v="75"/>
    <x v="1"/>
    <x v="13"/>
    <s v="ZA01G000"/>
    <x v="29"/>
    <s v="G101"/>
    <s v="ARTE, CULTURA Y PATRIMONIO"/>
    <s v="GI00G10100003D"/>
    <s v="GI00G10100003D SERVICIOS CULTURALES COMUNITARIOS Y DEPO"/>
    <s v="75 OBRAS PÚBLICAS"/>
    <s v="750501 Obras de Infraestructura"/>
    <s v="G/750501/1GG101"/>
    <s v="001"/>
    <n v="10000"/>
    <n v="0"/>
    <n v="0"/>
    <n v="10000"/>
    <n v="0"/>
    <n v="0"/>
    <n v="0"/>
    <n v="10000"/>
    <n v="10000"/>
    <n v="10000"/>
  </r>
  <r>
    <s v="75"/>
    <x v="3"/>
    <x v="15"/>
    <s v="AC67Q000"/>
    <x v="32"/>
    <s v="H203"/>
    <s v="QUITO PRODUCE"/>
    <s v="GI00H20300007D"/>
    <s v="GI00H20300007D REPOTENCIACION DE INFRAESTRUCTURA DE MER"/>
    <s v="75 OBRAS PÚBLICAS"/>
    <s v="750107 Construcciones y Edificaciones"/>
    <s v="G/750107/2QH203"/>
    <s v="001"/>
    <n v="2000000"/>
    <n v="-2000000"/>
    <n v="0"/>
    <n v="0"/>
    <n v="0"/>
    <n v="0"/>
    <n v="0"/>
    <n v="0"/>
    <n v="0"/>
    <n v="0"/>
  </r>
  <r>
    <s v="75"/>
    <x v="3"/>
    <x v="15"/>
    <s v="AC67Q000"/>
    <x v="32"/>
    <s v="H209"/>
    <s v="FOMENTO DEL DESARROLLO ECONÓMICO LOCAL"/>
    <s v="GI00H20900001D"/>
    <s v="GI00H20900001D REPOTENCIACION DE INFRAESTRUCTURA DE MER"/>
    <s v="75 OBRAS PÚBLICAS"/>
    <s v="750107 Construcciones y Edificaciones"/>
    <s v="G/750107/2QH209"/>
    <s v="001"/>
    <n v="2806879.08"/>
    <n v="1995812"/>
    <n v="0"/>
    <n v="4802691.08"/>
    <n v="49999.64"/>
    <n v="465046.83"/>
    <n v="271662.45"/>
    <n v="4337644.25"/>
    <n v="4531028.63"/>
    <n v="4287644.6100000003"/>
  </r>
  <r>
    <s v="75"/>
    <x v="2"/>
    <x v="11"/>
    <s v="TM68F100"/>
    <x v="34"/>
    <s v="H211"/>
    <s v="DESARROLLO TERRITORIAL"/>
    <s v="GI00H21100002D"/>
    <s v="GI00H21100002D PROMOCIÓN DE VOCACIONES PRODUCTIVAS TERR"/>
    <s v="75 OBRAS PÚBLICAS"/>
    <s v="750104 Urbanización y Embellecimiento"/>
    <s v="G/750104/2FH211"/>
    <s v="001"/>
    <n v="10000"/>
    <n v="0"/>
    <n v="0"/>
    <n v="10000"/>
    <n v="7571.2"/>
    <n v="0"/>
    <n v="0"/>
    <n v="10000"/>
    <n v="10000"/>
    <n v="2428.8000000000002"/>
  </r>
  <r>
    <s v="75"/>
    <x v="1"/>
    <x v="2"/>
    <s v="ZA01I000"/>
    <x v="5"/>
    <s v="I101"/>
    <s v="PRACTICAS SALUDABLES"/>
    <s v="GI00I10100004D"/>
    <s v="GI00I10100004D QUITO A LA CANCHA"/>
    <s v="75 OBRAS PÚBLICAS"/>
    <s v="750107 Construcciones y Edificaciones"/>
    <s v="G/750107/1II101"/>
    <s v="001"/>
    <n v="14742672"/>
    <n v="-4612221.26"/>
    <n v="0"/>
    <n v="10130450.74"/>
    <n v="3695081.03"/>
    <n v="15588.74"/>
    <n v="0"/>
    <n v="10114862"/>
    <n v="10130450.74"/>
    <n v="6419780.9699999997"/>
  </r>
  <r>
    <s v="75"/>
    <x v="1"/>
    <x v="2"/>
    <s v="EE11I010"/>
    <x v="21"/>
    <s v="I102"/>
    <s v="SISTEMA EDUCATIVO MUNICIPAL"/>
    <s v="GI00I10200004D"/>
    <s v="GI00I10200004D FORTALECIMIENTO PEDAGOGICO"/>
    <s v="75 OBRAS PÚBLICAS"/>
    <s v="750107 Construcciones y Edificaciones"/>
    <s v="G/750107/1II102"/>
    <s v="001"/>
    <n v="10000"/>
    <n v="0"/>
    <n v="0"/>
    <n v="10000"/>
    <n v="0"/>
    <n v="0"/>
    <n v="0"/>
    <n v="10000"/>
    <n v="10000"/>
    <n v="10000"/>
  </r>
  <r>
    <s v="75"/>
    <x v="1"/>
    <x v="2"/>
    <s v="ZA01I000"/>
    <x v="5"/>
    <s v="I102"/>
    <s v="SISTEMA EDUCATIVO MUNICIPAL"/>
    <s v="GI00I10200012D"/>
    <s v="GI00I10200012D REPOTENCIACIÓN DE LA INFRAESTRUCTURA EDU"/>
    <s v="75 OBRAS PÚBLICAS"/>
    <s v="750107 Construcciones y Edificaciones"/>
    <s v="G/750107/1II102"/>
    <s v="001"/>
    <n v="7648470"/>
    <n v="-2406030.38"/>
    <n v="0"/>
    <n v="5242439.62"/>
    <n v="0"/>
    <n v="0"/>
    <n v="0"/>
    <n v="5242439.62"/>
    <n v="5242439.62"/>
    <n v="5242439.62"/>
  </r>
  <r>
    <s v="75"/>
    <x v="1"/>
    <x v="3"/>
    <s v="US33M030"/>
    <x v="8"/>
    <s v="M103"/>
    <s v="SALUD AL DIA"/>
    <s v="GI00M10300010D"/>
    <s v="GI00M10300010D REMODELACIÓN DE LA UNIDAD METROPOLITAN"/>
    <s v="75 OBRAS PÚBLICAS"/>
    <s v="750501 Obras de Infraestructura"/>
    <s v="G/750501/1MM103"/>
    <s v="001"/>
    <n v="0"/>
    <n v="1600000"/>
    <n v="0"/>
    <n v="1600000"/>
    <n v="0"/>
    <n v="0"/>
    <n v="0"/>
    <n v="1600000"/>
    <n v="1600000"/>
    <n v="1600000"/>
  </r>
  <r>
    <s v="75"/>
    <x v="2"/>
    <x v="5"/>
    <s v="PM71N010"/>
    <x v="27"/>
    <s v="N103"/>
    <s v="QUITO SIN MIEDO"/>
    <s v="GI00N10300004D"/>
    <s v="GI00N10300004D PREVENCIÓN SITUACIONAL Y CONVIVENCIA PAC"/>
    <s v="75 OBRAS PÚBLICAS"/>
    <s v="750109 Construcciones Agropecuarias"/>
    <s v="G/750109/1NN103"/>
    <s v="001"/>
    <n v="350000"/>
    <n v="0"/>
    <n v="0"/>
    <n v="350000"/>
    <n v="0"/>
    <n v="0"/>
    <n v="0"/>
    <n v="350000"/>
    <n v="350000"/>
    <n v="350000"/>
  </r>
  <r>
    <s v="75"/>
    <x v="2"/>
    <x v="11"/>
    <s v="ZC09F090"/>
    <x v="44"/>
    <s v="N301"/>
    <s v="GESTION DE RIESGOS"/>
    <s v="GI00N30100005D"/>
    <s v="GI00N30100005D REDUCCIÓN DE RIESGOS DE DESASTRES EN EL"/>
    <s v="75 OBRAS PÚBLICAS"/>
    <s v="750105 Transporte y Vías"/>
    <s v="G/750105/3FN301"/>
    <s v="001"/>
    <n v="10300"/>
    <n v="0"/>
    <n v="0"/>
    <n v="10300"/>
    <n v="0"/>
    <n v="0"/>
    <n v="0"/>
    <n v="10300"/>
    <n v="10300"/>
    <n v="10300"/>
  </r>
  <r>
    <s v="75"/>
    <x v="2"/>
    <x v="8"/>
    <s v="FS66P020"/>
    <x v="36"/>
    <s v="P303"/>
    <s v="PROTEGER EL PATRIMONIO HISTORICO Y CULTURAL DEL DM"/>
    <s v="GI00P30300006D"/>
    <s v="GI00P30300006D  CONSERVACIÓN DE EDIFICACIONES PATRIMONI"/>
    <s v="75 OBRAS PÚBLICAS"/>
    <s v="750104 Urbanización y Embellecimiento"/>
    <s v="G/750104/3PP303"/>
    <s v="001"/>
    <n v="10295560"/>
    <n v="-853816.83"/>
    <n v="0"/>
    <n v="9441743.1699999999"/>
    <n v="45728.35"/>
    <n v="2392840.2999999998"/>
    <n v="1806768.57"/>
    <n v="7048902.8700000001"/>
    <n v="7634974.5999999996"/>
    <n v="7003174.5199999996"/>
  </r>
  <r>
    <s v="75"/>
    <x v="2"/>
    <x v="8"/>
    <s v="FS66P020"/>
    <x v="36"/>
    <s v="P303"/>
    <s v="PROTEGER EL PATRIMONIO HISTORICO Y CULTURAL DEL DM"/>
    <s v="GI00P30300007D"/>
    <s v="GI00P30300007D CONSERVACIÓN DE LA ARQUITECTURA RELIGIOS"/>
    <s v="75 OBRAS PÚBLICAS"/>
    <s v="750104 Urbanización y Embellecimiento"/>
    <s v="G/750104/3PP303"/>
    <s v="001"/>
    <n v="2131000"/>
    <n v="-300000"/>
    <n v="0"/>
    <n v="1831000"/>
    <n v="0"/>
    <n v="937682.83"/>
    <n v="583880.02"/>
    <n v="893317.17"/>
    <n v="1247119.98"/>
    <n v="893317.17"/>
  </r>
  <r>
    <s v="75"/>
    <x v="2"/>
    <x v="8"/>
    <s v="FS66P020"/>
    <x v="36"/>
    <s v="P303"/>
    <s v="PROTEGER EL PATRIMONIO HISTORICO Y CULTURAL DEL DM"/>
    <s v="GI00P30300008D"/>
    <s v="GI00P30300008D CONSERVACIÓN DEL ESPACIO PÚBLICO EN EL C"/>
    <s v="75 OBRAS PÚBLICAS"/>
    <s v="750104 Urbanización y Embellecimiento"/>
    <s v="G/750104/3PP303"/>
    <s v="002"/>
    <n v="616354.76"/>
    <n v="0"/>
    <n v="0"/>
    <n v="616354.76"/>
    <n v="0.01"/>
    <n v="440200.9"/>
    <n v="416563.14"/>
    <n v="176153.86"/>
    <n v="199791.62"/>
    <n v="176153.85"/>
  </r>
  <r>
    <s v="75"/>
    <x v="2"/>
    <x v="8"/>
    <s v="FS66P020"/>
    <x v="36"/>
    <s v="P303"/>
    <s v="PROTEGER EL PATRIMONIO HISTORICO Y CULTURAL DEL DM"/>
    <s v="GI00P30300008D"/>
    <s v="GI00P30300008D CONSERVACIÓN DEL ESPACIO PÚBLICO EN EL C"/>
    <s v="75 OBRAS PÚBLICAS"/>
    <s v="750104 Urbanización y Embellecimiento"/>
    <s v="G/750104/3PP303"/>
    <s v="001"/>
    <n v="5750350.3600000003"/>
    <n v="488939.56"/>
    <n v="0"/>
    <n v="6239289.9199999999"/>
    <n v="21.42"/>
    <n v="1935314.56"/>
    <n v="1294472.57"/>
    <n v="4303975.3600000003"/>
    <n v="4944817.3499999996"/>
    <n v="4303953.9400000004"/>
  </r>
  <r>
    <s v="75"/>
    <x v="2"/>
    <x v="8"/>
    <s v="FS66P020"/>
    <x v="36"/>
    <s v="P303"/>
    <s v="PROTEGER EL PATRIMONIO HISTORICO Y CULTURAL DEL DM"/>
    <s v="GI00P30300009D"/>
    <s v="GI00P30300009D CONSERVACIÓN DEL PATRIMONIO  ARQUEOLÓGIC"/>
    <s v="75 OBRAS PÚBLICAS"/>
    <s v="750104 Urbanización y Embellecimiento"/>
    <s v="G/750104/3PP303"/>
    <s v="001"/>
    <n v="370000"/>
    <n v="0"/>
    <n v="0"/>
    <n v="370000"/>
    <n v="766.91"/>
    <n v="296776.8"/>
    <n v="225278.8"/>
    <n v="73223.199999999997"/>
    <n v="144721.20000000001"/>
    <n v="72456.289999999994"/>
  </r>
  <r>
    <s v="75"/>
    <x v="2"/>
    <x v="8"/>
    <s v="FS66P020"/>
    <x v="36"/>
    <s v="P303"/>
    <s v="PROTEGER EL PATRIMONIO HISTORICO Y CULTURAL DEL DM"/>
    <s v="GI00P30300010D"/>
    <s v="GI00P30300010D CONSERVACIÓN DEL PATRIMONIO DE BIENES MU"/>
    <s v="75 OBRAS PÚBLICAS"/>
    <s v="750104 Urbanización y Embellecimiento"/>
    <s v="G/750104/3PP303"/>
    <s v="001"/>
    <n v="1893500"/>
    <n v="0"/>
    <n v="0"/>
    <n v="1893500"/>
    <n v="1992.25"/>
    <n v="896327.97"/>
    <n v="637403.88"/>
    <n v="997172.03"/>
    <n v="1256096.1200000001"/>
    <n v="995179.78"/>
  </r>
  <r>
    <s v="77"/>
    <x v="1"/>
    <x v="2"/>
    <s v="ZA01I000"/>
    <x v="5"/>
    <s v="I102"/>
    <s v="SISTEMA EDUCATIVO MUNICIPAL"/>
    <s v="GI00I10200010D"/>
    <s v="GI00I10200010D FORTALECIMIENTO DE LA CALIDAD DEL SERVIC"/>
    <s v="77 OTROS GASTOS DE INVERSIÓN"/>
    <s v="770206 Costas Judiciales, Trámites Notariales, Leg"/>
    <s v="G/770206/1II102"/>
    <s v="001"/>
    <n v="2000"/>
    <n v="0"/>
    <n v="0"/>
    <n v="2000"/>
    <n v="0"/>
    <n v="1993.6"/>
    <n v="1993.6"/>
    <n v="6.4"/>
    <n v="6.4"/>
    <n v="6.4"/>
  </r>
  <r>
    <s v="77"/>
    <x v="2"/>
    <x v="6"/>
    <s v="AT69K040"/>
    <x v="13"/>
    <s v="K305"/>
    <s v="MOVILIDAD SEGURA"/>
    <s v="GI00K30500006D"/>
    <s v="GI00K30500006D FORTALECIMIENTO DEL CONTROL DEL TRÁNSITO"/>
    <s v="77 OTROS GASTOS DE INVERSIÓN"/>
    <s v="770102 Tasas Generales, Impuestos, Contribuciones,"/>
    <s v="G/770102/3KK305"/>
    <s v="001"/>
    <n v="5000000.46"/>
    <n v="0"/>
    <n v="0"/>
    <n v="5000000.46"/>
    <n v="0"/>
    <n v="1809152.7"/>
    <n v="1809152.7"/>
    <n v="3190847.76"/>
    <n v="3190847.76"/>
    <n v="3190847.76"/>
  </r>
  <r>
    <s v="77"/>
    <x v="1"/>
    <x v="3"/>
    <s v="UC32M020"/>
    <x v="7"/>
    <s v="M103"/>
    <s v="SALUD AL DIA"/>
    <s v="GI00M10300006D"/>
    <s v="GI00M10300006D ATENCIÓN Y PREVENCIÓN DE LA ENFERMEDAD"/>
    <s v="77 OTROS GASTOS DE INVERSIÓN"/>
    <s v="770102 Tasas Generales, Impuestos, Contribuciones,"/>
    <s v="G/770102/1MM103"/>
    <s v="001"/>
    <n v="0"/>
    <n v="710"/>
    <n v="0"/>
    <n v="710"/>
    <n v="0"/>
    <n v="710"/>
    <n v="707.66"/>
    <n v="0"/>
    <n v="2.34"/>
    <n v="0"/>
  </r>
  <r>
    <s v="77"/>
    <x v="1"/>
    <x v="3"/>
    <s v="UC32M020"/>
    <x v="7"/>
    <s v="M103"/>
    <s v="SALUD AL DIA"/>
    <s v="GI00M10300009D"/>
    <s v="GI00M10300009D PREVENCIÓN DE LA MAL NUTRICIÓN EN EL DMQ"/>
    <s v="77 OTROS GASTOS DE INVERSIÓN"/>
    <s v="770102 Tasas Generales, Impuestos, Contribuciones,"/>
    <s v="G/770102/1MM103"/>
    <s v="001"/>
    <n v="600"/>
    <n v="0"/>
    <n v="0"/>
    <n v="600"/>
    <n v="0"/>
    <n v="0"/>
    <n v="0"/>
    <n v="600"/>
    <n v="600"/>
    <n v="600"/>
  </r>
  <r>
    <s v="77"/>
    <x v="2"/>
    <x v="5"/>
    <s v="PM71N010"/>
    <x v="27"/>
    <s v="N103"/>
    <s v="QUITO SIN MIEDO"/>
    <s v="GI00N10300004D"/>
    <s v="GI00N10300004D PREVENCIÓN SITUACIONAL Y CONVIVENCIA PAC"/>
    <s v="77 OTROS GASTOS DE INVERSIÓN"/>
    <s v="770102 Tasas Generales, Impuestos, Contribuciones,"/>
    <s v="G/770102/1NN103"/>
    <s v="001"/>
    <n v="45000"/>
    <n v="0"/>
    <n v="0"/>
    <n v="45000"/>
    <n v="0"/>
    <n v="27473"/>
    <n v="13709.21"/>
    <n v="17527"/>
    <n v="31290.79"/>
    <n v="17527"/>
  </r>
  <r>
    <s v="77"/>
    <x v="2"/>
    <x v="5"/>
    <s v="PM71N010"/>
    <x v="27"/>
    <s v="N103"/>
    <s v="QUITO SIN MIEDO"/>
    <s v="GI00N10300004D"/>
    <s v="GI00N10300004D PREVENCIÓN SITUACIONAL Y CONVIVENCIA PAC"/>
    <s v="77 OTROS GASTOS DE INVERSIÓN"/>
    <s v="770206 Costas Judiciales, Trámites Notariales, Leg"/>
    <s v="G/770206/1NN103"/>
    <s v="001"/>
    <n v="1000"/>
    <n v="0"/>
    <n v="0"/>
    <n v="1000"/>
    <n v="0"/>
    <n v="0"/>
    <n v="0"/>
    <n v="1000"/>
    <n v="1000"/>
    <n v="1000"/>
  </r>
  <r>
    <s v="77"/>
    <x v="2"/>
    <x v="8"/>
    <s v="FS66P020"/>
    <x v="36"/>
    <s v="P303"/>
    <s v="PROTEGER EL PATRIMONIO HISTORICO Y CULTURAL DEL DM"/>
    <s v="GI00P30300008D"/>
    <s v="GI00P30300008D CONSERVACIÓN DEL ESPACIO PÚBLICO EN EL C"/>
    <s v="77 OTROS GASTOS DE INVERSIÓN"/>
    <s v="770206 Costas Judiciales, Trámites Notariales, Leg"/>
    <s v="G/770206/3PP303"/>
    <s v="001"/>
    <n v="5000"/>
    <n v="0"/>
    <n v="0"/>
    <n v="5000"/>
    <n v="0"/>
    <n v="60.4"/>
    <n v="0"/>
    <n v="4939.6000000000004"/>
    <n v="5000"/>
    <n v="4939.6000000000004"/>
  </r>
  <r>
    <s v="78"/>
    <x v="3"/>
    <x v="15"/>
    <s v="ZA01Q010"/>
    <x v="60"/>
    <s v="A102"/>
    <s v="TRANSFERENCIA"/>
    <s v="GI00A10200001T"/>
    <s v="GI00A10200001T EPM MERCADO MAYORISTA"/>
    <s v="78 TRANSFERENCIAS Y DONACIONES PARA INVERSIÓN"/>
    <s v="780103 A Empresas Públicas"/>
    <s v="G/780103/2QA102"/>
    <s v="001"/>
    <n v="430000"/>
    <n v="0"/>
    <n v="0"/>
    <n v="430000"/>
    <n v="0"/>
    <n v="179166.87"/>
    <n v="143333.32"/>
    <n v="250833.13"/>
    <n v="286666.68"/>
    <n v="250833.13"/>
  </r>
  <r>
    <s v="78"/>
    <x v="2"/>
    <x v="10"/>
    <s v="ZA01D020"/>
    <x v="61"/>
    <s v="A102"/>
    <s v="TRANSFERENCIA"/>
    <s v="GI00A10200003T"/>
    <s v="GI00A10200003T EPM GESTION INTEGRAL DE RESIDUOS SOLIDOS"/>
    <s v="78 TRANSFERENCIAS Y DONACIONES PARA INVERSIÓN"/>
    <s v="780103 A Empresas Públicas"/>
    <s v="G/780103/3DA102"/>
    <s v="002"/>
    <n v="0"/>
    <n v="1204769.4099999999"/>
    <n v="0"/>
    <n v="1204769.4099999999"/>
    <n v="0"/>
    <n v="1204769.4099999999"/>
    <n v="454067.31"/>
    <n v="0"/>
    <n v="750702.1"/>
    <n v="0"/>
  </r>
  <r>
    <s v="78"/>
    <x v="2"/>
    <x v="10"/>
    <s v="ZA01D020"/>
    <x v="61"/>
    <s v="A102"/>
    <s v="TRANSFERENCIA"/>
    <s v="GI00A10200003T"/>
    <s v="GI00A10200003T EPM GESTION INTEGRAL DE RESIDUOS SOLIDOS"/>
    <s v="78 TRANSFERENCIAS Y DONACIONES PARA INVERSIÓN"/>
    <s v="780103 A Empresas Públicas"/>
    <s v="G/780103/3DA102"/>
    <s v="001"/>
    <n v="6000000"/>
    <n v="1000000"/>
    <n v="0"/>
    <n v="7000000"/>
    <n v="0"/>
    <n v="4795230.59"/>
    <n v="3275596.16"/>
    <n v="2204769.41"/>
    <n v="3724403.84"/>
    <n v="2204769.41"/>
  </r>
  <r>
    <s v="78"/>
    <x v="1"/>
    <x v="13"/>
    <s v="ZA01G020"/>
    <x v="62"/>
    <s v="A102"/>
    <s v="TRANSFERENCIA"/>
    <s v="GI00A10200006T"/>
    <s v="GI00A10200006T FUNDACION MUSEOS DE LA CIUDAD"/>
    <s v="78 TRANSFERENCIAS Y DONACIONES PARA INVERSIÓN"/>
    <s v="780204 Transferencias o Donaciones al Sector Priva"/>
    <s v="G/780204/1GA102"/>
    <s v="001"/>
    <n v="5839596"/>
    <n v="0"/>
    <n v="0"/>
    <n v="5839596"/>
    <n v="0"/>
    <n v="3938378.38"/>
    <n v="1900000"/>
    <n v="1901217.62"/>
    <n v="3939596"/>
    <n v="1901217.62"/>
  </r>
  <r>
    <s v="78"/>
    <x v="1"/>
    <x v="13"/>
    <s v="ZA01G010"/>
    <x v="63"/>
    <s v="A102"/>
    <s v="TRANSFERENCIA"/>
    <s v="GI00A10200007T"/>
    <s v="GI00A10200007T FUNDACION TEATRO NACIONAL SUCRE"/>
    <s v="78 TRANSFERENCIAS Y DONACIONES PARA INVERSIÓN"/>
    <s v="780204 Transferencias o Donaciones al Sector Priva"/>
    <s v="G/780204/1GA102"/>
    <s v="001"/>
    <n v="4035016.69"/>
    <n v="0"/>
    <n v="0"/>
    <n v="4035016.69"/>
    <n v="0"/>
    <n v="3497617.1"/>
    <n v="2610533.36"/>
    <n v="537399.59"/>
    <n v="1424483.33"/>
    <n v="537399.59"/>
  </r>
  <r>
    <s v="78"/>
    <x v="3"/>
    <x v="14"/>
    <s v="ZA01H030"/>
    <x v="64"/>
    <s v="A102"/>
    <s v="TRANSFERENCIA"/>
    <s v="GI00A10200008T"/>
    <s v="GI00A10200008T CONQUITO"/>
    <s v="78 TRANSFERENCIAS Y DONACIONES PARA INVERSIÓN"/>
    <s v="780204 Transferencias o Donaciones al Sector Priva"/>
    <s v="G/780204/1HA102"/>
    <s v="001"/>
    <n v="1642926"/>
    <n v="0"/>
    <n v="0"/>
    <n v="1642926"/>
    <n v="0"/>
    <n v="1437597"/>
    <n v="684552.5"/>
    <n v="205329"/>
    <n v="958373.5"/>
    <n v="205329"/>
  </r>
  <r>
    <s v="78"/>
    <x v="3"/>
    <x v="14"/>
    <s v="ZA01H010"/>
    <x v="65"/>
    <s v="A102"/>
    <s v="TRANSFERENCIA"/>
    <s v="GI00A10200009T"/>
    <s v="GI00A10200009T EPM GESTION DE DESTINO TURISTICO"/>
    <s v="78 TRANSFERENCIAS Y DONACIONES PARA INVERSIÓN"/>
    <s v="780103 A Empresas Públicas"/>
    <s v="G/780103/1HA102"/>
    <s v="001"/>
    <n v="2635898.96"/>
    <n v="0"/>
    <n v="0"/>
    <n v="2635898.96"/>
    <n v="0"/>
    <n v="1581526.59"/>
    <n v="1171505.33"/>
    <n v="1054372.3700000001"/>
    <n v="1464393.63"/>
    <n v="1054372.3700000001"/>
  </r>
  <r>
    <s v="78"/>
    <x v="1"/>
    <x v="4"/>
    <s v="ZA01J010"/>
    <x v="66"/>
    <s v="A102"/>
    <s v="TRANSFERENCIA"/>
    <s v="GI00A10200010T"/>
    <s v="GI00A10200010T UNIDAD PATRONATO MUNICIPAL SAN JOSE"/>
    <s v="78 TRANSFERENCIAS Y DONACIONES PARA INVERSIÓN"/>
    <s v="780102 A Entidades Descentralizadas y Autónomas"/>
    <s v="G/780102/1JA102"/>
    <s v="001"/>
    <n v="0"/>
    <n v="30256906.059999999"/>
    <n v="0"/>
    <n v="30256906.059999999"/>
    <n v="0"/>
    <n v="17248364.379999999"/>
    <n v="12495892.93"/>
    <n v="13008541.68"/>
    <n v="17761013.129999999"/>
    <n v="13008541.68"/>
  </r>
  <r>
    <s v="78"/>
    <x v="1"/>
    <x v="4"/>
    <s v="ZA01J010"/>
    <x v="66"/>
    <s v="A102"/>
    <s v="TRANSFERENCIA"/>
    <s v="GI00A10200010T"/>
    <s v="GI00A10200010T UNIDAD PATRONATO MUNICIPAL SAN JOSE"/>
    <s v="78 TRANSFERENCIAS Y DONACIONES PARA INVERSIÓN"/>
    <s v="780103 A Empresas Públicas"/>
    <s v="G/780103/1JA102"/>
    <s v="001"/>
    <n v="30256906.059999999"/>
    <n v="-30256906.059999999"/>
    <n v="0"/>
    <n v="0"/>
    <n v="0"/>
    <n v="0"/>
    <n v="0"/>
    <n v="0"/>
    <n v="0"/>
    <n v="0"/>
  </r>
  <r>
    <s v="78"/>
    <x v="2"/>
    <x v="6"/>
    <s v="ZA01K010"/>
    <x v="67"/>
    <s v="A102"/>
    <s v="TRANSFERENCIA"/>
    <s v="GI00A10200011T"/>
    <s v="GI00A10200011T MOVILIDAD Y OBRAS PUBLICAS"/>
    <s v="78 TRANSFERENCIAS Y DONACIONES PARA INVERSIÓN"/>
    <s v="780103 A Empresas Públicas"/>
    <s v="G/780103/1KA102"/>
    <s v="001"/>
    <n v="34763147"/>
    <n v="0"/>
    <n v="0"/>
    <n v="34763147"/>
    <n v="0"/>
    <n v="34763147"/>
    <n v="28631084.219999999"/>
    <n v="0"/>
    <n v="6132062.7800000003"/>
    <n v="0"/>
  </r>
  <r>
    <s v="78"/>
    <x v="2"/>
    <x v="6"/>
    <s v="ZA01K010"/>
    <x v="67"/>
    <s v="A102"/>
    <s v="TRANSFERENCIA"/>
    <s v="GI00A10200011T"/>
    <s v="GI00A10200011T MOVILIDAD Y OBRAS PUBLICAS"/>
    <s v="78 TRANSFERENCIAS Y DONACIONES PARA INVERSIÓN"/>
    <s v="780103 A Empresas Públicas"/>
    <s v="G/780103/1KA102"/>
    <s v="002"/>
    <n v="56072118.43"/>
    <n v="-1204769.4099999999"/>
    <n v="0"/>
    <n v="54867349.020000003"/>
    <n v="0"/>
    <n v="54867349.020000003"/>
    <n v="16434614.369999999"/>
    <n v="0"/>
    <n v="38432734.649999999"/>
    <n v="0"/>
  </r>
  <r>
    <s v="78"/>
    <x v="2"/>
    <x v="6"/>
    <s v="ZA01K020"/>
    <x v="68"/>
    <s v="A102"/>
    <s v="TRANSFERENCIA"/>
    <s v="GI00A10200012T"/>
    <s v="GI00A10200012T EPM TRANSPORTE DE PASAJEROS"/>
    <s v="78 TRANSFERENCIAS Y DONACIONES PARA INVERSIÓN"/>
    <s v="780103 A Empresas Públicas"/>
    <s v="G/780103/1KA102"/>
    <s v="001"/>
    <n v="41000000"/>
    <n v="0"/>
    <n v="0"/>
    <n v="41000000"/>
    <n v="0"/>
    <n v="37054233.100000001"/>
    <n v="25404195.149999999"/>
    <n v="3945766.9"/>
    <n v="15595804.85"/>
    <n v="3945766.9"/>
  </r>
  <r>
    <s v="78"/>
    <x v="2"/>
    <x v="6"/>
    <s v="ZA01K030"/>
    <x v="69"/>
    <s v="A102"/>
    <s v="TRANSFERENCIA"/>
    <s v="GI00A10200013T"/>
    <s v="GI00A10200013T METRO DE QUITO"/>
    <s v="78 TRANSFERENCIAS Y DONACIONES PARA INVERSIÓN"/>
    <s v="780103 A Empresas Públicas"/>
    <s v="G/780103/1KA102"/>
    <s v="001"/>
    <n v="26681305"/>
    <n v="-1000000"/>
    <n v="0"/>
    <n v="25681305"/>
    <n v="0"/>
    <n v="9159648.5600000005"/>
    <n v="6331989.9199999999"/>
    <n v="16521656.439999999"/>
    <n v="19349315.079999998"/>
    <n v="16521656.439999999"/>
  </r>
  <r>
    <s v="78"/>
    <x v="0"/>
    <x v="7"/>
    <s v="ZA01L020"/>
    <x v="70"/>
    <s v="A102"/>
    <s v="TRANSFERENCIA"/>
    <s v="GI00A10200014T"/>
    <s v="GI00A10200014T INSTITUTO DE LA CIUDAD"/>
    <s v="78 TRANSFERENCIAS Y DONACIONES PARA INVERSIÓN"/>
    <s v="780102 A Entidades Descentralizadas y Autónomas"/>
    <s v="G/780102/1LA102"/>
    <s v="002"/>
    <n v="0"/>
    <n v="300000"/>
    <n v="0"/>
    <n v="300000"/>
    <n v="180000"/>
    <n v="0"/>
    <n v="0"/>
    <n v="300000"/>
    <n v="300000"/>
    <n v="120000"/>
  </r>
  <r>
    <s v="78"/>
    <x v="0"/>
    <x v="7"/>
    <s v="ZA01L020"/>
    <x v="70"/>
    <s v="A102"/>
    <s v="TRANSFERENCIA"/>
    <s v="GI00A10200014T"/>
    <s v="GI00A10200014T INSTITUTO DE LA CIUDAD"/>
    <s v="78 TRANSFERENCIAS Y DONACIONES PARA INVERSIÓN"/>
    <s v="780304 Transferencias o Donaciones de Inversión al"/>
    <s v="G/780304/1LA102"/>
    <s v="002"/>
    <n v="300000"/>
    <n v="-300000"/>
    <n v="0"/>
    <n v="0"/>
    <n v="0"/>
    <n v="0"/>
    <n v="0"/>
    <n v="0"/>
    <n v="0"/>
    <n v="0"/>
  </r>
  <r>
    <s v="78"/>
    <x v="2"/>
    <x v="8"/>
    <s v="ZA01P030"/>
    <x v="71"/>
    <s v="A102"/>
    <s v="TRANSFERENCIA"/>
    <s v="GI00A10200015T"/>
    <s v="GI00A10200015T EPM AGUA POTABLE"/>
    <s v="78 TRANSFERENCIAS Y DONACIONES PARA INVERSIÓN"/>
    <s v="780103 A Empresas Públicas"/>
    <s v="G/780103/1PA102"/>
    <s v="001"/>
    <n v="13000000"/>
    <n v="0"/>
    <n v="0"/>
    <n v="13000000"/>
    <n v="0"/>
    <n v="3250000"/>
    <n v="3249999.99"/>
    <n v="9750000"/>
    <n v="9750000.0099999998"/>
    <n v="9750000"/>
  </r>
  <r>
    <s v="78"/>
    <x v="2"/>
    <x v="8"/>
    <s v="ZA01P050"/>
    <x v="72"/>
    <s v="A102"/>
    <s v="TRANSFERENCIA"/>
    <s v="GI00A10200016T"/>
    <s v="GI00A10200016T EPM HABITAT Y VIVENDA"/>
    <s v="78 TRANSFERENCIAS Y DONACIONES PARA INVERSIÓN"/>
    <s v="780103 A Empresas Públicas"/>
    <s v="G/780103/1PA102"/>
    <s v="001"/>
    <n v="3500000"/>
    <n v="0"/>
    <n v="0"/>
    <n v="3500000"/>
    <n v="0"/>
    <n v="1166666.67"/>
    <n v="1166666.67"/>
    <n v="2333333.33"/>
    <n v="2333333.33"/>
    <n v="2333333.33"/>
  </r>
  <r>
    <s v="78"/>
    <x v="3"/>
    <x v="14"/>
    <s v="ZA01H020"/>
    <x v="55"/>
    <s v="A102"/>
    <s v="TRANSFERENCIA"/>
    <s v="GI00A10200017T"/>
    <s v="GI00A10200017T SERVICIOS AEROPORTUARIOS Y GESTION DE ZO"/>
    <s v="78 TRANSFERENCIAS Y DONACIONES PARA INVERSIÓN"/>
    <s v="780103 A Empresas Públicas"/>
    <s v="G/780103/1HA102"/>
    <s v="001"/>
    <n v="0"/>
    <n v="305368.53999999998"/>
    <n v="0"/>
    <n v="305368.53999999998"/>
    <n v="0"/>
    <n v="305368.53999999998"/>
    <n v="305368.53999999998"/>
    <n v="0"/>
    <n v="0"/>
    <n v="0"/>
  </r>
  <r>
    <s v="78"/>
    <x v="1"/>
    <x v="4"/>
    <s v="ZA01J020"/>
    <x v="73"/>
    <s v="A102"/>
    <s v="TRANSFERENCIA"/>
    <s v="GI00A10200018T"/>
    <s v="GI00A10200018T COMPINA"/>
    <s v="78 TRANSFERENCIAS Y DONACIONES PARA INVERSIÓN"/>
    <s v="780102 A Entidades Descentralizadas y Autónomas"/>
    <s v="G/780102/1JA102"/>
    <s v="001"/>
    <n v="0"/>
    <n v="750000"/>
    <n v="0"/>
    <n v="750000"/>
    <n v="0"/>
    <n v="586947.09"/>
    <n v="526000"/>
    <n v="163052.91"/>
    <n v="224000"/>
    <n v="163052.91"/>
  </r>
  <r>
    <s v="78"/>
    <x v="1"/>
    <x v="4"/>
    <s v="ZA01J020"/>
    <x v="73"/>
    <s v="A102"/>
    <s v="TRANSFERENCIA"/>
    <s v="GI00A10200018T"/>
    <s v="GI00A10200018T COMPINA"/>
    <s v="78 TRANSFERENCIAS Y DONACIONES PARA INVERSIÓN"/>
    <s v="780103 A Empresas Públicas"/>
    <s v="G/780103/1JA102"/>
    <s v="001"/>
    <n v="750000"/>
    <n v="-750000"/>
    <n v="0"/>
    <n v="0"/>
    <n v="0"/>
    <n v="0"/>
    <n v="0"/>
    <n v="0"/>
    <n v="0"/>
    <n v="0"/>
  </r>
  <r>
    <s v="78"/>
    <x v="2"/>
    <x v="10"/>
    <s v="ZA01D000"/>
    <x v="24"/>
    <s v="D305"/>
    <s v="ÁREAS PROTEGIDAS  Y CORREDORES ECOLÓGICOS"/>
    <s v="GI00D30500002D"/>
    <s v="GI00D30500002D RESTAURACIÓN AMBIENTAL DE LAS FUENTES  D"/>
    <s v="78 TRANSFERENCIAS Y DONACIONES PARA INVERSIÓN"/>
    <s v="780204 Transferencias o Donaciones al Sector Priva"/>
    <s v="G/780204/3DD305"/>
    <s v="001"/>
    <n v="365417.45"/>
    <n v="0"/>
    <n v="0"/>
    <n v="365417.45"/>
    <n v="0"/>
    <n v="0"/>
    <n v="0"/>
    <n v="365417.45"/>
    <n v="365417.45"/>
    <n v="365417.45"/>
  </r>
  <r>
    <s v="78"/>
    <x v="1"/>
    <x v="13"/>
    <s v="ZA01G000"/>
    <x v="29"/>
    <s v="G101"/>
    <s v="ARTE, CULTURA Y PATRIMONIO"/>
    <s v="GI00G10100002D"/>
    <s v="GI00G10100002D PROMOCION DE DERECHOS CULTURALES"/>
    <s v="78 TRANSFERENCIAS Y DONACIONES PARA INVERSIÓN"/>
    <s v="780204 Transferencias o Donaciones al Sector Priva"/>
    <s v="G/780204/1GG101"/>
    <s v="001"/>
    <n v="55000"/>
    <n v="0"/>
    <n v="0"/>
    <n v="55000"/>
    <n v="0"/>
    <n v="0"/>
    <n v="0"/>
    <n v="55000"/>
    <n v="55000"/>
    <n v="55000"/>
  </r>
  <r>
    <s v="78"/>
    <x v="1"/>
    <x v="13"/>
    <s v="ZA01G000"/>
    <x v="29"/>
    <s v="G101"/>
    <s v="ARTE, CULTURA Y PATRIMONIO"/>
    <s v="GI00G10100011D"/>
    <s v="GI00G10100011D TERRITORIO Y CULTURA"/>
    <s v="78 TRANSFERENCIAS Y DONACIONES PARA INVERSIÓN"/>
    <s v="780103 A Empresas Públicas"/>
    <s v="G/780103/1GG101"/>
    <s v="001"/>
    <n v="161100"/>
    <n v="-61100"/>
    <n v="0"/>
    <n v="100000"/>
    <n v="0"/>
    <n v="0"/>
    <n v="0"/>
    <n v="100000"/>
    <n v="100000"/>
    <n v="100000"/>
  </r>
  <r>
    <s v="78"/>
    <x v="3"/>
    <x v="14"/>
    <s v="ZA01H000"/>
    <x v="30"/>
    <s v="H210"/>
    <s v="CLÚSTER PRODUCTIVOS"/>
    <s v="GI00H21000001D"/>
    <s v="GI00H21000001D CADENAS PRODUCTIVAS DE VALOR"/>
    <s v="78 TRANSFERENCIAS Y DONACIONES PARA INVERSIÓN"/>
    <s v="780204 Transferencias o Donaciones al Sector Priva"/>
    <s v="G/780204/2HH210"/>
    <s v="001"/>
    <n v="36000"/>
    <n v="6000"/>
    <n v="0"/>
    <n v="42000"/>
    <n v="0"/>
    <n v="0"/>
    <n v="0"/>
    <n v="42000"/>
    <n v="42000"/>
    <n v="42000"/>
  </r>
  <r>
    <s v="78"/>
    <x v="3"/>
    <x v="14"/>
    <s v="ZA01H000"/>
    <x v="30"/>
    <s v="H212"/>
    <s v="FORTALECIMIENTO DE LA COMPETITIVIDAD"/>
    <s v="GI00H21200002D"/>
    <s v="GI00H21200002D QUITO COMPETITIVA Y DE INVERSIONES"/>
    <s v="78 TRANSFERENCIAS Y DONACIONES PARA INVERSIÓN"/>
    <s v="780204 Transferencias o Donaciones al Sector Priva"/>
    <s v="G/780204/2HH212"/>
    <s v="001"/>
    <n v="50000"/>
    <n v="0"/>
    <n v="0"/>
    <n v="50000"/>
    <n v="0"/>
    <n v="0"/>
    <n v="0"/>
    <n v="50000"/>
    <n v="50000"/>
    <n v="50000"/>
  </r>
  <r>
    <s v="78"/>
    <x v="3"/>
    <x v="14"/>
    <s v="ZA01H000"/>
    <x v="30"/>
    <s v="H213"/>
    <s v="LOGÍSTICA EFICIENTE"/>
    <s v="GI00H21300002D"/>
    <s v="GI00H21300002D SISTEMAS AGROALIMENTARIOS SOSTENIBLES"/>
    <s v="78 TRANSFERENCIAS Y DONACIONES PARA INVERSIÓN"/>
    <s v="780204 Transferencias o Donaciones al Sector Priva"/>
    <s v="G/780204/2HH213"/>
    <s v="001"/>
    <n v="43000"/>
    <n v="-17000"/>
    <n v="0"/>
    <n v="26000"/>
    <n v="0"/>
    <n v="0"/>
    <n v="0"/>
    <n v="26000"/>
    <n v="26000"/>
    <n v="26000"/>
  </r>
  <r>
    <s v="78"/>
    <x v="1"/>
    <x v="2"/>
    <s v="ZA01I000"/>
    <x v="5"/>
    <s v="I101"/>
    <s v="PRACTICAS SALUDABLES"/>
    <s v="GI00I10100003D"/>
    <s v="GI00I10100003D QUITO SI LA MUEVE"/>
    <s v="78 TRANSFERENCIAS Y DONACIONES PARA INVERSIÓN"/>
    <s v="780204 Transferencias o Donaciones al Sector Priva"/>
    <s v="G/780204/1II101"/>
    <s v="001"/>
    <n v="150000"/>
    <n v="-150000"/>
    <n v="0"/>
    <n v="0"/>
    <n v="0"/>
    <n v="0"/>
    <n v="0"/>
    <n v="0"/>
    <n v="0"/>
    <n v="0"/>
  </r>
  <r>
    <s v="78"/>
    <x v="1"/>
    <x v="2"/>
    <s v="ZA01I000"/>
    <x v="5"/>
    <s v="I102"/>
    <s v="SISTEMA EDUCATIVO MUNICIPAL"/>
    <s v="GI00I10200010D"/>
    <s v="GI00I10200010D FORTALECIMIENTO DE LA CALIDAD DEL SERVIC"/>
    <s v="78 TRANSFERENCIAS Y DONACIONES PARA INVERSIÓN"/>
    <s v="780204 Transferencias o Donaciones al Sector Priva"/>
    <s v="G/780204/1II102"/>
    <s v="001"/>
    <n v="0"/>
    <n v="15000"/>
    <n v="0"/>
    <n v="15000"/>
    <n v="0"/>
    <n v="0"/>
    <n v="0"/>
    <n v="15000"/>
    <n v="15000"/>
    <n v="15000"/>
  </r>
  <r>
    <s v="78"/>
    <x v="1"/>
    <x v="4"/>
    <s v="ZA01J000"/>
    <x v="9"/>
    <s v="J101"/>
    <s v="ATENCION A GRUPOS VULNERABLES"/>
    <s v="GI00J10100001D"/>
    <s v="GI00J10100001D INCLUSIÓN EDUCATIVA"/>
    <s v="78 TRANSFERENCIAS Y DONACIONES PARA INVERSIÓN"/>
    <s v="780204 Transferencias o Donaciones al Sector Priva"/>
    <s v="G/780204/1JJ101"/>
    <s v="001"/>
    <n v="74179.58"/>
    <n v="0"/>
    <n v="0"/>
    <n v="74179.58"/>
    <n v="0"/>
    <n v="0"/>
    <n v="0"/>
    <n v="74179.58"/>
    <n v="74179.58"/>
    <n v="74179.58"/>
  </r>
  <r>
    <s v="78"/>
    <x v="1"/>
    <x v="4"/>
    <s v="ZA01J000"/>
    <x v="9"/>
    <s v="J101"/>
    <s v="ATENCION A GRUPOS VULNERABLES"/>
    <s v="GI00J10100001D"/>
    <s v="GI00J10100001D INCLUSIÓN EDUCATIVA"/>
    <s v="78 TRANSFERENCIAS Y DONACIONES PARA INVERSIÓN"/>
    <s v="780206 Becas"/>
    <s v="G/780206/1JJ101"/>
    <s v="001"/>
    <n v="303660"/>
    <n v="0"/>
    <n v="0"/>
    <n v="303660"/>
    <n v="0"/>
    <n v="153660"/>
    <n v="153660"/>
    <n v="150000"/>
    <n v="150000"/>
    <n v="150000"/>
  </r>
  <r>
    <s v="78"/>
    <x v="1"/>
    <x v="4"/>
    <s v="ZA01J000"/>
    <x v="9"/>
    <s v="J103"/>
    <s v="PROMOCIÓN Y PROTECCIÓN DE DERECHOS"/>
    <s v="GI00J10300001D"/>
    <s v="GI00J10300001D GARANTÍA DE PROTECCIÓN DE DERECHOS"/>
    <s v="78 TRANSFERENCIAS Y DONACIONES PARA INVERSIÓN"/>
    <s v="780204 Transferencias o Donaciones al Sector Priva"/>
    <s v="G/780204/1JJ103"/>
    <s v="001"/>
    <n v="100000"/>
    <n v="0"/>
    <n v="0"/>
    <n v="100000"/>
    <n v="0"/>
    <n v="0"/>
    <n v="0"/>
    <n v="100000"/>
    <n v="100000"/>
    <n v="100000"/>
  </r>
  <r>
    <s v="78"/>
    <x v="1"/>
    <x v="4"/>
    <s v="ZA01J000"/>
    <x v="9"/>
    <s v="J103"/>
    <s v="PROMOCIÓN Y PROTECCIÓN DE DERECHOS"/>
    <s v="GI00J10300002D"/>
    <s v="GI00J10300002D PROMOCIÓN DE DERECHOS DE GRUPOS DE ATENC"/>
    <s v="78 TRANSFERENCIAS Y DONACIONES PARA INVERSIÓN"/>
    <s v="780204 Transferencias o Donaciones al Sector Priva"/>
    <s v="G/780204/1JJ103"/>
    <s v="001"/>
    <n v="0"/>
    <n v="27000"/>
    <n v="0"/>
    <n v="27000"/>
    <n v="0"/>
    <n v="25000"/>
    <n v="12500"/>
    <n v="2000"/>
    <n v="14500"/>
    <n v="2000"/>
  </r>
  <r>
    <s v="78"/>
    <x v="2"/>
    <x v="6"/>
    <s v="AT69K040"/>
    <x v="13"/>
    <s v="K305"/>
    <s v="MOVILIDAD SEGURA"/>
    <s v="GI00K30500006D"/>
    <s v="GI00K30500006D FORTALECIMIENTO DEL CONTROL DEL TRÁNSITO"/>
    <s v="78 TRANSFERENCIAS Y DONACIONES PARA INVERSIÓN"/>
    <s v="780204 Transferencias o Donaciones al Sector Priva"/>
    <s v="G/780204/3KK305"/>
    <s v="001"/>
    <n v="5081379.0999999996"/>
    <n v="-3640360.8"/>
    <n v="0"/>
    <n v="1441018.3"/>
    <n v="0"/>
    <n v="1295000"/>
    <n v="1294000"/>
    <n v="146018.29999999999"/>
    <n v="147018.29999999999"/>
    <n v="146018.29999999999"/>
  </r>
  <r>
    <s v="78"/>
    <x v="0"/>
    <x v="1"/>
    <s v="ZA01C060"/>
    <x v="45"/>
    <s v="L101"/>
    <s v="GESTION INSTITUCIONAL EFICIENTE E INNOVADORA"/>
    <s v="GI00L10100031D"/>
    <s v="GI00L10100031D PLANEACIÓN DE DESARROLLO"/>
    <s v="78 TRANSFERENCIAS Y DONACIONES PARA INVERSIÓN"/>
    <s v="780304 Transferencias o Donaciones de Inversión al"/>
    <s v="G/780304/1CL101"/>
    <s v="002"/>
    <n v="99488.98"/>
    <n v="0"/>
    <n v="0"/>
    <n v="99488.98"/>
    <n v="0"/>
    <n v="99488.98"/>
    <n v="99488.98"/>
    <n v="0"/>
    <n v="0"/>
    <n v="0"/>
  </r>
  <r>
    <s v="78"/>
    <x v="1"/>
    <x v="3"/>
    <s v="US33M030"/>
    <x v="8"/>
    <s v="M103"/>
    <s v="SALUD AL DIA"/>
    <s v="GI00M10300006D"/>
    <s v="GI00M10300006D ATENCIÓN Y PREVENCIÓN DE LA ENFERMEDAD"/>
    <s v="78 TRANSFERENCIAS Y DONACIONES PARA INVERSIÓN"/>
    <s v="780206 Becas"/>
    <s v="G/780206/1MM103"/>
    <s v="001"/>
    <n v="382128"/>
    <n v="-382128"/>
    <n v="0"/>
    <n v="0"/>
    <n v="0"/>
    <n v="0"/>
    <n v="0"/>
    <n v="0"/>
    <n v="0"/>
    <n v="0"/>
  </r>
  <r>
    <s v="78"/>
    <x v="1"/>
    <x v="3"/>
    <s v="UN31M010"/>
    <x v="11"/>
    <s v="M103"/>
    <s v="SALUD AL DIA"/>
    <s v="GI00M10300006D"/>
    <s v="GI00M10300006D ATENCIÓN Y PREVENCIÓN DE LA ENFERMEDAD"/>
    <s v="78 TRANSFERENCIAS Y DONACIONES PARA INVERSIÓN"/>
    <s v="780206 Becas"/>
    <s v="G/780206/1MM103"/>
    <s v="001"/>
    <n v="80448"/>
    <n v="-53000"/>
    <n v="0"/>
    <n v="27448"/>
    <n v="0"/>
    <n v="0"/>
    <n v="0"/>
    <n v="27448"/>
    <n v="27448"/>
    <n v="27448"/>
  </r>
  <r>
    <s v="78"/>
    <x v="2"/>
    <x v="5"/>
    <s v="ZA01N000"/>
    <x v="10"/>
    <s v="N103"/>
    <s v="QUITO SIN MIEDO"/>
    <s v="GI00N10300004D"/>
    <s v="GI00N10300004D PREVENCIÓN SITUACIONAL Y CONVIVENCIA PAC"/>
    <s v="78 TRANSFERENCIAS Y DONACIONES PARA INVERSIÓN"/>
    <s v="780103 A Empresas Públicas"/>
    <s v="G/780103/1NN103"/>
    <s v="001"/>
    <n v="216905.54"/>
    <n v="-11437.44"/>
    <n v="0"/>
    <n v="205468.1"/>
    <n v="0"/>
    <n v="0"/>
    <n v="0"/>
    <n v="205468.1"/>
    <n v="205468.1"/>
    <n v="205468.1"/>
  </r>
  <r>
    <s v="78"/>
    <x v="2"/>
    <x v="5"/>
    <s v="ZA01N000"/>
    <x v="10"/>
    <s v="N103"/>
    <s v="QUITO SIN MIEDO"/>
    <s v="GI00N10300004D"/>
    <s v="GI00N10300004D PREVENCIÓN SITUACIONAL Y CONVIVENCIA PAC"/>
    <s v="78 TRANSFERENCIAS Y DONACIONES PARA INVERSIÓN"/>
    <s v="780204 Transferencias o Donaciones al Sector Priva"/>
    <s v="G/780204/1NN103"/>
    <s v="001"/>
    <n v="9000"/>
    <n v="-9000"/>
    <n v="0"/>
    <n v="0"/>
    <n v="0"/>
    <n v="0"/>
    <n v="0"/>
    <n v="0"/>
    <n v="0"/>
    <n v="0"/>
  </r>
  <r>
    <s v="78"/>
    <x v="2"/>
    <x v="5"/>
    <s v="ZA01N000"/>
    <x v="10"/>
    <s v="N103"/>
    <s v="QUITO SIN MIEDO"/>
    <s v="GI00N10300007D"/>
    <s v="GI00N10300007D SISTEMA DE INDICADORES DE SEGURIDAD CIUD"/>
    <s v="78 TRANSFERENCIAS Y DONACIONES PARA INVERSIÓN"/>
    <s v="780204 Transferencias o Donaciones al Sector Priva"/>
    <s v="G/780204/1NN103"/>
    <s v="001"/>
    <n v="0"/>
    <n v="9000"/>
    <n v="0"/>
    <n v="9000"/>
    <n v="0"/>
    <n v="0"/>
    <n v="0"/>
    <n v="9000"/>
    <n v="9000"/>
    <n v="9000"/>
  </r>
  <r>
    <s v="78"/>
    <x v="2"/>
    <x v="5"/>
    <s v="ZA01N000"/>
    <x v="10"/>
    <s v="N301"/>
    <s v="GESTION DE RIESGOS"/>
    <s v="GI00N30100004D"/>
    <s v="GI00N30100004D ANÁLISIS DE RIESGOS NATURALES Y ANTRÓPIC"/>
    <s v="78 TRANSFERENCIAS Y DONACIONES PARA INVERSIÓN"/>
    <s v="780104 A Gobiernos Autónomos Descentralizados"/>
    <s v="G/780104/3NN301"/>
    <s v="001"/>
    <n v="250000"/>
    <n v="0"/>
    <n v="0"/>
    <n v="250000"/>
    <n v="0"/>
    <n v="0"/>
    <n v="0"/>
    <n v="250000"/>
    <n v="250000"/>
    <n v="250000"/>
  </r>
  <r>
    <s v="78"/>
    <x v="2"/>
    <x v="5"/>
    <s v="ZA01N000"/>
    <x v="10"/>
    <s v="N301"/>
    <s v="GESTION DE RIESGOS"/>
    <s v="GI00N30100004D"/>
    <s v="GI00N30100004D ANÁLISIS DE RIESGOS NATURALES Y ANTRÓPIC"/>
    <s v="78 TRANSFERENCIAS Y DONACIONES PARA INVERSIÓN"/>
    <s v="780204 Transferencias o Donaciones al Sector Priva"/>
    <s v="G/780204/3NN301"/>
    <s v="001"/>
    <n v="300000"/>
    <n v="0"/>
    <n v="0"/>
    <n v="300000"/>
    <n v="0"/>
    <n v="0"/>
    <n v="0"/>
    <n v="300000"/>
    <n v="300000"/>
    <n v="300000"/>
  </r>
  <r>
    <s v="78"/>
    <x v="2"/>
    <x v="5"/>
    <s v="ZA01N000"/>
    <x v="10"/>
    <s v="N301"/>
    <s v="GESTION DE RIESGOS"/>
    <s v="GI00N30100005D"/>
    <s v="GI00N30100005D REDUCCIÓN DE RIESGOS DE DESASTRES EN EL"/>
    <s v="78 TRANSFERENCIAS Y DONACIONES PARA INVERSIÓN"/>
    <s v="780103 A Empresas Públicas"/>
    <s v="G/780103/3NN301"/>
    <s v="001"/>
    <n v="1000000"/>
    <n v="0"/>
    <n v="0"/>
    <n v="1000000"/>
    <n v="0"/>
    <n v="1000000"/>
    <n v="1000000"/>
    <n v="0"/>
    <n v="0"/>
    <n v="0"/>
  </r>
  <r>
    <s v="78"/>
    <x v="2"/>
    <x v="5"/>
    <s v="ZA01N000"/>
    <x v="10"/>
    <s v="N301"/>
    <s v="GESTION DE RIESGOS"/>
    <s v="GI00N30100005D"/>
    <s v="GI00N30100005D REDUCCIÓN DE RIESGOS DE DESASTRES EN EL"/>
    <s v="78 TRANSFERENCIAS Y DONACIONES PARA INVERSIÓN"/>
    <s v="780204 Transferencias o Donaciones al Sector Priva"/>
    <s v="G/780204/3NN301"/>
    <s v="001"/>
    <n v="30000"/>
    <n v="0"/>
    <n v="0"/>
    <n v="30000"/>
    <n v="0"/>
    <n v="30000"/>
    <n v="197"/>
    <n v="0"/>
    <n v="29803"/>
    <n v="0"/>
  </r>
  <r>
    <s v="78"/>
    <x v="2"/>
    <x v="8"/>
    <s v="FS66P020"/>
    <x v="36"/>
    <s v="P303"/>
    <s v="PROTEGER EL PATRIMONIO HISTORICO Y CULTURAL DEL DM"/>
    <s v="GI00P30300006D"/>
    <s v="GI00P30300006D  CONSERVACIÓN DE EDIFICACIONES PATRIMONI"/>
    <s v="78 TRANSFERENCIAS Y DONACIONES PARA INVERSIÓN"/>
    <s v="780103 A Empresas Públicas"/>
    <s v="G/780103/3PP303"/>
    <s v="001"/>
    <n v="0"/>
    <n v="726091.57"/>
    <n v="0"/>
    <n v="726091.57"/>
    <n v="0"/>
    <n v="0"/>
    <n v="0"/>
    <n v="726091.57"/>
    <n v="726091.57"/>
    <n v="726091.57"/>
  </r>
  <r>
    <s v="78"/>
    <x v="2"/>
    <x v="8"/>
    <s v="FS66P020"/>
    <x v="36"/>
    <s v="P303"/>
    <s v="PROTEGER EL PATRIMONIO HISTORICO Y CULTURAL DEL DM"/>
    <s v="GI00P30300006D"/>
    <s v="GI00P30300006D  CONSERVACIÓN DE EDIFICACIONES PATRIMONI"/>
    <s v="78 TRANSFERENCIAS Y DONACIONES PARA INVERSIÓN"/>
    <s v="780204 Transferencias o Donaciones al Sector Priva"/>
    <s v="G/780204/3PP303"/>
    <s v="001"/>
    <n v="300000"/>
    <n v="-200000"/>
    <n v="0"/>
    <n v="100000"/>
    <n v="0"/>
    <n v="0"/>
    <n v="0"/>
    <n v="100000"/>
    <n v="100000"/>
    <n v="100000"/>
  </r>
  <r>
    <s v="84"/>
    <x v="2"/>
    <x v="11"/>
    <s v="ZD07F070"/>
    <x v="43"/>
    <s v="D301"/>
    <s v="CERO RESIDUOSCERO RESIDUOS"/>
    <s v="GI00D30100004D"/>
    <s v="GI00D30100004D IMPLEMENTACIÓN DE CENTROS DE APROVECHAMI"/>
    <s v="84 BIENES DE LARGA DURACIÓN"/>
    <s v="840104 Maquinarias y Equipos"/>
    <s v="G/840104/3FD301"/>
    <s v="001"/>
    <n v="4000"/>
    <n v="0"/>
    <n v="0"/>
    <n v="4000"/>
    <n v="0"/>
    <n v="0"/>
    <n v="0"/>
    <n v="4000"/>
    <n v="4000"/>
    <n v="4000"/>
  </r>
  <r>
    <s v="84"/>
    <x v="2"/>
    <x v="11"/>
    <s v="ZC09F090"/>
    <x v="44"/>
    <s v="D301"/>
    <s v="CERO RESIDUOSCERO RESIDUOS"/>
    <s v="GI00D30100004D"/>
    <s v="GI00D30100004D IMPLEMENTACIÓN DE CENTROS DE APROVECHAMI"/>
    <s v="84 BIENES DE LARGA DURACIÓN"/>
    <s v="840104 Maquinarias y Equipos"/>
    <s v="G/840104/3FD301"/>
    <s v="001"/>
    <n v="6000"/>
    <n v="0"/>
    <n v="0"/>
    <n v="6000"/>
    <n v="0"/>
    <n v="0"/>
    <n v="0"/>
    <n v="6000"/>
    <n v="6000"/>
    <n v="6000"/>
  </r>
  <r>
    <s v="84"/>
    <x v="2"/>
    <x v="11"/>
    <s v="ZD07F070"/>
    <x v="43"/>
    <s v="D301"/>
    <s v="CERO RESIDUOSCERO RESIDUOS"/>
    <s v="GI00D30100004D"/>
    <s v="GI00D30100004D IMPLEMENTACIÓN DE CENTROS DE APROVECHAMI"/>
    <s v="84 BIENES DE LARGA DURACIÓN"/>
    <s v="840107 Equipos, Sistemas y Paquetes Informáticos"/>
    <s v="G/840107/3FD301"/>
    <s v="001"/>
    <n v="2000"/>
    <n v="0"/>
    <n v="0"/>
    <n v="2000"/>
    <n v="0"/>
    <n v="0"/>
    <n v="0"/>
    <n v="2000"/>
    <n v="2000"/>
    <n v="2000"/>
  </r>
  <r>
    <s v="84"/>
    <x v="2"/>
    <x v="11"/>
    <s v="ZC09F090"/>
    <x v="44"/>
    <s v="D301"/>
    <s v="CERO RESIDUOSCERO RESIDUOS"/>
    <s v="GI00D30100004D"/>
    <s v="GI00D30100004D IMPLEMENTACIÓN DE CENTROS DE APROVECHAMI"/>
    <s v="84 BIENES DE LARGA DURACIÓN"/>
    <s v="840107 Equipos, Sistemas y Paquetes Informáticos"/>
    <s v="G/840107/3FD301"/>
    <s v="001"/>
    <n v="2000"/>
    <n v="0"/>
    <n v="0"/>
    <n v="2000"/>
    <n v="0"/>
    <n v="0"/>
    <n v="0"/>
    <n v="2000"/>
    <n v="2000"/>
    <n v="2000"/>
  </r>
  <r>
    <s v="84"/>
    <x v="2"/>
    <x v="10"/>
    <s v="ZA01D000"/>
    <x v="24"/>
    <s v="D303"/>
    <s v="PREVENCION, CONTROL Y REGULACION AMBIENTAL"/>
    <s v="GI00D30300001D"/>
    <s v="GI00D30300001D MEJORAMIENTO DE LA GESTION DE LA CALIDAD"/>
    <s v="84 BIENES DE LARGA DURACIÓN"/>
    <s v="840107 Equipos, Sistemas y Paquetes Informáticos"/>
    <s v="G/840107/3DD303"/>
    <s v="001"/>
    <n v="15000"/>
    <n v="0"/>
    <n v="0"/>
    <n v="15000"/>
    <n v="0"/>
    <n v="0"/>
    <n v="0"/>
    <n v="15000"/>
    <n v="15000"/>
    <n v="15000"/>
  </r>
  <r>
    <s v="84"/>
    <x v="2"/>
    <x v="10"/>
    <s v="ZA01D000"/>
    <x v="24"/>
    <s v="D306"/>
    <s v="QUITO CIUDAD LIMPIA"/>
    <s v="GI00D30600002D"/>
    <s v="GI00D30600002D MONITOREO DE LA CALIDAD DE LOS RECURSOS"/>
    <s v="84 BIENES DE LARGA DURACIÓN"/>
    <s v="840107 Equipos, Sistemas y Paquetes Informáticos"/>
    <s v="G/840107/3DD306"/>
    <s v="001"/>
    <n v="13000"/>
    <n v="-13000"/>
    <n v="0"/>
    <n v="0"/>
    <n v="0"/>
    <n v="0"/>
    <n v="0"/>
    <n v="0"/>
    <n v="0"/>
    <n v="0"/>
  </r>
  <r>
    <s v="84"/>
    <x v="2"/>
    <x v="11"/>
    <s v="ZN02F020"/>
    <x v="40"/>
    <s v="F102"/>
    <s v="PARTICIPACION CIUDADANA"/>
    <s v="GI00F10200001D"/>
    <s v="GI00F10200001D PRESUPUESTOS PARTICIPATIVOS"/>
    <s v="84 BIENES DE LARGA DURACIÓN"/>
    <s v="840103 Mobiliarios"/>
    <s v="G/840103/1FF102"/>
    <s v="001"/>
    <n v="0"/>
    <n v="5000"/>
    <n v="0"/>
    <n v="5000"/>
    <n v="0"/>
    <n v="0"/>
    <n v="0"/>
    <n v="5000"/>
    <n v="5000"/>
    <n v="5000"/>
  </r>
  <r>
    <s v="84"/>
    <x v="2"/>
    <x v="11"/>
    <s v="ZN02F020"/>
    <x v="40"/>
    <s v="F102"/>
    <s v="PARTICIPACION CIUDADANA"/>
    <s v="GI00F10200001D"/>
    <s v="GI00F10200001D PRESUPUESTOS PARTICIPATIVOS"/>
    <s v="84 BIENES DE LARGA DURACIÓN"/>
    <s v="840104 Maquinarias y Equipos"/>
    <s v="G/840104/1FF102"/>
    <s v="001"/>
    <n v="0"/>
    <n v="18000"/>
    <n v="0"/>
    <n v="18000"/>
    <n v="0"/>
    <n v="0"/>
    <n v="0"/>
    <n v="18000"/>
    <n v="18000"/>
    <n v="18000"/>
  </r>
  <r>
    <s v="84"/>
    <x v="2"/>
    <x v="11"/>
    <s v="ZN02F020"/>
    <x v="40"/>
    <s v="F102"/>
    <s v="PARTICIPACION CIUDADANA"/>
    <s v="GI00F10200001D"/>
    <s v="GI00F10200001D PRESUPUESTOS PARTICIPATIVOS"/>
    <s v="84 BIENES DE LARGA DURACIÓN"/>
    <s v="840107 Equipos, Sistemas y Paquetes Informáticos"/>
    <s v="G/840107/1FF102"/>
    <s v="001"/>
    <n v="0"/>
    <n v="65000"/>
    <n v="0"/>
    <n v="65000"/>
    <n v="0"/>
    <n v="0"/>
    <n v="0"/>
    <n v="65000"/>
    <n v="65000"/>
    <n v="65000"/>
  </r>
  <r>
    <s v="84"/>
    <x v="2"/>
    <x v="11"/>
    <s v="ZN02F020"/>
    <x v="40"/>
    <s v="F102"/>
    <s v="PARTICIPACION CIUDADANA"/>
    <s v="GI00F10200002D"/>
    <s v="GI00F10200002D SISTEMA DE PARTICIPACION CIUDADANA"/>
    <s v="84 BIENES DE LARGA DURACIÓN"/>
    <s v="840104 Maquinarias y Equipos"/>
    <s v="G/840104/1FF102"/>
    <s v="001"/>
    <n v="1000"/>
    <n v="0"/>
    <n v="0"/>
    <n v="1000"/>
    <n v="0"/>
    <n v="0"/>
    <n v="0"/>
    <n v="1000"/>
    <n v="1000"/>
    <n v="1000"/>
  </r>
  <r>
    <s v="84"/>
    <x v="2"/>
    <x v="11"/>
    <s v="ZV05F050"/>
    <x v="37"/>
    <s v="F102"/>
    <s v="PARTICIPACION CIUDADANA"/>
    <s v="GI00F10200002D"/>
    <s v="GI00F10200002D SISTEMA DE PARTICIPACION CIUDADANA"/>
    <s v="84 BIENES DE LARGA DURACIÓN"/>
    <s v="840104 Maquinarias y Equipos"/>
    <s v="G/840104/1FF102"/>
    <s v="001"/>
    <n v="1000"/>
    <n v="0"/>
    <n v="0"/>
    <n v="1000"/>
    <n v="0"/>
    <n v="0"/>
    <n v="0"/>
    <n v="1000"/>
    <n v="1000"/>
    <n v="1000"/>
  </r>
  <r>
    <s v="84"/>
    <x v="2"/>
    <x v="11"/>
    <s v="ZQ08F080"/>
    <x v="39"/>
    <s v="F102"/>
    <s v="PARTICIPACION CIUDADANA"/>
    <s v="GI00F10200005D"/>
    <s v="GI00F10200005D CASAS SOMOS QUITO"/>
    <s v="84 BIENES DE LARGA DURACIÓN"/>
    <s v="840103 Mobiliarios"/>
    <s v="G/840103/1FF102"/>
    <s v="001"/>
    <n v="4500"/>
    <n v="0"/>
    <n v="0"/>
    <n v="4500"/>
    <n v="0"/>
    <n v="0"/>
    <n v="0"/>
    <n v="4500"/>
    <n v="4500"/>
    <n v="4500"/>
  </r>
  <r>
    <s v="84"/>
    <x v="2"/>
    <x v="11"/>
    <s v="TM68F100"/>
    <x v="34"/>
    <s v="F102"/>
    <s v="PARTICIPACION CIUDADANA"/>
    <s v="GI00F10200005D"/>
    <s v="GI00F10200005D CASAS SOMOS QUITO"/>
    <s v="84 BIENES DE LARGA DURACIÓN"/>
    <s v="840103 Mobiliarios"/>
    <s v="G/840103/1FF102"/>
    <s v="001"/>
    <n v="1000"/>
    <n v="0"/>
    <n v="0"/>
    <n v="1000"/>
    <n v="0"/>
    <n v="0"/>
    <n v="0"/>
    <n v="1000"/>
    <n v="1000"/>
    <n v="1000"/>
  </r>
  <r>
    <s v="84"/>
    <x v="2"/>
    <x v="11"/>
    <s v="ZV05F050"/>
    <x v="37"/>
    <s v="F102"/>
    <s v="PARTICIPACION CIUDADANA"/>
    <s v="GI00F10200005D"/>
    <s v="GI00F10200005D CASAS SOMOS QUITO"/>
    <s v="84 BIENES DE LARGA DURACIÓN"/>
    <s v="840103 Mobiliarios"/>
    <s v="G/840103/1FF102"/>
    <s v="001"/>
    <n v="7000"/>
    <n v="0"/>
    <n v="0"/>
    <n v="7000"/>
    <n v="0"/>
    <n v="0"/>
    <n v="0"/>
    <n v="7000"/>
    <n v="7000"/>
    <n v="7000"/>
  </r>
  <r>
    <s v="84"/>
    <x v="2"/>
    <x v="11"/>
    <s v="ZM04F040"/>
    <x v="41"/>
    <s v="F102"/>
    <s v="PARTICIPACION CIUDADANA"/>
    <s v="GI00F10200005D"/>
    <s v="GI00F10200005D CASAS SOMOS QUITO"/>
    <s v="84 BIENES DE LARGA DURACIÓN"/>
    <s v="840103 Mobiliarios"/>
    <s v="G/840103/1FF102"/>
    <s v="001"/>
    <n v="500"/>
    <n v="-500"/>
    <n v="0"/>
    <n v="0"/>
    <n v="0"/>
    <n v="0"/>
    <n v="0"/>
    <n v="0"/>
    <n v="0"/>
    <n v="0"/>
  </r>
  <r>
    <s v="84"/>
    <x v="2"/>
    <x v="11"/>
    <s v="ZD07F070"/>
    <x v="43"/>
    <s v="F102"/>
    <s v="PARTICIPACION CIUDADANA"/>
    <s v="GI00F10200005D"/>
    <s v="GI00F10200005D CASAS SOMOS QUITO"/>
    <s v="84 BIENES DE LARGA DURACIÓN"/>
    <s v="840103 Mobiliarios"/>
    <s v="G/840103/1FF102"/>
    <s v="001"/>
    <n v="25000"/>
    <n v="-20000"/>
    <n v="0"/>
    <n v="5000"/>
    <n v="0"/>
    <n v="0"/>
    <n v="0"/>
    <n v="5000"/>
    <n v="5000"/>
    <n v="5000"/>
  </r>
  <r>
    <s v="84"/>
    <x v="2"/>
    <x v="11"/>
    <s v="ZS03F030"/>
    <x v="38"/>
    <s v="F102"/>
    <s v="PARTICIPACION CIUDADANA"/>
    <s v="GI00F10200005D"/>
    <s v="GI00F10200005D CASAS SOMOS QUITO"/>
    <s v="84 BIENES DE LARGA DURACIÓN"/>
    <s v="840103 Mobiliarios"/>
    <s v="G/840103/1FF102"/>
    <s v="001"/>
    <n v="7080.07"/>
    <n v="0"/>
    <n v="0"/>
    <n v="7080.07"/>
    <n v="0"/>
    <n v="0"/>
    <n v="0"/>
    <n v="7080.07"/>
    <n v="7080.07"/>
    <n v="7080.07"/>
  </r>
  <r>
    <s v="84"/>
    <x v="2"/>
    <x v="11"/>
    <s v="ZN02F020"/>
    <x v="40"/>
    <s v="F102"/>
    <s v="PARTICIPACION CIUDADANA"/>
    <s v="GI00F10200005D"/>
    <s v="GI00F10200005D CASAS SOMOS QUITO"/>
    <s v="84 BIENES DE LARGA DURACIÓN"/>
    <s v="840104 Maquinarias y Equipos"/>
    <s v="G/840104/1FF102"/>
    <s v="001"/>
    <n v="7000"/>
    <n v="0"/>
    <n v="0"/>
    <n v="7000"/>
    <n v="0"/>
    <n v="0"/>
    <n v="0"/>
    <n v="7000"/>
    <n v="7000"/>
    <n v="7000"/>
  </r>
  <r>
    <s v="84"/>
    <x v="2"/>
    <x v="11"/>
    <s v="ZQ08F080"/>
    <x v="39"/>
    <s v="F102"/>
    <s v="PARTICIPACION CIUDADANA"/>
    <s v="GI00F10200005D"/>
    <s v="GI00F10200005D CASAS SOMOS QUITO"/>
    <s v="84 BIENES DE LARGA DURACIÓN"/>
    <s v="840104 Maquinarias y Equipos"/>
    <s v="G/840104/1FF102"/>
    <s v="001"/>
    <n v="3300"/>
    <n v="0"/>
    <n v="0"/>
    <n v="3300"/>
    <n v="0"/>
    <n v="0"/>
    <n v="0"/>
    <n v="3300"/>
    <n v="3300"/>
    <n v="3300"/>
  </r>
  <r>
    <s v="84"/>
    <x v="2"/>
    <x v="11"/>
    <s v="ZD07F070"/>
    <x v="43"/>
    <s v="F102"/>
    <s v="PARTICIPACION CIUDADANA"/>
    <s v="GI00F10200005D"/>
    <s v="GI00F10200005D CASAS SOMOS QUITO"/>
    <s v="84 BIENES DE LARGA DURACIÓN"/>
    <s v="840104 Maquinarias y Equipos"/>
    <s v="G/840104/1FF102"/>
    <s v="001"/>
    <n v="16000"/>
    <n v="-5450.88"/>
    <n v="0"/>
    <n v="10549.12"/>
    <n v="0"/>
    <n v="2340.8000000000002"/>
    <n v="2340.8000000000002"/>
    <n v="8208.32"/>
    <n v="8208.32"/>
    <n v="8208.32"/>
  </r>
  <r>
    <s v="84"/>
    <x v="2"/>
    <x v="11"/>
    <s v="ZC09F090"/>
    <x v="44"/>
    <s v="F102"/>
    <s v="PARTICIPACION CIUDADANA"/>
    <s v="GI00F10200005D"/>
    <s v="GI00F10200005D CASAS SOMOS QUITO"/>
    <s v="84 BIENES DE LARGA DURACIÓN"/>
    <s v="840104 Maquinarias y Equipos"/>
    <s v="G/840104/1FF102"/>
    <s v="001"/>
    <n v="1500"/>
    <n v="0"/>
    <n v="0"/>
    <n v="1500"/>
    <n v="0"/>
    <n v="0"/>
    <n v="0"/>
    <n v="1500"/>
    <n v="1500"/>
    <n v="1500"/>
  </r>
  <r>
    <s v="84"/>
    <x v="2"/>
    <x v="11"/>
    <s v="ZT06F060"/>
    <x v="25"/>
    <s v="F102"/>
    <s v="PARTICIPACION CIUDADANA"/>
    <s v="GI00F10200005D"/>
    <s v="GI00F10200005D CASAS SOMOS QUITO"/>
    <s v="84 BIENES DE LARGA DURACIÓN"/>
    <s v="840104 Maquinarias y Equipos"/>
    <s v="G/840104/1FF102"/>
    <s v="001"/>
    <n v="4000"/>
    <n v="0"/>
    <n v="0"/>
    <n v="4000"/>
    <n v="0"/>
    <n v="0"/>
    <n v="0"/>
    <n v="4000"/>
    <n v="4000"/>
    <n v="4000"/>
  </r>
  <r>
    <s v="84"/>
    <x v="2"/>
    <x v="11"/>
    <s v="ZS03F030"/>
    <x v="38"/>
    <s v="F102"/>
    <s v="PARTICIPACION CIUDADANA"/>
    <s v="GI00F10200005D"/>
    <s v="GI00F10200005D CASAS SOMOS QUITO"/>
    <s v="84 BIENES DE LARGA DURACIÓN"/>
    <s v="840104 Maquinarias y Equipos"/>
    <s v="G/840104/1FF102"/>
    <s v="001"/>
    <n v="4000.83"/>
    <n v="0"/>
    <n v="0"/>
    <n v="4000.83"/>
    <n v="0"/>
    <n v="0"/>
    <n v="0"/>
    <n v="4000.83"/>
    <n v="4000.83"/>
    <n v="4000.83"/>
  </r>
  <r>
    <s v="84"/>
    <x v="2"/>
    <x v="11"/>
    <s v="ZM04F040"/>
    <x v="41"/>
    <s v="F102"/>
    <s v="PARTICIPACION CIUDADANA"/>
    <s v="GI00F10200005D"/>
    <s v="GI00F10200005D CASAS SOMOS QUITO"/>
    <s v="84 BIENES DE LARGA DURACIÓN"/>
    <s v="840106 Herramientas"/>
    <s v="G/840106/1FF102"/>
    <s v="001"/>
    <n v="700"/>
    <n v="-700"/>
    <n v="0"/>
    <n v="0"/>
    <n v="0"/>
    <n v="0"/>
    <n v="0"/>
    <n v="0"/>
    <n v="0"/>
    <n v="0"/>
  </r>
  <r>
    <s v="84"/>
    <x v="2"/>
    <x v="11"/>
    <s v="ZD07F070"/>
    <x v="43"/>
    <s v="F102"/>
    <s v="PARTICIPACION CIUDADANA"/>
    <s v="GI00F10200005D"/>
    <s v="GI00F10200005D CASAS SOMOS QUITO"/>
    <s v="84 BIENES DE LARGA DURACIÓN"/>
    <s v="840107 Equipos, Sistemas y Paquetes Informáticos"/>
    <s v="G/840107/1FF102"/>
    <s v="001"/>
    <n v="20000"/>
    <n v="-15845"/>
    <n v="0"/>
    <n v="4155"/>
    <n v="0"/>
    <n v="0"/>
    <n v="0"/>
    <n v="4155"/>
    <n v="4155"/>
    <n v="4155"/>
  </r>
  <r>
    <s v="84"/>
    <x v="2"/>
    <x v="11"/>
    <s v="TM68F100"/>
    <x v="34"/>
    <s v="F102"/>
    <s v="PARTICIPACION CIUDADANA"/>
    <s v="GI00F10200005D"/>
    <s v="GI00F10200005D CASAS SOMOS QUITO"/>
    <s v="84 BIENES DE LARGA DURACIÓN"/>
    <s v="840107 Equipos, Sistemas y Paquetes Informáticos"/>
    <s v="G/840107/1FF102"/>
    <s v="001"/>
    <n v="3500"/>
    <n v="0"/>
    <n v="0"/>
    <n v="3500"/>
    <n v="0"/>
    <n v="3102.4"/>
    <n v="3102.4"/>
    <n v="397.6"/>
    <n v="397.6"/>
    <n v="397.6"/>
  </r>
  <r>
    <s v="84"/>
    <x v="2"/>
    <x v="11"/>
    <s v="ZS03F030"/>
    <x v="38"/>
    <s v="F102"/>
    <s v="PARTICIPACION CIUDADANA"/>
    <s v="GI00F10200005D"/>
    <s v="GI00F10200005D CASAS SOMOS QUITO"/>
    <s v="84 BIENES DE LARGA DURACIÓN"/>
    <s v="840107 Equipos, Sistemas y Paquetes Informáticos"/>
    <s v="G/840107/1FF102"/>
    <s v="001"/>
    <n v="3000"/>
    <n v="0"/>
    <n v="0"/>
    <n v="3000"/>
    <n v="0"/>
    <n v="0"/>
    <n v="0"/>
    <n v="3000"/>
    <n v="3000"/>
    <n v="3000"/>
  </r>
  <r>
    <s v="84"/>
    <x v="2"/>
    <x v="11"/>
    <s v="ZN02F020"/>
    <x v="40"/>
    <s v="F102"/>
    <s v="PARTICIPACION CIUDADANA"/>
    <s v="GI00F10200006D"/>
    <s v="GI00F10200006D INFRAESTRUCTURA COMUNITARIA"/>
    <s v="84 BIENES DE LARGA DURACIÓN"/>
    <s v="840103 Mobiliarios"/>
    <s v="G/840103/1FF102"/>
    <s v="001"/>
    <n v="5000"/>
    <n v="-5000"/>
    <n v="0"/>
    <n v="0"/>
    <n v="0"/>
    <n v="0"/>
    <n v="0"/>
    <n v="0"/>
    <n v="0"/>
    <n v="0"/>
  </r>
  <r>
    <s v="84"/>
    <x v="2"/>
    <x v="11"/>
    <s v="ZN02F020"/>
    <x v="40"/>
    <s v="F102"/>
    <s v="PARTICIPACION CIUDADANA"/>
    <s v="GI00F10200006D"/>
    <s v="GI00F10200006D INFRAESTRUCTURA COMUNITARIA"/>
    <s v="84 BIENES DE LARGA DURACIÓN"/>
    <s v="840104 Maquinarias y Equipos"/>
    <s v="G/840104/1FF102"/>
    <s v="001"/>
    <n v="18000"/>
    <n v="-18000"/>
    <n v="0"/>
    <n v="0"/>
    <n v="0"/>
    <n v="0"/>
    <n v="0"/>
    <n v="0"/>
    <n v="0"/>
    <n v="0"/>
  </r>
  <r>
    <s v="84"/>
    <x v="2"/>
    <x v="11"/>
    <s v="ZV05F050"/>
    <x v="37"/>
    <s v="F102"/>
    <s v="PARTICIPACION CIUDADANA"/>
    <s v="GI00F10200006D"/>
    <s v="GI00F10200006D INFRAESTRUCTURA COMUNITARIA"/>
    <s v="84 BIENES DE LARGA DURACIÓN"/>
    <s v="840104 Maquinarias y Equipos"/>
    <s v="G/840104/1FF102"/>
    <s v="001"/>
    <n v="0"/>
    <n v="25000"/>
    <n v="0"/>
    <n v="25000"/>
    <n v="24999.99"/>
    <n v="0"/>
    <n v="0"/>
    <n v="25000"/>
    <n v="25000"/>
    <n v="0.01"/>
  </r>
  <r>
    <s v="84"/>
    <x v="2"/>
    <x v="11"/>
    <s v="ZS03F030"/>
    <x v="38"/>
    <s v="F102"/>
    <s v="PARTICIPACION CIUDADANA"/>
    <s v="GI00F10200006D"/>
    <s v="GI00F10200006D INFRAESTRUCTURA COMUNITARIA"/>
    <s v="84 BIENES DE LARGA DURACIÓN"/>
    <s v="840104 Maquinarias y Equipos"/>
    <s v="G/840104/1FF102"/>
    <s v="001"/>
    <n v="0"/>
    <n v="20000"/>
    <n v="0"/>
    <n v="20000"/>
    <n v="20000"/>
    <n v="0"/>
    <n v="0"/>
    <n v="20000"/>
    <n v="20000"/>
    <n v="0"/>
  </r>
  <r>
    <s v="84"/>
    <x v="2"/>
    <x v="11"/>
    <s v="ZN02F020"/>
    <x v="40"/>
    <s v="F102"/>
    <s v="PARTICIPACION CIUDADANA"/>
    <s v="GI00F10200006D"/>
    <s v="GI00F10200006D INFRAESTRUCTURA COMUNITARIA"/>
    <s v="84 BIENES DE LARGA DURACIÓN"/>
    <s v="840107 Equipos, Sistemas y Paquetes Informáticos"/>
    <s v="G/840107/1FF102"/>
    <s v="001"/>
    <n v="65000"/>
    <n v="-65000"/>
    <n v="0"/>
    <n v="0"/>
    <n v="0"/>
    <n v="0"/>
    <n v="0"/>
    <n v="0"/>
    <n v="0"/>
    <n v="0"/>
  </r>
  <r>
    <s v="84"/>
    <x v="1"/>
    <x v="13"/>
    <s v="ZA01G000"/>
    <x v="29"/>
    <s v="G101"/>
    <s v="ARTE, CULTURA Y PATRIMONIO"/>
    <s v="GI00G10100002D"/>
    <s v="GI00G10100002D PROMOCION DE DERECHOS CULTURALES"/>
    <s v="84 BIENES DE LARGA DURACIÓN"/>
    <s v="840104 Maquinarias y Equipos"/>
    <s v="G/840104/1GG101"/>
    <s v="001"/>
    <n v="10000"/>
    <n v="0"/>
    <n v="0"/>
    <n v="10000"/>
    <n v="0"/>
    <n v="0"/>
    <n v="0"/>
    <n v="10000"/>
    <n v="10000"/>
    <n v="10000"/>
  </r>
  <r>
    <s v="84"/>
    <x v="1"/>
    <x v="13"/>
    <s v="ZA01G000"/>
    <x v="29"/>
    <s v="G101"/>
    <s v="ARTE, CULTURA Y PATRIMONIO"/>
    <s v="GI00G10100003D"/>
    <s v="GI00G10100003D SERVICIOS CULTURALES COMUNITARIOS Y DEPO"/>
    <s v="84 BIENES DE LARGA DURACIÓN"/>
    <s v="840103 Mobiliarios"/>
    <s v="G/840103/1GG101"/>
    <s v="001"/>
    <n v="6000"/>
    <n v="0"/>
    <n v="0"/>
    <n v="6000"/>
    <n v="0"/>
    <n v="0"/>
    <n v="0"/>
    <n v="6000"/>
    <n v="6000"/>
    <n v="6000"/>
  </r>
  <r>
    <s v="84"/>
    <x v="1"/>
    <x v="13"/>
    <s v="ZA01G000"/>
    <x v="29"/>
    <s v="G101"/>
    <s v="ARTE, CULTURA Y PATRIMONIO"/>
    <s v="GI00G10100003D"/>
    <s v="GI00G10100003D SERVICIOS CULTURALES COMUNITARIOS Y DEPO"/>
    <s v="84 BIENES DE LARGA DURACIÓN"/>
    <s v="840104 Maquinarias y Equipos"/>
    <s v="G/840104/1GG101"/>
    <s v="001"/>
    <n v="54840"/>
    <n v="0"/>
    <n v="0"/>
    <n v="54840"/>
    <n v="0"/>
    <n v="0"/>
    <n v="0"/>
    <n v="54840"/>
    <n v="54840"/>
    <n v="54840"/>
  </r>
  <r>
    <s v="84"/>
    <x v="1"/>
    <x v="13"/>
    <s v="ZA01G000"/>
    <x v="29"/>
    <s v="G101"/>
    <s v="ARTE, CULTURA Y PATRIMONIO"/>
    <s v="GI00G10100003D"/>
    <s v="GI00G10100003D SERVICIOS CULTURALES COMUNITARIOS Y DEPO"/>
    <s v="84 BIENES DE LARGA DURACIÓN"/>
    <s v="840106 Herramientas"/>
    <s v="G/840106/1GG101"/>
    <s v="001"/>
    <n v="4000"/>
    <n v="0"/>
    <n v="0"/>
    <n v="4000"/>
    <n v="0"/>
    <n v="0"/>
    <n v="0"/>
    <n v="4000"/>
    <n v="4000"/>
    <n v="4000"/>
  </r>
  <r>
    <s v="84"/>
    <x v="1"/>
    <x v="13"/>
    <s v="ZA01G000"/>
    <x v="29"/>
    <s v="G101"/>
    <s v="ARTE, CULTURA Y PATRIMONIO"/>
    <s v="GI00G10100003D"/>
    <s v="GI00G10100003D SERVICIOS CULTURALES COMUNITARIOS Y DEPO"/>
    <s v="84 BIENES DE LARGA DURACIÓN"/>
    <s v="840107 Equipos, Sistemas y Paquetes Informáticos"/>
    <s v="G/840107/1GG101"/>
    <s v="001"/>
    <n v="10055"/>
    <n v="0"/>
    <n v="0"/>
    <n v="10055"/>
    <n v="0"/>
    <n v="0"/>
    <n v="0"/>
    <n v="10055"/>
    <n v="10055"/>
    <n v="10055"/>
  </r>
  <r>
    <s v="84"/>
    <x v="1"/>
    <x v="13"/>
    <s v="ZA01G030"/>
    <x v="57"/>
    <s v="G101"/>
    <s v="ARTE, CULTURA Y PATRIMONIO"/>
    <s v="GI00G10100004D"/>
    <s v="GI00G10100004D SISTEMA DE CENTROS CULTURALES"/>
    <s v="84 BIENES DE LARGA DURACIÓN"/>
    <s v="840107 Equipos, Sistemas y Paquetes Informáticos"/>
    <s v="G/840107/1GG101"/>
    <s v="001"/>
    <n v="10000"/>
    <n v="0"/>
    <n v="0"/>
    <n v="10000"/>
    <n v="0"/>
    <n v="0"/>
    <n v="0"/>
    <n v="10000"/>
    <n v="10000"/>
    <n v="10000"/>
  </r>
  <r>
    <s v="84"/>
    <x v="1"/>
    <x v="13"/>
    <s v="ZA01G030"/>
    <x v="57"/>
    <s v="G101"/>
    <s v="ARTE, CULTURA Y PATRIMONIO"/>
    <s v="GI00G10100008D"/>
    <s v="GI00G10100008D FORTALECIMIENTO DE LA RED METROPOLITANA"/>
    <s v="84 BIENES DE LARGA DURACIÓN"/>
    <s v="840103 Mobiliarios"/>
    <s v="G/840103/1GG101"/>
    <s v="001"/>
    <n v="15000"/>
    <n v="0"/>
    <n v="0"/>
    <n v="15000"/>
    <n v="0"/>
    <n v="0"/>
    <n v="0"/>
    <n v="15000"/>
    <n v="15000"/>
    <n v="15000"/>
  </r>
  <r>
    <s v="84"/>
    <x v="1"/>
    <x v="13"/>
    <s v="ZA01G030"/>
    <x v="57"/>
    <s v="G101"/>
    <s v="ARTE, CULTURA Y PATRIMONIO"/>
    <s v="GI00G10100008D"/>
    <s v="GI00G10100008D FORTALECIMIENTO DE LA RED METROPOLITANA"/>
    <s v="84 BIENES DE LARGA DURACIÓN"/>
    <s v="840104 Maquinarias y Equipos"/>
    <s v="G/840104/1GG101"/>
    <s v="001"/>
    <n v="24070"/>
    <n v="-24070"/>
    <n v="0"/>
    <n v="0"/>
    <n v="0"/>
    <n v="0"/>
    <n v="0"/>
    <n v="0"/>
    <n v="0"/>
    <n v="0"/>
  </r>
  <r>
    <s v="84"/>
    <x v="1"/>
    <x v="13"/>
    <s v="ZA01G030"/>
    <x v="57"/>
    <s v="G101"/>
    <s v="ARTE, CULTURA Y PATRIMONIO"/>
    <s v="GI00G10100008D"/>
    <s v="GI00G10100008D FORTALECIMIENTO DE LA RED METROPOLITANA"/>
    <s v="84 BIENES DE LARGA DURACIÓN"/>
    <s v="840107 Equipos, Sistemas y Paquetes Informáticos"/>
    <s v="G/840107/1GG101"/>
    <s v="001"/>
    <n v="5000"/>
    <n v="0"/>
    <n v="0"/>
    <n v="5000"/>
    <n v="0"/>
    <n v="0"/>
    <n v="0"/>
    <n v="5000"/>
    <n v="5000"/>
    <n v="5000"/>
  </r>
  <r>
    <s v="84"/>
    <x v="1"/>
    <x v="13"/>
    <s v="ZA01G000"/>
    <x v="29"/>
    <s v="G101"/>
    <s v="ARTE, CULTURA Y PATRIMONIO"/>
    <s v="GI00G10100011D"/>
    <s v="GI00G10100011D TERRITORIO Y CULTURA"/>
    <s v="84 BIENES DE LARGA DURACIÓN"/>
    <s v="840103 Mobiliarios"/>
    <s v="G/840103/1GG101"/>
    <s v="001"/>
    <n v="5000"/>
    <n v="0"/>
    <n v="0"/>
    <n v="5000"/>
    <n v="0"/>
    <n v="0"/>
    <n v="0"/>
    <n v="5000"/>
    <n v="5000"/>
    <n v="5000"/>
  </r>
  <r>
    <s v="84"/>
    <x v="1"/>
    <x v="13"/>
    <s v="ZA01G000"/>
    <x v="29"/>
    <s v="G101"/>
    <s v="ARTE, CULTURA Y PATRIMONIO"/>
    <s v="GI00G10100011D"/>
    <s v="GI00G10100011D TERRITORIO Y CULTURA"/>
    <s v="84 BIENES DE LARGA DURACIÓN"/>
    <s v="840104 Maquinarias y Equipos"/>
    <s v="G/840104/1GG101"/>
    <s v="001"/>
    <n v="60000"/>
    <n v="-7000"/>
    <n v="0"/>
    <n v="53000"/>
    <n v="0"/>
    <n v="0"/>
    <n v="0"/>
    <n v="53000"/>
    <n v="53000"/>
    <n v="53000"/>
  </r>
  <r>
    <s v="84"/>
    <x v="1"/>
    <x v="13"/>
    <s v="ZA01G000"/>
    <x v="29"/>
    <s v="G101"/>
    <s v="ARTE, CULTURA Y PATRIMONIO"/>
    <s v="GI00G10100011D"/>
    <s v="GI00G10100011D TERRITORIO Y CULTURA"/>
    <s v="84 BIENES DE LARGA DURACIÓN"/>
    <s v="840107 Equipos, Sistemas y Paquetes Informáticos"/>
    <s v="G/840107/1GG101"/>
    <s v="001"/>
    <n v="5000"/>
    <n v="0"/>
    <n v="0"/>
    <n v="5000"/>
    <n v="0"/>
    <n v="0"/>
    <n v="0"/>
    <n v="5000"/>
    <n v="5000"/>
    <n v="5000"/>
  </r>
  <r>
    <s v="84"/>
    <x v="1"/>
    <x v="13"/>
    <s v="ZA01G000"/>
    <x v="29"/>
    <s v="G101"/>
    <s v="ARTE, CULTURA Y PATRIMONIO"/>
    <s v="GI00G10100011D"/>
    <s v="GI00G10100011D TERRITORIO Y CULTURA"/>
    <s v="84 BIENES DE LARGA DURACIÓN"/>
    <s v="840108 Bienes Artísticos y Culturales"/>
    <s v="G/840108/1GG101"/>
    <s v="001"/>
    <n v="10000"/>
    <n v="0"/>
    <n v="0"/>
    <n v="10000"/>
    <n v="0"/>
    <n v="0"/>
    <n v="0"/>
    <n v="10000"/>
    <n v="10000"/>
    <n v="10000"/>
  </r>
  <r>
    <s v="84"/>
    <x v="3"/>
    <x v="15"/>
    <s v="AC67Q000"/>
    <x v="32"/>
    <s v="H209"/>
    <s v="FOMENTO DEL DESARROLLO ECONÓMICO LOCAL"/>
    <s v="GI00H20900002D"/>
    <s v="GI00H20900002D MEJORAMIENTO DEL SERVICIO DEL SISTEMA DE"/>
    <s v="84 BIENES DE LARGA DURACIÓN"/>
    <s v="840104 Maquinarias y Equipos"/>
    <s v="G/840104/2QH209"/>
    <s v="001"/>
    <n v="434563.92"/>
    <n v="-279743.2"/>
    <n v="0"/>
    <n v="154820.72"/>
    <n v="0"/>
    <n v="5644.8"/>
    <n v="5644.8"/>
    <n v="149175.92000000001"/>
    <n v="149175.92000000001"/>
    <n v="149175.92000000001"/>
  </r>
  <r>
    <s v="84"/>
    <x v="3"/>
    <x v="15"/>
    <s v="AC67Q000"/>
    <x v="32"/>
    <s v="H209"/>
    <s v="FOMENTO DEL DESARROLLO ECONÓMICO LOCAL"/>
    <s v="GI00H20900002D"/>
    <s v="GI00H20900002D MEJORAMIENTO DEL SERVICIO DEL SISTEMA DE"/>
    <s v="84 BIENES DE LARGA DURACIÓN"/>
    <s v="840107 Equipos, Sistemas y Paquetes Informáticos"/>
    <s v="G/840107/2QH209"/>
    <s v="001"/>
    <n v="10000"/>
    <n v="15006.66"/>
    <n v="0"/>
    <n v="25006.66"/>
    <n v="6916.08"/>
    <n v="15006.66"/>
    <n v="15006.66"/>
    <n v="10000"/>
    <n v="10000"/>
    <n v="3083.92"/>
  </r>
  <r>
    <s v="84"/>
    <x v="2"/>
    <x v="11"/>
    <s v="ZD07F070"/>
    <x v="43"/>
    <s v="H211"/>
    <s v="DESARROLLO TERRITORIAL"/>
    <s v="GI00H21100002D"/>
    <s v="GI00H21100002D PROMOCIÓN DE VOCACIONES PRODUCTIVAS TERR"/>
    <s v="84 BIENES DE LARGA DURACIÓN"/>
    <s v="840107 Equipos, Sistemas y Paquetes Informáticos"/>
    <s v="G/840107/2FH211"/>
    <s v="001"/>
    <n v="1500"/>
    <n v="0"/>
    <n v="0"/>
    <n v="1500"/>
    <n v="0"/>
    <n v="1432.48"/>
    <n v="1432.48"/>
    <n v="67.52"/>
    <n v="67.52"/>
    <n v="67.52"/>
  </r>
  <r>
    <s v="84"/>
    <x v="1"/>
    <x v="2"/>
    <s v="ZA01I000"/>
    <x v="5"/>
    <s v="I101"/>
    <s v="PRACTICAS SALUDABLES"/>
    <s v="GI00I10100004D"/>
    <s v="GI00I10100004D QUITO A LA CANCHA"/>
    <s v="84 BIENES DE LARGA DURACIÓN"/>
    <s v="840107 Equipos, Sistemas y Paquetes Informáticos"/>
    <s v="G/840107/1II101"/>
    <s v="001"/>
    <n v="5934.84"/>
    <n v="-5934.84"/>
    <n v="0"/>
    <n v="0"/>
    <n v="0"/>
    <n v="0"/>
    <n v="0"/>
    <n v="0"/>
    <n v="0"/>
    <n v="0"/>
  </r>
  <r>
    <s v="84"/>
    <x v="1"/>
    <x v="2"/>
    <s v="ZA01I000"/>
    <x v="5"/>
    <s v="I101"/>
    <s v="PRACTICAS SALUDABLES"/>
    <s v="GI00I10100004D"/>
    <s v="GI00I10100004D QUITO A LA CANCHA"/>
    <s v="84 BIENES DE LARGA DURACIÓN"/>
    <s v="840401 Patentes, Derechos de Autor, Marcas Registr"/>
    <s v="G/840401/1II101"/>
    <s v="001"/>
    <n v="0"/>
    <n v="1000"/>
    <n v="0"/>
    <n v="1000"/>
    <n v="0"/>
    <n v="0"/>
    <n v="0"/>
    <n v="1000"/>
    <n v="1000"/>
    <n v="1000"/>
  </r>
  <r>
    <s v="84"/>
    <x v="1"/>
    <x v="2"/>
    <s v="SF43I080"/>
    <x v="35"/>
    <s v="I102"/>
    <s v="SISTEMA EDUCATIVO MUNICIPAL"/>
    <s v="GI00I10200004D"/>
    <s v="GI00I10200004D FORTALECIMIENTO PEDAGOGICO"/>
    <s v="84 BIENES DE LARGA DURACIÓN"/>
    <s v="840103 Mobiliarios"/>
    <s v="G/840103/1II102"/>
    <s v="001"/>
    <n v="124571.42"/>
    <n v="0"/>
    <n v="0"/>
    <n v="124571.42"/>
    <n v="0"/>
    <n v="0"/>
    <n v="0"/>
    <n v="124571.42"/>
    <n v="124571.42"/>
    <n v="124571.42"/>
  </r>
  <r>
    <s v="84"/>
    <x v="1"/>
    <x v="2"/>
    <s v="CB21I040"/>
    <x v="23"/>
    <s v="I102"/>
    <s v="SISTEMA EDUCATIVO MUNICIPAL"/>
    <s v="GI00I10200004D"/>
    <s v="GI00I10200004D FORTALECIMIENTO PEDAGOGICO"/>
    <s v="84 BIENES DE LARGA DURACIÓN"/>
    <s v="840104 Maquinarias y Equipos"/>
    <s v="G/840104/1II102"/>
    <s v="001"/>
    <n v="48200"/>
    <n v="0"/>
    <n v="0"/>
    <n v="48200"/>
    <n v="0"/>
    <n v="0"/>
    <n v="0"/>
    <n v="48200"/>
    <n v="48200"/>
    <n v="48200"/>
  </r>
  <r>
    <s v="84"/>
    <x v="1"/>
    <x v="2"/>
    <s v="EQ13I030"/>
    <x v="20"/>
    <s v="I102"/>
    <s v="SISTEMA EDUCATIVO MUNICIPAL"/>
    <s v="GI00I10200004D"/>
    <s v="GI00I10200004D FORTALECIMIENTO PEDAGOGICO"/>
    <s v="84 BIENES DE LARGA DURACIÓN"/>
    <s v="840104 Maquinarias y Equipos"/>
    <s v="G/840104/1II102"/>
    <s v="001"/>
    <n v="84000"/>
    <n v="-50400"/>
    <n v="0"/>
    <n v="33600"/>
    <n v="0"/>
    <n v="0"/>
    <n v="0"/>
    <n v="33600"/>
    <n v="33600"/>
    <n v="33600"/>
  </r>
  <r>
    <s v="84"/>
    <x v="1"/>
    <x v="2"/>
    <s v="OL41I060"/>
    <x v="42"/>
    <s v="I102"/>
    <s v="SISTEMA EDUCATIVO MUNICIPAL"/>
    <s v="GI00I10200004D"/>
    <s v="GI00I10200004D FORTALECIMIENTO PEDAGOGICO"/>
    <s v="84 BIENES DE LARGA DURACIÓN"/>
    <s v="840104 Maquinarias y Equipos"/>
    <s v="G/840104/1II102"/>
    <s v="001"/>
    <n v="6040"/>
    <n v="0"/>
    <n v="0"/>
    <n v="6040"/>
    <n v="0"/>
    <n v="0"/>
    <n v="0"/>
    <n v="6040"/>
    <n v="6040"/>
    <n v="6040"/>
  </r>
  <r>
    <s v="84"/>
    <x v="1"/>
    <x v="2"/>
    <s v="MB42I090"/>
    <x v="26"/>
    <s v="I102"/>
    <s v="SISTEMA EDUCATIVO MUNICIPAL"/>
    <s v="GI00I10200004D"/>
    <s v="GI00I10200004D FORTALECIMIENTO PEDAGOGICO"/>
    <s v="84 BIENES DE LARGA DURACIÓN"/>
    <s v="840107 Equipos, Sistemas y Paquetes Informáticos"/>
    <s v="G/840107/1II102"/>
    <s v="001"/>
    <n v="0"/>
    <n v="7000"/>
    <n v="0"/>
    <n v="7000"/>
    <n v="0"/>
    <n v="0"/>
    <n v="0"/>
    <n v="7000"/>
    <n v="7000"/>
    <n v="7000"/>
  </r>
  <r>
    <s v="84"/>
    <x v="1"/>
    <x v="2"/>
    <s v="SF43I080"/>
    <x v="35"/>
    <s v="I102"/>
    <s v="SISTEMA EDUCATIVO MUNICIPAL"/>
    <s v="GI00I10200004D"/>
    <s v="GI00I10200004D FORTALECIMIENTO PEDAGOGICO"/>
    <s v="84 BIENES DE LARGA DURACIÓN"/>
    <s v="840107 Equipos, Sistemas y Paquetes Informáticos"/>
    <s v="G/840107/1II102"/>
    <s v="001"/>
    <n v="114720.11"/>
    <n v="0"/>
    <n v="0"/>
    <n v="114720.11"/>
    <n v="0"/>
    <n v="0"/>
    <n v="0"/>
    <n v="114720.11"/>
    <n v="114720.11"/>
    <n v="114720.11"/>
  </r>
  <r>
    <s v="84"/>
    <x v="1"/>
    <x v="2"/>
    <s v="CB21I040"/>
    <x v="23"/>
    <s v="I102"/>
    <s v="SISTEMA EDUCATIVO MUNICIPAL"/>
    <s v="GI00I10200004D"/>
    <s v="GI00I10200004D FORTALECIMIENTO PEDAGOGICO"/>
    <s v="84 BIENES DE LARGA DURACIÓN"/>
    <s v="840107 Equipos, Sistemas y Paquetes Informáticos"/>
    <s v="G/840107/1II102"/>
    <s v="001"/>
    <n v="74800"/>
    <n v="0"/>
    <n v="0"/>
    <n v="74800"/>
    <n v="0"/>
    <n v="0"/>
    <n v="0"/>
    <n v="74800"/>
    <n v="74800"/>
    <n v="74800"/>
  </r>
  <r>
    <s v="84"/>
    <x v="1"/>
    <x v="2"/>
    <s v="ZA01I000"/>
    <x v="5"/>
    <s v="I102"/>
    <s v="SISTEMA EDUCATIVO MUNICIPAL"/>
    <s v="GI00I10200010D"/>
    <s v="GI00I10200010D FORTALECIMIENTO DE LA CALIDAD DEL SERVIC"/>
    <s v="84 BIENES DE LARGA DURACIÓN"/>
    <s v="840107 Equipos, Sistemas y Paquetes Informáticos"/>
    <s v="G/840107/1II102"/>
    <s v="001"/>
    <n v="114480.66"/>
    <n v="0"/>
    <n v="0"/>
    <n v="114480.66"/>
    <n v="0"/>
    <n v="0"/>
    <n v="0"/>
    <n v="114480.66"/>
    <n v="114480.66"/>
    <n v="114480.66"/>
  </r>
  <r>
    <s v="84"/>
    <x v="1"/>
    <x v="4"/>
    <s v="ZA01J000"/>
    <x v="9"/>
    <s v="J103"/>
    <s v="PROMOCIÓN Y PROTECCIÓN DE DERECHOS"/>
    <s v="GI00J10300001D"/>
    <s v="GI00J10300001D GARANTÍA DE PROTECCIÓN DE DERECHOS"/>
    <s v="84 BIENES DE LARGA DURACIÓN"/>
    <s v="840103 Mobiliarios"/>
    <s v="G/840103/1JJ103"/>
    <s v="001"/>
    <n v="9000"/>
    <n v="0"/>
    <n v="0"/>
    <n v="9000"/>
    <n v="0"/>
    <n v="0"/>
    <n v="0"/>
    <n v="9000"/>
    <n v="9000"/>
    <n v="9000"/>
  </r>
  <r>
    <s v="84"/>
    <x v="1"/>
    <x v="4"/>
    <s v="ZA01J000"/>
    <x v="9"/>
    <s v="J103"/>
    <s v="PROMOCIÓN Y PROTECCIÓN DE DERECHOS"/>
    <s v="GI00J10300001D"/>
    <s v="GI00J10300001D GARANTÍA DE PROTECCIÓN DE DERECHOS"/>
    <s v="84 BIENES DE LARGA DURACIÓN"/>
    <s v="840104 Maquinarias y Equipos"/>
    <s v="G/840104/1JJ103"/>
    <s v="001"/>
    <n v="4500"/>
    <n v="0"/>
    <n v="0"/>
    <n v="4500"/>
    <n v="0"/>
    <n v="0"/>
    <n v="0"/>
    <n v="4500"/>
    <n v="4500"/>
    <n v="4500"/>
  </r>
  <r>
    <s v="84"/>
    <x v="1"/>
    <x v="4"/>
    <s v="ZA01J000"/>
    <x v="9"/>
    <s v="J103"/>
    <s v="PROMOCIÓN Y PROTECCIÓN DE DERECHOS"/>
    <s v="GI00J10300001D"/>
    <s v="GI00J10300001D GARANTÍA DE PROTECCIÓN DE DERECHOS"/>
    <s v="84 BIENES DE LARGA DURACIÓN"/>
    <s v="840107 Equipos, Sistemas y Paquetes Informáticos"/>
    <s v="G/840107/1JJ103"/>
    <s v="001"/>
    <n v="7000"/>
    <n v="0"/>
    <n v="0"/>
    <n v="7000"/>
    <n v="0"/>
    <n v="0"/>
    <n v="0"/>
    <n v="7000"/>
    <n v="7000"/>
    <n v="7000"/>
  </r>
  <r>
    <s v="84"/>
    <x v="1"/>
    <x v="4"/>
    <s v="ZA01J000"/>
    <x v="9"/>
    <s v="J103"/>
    <s v="PROMOCIÓN Y PROTECCIÓN DE DERECHOS"/>
    <s v="GI00J10300001D"/>
    <s v="GI00J10300001D GARANTÍA DE PROTECCIÓN DE DERECHOS"/>
    <s v="84 BIENES DE LARGA DURACIÓN"/>
    <s v="840113 Equipos Médicos"/>
    <s v="G/840113/1JJ103"/>
    <s v="001"/>
    <n v="2000"/>
    <n v="0"/>
    <n v="0"/>
    <n v="2000"/>
    <n v="0"/>
    <n v="0"/>
    <n v="0"/>
    <n v="2000"/>
    <n v="2000"/>
    <n v="2000"/>
  </r>
  <r>
    <s v="84"/>
    <x v="1"/>
    <x v="4"/>
    <s v="ZA01J000"/>
    <x v="9"/>
    <s v="J103"/>
    <s v="PROMOCIÓN Y PROTECCIÓN DE DERECHOS"/>
    <s v="GI00J10300002D"/>
    <s v="GI00J10300002D PROMOCIÓN DE DERECHOS DE GRUPOS DE ATENC"/>
    <s v="84 BIENES DE LARGA DURACIÓN"/>
    <s v="840104 Maquinarias y Equipos"/>
    <s v="G/840104/1JJ103"/>
    <s v="001"/>
    <n v="118500"/>
    <n v="0"/>
    <n v="0"/>
    <n v="118500"/>
    <n v="0"/>
    <n v="0"/>
    <n v="0"/>
    <n v="118500"/>
    <n v="118500"/>
    <n v="118500"/>
  </r>
  <r>
    <s v="84"/>
    <x v="1"/>
    <x v="4"/>
    <s v="ZA01J000"/>
    <x v="9"/>
    <s v="J103"/>
    <s v="PROMOCIÓN Y PROTECCIÓN DE DERECHOS"/>
    <s v="GI00J10300004D"/>
    <s v="GI00J10300004D IMPLEMENTACIÓN CASA DE LA INCLUSIÓN A FA"/>
    <s v="84 BIENES DE LARGA DURACIÓN"/>
    <s v="840103 Mobiliarios"/>
    <s v="G/840103/1JJ103"/>
    <s v="001"/>
    <n v="15000"/>
    <n v="0"/>
    <n v="0"/>
    <n v="15000"/>
    <n v="0"/>
    <n v="0"/>
    <n v="0"/>
    <n v="15000"/>
    <n v="15000"/>
    <n v="15000"/>
  </r>
  <r>
    <s v="84"/>
    <x v="1"/>
    <x v="4"/>
    <s v="ZA01J000"/>
    <x v="9"/>
    <s v="J103"/>
    <s v="PROMOCIÓN Y PROTECCIÓN DE DERECHOS"/>
    <s v="GI00J10300004D"/>
    <s v="GI00J10300004D IMPLEMENTACIÓN CASA DE LA INCLUSIÓN A FA"/>
    <s v="84 BIENES DE LARGA DURACIÓN"/>
    <s v="840104 Maquinarias y Equipos"/>
    <s v="G/840104/1JJ103"/>
    <s v="001"/>
    <n v="25000.12"/>
    <n v="-25000.12"/>
    <n v="0"/>
    <n v="0"/>
    <n v="0"/>
    <n v="0"/>
    <n v="0"/>
    <n v="0"/>
    <n v="0"/>
    <n v="0"/>
  </r>
  <r>
    <s v="84"/>
    <x v="1"/>
    <x v="4"/>
    <s v="ZA01J000"/>
    <x v="9"/>
    <s v="J103"/>
    <s v="PROMOCIÓN Y PROTECCIÓN DE DERECHOS"/>
    <s v="GI00J10300004D"/>
    <s v="GI00J10300004D IMPLEMENTACIÓN CASA DE LA INCLUSIÓN A FA"/>
    <s v="84 BIENES DE LARGA DURACIÓN"/>
    <s v="840107 Equipos, Sistemas y Paquetes Informáticos"/>
    <s v="G/840107/1JJ103"/>
    <s v="001"/>
    <n v="20000"/>
    <n v="0"/>
    <n v="0"/>
    <n v="20000"/>
    <n v="0"/>
    <n v="0"/>
    <n v="0"/>
    <n v="20000"/>
    <n v="20000"/>
    <n v="20000"/>
  </r>
  <r>
    <s v="84"/>
    <x v="2"/>
    <x v="6"/>
    <s v="AT69K040"/>
    <x v="13"/>
    <s v="K305"/>
    <s v="MOVILIDAD SEGURA"/>
    <s v="GI00K30500003D"/>
    <s v="GI00K30500003D AUDITORÍA DE SEGURIDAD VIAL"/>
    <s v="84 BIENES DE LARGA DURACIÓN"/>
    <s v="840104 Maquinarias y Equipos"/>
    <s v="G/840104/3KK305"/>
    <s v="001"/>
    <n v="205595.2"/>
    <n v="0"/>
    <n v="0"/>
    <n v="205595.2"/>
    <n v="22260.84"/>
    <n v="76160"/>
    <n v="0"/>
    <n v="129435.2"/>
    <n v="205595.2"/>
    <n v="107174.36"/>
  </r>
  <r>
    <s v="84"/>
    <x v="2"/>
    <x v="6"/>
    <s v="AT69K040"/>
    <x v="13"/>
    <s v="K305"/>
    <s v="MOVILIDAD SEGURA"/>
    <s v="GI00K30500003D"/>
    <s v="GI00K30500003D AUDITORÍA DE SEGURIDAD VIAL"/>
    <s v="84 BIENES DE LARGA DURACIÓN"/>
    <s v="840107 Equipos, Sistemas y Paquetes Informáticos"/>
    <s v="G/840107/3KK305"/>
    <s v="001"/>
    <n v="54500"/>
    <n v="0"/>
    <n v="0"/>
    <n v="54500"/>
    <n v="0"/>
    <n v="0"/>
    <n v="0"/>
    <n v="54500"/>
    <n v="54500"/>
    <n v="54500"/>
  </r>
  <r>
    <s v="84"/>
    <x v="2"/>
    <x v="6"/>
    <s v="AT69K040"/>
    <x v="13"/>
    <s v="K305"/>
    <s v="MOVILIDAD SEGURA"/>
    <s v="GI00K30500005D"/>
    <s v="GI00K30500005D EDUCACIÓN Y SEGURIDAD VIAL"/>
    <s v="84 BIENES DE LARGA DURACIÓN"/>
    <s v="840104 Maquinarias y Equipos"/>
    <s v="G/840104/3KK305"/>
    <s v="001"/>
    <n v="5000"/>
    <n v="0"/>
    <n v="0"/>
    <n v="5000"/>
    <n v="0"/>
    <n v="0"/>
    <n v="0"/>
    <n v="5000"/>
    <n v="5000"/>
    <n v="5000"/>
  </r>
  <r>
    <s v="84"/>
    <x v="2"/>
    <x v="6"/>
    <s v="AT69K040"/>
    <x v="13"/>
    <s v="K305"/>
    <s v="MOVILIDAD SEGURA"/>
    <s v="GI00K30500005D"/>
    <s v="GI00K30500005D EDUCACIÓN Y SEGURIDAD VIAL"/>
    <s v="84 BIENES DE LARGA DURACIÓN"/>
    <s v="840107 Equipos, Sistemas y Paquetes Informáticos"/>
    <s v="G/840107/3KK305"/>
    <s v="001"/>
    <n v="8800"/>
    <n v="0"/>
    <n v="0"/>
    <n v="8800"/>
    <n v="0"/>
    <n v="0"/>
    <n v="0"/>
    <n v="8800"/>
    <n v="8800"/>
    <n v="8800"/>
  </r>
  <r>
    <s v="84"/>
    <x v="2"/>
    <x v="6"/>
    <s v="AT69K040"/>
    <x v="13"/>
    <s v="K305"/>
    <s v="MOVILIDAD SEGURA"/>
    <s v="GI00K30500006D"/>
    <s v="GI00K30500006D FORTALECIMIENTO DEL CONTROL DEL TRÁNSITO"/>
    <s v="84 BIENES DE LARGA DURACIÓN"/>
    <s v="840103 Mobiliarios"/>
    <s v="G/840103/3KK305"/>
    <s v="001"/>
    <n v="0"/>
    <n v="640"/>
    <n v="0"/>
    <n v="640"/>
    <n v="0"/>
    <n v="0"/>
    <n v="0"/>
    <n v="640"/>
    <n v="640"/>
    <n v="640"/>
  </r>
  <r>
    <s v="84"/>
    <x v="2"/>
    <x v="6"/>
    <s v="AT69K040"/>
    <x v="13"/>
    <s v="K305"/>
    <s v="MOVILIDAD SEGURA"/>
    <s v="GI00K30500006D"/>
    <s v="GI00K30500006D FORTALECIMIENTO DEL CONTROL DEL TRÁNSITO"/>
    <s v="84 BIENES DE LARGA DURACIÓN"/>
    <s v="840104 Maquinarias y Equipos"/>
    <s v="G/840104/3KK305"/>
    <s v="001"/>
    <n v="3052296.2"/>
    <n v="-48357.919999999998"/>
    <n v="0"/>
    <n v="3003938.28"/>
    <n v="76.8"/>
    <n v="3483.2"/>
    <n v="3483.2"/>
    <n v="3000455.08"/>
    <n v="3000455.08"/>
    <n v="3000378.28"/>
  </r>
  <r>
    <s v="84"/>
    <x v="2"/>
    <x v="6"/>
    <s v="AT69K040"/>
    <x v="13"/>
    <s v="K305"/>
    <s v="MOVILIDAD SEGURA"/>
    <s v="GI00K30500006D"/>
    <s v="GI00K30500006D FORTALECIMIENTO DEL CONTROL DEL TRÁNSITO"/>
    <s v="84 BIENES DE LARGA DURACIÓN"/>
    <s v="840106 Herramientas"/>
    <s v="G/840106/3KK305"/>
    <s v="001"/>
    <n v="0"/>
    <n v="3815.2"/>
    <n v="0"/>
    <n v="3815.2"/>
    <n v="0"/>
    <n v="0"/>
    <n v="0"/>
    <n v="3815.2"/>
    <n v="3815.2"/>
    <n v="3815.2"/>
  </r>
  <r>
    <s v="84"/>
    <x v="2"/>
    <x v="6"/>
    <s v="AT69K040"/>
    <x v="13"/>
    <s v="K305"/>
    <s v="MOVILIDAD SEGURA"/>
    <s v="GI00K30500006D"/>
    <s v="GI00K30500006D FORTALECIMIENTO DEL CONTROL DEL TRÁNSITO"/>
    <s v="84 BIENES DE LARGA DURACIÓN"/>
    <s v="840107 Equipos, Sistemas y Paquetes Informáticos"/>
    <s v="G/840107/3KK305"/>
    <s v="001"/>
    <n v="296800"/>
    <n v="0"/>
    <n v="0"/>
    <n v="296800"/>
    <n v="0"/>
    <n v="0"/>
    <n v="0"/>
    <n v="296800"/>
    <n v="296800"/>
    <n v="296800"/>
  </r>
  <r>
    <s v="84"/>
    <x v="2"/>
    <x v="6"/>
    <s v="AT69K040"/>
    <x v="13"/>
    <s v="K305"/>
    <s v="MOVILIDAD SEGURA"/>
    <s v="GI00K30500006D"/>
    <s v="GI00K30500006D FORTALECIMIENTO DEL CONTROL DEL TRÁNSITO"/>
    <s v="84 BIENES DE LARGA DURACIÓN"/>
    <s v="840203 Bienes Prefabricados (Inmuebles)"/>
    <s v="G/840203/3KK305"/>
    <s v="001"/>
    <n v="0"/>
    <n v="200000"/>
    <n v="0"/>
    <n v="200000"/>
    <n v="0"/>
    <n v="0"/>
    <n v="0"/>
    <n v="200000"/>
    <n v="200000"/>
    <n v="200000"/>
  </r>
  <r>
    <s v="84"/>
    <x v="2"/>
    <x v="6"/>
    <s v="AT69K040"/>
    <x v="13"/>
    <s v="K305"/>
    <s v="MOVILIDAD SEGURA"/>
    <s v="GI00K30500007D"/>
    <s v="GI00K30500007D MODERNIZACIÓN DE LOS SERVICIOS DE LA AGE"/>
    <s v="84 BIENES DE LARGA DURACIÓN"/>
    <s v="840103 Mobiliarios"/>
    <s v="G/840103/3KK305"/>
    <s v="001"/>
    <n v="174739.6"/>
    <n v="0"/>
    <n v="0"/>
    <n v="174739.6"/>
    <n v="0"/>
    <n v="0"/>
    <n v="0"/>
    <n v="174739.6"/>
    <n v="174739.6"/>
    <n v="174739.6"/>
  </r>
  <r>
    <s v="84"/>
    <x v="2"/>
    <x v="6"/>
    <s v="AT69K040"/>
    <x v="13"/>
    <s v="K305"/>
    <s v="MOVILIDAD SEGURA"/>
    <s v="GI00K30500007D"/>
    <s v="GI00K30500007D MODERNIZACIÓN DE LOS SERVICIOS DE LA AGE"/>
    <s v="84 BIENES DE LARGA DURACIÓN"/>
    <s v="840104 Maquinarias y Equipos"/>
    <s v="G/840104/3KK305"/>
    <s v="001"/>
    <n v="78400"/>
    <n v="0"/>
    <n v="0"/>
    <n v="78400"/>
    <n v="0"/>
    <n v="0"/>
    <n v="0"/>
    <n v="78400"/>
    <n v="78400"/>
    <n v="78400"/>
  </r>
  <r>
    <s v="84"/>
    <x v="2"/>
    <x v="6"/>
    <s v="AT69K040"/>
    <x v="13"/>
    <s v="K305"/>
    <s v="MOVILIDAD SEGURA"/>
    <s v="GI00K30500007D"/>
    <s v="GI00K30500007D MODERNIZACIÓN DE LOS SERVICIOS DE LA AGE"/>
    <s v="84 BIENES DE LARGA DURACIÓN"/>
    <s v="840107 Equipos, Sistemas y Paquetes Informáticos"/>
    <s v="G/840107/3KK305"/>
    <s v="001"/>
    <n v="1636921.02"/>
    <n v="0"/>
    <n v="0"/>
    <n v="1636921.02"/>
    <n v="0"/>
    <n v="467510.4"/>
    <n v="285488"/>
    <n v="1169410.6200000001"/>
    <n v="1351433.02"/>
    <n v="1169410.6200000001"/>
  </r>
  <r>
    <s v="84"/>
    <x v="2"/>
    <x v="6"/>
    <s v="ZA01K000"/>
    <x v="17"/>
    <s v="K308"/>
    <s v="MOVILIDAD SOSTENIBLE"/>
    <s v="GI00K30800002D"/>
    <s v="GI00K30800002D MEJORAMIENTO DE LA CIRCULACIÓN DEL TRÁFI"/>
    <s v="84 BIENES DE LARGA DURACIÓN"/>
    <s v="840104 Maquinarias y Equipos"/>
    <s v="G/840104/3KK308"/>
    <s v="001"/>
    <n v="0"/>
    <n v="4396"/>
    <n v="0"/>
    <n v="4396"/>
    <n v="0"/>
    <n v="0"/>
    <n v="0"/>
    <n v="4396"/>
    <n v="4396"/>
    <n v="4396"/>
  </r>
  <r>
    <s v="84"/>
    <x v="2"/>
    <x v="6"/>
    <s v="ZA01K000"/>
    <x v="17"/>
    <s v="K308"/>
    <s v="MOVILIDAD SOSTENIBLE"/>
    <s v="GI00K30800002D"/>
    <s v="GI00K30800002D MEJORAMIENTO DE LA CIRCULACIÓN DEL TRÁFI"/>
    <s v="84 BIENES DE LARGA DURACIÓN"/>
    <s v="840107 Equipos, Sistemas y Paquetes Informáticos"/>
    <s v="G/840107/3KK308"/>
    <s v="001"/>
    <n v="596480"/>
    <n v="-2288.16"/>
    <n v="0"/>
    <n v="594191.84"/>
    <n v="0"/>
    <n v="7000"/>
    <n v="7000"/>
    <n v="587191.84"/>
    <n v="587191.84"/>
    <n v="587191.84"/>
  </r>
  <r>
    <s v="84"/>
    <x v="2"/>
    <x v="6"/>
    <s v="AT69K040"/>
    <x v="13"/>
    <s v="K308"/>
    <s v="MOVILIDAD SOSTENIBLE"/>
    <s v="GI00K30800004D"/>
    <s v="GI00K30800004D PASEO DOMINICAL"/>
    <s v="84 BIENES DE LARGA DURACIÓN"/>
    <s v="840103 Mobiliarios"/>
    <s v="G/840103/3KK308"/>
    <s v="001"/>
    <n v="0"/>
    <n v="3200"/>
    <n v="0"/>
    <n v="3200"/>
    <n v="0"/>
    <n v="0"/>
    <n v="0"/>
    <n v="3200"/>
    <n v="3200"/>
    <n v="3200"/>
  </r>
  <r>
    <s v="84"/>
    <x v="0"/>
    <x v="0"/>
    <s v="ZA01A005"/>
    <x v="49"/>
    <s v="L101"/>
    <s v="GESTION INSTITUCIONAL EFICIENTE E INNOVADORA"/>
    <s v="GI00L10100001D"/>
    <s v="GI00L10100001D GESTION CATASTRAL"/>
    <s v="84 BIENES DE LARGA DURACIÓN"/>
    <s v="840104 Maquinarias y Equipos"/>
    <s v="G/840104/1AL101"/>
    <s v="002"/>
    <n v="0"/>
    <n v="309115.96999999997"/>
    <n v="0"/>
    <n v="309115.96999999997"/>
    <n v="0"/>
    <n v="309115.96999999997"/>
    <n v="0"/>
    <n v="0"/>
    <n v="309115.96999999997"/>
    <n v="0"/>
  </r>
  <r>
    <s v="84"/>
    <x v="0"/>
    <x v="0"/>
    <s v="RP36A010"/>
    <x v="2"/>
    <s v="L101"/>
    <s v="GESTION INSTITUCIONAL EFICIENTE E INNOVADORA"/>
    <s v="GI00L10100009D"/>
    <s v="GI00L10100009D MODERNIZACION INTEGRAL DEL REGISTRO DE L"/>
    <s v="84 BIENES DE LARGA DURACIÓN"/>
    <s v="840103 Mobiliarios"/>
    <s v="G/840103/1AL101"/>
    <s v="002"/>
    <n v="0"/>
    <n v="1510.77"/>
    <n v="0"/>
    <n v="1510.77"/>
    <n v="1376.37"/>
    <n v="0"/>
    <n v="0"/>
    <n v="1510.77"/>
    <n v="1510.77"/>
    <n v="134.4"/>
  </r>
  <r>
    <s v="84"/>
    <x v="0"/>
    <x v="0"/>
    <s v="RP36A010"/>
    <x v="2"/>
    <s v="L101"/>
    <s v="GESTION INSTITUCIONAL EFICIENTE E INNOVADORA"/>
    <s v="GI00L10100009D"/>
    <s v="GI00L10100009D MODERNIZACION INTEGRAL DEL REGISTRO DE L"/>
    <s v="84 BIENES DE LARGA DURACIÓN"/>
    <s v="840104 Maquinarias y Equipos"/>
    <s v="G/840104/1AL101"/>
    <s v="002"/>
    <n v="10000"/>
    <n v="-10000"/>
    <n v="0"/>
    <n v="0"/>
    <n v="0"/>
    <n v="0"/>
    <n v="0"/>
    <n v="0"/>
    <n v="0"/>
    <n v="0"/>
  </r>
  <r>
    <s v="84"/>
    <x v="0"/>
    <x v="0"/>
    <s v="RP36A010"/>
    <x v="2"/>
    <s v="L101"/>
    <s v="GESTION INSTITUCIONAL EFICIENTE E INNOVADORA"/>
    <s v="GI00L10100009D"/>
    <s v="GI00L10100009D MODERNIZACION INTEGRAL DEL REGISTRO DE L"/>
    <s v="84 BIENES DE LARGA DURACIÓN"/>
    <s v="840107 Equipos, Sistemas y Paquetes Informáticos"/>
    <s v="G/840107/1AL101"/>
    <s v="002"/>
    <n v="757633.67"/>
    <n v="2329.6"/>
    <n v="0"/>
    <n v="759963.27"/>
    <n v="0"/>
    <n v="6378.6"/>
    <n v="6378.6"/>
    <n v="753584.67"/>
    <n v="753584.67"/>
    <n v="753584.67"/>
  </r>
  <r>
    <s v="84"/>
    <x v="0"/>
    <x v="0"/>
    <s v="RP36A010"/>
    <x v="2"/>
    <s v="L101"/>
    <s v="GESTION INSTITUCIONAL EFICIENTE E INNOVADORA"/>
    <s v="GI00L10100009D"/>
    <s v="GI00L10100009D MODERNIZACION INTEGRAL DEL REGISTRO DE L"/>
    <s v="84 BIENES DE LARGA DURACIÓN"/>
    <s v="840402 Licencias Computacionales"/>
    <s v="G/840402/1AL101"/>
    <s v="002"/>
    <n v="0"/>
    <n v="87344.78"/>
    <n v="0"/>
    <n v="87344.78"/>
    <n v="0"/>
    <n v="0"/>
    <n v="0"/>
    <n v="87344.78"/>
    <n v="87344.78"/>
    <n v="87344.78"/>
  </r>
  <r>
    <s v="84"/>
    <x v="0"/>
    <x v="12"/>
    <s v="MC37B000"/>
    <x v="28"/>
    <s v="L101"/>
    <s v="GESTION INSTITUCIONAL EFICIENTE E INNOVADORA"/>
    <s v="GI00L10100010D"/>
    <s v="GI00L10100010D CONTROL DE CUMPLIMIENTO DE LA NORMATIVA"/>
    <s v="84 BIENES DE LARGA DURACIÓN"/>
    <s v="840103 Mobiliarios"/>
    <s v="G/840103/1BL101"/>
    <s v="002"/>
    <n v="0"/>
    <n v="84870.24"/>
    <n v="0"/>
    <n v="84870.24"/>
    <n v="0"/>
    <n v="0"/>
    <n v="0"/>
    <n v="84870.24"/>
    <n v="84870.24"/>
    <n v="84870.24"/>
  </r>
  <r>
    <s v="84"/>
    <x v="0"/>
    <x v="12"/>
    <s v="MC37B000"/>
    <x v="28"/>
    <s v="L101"/>
    <s v="GESTION INSTITUCIONAL EFICIENTE E INNOVADORA"/>
    <s v="GI00L10100010D"/>
    <s v="GI00L10100010D CONTROL DE CUMPLIMIENTO DE LA NORMATIVA"/>
    <s v="84 BIENES DE LARGA DURACIÓN"/>
    <s v="840104 Maquinarias y Equipos"/>
    <s v="G/840104/1BL101"/>
    <s v="002"/>
    <n v="15400"/>
    <n v="-8761"/>
    <n v="0"/>
    <n v="6639"/>
    <n v="3"/>
    <n v="6636"/>
    <n v="6636"/>
    <n v="3"/>
    <n v="3"/>
    <n v="0"/>
  </r>
  <r>
    <s v="84"/>
    <x v="0"/>
    <x v="12"/>
    <s v="MC37B000"/>
    <x v="28"/>
    <s v="L101"/>
    <s v="GESTION INSTITUCIONAL EFICIENTE E INNOVADORA"/>
    <s v="GI00L10100010D"/>
    <s v="GI00L10100010D CONTROL DE CUMPLIMIENTO DE LA NORMATIVA"/>
    <s v="84 BIENES DE LARGA DURACIÓN"/>
    <s v="840105 Vehículos"/>
    <s v="G/840105/1BL101"/>
    <s v="002"/>
    <n v="62800"/>
    <n v="-62800"/>
    <n v="0"/>
    <n v="0"/>
    <n v="0"/>
    <n v="0"/>
    <n v="0"/>
    <n v="0"/>
    <n v="0"/>
    <n v="0"/>
  </r>
  <r>
    <s v="84"/>
    <x v="0"/>
    <x v="12"/>
    <s v="MC37B000"/>
    <x v="28"/>
    <s v="L101"/>
    <s v="GESTION INSTITUCIONAL EFICIENTE E INNOVADORA"/>
    <s v="GI00L10100010D"/>
    <s v="GI00L10100010D CONTROL DE CUMPLIMIENTO DE LA NORMATIVA"/>
    <s v="84 BIENES DE LARGA DURACIÓN"/>
    <s v="840107 Equipos, Sistemas y Paquetes Informáticos"/>
    <s v="G/840107/1BL101"/>
    <s v="002"/>
    <n v="8980.7000000000007"/>
    <n v="0"/>
    <n v="0"/>
    <n v="8980.7000000000007"/>
    <n v="0"/>
    <n v="0"/>
    <n v="0"/>
    <n v="8980.7000000000007"/>
    <n v="8980.7000000000007"/>
    <n v="8980.7000000000007"/>
  </r>
  <r>
    <s v="84"/>
    <x v="0"/>
    <x v="9"/>
    <s v="ZA01E000"/>
    <x v="18"/>
    <s v="L101"/>
    <s v="GESTION INSTITUCIONAL EFICIENTE E INNOVADORA"/>
    <s v="GI00L10100011D"/>
    <s v="GI00L10100011D DIFUSION DE LA GESTION INSTITUCIONAL"/>
    <s v="84 BIENES DE LARGA DURACIÓN"/>
    <s v="840104 Maquinarias y Equipos"/>
    <s v="G/840104/1EL101"/>
    <s v="002"/>
    <n v="18816"/>
    <n v="0"/>
    <n v="0"/>
    <n v="18816"/>
    <n v="0"/>
    <n v="0"/>
    <n v="0"/>
    <n v="18816"/>
    <n v="18816"/>
    <n v="18816"/>
  </r>
  <r>
    <s v="84"/>
    <x v="0"/>
    <x v="9"/>
    <s v="ZA01E000"/>
    <x v="18"/>
    <s v="L101"/>
    <s v="GESTION INSTITUCIONAL EFICIENTE E INNOVADORA"/>
    <s v="GI00L10100011D"/>
    <s v="GI00L10100011D DIFUSION DE LA GESTION INSTITUCIONAL"/>
    <s v="84 BIENES DE LARGA DURACIÓN"/>
    <s v="840401 Patentes, Derechos de Autor, Marcas Registr"/>
    <s v="G/840401/1EL101"/>
    <s v="002"/>
    <n v="5040"/>
    <n v="-1344"/>
    <n v="0"/>
    <n v="3696"/>
    <n v="0"/>
    <n v="2974.38"/>
    <n v="1545.42"/>
    <n v="721.62"/>
    <n v="2150.58"/>
    <n v="721.62"/>
  </r>
  <r>
    <s v="84"/>
    <x v="0"/>
    <x v="0"/>
    <s v="ZA01A004"/>
    <x v="52"/>
    <s v="L101"/>
    <s v="GESTION INSTITUCIONAL EFICIENTE E INNOVADORA"/>
    <s v="GI00L10100033D"/>
    <s v="GI00L10100033D GESTIÓN TRIBUTARIA EFICIENTE"/>
    <s v="84 BIENES DE LARGA DURACIÓN"/>
    <s v="840107 Equipos, Sistemas y Paquetes Informáticos"/>
    <s v="G/840107/1AL101"/>
    <s v="002"/>
    <n v="20000"/>
    <n v="0"/>
    <n v="0"/>
    <n v="20000"/>
    <n v="0"/>
    <n v="0"/>
    <n v="0"/>
    <n v="20000"/>
    <n v="20000"/>
    <n v="20000"/>
  </r>
  <r>
    <s v="84"/>
    <x v="0"/>
    <x v="0"/>
    <s v="ZA01A009"/>
    <x v="0"/>
    <s v="L101"/>
    <s v="GESTION INSTITUCIONAL EFICIENTE E INNOVADORA"/>
    <s v="GI00L10100034D"/>
    <s v="GI00L10100034D INNOVACIÓN DE LOS SERVICIOS DE ATENCIÓN"/>
    <s v="84 BIENES DE LARGA DURACIÓN"/>
    <s v="840103 Mobiliarios"/>
    <s v="G/840103/1AL101"/>
    <s v="002"/>
    <n v="161000"/>
    <n v="0"/>
    <n v="0"/>
    <n v="161000"/>
    <n v="0"/>
    <n v="0"/>
    <n v="0"/>
    <n v="161000"/>
    <n v="161000"/>
    <n v="161000"/>
  </r>
  <r>
    <s v="84"/>
    <x v="0"/>
    <x v="0"/>
    <s v="ZA01A009"/>
    <x v="0"/>
    <s v="L101"/>
    <s v="GESTION INSTITUCIONAL EFICIENTE E INNOVADORA"/>
    <s v="GI00L10100034D"/>
    <s v="GI00L10100034D INNOVACIÓN DE LOS SERVICIOS DE ATENCIÓN"/>
    <s v="84 BIENES DE LARGA DURACIÓN"/>
    <s v="840104 Maquinarias y Equipos"/>
    <s v="G/840104/1AL101"/>
    <s v="002"/>
    <n v="60500"/>
    <n v="0"/>
    <n v="0"/>
    <n v="60500"/>
    <n v="0"/>
    <n v="0"/>
    <n v="0"/>
    <n v="60500"/>
    <n v="60500"/>
    <n v="60500"/>
  </r>
  <r>
    <s v="84"/>
    <x v="0"/>
    <x v="0"/>
    <s v="ZA01A008"/>
    <x v="51"/>
    <s v="L101"/>
    <s v="GESTION INSTITUCIONAL EFICIENTE E INNOVADORA"/>
    <s v="GI00L10100036D"/>
    <s v="GI00L10100036D MODERNIZACIÓN DE LA GESTIÓN DE BIENES IN"/>
    <s v="84 BIENES DE LARGA DURACIÓN"/>
    <s v="840301 Terrenos (Expropiación)"/>
    <s v="G/840301/1AL101"/>
    <s v="002"/>
    <n v="5995414.71"/>
    <n v="-931995.97"/>
    <n v="0"/>
    <n v="5063418.74"/>
    <n v="508698"/>
    <n v="283271.26"/>
    <n v="283271.26"/>
    <n v="4780147.4800000004"/>
    <n v="4780147.4800000004"/>
    <n v="4271449.4800000004"/>
  </r>
  <r>
    <s v="84"/>
    <x v="0"/>
    <x v="0"/>
    <s v="ZA01A006"/>
    <x v="50"/>
    <s v="L101"/>
    <s v="GESTION INSTITUCIONAL EFICIENTE E INNOVADORA"/>
    <s v="GI00L10100037D"/>
    <s v="GI00L10100037D MODERNIZACIÓN DE LA GESTIÓN DOCUMENTAL Y"/>
    <s v="84 BIENES DE LARGA DURACIÓN"/>
    <s v="840103 Mobiliarios"/>
    <s v="G/840103/1AL101"/>
    <s v="002"/>
    <n v="0"/>
    <n v="177322.17"/>
    <n v="0"/>
    <n v="177322.17"/>
    <n v="0"/>
    <n v="0"/>
    <n v="0"/>
    <n v="177322.17"/>
    <n v="177322.17"/>
    <n v="177322.17"/>
  </r>
  <r>
    <s v="84"/>
    <x v="0"/>
    <x v="0"/>
    <s v="ZA01A006"/>
    <x v="50"/>
    <s v="L101"/>
    <s v="GESTION INSTITUCIONAL EFICIENTE E INNOVADORA"/>
    <s v="GI00L10100037D"/>
    <s v="GI00L10100037D MODERNIZACIÓN DE LA GESTIÓN DOCUMENTAL Y"/>
    <s v="84 BIENES DE LARGA DURACIÓN"/>
    <s v="840104 Maquinarias y Equipos"/>
    <s v="G/840104/1AL101"/>
    <s v="002"/>
    <n v="0"/>
    <n v="35333.019999999997"/>
    <n v="0"/>
    <n v="35333.019999999997"/>
    <n v="0"/>
    <n v="0"/>
    <n v="0"/>
    <n v="35333.019999999997"/>
    <n v="35333.019999999997"/>
    <n v="35333.019999999997"/>
  </r>
  <r>
    <s v="84"/>
    <x v="0"/>
    <x v="0"/>
    <s v="ZA01A006"/>
    <x v="50"/>
    <s v="L101"/>
    <s v="GESTION INSTITUCIONAL EFICIENTE E INNOVADORA"/>
    <s v="GI00L10100037D"/>
    <s v="GI00L10100037D MODERNIZACIÓN DE LA GESTIÓN DOCUMENTAL Y"/>
    <s v="84 BIENES DE LARGA DURACIÓN"/>
    <s v="840107 Equipos, Sistemas y Paquetes Informáticos"/>
    <s v="G/840107/1AL101"/>
    <s v="002"/>
    <n v="30000"/>
    <n v="50597.56"/>
    <n v="0"/>
    <n v="80597.56"/>
    <n v="0"/>
    <n v="0"/>
    <n v="0"/>
    <n v="80597.56"/>
    <n v="80597.56"/>
    <n v="80597.56"/>
  </r>
  <r>
    <s v="84"/>
    <x v="0"/>
    <x v="12"/>
    <s v="MC37B000"/>
    <x v="28"/>
    <s v="L101"/>
    <s v="GESTION INSTITUCIONAL EFICIENTE E INNOVADORA"/>
    <s v="GI00L10100039D"/>
    <s v="GI00L10100039D CONTROL Y BUEN USO DEL ESPACIO PÚBLICO &quot;"/>
    <s v="84 BIENES DE LARGA DURACIÓN"/>
    <s v="840103 Mobiliarios"/>
    <s v="G/840103/1BL101"/>
    <s v="002"/>
    <n v="0"/>
    <n v="6350.4"/>
    <n v="0"/>
    <n v="6350.4"/>
    <n v="0"/>
    <n v="6350.4"/>
    <n v="6350.4"/>
    <n v="0"/>
    <n v="0"/>
    <n v="0"/>
  </r>
  <r>
    <s v="84"/>
    <x v="0"/>
    <x v="12"/>
    <s v="MC37B000"/>
    <x v="28"/>
    <s v="L101"/>
    <s v="GESTION INSTITUCIONAL EFICIENTE E INNOVADORA"/>
    <s v="GI00L10100039D"/>
    <s v="GI00L10100039D CONTROL Y BUEN USO DEL ESPACIO PÚBLICO &quot;"/>
    <s v="84 BIENES DE LARGA DURACIÓN"/>
    <s v="840104 Maquinarias y Equipos"/>
    <s v="G/840104/1BL101"/>
    <s v="002"/>
    <n v="320000"/>
    <n v="11478"/>
    <n v="0"/>
    <n v="331478"/>
    <n v="0"/>
    <n v="0"/>
    <n v="0"/>
    <n v="331478"/>
    <n v="331478"/>
    <n v="331478"/>
  </r>
  <r>
    <s v="84"/>
    <x v="0"/>
    <x v="12"/>
    <s v="MC37B000"/>
    <x v="28"/>
    <s v="L101"/>
    <s v="GESTION INSTITUCIONAL EFICIENTE E INNOVADORA"/>
    <s v="GI00L10100039D"/>
    <s v="GI00L10100039D CONTROL Y BUEN USO DEL ESPACIO PÚBLICO &quot;"/>
    <s v="84 BIENES DE LARGA DURACIÓN"/>
    <s v="840107 Equipos, Sistemas y Paquetes Informáticos"/>
    <s v="G/840107/1BL101"/>
    <s v="002"/>
    <n v="3500"/>
    <n v="53671.6"/>
    <n v="0"/>
    <n v="57171.6"/>
    <n v="0"/>
    <n v="0"/>
    <n v="0"/>
    <n v="57171.6"/>
    <n v="57171.6"/>
    <n v="57171.6"/>
  </r>
  <r>
    <s v="84"/>
    <x v="0"/>
    <x v="0"/>
    <s v="ZA01A007"/>
    <x v="59"/>
    <s v="L101"/>
    <s v="GESTION INSTITUCIONAL EFICIENTE E INNOVADORA"/>
    <s v="GI00L10100040D"/>
    <s v="GI00L10100040D CIUDAD INTELIGENTE"/>
    <s v="84 BIENES DE LARGA DURACIÓN"/>
    <s v="840104 Maquinarias y Equipos"/>
    <s v="G/840104/1AL101"/>
    <s v="002"/>
    <n v="1115000"/>
    <n v="-1052392"/>
    <n v="0"/>
    <n v="62608"/>
    <n v="39132.800000000003"/>
    <n v="0"/>
    <n v="0"/>
    <n v="62608"/>
    <n v="62608"/>
    <n v="23475.200000000001"/>
  </r>
  <r>
    <s v="84"/>
    <x v="0"/>
    <x v="0"/>
    <s v="ZA01A007"/>
    <x v="59"/>
    <s v="L101"/>
    <s v="GESTION INSTITUCIONAL EFICIENTE E INNOVADORA"/>
    <s v="GI00L10100040D"/>
    <s v="GI00L10100040D CIUDAD INTELIGENTE"/>
    <s v="84 BIENES DE LARGA DURACIÓN"/>
    <s v="840107 Equipos, Sistemas y Paquetes Informáticos"/>
    <s v="G/840107/1AL101"/>
    <s v="002"/>
    <n v="500000"/>
    <n v="649759.36"/>
    <n v="0"/>
    <n v="1149759.3600000001"/>
    <n v="86240"/>
    <n v="0"/>
    <n v="0"/>
    <n v="1149759.3600000001"/>
    <n v="1149759.3600000001"/>
    <n v="1063519.3600000001"/>
  </r>
  <r>
    <s v="84"/>
    <x v="0"/>
    <x v="0"/>
    <s v="ZA01A007"/>
    <x v="59"/>
    <s v="L101"/>
    <s v="GESTION INSTITUCIONAL EFICIENTE E INNOVADORA"/>
    <s v="GI00L10100041D"/>
    <s v="GI00L10100041D INNOVACION Y FORTALECIMIENTO DE LA INFRA"/>
    <s v="84 BIENES DE LARGA DURACIÓN"/>
    <s v="840104 Maquinarias y Equipos"/>
    <s v="G/840104/1AL101"/>
    <s v="002"/>
    <n v="49624"/>
    <n v="0"/>
    <n v="0"/>
    <n v="49624"/>
    <n v="0"/>
    <n v="0"/>
    <n v="0"/>
    <n v="49624"/>
    <n v="49624"/>
    <n v="49624"/>
  </r>
  <r>
    <s v="84"/>
    <x v="0"/>
    <x v="0"/>
    <s v="ZA01A007"/>
    <x v="59"/>
    <s v="L101"/>
    <s v="GESTION INSTITUCIONAL EFICIENTE E INNOVADORA"/>
    <s v="GI00L10100041D"/>
    <s v="GI00L10100041D INNOVACION Y FORTALECIMIENTO DE LA INFRA"/>
    <s v="84 BIENES DE LARGA DURACIÓN"/>
    <s v="840107 Equipos, Sistemas y Paquetes Informáticos"/>
    <s v="G/840107/1AL101"/>
    <s v="002"/>
    <n v="2254175.17"/>
    <n v="-233291.18"/>
    <n v="0"/>
    <n v="2020883.99"/>
    <n v="1250123.93"/>
    <n v="329959.11"/>
    <n v="174775.15"/>
    <n v="1690924.88"/>
    <n v="1846108.84"/>
    <n v="440800.95"/>
  </r>
  <r>
    <s v="84"/>
    <x v="1"/>
    <x v="3"/>
    <s v="ZA01M000"/>
    <x v="6"/>
    <s v="M103"/>
    <s v="SALUD AL DIA"/>
    <s v="GI00M10300001D"/>
    <s v="GI00M10300001D MEJORAMIENTO DEL MODELO DE GESTIÓN DE SA"/>
    <s v="84 BIENES DE LARGA DURACIÓN"/>
    <s v="840107 Equipos, Sistemas y Paquetes Informáticos"/>
    <s v="G/840107/1MM103"/>
    <s v="001"/>
    <n v="700000"/>
    <n v="6368.32"/>
    <n v="0"/>
    <n v="706368.32"/>
    <n v="0"/>
    <n v="6368.32"/>
    <n v="0"/>
    <n v="700000"/>
    <n v="706368.32"/>
    <n v="700000"/>
  </r>
  <r>
    <s v="84"/>
    <x v="2"/>
    <x v="11"/>
    <s v="ZT06F060"/>
    <x v="25"/>
    <s v="M103"/>
    <s v="SALUD AL DIA"/>
    <s v="GI00M10300003D"/>
    <s v="GI00M10300003D SEGURIDAD ALIMENTARIA Y DE CALIDAD"/>
    <s v="84 BIENES DE LARGA DURACIÓN"/>
    <s v="840113 Equipos Médicos"/>
    <s v="G/840113/1FM103"/>
    <s v="001"/>
    <n v="0"/>
    <n v="4000"/>
    <n v="0"/>
    <n v="4000"/>
    <n v="0"/>
    <n v="0"/>
    <n v="0"/>
    <n v="4000"/>
    <n v="4000"/>
    <n v="4000"/>
  </r>
  <r>
    <s v="84"/>
    <x v="2"/>
    <x v="11"/>
    <s v="ZM04F040"/>
    <x v="41"/>
    <s v="M103"/>
    <s v="SALUD AL DIA"/>
    <s v="GI00M10300003D"/>
    <s v="GI00M10300003D SEGURIDAD ALIMENTARIA Y DE CALIDAD"/>
    <s v="84 BIENES DE LARGA DURACIÓN"/>
    <s v="840113 Equipos Médicos"/>
    <s v="G/840113/1FM103"/>
    <s v="001"/>
    <n v="0"/>
    <n v="3500"/>
    <n v="0"/>
    <n v="3500"/>
    <n v="0"/>
    <n v="0"/>
    <n v="0"/>
    <n v="3500"/>
    <n v="3500"/>
    <n v="3500"/>
  </r>
  <r>
    <s v="84"/>
    <x v="2"/>
    <x v="11"/>
    <s v="ZD07F070"/>
    <x v="43"/>
    <s v="M103"/>
    <s v="SALUD AL DIA"/>
    <s v="GI00M10300003D"/>
    <s v="GI00M10300003D SEGURIDAD ALIMENTARIA Y DE CALIDAD"/>
    <s v="84 BIENES DE LARGA DURACIÓN"/>
    <s v="840113 Equipos Médicos"/>
    <s v="G/840113/1FM103"/>
    <s v="001"/>
    <n v="0"/>
    <n v="3500"/>
    <n v="0"/>
    <n v="3500"/>
    <n v="0"/>
    <n v="0"/>
    <n v="0"/>
    <n v="3500"/>
    <n v="3500"/>
    <n v="3500"/>
  </r>
  <r>
    <s v="84"/>
    <x v="2"/>
    <x v="11"/>
    <s v="ZT06F060"/>
    <x v="25"/>
    <s v="M103"/>
    <s v="SALUD AL DIA"/>
    <s v="GI00M10300004D"/>
    <s v="GI00M10300004D SISTEMA INTEGRAL DE PROMOCIÓN DE LA SALU"/>
    <s v="84 BIENES DE LARGA DURACIÓN"/>
    <s v="840107 Equipos, Sistemas y Paquetes Informáticos"/>
    <s v="G/840107/1FM103"/>
    <s v="001"/>
    <n v="0"/>
    <n v="2908"/>
    <n v="0"/>
    <n v="2908"/>
    <n v="0"/>
    <n v="0"/>
    <n v="0"/>
    <n v="2908"/>
    <n v="2908"/>
    <n v="2908"/>
  </r>
  <r>
    <s v="84"/>
    <x v="2"/>
    <x v="11"/>
    <s v="ZM04F040"/>
    <x v="41"/>
    <s v="M103"/>
    <s v="SALUD AL DIA"/>
    <s v="GI00M10300004D"/>
    <s v="GI00M10300004D SISTEMA INTEGRAL DE PROMOCIÓN DE LA SALU"/>
    <s v="84 BIENES DE LARGA DURACIÓN"/>
    <s v="840107 Equipos, Sistemas y Paquetes Informáticos"/>
    <s v="G/840107/1FM103"/>
    <s v="001"/>
    <n v="0"/>
    <n v="4000"/>
    <n v="0"/>
    <n v="4000"/>
    <n v="0"/>
    <n v="0"/>
    <n v="0"/>
    <n v="4000"/>
    <n v="4000"/>
    <n v="4000"/>
  </r>
  <r>
    <s v="84"/>
    <x v="2"/>
    <x v="11"/>
    <s v="ZD07F070"/>
    <x v="43"/>
    <s v="M103"/>
    <s v="SALUD AL DIA"/>
    <s v="GI00M10300004D"/>
    <s v="GI00M10300004D SISTEMA INTEGRAL DE PROMOCIÓN DE LA SALU"/>
    <s v="84 BIENES DE LARGA DURACIÓN"/>
    <s v="840107 Equipos, Sistemas y Paquetes Informáticos"/>
    <s v="G/840107/1FM103"/>
    <s v="001"/>
    <n v="0"/>
    <n v="4000"/>
    <n v="0"/>
    <n v="4000"/>
    <n v="0"/>
    <n v="0"/>
    <n v="0"/>
    <n v="4000"/>
    <n v="4000"/>
    <n v="4000"/>
  </r>
  <r>
    <s v="84"/>
    <x v="2"/>
    <x v="11"/>
    <s v="ZT06F060"/>
    <x v="25"/>
    <s v="M103"/>
    <s v="SALUD AL DIA"/>
    <s v="GI00M10300004D"/>
    <s v="GI00M10300004D SISTEMA INTEGRAL DE PROMOCIÓN DE LA SALU"/>
    <s v="84 BIENES DE LARGA DURACIÓN"/>
    <s v="840113 Equipos Médicos"/>
    <s v="G/840113/1FM103"/>
    <s v="001"/>
    <n v="0"/>
    <n v="1300"/>
    <n v="0"/>
    <n v="1300"/>
    <n v="0"/>
    <n v="0"/>
    <n v="0"/>
    <n v="1300"/>
    <n v="1300"/>
    <n v="1300"/>
  </r>
  <r>
    <s v="84"/>
    <x v="2"/>
    <x v="11"/>
    <s v="ZM04F040"/>
    <x v="41"/>
    <s v="M103"/>
    <s v="SALUD AL DIA"/>
    <s v="GI00M10300004D"/>
    <s v="GI00M10300004D SISTEMA INTEGRAL DE PROMOCIÓN DE LA SALU"/>
    <s v="84 BIENES DE LARGA DURACIÓN"/>
    <s v="840113 Equipos Médicos"/>
    <s v="G/840113/1FM103"/>
    <s v="001"/>
    <n v="0"/>
    <n v="2000"/>
    <n v="0"/>
    <n v="2000"/>
    <n v="0"/>
    <n v="0"/>
    <n v="0"/>
    <n v="2000"/>
    <n v="2000"/>
    <n v="2000"/>
  </r>
  <r>
    <s v="84"/>
    <x v="2"/>
    <x v="11"/>
    <s v="ZD07F070"/>
    <x v="43"/>
    <s v="M103"/>
    <s v="SALUD AL DIA"/>
    <s v="GI00M10300004D"/>
    <s v="GI00M10300004D SISTEMA INTEGRAL DE PROMOCIÓN DE LA SALU"/>
    <s v="84 BIENES DE LARGA DURACIÓN"/>
    <s v="840113 Equipos Médicos"/>
    <s v="G/840113/1FM103"/>
    <s v="001"/>
    <n v="0"/>
    <n v="2000"/>
    <n v="0"/>
    <n v="2000"/>
    <n v="0"/>
    <n v="0"/>
    <n v="0"/>
    <n v="2000"/>
    <n v="2000"/>
    <n v="2000"/>
  </r>
  <r>
    <s v="84"/>
    <x v="1"/>
    <x v="3"/>
    <s v="ZA01M000"/>
    <x v="6"/>
    <s v="M103"/>
    <s v="SALUD AL DIA"/>
    <s v="GI00M10300005D"/>
    <s v="GI00M10300005D MANEJO DE FAUNA URBANA EN EL DMQ"/>
    <s v="84 BIENES DE LARGA DURACIÓN"/>
    <s v="840103 Mobiliarios"/>
    <s v="G/840103/1MM103"/>
    <s v="001"/>
    <n v="0"/>
    <n v="52000"/>
    <n v="0"/>
    <n v="52000"/>
    <n v="0"/>
    <n v="0"/>
    <n v="0"/>
    <n v="52000"/>
    <n v="52000"/>
    <n v="52000"/>
  </r>
  <r>
    <s v="84"/>
    <x v="2"/>
    <x v="11"/>
    <s v="ZD07F070"/>
    <x v="43"/>
    <s v="M103"/>
    <s v="SALUD AL DIA"/>
    <s v="GI00M10300005D"/>
    <s v="GI00M10300005D MANEJO DE FAUNA URBANA EN EL DMQ"/>
    <s v="84 BIENES DE LARGA DURACIÓN"/>
    <s v="840103 Mobiliarios"/>
    <s v="G/840103/1FM103"/>
    <s v="001"/>
    <n v="1472.46"/>
    <n v="0"/>
    <n v="0"/>
    <n v="1472.46"/>
    <n v="0"/>
    <n v="0"/>
    <n v="0"/>
    <n v="1472.46"/>
    <n v="1472.46"/>
    <n v="1472.46"/>
  </r>
  <r>
    <s v="84"/>
    <x v="2"/>
    <x v="11"/>
    <s v="ZC09F090"/>
    <x v="44"/>
    <s v="M103"/>
    <s v="SALUD AL DIA"/>
    <s v="GI00M10300005D"/>
    <s v="GI00M10300005D MANEJO DE FAUNA URBANA EN EL DMQ"/>
    <s v="84 BIENES DE LARGA DURACIÓN"/>
    <s v="840103 Mobiliarios"/>
    <s v="G/840103/1FM103"/>
    <s v="001"/>
    <n v="1472.46"/>
    <n v="0"/>
    <n v="0"/>
    <n v="1472.46"/>
    <n v="0"/>
    <n v="0"/>
    <n v="0"/>
    <n v="1472.46"/>
    <n v="1472.46"/>
    <n v="1472.46"/>
  </r>
  <r>
    <s v="84"/>
    <x v="2"/>
    <x v="11"/>
    <s v="ZN02F020"/>
    <x v="40"/>
    <s v="M103"/>
    <s v="SALUD AL DIA"/>
    <s v="GI00M10300005D"/>
    <s v="GI00M10300005D MANEJO DE FAUNA URBANA EN EL DMQ"/>
    <s v="84 BIENES DE LARGA DURACIÓN"/>
    <s v="840103 Mobiliarios"/>
    <s v="G/840103/1FM103"/>
    <s v="001"/>
    <n v="1472.46"/>
    <n v="0"/>
    <n v="0"/>
    <n v="1472.46"/>
    <n v="0"/>
    <n v="0"/>
    <n v="0"/>
    <n v="1472.46"/>
    <n v="1472.46"/>
    <n v="1472.46"/>
  </r>
  <r>
    <s v="84"/>
    <x v="2"/>
    <x v="11"/>
    <s v="ZS03F030"/>
    <x v="38"/>
    <s v="M103"/>
    <s v="SALUD AL DIA"/>
    <s v="GI00M10300005D"/>
    <s v="GI00M10300005D MANEJO DE FAUNA URBANA EN EL DMQ"/>
    <s v="84 BIENES DE LARGA DURACIÓN"/>
    <s v="840103 Mobiliarios"/>
    <s v="G/840103/1FM103"/>
    <s v="001"/>
    <n v="3000"/>
    <n v="0"/>
    <n v="0"/>
    <n v="3000"/>
    <n v="0"/>
    <n v="0"/>
    <n v="0"/>
    <n v="3000"/>
    <n v="3000"/>
    <n v="3000"/>
  </r>
  <r>
    <s v="84"/>
    <x v="2"/>
    <x v="11"/>
    <s v="ZQ08F080"/>
    <x v="39"/>
    <s v="M103"/>
    <s v="SALUD AL DIA"/>
    <s v="GI00M10300005D"/>
    <s v="GI00M10300005D MANEJO DE FAUNA URBANA EN EL DMQ"/>
    <s v="84 BIENES DE LARGA DURACIÓN"/>
    <s v="840103 Mobiliarios"/>
    <s v="G/840103/1FM103"/>
    <s v="001"/>
    <n v="1472.46"/>
    <n v="0"/>
    <n v="0"/>
    <n v="1472.46"/>
    <n v="0"/>
    <n v="1471.68"/>
    <n v="1471.68"/>
    <n v="0.78"/>
    <n v="0.78"/>
    <n v="0.78"/>
  </r>
  <r>
    <s v="84"/>
    <x v="2"/>
    <x v="11"/>
    <s v="ZM04F040"/>
    <x v="41"/>
    <s v="M103"/>
    <s v="SALUD AL DIA"/>
    <s v="GI00M10300005D"/>
    <s v="GI00M10300005D MANEJO DE FAUNA URBANA EN EL DMQ"/>
    <s v="84 BIENES DE LARGA DURACIÓN"/>
    <s v="840103 Mobiliarios"/>
    <s v="G/840103/1FM103"/>
    <s v="001"/>
    <n v="1472.46"/>
    <n v="0"/>
    <n v="0"/>
    <n v="1472.46"/>
    <n v="0"/>
    <n v="0"/>
    <n v="0"/>
    <n v="1472.46"/>
    <n v="1472.46"/>
    <n v="1472.46"/>
  </r>
  <r>
    <s v="84"/>
    <x v="2"/>
    <x v="11"/>
    <s v="ZT06F060"/>
    <x v="25"/>
    <s v="M103"/>
    <s v="SALUD AL DIA"/>
    <s v="GI00M10300005D"/>
    <s v="GI00M10300005D MANEJO DE FAUNA URBANA EN EL DMQ"/>
    <s v="84 BIENES DE LARGA DURACIÓN"/>
    <s v="840103 Mobiliarios"/>
    <s v="G/840103/1FM103"/>
    <s v="001"/>
    <n v="1472.46"/>
    <n v="0"/>
    <n v="0"/>
    <n v="1472.46"/>
    <n v="0"/>
    <n v="0"/>
    <n v="0"/>
    <n v="1472.46"/>
    <n v="1472.46"/>
    <n v="1472.46"/>
  </r>
  <r>
    <s v="84"/>
    <x v="2"/>
    <x v="11"/>
    <s v="ZV05F050"/>
    <x v="37"/>
    <s v="M103"/>
    <s v="SALUD AL DIA"/>
    <s v="GI00M10300005D"/>
    <s v="GI00M10300005D MANEJO DE FAUNA URBANA EN EL DMQ"/>
    <s v="84 BIENES DE LARGA DURACIÓN"/>
    <s v="840103 Mobiliarios"/>
    <s v="G/840103/1FM103"/>
    <s v="001"/>
    <n v="1472.46"/>
    <n v="0"/>
    <n v="0"/>
    <n v="1472.46"/>
    <n v="0"/>
    <n v="0"/>
    <n v="0"/>
    <n v="1472.46"/>
    <n v="1472.46"/>
    <n v="1472.46"/>
  </r>
  <r>
    <s v="84"/>
    <x v="1"/>
    <x v="3"/>
    <s v="ZA01M000"/>
    <x v="6"/>
    <s v="M103"/>
    <s v="SALUD AL DIA"/>
    <s v="GI00M10300005D"/>
    <s v="GI00M10300005D MANEJO DE FAUNA URBANA EN EL DMQ"/>
    <s v="84 BIENES DE LARGA DURACIÓN"/>
    <s v="840104 Maquinarias y Equipos"/>
    <s v="G/840104/1MM103"/>
    <s v="001"/>
    <n v="682960.5"/>
    <n v="-514481.54"/>
    <n v="0"/>
    <n v="168478.96"/>
    <n v="0"/>
    <n v="0"/>
    <n v="0"/>
    <n v="168478.96"/>
    <n v="168478.96"/>
    <n v="168478.96"/>
  </r>
  <r>
    <s v="84"/>
    <x v="1"/>
    <x v="3"/>
    <s v="ZA01M000"/>
    <x v="6"/>
    <s v="M103"/>
    <s v="SALUD AL DIA"/>
    <s v="GI00M10300005D"/>
    <s v="GI00M10300005D MANEJO DE FAUNA URBANA EN EL DMQ"/>
    <s v="84 BIENES DE LARGA DURACIÓN"/>
    <s v="840105 Vehículos"/>
    <s v="G/840105/1MM103"/>
    <s v="001"/>
    <n v="0"/>
    <n v="100000"/>
    <n v="0"/>
    <n v="100000"/>
    <n v="0"/>
    <n v="0"/>
    <n v="0"/>
    <n v="100000"/>
    <n v="100000"/>
    <n v="100000"/>
  </r>
  <r>
    <s v="84"/>
    <x v="1"/>
    <x v="3"/>
    <s v="ZA01M000"/>
    <x v="6"/>
    <s v="M103"/>
    <s v="SALUD AL DIA"/>
    <s v="GI00M10300005D"/>
    <s v="GI00M10300005D MANEJO DE FAUNA URBANA EN EL DMQ"/>
    <s v="84 BIENES DE LARGA DURACIÓN"/>
    <s v="840107 Equipos, Sistemas y Paquetes Informáticos"/>
    <s v="G/840107/1MM103"/>
    <s v="001"/>
    <n v="187000"/>
    <n v="-52000"/>
    <n v="0"/>
    <n v="135000"/>
    <n v="0"/>
    <n v="0"/>
    <n v="0"/>
    <n v="135000"/>
    <n v="135000"/>
    <n v="135000"/>
  </r>
  <r>
    <s v="84"/>
    <x v="1"/>
    <x v="3"/>
    <s v="ZA01M000"/>
    <x v="6"/>
    <s v="M103"/>
    <s v="SALUD AL DIA"/>
    <s v="GI00M10300005D"/>
    <s v="GI00M10300005D MANEJO DE FAUNA URBANA EN EL DMQ"/>
    <s v="84 BIENES DE LARGA DURACIÓN"/>
    <s v="840111 Partes y Repuestos"/>
    <s v="G/840111/1MM103"/>
    <s v="001"/>
    <n v="0"/>
    <n v="2719.7"/>
    <n v="0"/>
    <n v="2719.7"/>
    <n v="0"/>
    <n v="0"/>
    <n v="0"/>
    <n v="2719.7"/>
    <n v="2719.7"/>
    <n v="2719.7"/>
  </r>
  <r>
    <s v="84"/>
    <x v="1"/>
    <x v="3"/>
    <s v="ZA01M000"/>
    <x v="6"/>
    <s v="M103"/>
    <s v="SALUD AL DIA"/>
    <s v="GI00M10300005D"/>
    <s v="GI00M10300005D MANEJO DE FAUNA URBANA EN EL DMQ"/>
    <s v="84 BIENES DE LARGA DURACIÓN"/>
    <s v="840113 Equipos Médicos"/>
    <s v="G/840113/1MM103"/>
    <s v="001"/>
    <n v="0"/>
    <n v="85000"/>
    <n v="0"/>
    <n v="85000"/>
    <n v="0"/>
    <n v="0"/>
    <n v="0"/>
    <n v="85000"/>
    <n v="85000"/>
    <n v="85000"/>
  </r>
  <r>
    <s v="84"/>
    <x v="2"/>
    <x v="11"/>
    <s v="ZS03F030"/>
    <x v="38"/>
    <s v="M103"/>
    <s v="SALUD AL DIA"/>
    <s v="GI00M10300005D"/>
    <s v="GI00M10300005D MANEJO DE FAUNA URBANA EN EL DMQ"/>
    <s v="84 BIENES DE LARGA DURACIÓN"/>
    <s v="840113 Equipos Médicos"/>
    <s v="G/840113/1FM103"/>
    <s v="001"/>
    <n v="2000"/>
    <n v="0"/>
    <n v="0"/>
    <n v="2000"/>
    <n v="0"/>
    <n v="0"/>
    <n v="0"/>
    <n v="2000"/>
    <n v="2000"/>
    <n v="2000"/>
  </r>
  <r>
    <s v="84"/>
    <x v="1"/>
    <x v="3"/>
    <s v="UN31M010"/>
    <x v="11"/>
    <s v="M103"/>
    <s v="SALUD AL DIA"/>
    <s v="GI00M10300006D"/>
    <s v="GI00M10300006D ATENCIÓN Y PREVENCIÓN DE LA ENFERMEDAD"/>
    <s v="84 BIENES DE LARGA DURACIÓN"/>
    <s v="840103 Mobiliarios"/>
    <s v="G/840103/1MM103"/>
    <s v="001"/>
    <n v="1500"/>
    <n v="36155.22"/>
    <n v="0"/>
    <n v="37655.22"/>
    <n v="0"/>
    <n v="0"/>
    <n v="0"/>
    <n v="37655.22"/>
    <n v="37655.22"/>
    <n v="37655.22"/>
  </r>
  <r>
    <s v="84"/>
    <x v="1"/>
    <x v="3"/>
    <s v="UC32M020"/>
    <x v="7"/>
    <s v="M103"/>
    <s v="SALUD AL DIA"/>
    <s v="GI00M10300006D"/>
    <s v="GI00M10300006D ATENCIÓN Y PREVENCIÓN DE LA ENFERMEDAD"/>
    <s v="84 BIENES DE LARGA DURACIÓN"/>
    <s v="840104 Maquinarias y Equipos"/>
    <s v="G/840104/1MM103"/>
    <s v="001"/>
    <n v="50000"/>
    <n v="0"/>
    <n v="0"/>
    <n v="50000"/>
    <n v="5789.56"/>
    <n v="3108"/>
    <n v="3108"/>
    <n v="46892"/>
    <n v="46892"/>
    <n v="41102.44"/>
  </r>
  <r>
    <s v="84"/>
    <x v="1"/>
    <x v="3"/>
    <s v="UN31M010"/>
    <x v="11"/>
    <s v="M103"/>
    <s v="SALUD AL DIA"/>
    <s v="GI00M10300006D"/>
    <s v="GI00M10300006D ATENCIÓN Y PREVENCIÓN DE LA ENFERMEDAD"/>
    <s v="84 BIENES DE LARGA DURACIÓN"/>
    <s v="840104 Maquinarias y Equipos"/>
    <s v="G/840104/1MM103"/>
    <s v="001"/>
    <n v="30000"/>
    <n v="78616"/>
    <n v="0"/>
    <n v="108616"/>
    <n v="0"/>
    <n v="0"/>
    <n v="0"/>
    <n v="108616"/>
    <n v="108616"/>
    <n v="108616"/>
  </r>
  <r>
    <s v="84"/>
    <x v="1"/>
    <x v="3"/>
    <s v="US33M030"/>
    <x v="8"/>
    <s v="M103"/>
    <s v="SALUD AL DIA"/>
    <s v="GI00M10300006D"/>
    <s v="GI00M10300006D ATENCIÓN Y PREVENCIÓN DE LA ENFERMEDAD"/>
    <s v="84 BIENES DE LARGA DURACIÓN"/>
    <s v="840107 Equipos, Sistemas y Paquetes Informáticos"/>
    <s v="G/840107/1MM103"/>
    <s v="001"/>
    <n v="0"/>
    <n v="17919.98"/>
    <n v="0"/>
    <n v="17919.98"/>
    <n v="0"/>
    <n v="17919.98"/>
    <n v="17919.98"/>
    <n v="0"/>
    <n v="0"/>
    <n v="0"/>
  </r>
  <r>
    <s v="84"/>
    <x v="1"/>
    <x v="3"/>
    <s v="UN31M010"/>
    <x v="11"/>
    <s v="M103"/>
    <s v="SALUD AL DIA"/>
    <s v="GI00M10300006D"/>
    <s v="GI00M10300006D ATENCIÓN Y PREVENCIÓN DE LA ENFERMEDAD"/>
    <s v="84 BIENES DE LARGA DURACIÓN"/>
    <s v="840107 Equipos, Sistemas y Paquetes Informáticos"/>
    <s v="G/840107/1MM103"/>
    <s v="001"/>
    <n v="50000"/>
    <n v="-42133.88"/>
    <n v="0"/>
    <n v="7866.12"/>
    <n v="0"/>
    <n v="0"/>
    <n v="0"/>
    <n v="7866.12"/>
    <n v="7866.12"/>
    <n v="7866.12"/>
  </r>
  <r>
    <s v="84"/>
    <x v="1"/>
    <x v="3"/>
    <s v="UC32M020"/>
    <x v="7"/>
    <s v="M103"/>
    <s v="SALUD AL DIA"/>
    <s v="GI00M10300006D"/>
    <s v="GI00M10300006D ATENCIÓN Y PREVENCIÓN DE LA ENFERMEDAD"/>
    <s v="84 BIENES DE LARGA DURACIÓN"/>
    <s v="840107 Equipos, Sistemas y Paquetes Informáticos"/>
    <s v="G/840107/1MM103"/>
    <s v="001"/>
    <n v="46000"/>
    <n v="0"/>
    <n v="0"/>
    <n v="46000"/>
    <n v="104.92"/>
    <n v="10379.040000000001"/>
    <n v="10379.040000000001"/>
    <n v="35620.959999999999"/>
    <n v="35620.959999999999"/>
    <n v="35516.04"/>
  </r>
  <r>
    <s v="84"/>
    <x v="1"/>
    <x v="3"/>
    <s v="UN31M010"/>
    <x v="11"/>
    <s v="M103"/>
    <s v="SALUD AL DIA"/>
    <s v="GI00M10300006D"/>
    <s v="GI00M10300006D ATENCIÓN Y PREVENCIÓN DE LA ENFERMEDAD"/>
    <s v="84 BIENES DE LARGA DURACIÓN"/>
    <s v="840113 Equipos Médicos"/>
    <s v="G/840113/1MM103"/>
    <s v="001"/>
    <n v="650757"/>
    <n v="-416807.37"/>
    <n v="0"/>
    <n v="233949.63"/>
    <n v="0"/>
    <n v="47687.02"/>
    <n v="47687.02"/>
    <n v="186262.61"/>
    <n v="186262.61"/>
    <n v="186262.61"/>
  </r>
  <r>
    <s v="84"/>
    <x v="1"/>
    <x v="3"/>
    <s v="US33M030"/>
    <x v="8"/>
    <s v="M103"/>
    <s v="SALUD AL DIA"/>
    <s v="GI00M10300006D"/>
    <s v="GI00M10300006D ATENCIÓN Y PREVENCIÓN DE LA ENFERMEDAD"/>
    <s v="84 BIENES DE LARGA DURACIÓN"/>
    <s v="840113 Equipos Médicos"/>
    <s v="G/840113/1MM103"/>
    <s v="001"/>
    <n v="25000"/>
    <n v="41236.54"/>
    <n v="0"/>
    <n v="66236.539999999994"/>
    <n v="0"/>
    <n v="28236.54"/>
    <n v="28236.54"/>
    <n v="38000"/>
    <n v="38000"/>
    <n v="38000"/>
  </r>
  <r>
    <s v="84"/>
    <x v="1"/>
    <x v="3"/>
    <s v="US33M030"/>
    <x v="8"/>
    <s v="M103"/>
    <s v="SALUD AL DIA"/>
    <s v="GI00M10300006D"/>
    <s v="GI00M10300006D ATENCIÓN Y PREVENCIÓN DE LA ENFERMEDAD"/>
    <s v="84 BIENES DE LARGA DURACIÓN"/>
    <s v="840115 Equipos Odontológicos"/>
    <s v="G/840115/1MM103"/>
    <s v="001"/>
    <n v="20000"/>
    <n v="-13224"/>
    <n v="0"/>
    <n v="6776"/>
    <n v="0"/>
    <n v="0"/>
    <n v="0"/>
    <n v="6776"/>
    <n v="6776"/>
    <n v="6776"/>
  </r>
  <r>
    <s v="84"/>
    <x v="1"/>
    <x v="3"/>
    <s v="UN31M010"/>
    <x v="11"/>
    <s v="M103"/>
    <s v="SALUD AL DIA"/>
    <s v="GI00M10300006D"/>
    <s v="GI00M10300006D ATENCIÓN Y PREVENCIÓN DE LA ENFERMEDAD"/>
    <s v="84 BIENES DE LARGA DURACIÓN"/>
    <s v="840115 Equipos Odontológicos"/>
    <s v="G/840115/1MM103"/>
    <s v="001"/>
    <n v="2550"/>
    <n v="38176.959999999999"/>
    <n v="0"/>
    <n v="40726.959999999999"/>
    <n v="0"/>
    <n v="0"/>
    <n v="0"/>
    <n v="40726.959999999999"/>
    <n v="40726.959999999999"/>
    <n v="40726.959999999999"/>
  </r>
  <r>
    <s v="84"/>
    <x v="1"/>
    <x v="3"/>
    <s v="UN31M010"/>
    <x v="11"/>
    <s v="M103"/>
    <s v="SALUD AL DIA"/>
    <s v="GI00M10300007D"/>
    <s v="GI00M10300007D PREVENCION INTEGRAL DE ADICCIONES"/>
    <s v="84 BIENES DE LARGA DURACIÓN"/>
    <s v="840103 Mobiliarios"/>
    <s v="G/840103/1MM103"/>
    <s v="001"/>
    <n v="6000"/>
    <n v="12000"/>
    <n v="0"/>
    <n v="18000"/>
    <n v="0"/>
    <n v="0"/>
    <n v="0"/>
    <n v="18000"/>
    <n v="18000"/>
    <n v="18000"/>
  </r>
  <r>
    <s v="84"/>
    <x v="1"/>
    <x v="3"/>
    <s v="UN31M010"/>
    <x v="11"/>
    <s v="M103"/>
    <s v="SALUD AL DIA"/>
    <s v="GI00M10300007D"/>
    <s v="GI00M10300007D PREVENCION INTEGRAL DE ADICCIONES"/>
    <s v="84 BIENES DE LARGA DURACIÓN"/>
    <s v="840104 Maquinarias y Equipos"/>
    <s v="G/840104/1MM103"/>
    <s v="001"/>
    <n v="19000"/>
    <n v="-5000"/>
    <n v="0"/>
    <n v="14000"/>
    <n v="0"/>
    <n v="0"/>
    <n v="0"/>
    <n v="14000"/>
    <n v="14000"/>
    <n v="14000"/>
  </r>
  <r>
    <s v="84"/>
    <x v="1"/>
    <x v="3"/>
    <s v="UN31M010"/>
    <x v="11"/>
    <s v="M103"/>
    <s v="SALUD AL DIA"/>
    <s v="GI00M10300007D"/>
    <s v="GI00M10300007D PREVENCION INTEGRAL DE ADICCIONES"/>
    <s v="84 BIENES DE LARGA DURACIÓN"/>
    <s v="840107 Equipos, Sistemas y Paquetes Informáticos"/>
    <s v="G/840107/1MM103"/>
    <s v="001"/>
    <n v="50000"/>
    <n v="-8478.44"/>
    <n v="0"/>
    <n v="41521.56"/>
    <n v="0"/>
    <n v="0"/>
    <n v="0"/>
    <n v="41521.56"/>
    <n v="41521.56"/>
    <n v="41521.56"/>
  </r>
  <r>
    <s v="84"/>
    <x v="1"/>
    <x v="3"/>
    <s v="UC32M020"/>
    <x v="7"/>
    <s v="M103"/>
    <s v="SALUD AL DIA"/>
    <s v="GI00M10300009D"/>
    <s v="GI00M10300009D PREVENCIÓN DE LA MAL NUTRICIÓN EN EL DMQ"/>
    <s v="84 BIENES DE LARGA DURACIÓN"/>
    <s v="840103 Mobiliarios"/>
    <s v="G/840103/1MM103"/>
    <s v="001"/>
    <n v="4000"/>
    <n v="-4000"/>
    <n v="0"/>
    <n v="0"/>
    <n v="0"/>
    <n v="0"/>
    <n v="0"/>
    <n v="0"/>
    <n v="0"/>
    <n v="0"/>
  </r>
  <r>
    <s v="84"/>
    <x v="1"/>
    <x v="3"/>
    <s v="UC32M020"/>
    <x v="7"/>
    <s v="M103"/>
    <s v="SALUD AL DIA"/>
    <s v="GI00M10300009D"/>
    <s v="GI00M10300009D PREVENCIÓN DE LA MAL NUTRICIÓN EN EL DMQ"/>
    <s v="84 BIENES DE LARGA DURACIÓN"/>
    <s v="840104 Maquinarias y Equipos"/>
    <s v="G/840104/1MM103"/>
    <s v="001"/>
    <n v="84000"/>
    <n v="-84000"/>
    <n v="0"/>
    <n v="0"/>
    <n v="0"/>
    <n v="0"/>
    <n v="0"/>
    <n v="0"/>
    <n v="0"/>
    <n v="0"/>
  </r>
  <r>
    <s v="84"/>
    <x v="1"/>
    <x v="3"/>
    <s v="UC32M020"/>
    <x v="7"/>
    <s v="M103"/>
    <s v="SALUD AL DIA"/>
    <s v="GI00M10300009D"/>
    <s v="GI00M10300009D PREVENCIÓN DE LA MAL NUTRICIÓN EN EL DMQ"/>
    <s v="84 BIENES DE LARGA DURACIÓN"/>
    <s v="840107 Equipos, Sistemas y Paquetes Informáticos"/>
    <s v="G/840107/1MM103"/>
    <s v="001"/>
    <n v="22000"/>
    <n v="-15000"/>
    <n v="0"/>
    <n v="7000"/>
    <n v="0"/>
    <n v="0"/>
    <n v="0"/>
    <n v="7000"/>
    <n v="7000"/>
    <n v="7000"/>
  </r>
  <r>
    <s v="84"/>
    <x v="2"/>
    <x v="5"/>
    <s v="PM71N010"/>
    <x v="27"/>
    <s v="N103"/>
    <s v="QUITO SIN MIEDO"/>
    <s v="GI00N10300002D"/>
    <s v="GI00N10300002D IMPLEMENTACIÓN DE UN NUEVO MODELO DE GES"/>
    <s v="84 BIENES DE LARGA DURACIÓN"/>
    <s v="840107 Equipos, Sistemas y Paquetes Informáticos"/>
    <s v="G/840107/1NN103"/>
    <s v="001"/>
    <n v="150000"/>
    <n v="0"/>
    <n v="0"/>
    <n v="150000"/>
    <n v="37899.99"/>
    <n v="0"/>
    <n v="0"/>
    <n v="150000"/>
    <n v="150000"/>
    <n v="112100.01"/>
  </r>
  <r>
    <s v="84"/>
    <x v="2"/>
    <x v="5"/>
    <s v="ZA01N000"/>
    <x v="10"/>
    <s v="N103"/>
    <s v="QUITO SIN MIEDO"/>
    <s v="GI00N10300003D"/>
    <s v="GI00N10300003D PREVENCIÓN DE LA VIOLENCIA INTRAFAMILIAR"/>
    <s v="84 BIENES DE LARGA DURACIÓN"/>
    <s v="840107 Equipos, Sistemas y Paquetes Informáticos"/>
    <s v="G/840107/1NN103"/>
    <s v="001"/>
    <n v="65600"/>
    <n v="0"/>
    <n v="0"/>
    <n v="65600"/>
    <n v="0"/>
    <n v="0"/>
    <n v="0"/>
    <n v="65600"/>
    <n v="65600"/>
    <n v="65600"/>
  </r>
  <r>
    <s v="84"/>
    <x v="2"/>
    <x v="5"/>
    <s v="PM71N010"/>
    <x v="27"/>
    <s v="N103"/>
    <s v="QUITO SIN MIEDO"/>
    <s v="GI00N10300004D"/>
    <s v="GI00N10300004D PREVENCIÓN SITUACIONAL Y CONVIVENCIA PAC"/>
    <s v="84 BIENES DE LARGA DURACIÓN"/>
    <s v="840104 Maquinarias y Equipos"/>
    <s v="G/840104/1NN103"/>
    <s v="002"/>
    <n v="67920"/>
    <n v="0"/>
    <n v="0"/>
    <n v="67920"/>
    <n v="0"/>
    <n v="0"/>
    <n v="0"/>
    <n v="67920"/>
    <n v="67920"/>
    <n v="67920"/>
  </r>
  <r>
    <s v="84"/>
    <x v="2"/>
    <x v="5"/>
    <s v="PM71N010"/>
    <x v="27"/>
    <s v="N103"/>
    <s v="QUITO SIN MIEDO"/>
    <s v="GI00N10300004D"/>
    <s v="GI00N10300004D PREVENCIÓN SITUACIONAL Y CONVIVENCIA PAC"/>
    <s v="84 BIENES DE LARGA DURACIÓN"/>
    <s v="840104 Maquinarias y Equipos"/>
    <s v="G/840104/1NN103"/>
    <s v="001"/>
    <n v="381700"/>
    <n v="0"/>
    <n v="0"/>
    <n v="381700"/>
    <n v="0"/>
    <n v="1310.4000000000001"/>
    <n v="1310.4000000000001"/>
    <n v="380389.6"/>
    <n v="380389.6"/>
    <n v="380389.6"/>
  </r>
  <r>
    <s v="84"/>
    <x v="2"/>
    <x v="5"/>
    <s v="PM71N010"/>
    <x v="27"/>
    <s v="N103"/>
    <s v="QUITO SIN MIEDO"/>
    <s v="GI00N10300004D"/>
    <s v="GI00N10300004D PREVENCIÓN SITUACIONAL Y CONVIVENCIA PAC"/>
    <s v="84 BIENES DE LARGA DURACIÓN"/>
    <s v="840107 Equipos, Sistemas y Paquetes Informáticos"/>
    <s v="G/840107/1NN103"/>
    <s v="001"/>
    <n v="50000"/>
    <n v="0"/>
    <n v="0"/>
    <n v="50000"/>
    <n v="0"/>
    <n v="0"/>
    <n v="0"/>
    <n v="50000"/>
    <n v="50000"/>
    <n v="50000"/>
  </r>
  <r>
    <s v="84"/>
    <x v="2"/>
    <x v="11"/>
    <s v="ZT06F060"/>
    <x v="25"/>
    <s v="N103"/>
    <s v="QUITO SIN MIEDO"/>
    <s v="GI00N10300004D"/>
    <s v="GI00N10300004D PREVENCIÓN SITUACIONAL Y CONVIVENCIA PAC"/>
    <s v="84 BIENES DE LARGA DURACIÓN"/>
    <s v="840107 Equipos, Sistemas y Paquetes Informáticos"/>
    <s v="G/840107/1FN103"/>
    <s v="001"/>
    <n v="1000"/>
    <n v="0"/>
    <n v="0"/>
    <n v="1000"/>
    <n v="0"/>
    <n v="0"/>
    <n v="0"/>
    <n v="1000"/>
    <n v="1000"/>
    <n v="1000"/>
  </r>
  <r>
    <s v="84"/>
    <x v="2"/>
    <x v="5"/>
    <s v="PM71N010"/>
    <x v="27"/>
    <s v="N103"/>
    <s v="QUITO SIN MIEDO"/>
    <s v="GI00N10300004D"/>
    <s v="GI00N10300004D PREVENCIÓN SITUACIONAL Y CONVIVENCIA PAC"/>
    <s v="84 BIENES DE LARGA DURACIÓN"/>
    <s v="840512 Semovientes"/>
    <s v="G/840512/1NN103"/>
    <s v="001"/>
    <n v="150000"/>
    <n v="0"/>
    <n v="0"/>
    <n v="150000"/>
    <n v="0"/>
    <n v="0"/>
    <n v="0"/>
    <n v="150000"/>
    <n v="150000"/>
    <n v="150000"/>
  </r>
  <r>
    <s v="84"/>
    <x v="2"/>
    <x v="11"/>
    <s v="ZM04F040"/>
    <x v="41"/>
    <s v="N301"/>
    <s v="GESTION DE RIESGOS"/>
    <s v="GI00N30100005D"/>
    <s v="GI00N30100005D REDUCCIÓN DE RIESGOS DE DESASTRES EN EL"/>
    <s v="84 BIENES DE LARGA DURACIÓN"/>
    <s v="840103 Mobiliarios"/>
    <s v="G/840103/3FN301"/>
    <s v="001"/>
    <n v="5500"/>
    <n v="0"/>
    <n v="0"/>
    <n v="5500"/>
    <n v="0"/>
    <n v="0"/>
    <n v="0"/>
    <n v="5500"/>
    <n v="5500"/>
    <n v="5500"/>
  </r>
  <r>
    <s v="84"/>
    <x v="2"/>
    <x v="11"/>
    <s v="ZT06F060"/>
    <x v="25"/>
    <s v="N301"/>
    <s v="GESTION DE RIESGOS"/>
    <s v="GI00N30100005D"/>
    <s v="GI00N30100005D REDUCCIÓN DE RIESGOS DE DESASTRES EN EL"/>
    <s v="84 BIENES DE LARGA DURACIÓN"/>
    <s v="840103 Mobiliarios"/>
    <s v="G/840103/3FN301"/>
    <s v="001"/>
    <n v="4500"/>
    <n v="0"/>
    <n v="0"/>
    <n v="4500"/>
    <n v="0"/>
    <n v="0"/>
    <n v="0"/>
    <n v="4500"/>
    <n v="4500"/>
    <n v="4500"/>
  </r>
  <r>
    <s v="84"/>
    <x v="2"/>
    <x v="11"/>
    <s v="ZS03F030"/>
    <x v="38"/>
    <s v="N301"/>
    <s v="GESTION DE RIESGOS"/>
    <s v="GI00N30100005D"/>
    <s v="GI00N30100005D REDUCCIÓN DE RIESGOS DE DESASTRES EN EL"/>
    <s v="84 BIENES DE LARGA DURACIÓN"/>
    <s v="840104 Maquinarias y Equipos"/>
    <s v="G/840104/3FN301"/>
    <s v="001"/>
    <n v="4000"/>
    <n v="0"/>
    <n v="0"/>
    <n v="4000"/>
    <n v="0"/>
    <n v="0"/>
    <n v="0"/>
    <n v="4000"/>
    <n v="4000"/>
    <n v="4000"/>
  </r>
  <r>
    <s v="84"/>
    <x v="2"/>
    <x v="11"/>
    <s v="ZD07F070"/>
    <x v="43"/>
    <s v="N301"/>
    <s v="GESTION DE RIESGOS"/>
    <s v="GI00N30100005D"/>
    <s v="GI00N30100005D REDUCCIÓN DE RIESGOS DE DESASTRES EN EL"/>
    <s v="84 BIENES DE LARGA DURACIÓN"/>
    <s v="840104 Maquinarias y Equipos"/>
    <s v="G/840104/3FN301"/>
    <s v="001"/>
    <n v="15500"/>
    <n v="0"/>
    <n v="0"/>
    <n v="15500"/>
    <n v="0"/>
    <n v="0"/>
    <n v="0"/>
    <n v="15500"/>
    <n v="15500"/>
    <n v="15500"/>
  </r>
  <r>
    <s v="84"/>
    <x v="2"/>
    <x v="11"/>
    <s v="ZV05F050"/>
    <x v="37"/>
    <s v="N301"/>
    <s v="GESTION DE RIESGOS"/>
    <s v="GI00N30100005D"/>
    <s v="GI00N30100005D REDUCCIÓN DE RIESGOS DE DESASTRES EN EL"/>
    <s v="84 BIENES DE LARGA DURACIÓN"/>
    <s v="840104 Maquinarias y Equipos"/>
    <s v="G/840104/3FN301"/>
    <s v="001"/>
    <n v="9500"/>
    <n v="0"/>
    <n v="0"/>
    <n v="9500"/>
    <n v="231.29"/>
    <n v="9268.69"/>
    <n v="9268.69"/>
    <n v="231.31"/>
    <n v="231.31"/>
    <n v="0.02"/>
  </r>
  <r>
    <s v="84"/>
    <x v="2"/>
    <x v="11"/>
    <s v="ZC09F090"/>
    <x v="44"/>
    <s v="N301"/>
    <s v="GESTION DE RIESGOS"/>
    <s v="GI00N30100005D"/>
    <s v="GI00N30100005D REDUCCIÓN DE RIESGOS DE DESASTRES EN EL"/>
    <s v="84 BIENES DE LARGA DURACIÓN"/>
    <s v="840104 Maquinarias y Equipos"/>
    <s v="G/840104/3FN301"/>
    <s v="001"/>
    <n v="1700"/>
    <n v="0"/>
    <n v="0"/>
    <n v="1700"/>
    <n v="0"/>
    <n v="0"/>
    <n v="0"/>
    <n v="1700"/>
    <n v="1700"/>
    <n v="1700"/>
  </r>
  <r>
    <s v="84"/>
    <x v="2"/>
    <x v="11"/>
    <s v="ZM04F040"/>
    <x v="41"/>
    <s v="N301"/>
    <s v="GESTION DE RIESGOS"/>
    <s v="GI00N30100005D"/>
    <s v="GI00N30100005D REDUCCIÓN DE RIESGOS DE DESASTRES EN EL"/>
    <s v="84 BIENES DE LARGA DURACIÓN"/>
    <s v="840104 Maquinarias y Equipos"/>
    <s v="G/840104/3FN301"/>
    <s v="001"/>
    <n v="11000"/>
    <n v="0"/>
    <n v="0"/>
    <n v="11000"/>
    <n v="0"/>
    <n v="0"/>
    <n v="0"/>
    <n v="11000"/>
    <n v="11000"/>
    <n v="11000"/>
  </r>
  <r>
    <s v="84"/>
    <x v="2"/>
    <x v="11"/>
    <s v="ZD07F070"/>
    <x v="43"/>
    <s v="N301"/>
    <s v="GESTION DE RIESGOS"/>
    <s v="GI00N30100005D"/>
    <s v="GI00N30100005D REDUCCIÓN DE RIESGOS DE DESASTRES EN EL"/>
    <s v="84 BIENES DE LARGA DURACIÓN"/>
    <s v="840107 Equipos, Sistemas y Paquetes Informáticos"/>
    <s v="G/840107/3FN301"/>
    <s v="001"/>
    <n v="6000"/>
    <n v="0"/>
    <n v="0"/>
    <n v="6000"/>
    <n v="90.44"/>
    <n v="5800.48"/>
    <n v="5800.48"/>
    <n v="199.52"/>
    <n v="199.52"/>
    <n v="109.08"/>
  </r>
  <r>
    <s v="84"/>
    <x v="2"/>
    <x v="11"/>
    <s v="ZV05F050"/>
    <x v="37"/>
    <s v="N301"/>
    <s v="GESTION DE RIESGOS"/>
    <s v="GI00N30100006D"/>
    <s v="GI00N30100006D ATENCIÓN Y RESPUESTA DE EMERGENCIAS"/>
    <s v="84 BIENES DE LARGA DURACIÓN"/>
    <s v="840103 Mobiliarios"/>
    <s v="G/840103/3FN301"/>
    <s v="001"/>
    <n v="0"/>
    <n v="6498.08"/>
    <n v="0"/>
    <n v="6498.08"/>
    <n v="6498.08"/>
    <n v="0"/>
    <n v="0"/>
    <n v="6498.08"/>
    <n v="6498.08"/>
    <n v="0"/>
  </r>
  <r>
    <s v="84"/>
    <x v="2"/>
    <x v="11"/>
    <s v="TM68F100"/>
    <x v="34"/>
    <s v="N301"/>
    <s v="GESTION DE RIESGOS"/>
    <s v="GI00N30100006D"/>
    <s v="GI00N30100006D ATENCIÓN Y RESPUESTA DE EMERGENCIAS"/>
    <s v="84 BIENES DE LARGA DURACIÓN"/>
    <s v="840103 Mobiliarios"/>
    <s v="G/840103/3FN301"/>
    <s v="001"/>
    <n v="1000"/>
    <n v="0"/>
    <n v="0"/>
    <n v="1000"/>
    <n v="0"/>
    <n v="0"/>
    <n v="0"/>
    <n v="1000"/>
    <n v="1000"/>
    <n v="1000"/>
  </r>
  <r>
    <s v="84"/>
    <x v="2"/>
    <x v="11"/>
    <s v="ZQ08F080"/>
    <x v="39"/>
    <s v="N301"/>
    <s v="GESTION DE RIESGOS"/>
    <s v="GI00N30100006D"/>
    <s v="GI00N30100006D ATENCIÓN Y RESPUESTA DE EMERGENCIAS"/>
    <s v="84 BIENES DE LARGA DURACIÓN"/>
    <s v="840103 Mobiliarios"/>
    <s v="G/840103/3FN301"/>
    <s v="001"/>
    <n v="5000"/>
    <n v="0"/>
    <n v="0"/>
    <n v="5000"/>
    <n v="0"/>
    <n v="0"/>
    <n v="0"/>
    <n v="5000"/>
    <n v="5000"/>
    <n v="5000"/>
  </r>
  <r>
    <s v="84"/>
    <x v="2"/>
    <x v="11"/>
    <s v="ZM04F040"/>
    <x v="41"/>
    <s v="N301"/>
    <s v="GESTION DE RIESGOS"/>
    <s v="GI00N30100006D"/>
    <s v="GI00N30100006D ATENCIÓN Y RESPUESTA DE EMERGENCIAS"/>
    <s v="84 BIENES DE LARGA DURACIÓN"/>
    <s v="840104 Maquinarias y Equipos"/>
    <s v="G/840104/3FN301"/>
    <s v="001"/>
    <n v="5000"/>
    <n v="0"/>
    <n v="0"/>
    <n v="5000"/>
    <n v="0"/>
    <n v="0"/>
    <n v="0"/>
    <n v="5000"/>
    <n v="5000"/>
    <n v="5000"/>
  </r>
  <r>
    <s v="84"/>
    <x v="2"/>
    <x v="5"/>
    <s v="PM71N010"/>
    <x v="27"/>
    <s v="N301"/>
    <s v="GESTION DE RIESGOS"/>
    <s v="GI00N30100006D"/>
    <s v="GI00N30100006D ATENCIÓN Y RESPUESTA DE EMERGENCIAS"/>
    <s v="84 BIENES DE LARGA DURACIÓN"/>
    <s v="840104 Maquinarias y Equipos"/>
    <s v="G/840104/3NN301"/>
    <s v="001"/>
    <n v="50000"/>
    <n v="0"/>
    <n v="0"/>
    <n v="50000"/>
    <n v="41941"/>
    <n v="0"/>
    <n v="0"/>
    <n v="50000"/>
    <n v="50000"/>
    <n v="8059"/>
  </r>
  <r>
    <s v="84"/>
    <x v="2"/>
    <x v="11"/>
    <s v="ZC09F090"/>
    <x v="44"/>
    <s v="N301"/>
    <s v="GESTION DE RIESGOS"/>
    <s v="GI00N30100006D"/>
    <s v="GI00N30100006D ATENCIÓN Y RESPUESTA DE EMERGENCIAS"/>
    <s v="84 BIENES DE LARGA DURACIÓN"/>
    <s v="840104 Maquinarias y Equipos"/>
    <s v="G/840104/3FN301"/>
    <s v="001"/>
    <n v="2500"/>
    <n v="0"/>
    <n v="0"/>
    <n v="2500"/>
    <n v="0"/>
    <n v="0"/>
    <n v="0"/>
    <n v="2500"/>
    <n v="2500"/>
    <n v="2500"/>
  </r>
  <r>
    <s v="84"/>
    <x v="2"/>
    <x v="11"/>
    <s v="TM68F100"/>
    <x v="34"/>
    <s v="N301"/>
    <s v="GESTION DE RIESGOS"/>
    <s v="GI00N30100006D"/>
    <s v="GI00N30100006D ATENCIÓN Y RESPUESTA DE EMERGENCIAS"/>
    <s v="84 BIENES DE LARGA DURACIÓN"/>
    <s v="840104 Maquinarias y Equipos"/>
    <s v="G/840104/3FN301"/>
    <s v="001"/>
    <n v="2600"/>
    <n v="0"/>
    <n v="0"/>
    <n v="2600"/>
    <n v="0"/>
    <n v="0"/>
    <n v="0"/>
    <n v="2600"/>
    <n v="2600"/>
    <n v="2600"/>
  </r>
  <r>
    <s v="84"/>
    <x v="2"/>
    <x v="11"/>
    <s v="ZN02F020"/>
    <x v="40"/>
    <s v="N301"/>
    <s v="GESTION DE RIESGOS"/>
    <s v="GI00N30100006D"/>
    <s v="GI00N30100006D ATENCIÓN Y RESPUESTA DE EMERGENCIAS"/>
    <s v="84 BIENES DE LARGA DURACIÓN"/>
    <s v="840104 Maquinarias y Equipos"/>
    <s v="G/840104/3FN301"/>
    <s v="001"/>
    <n v="2000"/>
    <n v="3200"/>
    <n v="0"/>
    <n v="5200"/>
    <n v="0"/>
    <n v="0"/>
    <n v="0"/>
    <n v="5200"/>
    <n v="5200"/>
    <n v="5200"/>
  </r>
  <r>
    <s v="84"/>
    <x v="2"/>
    <x v="5"/>
    <s v="PM71N010"/>
    <x v="27"/>
    <s v="N301"/>
    <s v="GESTION DE RIESGOS"/>
    <s v="GI00N30100006D"/>
    <s v="GI00N30100006D ATENCIÓN Y RESPUESTA DE EMERGENCIAS"/>
    <s v="84 BIENES DE LARGA DURACIÓN"/>
    <s v="840106 Herramientas"/>
    <s v="G/840106/3NN301"/>
    <s v="001"/>
    <n v="50000"/>
    <n v="0"/>
    <n v="0"/>
    <n v="50000"/>
    <n v="0"/>
    <n v="0"/>
    <n v="0"/>
    <n v="50000"/>
    <n v="50000"/>
    <n v="50000"/>
  </r>
  <r>
    <s v="84"/>
    <x v="2"/>
    <x v="11"/>
    <s v="ZS03F030"/>
    <x v="38"/>
    <s v="N301"/>
    <s v="GESTION DE RIESGOS"/>
    <s v="GI00N30100006D"/>
    <s v="GI00N30100006D ATENCIÓN Y RESPUESTA DE EMERGENCIAS"/>
    <s v="84 BIENES DE LARGA DURACIÓN"/>
    <s v="840107 Equipos, Sistemas y Paquetes Informáticos"/>
    <s v="G/840107/3FN301"/>
    <s v="001"/>
    <n v="4500"/>
    <n v="0"/>
    <n v="0"/>
    <n v="4500"/>
    <n v="0"/>
    <n v="0"/>
    <n v="0"/>
    <n v="4500"/>
    <n v="4500"/>
    <n v="4500"/>
  </r>
  <r>
    <s v="84"/>
    <x v="2"/>
    <x v="8"/>
    <s v="FS66P020"/>
    <x v="36"/>
    <s v="P303"/>
    <s v="PROTEGER EL PATRIMONIO HISTORICO Y CULTURAL DEL DM"/>
    <s v="GI00P30300006D"/>
    <s v="GI00P30300006D  CONSERVACIÓN DE EDIFICACIONES PATRIMONI"/>
    <s v="84 BIENES DE LARGA DURACIÓN"/>
    <s v="840103 Mobiliarios"/>
    <s v="G/840103/3PP303"/>
    <s v="001"/>
    <n v="0"/>
    <n v="33600"/>
    <n v="0"/>
    <n v="33600"/>
    <n v="0"/>
    <n v="0"/>
    <n v="0"/>
    <n v="33600"/>
    <n v="33600"/>
    <n v="33600"/>
  </r>
  <r>
    <s v="84"/>
    <x v="2"/>
    <x v="8"/>
    <s v="FS66P020"/>
    <x v="36"/>
    <s v="P303"/>
    <s v="PROTEGER EL PATRIMONIO HISTORICO Y CULTURAL DEL DM"/>
    <s v="GI00P30300009D"/>
    <s v="GI00P30300009D CONSERVACIÓN DEL PATRIMONIO  ARQUEOLÓGIC"/>
    <s v="84 BIENES DE LARGA DURACIÓN"/>
    <s v="840103 Mobiliarios"/>
    <s v="G/840103/3PP303"/>
    <s v="001"/>
    <n v="70000"/>
    <n v="0"/>
    <n v="0"/>
    <n v="70000"/>
    <n v="0"/>
    <n v="0"/>
    <n v="0"/>
    <n v="70000"/>
    <n v="70000"/>
    <n v="70000"/>
  </r>
  <r>
    <s v="84"/>
    <x v="2"/>
    <x v="8"/>
    <s v="ZA01P000"/>
    <x v="15"/>
    <s v="P306"/>
    <s v="REGULACIÓN DEL USO Y GESTIÓN DEL SUELO"/>
    <s v="GI00P30600001D"/>
    <s v="GI00P30600001D ACTUALIZACIÓN DE LOS INSTRUMENTOS DE PLA"/>
    <s v="84 BIENES DE LARGA DURACIÓN"/>
    <s v="840107 Equipos, Sistemas y Paquetes Informáticos"/>
    <s v="G/840107/3PP306"/>
    <s v="001"/>
    <n v="40000"/>
    <n v="0"/>
    <n v="0"/>
    <n v="40000"/>
    <n v="0"/>
    <n v="0"/>
    <n v="0"/>
    <n v="40000"/>
    <n v="40000"/>
    <n v="40000"/>
  </r>
  <r>
    <s v="84"/>
    <x v="2"/>
    <x v="11"/>
    <s v="RB34F010"/>
    <x v="33"/>
    <s v="P306"/>
    <s v="REGULACIÓN DEL USO Y GESTIÓN DEL SUELO"/>
    <s v="GI00P30600004D"/>
    <s v="GI00P30600004D REGULA TU BARRIO"/>
    <s v="84 BIENES DE LARGA DURACIÓN"/>
    <s v="840104 Maquinarias y Equipos"/>
    <s v="G/840104/3FP306"/>
    <s v="001"/>
    <n v="20000"/>
    <n v="0"/>
    <n v="0"/>
    <n v="20000"/>
    <n v="0"/>
    <n v="0"/>
    <n v="0"/>
    <n v="20000"/>
    <n v="20000"/>
    <n v="20000"/>
  </r>
  <r>
    <s v="84"/>
    <x v="2"/>
    <x v="11"/>
    <s v="RB34F010"/>
    <x v="33"/>
    <s v="P306"/>
    <s v="REGULACIÓN DEL USO Y GESTIÓN DEL SUELO"/>
    <s v="GI00P30600004D"/>
    <s v="GI00P30600004D REGULA TU BARRIO"/>
    <s v="84 BIENES DE LARGA DURACIÓN"/>
    <s v="840107 Equipos, Sistemas y Paquetes Informáticos"/>
    <s v="G/840107/3FP306"/>
    <s v="001"/>
    <n v="13500"/>
    <n v="0"/>
    <n v="0"/>
    <n v="13500"/>
    <n v="0"/>
    <n v="0"/>
    <n v="0"/>
    <n v="13500"/>
    <n v="13500"/>
    <n v="13500"/>
  </r>
  <r>
    <s v="96"/>
    <x v="0"/>
    <x v="0"/>
    <s v="ZA01A003"/>
    <x v="48"/>
    <s v="L101"/>
    <s v="GESTION INSTITUCIONAL EFICIENTE E INNOVADORA"/>
    <s v="GI00L10100005D"/>
    <s v="GI00L10100005D GESTIÓN FINANCIERA"/>
    <s v="96 AMORTIZACIÓN DE LA DEUDA PÚBLICA"/>
    <s v="960201 Al Sector Público Financiero"/>
    <s v="G/960201/1AL101"/>
    <s v="002"/>
    <n v="16309720.710000001"/>
    <n v="0"/>
    <n v="0"/>
    <n v="16309720.710000001"/>
    <n v="0"/>
    <n v="15274751.029999999"/>
    <n v="15274751.029999999"/>
    <n v="1034969.68"/>
    <n v="1034969.68"/>
    <n v="1034969.68"/>
  </r>
  <r>
    <s v="96"/>
    <x v="0"/>
    <x v="0"/>
    <s v="ZA01A003"/>
    <x v="48"/>
    <s v="L101"/>
    <s v="GESTION INSTITUCIONAL EFICIENTE E INNOVADORA"/>
    <s v="GI00L10100005D"/>
    <s v="GI00L10100005D GESTIÓN FINANCIERA"/>
    <s v="96 AMORTIZACIÓN DE LA DEUDA PÚBLICA"/>
    <s v="960301 A Organismos Multilaterales"/>
    <s v="G/960301/1AL101"/>
    <s v="002"/>
    <n v="28795415.219999999"/>
    <n v="-5310720"/>
    <n v="0"/>
    <n v="23484695.219999999"/>
    <n v="0"/>
    <n v="18412440.18"/>
    <n v="18412440.18"/>
    <n v="5072255.04"/>
    <n v="5072255.04"/>
    <n v="5072255.04"/>
  </r>
  <r>
    <s v="96"/>
    <x v="0"/>
    <x v="0"/>
    <s v="ZA01A003"/>
    <x v="48"/>
    <s v="L101"/>
    <s v="GESTION INSTITUCIONAL EFICIENTE E INNOVADORA"/>
    <s v="GI00L10100005D"/>
    <s v="GI00L10100005D GESTIÓN FINANCIERA"/>
    <s v="96 AMORTIZACIÓN DE LA DEUDA PÚBLICA"/>
    <s v="960604 Al Sector Privado no Financiero"/>
    <s v="G/960604/1AL101"/>
    <s v="002"/>
    <n v="0"/>
    <n v="5310720"/>
    <n v="0"/>
    <n v="5310720"/>
    <n v="0"/>
    <n v="5310720"/>
    <n v="5310720"/>
    <n v="0"/>
    <n v="0"/>
    <n v="0"/>
  </r>
  <r>
    <s v="99"/>
    <x v="0"/>
    <x v="0"/>
    <s v="ZA01A003"/>
    <x v="48"/>
    <s v="A101"/>
    <s v="FORTALECIMIENTO INSTITUCIONAL"/>
    <s v="GC00A10100001D"/>
    <s v="GC00A10100001D GASTOS ADMINISTRATIVOS"/>
    <s v="99 OTROS PASIVOS"/>
    <s v="990103 Obligaciones de Ejercicios Anteriores por L"/>
    <s v="G/990103/1AA101"/>
    <s v="002"/>
    <n v="400000"/>
    <n v="0"/>
    <n v="0"/>
    <n v="400000"/>
    <n v="0"/>
    <n v="0"/>
    <n v="0"/>
    <n v="400000"/>
    <n v="400000"/>
    <n v="400000"/>
  </r>
  <r>
    <s v="99"/>
    <x v="0"/>
    <x v="0"/>
    <s v="RP36A010"/>
    <x v="2"/>
    <s v="A101"/>
    <s v="FORTALECIMIENTO INSTITUCIONAL"/>
    <s v="GC00A10100004D"/>
    <s v="GC00A10100004D REMUNERACION PERSONAL"/>
    <s v="99 OTROS PASIVOS"/>
    <s v="990101 Obligaciones de Ejercicios Anteriores por E"/>
    <s v="G/990101/1AA101"/>
    <s v="002"/>
    <n v="0"/>
    <n v="15000"/>
    <n v="0"/>
    <n v="15000"/>
    <n v="0"/>
    <n v="0"/>
    <n v="0"/>
    <n v="15000"/>
    <n v="15000"/>
    <n v="15000"/>
  </r>
  <r>
    <s v="99"/>
    <x v="0"/>
    <x v="12"/>
    <s v="MC37B000"/>
    <x v="28"/>
    <s v="A101"/>
    <s v="FORTALECIMIENTO INSTITUCIONAL"/>
    <s v="GC00A10100004D"/>
    <s v="GC00A10100004D REMUNERACION PERSONAL"/>
    <s v="99 OTROS PASIVOS"/>
    <s v="990101 Obligaciones de Ejercicios Anteriores por E"/>
    <s v="G/990101/1BA101"/>
    <s v="002"/>
    <n v="0"/>
    <n v="50000"/>
    <n v="0"/>
    <n v="50000"/>
    <n v="0"/>
    <n v="19236.400000000001"/>
    <n v="16768.29"/>
    <n v="30763.599999999999"/>
    <n v="33231.71"/>
    <n v="30763.599999999999"/>
  </r>
  <r>
    <s v="99"/>
    <x v="0"/>
    <x v="0"/>
    <s v="ZA01A000"/>
    <x v="1"/>
    <s v="A101"/>
    <s v="FORTALECIMIENTO INSTITUCIONAL"/>
    <s v="GC00A10100004D"/>
    <s v="GC00A10100004D REMUNERACION PERSONAL"/>
    <s v="99 OTROS PASIVOS"/>
    <s v="990101 Obligaciones de Ejercicios Anteriores por E"/>
    <s v="G/990101/1AA101"/>
    <s v="002"/>
    <n v="1025101.75"/>
    <n v="-113299.89"/>
    <n v="0"/>
    <n v="911801.86"/>
    <n v="0"/>
    <n v="439825.62"/>
    <n v="434756.7"/>
    <n v="471976.24"/>
    <n v="477045.16"/>
    <n v="471976.24"/>
  </r>
  <r>
    <s v="99"/>
    <x v="2"/>
    <x v="11"/>
    <s v="TM68F100"/>
    <x v="34"/>
    <s v="F102"/>
    <s v="PARTICIPACION CIUDADANA"/>
    <s v="GI00F10200005D"/>
    <s v="GI00F10200005D CASAS SOMOS QUITO"/>
    <s v="99 OTROS PASIVOS"/>
    <s v="990101 Obligaciones de Ejercicios Anteriores por E"/>
    <s v="G/990101/1FF102"/>
    <s v="001"/>
    <n v="0"/>
    <n v="2086.54"/>
    <n v="0"/>
    <n v="2086.54"/>
    <n v="0"/>
    <n v="2086.54"/>
    <n v="2086.5300000000002"/>
    <n v="0"/>
    <n v="0.01"/>
    <n v="0"/>
  </r>
  <r>
    <s v="99"/>
    <x v="2"/>
    <x v="11"/>
    <s v="ZT06F060"/>
    <x v="25"/>
    <s v="F102"/>
    <s v="PARTICIPACION CIUDADANA"/>
    <s v="GI00F10200005D"/>
    <s v="GI00F10200005D CASAS SOMOS QUITO"/>
    <s v="99 OTROS PASIVOS"/>
    <s v="990101 Obligaciones de Ejercicios Anteriores por E"/>
    <s v="G/990101/1FF102"/>
    <s v="002"/>
    <n v="0"/>
    <n v="1980.52"/>
    <n v="0"/>
    <n v="1980.52"/>
    <n v="0"/>
    <n v="0"/>
    <n v="0"/>
    <n v="1980.52"/>
    <n v="1980.52"/>
    <n v="1980.5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11" cacheId="2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C3103:D3198" firstHeaderRow="1" firstDataRow="1" firstDataCol="1"/>
  <pivotFields count="23">
    <pivotField showAll="0"/>
    <pivotField axis="axisRow" showAll="0">
      <items count="5">
        <item x="2"/>
        <item x="3"/>
        <item x="0"/>
        <item x="1"/>
        <item t="default"/>
      </items>
    </pivotField>
    <pivotField axis="axisRow" showAll="0">
      <items count="17">
        <item x="0"/>
        <item x="15"/>
        <item x="12"/>
        <item x="10"/>
        <item x="9"/>
        <item x="1"/>
        <item x="11"/>
        <item x="13"/>
        <item x="14"/>
        <item x="2"/>
        <item x="4"/>
        <item x="6"/>
        <item x="7"/>
        <item x="3"/>
        <item x="5"/>
        <item x="8"/>
        <item t="default"/>
      </items>
    </pivotField>
    <pivotField showAll="0"/>
    <pivotField axis="axisRow" showAll="0">
      <items count="75">
        <item x="43"/>
        <item x="1"/>
        <item x="40"/>
        <item x="44"/>
        <item x="38"/>
        <item x="41"/>
        <item x="39"/>
        <item x="25"/>
        <item x="37"/>
        <item x="32"/>
        <item x="13"/>
        <item x="28"/>
        <item x="19"/>
        <item x="56"/>
        <item x="57"/>
        <item x="23"/>
        <item x="22"/>
        <item x="73"/>
        <item x="3"/>
        <item x="64"/>
        <item x="27"/>
        <item x="47"/>
        <item x="49"/>
        <item x="51"/>
        <item x="50"/>
        <item x="59"/>
        <item x="4"/>
        <item x="0"/>
        <item x="48"/>
        <item x="46"/>
        <item x="52"/>
        <item x="71"/>
        <item x="65"/>
        <item x="61"/>
        <item x="72"/>
        <item x="60"/>
        <item x="69"/>
        <item x="67"/>
        <item x="55"/>
        <item x="68"/>
        <item x="62"/>
        <item x="63"/>
        <item x="45"/>
        <item x="70"/>
        <item x="58"/>
        <item x="36"/>
        <item x="53"/>
        <item x="54"/>
        <item x="2"/>
        <item x="24"/>
        <item x="18"/>
        <item x="29"/>
        <item x="9"/>
        <item x="17"/>
        <item x="6"/>
        <item x="30"/>
        <item x="5"/>
        <item x="31"/>
        <item x="14"/>
        <item x="10"/>
        <item x="15"/>
        <item x="7"/>
        <item x="11"/>
        <item x="8"/>
        <item x="21"/>
        <item x="12"/>
        <item x="26"/>
        <item x="42"/>
        <item x="20"/>
        <item x="35"/>
        <item x="16"/>
        <item x="33"/>
        <item x="34"/>
        <item x="6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dataField="1" numFmtId="2" showAll="0"/>
    <pivotField numFmtId="2" showAll="0"/>
    <pivotField numFmtId="2" showAll="0"/>
    <pivotField numFmtId="2" showAll="0"/>
  </pivotFields>
  <rowFields count="3">
    <field x="1"/>
    <field x="2"/>
    <field x="4"/>
  </rowFields>
  <rowItems count="95">
    <i>
      <x/>
    </i>
    <i r="1">
      <x v="3"/>
    </i>
    <i r="2">
      <x v="33"/>
    </i>
    <i r="2">
      <x v="49"/>
    </i>
    <i r="1">
      <x v="6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57"/>
    </i>
    <i r="2">
      <x v="71"/>
    </i>
    <i r="2">
      <x v="72"/>
    </i>
    <i r="1">
      <x v="11"/>
    </i>
    <i r="2">
      <x v="10"/>
    </i>
    <i r="2">
      <x v="36"/>
    </i>
    <i r="2">
      <x v="37"/>
    </i>
    <i r="2">
      <x v="39"/>
    </i>
    <i r="2">
      <x v="53"/>
    </i>
    <i r="1">
      <x v="14"/>
    </i>
    <i r="2">
      <x v="20"/>
    </i>
    <i r="2">
      <x v="59"/>
    </i>
    <i r="1">
      <x v="15"/>
    </i>
    <i r="2">
      <x v="31"/>
    </i>
    <i r="2">
      <x v="34"/>
    </i>
    <i r="2">
      <x v="45"/>
    </i>
    <i r="2">
      <x v="60"/>
    </i>
    <i>
      <x v="1"/>
    </i>
    <i r="1">
      <x v="1"/>
    </i>
    <i r="2">
      <x v="9"/>
    </i>
    <i r="2">
      <x v="35"/>
    </i>
    <i r="1">
      <x v="8"/>
    </i>
    <i r="2">
      <x v="19"/>
    </i>
    <i r="2">
      <x v="32"/>
    </i>
    <i r="2">
      <x v="38"/>
    </i>
    <i r="2">
      <x v="55"/>
    </i>
    <i>
      <x v="2"/>
    </i>
    <i r="1">
      <x/>
    </i>
    <i r="2">
      <x v="1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48"/>
    </i>
    <i r="1">
      <x v="2"/>
    </i>
    <i r="2">
      <x v="11"/>
    </i>
    <i r="1">
      <x v="4"/>
    </i>
    <i r="2">
      <x v="50"/>
    </i>
    <i r="1">
      <x v="5"/>
    </i>
    <i r="2">
      <x v="12"/>
    </i>
    <i r="2">
      <x v="18"/>
    </i>
    <i r="2">
      <x v="29"/>
    </i>
    <i r="2">
      <x v="42"/>
    </i>
    <i r="2">
      <x v="46"/>
    </i>
    <i r="2">
      <x v="47"/>
    </i>
    <i r="1">
      <x v="12"/>
    </i>
    <i r="2">
      <x v="43"/>
    </i>
    <i r="2">
      <x v="44"/>
    </i>
    <i r="2">
      <x v="58"/>
    </i>
    <i>
      <x v="3"/>
    </i>
    <i r="1">
      <x v="7"/>
    </i>
    <i r="2">
      <x v="13"/>
    </i>
    <i r="2">
      <x v="14"/>
    </i>
    <i r="2">
      <x v="40"/>
    </i>
    <i r="2">
      <x v="41"/>
    </i>
    <i r="2">
      <x v="51"/>
    </i>
    <i r="1">
      <x v="9"/>
    </i>
    <i r="2">
      <x v="15"/>
    </i>
    <i r="2">
      <x v="16"/>
    </i>
    <i r="2">
      <x v="56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1">
      <x v="10"/>
    </i>
    <i r="2">
      <x v="17"/>
    </i>
    <i r="2">
      <x v="52"/>
    </i>
    <i r="2">
      <x v="73"/>
    </i>
    <i r="1">
      <x v="13"/>
    </i>
    <i r="2">
      <x v="54"/>
    </i>
    <i r="2">
      <x v="61"/>
    </i>
    <i r="2">
      <x v="62"/>
    </i>
    <i r="2">
      <x v="63"/>
    </i>
    <i t="grand">
      <x/>
    </i>
  </rowItems>
  <colItems count="1">
    <i/>
  </colItems>
  <dataFields count="1">
    <dataField name="Suma de Devengado" fld="19" baseField="0" baseItem="0" numFmtId="4"/>
  </dataFields>
  <formats count="2">
    <format dxfId="41">
      <pivotArea outline="0" collapsedLevelsAreSubtotals="1" fieldPosition="0"/>
    </format>
    <format dxfId="4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0" cacheId="2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C13:D17" firstHeaderRow="1" firstDataRow="1" firstDataCol="1"/>
  <pivotFields count="23">
    <pivotField showAll="0"/>
    <pivotField axis="axisRow" showAll="0">
      <items count="2">
        <item x="0"/>
        <item t="default"/>
      </items>
    </pivotField>
    <pivotField axis="axisRow" showAll="0">
      <items count="2">
        <item x="0"/>
        <item t="default"/>
      </items>
    </pivotField>
    <pivotField showAll="0"/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dataField="1" numFmtId="2" showAll="0"/>
    <pivotField numFmtId="2" showAll="0"/>
    <pivotField numFmtId="2" showAll="0"/>
    <pivotField numFmtId="2" showAll="0"/>
  </pivotFields>
  <rowFields count="3">
    <field x="1"/>
    <field x="2"/>
    <field x="4"/>
  </rowFields>
  <rowItems count="4">
    <i>
      <x/>
    </i>
    <i r="1">
      <x/>
    </i>
    <i r="2">
      <x/>
    </i>
    <i t="grand">
      <x/>
    </i>
  </rowItems>
  <colItems count="1">
    <i/>
  </colItems>
  <dataFields count="1">
    <dataField name="Suma de Devengado" fld="19" baseField="0" baseItem="0" numFmtId="4"/>
  </dataFields>
  <formats count="1">
    <format dxfId="3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8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12:E116" firstHeaderRow="0" firstDataRow="1" firstDataCol="1"/>
  <pivotFields count="23">
    <pivotField showAll="0"/>
    <pivotField axis="axisRow" showAll="0">
      <items count="2">
        <item x="0"/>
        <item t="default"/>
      </items>
    </pivotField>
    <pivotField axis="axisRow" showAll="0">
      <items count="2">
        <item x="0"/>
        <item t="default"/>
      </items>
    </pivotField>
    <pivotField showAll="0"/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2" showAll="0"/>
    <pivotField numFmtId="2" showAll="0"/>
    <pivotField dataField="1" numFmtId="2" showAll="0"/>
    <pivotField dataField="1" numFmtId="2" showAll="0"/>
    <pivotField numFmtId="2" showAll="0"/>
    <pivotField numFmtId="2" showAll="0"/>
    <pivotField dataField="1" numFmtId="2" showAll="0"/>
    <pivotField numFmtId="2" showAll="0"/>
    <pivotField numFmtId="2" showAll="0"/>
    <pivotField numFmtId="2" showAll="0"/>
  </pivotFields>
  <rowFields count="3">
    <field x="1"/>
    <field x="2"/>
    <field x="4"/>
  </rowFields>
  <rowItems count="4">
    <i>
      <x/>
    </i>
    <i r="1">
      <x/>
    </i>
    <i r="2">
      <x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Asignación inicial 2020" fld="13" baseField="0" baseItem="0"/>
    <dataField name="Codificado 2020" fld="16" baseField="0" baseItem="0"/>
    <dataField name="Reforma 2020" fld="15" baseField="0" baseItem="0"/>
    <dataField name="Devengado 1/12/2020" fld="19" baseField="0" baseItem="0"/>
  </dataFields>
  <formats count="5">
    <format dxfId="25">
      <pivotArea outline="0" collapsedLevelsAreSubtotals="1" fieldPosition="0"/>
    </format>
    <format dxfId="2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1" cacheId="2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Area / Sector / Centro Gestor">
  <location ref="A6:E101" firstHeaderRow="0" firstDataRow="1" firstDataCol="1"/>
  <pivotFields count="23">
    <pivotField showAll="0"/>
    <pivotField axis="axisRow" showAll="0">
      <items count="5">
        <item x="2"/>
        <item x="3"/>
        <item x="0"/>
        <item x="1"/>
        <item t="default"/>
      </items>
    </pivotField>
    <pivotField axis="axisRow" showAll="0">
      <items count="17">
        <item x="0"/>
        <item x="6"/>
        <item x="12"/>
        <item x="13"/>
        <item x="14"/>
        <item x="1"/>
        <item x="7"/>
        <item x="15"/>
        <item x="11"/>
        <item x="10"/>
        <item x="5"/>
        <item x="3"/>
        <item x="4"/>
        <item x="2"/>
        <item x="9"/>
        <item x="8"/>
        <item t="default"/>
      </items>
    </pivotField>
    <pivotField showAll="0"/>
    <pivotField axis="axisRow" showAll="0">
      <items count="75">
        <item x="43"/>
        <item x="3"/>
        <item x="46"/>
        <item x="10"/>
        <item x="45"/>
        <item x="41"/>
        <item x="44"/>
        <item x="40"/>
        <item x="39"/>
        <item x="9"/>
        <item x="16"/>
        <item x="21"/>
        <item x="24"/>
        <item x="57"/>
        <item x="58"/>
        <item x="17"/>
        <item x="38"/>
        <item x="73"/>
        <item x="2"/>
        <item x="65"/>
        <item x="20"/>
        <item x="47"/>
        <item x="48"/>
        <item x="51"/>
        <item x="50"/>
        <item x="60"/>
        <item x="4"/>
        <item x="1"/>
        <item x="49"/>
        <item x="11"/>
        <item x="52"/>
        <item x="72"/>
        <item x="66"/>
        <item x="62"/>
        <item x="55"/>
        <item x="61"/>
        <item x="70"/>
        <item x="68"/>
        <item x="56"/>
        <item x="69"/>
        <item x="63"/>
        <item x="64"/>
        <item x="12"/>
        <item x="71"/>
        <item x="59"/>
        <item x="13"/>
        <item x="53"/>
        <item x="54"/>
        <item x="0"/>
        <item x="22"/>
        <item x="23"/>
        <item x="26"/>
        <item x="8"/>
        <item x="6"/>
        <item x="42"/>
        <item x="19"/>
        <item x="18"/>
        <item x="25"/>
        <item x="7"/>
        <item x="14"/>
        <item x="32"/>
        <item x="33"/>
        <item x="15"/>
        <item x="5"/>
        <item x="37"/>
        <item x="27"/>
        <item x="28"/>
        <item x="29"/>
        <item x="35"/>
        <item x="34"/>
        <item x="30"/>
        <item x="31"/>
        <item x="36"/>
        <item x="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2" showAll="0"/>
    <pivotField numFmtId="2" showAll="0"/>
    <pivotField dataField="1" numFmtId="2" showAll="0"/>
    <pivotField dataField="1" numFmtId="2" showAll="0"/>
    <pivotField numFmtId="2" showAll="0"/>
    <pivotField numFmtId="2" showAll="0"/>
    <pivotField dataField="1" numFmtId="2" showAll="0"/>
    <pivotField numFmtId="2" showAll="0"/>
    <pivotField numFmtId="2" showAll="0"/>
    <pivotField numFmtId="2" showAll="0"/>
  </pivotFields>
  <rowFields count="3">
    <field x="1"/>
    <field x="2"/>
    <field x="4"/>
  </rowFields>
  <rowItems count="95">
    <i>
      <x/>
    </i>
    <i r="1">
      <x v="3"/>
    </i>
    <i r="2">
      <x v="33"/>
    </i>
    <i r="2">
      <x v="49"/>
    </i>
    <i r="1">
      <x v="6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57"/>
    </i>
    <i r="2">
      <x v="71"/>
    </i>
    <i r="2">
      <x v="72"/>
    </i>
    <i r="1">
      <x v="11"/>
    </i>
    <i r="2">
      <x v="10"/>
    </i>
    <i r="2">
      <x v="36"/>
    </i>
    <i r="2">
      <x v="37"/>
    </i>
    <i r="2">
      <x v="39"/>
    </i>
    <i r="2">
      <x v="53"/>
    </i>
    <i r="1">
      <x v="14"/>
    </i>
    <i r="2">
      <x v="20"/>
    </i>
    <i r="2">
      <x v="59"/>
    </i>
    <i r="1">
      <x v="15"/>
    </i>
    <i r="2">
      <x v="31"/>
    </i>
    <i r="2">
      <x v="34"/>
    </i>
    <i r="2">
      <x v="45"/>
    </i>
    <i r="2">
      <x v="60"/>
    </i>
    <i>
      <x v="1"/>
    </i>
    <i r="1">
      <x v="1"/>
    </i>
    <i r="2">
      <x v="9"/>
    </i>
    <i r="2">
      <x v="35"/>
    </i>
    <i r="1">
      <x v="8"/>
    </i>
    <i r="2">
      <x v="19"/>
    </i>
    <i r="2">
      <x v="32"/>
    </i>
    <i r="2">
      <x v="38"/>
    </i>
    <i r="2">
      <x v="55"/>
    </i>
    <i>
      <x v="2"/>
    </i>
    <i r="1">
      <x/>
    </i>
    <i r="2">
      <x v="1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48"/>
    </i>
    <i r="1">
      <x v="2"/>
    </i>
    <i r="2">
      <x v="11"/>
    </i>
    <i r="1">
      <x v="4"/>
    </i>
    <i r="2">
      <x v="50"/>
    </i>
    <i r="1">
      <x v="5"/>
    </i>
    <i r="2">
      <x v="12"/>
    </i>
    <i r="2">
      <x v="18"/>
    </i>
    <i r="2">
      <x v="29"/>
    </i>
    <i r="2">
      <x v="42"/>
    </i>
    <i r="2">
      <x v="46"/>
    </i>
    <i r="2">
      <x v="47"/>
    </i>
    <i r="1">
      <x v="12"/>
    </i>
    <i r="2">
      <x v="43"/>
    </i>
    <i r="2">
      <x v="44"/>
    </i>
    <i r="2">
      <x v="58"/>
    </i>
    <i>
      <x v="3"/>
    </i>
    <i r="1">
      <x v="7"/>
    </i>
    <i r="2">
      <x v="13"/>
    </i>
    <i r="2">
      <x v="14"/>
    </i>
    <i r="2">
      <x v="40"/>
    </i>
    <i r="2">
      <x v="41"/>
    </i>
    <i r="2">
      <x v="51"/>
    </i>
    <i r="1">
      <x v="9"/>
    </i>
    <i r="2">
      <x v="15"/>
    </i>
    <i r="2">
      <x v="16"/>
    </i>
    <i r="2">
      <x v="56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1">
      <x v="10"/>
    </i>
    <i r="2">
      <x v="17"/>
    </i>
    <i r="2">
      <x v="52"/>
    </i>
    <i r="2">
      <x v="73"/>
    </i>
    <i r="1">
      <x v="13"/>
    </i>
    <i r="2">
      <x v="54"/>
    </i>
    <i r="2">
      <x v="61"/>
    </i>
    <i r="2">
      <x v="62"/>
    </i>
    <i r="2">
      <x v="6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Asignación inicial 2020" fld="13" baseField="0" baseItem="0"/>
    <dataField name="Codificado 2020" fld="16" baseField="0" baseItem="0"/>
    <dataField name="Reformas 2020" fld="15" baseField="0" baseItem="0"/>
    <dataField name="Devengado 1/12/2020" fld="19" baseField="0" baseItem="0"/>
  </dataFields>
  <formats count="13"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9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Area / Sector / Centro Gestor  ">
  <location ref="A113:D117" firstHeaderRow="0" firstDataRow="1" firstDataCol="1"/>
  <pivotFields count="23">
    <pivotField showAll="0"/>
    <pivotField axis="axisRow" showAll="0">
      <items count="2">
        <item x="0"/>
        <item t="default"/>
      </items>
    </pivotField>
    <pivotField axis="axisRow" showAll="0">
      <items count="2">
        <item x="0"/>
        <item t="default"/>
      </items>
    </pivotField>
    <pivotField showAll="0"/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2" showAll="0"/>
    <pivotField numFmtId="2" showAll="0"/>
    <pivotField dataField="1" numFmtId="2" showAll="0"/>
    <pivotField dataField="1"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</pivotFields>
  <rowFields count="3">
    <field x="1"/>
    <field x="2"/>
    <field x="4"/>
  </rowFields>
  <rowItems count="4">
    <i>
      <x/>
    </i>
    <i r="1">
      <x/>
    </i>
    <i r="2"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Asignación inicial 2020" fld="13" baseField="0" baseItem="0"/>
    <dataField name="Codificado 2020" fld="16" baseField="0" baseItem="0"/>
    <dataField name="Reforma 2020" fld="15" baseField="0" baseItem="0"/>
  </dataFields>
  <formats count="6">
    <format dxfId="9">
      <pivotArea outline="0" collapsedLevelsAreSubtotals="1" fieldPosition="0"/>
    </format>
    <format dxfId="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field="1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1" cacheId="2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Area / Sector / Centro Gestor">
  <location ref="A5:D100" firstHeaderRow="0" firstDataRow="1" firstDataCol="1"/>
  <pivotFields count="23">
    <pivotField showAll="0"/>
    <pivotField axis="axisRow" showAll="0">
      <items count="5">
        <item x="2"/>
        <item x="3"/>
        <item x="0"/>
        <item x="1"/>
        <item t="default"/>
      </items>
    </pivotField>
    <pivotField axis="axisRow" showAll="0">
      <items count="17">
        <item x="0"/>
        <item x="6"/>
        <item x="12"/>
        <item x="13"/>
        <item x="14"/>
        <item x="1"/>
        <item x="7"/>
        <item x="15"/>
        <item x="11"/>
        <item x="10"/>
        <item x="5"/>
        <item x="3"/>
        <item x="4"/>
        <item x="2"/>
        <item x="9"/>
        <item x="8"/>
        <item t="default"/>
      </items>
    </pivotField>
    <pivotField showAll="0"/>
    <pivotField axis="axisRow" showAll="0">
      <items count="75">
        <item x="43"/>
        <item x="3"/>
        <item x="46"/>
        <item x="10"/>
        <item x="45"/>
        <item x="41"/>
        <item x="44"/>
        <item x="40"/>
        <item x="39"/>
        <item x="9"/>
        <item x="16"/>
        <item x="21"/>
        <item x="24"/>
        <item x="57"/>
        <item x="58"/>
        <item x="17"/>
        <item x="38"/>
        <item x="73"/>
        <item x="2"/>
        <item x="65"/>
        <item x="20"/>
        <item x="47"/>
        <item x="48"/>
        <item x="51"/>
        <item x="50"/>
        <item x="60"/>
        <item x="4"/>
        <item x="1"/>
        <item x="49"/>
        <item x="11"/>
        <item x="52"/>
        <item x="72"/>
        <item x="66"/>
        <item x="62"/>
        <item x="55"/>
        <item x="61"/>
        <item x="70"/>
        <item x="68"/>
        <item x="56"/>
        <item x="69"/>
        <item x="63"/>
        <item x="64"/>
        <item x="12"/>
        <item x="71"/>
        <item x="59"/>
        <item x="13"/>
        <item x="53"/>
        <item x="54"/>
        <item x="0"/>
        <item x="22"/>
        <item x="23"/>
        <item x="26"/>
        <item x="8"/>
        <item x="6"/>
        <item x="42"/>
        <item x="19"/>
        <item x="18"/>
        <item x="25"/>
        <item x="7"/>
        <item x="14"/>
        <item x="32"/>
        <item x="33"/>
        <item x="15"/>
        <item x="5"/>
        <item x="37"/>
        <item x="27"/>
        <item x="28"/>
        <item x="29"/>
        <item x="35"/>
        <item x="34"/>
        <item x="30"/>
        <item x="31"/>
        <item x="36"/>
        <item x="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2" showAll="0"/>
    <pivotField numFmtId="2" showAll="0"/>
    <pivotField dataField="1" numFmtId="2" showAll="0"/>
    <pivotField dataField="1"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</pivotFields>
  <rowFields count="3">
    <field x="1"/>
    <field x="2"/>
    <field x="4"/>
  </rowFields>
  <rowItems count="95">
    <i>
      <x/>
    </i>
    <i r="1">
      <x v="3"/>
    </i>
    <i r="2">
      <x v="33"/>
    </i>
    <i r="2">
      <x v="49"/>
    </i>
    <i r="1">
      <x v="6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57"/>
    </i>
    <i r="2">
      <x v="71"/>
    </i>
    <i r="2">
      <x v="72"/>
    </i>
    <i r="1">
      <x v="11"/>
    </i>
    <i r="2">
      <x v="10"/>
    </i>
    <i r="2">
      <x v="36"/>
    </i>
    <i r="2">
      <x v="37"/>
    </i>
    <i r="2">
      <x v="39"/>
    </i>
    <i r="2">
      <x v="53"/>
    </i>
    <i r="1">
      <x v="14"/>
    </i>
    <i r="2">
      <x v="20"/>
    </i>
    <i r="2">
      <x v="59"/>
    </i>
    <i r="1">
      <x v="15"/>
    </i>
    <i r="2">
      <x v="31"/>
    </i>
    <i r="2">
      <x v="34"/>
    </i>
    <i r="2">
      <x v="45"/>
    </i>
    <i r="2">
      <x v="60"/>
    </i>
    <i>
      <x v="1"/>
    </i>
    <i r="1">
      <x v="1"/>
    </i>
    <i r="2">
      <x v="9"/>
    </i>
    <i r="2">
      <x v="35"/>
    </i>
    <i r="1">
      <x v="8"/>
    </i>
    <i r="2">
      <x v="19"/>
    </i>
    <i r="2">
      <x v="32"/>
    </i>
    <i r="2">
      <x v="38"/>
    </i>
    <i r="2">
      <x v="55"/>
    </i>
    <i>
      <x v="2"/>
    </i>
    <i r="1">
      <x/>
    </i>
    <i r="2">
      <x v="1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48"/>
    </i>
    <i r="1">
      <x v="2"/>
    </i>
    <i r="2">
      <x v="11"/>
    </i>
    <i r="1">
      <x v="4"/>
    </i>
    <i r="2">
      <x v="50"/>
    </i>
    <i r="1">
      <x v="5"/>
    </i>
    <i r="2">
      <x v="12"/>
    </i>
    <i r="2">
      <x v="18"/>
    </i>
    <i r="2">
      <x v="29"/>
    </i>
    <i r="2">
      <x v="42"/>
    </i>
    <i r="2">
      <x v="46"/>
    </i>
    <i r="2">
      <x v="47"/>
    </i>
    <i r="1">
      <x v="12"/>
    </i>
    <i r="2">
      <x v="43"/>
    </i>
    <i r="2">
      <x v="44"/>
    </i>
    <i r="2">
      <x v="58"/>
    </i>
    <i>
      <x v="3"/>
    </i>
    <i r="1">
      <x v="7"/>
    </i>
    <i r="2">
      <x v="13"/>
    </i>
    <i r="2">
      <x v="14"/>
    </i>
    <i r="2">
      <x v="40"/>
    </i>
    <i r="2">
      <x v="41"/>
    </i>
    <i r="2">
      <x v="51"/>
    </i>
    <i r="1">
      <x v="9"/>
    </i>
    <i r="2">
      <x v="15"/>
    </i>
    <i r="2">
      <x v="16"/>
    </i>
    <i r="2">
      <x v="56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1">
      <x v="10"/>
    </i>
    <i r="2">
      <x v="17"/>
    </i>
    <i r="2">
      <x v="52"/>
    </i>
    <i r="2">
      <x v="73"/>
    </i>
    <i r="1">
      <x v="13"/>
    </i>
    <i r="2">
      <x v="54"/>
    </i>
    <i r="2">
      <x v="61"/>
    </i>
    <i r="2">
      <x v="62"/>
    </i>
    <i r="2">
      <x v="6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Asignación inicial 2020" fld="13" baseField="0" baseItem="0"/>
    <dataField name="Codificado 2020" fld="16" baseField="0" baseItem="0"/>
    <dataField name="Reformas 2020" fld="15" baseField="0" baseItem="0"/>
  </dataFields>
  <formats count="15">
    <format dxfId="20">
      <pivotArea outline="0" collapsedLevelsAreSubtotals="1" fieldPosition="0"/>
    </format>
    <format dxfId="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">
      <pivotArea field="1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">
      <pivotArea field="1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36"/>
  <sheetViews>
    <sheetView topLeftCell="D3793" workbookViewId="0">
      <selection sqref="A1:J1"/>
    </sheetView>
  </sheetViews>
  <sheetFormatPr baseColWidth="10" defaultColWidth="9.140625" defaultRowHeight="12.75" outlineLevelRow="2" x14ac:dyDescent="0.2"/>
  <cols>
    <col min="1" max="1" width="7" bestFit="1" customWidth="1"/>
    <col min="2" max="2" width="12" bestFit="1" customWidth="1"/>
    <col min="3" max="3" width="52" bestFit="1" customWidth="1"/>
    <col min="4" max="4" width="15" bestFit="1" customWidth="1"/>
    <col min="5" max="5" width="42" bestFit="1" customWidth="1"/>
    <col min="6" max="6" width="10" bestFit="1" customWidth="1"/>
    <col min="7" max="7" width="52" bestFit="1" customWidth="1"/>
    <col min="8" max="8" width="16" bestFit="1" customWidth="1"/>
    <col min="9" max="9" width="57" bestFit="1" customWidth="1"/>
    <col min="10" max="10" width="47" bestFit="1" customWidth="1"/>
    <col min="11" max="11" width="52" bestFit="1" customWidth="1"/>
    <col min="12" max="12" width="25" bestFit="1" customWidth="1"/>
    <col min="13" max="13" width="7" bestFit="1" customWidth="1"/>
    <col min="14" max="14" width="20" bestFit="1" customWidth="1"/>
    <col min="15" max="15" width="14" bestFit="1" customWidth="1"/>
    <col min="16" max="16" width="15" bestFit="1" customWidth="1"/>
    <col min="17" max="17" width="14" bestFit="1" customWidth="1"/>
    <col min="18" max="18" width="13" bestFit="1" customWidth="1"/>
    <col min="19" max="20" width="14" bestFit="1" customWidth="1"/>
    <col min="21" max="21" width="23" bestFit="1" customWidth="1"/>
    <col min="22" max="22" width="20" bestFit="1" customWidth="1"/>
    <col min="23" max="23" width="14" bestFit="1" customWidth="1"/>
  </cols>
  <sheetData>
    <row r="1" spans="1:23" x14ac:dyDescent="0.2">
      <c r="A1" s="1" t="s">
        <v>1985</v>
      </c>
      <c r="B1" s="1" t="s">
        <v>1986</v>
      </c>
      <c r="C1" s="1" t="s">
        <v>1987</v>
      </c>
      <c r="D1" s="1" t="s">
        <v>1988</v>
      </c>
      <c r="E1" s="1" t="s">
        <v>1989</v>
      </c>
      <c r="F1" s="1" t="s">
        <v>1990</v>
      </c>
      <c r="G1" s="1" t="s">
        <v>1991</v>
      </c>
      <c r="H1" s="1" t="s">
        <v>1992</v>
      </c>
      <c r="I1" s="1" t="s">
        <v>1993</v>
      </c>
      <c r="J1" s="1" t="s">
        <v>1994</v>
      </c>
      <c r="K1" s="1" t="s">
        <v>1995</v>
      </c>
      <c r="L1" s="1" t="s">
        <v>1996</v>
      </c>
      <c r="M1" s="1" t="s">
        <v>1997</v>
      </c>
      <c r="N1" s="1" t="s">
        <v>1998</v>
      </c>
      <c r="O1" s="1" t="s">
        <v>1999</v>
      </c>
      <c r="P1" s="1" t="s">
        <v>2000</v>
      </c>
      <c r="Q1" s="1" t="s">
        <v>2001</v>
      </c>
      <c r="R1" s="1" t="s">
        <v>2002</v>
      </c>
      <c r="S1" s="1" t="s">
        <v>2003</v>
      </c>
      <c r="T1" s="1" t="s">
        <v>2004</v>
      </c>
      <c r="U1" s="1" t="s">
        <v>2005</v>
      </c>
      <c r="V1" s="1" t="s">
        <v>2006</v>
      </c>
      <c r="W1" s="1" t="s">
        <v>2007</v>
      </c>
    </row>
    <row r="2" spans="1:23" outlineLevel="2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s="2">
        <v>0</v>
      </c>
      <c r="O2" s="2">
        <v>0</v>
      </c>
      <c r="P2" s="2">
        <v>769.6</v>
      </c>
      <c r="Q2" s="2">
        <v>769.6</v>
      </c>
      <c r="R2" s="2">
        <v>0</v>
      </c>
      <c r="S2" s="2">
        <v>0</v>
      </c>
      <c r="T2" s="2">
        <v>0</v>
      </c>
      <c r="U2" s="2">
        <v>769.6</v>
      </c>
      <c r="V2" s="2">
        <v>769.6</v>
      </c>
      <c r="W2" s="2">
        <v>769.6</v>
      </c>
    </row>
    <row r="3" spans="1:23" outlineLevel="2" x14ac:dyDescent="0.2">
      <c r="A3" t="s">
        <v>0</v>
      </c>
      <c r="B3" t="s">
        <v>1</v>
      </c>
      <c r="C3" t="s">
        <v>2</v>
      </c>
      <c r="D3" t="s">
        <v>13</v>
      </c>
      <c r="E3" t="s">
        <v>14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  <c r="L3" t="s">
        <v>11</v>
      </c>
      <c r="M3" t="s">
        <v>15</v>
      </c>
      <c r="N3" s="2">
        <v>54670</v>
      </c>
      <c r="O3" s="2">
        <v>0</v>
      </c>
      <c r="P3" s="2">
        <v>-44219.42</v>
      </c>
      <c r="Q3" s="2">
        <v>10450.58</v>
      </c>
      <c r="R3" s="2">
        <v>0.09</v>
      </c>
      <c r="S3" s="2">
        <v>10450.49</v>
      </c>
      <c r="T3" s="2">
        <v>3677.24</v>
      </c>
      <c r="U3" s="2">
        <v>0.09</v>
      </c>
      <c r="V3" s="2">
        <v>6773.34</v>
      </c>
      <c r="W3" s="2">
        <v>0</v>
      </c>
    </row>
    <row r="4" spans="1:23" outlineLevel="2" x14ac:dyDescent="0.2">
      <c r="A4" t="s">
        <v>0</v>
      </c>
      <c r="B4" t="s">
        <v>1</v>
      </c>
      <c r="C4" t="s">
        <v>16</v>
      </c>
      <c r="D4" t="s">
        <v>17</v>
      </c>
      <c r="E4" t="s">
        <v>18</v>
      </c>
      <c r="F4" t="s">
        <v>5</v>
      </c>
      <c r="G4" t="s">
        <v>6</v>
      </c>
      <c r="H4" t="s">
        <v>7</v>
      </c>
      <c r="I4" t="s">
        <v>8</v>
      </c>
      <c r="J4" t="s">
        <v>9</v>
      </c>
      <c r="K4" t="s">
        <v>10</v>
      </c>
      <c r="L4" t="s">
        <v>19</v>
      </c>
      <c r="M4" t="s">
        <v>15</v>
      </c>
      <c r="N4" s="2">
        <v>8366.48</v>
      </c>
      <c r="O4" s="2">
        <v>0</v>
      </c>
      <c r="P4" s="2">
        <v>-7841.16</v>
      </c>
      <c r="Q4" s="2">
        <v>525.32000000000005</v>
      </c>
      <c r="R4" s="2">
        <v>0</v>
      </c>
      <c r="S4" s="2">
        <v>525.32000000000005</v>
      </c>
      <c r="T4" s="2">
        <v>525.32000000000005</v>
      </c>
      <c r="U4" s="2">
        <v>0</v>
      </c>
      <c r="V4" s="2">
        <v>0</v>
      </c>
      <c r="W4" s="2">
        <v>0</v>
      </c>
    </row>
    <row r="5" spans="1:23" outlineLevel="2" x14ac:dyDescent="0.2">
      <c r="A5" t="s">
        <v>0</v>
      </c>
      <c r="B5" t="s">
        <v>1</v>
      </c>
      <c r="C5" t="s">
        <v>2</v>
      </c>
      <c r="D5" t="s">
        <v>3</v>
      </c>
      <c r="E5" t="s">
        <v>4</v>
      </c>
      <c r="F5" t="s">
        <v>5</v>
      </c>
      <c r="G5" t="s">
        <v>6</v>
      </c>
      <c r="H5" t="s">
        <v>7</v>
      </c>
      <c r="I5" t="s">
        <v>8</v>
      </c>
      <c r="J5" t="s">
        <v>9</v>
      </c>
      <c r="K5" t="s">
        <v>10</v>
      </c>
      <c r="L5" t="s">
        <v>11</v>
      </c>
      <c r="M5" t="s">
        <v>15</v>
      </c>
      <c r="N5" s="2">
        <v>142372.19</v>
      </c>
      <c r="O5" s="2">
        <v>-138309.79</v>
      </c>
      <c r="P5" s="2">
        <v>-769.6</v>
      </c>
      <c r="Q5" s="2">
        <v>3292.8</v>
      </c>
      <c r="R5" s="2">
        <v>0</v>
      </c>
      <c r="S5" s="2">
        <v>3292.8</v>
      </c>
      <c r="T5" s="2">
        <v>3292.8</v>
      </c>
      <c r="U5" s="2">
        <v>0</v>
      </c>
      <c r="V5" s="2">
        <v>0</v>
      </c>
      <c r="W5" s="2">
        <v>0</v>
      </c>
    </row>
    <row r="6" spans="1:23" outlineLevel="2" x14ac:dyDescent="0.2">
      <c r="A6" t="s">
        <v>0</v>
      </c>
      <c r="B6" t="s">
        <v>1</v>
      </c>
      <c r="C6" t="s">
        <v>2</v>
      </c>
      <c r="D6" t="s">
        <v>20</v>
      </c>
      <c r="E6" t="s">
        <v>21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15</v>
      </c>
      <c r="N6" s="2">
        <v>42500</v>
      </c>
      <c r="O6" s="2">
        <v>32000</v>
      </c>
      <c r="P6" s="2">
        <v>0</v>
      </c>
      <c r="Q6" s="2">
        <v>74500</v>
      </c>
      <c r="R6" s="2">
        <v>55780.38</v>
      </c>
      <c r="S6" s="2">
        <v>18719.62</v>
      </c>
      <c r="T6" s="2">
        <v>5253.2</v>
      </c>
      <c r="U6" s="2">
        <v>55780.38</v>
      </c>
      <c r="V6" s="2">
        <v>69246.8</v>
      </c>
      <c r="W6" s="2">
        <v>0</v>
      </c>
    </row>
    <row r="7" spans="1:23" outlineLevel="2" x14ac:dyDescent="0.2">
      <c r="A7" t="s">
        <v>0</v>
      </c>
      <c r="B7" t="s">
        <v>1</v>
      </c>
      <c r="C7" t="s">
        <v>2</v>
      </c>
      <c r="D7" t="s">
        <v>13</v>
      </c>
      <c r="E7" t="s">
        <v>14</v>
      </c>
      <c r="F7" t="s">
        <v>5</v>
      </c>
      <c r="G7" t="s">
        <v>6</v>
      </c>
      <c r="H7" t="s">
        <v>7</v>
      </c>
      <c r="I7" t="s">
        <v>8</v>
      </c>
      <c r="J7" t="s">
        <v>9</v>
      </c>
      <c r="K7" t="s">
        <v>10</v>
      </c>
      <c r="L7" t="s">
        <v>11</v>
      </c>
      <c r="M7" t="s">
        <v>12</v>
      </c>
      <c r="N7" s="2">
        <v>0</v>
      </c>
      <c r="O7" s="2">
        <v>0</v>
      </c>
      <c r="P7" s="2">
        <v>593.92999999999995</v>
      </c>
      <c r="Q7" s="2">
        <v>593.92999999999995</v>
      </c>
      <c r="R7" s="2">
        <v>0</v>
      </c>
      <c r="S7" s="2">
        <v>0</v>
      </c>
      <c r="T7" s="2">
        <v>0</v>
      </c>
      <c r="U7" s="2">
        <v>593.92999999999995</v>
      </c>
      <c r="V7" s="2">
        <v>593.92999999999995</v>
      </c>
      <c r="W7" s="2">
        <v>593.92999999999995</v>
      </c>
    </row>
    <row r="8" spans="1:23" outlineLevel="2" x14ac:dyDescent="0.2">
      <c r="A8" t="s">
        <v>0</v>
      </c>
      <c r="B8" t="s">
        <v>1</v>
      </c>
      <c r="C8" t="s">
        <v>2</v>
      </c>
      <c r="D8" t="s">
        <v>20</v>
      </c>
      <c r="E8" t="s">
        <v>21</v>
      </c>
      <c r="F8" t="s">
        <v>5</v>
      </c>
      <c r="G8" t="s">
        <v>6</v>
      </c>
      <c r="H8" t="s">
        <v>7</v>
      </c>
      <c r="I8" t="s">
        <v>8</v>
      </c>
      <c r="J8" t="s">
        <v>9</v>
      </c>
      <c r="K8" t="s">
        <v>22</v>
      </c>
      <c r="L8" t="s">
        <v>23</v>
      </c>
      <c r="M8" t="s">
        <v>15</v>
      </c>
      <c r="N8" s="2">
        <v>22200</v>
      </c>
      <c r="O8" s="2">
        <v>16896</v>
      </c>
      <c r="P8" s="2">
        <v>0</v>
      </c>
      <c r="Q8" s="2">
        <v>39096</v>
      </c>
      <c r="R8" s="2">
        <v>29212</v>
      </c>
      <c r="S8" s="2">
        <v>9884</v>
      </c>
      <c r="T8" s="2">
        <v>2773.6</v>
      </c>
      <c r="U8" s="2">
        <v>29212</v>
      </c>
      <c r="V8" s="2">
        <v>36322.400000000001</v>
      </c>
      <c r="W8" s="2">
        <v>0</v>
      </c>
    </row>
    <row r="9" spans="1:23" outlineLevel="2" x14ac:dyDescent="0.2">
      <c r="A9" t="s">
        <v>0</v>
      </c>
      <c r="B9" t="s">
        <v>1</v>
      </c>
      <c r="C9" t="s">
        <v>16</v>
      </c>
      <c r="D9" t="s">
        <v>17</v>
      </c>
      <c r="E9" t="s">
        <v>18</v>
      </c>
      <c r="F9" t="s">
        <v>5</v>
      </c>
      <c r="G9" t="s">
        <v>6</v>
      </c>
      <c r="H9" t="s">
        <v>7</v>
      </c>
      <c r="I9" t="s">
        <v>8</v>
      </c>
      <c r="J9" t="s">
        <v>9</v>
      </c>
      <c r="K9" t="s">
        <v>22</v>
      </c>
      <c r="L9" t="s">
        <v>24</v>
      </c>
      <c r="M9" t="s">
        <v>15</v>
      </c>
      <c r="N9" s="2">
        <v>4443.5200000000004</v>
      </c>
      <c r="O9" s="2">
        <v>0</v>
      </c>
      <c r="P9" s="2">
        <v>-4166.16</v>
      </c>
      <c r="Q9" s="2">
        <v>277.36</v>
      </c>
      <c r="R9" s="2">
        <v>0</v>
      </c>
      <c r="S9" s="2">
        <v>277.36</v>
      </c>
      <c r="T9" s="2">
        <v>277.36</v>
      </c>
      <c r="U9" s="2">
        <v>0</v>
      </c>
      <c r="V9" s="2">
        <v>0</v>
      </c>
      <c r="W9" s="2">
        <v>0</v>
      </c>
    </row>
    <row r="10" spans="1:23" outlineLevel="2" x14ac:dyDescent="0.2">
      <c r="A10" t="s">
        <v>0</v>
      </c>
      <c r="B10" t="s">
        <v>1</v>
      </c>
      <c r="C10" t="s">
        <v>2</v>
      </c>
      <c r="D10" t="s">
        <v>13</v>
      </c>
      <c r="E10" t="s">
        <v>14</v>
      </c>
      <c r="F10" t="s">
        <v>5</v>
      </c>
      <c r="G10" t="s">
        <v>6</v>
      </c>
      <c r="H10" t="s">
        <v>7</v>
      </c>
      <c r="I10" t="s">
        <v>8</v>
      </c>
      <c r="J10" t="s">
        <v>9</v>
      </c>
      <c r="K10" t="s">
        <v>22</v>
      </c>
      <c r="L10" t="s">
        <v>23</v>
      </c>
      <c r="M10" t="s">
        <v>15</v>
      </c>
      <c r="N10" s="2">
        <v>28806.080000000002</v>
      </c>
      <c r="O10" s="2">
        <v>0</v>
      </c>
      <c r="P10" s="2">
        <v>-23288.25</v>
      </c>
      <c r="Q10" s="2">
        <v>5517.83</v>
      </c>
      <c r="R10" s="2">
        <v>0.11</v>
      </c>
      <c r="S10" s="2">
        <v>5517.72</v>
      </c>
      <c r="T10" s="2">
        <v>1941.52</v>
      </c>
      <c r="U10" s="2">
        <v>0.11</v>
      </c>
      <c r="V10" s="2">
        <v>3576.31</v>
      </c>
      <c r="W10" s="2">
        <v>0</v>
      </c>
    </row>
    <row r="11" spans="1:23" outlineLevel="2" x14ac:dyDescent="0.2">
      <c r="A11" t="s">
        <v>0</v>
      </c>
      <c r="B11" t="s">
        <v>1</v>
      </c>
      <c r="C11" t="s">
        <v>2</v>
      </c>
      <c r="D11" t="s">
        <v>13</v>
      </c>
      <c r="E11" t="s">
        <v>14</v>
      </c>
      <c r="F11" t="s">
        <v>5</v>
      </c>
      <c r="G11" t="s">
        <v>6</v>
      </c>
      <c r="H11" t="s">
        <v>7</v>
      </c>
      <c r="I11" t="s">
        <v>8</v>
      </c>
      <c r="J11" t="s">
        <v>9</v>
      </c>
      <c r="K11" t="s">
        <v>22</v>
      </c>
      <c r="L11" t="s">
        <v>23</v>
      </c>
      <c r="M11" t="s">
        <v>12</v>
      </c>
      <c r="N11" s="2">
        <v>0</v>
      </c>
      <c r="O11" s="2">
        <v>0</v>
      </c>
      <c r="P11" s="2">
        <v>253.25</v>
      </c>
      <c r="Q11" s="2">
        <v>253.25</v>
      </c>
      <c r="R11" s="2">
        <v>0</v>
      </c>
      <c r="S11" s="2">
        <v>0</v>
      </c>
      <c r="T11" s="2">
        <v>0</v>
      </c>
      <c r="U11" s="2">
        <v>253.25</v>
      </c>
      <c r="V11" s="2">
        <v>253.25</v>
      </c>
      <c r="W11" s="2">
        <v>253.25</v>
      </c>
    </row>
    <row r="12" spans="1:23" outlineLevel="2" x14ac:dyDescent="0.2">
      <c r="A12" t="s">
        <v>0</v>
      </c>
      <c r="B12" t="s">
        <v>1</v>
      </c>
      <c r="C12" t="s">
        <v>2</v>
      </c>
      <c r="D12" t="s">
        <v>25</v>
      </c>
      <c r="E12" t="s">
        <v>26</v>
      </c>
      <c r="F12" t="s">
        <v>5</v>
      </c>
      <c r="G12" t="s">
        <v>6</v>
      </c>
      <c r="H12" t="s">
        <v>7</v>
      </c>
      <c r="I12" t="s">
        <v>8</v>
      </c>
      <c r="J12" t="s">
        <v>9</v>
      </c>
      <c r="K12" t="s">
        <v>27</v>
      </c>
      <c r="L12" t="s">
        <v>28</v>
      </c>
      <c r="M12" t="s">
        <v>12</v>
      </c>
      <c r="N12" s="2">
        <v>0</v>
      </c>
      <c r="O12" s="2">
        <v>602000</v>
      </c>
      <c r="P12" s="2">
        <v>464.36</v>
      </c>
      <c r="Q12" s="2">
        <v>602464.36</v>
      </c>
      <c r="R12" s="2">
        <v>0</v>
      </c>
      <c r="S12" s="2">
        <v>0</v>
      </c>
      <c r="T12" s="2">
        <v>0</v>
      </c>
      <c r="U12" s="2">
        <v>602464.36</v>
      </c>
      <c r="V12" s="2">
        <v>602464.36</v>
      </c>
      <c r="W12" s="2">
        <v>602464.36</v>
      </c>
    </row>
    <row r="13" spans="1:23" outlineLevel="2" x14ac:dyDescent="0.2">
      <c r="A13" t="s">
        <v>0</v>
      </c>
      <c r="B13" t="s">
        <v>1</v>
      </c>
      <c r="C13" t="s">
        <v>2</v>
      </c>
      <c r="D13" t="s">
        <v>25</v>
      </c>
      <c r="E13" t="s">
        <v>26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27</v>
      </c>
      <c r="L13" t="s">
        <v>28</v>
      </c>
      <c r="M13" t="s">
        <v>15</v>
      </c>
      <c r="N13" s="2">
        <v>3483000</v>
      </c>
      <c r="O13" s="2">
        <v>247000</v>
      </c>
      <c r="P13" s="2">
        <v>-464.36</v>
      </c>
      <c r="Q13" s="2">
        <v>3729535.64</v>
      </c>
      <c r="R13" s="2">
        <v>0</v>
      </c>
      <c r="S13" s="2">
        <v>3729535.64</v>
      </c>
      <c r="T13" s="2">
        <v>2764353.97</v>
      </c>
      <c r="U13" s="2">
        <v>0</v>
      </c>
      <c r="V13" s="2">
        <v>965181.67</v>
      </c>
      <c r="W13" s="2">
        <v>0</v>
      </c>
    </row>
    <row r="14" spans="1:23" outlineLevel="2" x14ac:dyDescent="0.2">
      <c r="A14" t="s">
        <v>0</v>
      </c>
      <c r="B14" t="s">
        <v>1</v>
      </c>
      <c r="C14" t="s">
        <v>2</v>
      </c>
      <c r="D14" t="s">
        <v>25</v>
      </c>
      <c r="E14" t="s">
        <v>26</v>
      </c>
      <c r="F14" t="s">
        <v>5</v>
      </c>
      <c r="G14" t="s">
        <v>6</v>
      </c>
      <c r="H14" t="s">
        <v>7</v>
      </c>
      <c r="I14" t="s">
        <v>8</v>
      </c>
      <c r="J14" t="s">
        <v>9</v>
      </c>
      <c r="K14" t="s">
        <v>29</v>
      </c>
      <c r="L14" t="s">
        <v>30</v>
      </c>
      <c r="M14" t="s">
        <v>12</v>
      </c>
      <c r="N14" s="2">
        <v>0</v>
      </c>
      <c r="O14" s="2">
        <v>0</v>
      </c>
      <c r="P14" s="2">
        <v>278230</v>
      </c>
      <c r="Q14" s="2">
        <v>278230</v>
      </c>
      <c r="R14" s="2">
        <v>0</v>
      </c>
      <c r="S14" s="2">
        <v>0</v>
      </c>
      <c r="T14" s="2">
        <v>0</v>
      </c>
      <c r="U14" s="2">
        <v>278230</v>
      </c>
      <c r="V14" s="2">
        <v>278230</v>
      </c>
      <c r="W14" s="2">
        <v>278230</v>
      </c>
    </row>
    <row r="15" spans="1:23" outlineLevel="2" x14ac:dyDescent="0.2">
      <c r="A15" t="s">
        <v>0</v>
      </c>
      <c r="B15" t="s">
        <v>1</v>
      </c>
      <c r="C15" t="s">
        <v>2</v>
      </c>
      <c r="D15" t="s">
        <v>25</v>
      </c>
      <c r="E15" t="s">
        <v>26</v>
      </c>
      <c r="F15" t="s">
        <v>5</v>
      </c>
      <c r="G15" t="s">
        <v>6</v>
      </c>
      <c r="H15" t="s">
        <v>7</v>
      </c>
      <c r="I15" t="s">
        <v>8</v>
      </c>
      <c r="J15" t="s">
        <v>9</v>
      </c>
      <c r="K15" t="s">
        <v>29</v>
      </c>
      <c r="L15" t="s">
        <v>30</v>
      </c>
      <c r="M15" t="s">
        <v>15</v>
      </c>
      <c r="N15" s="2">
        <v>5000000</v>
      </c>
      <c r="O15" s="2">
        <v>0</v>
      </c>
      <c r="P15" s="2">
        <v>-278230</v>
      </c>
      <c r="Q15" s="2">
        <v>4721770</v>
      </c>
      <c r="R15" s="2">
        <v>0</v>
      </c>
      <c r="S15" s="2">
        <v>4721770</v>
      </c>
      <c r="T15" s="2">
        <v>4386591.17</v>
      </c>
      <c r="U15" s="2">
        <v>0</v>
      </c>
      <c r="V15" s="2">
        <v>335178.83</v>
      </c>
      <c r="W15" s="2">
        <v>0</v>
      </c>
    </row>
    <row r="16" spans="1:23" outlineLevel="2" x14ac:dyDescent="0.2">
      <c r="A16" t="s">
        <v>0</v>
      </c>
      <c r="B16" t="s">
        <v>31</v>
      </c>
      <c r="C16" t="s">
        <v>32</v>
      </c>
      <c r="D16" t="s">
        <v>33</v>
      </c>
      <c r="E16" t="s">
        <v>34</v>
      </c>
      <c r="F16" t="s">
        <v>5</v>
      </c>
      <c r="G16" t="s">
        <v>6</v>
      </c>
      <c r="H16" t="s">
        <v>35</v>
      </c>
      <c r="I16" t="s">
        <v>36</v>
      </c>
      <c r="J16" t="s">
        <v>9</v>
      </c>
      <c r="K16" t="s">
        <v>37</v>
      </c>
      <c r="L16" t="s">
        <v>38</v>
      </c>
      <c r="M16" t="s">
        <v>12</v>
      </c>
      <c r="N16" s="2">
        <v>0</v>
      </c>
      <c r="O16" s="2">
        <v>0</v>
      </c>
      <c r="P16" s="2">
        <v>842700.58</v>
      </c>
      <c r="Q16" s="2">
        <v>842700.58</v>
      </c>
      <c r="R16" s="2">
        <v>0</v>
      </c>
      <c r="S16" s="2">
        <v>213398</v>
      </c>
      <c r="T16" s="2">
        <v>212259</v>
      </c>
      <c r="U16" s="2">
        <v>629302.57999999996</v>
      </c>
      <c r="V16" s="2">
        <v>630441.57999999996</v>
      </c>
      <c r="W16" s="2">
        <v>629302.57999999996</v>
      </c>
    </row>
    <row r="17" spans="1:23" outlineLevel="2" x14ac:dyDescent="0.2">
      <c r="A17" t="s">
        <v>0</v>
      </c>
      <c r="B17" t="s">
        <v>39</v>
      </c>
      <c r="C17" t="s">
        <v>40</v>
      </c>
      <c r="D17" t="s">
        <v>41</v>
      </c>
      <c r="E17" t="s">
        <v>42</v>
      </c>
      <c r="F17" t="s">
        <v>5</v>
      </c>
      <c r="G17" t="s">
        <v>6</v>
      </c>
      <c r="H17" t="s">
        <v>35</v>
      </c>
      <c r="I17" t="s">
        <v>36</v>
      </c>
      <c r="J17" t="s">
        <v>9</v>
      </c>
      <c r="K17" t="s">
        <v>37</v>
      </c>
      <c r="L17" t="s">
        <v>43</v>
      </c>
      <c r="M17" t="s">
        <v>12</v>
      </c>
      <c r="N17" s="2">
        <v>0</v>
      </c>
      <c r="O17" s="2">
        <v>0</v>
      </c>
      <c r="P17" s="2">
        <v>208137.52</v>
      </c>
      <c r="Q17" s="2">
        <v>208137.52</v>
      </c>
      <c r="R17" s="2">
        <v>0</v>
      </c>
      <c r="S17" s="2">
        <v>100275.12</v>
      </c>
      <c r="T17" s="2">
        <v>100275.12</v>
      </c>
      <c r="U17" s="2">
        <v>107862.39999999999</v>
      </c>
      <c r="V17" s="2">
        <v>107862.39999999999</v>
      </c>
      <c r="W17" s="2">
        <v>107862.39999999999</v>
      </c>
    </row>
    <row r="18" spans="1:23" outlineLevel="2" x14ac:dyDescent="0.2">
      <c r="A18" t="s">
        <v>0</v>
      </c>
      <c r="B18" t="s">
        <v>1</v>
      </c>
      <c r="C18" t="s">
        <v>44</v>
      </c>
      <c r="D18" t="s">
        <v>45</v>
      </c>
      <c r="E18" t="s">
        <v>46</v>
      </c>
      <c r="F18" t="s">
        <v>5</v>
      </c>
      <c r="G18" t="s">
        <v>6</v>
      </c>
      <c r="H18" t="s">
        <v>35</v>
      </c>
      <c r="I18" t="s">
        <v>36</v>
      </c>
      <c r="J18" t="s">
        <v>9</v>
      </c>
      <c r="K18" t="s">
        <v>37</v>
      </c>
      <c r="L18" t="s">
        <v>47</v>
      </c>
      <c r="M18" t="s">
        <v>15</v>
      </c>
      <c r="N18" s="2">
        <v>590712</v>
      </c>
      <c r="O18" s="2">
        <v>45782.09</v>
      </c>
      <c r="P18" s="2">
        <v>-150232.09</v>
      </c>
      <c r="Q18" s="2">
        <v>486262</v>
      </c>
      <c r="R18" s="2">
        <v>0</v>
      </c>
      <c r="S18" s="2">
        <v>486262</v>
      </c>
      <c r="T18" s="2">
        <v>486262</v>
      </c>
      <c r="U18" s="2">
        <v>0</v>
      </c>
      <c r="V18" s="2">
        <v>0</v>
      </c>
      <c r="W18" s="2">
        <v>0</v>
      </c>
    </row>
    <row r="19" spans="1:23" outlineLevel="2" x14ac:dyDescent="0.2">
      <c r="A19" t="s">
        <v>0</v>
      </c>
      <c r="B19" t="s">
        <v>1</v>
      </c>
      <c r="C19" t="s">
        <v>16</v>
      </c>
      <c r="D19" t="s">
        <v>17</v>
      </c>
      <c r="E19" t="s">
        <v>18</v>
      </c>
      <c r="F19" t="s">
        <v>5</v>
      </c>
      <c r="G19" t="s">
        <v>6</v>
      </c>
      <c r="H19" t="s">
        <v>35</v>
      </c>
      <c r="I19" t="s">
        <v>36</v>
      </c>
      <c r="J19" t="s">
        <v>9</v>
      </c>
      <c r="K19" t="s">
        <v>37</v>
      </c>
      <c r="L19" t="s">
        <v>48</v>
      </c>
      <c r="M19" t="s">
        <v>12</v>
      </c>
      <c r="N19" s="2">
        <v>0</v>
      </c>
      <c r="O19" s="2">
        <v>700</v>
      </c>
      <c r="P19" s="2">
        <v>446230.6</v>
      </c>
      <c r="Q19" s="2">
        <v>446930.6</v>
      </c>
      <c r="R19" s="2">
        <v>0</v>
      </c>
      <c r="S19" s="2">
        <v>223224.31</v>
      </c>
      <c r="T19" s="2">
        <v>223224.31</v>
      </c>
      <c r="U19" s="2">
        <v>223706.29</v>
      </c>
      <c r="V19" s="2">
        <v>223706.29</v>
      </c>
      <c r="W19" s="2">
        <v>223706.29</v>
      </c>
    </row>
    <row r="20" spans="1:23" outlineLevel="2" x14ac:dyDescent="0.2">
      <c r="A20" t="s">
        <v>0</v>
      </c>
      <c r="B20" t="s">
        <v>31</v>
      </c>
      <c r="C20" t="s">
        <v>49</v>
      </c>
      <c r="D20" t="s">
        <v>50</v>
      </c>
      <c r="E20" t="s">
        <v>51</v>
      </c>
      <c r="F20" t="s">
        <v>5</v>
      </c>
      <c r="G20" t="s">
        <v>6</v>
      </c>
      <c r="H20" t="s">
        <v>35</v>
      </c>
      <c r="I20" t="s">
        <v>36</v>
      </c>
      <c r="J20" t="s">
        <v>9</v>
      </c>
      <c r="K20" t="s">
        <v>37</v>
      </c>
      <c r="L20" t="s">
        <v>52</v>
      </c>
      <c r="M20" t="s">
        <v>12</v>
      </c>
      <c r="N20" s="2">
        <v>0</v>
      </c>
      <c r="O20" s="2">
        <v>0</v>
      </c>
      <c r="P20" s="2">
        <v>336607.2</v>
      </c>
      <c r="Q20" s="2">
        <v>336607.2</v>
      </c>
      <c r="R20" s="2">
        <v>0</v>
      </c>
      <c r="S20" s="2">
        <v>128887</v>
      </c>
      <c r="T20" s="2">
        <v>128887</v>
      </c>
      <c r="U20" s="2">
        <v>207720.2</v>
      </c>
      <c r="V20" s="2">
        <v>207720.2</v>
      </c>
      <c r="W20" s="2">
        <v>207720.2</v>
      </c>
    </row>
    <row r="21" spans="1:23" outlineLevel="2" x14ac:dyDescent="0.2">
      <c r="A21" t="s">
        <v>0</v>
      </c>
      <c r="B21" t="s">
        <v>53</v>
      </c>
      <c r="C21" t="s">
        <v>54</v>
      </c>
      <c r="D21" t="s">
        <v>55</v>
      </c>
      <c r="E21" t="s">
        <v>56</v>
      </c>
      <c r="F21" t="s">
        <v>5</v>
      </c>
      <c r="G21" t="s">
        <v>6</v>
      </c>
      <c r="H21" t="s">
        <v>35</v>
      </c>
      <c r="I21" t="s">
        <v>36</v>
      </c>
      <c r="J21" t="s">
        <v>9</v>
      </c>
      <c r="K21" t="s">
        <v>37</v>
      </c>
      <c r="L21" t="s">
        <v>57</v>
      </c>
      <c r="M21" t="s">
        <v>12</v>
      </c>
      <c r="N21" s="2">
        <v>0</v>
      </c>
      <c r="O21" s="2">
        <v>0</v>
      </c>
      <c r="P21" s="2">
        <v>200541.27</v>
      </c>
      <c r="Q21" s="2">
        <v>200541.27</v>
      </c>
      <c r="R21" s="2">
        <v>0</v>
      </c>
      <c r="S21" s="2">
        <v>97196</v>
      </c>
      <c r="T21" s="2">
        <v>97196</v>
      </c>
      <c r="U21" s="2">
        <v>103345.27</v>
      </c>
      <c r="V21" s="2">
        <v>103345.27</v>
      </c>
      <c r="W21" s="2">
        <v>103345.27</v>
      </c>
    </row>
    <row r="22" spans="1:23" outlineLevel="2" x14ac:dyDescent="0.2">
      <c r="A22" t="s">
        <v>0</v>
      </c>
      <c r="B22" t="s">
        <v>39</v>
      </c>
      <c r="C22" t="s">
        <v>58</v>
      </c>
      <c r="D22" t="s">
        <v>59</v>
      </c>
      <c r="E22" t="s">
        <v>60</v>
      </c>
      <c r="F22" t="s">
        <v>5</v>
      </c>
      <c r="G22" t="s">
        <v>6</v>
      </c>
      <c r="H22" t="s">
        <v>35</v>
      </c>
      <c r="I22" t="s">
        <v>36</v>
      </c>
      <c r="J22" t="s">
        <v>9</v>
      </c>
      <c r="K22" t="s">
        <v>37</v>
      </c>
      <c r="L22" t="s">
        <v>61</v>
      </c>
      <c r="M22" t="s">
        <v>12</v>
      </c>
      <c r="N22" s="2">
        <v>0</v>
      </c>
      <c r="O22" s="2">
        <v>12700</v>
      </c>
      <c r="P22" s="2">
        <v>120587.69</v>
      </c>
      <c r="Q22" s="2">
        <v>133287.69</v>
      </c>
      <c r="R22" s="2">
        <v>0</v>
      </c>
      <c r="S22" s="2">
        <v>67947.11</v>
      </c>
      <c r="T22" s="2">
        <v>67947.070000000007</v>
      </c>
      <c r="U22" s="2">
        <v>65340.58</v>
      </c>
      <c r="V22" s="2">
        <v>65340.62</v>
      </c>
      <c r="W22" s="2">
        <v>65340.58</v>
      </c>
    </row>
    <row r="23" spans="1:23" outlineLevel="2" x14ac:dyDescent="0.2">
      <c r="A23" t="s">
        <v>0</v>
      </c>
      <c r="B23" t="s">
        <v>1</v>
      </c>
      <c r="C23" t="s">
        <v>44</v>
      </c>
      <c r="D23" t="s">
        <v>45</v>
      </c>
      <c r="E23" t="s">
        <v>46</v>
      </c>
      <c r="F23" t="s">
        <v>5</v>
      </c>
      <c r="G23" t="s">
        <v>6</v>
      </c>
      <c r="H23" t="s">
        <v>35</v>
      </c>
      <c r="I23" t="s">
        <v>36</v>
      </c>
      <c r="J23" t="s">
        <v>9</v>
      </c>
      <c r="K23" t="s">
        <v>37</v>
      </c>
      <c r="L23" t="s">
        <v>47</v>
      </c>
      <c r="M23" t="s">
        <v>12</v>
      </c>
      <c r="N23" s="2">
        <v>0</v>
      </c>
      <c r="O23" s="2">
        <v>10800</v>
      </c>
      <c r="P23" s="2">
        <v>72627.87</v>
      </c>
      <c r="Q23" s="2">
        <v>83427.87</v>
      </c>
      <c r="R23" s="2">
        <v>0</v>
      </c>
      <c r="S23" s="2">
        <v>52526.83</v>
      </c>
      <c r="T23" s="2">
        <v>52526.83</v>
      </c>
      <c r="U23" s="2">
        <v>30901.040000000001</v>
      </c>
      <c r="V23" s="2">
        <v>30901.040000000001</v>
      </c>
      <c r="W23" s="2">
        <v>30901.040000000001</v>
      </c>
    </row>
    <row r="24" spans="1:23" outlineLevel="2" x14ac:dyDescent="0.2">
      <c r="A24" t="s">
        <v>0</v>
      </c>
      <c r="B24" t="s">
        <v>1</v>
      </c>
      <c r="C24" t="s">
        <v>16</v>
      </c>
      <c r="D24" t="s">
        <v>62</v>
      </c>
      <c r="E24" t="s">
        <v>63</v>
      </c>
      <c r="F24" t="s">
        <v>5</v>
      </c>
      <c r="G24" t="s">
        <v>6</v>
      </c>
      <c r="H24" t="s">
        <v>35</v>
      </c>
      <c r="I24" t="s">
        <v>36</v>
      </c>
      <c r="J24" t="s">
        <v>9</v>
      </c>
      <c r="K24" t="s">
        <v>37</v>
      </c>
      <c r="L24" t="s">
        <v>48</v>
      </c>
      <c r="M24" t="s">
        <v>15</v>
      </c>
      <c r="N24" s="2">
        <v>90924</v>
      </c>
      <c r="O24" s="2">
        <v>-428.8</v>
      </c>
      <c r="P24" s="2">
        <v>-4665.2</v>
      </c>
      <c r="Q24" s="2">
        <v>85830</v>
      </c>
      <c r="R24" s="2">
        <v>0</v>
      </c>
      <c r="S24" s="2">
        <v>85830</v>
      </c>
      <c r="T24" s="2">
        <v>85830</v>
      </c>
      <c r="U24" s="2">
        <v>0</v>
      </c>
      <c r="V24" s="2">
        <v>0</v>
      </c>
      <c r="W24" s="2">
        <v>0</v>
      </c>
    </row>
    <row r="25" spans="1:23" outlineLevel="2" x14ac:dyDescent="0.2">
      <c r="A25" t="s">
        <v>0</v>
      </c>
      <c r="B25" t="s">
        <v>1</v>
      </c>
      <c r="C25" t="s">
        <v>16</v>
      </c>
      <c r="D25" t="s">
        <v>64</v>
      </c>
      <c r="E25" t="s">
        <v>65</v>
      </c>
      <c r="F25" t="s">
        <v>5</v>
      </c>
      <c r="G25" t="s">
        <v>6</v>
      </c>
      <c r="H25" t="s">
        <v>35</v>
      </c>
      <c r="I25" t="s">
        <v>36</v>
      </c>
      <c r="J25" t="s">
        <v>9</v>
      </c>
      <c r="K25" t="s">
        <v>37</v>
      </c>
      <c r="L25" t="s">
        <v>48</v>
      </c>
      <c r="M25" t="s">
        <v>15</v>
      </c>
      <c r="N25" s="2">
        <v>381984</v>
      </c>
      <c r="O25" s="2">
        <v>-4505</v>
      </c>
      <c r="P25" s="2">
        <v>-202277</v>
      </c>
      <c r="Q25" s="2">
        <v>175202</v>
      </c>
      <c r="R25" s="2">
        <v>0</v>
      </c>
      <c r="S25" s="2">
        <v>175202</v>
      </c>
      <c r="T25" s="2">
        <v>175202</v>
      </c>
      <c r="U25" s="2">
        <v>0</v>
      </c>
      <c r="V25" s="2">
        <v>0</v>
      </c>
      <c r="W25" s="2">
        <v>0</v>
      </c>
    </row>
    <row r="26" spans="1:23" outlineLevel="2" x14ac:dyDescent="0.2">
      <c r="A26" t="s">
        <v>0</v>
      </c>
      <c r="B26" t="s">
        <v>39</v>
      </c>
      <c r="C26" t="s">
        <v>66</v>
      </c>
      <c r="D26" t="s">
        <v>67</v>
      </c>
      <c r="E26" t="s">
        <v>68</v>
      </c>
      <c r="F26" t="s">
        <v>5</v>
      </c>
      <c r="G26" t="s">
        <v>6</v>
      </c>
      <c r="H26" t="s">
        <v>35</v>
      </c>
      <c r="I26" t="s">
        <v>36</v>
      </c>
      <c r="J26" t="s">
        <v>9</v>
      </c>
      <c r="K26" t="s">
        <v>37</v>
      </c>
      <c r="L26" t="s">
        <v>69</v>
      </c>
      <c r="M26" t="s">
        <v>12</v>
      </c>
      <c r="N26" s="2">
        <v>0</v>
      </c>
      <c r="O26" s="2">
        <v>0</v>
      </c>
      <c r="P26" s="2">
        <v>332818.3</v>
      </c>
      <c r="Q26" s="2">
        <v>332818.3</v>
      </c>
      <c r="R26" s="2">
        <v>0</v>
      </c>
      <c r="S26" s="2">
        <v>165981</v>
      </c>
      <c r="T26" s="2">
        <v>165981</v>
      </c>
      <c r="U26" s="2">
        <v>166837.29999999999</v>
      </c>
      <c r="V26" s="2">
        <v>166837.29999999999</v>
      </c>
      <c r="W26" s="2">
        <v>166837.29999999999</v>
      </c>
    </row>
    <row r="27" spans="1:23" outlineLevel="2" x14ac:dyDescent="0.2">
      <c r="A27" t="s">
        <v>0</v>
      </c>
      <c r="B27" t="s">
        <v>39</v>
      </c>
      <c r="C27" t="s">
        <v>70</v>
      </c>
      <c r="D27" t="s">
        <v>71</v>
      </c>
      <c r="E27" t="s">
        <v>72</v>
      </c>
      <c r="F27" t="s">
        <v>5</v>
      </c>
      <c r="G27" t="s">
        <v>6</v>
      </c>
      <c r="H27" t="s">
        <v>35</v>
      </c>
      <c r="I27" t="s">
        <v>36</v>
      </c>
      <c r="J27" t="s">
        <v>9</v>
      </c>
      <c r="K27" t="s">
        <v>37</v>
      </c>
      <c r="L27" t="s">
        <v>73</v>
      </c>
      <c r="M27" t="s">
        <v>15</v>
      </c>
      <c r="N27" s="2">
        <v>2870136</v>
      </c>
      <c r="O27" s="2">
        <v>-265510</v>
      </c>
      <c r="P27" s="2">
        <v>-517252.47</v>
      </c>
      <c r="Q27" s="2">
        <v>2087373.53</v>
      </c>
      <c r="R27" s="2">
        <v>0</v>
      </c>
      <c r="S27" s="2">
        <v>2087373.53</v>
      </c>
      <c r="T27" s="2">
        <v>2087373.53</v>
      </c>
      <c r="U27" s="2">
        <v>0</v>
      </c>
      <c r="V27" s="2">
        <v>0</v>
      </c>
      <c r="W27" s="2">
        <v>0</v>
      </c>
    </row>
    <row r="28" spans="1:23" outlineLevel="2" x14ac:dyDescent="0.2">
      <c r="A28" t="s">
        <v>0</v>
      </c>
      <c r="B28" t="s">
        <v>31</v>
      </c>
      <c r="C28" t="s">
        <v>49</v>
      </c>
      <c r="D28" t="s">
        <v>50</v>
      </c>
      <c r="E28" t="s">
        <v>51</v>
      </c>
      <c r="F28" t="s">
        <v>5</v>
      </c>
      <c r="G28" t="s">
        <v>6</v>
      </c>
      <c r="H28" t="s">
        <v>35</v>
      </c>
      <c r="I28" t="s">
        <v>36</v>
      </c>
      <c r="J28" t="s">
        <v>9</v>
      </c>
      <c r="K28" t="s">
        <v>37</v>
      </c>
      <c r="L28" t="s">
        <v>52</v>
      </c>
      <c r="M28" t="s">
        <v>15</v>
      </c>
      <c r="N28" s="2">
        <v>656868</v>
      </c>
      <c r="O28" s="2">
        <v>234186.67</v>
      </c>
      <c r="P28" s="2">
        <v>-369498.94</v>
      </c>
      <c r="Q28" s="2">
        <v>521555.73</v>
      </c>
      <c r="R28" s="2">
        <v>0</v>
      </c>
      <c r="S28" s="2">
        <v>521555.73</v>
      </c>
      <c r="T28" s="2">
        <v>521555.73</v>
      </c>
      <c r="U28" s="2">
        <v>0</v>
      </c>
      <c r="V28" s="2">
        <v>0</v>
      </c>
      <c r="W28" s="2">
        <v>0</v>
      </c>
    </row>
    <row r="29" spans="1:23" outlineLevel="2" x14ac:dyDescent="0.2">
      <c r="A29" t="s">
        <v>0</v>
      </c>
      <c r="B29" t="s">
        <v>1</v>
      </c>
      <c r="C29" t="s">
        <v>2</v>
      </c>
      <c r="D29" t="s">
        <v>3</v>
      </c>
      <c r="E29" t="s">
        <v>4</v>
      </c>
      <c r="F29" t="s">
        <v>5</v>
      </c>
      <c r="G29" t="s">
        <v>6</v>
      </c>
      <c r="H29" t="s">
        <v>35</v>
      </c>
      <c r="I29" t="s">
        <v>36</v>
      </c>
      <c r="J29" t="s">
        <v>9</v>
      </c>
      <c r="K29" t="s">
        <v>37</v>
      </c>
      <c r="L29" t="s">
        <v>74</v>
      </c>
      <c r="M29" t="s">
        <v>12</v>
      </c>
      <c r="N29" s="2">
        <v>0</v>
      </c>
      <c r="O29" s="2">
        <v>0</v>
      </c>
      <c r="P29" s="2">
        <v>548197.01</v>
      </c>
      <c r="Q29" s="2">
        <v>548197.01</v>
      </c>
      <c r="R29" s="2">
        <v>0</v>
      </c>
      <c r="S29" s="2">
        <v>261772.93</v>
      </c>
      <c r="T29" s="2">
        <v>261772.93</v>
      </c>
      <c r="U29" s="2">
        <v>286424.08</v>
      </c>
      <c r="V29" s="2">
        <v>286424.08</v>
      </c>
      <c r="W29" s="2">
        <v>286424.08</v>
      </c>
    </row>
    <row r="30" spans="1:23" outlineLevel="2" x14ac:dyDescent="0.2">
      <c r="A30" t="s">
        <v>0</v>
      </c>
      <c r="B30" t="s">
        <v>31</v>
      </c>
      <c r="C30" t="s">
        <v>32</v>
      </c>
      <c r="D30" t="s">
        <v>75</v>
      </c>
      <c r="E30" t="s">
        <v>76</v>
      </c>
      <c r="F30" t="s">
        <v>5</v>
      </c>
      <c r="G30" t="s">
        <v>6</v>
      </c>
      <c r="H30" t="s">
        <v>35</v>
      </c>
      <c r="I30" t="s">
        <v>36</v>
      </c>
      <c r="J30" t="s">
        <v>9</v>
      </c>
      <c r="K30" t="s">
        <v>37</v>
      </c>
      <c r="L30" t="s">
        <v>38</v>
      </c>
      <c r="M30" t="s">
        <v>12</v>
      </c>
      <c r="N30" s="2">
        <v>0</v>
      </c>
      <c r="O30" s="2">
        <v>0</v>
      </c>
      <c r="P30" s="2">
        <v>523688.01</v>
      </c>
      <c r="Q30" s="2">
        <v>523688.01</v>
      </c>
      <c r="R30" s="2">
        <v>0</v>
      </c>
      <c r="S30" s="2">
        <v>132462</v>
      </c>
      <c r="T30" s="2">
        <v>132462</v>
      </c>
      <c r="U30" s="2">
        <v>391226.01</v>
      </c>
      <c r="V30" s="2">
        <v>391226.01</v>
      </c>
      <c r="W30" s="2">
        <v>391226.01</v>
      </c>
    </row>
    <row r="31" spans="1:23" outlineLevel="2" x14ac:dyDescent="0.2">
      <c r="A31" t="s">
        <v>0</v>
      </c>
      <c r="B31" t="s">
        <v>39</v>
      </c>
      <c r="C31" t="s">
        <v>40</v>
      </c>
      <c r="D31" t="s">
        <v>77</v>
      </c>
      <c r="E31" t="s">
        <v>78</v>
      </c>
      <c r="F31" t="s">
        <v>5</v>
      </c>
      <c r="G31" t="s">
        <v>6</v>
      </c>
      <c r="H31" t="s">
        <v>35</v>
      </c>
      <c r="I31" t="s">
        <v>36</v>
      </c>
      <c r="J31" t="s">
        <v>9</v>
      </c>
      <c r="K31" t="s">
        <v>37</v>
      </c>
      <c r="L31" t="s">
        <v>43</v>
      </c>
      <c r="M31" t="s">
        <v>15</v>
      </c>
      <c r="N31" s="2">
        <v>27593136</v>
      </c>
      <c r="O31" s="2">
        <v>0</v>
      </c>
      <c r="P31" s="2">
        <v>-5246377.8499999996</v>
      </c>
      <c r="Q31" s="2">
        <v>22346758.149999999</v>
      </c>
      <c r="R31" s="2">
        <v>0</v>
      </c>
      <c r="S31" s="2">
        <v>22346758.149999999</v>
      </c>
      <c r="T31" s="2">
        <v>22346758.149999999</v>
      </c>
      <c r="U31" s="2">
        <v>0</v>
      </c>
      <c r="V31" s="2">
        <v>0</v>
      </c>
      <c r="W31" s="2">
        <v>0</v>
      </c>
    </row>
    <row r="32" spans="1:23" outlineLevel="2" x14ac:dyDescent="0.2">
      <c r="A32" t="s">
        <v>0</v>
      </c>
      <c r="B32" t="s">
        <v>31</v>
      </c>
      <c r="C32" t="s">
        <v>79</v>
      </c>
      <c r="D32" t="s">
        <v>80</v>
      </c>
      <c r="E32" t="s">
        <v>81</v>
      </c>
      <c r="F32" t="s">
        <v>5</v>
      </c>
      <c r="G32" t="s">
        <v>6</v>
      </c>
      <c r="H32" t="s">
        <v>35</v>
      </c>
      <c r="I32" t="s">
        <v>36</v>
      </c>
      <c r="J32" t="s">
        <v>9</v>
      </c>
      <c r="K32" t="s">
        <v>37</v>
      </c>
      <c r="L32" t="s">
        <v>82</v>
      </c>
      <c r="M32" t="s">
        <v>12</v>
      </c>
      <c r="N32" s="2">
        <v>0</v>
      </c>
      <c r="O32" s="2">
        <v>0</v>
      </c>
      <c r="P32" s="2">
        <v>31892.38</v>
      </c>
      <c r="Q32" s="2">
        <v>31892.38</v>
      </c>
      <c r="R32" s="2">
        <v>0</v>
      </c>
      <c r="S32" s="2">
        <v>15094</v>
      </c>
      <c r="T32" s="2">
        <v>15094</v>
      </c>
      <c r="U32" s="2">
        <v>16798.38</v>
      </c>
      <c r="V32" s="2">
        <v>16798.38</v>
      </c>
      <c r="W32" s="2">
        <v>16798.38</v>
      </c>
    </row>
    <row r="33" spans="1:23" outlineLevel="2" x14ac:dyDescent="0.2">
      <c r="A33" t="s">
        <v>0</v>
      </c>
      <c r="B33" t="s">
        <v>1</v>
      </c>
      <c r="C33" t="s">
        <v>16</v>
      </c>
      <c r="D33" t="s">
        <v>62</v>
      </c>
      <c r="E33" t="s">
        <v>63</v>
      </c>
      <c r="F33" t="s">
        <v>5</v>
      </c>
      <c r="G33" t="s">
        <v>6</v>
      </c>
      <c r="H33" t="s">
        <v>35</v>
      </c>
      <c r="I33" t="s">
        <v>36</v>
      </c>
      <c r="J33" t="s">
        <v>9</v>
      </c>
      <c r="K33" t="s">
        <v>37</v>
      </c>
      <c r="L33" t="s">
        <v>48</v>
      </c>
      <c r="M33" t="s">
        <v>12</v>
      </c>
      <c r="N33" s="2">
        <v>0</v>
      </c>
      <c r="O33" s="2">
        <v>0</v>
      </c>
      <c r="P33" s="2">
        <v>17595.5</v>
      </c>
      <c r="Q33" s="2">
        <v>17595.5</v>
      </c>
      <c r="R33" s="2">
        <v>0</v>
      </c>
      <c r="S33" s="2">
        <v>8583</v>
      </c>
      <c r="T33" s="2">
        <v>8583</v>
      </c>
      <c r="U33" s="2">
        <v>9012.5</v>
      </c>
      <c r="V33" s="2">
        <v>9012.5</v>
      </c>
      <c r="W33" s="2">
        <v>9012.5</v>
      </c>
    </row>
    <row r="34" spans="1:23" outlineLevel="2" x14ac:dyDescent="0.2">
      <c r="A34" t="s">
        <v>0</v>
      </c>
      <c r="B34" t="s">
        <v>31</v>
      </c>
      <c r="C34" t="s">
        <v>79</v>
      </c>
      <c r="D34" t="s">
        <v>83</v>
      </c>
      <c r="E34" t="s">
        <v>84</v>
      </c>
      <c r="F34" t="s">
        <v>5</v>
      </c>
      <c r="G34" t="s">
        <v>6</v>
      </c>
      <c r="H34" t="s">
        <v>35</v>
      </c>
      <c r="I34" t="s">
        <v>36</v>
      </c>
      <c r="J34" t="s">
        <v>9</v>
      </c>
      <c r="K34" t="s">
        <v>37</v>
      </c>
      <c r="L34" t="s">
        <v>82</v>
      </c>
      <c r="M34" t="s">
        <v>15</v>
      </c>
      <c r="N34" s="2">
        <v>1203444</v>
      </c>
      <c r="O34" s="2">
        <v>-21399.33</v>
      </c>
      <c r="P34" s="2">
        <v>-344087.55</v>
      </c>
      <c r="Q34" s="2">
        <v>837957.12</v>
      </c>
      <c r="R34" s="2">
        <v>0</v>
      </c>
      <c r="S34" s="2">
        <v>837957.12</v>
      </c>
      <c r="T34" s="2">
        <v>837957.12</v>
      </c>
      <c r="U34" s="2">
        <v>0</v>
      </c>
      <c r="V34" s="2">
        <v>0</v>
      </c>
      <c r="W34" s="2">
        <v>0</v>
      </c>
    </row>
    <row r="35" spans="1:23" outlineLevel="2" x14ac:dyDescent="0.2">
      <c r="A35" t="s">
        <v>0</v>
      </c>
      <c r="B35" t="s">
        <v>31</v>
      </c>
      <c r="C35" t="s">
        <v>32</v>
      </c>
      <c r="D35" t="s">
        <v>33</v>
      </c>
      <c r="E35" t="s">
        <v>34</v>
      </c>
      <c r="F35" t="s">
        <v>5</v>
      </c>
      <c r="G35" t="s">
        <v>6</v>
      </c>
      <c r="H35" t="s">
        <v>35</v>
      </c>
      <c r="I35" t="s">
        <v>36</v>
      </c>
      <c r="J35" t="s">
        <v>9</v>
      </c>
      <c r="K35" t="s">
        <v>37</v>
      </c>
      <c r="L35" t="s">
        <v>38</v>
      </c>
      <c r="M35" t="s">
        <v>15</v>
      </c>
      <c r="N35" s="2">
        <v>3409428</v>
      </c>
      <c r="O35" s="2">
        <v>-350944.39</v>
      </c>
      <c r="P35" s="2">
        <v>-842700.58</v>
      </c>
      <c r="Q35" s="2">
        <v>2215783.0299999998</v>
      </c>
      <c r="R35" s="2">
        <v>0</v>
      </c>
      <c r="S35" s="2">
        <v>2215783.0299999998</v>
      </c>
      <c r="T35" s="2">
        <v>2215783.0299999998</v>
      </c>
      <c r="U35" s="2">
        <v>0</v>
      </c>
      <c r="V35" s="2">
        <v>0</v>
      </c>
      <c r="W35" s="2">
        <v>0</v>
      </c>
    </row>
    <row r="36" spans="1:23" outlineLevel="2" x14ac:dyDescent="0.2">
      <c r="A36" t="s">
        <v>0</v>
      </c>
      <c r="B36" t="s">
        <v>53</v>
      </c>
      <c r="C36" t="s">
        <v>85</v>
      </c>
      <c r="D36" t="s">
        <v>86</v>
      </c>
      <c r="E36" t="s">
        <v>87</v>
      </c>
      <c r="F36" t="s">
        <v>5</v>
      </c>
      <c r="G36" t="s">
        <v>6</v>
      </c>
      <c r="H36" t="s">
        <v>35</v>
      </c>
      <c r="I36" t="s">
        <v>36</v>
      </c>
      <c r="J36" t="s">
        <v>9</v>
      </c>
      <c r="K36" t="s">
        <v>37</v>
      </c>
      <c r="L36" t="s">
        <v>88</v>
      </c>
      <c r="M36" t="s">
        <v>15</v>
      </c>
      <c r="N36" s="2">
        <v>413436</v>
      </c>
      <c r="O36" s="2">
        <v>-30675</v>
      </c>
      <c r="P36" s="2">
        <v>-85772.67</v>
      </c>
      <c r="Q36" s="2">
        <v>296988.33</v>
      </c>
      <c r="R36" s="2">
        <v>0</v>
      </c>
      <c r="S36" s="2">
        <v>296988.33</v>
      </c>
      <c r="T36" s="2">
        <v>296988.33</v>
      </c>
      <c r="U36" s="2">
        <v>0</v>
      </c>
      <c r="V36" s="2">
        <v>0</v>
      </c>
      <c r="W36" s="2">
        <v>0</v>
      </c>
    </row>
    <row r="37" spans="1:23" outlineLevel="2" x14ac:dyDescent="0.2">
      <c r="A37" t="s">
        <v>0</v>
      </c>
      <c r="B37" t="s">
        <v>39</v>
      </c>
      <c r="C37" t="s">
        <v>70</v>
      </c>
      <c r="D37" t="s">
        <v>89</v>
      </c>
      <c r="E37" t="s">
        <v>90</v>
      </c>
      <c r="F37" t="s">
        <v>5</v>
      </c>
      <c r="G37" t="s">
        <v>6</v>
      </c>
      <c r="H37" t="s">
        <v>35</v>
      </c>
      <c r="I37" t="s">
        <v>36</v>
      </c>
      <c r="J37" t="s">
        <v>9</v>
      </c>
      <c r="K37" t="s">
        <v>37</v>
      </c>
      <c r="L37" t="s">
        <v>73</v>
      </c>
      <c r="M37" t="s">
        <v>15</v>
      </c>
      <c r="N37" s="2">
        <v>13706160</v>
      </c>
      <c r="O37" s="2">
        <v>-375</v>
      </c>
      <c r="P37" s="2">
        <v>-2782528.87</v>
      </c>
      <c r="Q37" s="2">
        <v>10923256.130000001</v>
      </c>
      <c r="R37" s="2">
        <v>0</v>
      </c>
      <c r="S37" s="2">
        <v>10923256.130000001</v>
      </c>
      <c r="T37" s="2">
        <v>10923256.130000001</v>
      </c>
      <c r="U37" s="2">
        <v>0</v>
      </c>
      <c r="V37" s="2">
        <v>0</v>
      </c>
      <c r="W37" s="2">
        <v>0</v>
      </c>
    </row>
    <row r="38" spans="1:23" outlineLevel="2" x14ac:dyDescent="0.2">
      <c r="A38" t="s">
        <v>0</v>
      </c>
      <c r="B38" t="s">
        <v>39</v>
      </c>
      <c r="C38" t="s">
        <v>66</v>
      </c>
      <c r="D38" t="s">
        <v>67</v>
      </c>
      <c r="E38" t="s">
        <v>68</v>
      </c>
      <c r="F38" t="s">
        <v>5</v>
      </c>
      <c r="G38" t="s">
        <v>6</v>
      </c>
      <c r="H38" t="s">
        <v>35</v>
      </c>
      <c r="I38" t="s">
        <v>36</v>
      </c>
      <c r="J38" t="s">
        <v>9</v>
      </c>
      <c r="K38" t="s">
        <v>37</v>
      </c>
      <c r="L38" t="s">
        <v>69</v>
      </c>
      <c r="M38" t="s">
        <v>15</v>
      </c>
      <c r="N38" s="2">
        <v>2051604</v>
      </c>
      <c r="O38" s="2">
        <v>9500</v>
      </c>
      <c r="P38" s="2">
        <v>-446450</v>
      </c>
      <c r="Q38" s="2">
        <v>1614654</v>
      </c>
      <c r="R38" s="2">
        <v>0</v>
      </c>
      <c r="S38" s="2">
        <v>1614654</v>
      </c>
      <c r="T38" s="2">
        <v>1614654</v>
      </c>
      <c r="U38" s="2">
        <v>0</v>
      </c>
      <c r="V38" s="2">
        <v>0</v>
      </c>
      <c r="W38" s="2">
        <v>0</v>
      </c>
    </row>
    <row r="39" spans="1:23" outlineLevel="2" x14ac:dyDescent="0.2">
      <c r="A39" t="s">
        <v>0</v>
      </c>
      <c r="B39" t="s">
        <v>31</v>
      </c>
      <c r="C39" t="s">
        <v>32</v>
      </c>
      <c r="D39" t="s">
        <v>75</v>
      </c>
      <c r="E39" t="s">
        <v>76</v>
      </c>
      <c r="F39" t="s">
        <v>5</v>
      </c>
      <c r="G39" t="s">
        <v>6</v>
      </c>
      <c r="H39" t="s">
        <v>35</v>
      </c>
      <c r="I39" t="s">
        <v>36</v>
      </c>
      <c r="J39" t="s">
        <v>9</v>
      </c>
      <c r="K39" t="s">
        <v>37</v>
      </c>
      <c r="L39" t="s">
        <v>38</v>
      </c>
      <c r="M39" t="s">
        <v>15</v>
      </c>
      <c r="N39" s="2">
        <v>2298072</v>
      </c>
      <c r="O39" s="2">
        <v>-419692.09</v>
      </c>
      <c r="P39" s="2">
        <v>-523688.01</v>
      </c>
      <c r="Q39" s="2">
        <v>1354691.9</v>
      </c>
      <c r="R39" s="2">
        <v>0</v>
      </c>
      <c r="S39" s="2">
        <v>1354691.9</v>
      </c>
      <c r="T39" s="2">
        <v>1354283.57</v>
      </c>
      <c r="U39" s="2">
        <v>0</v>
      </c>
      <c r="V39" s="2">
        <v>408.33</v>
      </c>
      <c r="W39" s="2">
        <v>0</v>
      </c>
    </row>
    <row r="40" spans="1:23" outlineLevel="2" x14ac:dyDescent="0.2">
      <c r="A40" t="s">
        <v>0</v>
      </c>
      <c r="B40" t="s">
        <v>1</v>
      </c>
      <c r="C40" t="s">
        <v>91</v>
      </c>
      <c r="D40" t="s">
        <v>92</v>
      </c>
      <c r="E40" t="s">
        <v>93</v>
      </c>
      <c r="F40" t="s">
        <v>5</v>
      </c>
      <c r="G40" t="s">
        <v>6</v>
      </c>
      <c r="H40" t="s">
        <v>35</v>
      </c>
      <c r="I40" t="s">
        <v>36</v>
      </c>
      <c r="J40" t="s">
        <v>9</v>
      </c>
      <c r="K40" t="s">
        <v>37</v>
      </c>
      <c r="L40" t="s">
        <v>94</v>
      </c>
      <c r="M40" t="s">
        <v>12</v>
      </c>
      <c r="N40" s="2">
        <v>0</v>
      </c>
      <c r="O40" s="2">
        <v>0</v>
      </c>
      <c r="P40" s="2">
        <v>449651.24</v>
      </c>
      <c r="Q40" s="2">
        <v>449651.24</v>
      </c>
      <c r="R40" s="2">
        <v>0</v>
      </c>
      <c r="S40" s="2">
        <v>181161</v>
      </c>
      <c r="T40" s="2">
        <v>181161</v>
      </c>
      <c r="U40" s="2">
        <v>268490.23999999999</v>
      </c>
      <c r="V40" s="2">
        <v>268490.23999999999</v>
      </c>
      <c r="W40" s="2">
        <v>268490.23999999999</v>
      </c>
    </row>
    <row r="41" spans="1:23" outlineLevel="2" x14ac:dyDescent="0.2">
      <c r="A41" t="s">
        <v>0</v>
      </c>
      <c r="B41" t="s">
        <v>39</v>
      </c>
      <c r="C41" t="s">
        <v>95</v>
      </c>
      <c r="D41" t="s">
        <v>96</v>
      </c>
      <c r="E41" t="s">
        <v>97</v>
      </c>
      <c r="F41" t="s">
        <v>5</v>
      </c>
      <c r="G41" t="s">
        <v>6</v>
      </c>
      <c r="H41" t="s">
        <v>35</v>
      </c>
      <c r="I41" t="s">
        <v>36</v>
      </c>
      <c r="J41" t="s">
        <v>9</v>
      </c>
      <c r="K41" t="s">
        <v>37</v>
      </c>
      <c r="L41" t="s">
        <v>98</v>
      </c>
      <c r="M41" t="s">
        <v>12</v>
      </c>
      <c r="N41" s="2">
        <v>0</v>
      </c>
      <c r="O41" s="2">
        <v>0</v>
      </c>
      <c r="P41" s="2">
        <v>197048.39</v>
      </c>
      <c r="Q41" s="2">
        <v>197048.39</v>
      </c>
      <c r="R41" s="2">
        <v>0</v>
      </c>
      <c r="S41" s="2">
        <v>96012.13</v>
      </c>
      <c r="T41" s="2">
        <v>96012.13</v>
      </c>
      <c r="U41" s="2">
        <v>101036.26</v>
      </c>
      <c r="V41" s="2">
        <v>101036.26</v>
      </c>
      <c r="W41" s="2">
        <v>101036.26</v>
      </c>
    </row>
    <row r="42" spans="1:23" outlineLevel="2" x14ac:dyDescent="0.2">
      <c r="A42" t="s">
        <v>0</v>
      </c>
      <c r="B42" t="s">
        <v>1</v>
      </c>
      <c r="C42" t="s">
        <v>99</v>
      </c>
      <c r="D42" t="s">
        <v>100</v>
      </c>
      <c r="E42" t="s">
        <v>101</v>
      </c>
      <c r="F42" t="s">
        <v>5</v>
      </c>
      <c r="G42" t="s">
        <v>6</v>
      </c>
      <c r="H42" t="s">
        <v>35</v>
      </c>
      <c r="I42" t="s">
        <v>36</v>
      </c>
      <c r="J42" t="s">
        <v>9</v>
      </c>
      <c r="K42" t="s">
        <v>37</v>
      </c>
      <c r="L42" t="s">
        <v>102</v>
      </c>
      <c r="M42" t="s">
        <v>12</v>
      </c>
      <c r="N42" s="2">
        <v>0</v>
      </c>
      <c r="O42" s="2">
        <v>9300</v>
      </c>
      <c r="P42" s="2">
        <v>109476.1</v>
      </c>
      <c r="Q42" s="2">
        <v>118776.1</v>
      </c>
      <c r="R42" s="2">
        <v>0</v>
      </c>
      <c r="S42" s="2">
        <v>59345</v>
      </c>
      <c r="T42" s="2">
        <v>59345</v>
      </c>
      <c r="U42" s="2">
        <v>59431.1</v>
      </c>
      <c r="V42" s="2">
        <v>59431.1</v>
      </c>
      <c r="W42" s="2">
        <v>59431.1</v>
      </c>
    </row>
    <row r="43" spans="1:23" outlineLevel="2" x14ac:dyDescent="0.2">
      <c r="A43" t="s">
        <v>0</v>
      </c>
      <c r="B43" t="s">
        <v>1</v>
      </c>
      <c r="C43" t="s">
        <v>16</v>
      </c>
      <c r="D43" t="s">
        <v>103</v>
      </c>
      <c r="E43" t="s">
        <v>104</v>
      </c>
      <c r="F43" t="s">
        <v>5</v>
      </c>
      <c r="G43" t="s">
        <v>6</v>
      </c>
      <c r="H43" t="s">
        <v>35</v>
      </c>
      <c r="I43" t="s">
        <v>36</v>
      </c>
      <c r="J43" t="s">
        <v>9</v>
      </c>
      <c r="K43" t="s">
        <v>37</v>
      </c>
      <c r="L43" t="s">
        <v>48</v>
      </c>
      <c r="M43" t="s">
        <v>15</v>
      </c>
      <c r="N43" s="2">
        <v>2126172</v>
      </c>
      <c r="O43" s="2">
        <v>42432</v>
      </c>
      <c r="P43" s="2">
        <v>-535871.30000000005</v>
      </c>
      <c r="Q43" s="2">
        <v>1632732.7</v>
      </c>
      <c r="R43" s="2">
        <v>0</v>
      </c>
      <c r="S43" s="2">
        <v>1632732.7</v>
      </c>
      <c r="T43" s="2">
        <v>1632732.7</v>
      </c>
      <c r="U43" s="2">
        <v>0</v>
      </c>
      <c r="V43" s="2">
        <v>0</v>
      </c>
      <c r="W43" s="2">
        <v>0</v>
      </c>
    </row>
    <row r="44" spans="1:23" outlineLevel="2" x14ac:dyDescent="0.2">
      <c r="A44" t="s">
        <v>0</v>
      </c>
      <c r="B44" t="s">
        <v>39</v>
      </c>
      <c r="C44" t="s">
        <v>58</v>
      </c>
      <c r="D44" t="s">
        <v>105</v>
      </c>
      <c r="E44" t="s">
        <v>106</v>
      </c>
      <c r="F44" t="s">
        <v>5</v>
      </c>
      <c r="G44" t="s">
        <v>6</v>
      </c>
      <c r="H44" t="s">
        <v>35</v>
      </c>
      <c r="I44" t="s">
        <v>36</v>
      </c>
      <c r="J44" t="s">
        <v>9</v>
      </c>
      <c r="K44" t="s">
        <v>37</v>
      </c>
      <c r="L44" t="s">
        <v>61</v>
      </c>
      <c r="M44" t="s">
        <v>12</v>
      </c>
      <c r="N44" s="2">
        <v>0</v>
      </c>
      <c r="O44" s="2">
        <v>16000</v>
      </c>
      <c r="P44" s="2">
        <v>58743.05</v>
      </c>
      <c r="Q44" s="2">
        <v>74743.05</v>
      </c>
      <c r="R44" s="2">
        <v>0</v>
      </c>
      <c r="S44" s="2">
        <v>37331.5</v>
      </c>
      <c r="T44" s="2">
        <v>37331.5</v>
      </c>
      <c r="U44" s="2">
        <v>37411.550000000003</v>
      </c>
      <c r="V44" s="2">
        <v>37411.550000000003</v>
      </c>
      <c r="W44" s="2">
        <v>37411.550000000003</v>
      </c>
    </row>
    <row r="45" spans="1:23" outlineLevel="2" x14ac:dyDescent="0.2">
      <c r="A45" t="s">
        <v>0</v>
      </c>
      <c r="B45" t="s">
        <v>31</v>
      </c>
      <c r="C45" t="s">
        <v>107</v>
      </c>
      <c r="D45" t="s">
        <v>108</v>
      </c>
      <c r="E45" t="s">
        <v>109</v>
      </c>
      <c r="F45" t="s">
        <v>5</v>
      </c>
      <c r="G45" t="s">
        <v>6</v>
      </c>
      <c r="H45" t="s">
        <v>35</v>
      </c>
      <c r="I45" t="s">
        <v>36</v>
      </c>
      <c r="J45" t="s">
        <v>9</v>
      </c>
      <c r="K45" t="s">
        <v>37</v>
      </c>
      <c r="L45" t="s">
        <v>110</v>
      </c>
      <c r="M45" t="s">
        <v>12</v>
      </c>
      <c r="N45" s="2">
        <v>0</v>
      </c>
      <c r="O45" s="2">
        <v>-7340.35</v>
      </c>
      <c r="P45" s="2">
        <v>387553.97</v>
      </c>
      <c r="Q45" s="2">
        <v>380213.62</v>
      </c>
      <c r="R45" s="2">
        <v>0</v>
      </c>
      <c r="S45" s="2">
        <v>187216</v>
      </c>
      <c r="T45" s="2">
        <v>187216</v>
      </c>
      <c r="U45" s="2">
        <v>192997.62</v>
      </c>
      <c r="V45" s="2">
        <v>192997.62</v>
      </c>
      <c r="W45" s="2">
        <v>192997.62</v>
      </c>
    </row>
    <row r="46" spans="1:23" outlineLevel="2" x14ac:dyDescent="0.2">
      <c r="A46" t="s">
        <v>0</v>
      </c>
      <c r="B46" t="s">
        <v>31</v>
      </c>
      <c r="C46" t="s">
        <v>79</v>
      </c>
      <c r="D46" t="s">
        <v>111</v>
      </c>
      <c r="E46" t="s">
        <v>112</v>
      </c>
      <c r="F46" t="s">
        <v>5</v>
      </c>
      <c r="G46" t="s">
        <v>6</v>
      </c>
      <c r="H46" t="s">
        <v>35</v>
      </c>
      <c r="I46" t="s">
        <v>36</v>
      </c>
      <c r="J46" t="s">
        <v>9</v>
      </c>
      <c r="K46" t="s">
        <v>37</v>
      </c>
      <c r="L46" t="s">
        <v>82</v>
      </c>
      <c r="M46" t="s">
        <v>12</v>
      </c>
      <c r="N46" s="2">
        <v>0</v>
      </c>
      <c r="O46" s="2">
        <v>0</v>
      </c>
      <c r="P46" s="2">
        <v>14004.52</v>
      </c>
      <c r="Q46" s="2">
        <v>14004.52</v>
      </c>
      <c r="R46" s="2">
        <v>0</v>
      </c>
      <c r="S46" s="2">
        <v>6959</v>
      </c>
      <c r="T46" s="2">
        <v>6959</v>
      </c>
      <c r="U46" s="2">
        <v>7045.52</v>
      </c>
      <c r="V46" s="2">
        <v>7045.52</v>
      </c>
      <c r="W46" s="2">
        <v>7045.52</v>
      </c>
    </row>
    <row r="47" spans="1:23" outlineLevel="2" x14ac:dyDescent="0.2">
      <c r="A47" t="s">
        <v>0</v>
      </c>
      <c r="B47" t="s">
        <v>31</v>
      </c>
      <c r="C47" t="s">
        <v>79</v>
      </c>
      <c r="D47" t="s">
        <v>113</v>
      </c>
      <c r="E47" t="s">
        <v>114</v>
      </c>
      <c r="F47" t="s">
        <v>5</v>
      </c>
      <c r="G47" t="s">
        <v>6</v>
      </c>
      <c r="H47" t="s">
        <v>35</v>
      </c>
      <c r="I47" t="s">
        <v>36</v>
      </c>
      <c r="J47" t="s">
        <v>9</v>
      </c>
      <c r="K47" t="s">
        <v>37</v>
      </c>
      <c r="L47" t="s">
        <v>82</v>
      </c>
      <c r="M47" t="s">
        <v>12</v>
      </c>
      <c r="N47" s="2">
        <v>0</v>
      </c>
      <c r="O47" s="2">
        <v>600</v>
      </c>
      <c r="P47" s="2">
        <v>16967.8</v>
      </c>
      <c r="Q47" s="2">
        <v>17567.8</v>
      </c>
      <c r="R47" s="2">
        <v>0</v>
      </c>
      <c r="S47" s="2">
        <v>8768</v>
      </c>
      <c r="T47" s="2">
        <v>8768</v>
      </c>
      <c r="U47" s="2">
        <v>8799.7999999999993</v>
      </c>
      <c r="V47" s="2">
        <v>8799.7999999999993</v>
      </c>
      <c r="W47" s="2">
        <v>8799.7999999999993</v>
      </c>
    </row>
    <row r="48" spans="1:23" outlineLevel="2" x14ac:dyDescent="0.2">
      <c r="A48" t="s">
        <v>0</v>
      </c>
      <c r="B48" t="s">
        <v>31</v>
      </c>
      <c r="C48" t="s">
        <v>79</v>
      </c>
      <c r="D48" t="s">
        <v>115</v>
      </c>
      <c r="E48" t="s">
        <v>116</v>
      </c>
      <c r="F48" t="s">
        <v>5</v>
      </c>
      <c r="G48" t="s">
        <v>6</v>
      </c>
      <c r="H48" t="s">
        <v>35</v>
      </c>
      <c r="I48" t="s">
        <v>36</v>
      </c>
      <c r="J48" t="s">
        <v>9</v>
      </c>
      <c r="K48" t="s">
        <v>37</v>
      </c>
      <c r="L48" t="s">
        <v>82</v>
      </c>
      <c r="M48" t="s">
        <v>12</v>
      </c>
      <c r="N48" s="2">
        <v>0</v>
      </c>
      <c r="O48" s="2">
        <v>1630</v>
      </c>
      <c r="P48" s="2">
        <v>16629.599999999999</v>
      </c>
      <c r="Q48" s="2">
        <v>18259.599999999999</v>
      </c>
      <c r="R48" s="2">
        <v>0</v>
      </c>
      <c r="S48" s="2">
        <v>9126</v>
      </c>
      <c r="T48" s="2">
        <v>9126</v>
      </c>
      <c r="U48" s="2">
        <v>9133.6</v>
      </c>
      <c r="V48" s="2">
        <v>9133.6</v>
      </c>
      <c r="W48" s="2">
        <v>9133.6</v>
      </c>
    </row>
    <row r="49" spans="1:23" outlineLevel="2" x14ac:dyDescent="0.2">
      <c r="A49" t="s">
        <v>0</v>
      </c>
      <c r="B49" t="s">
        <v>1</v>
      </c>
      <c r="C49" t="s">
        <v>16</v>
      </c>
      <c r="D49" t="s">
        <v>17</v>
      </c>
      <c r="E49" t="s">
        <v>18</v>
      </c>
      <c r="F49" t="s">
        <v>5</v>
      </c>
      <c r="G49" t="s">
        <v>6</v>
      </c>
      <c r="H49" t="s">
        <v>35</v>
      </c>
      <c r="I49" t="s">
        <v>36</v>
      </c>
      <c r="J49" t="s">
        <v>9</v>
      </c>
      <c r="K49" t="s">
        <v>37</v>
      </c>
      <c r="L49" t="s">
        <v>48</v>
      </c>
      <c r="M49" t="s">
        <v>15</v>
      </c>
      <c r="N49" s="2">
        <v>2811067.68</v>
      </c>
      <c r="O49" s="2">
        <v>-13702.76</v>
      </c>
      <c r="P49" s="2">
        <v>-592268.35</v>
      </c>
      <c r="Q49" s="2">
        <v>2205096.5699999998</v>
      </c>
      <c r="R49" s="2">
        <v>0</v>
      </c>
      <c r="S49" s="2">
        <v>2205096.5699999998</v>
      </c>
      <c r="T49" s="2">
        <v>2204396.5699999998</v>
      </c>
      <c r="U49" s="2">
        <v>0</v>
      </c>
      <c r="V49" s="2">
        <v>700</v>
      </c>
      <c r="W49" s="2">
        <v>0</v>
      </c>
    </row>
    <row r="50" spans="1:23" outlineLevel="2" x14ac:dyDescent="0.2">
      <c r="A50" t="s">
        <v>0</v>
      </c>
      <c r="B50" t="s">
        <v>1</v>
      </c>
      <c r="C50" t="s">
        <v>99</v>
      </c>
      <c r="D50" t="s">
        <v>100</v>
      </c>
      <c r="E50" t="s">
        <v>101</v>
      </c>
      <c r="F50" t="s">
        <v>5</v>
      </c>
      <c r="G50" t="s">
        <v>6</v>
      </c>
      <c r="H50" t="s">
        <v>35</v>
      </c>
      <c r="I50" t="s">
        <v>36</v>
      </c>
      <c r="J50" t="s">
        <v>9</v>
      </c>
      <c r="K50" t="s">
        <v>37</v>
      </c>
      <c r="L50" t="s">
        <v>102</v>
      </c>
      <c r="M50" t="s">
        <v>15</v>
      </c>
      <c r="N50" s="2">
        <v>777108</v>
      </c>
      <c r="O50" s="2">
        <v>-35698.1</v>
      </c>
      <c r="P50" s="2">
        <v>-139754.54999999999</v>
      </c>
      <c r="Q50" s="2">
        <v>601655.35</v>
      </c>
      <c r="R50" s="2">
        <v>0</v>
      </c>
      <c r="S50" s="2">
        <v>601655.35</v>
      </c>
      <c r="T50" s="2">
        <v>601655.35</v>
      </c>
      <c r="U50" s="2">
        <v>0</v>
      </c>
      <c r="V50" s="2">
        <v>0</v>
      </c>
      <c r="W50" s="2">
        <v>0</v>
      </c>
    </row>
    <row r="51" spans="1:23" outlineLevel="2" x14ac:dyDescent="0.2">
      <c r="A51" t="s">
        <v>0</v>
      </c>
      <c r="B51" t="s">
        <v>39</v>
      </c>
      <c r="C51" t="s">
        <v>70</v>
      </c>
      <c r="D51" t="s">
        <v>89</v>
      </c>
      <c r="E51" t="s">
        <v>90</v>
      </c>
      <c r="F51" t="s">
        <v>5</v>
      </c>
      <c r="G51" t="s">
        <v>6</v>
      </c>
      <c r="H51" t="s">
        <v>35</v>
      </c>
      <c r="I51" t="s">
        <v>36</v>
      </c>
      <c r="J51" t="s">
        <v>9</v>
      </c>
      <c r="K51" t="s">
        <v>37</v>
      </c>
      <c r="L51" t="s">
        <v>73</v>
      </c>
      <c r="M51" t="s">
        <v>12</v>
      </c>
      <c r="N51" s="2">
        <v>0</v>
      </c>
      <c r="O51" s="2">
        <v>0</v>
      </c>
      <c r="P51" s="2">
        <v>2782528.87</v>
      </c>
      <c r="Q51" s="2">
        <v>2782528.87</v>
      </c>
      <c r="R51" s="2">
        <v>0</v>
      </c>
      <c r="S51" s="2">
        <v>1088539.5900000001</v>
      </c>
      <c r="T51" s="2">
        <v>1088539.5900000001</v>
      </c>
      <c r="U51" s="2">
        <v>1693989.28</v>
      </c>
      <c r="V51" s="2">
        <v>1693989.28</v>
      </c>
      <c r="W51" s="2">
        <v>1693989.28</v>
      </c>
    </row>
    <row r="52" spans="1:23" outlineLevel="2" x14ac:dyDescent="0.2">
      <c r="A52" t="s">
        <v>0</v>
      </c>
      <c r="B52" t="s">
        <v>1</v>
      </c>
      <c r="C52" t="s">
        <v>91</v>
      </c>
      <c r="D52" t="s">
        <v>92</v>
      </c>
      <c r="E52" t="s">
        <v>93</v>
      </c>
      <c r="F52" t="s">
        <v>5</v>
      </c>
      <c r="G52" t="s">
        <v>6</v>
      </c>
      <c r="H52" t="s">
        <v>35</v>
      </c>
      <c r="I52" t="s">
        <v>36</v>
      </c>
      <c r="J52" t="s">
        <v>9</v>
      </c>
      <c r="K52" t="s">
        <v>37</v>
      </c>
      <c r="L52" t="s">
        <v>94</v>
      </c>
      <c r="M52" t="s">
        <v>15</v>
      </c>
      <c r="N52" s="2">
        <v>2368584</v>
      </c>
      <c r="O52" s="2">
        <v>-140822.99</v>
      </c>
      <c r="P52" s="2">
        <v>-449651.24</v>
      </c>
      <c r="Q52" s="2">
        <v>1778109.77</v>
      </c>
      <c r="R52" s="2">
        <v>0</v>
      </c>
      <c r="S52" s="2">
        <v>1778109.77</v>
      </c>
      <c r="T52" s="2">
        <v>1777260.9</v>
      </c>
      <c r="U52" s="2">
        <v>0</v>
      </c>
      <c r="V52" s="2">
        <v>848.87</v>
      </c>
      <c r="W52" s="2">
        <v>0</v>
      </c>
    </row>
    <row r="53" spans="1:23" outlineLevel="2" x14ac:dyDescent="0.2">
      <c r="A53" t="s">
        <v>0</v>
      </c>
      <c r="B53" t="s">
        <v>31</v>
      </c>
      <c r="C53" t="s">
        <v>79</v>
      </c>
      <c r="D53" t="s">
        <v>117</v>
      </c>
      <c r="E53" t="s">
        <v>118</v>
      </c>
      <c r="F53" t="s">
        <v>5</v>
      </c>
      <c r="G53" t="s">
        <v>6</v>
      </c>
      <c r="H53" t="s">
        <v>35</v>
      </c>
      <c r="I53" t="s">
        <v>36</v>
      </c>
      <c r="J53" t="s">
        <v>9</v>
      </c>
      <c r="K53" t="s">
        <v>37</v>
      </c>
      <c r="L53" t="s">
        <v>82</v>
      </c>
      <c r="M53" t="s">
        <v>12</v>
      </c>
      <c r="N53" s="2">
        <v>0</v>
      </c>
      <c r="O53" s="2">
        <v>0</v>
      </c>
      <c r="P53" s="2">
        <v>31711.02</v>
      </c>
      <c r="Q53" s="2">
        <v>31711.02</v>
      </c>
      <c r="R53" s="2">
        <v>0</v>
      </c>
      <c r="S53" s="2">
        <v>10164</v>
      </c>
      <c r="T53" s="2">
        <v>10164</v>
      </c>
      <c r="U53" s="2">
        <v>21547.02</v>
      </c>
      <c r="V53" s="2">
        <v>21547.02</v>
      </c>
      <c r="W53" s="2">
        <v>21547.02</v>
      </c>
    </row>
    <row r="54" spans="1:23" outlineLevel="2" x14ac:dyDescent="0.2">
      <c r="A54" t="s">
        <v>0</v>
      </c>
      <c r="B54" t="s">
        <v>39</v>
      </c>
      <c r="C54" t="s">
        <v>58</v>
      </c>
      <c r="D54" t="s">
        <v>119</v>
      </c>
      <c r="E54" t="s">
        <v>120</v>
      </c>
      <c r="F54" t="s">
        <v>5</v>
      </c>
      <c r="G54" t="s">
        <v>6</v>
      </c>
      <c r="H54" t="s">
        <v>35</v>
      </c>
      <c r="I54" t="s">
        <v>36</v>
      </c>
      <c r="J54" t="s">
        <v>9</v>
      </c>
      <c r="K54" t="s">
        <v>37</v>
      </c>
      <c r="L54" t="s">
        <v>61</v>
      </c>
      <c r="M54" t="s">
        <v>12</v>
      </c>
      <c r="N54" s="2">
        <v>0</v>
      </c>
      <c r="O54" s="2">
        <v>0</v>
      </c>
      <c r="P54" s="2">
        <v>73192.429999999993</v>
      </c>
      <c r="Q54" s="2">
        <v>73192.429999999993</v>
      </c>
      <c r="R54" s="2">
        <v>0</v>
      </c>
      <c r="S54" s="2">
        <v>33845</v>
      </c>
      <c r="T54" s="2">
        <v>33845</v>
      </c>
      <c r="U54" s="2">
        <v>39347.43</v>
      </c>
      <c r="V54" s="2">
        <v>39347.43</v>
      </c>
      <c r="W54" s="2">
        <v>39347.43</v>
      </c>
    </row>
    <row r="55" spans="1:23" outlineLevel="2" x14ac:dyDescent="0.2">
      <c r="A55" t="s">
        <v>0</v>
      </c>
      <c r="B55" t="s">
        <v>39</v>
      </c>
      <c r="C55" t="s">
        <v>40</v>
      </c>
      <c r="D55" t="s">
        <v>41</v>
      </c>
      <c r="E55" t="s">
        <v>42</v>
      </c>
      <c r="F55" t="s">
        <v>5</v>
      </c>
      <c r="G55" t="s">
        <v>6</v>
      </c>
      <c r="H55" t="s">
        <v>35</v>
      </c>
      <c r="I55" t="s">
        <v>36</v>
      </c>
      <c r="J55" t="s">
        <v>9</v>
      </c>
      <c r="K55" t="s">
        <v>37</v>
      </c>
      <c r="L55" t="s">
        <v>43</v>
      </c>
      <c r="M55" t="s">
        <v>15</v>
      </c>
      <c r="N55" s="2">
        <v>1279057.44</v>
      </c>
      <c r="O55" s="2">
        <v>-1108.54</v>
      </c>
      <c r="P55" s="2">
        <v>-291817.57</v>
      </c>
      <c r="Q55" s="2">
        <v>986131.33</v>
      </c>
      <c r="R55" s="2">
        <v>0</v>
      </c>
      <c r="S55" s="2">
        <v>986131.33</v>
      </c>
      <c r="T55" s="2">
        <v>986131.33</v>
      </c>
      <c r="U55" s="2">
        <v>0</v>
      </c>
      <c r="V55" s="2">
        <v>0</v>
      </c>
      <c r="W55" s="2">
        <v>0</v>
      </c>
    </row>
    <row r="56" spans="1:23" outlineLevel="2" x14ac:dyDescent="0.2">
      <c r="A56" t="s">
        <v>0</v>
      </c>
      <c r="B56" t="s">
        <v>39</v>
      </c>
      <c r="C56" t="s">
        <v>66</v>
      </c>
      <c r="D56" t="s">
        <v>121</v>
      </c>
      <c r="E56" t="s">
        <v>122</v>
      </c>
      <c r="F56" t="s">
        <v>5</v>
      </c>
      <c r="G56" t="s">
        <v>6</v>
      </c>
      <c r="H56" t="s">
        <v>35</v>
      </c>
      <c r="I56" t="s">
        <v>36</v>
      </c>
      <c r="J56" t="s">
        <v>9</v>
      </c>
      <c r="K56" t="s">
        <v>37</v>
      </c>
      <c r="L56" t="s">
        <v>69</v>
      </c>
      <c r="M56" t="s">
        <v>15</v>
      </c>
      <c r="N56" s="2">
        <v>1226304</v>
      </c>
      <c r="O56" s="2">
        <v>-1300.53</v>
      </c>
      <c r="P56" s="2">
        <v>-261253.35</v>
      </c>
      <c r="Q56" s="2">
        <v>963750.12</v>
      </c>
      <c r="R56" s="2">
        <v>0</v>
      </c>
      <c r="S56" s="2">
        <v>963750.12</v>
      </c>
      <c r="T56" s="2">
        <v>963750.12</v>
      </c>
      <c r="U56" s="2">
        <v>0</v>
      </c>
      <c r="V56" s="2">
        <v>0</v>
      </c>
      <c r="W56" s="2">
        <v>0</v>
      </c>
    </row>
    <row r="57" spans="1:23" outlineLevel="2" x14ac:dyDescent="0.2">
      <c r="A57" t="s">
        <v>0</v>
      </c>
      <c r="B57" t="s">
        <v>1</v>
      </c>
      <c r="C57" t="s">
        <v>16</v>
      </c>
      <c r="D57" t="s">
        <v>64</v>
      </c>
      <c r="E57" t="s">
        <v>65</v>
      </c>
      <c r="F57" t="s">
        <v>5</v>
      </c>
      <c r="G57" t="s">
        <v>6</v>
      </c>
      <c r="H57" t="s">
        <v>35</v>
      </c>
      <c r="I57" t="s">
        <v>36</v>
      </c>
      <c r="J57" t="s">
        <v>9</v>
      </c>
      <c r="K57" t="s">
        <v>37</v>
      </c>
      <c r="L57" t="s">
        <v>48</v>
      </c>
      <c r="M57" t="s">
        <v>12</v>
      </c>
      <c r="N57" s="2">
        <v>0</v>
      </c>
      <c r="O57" s="2">
        <v>30000</v>
      </c>
      <c r="P57" s="2">
        <v>20858.89</v>
      </c>
      <c r="Q57" s="2">
        <v>50858.89</v>
      </c>
      <c r="R57" s="2">
        <v>0</v>
      </c>
      <c r="S57" s="2">
        <v>24836</v>
      </c>
      <c r="T57" s="2">
        <v>24836</v>
      </c>
      <c r="U57" s="2">
        <v>26022.89</v>
      </c>
      <c r="V57" s="2">
        <v>26022.89</v>
      </c>
      <c r="W57" s="2">
        <v>26022.89</v>
      </c>
    </row>
    <row r="58" spans="1:23" outlineLevel="2" x14ac:dyDescent="0.2">
      <c r="A58" t="s">
        <v>0</v>
      </c>
      <c r="B58" t="s">
        <v>31</v>
      </c>
      <c r="C58" t="s">
        <v>32</v>
      </c>
      <c r="D58" t="s">
        <v>123</v>
      </c>
      <c r="E58" t="s">
        <v>124</v>
      </c>
      <c r="F58" t="s">
        <v>5</v>
      </c>
      <c r="G58" t="s">
        <v>6</v>
      </c>
      <c r="H58" t="s">
        <v>35</v>
      </c>
      <c r="I58" t="s">
        <v>36</v>
      </c>
      <c r="J58" t="s">
        <v>9</v>
      </c>
      <c r="K58" t="s">
        <v>37</v>
      </c>
      <c r="L58" t="s">
        <v>38</v>
      </c>
      <c r="M58" t="s">
        <v>15</v>
      </c>
      <c r="N58" s="2">
        <v>1556724</v>
      </c>
      <c r="O58" s="2">
        <v>-417563</v>
      </c>
      <c r="P58" s="2">
        <v>-73013.33</v>
      </c>
      <c r="Q58" s="2">
        <v>1066147.67</v>
      </c>
      <c r="R58" s="2">
        <v>0</v>
      </c>
      <c r="S58" s="2">
        <v>1066147.67</v>
      </c>
      <c r="T58" s="2">
        <v>1066147.67</v>
      </c>
      <c r="U58" s="2">
        <v>0</v>
      </c>
      <c r="V58" s="2">
        <v>0</v>
      </c>
      <c r="W58" s="2">
        <v>0</v>
      </c>
    </row>
    <row r="59" spans="1:23" outlineLevel="2" x14ac:dyDescent="0.2">
      <c r="A59" t="s">
        <v>0</v>
      </c>
      <c r="B59" t="s">
        <v>31</v>
      </c>
      <c r="C59" t="s">
        <v>79</v>
      </c>
      <c r="D59" t="s">
        <v>125</v>
      </c>
      <c r="E59" t="s">
        <v>126</v>
      </c>
      <c r="F59" t="s">
        <v>5</v>
      </c>
      <c r="G59" t="s">
        <v>6</v>
      </c>
      <c r="H59" t="s">
        <v>35</v>
      </c>
      <c r="I59" t="s">
        <v>36</v>
      </c>
      <c r="J59" t="s">
        <v>9</v>
      </c>
      <c r="K59" t="s">
        <v>37</v>
      </c>
      <c r="L59" t="s">
        <v>82</v>
      </c>
      <c r="M59" t="s">
        <v>12</v>
      </c>
      <c r="N59" s="2">
        <v>0</v>
      </c>
      <c r="O59" s="2">
        <v>1300</v>
      </c>
      <c r="P59" s="2">
        <v>11229.3</v>
      </c>
      <c r="Q59" s="2">
        <v>12529.3</v>
      </c>
      <c r="R59" s="2">
        <v>0</v>
      </c>
      <c r="S59" s="2">
        <v>6257</v>
      </c>
      <c r="T59" s="2">
        <v>6257</v>
      </c>
      <c r="U59" s="2">
        <v>6272.3</v>
      </c>
      <c r="V59" s="2">
        <v>6272.3</v>
      </c>
      <c r="W59" s="2">
        <v>6272.3</v>
      </c>
    </row>
    <row r="60" spans="1:23" outlineLevel="2" x14ac:dyDescent="0.2">
      <c r="A60" t="s">
        <v>0</v>
      </c>
      <c r="B60" t="s">
        <v>1</v>
      </c>
      <c r="C60" t="s">
        <v>2</v>
      </c>
      <c r="D60" t="s">
        <v>3</v>
      </c>
      <c r="E60" t="s">
        <v>4</v>
      </c>
      <c r="F60" t="s">
        <v>5</v>
      </c>
      <c r="G60" t="s">
        <v>6</v>
      </c>
      <c r="H60" t="s">
        <v>35</v>
      </c>
      <c r="I60" t="s">
        <v>36</v>
      </c>
      <c r="J60" t="s">
        <v>9</v>
      </c>
      <c r="K60" t="s">
        <v>37</v>
      </c>
      <c r="L60" t="s">
        <v>74</v>
      </c>
      <c r="M60" t="s">
        <v>15</v>
      </c>
      <c r="N60" s="2">
        <v>3287178.36</v>
      </c>
      <c r="O60" s="2">
        <v>-40098</v>
      </c>
      <c r="P60" s="2">
        <v>-646993.27</v>
      </c>
      <c r="Q60" s="2">
        <v>2600087.09</v>
      </c>
      <c r="R60" s="2">
        <v>0</v>
      </c>
      <c r="S60" s="2">
        <v>2600087.09</v>
      </c>
      <c r="T60" s="2">
        <v>2600087.09</v>
      </c>
      <c r="U60" s="2">
        <v>0</v>
      </c>
      <c r="V60" s="2">
        <v>0</v>
      </c>
      <c r="W60" s="2">
        <v>0</v>
      </c>
    </row>
    <row r="61" spans="1:23" outlineLevel="2" x14ac:dyDescent="0.2">
      <c r="A61" t="s">
        <v>0</v>
      </c>
      <c r="B61" t="s">
        <v>31</v>
      </c>
      <c r="C61" t="s">
        <v>79</v>
      </c>
      <c r="D61" t="s">
        <v>127</v>
      </c>
      <c r="E61" t="s">
        <v>128</v>
      </c>
      <c r="F61" t="s">
        <v>5</v>
      </c>
      <c r="G61" t="s">
        <v>6</v>
      </c>
      <c r="H61" t="s">
        <v>35</v>
      </c>
      <c r="I61" t="s">
        <v>36</v>
      </c>
      <c r="J61" t="s">
        <v>9</v>
      </c>
      <c r="K61" t="s">
        <v>37</v>
      </c>
      <c r="L61" t="s">
        <v>82</v>
      </c>
      <c r="M61" t="s">
        <v>12</v>
      </c>
      <c r="N61" s="2">
        <v>0</v>
      </c>
      <c r="O61" s="2">
        <v>0</v>
      </c>
      <c r="P61" s="2">
        <v>30701.4</v>
      </c>
      <c r="Q61" s="2">
        <v>30701.4</v>
      </c>
      <c r="R61" s="2">
        <v>0</v>
      </c>
      <c r="S61" s="2">
        <v>14784</v>
      </c>
      <c r="T61" s="2">
        <v>14784</v>
      </c>
      <c r="U61" s="2">
        <v>15917.4</v>
      </c>
      <c r="V61" s="2">
        <v>15917.4</v>
      </c>
      <c r="W61" s="2">
        <v>15917.4</v>
      </c>
    </row>
    <row r="62" spans="1:23" outlineLevel="2" x14ac:dyDescent="0.2">
      <c r="A62" t="s">
        <v>0</v>
      </c>
      <c r="B62" t="s">
        <v>39</v>
      </c>
      <c r="C62" t="s">
        <v>58</v>
      </c>
      <c r="D62" t="s">
        <v>129</v>
      </c>
      <c r="E62" t="s">
        <v>130</v>
      </c>
      <c r="F62" t="s">
        <v>5</v>
      </c>
      <c r="G62" t="s">
        <v>6</v>
      </c>
      <c r="H62" t="s">
        <v>35</v>
      </c>
      <c r="I62" t="s">
        <v>36</v>
      </c>
      <c r="J62" t="s">
        <v>9</v>
      </c>
      <c r="K62" t="s">
        <v>37</v>
      </c>
      <c r="L62" t="s">
        <v>61</v>
      </c>
      <c r="M62" t="s">
        <v>12</v>
      </c>
      <c r="N62" s="2">
        <v>0</v>
      </c>
      <c r="O62" s="2">
        <v>8270</v>
      </c>
      <c r="P62" s="2">
        <v>67189.63</v>
      </c>
      <c r="Q62" s="2">
        <v>75459.63</v>
      </c>
      <c r="R62" s="2">
        <v>0</v>
      </c>
      <c r="S62" s="2">
        <v>37725.03</v>
      </c>
      <c r="T62" s="2">
        <v>37725.03</v>
      </c>
      <c r="U62" s="2">
        <v>37734.6</v>
      </c>
      <c r="V62" s="2">
        <v>37734.6</v>
      </c>
      <c r="W62" s="2">
        <v>37734.6</v>
      </c>
    </row>
    <row r="63" spans="1:23" outlineLevel="2" x14ac:dyDescent="0.2">
      <c r="A63" t="s">
        <v>0</v>
      </c>
      <c r="B63" t="s">
        <v>53</v>
      </c>
      <c r="C63" t="s">
        <v>85</v>
      </c>
      <c r="D63" t="s">
        <v>86</v>
      </c>
      <c r="E63" t="s">
        <v>87</v>
      </c>
      <c r="F63" t="s">
        <v>5</v>
      </c>
      <c r="G63" t="s">
        <v>6</v>
      </c>
      <c r="H63" t="s">
        <v>35</v>
      </c>
      <c r="I63" t="s">
        <v>36</v>
      </c>
      <c r="J63" t="s">
        <v>9</v>
      </c>
      <c r="K63" t="s">
        <v>37</v>
      </c>
      <c r="L63" t="s">
        <v>88</v>
      </c>
      <c r="M63" t="s">
        <v>12</v>
      </c>
      <c r="N63" s="2">
        <v>0</v>
      </c>
      <c r="O63" s="2">
        <v>0</v>
      </c>
      <c r="P63" s="2">
        <v>85772.67</v>
      </c>
      <c r="Q63" s="2">
        <v>85772.67</v>
      </c>
      <c r="R63" s="2">
        <v>0</v>
      </c>
      <c r="S63" s="2">
        <v>28036.33</v>
      </c>
      <c r="T63" s="2">
        <v>28036.33</v>
      </c>
      <c r="U63" s="2">
        <v>57736.34</v>
      </c>
      <c r="V63" s="2">
        <v>57736.34</v>
      </c>
      <c r="W63" s="2">
        <v>57736.34</v>
      </c>
    </row>
    <row r="64" spans="1:23" outlineLevel="2" x14ac:dyDescent="0.2">
      <c r="A64" t="s">
        <v>0</v>
      </c>
      <c r="B64" t="s">
        <v>31</v>
      </c>
      <c r="C64" t="s">
        <v>79</v>
      </c>
      <c r="D64" t="s">
        <v>83</v>
      </c>
      <c r="E64" t="s">
        <v>84</v>
      </c>
      <c r="F64" t="s">
        <v>5</v>
      </c>
      <c r="G64" t="s">
        <v>6</v>
      </c>
      <c r="H64" t="s">
        <v>35</v>
      </c>
      <c r="I64" t="s">
        <v>36</v>
      </c>
      <c r="J64" t="s">
        <v>9</v>
      </c>
      <c r="K64" t="s">
        <v>37</v>
      </c>
      <c r="L64" t="s">
        <v>82</v>
      </c>
      <c r="M64" t="s">
        <v>12</v>
      </c>
      <c r="N64" s="2">
        <v>0</v>
      </c>
      <c r="O64" s="2">
        <v>0</v>
      </c>
      <c r="P64" s="2">
        <v>174268.64</v>
      </c>
      <c r="Q64" s="2">
        <v>174268.64</v>
      </c>
      <c r="R64" s="2">
        <v>0</v>
      </c>
      <c r="S64" s="2">
        <v>80984.87</v>
      </c>
      <c r="T64" s="2">
        <v>80984.87</v>
      </c>
      <c r="U64" s="2">
        <v>93283.77</v>
      </c>
      <c r="V64" s="2">
        <v>93283.77</v>
      </c>
      <c r="W64" s="2">
        <v>93283.77</v>
      </c>
    </row>
    <row r="65" spans="1:23" outlineLevel="2" x14ac:dyDescent="0.2">
      <c r="A65" t="s">
        <v>0</v>
      </c>
      <c r="B65" t="s">
        <v>31</v>
      </c>
      <c r="C65" t="s">
        <v>32</v>
      </c>
      <c r="D65" t="s">
        <v>123</v>
      </c>
      <c r="E65" t="s">
        <v>124</v>
      </c>
      <c r="F65" t="s">
        <v>5</v>
      </c>
      <c r="G65" t="s">
        <v>6</v>
      </c>
      <c r="H65" t="s">
        <v>35</v>
      </c>
      <c r="I65" t="s">
        <v>36</v>
      </c>
      <c r="J65" t="s">
        <v>9</v>
      </c>
      <c r="K65" t="s">
        <v>37</v>
      </c>
      <c r="L65" t="s">
        <v>38</v>
      </c>
      <c r="M65" t="s">
        <v>12</v>
      </c>
      <c r="N65" s="2">
        <v>0</v>
      </c>
      <c r="O65" s="2">
        <v>0</v>
      </c>
      <c r="P65" s="2">
        <v>215761.01</v>
      </c>
      <c r="Q65" s="2">
        <v>215761.01</v>
      </c>
      <c r="R65" s="2">
        <v>0</v>
      </c>
      <c r="S65" s="2">
        <v>97193</v>
      </c>
      <c r="T65" s="2">
        <v>97193</v>
      </c>
      <c r="U65" s="2">
        <v>118568.01</v>
      </c>
      <c r="V65" s="2">
        <v>118568.01</v>
      </c>
      <c r="W65" s="2">
        <v>118568.01</v>
      </c>
    </row>
    <row r="66" spans="1:23" outlineLevel="2" x14ac:dyDescent="0.2">
      <c r="A66" t="s">
        <v>0</v>
      </c>
      <c r="B66" t="s">
        <v>31</v>
      </c>
      <c r="C66" t="s">
        <v>79</v>
      </c>
      <c r="D66" t="s">
        <v>131</v>
      </c>
      <c r="E66" t="s">
        <v>132</v>
      </c>
      <c r="F66" t="s">
        <v>5</v>
      </c>
      <c r="G66" t="s">
        <v>6</v>
      </c>
      <c r="H66" t="s">
        <v>35</v>
      </c>
      <c r="I66" t="s">
        <v>36</v>
      </c>
      <c r="J66" t="s">
        <v>9</v>
      </c>
      <c r="K66" t="s">
        <v>37</v>
      </c>
      <c r="L66" t="s">
        <v>82</v>
      </c>
      <c r="M66" t="s">
        <v>12</v>
      </c>
      <c r="N66" s="2">
        <v>0</v>
      </c>
      <c r="O66" s="2">
        <v>560</v>
      </c>
      <c r="P66" s="2">
        <v>25120.49</v>
      </c>
      <c r="Q66" s="2">
        <v>25680.49</v>
      </c>
      <c r="R66" s="2">
        <v>0</v>
      </c>
      <c r="S66" s="2">
        <v>12832</v>
      </c>
      <c r="T66" s="2">
        <v>12832</v>
      </c>
      <c r="U66" s="2">
        <v>12848.49</v>
      </c>
      <c r="V66" s="2">
        <v>12848.49</v>
      </c>
      <c r="W66" s="2">
        <v>12848.49</v>
      </c>
    </row>
    <row r="67" spans="1:23" outlineLevel="2" x14ac:dyDescent="0.2">
      <c r="A67" t="s">
        <v>0</v>
      </c>
      <c r="B67" t="s">
        <v>31</v>
      </c>
      <c r="C67" t="s">
        <v>79</v>
      </c>
      <c r="D67" t="s">
        <v>133</v>
      </c>
      <c r="E67" t="s">
        <v>134</v>
      </c>
      <c r="F67" t="s">
        <v>5</v>
      </c>
      <c r="G67" t="s">
        <v>6</v>
      </c>
      <c r="H67" t="s">
        <v>35</v>
      </c>
      <c r="I67" t="s">
        <v>36</v>
      </c>
      <c r="J67" t="s">
        <v>9</v>
      </c>
      <c r="K67" t="s">
        <v>37</v>
      </c>
      <c r="L67" t="s">
        <v>82</v>
      </c>
      <c r="M67" t="s">
        <v>12</v>
      </c>
      <c r="N67" s="2">
        <v>0</v>
      </c>
      <c r="O67" s="2">
        <v>0</v>
      </c>
      <c r="P67" s="2">
        <v>42201.53</v>
      </c>
      <c r="Q67" s="2">
        <v>42201.53</v>
      </c>
      <c r="R67" s="2">
        <v>0</v>
      </c>
      <c r="S67" s="2">
        <v>20028</v>
      </c>
      <c r="T67" s="2">
        <v>20028</v>
      </c>
      <c r="U67" s="2">
        <v>22173.53</v>
      </c>
      <c r="V67" s="2">
        <v>22173.53</v>
      </c>
      <c r="W67" s="2">
        <v>22173.53</v>
      </c>
    </row>
    <row r="68" spans="1:23" outlineLevel="2" x14ac:dyDescent="0.2">
      <c r="A68" t="s">
        <v>0</v>
      </c>
      <c r="B68" t="s">
        <v>1</v>
      </c>
      <c r="C68" t="s">
        <v>2</v>
      </c>
      <c r="D68" t="s">
        <v>20</v>
      </c>
      <c r="E68" t="s">
        <v>21</v>
      </c>
      <c r="F68" t="s">
        <v>5</v>
      </c>
      <c r="G68" t="s">
        <v>6</v>
      </c>
      <c r="H68" t="s">
        <v>35</v>
      </c>
      <c r="I68" t="s">
        <v>36</v>
      </c>
      <c r="J68" t="s">
        <v>9</v>
      </c>
      <c r="K68" t="s">
        <v>37</v>
      </c>
      <c r="L68" t="s">
        <v>74</v>
      </c>
      <c r="M68" t="s">
        <v>12</v>
      </c>
      <c r="N68" s="2">
        <v>0</v>
      </c>
      <c r="O68" s="2">
        <v>-304630</v>
      </c>
      <c r="P68" s="2">
        <v>1301894.83</v>
      </c>
      <c r="Q68" s="2">
        <v>997264.83</v>
      </c>
      <c r="R68" s="2">
        <v>0</v>
      </c>
      <c r="S68" s="2">
        <v>618028.56999999995</v>
      </c>
      <c r="T68" s="2">
        <v>618028.56999999995</v>
      </c>
      <c r="U68" s="2">
        <v>379236.26</v>
      </c>
      <c r="V68" s="2">
        <v>379236.26</v>
      </c>
      <c r="W68" s="2">
        <v>379236.26</v>
      </c>
    </row>
    <row r="69" spans="1:23" outlineLevel="2" x14ac:dyDescent="0.2">
      <c r="A69" t="s">
        <v>0</v>
      </c>
      <c r="B69" t="s">
        <v>39</v>
      </c>
      <c r="C69" t="s">
        <v>40</v>
      </c>
      <c r="D69" t="s">
        <v>77</v>
      </c>
      <c r="E69" t="s">
        <v>78</v>
      </c>
      <c r="F69" t="s">
        <v>5</v>
      </c>
      <c r="G69" t="s">
        <v>6</v>
      </c>
      <c r="H69" t="s">
        <v>35</v>
      </c>
      <c r="I69" t="s">
        <v>36</v>
      </c>
      <c r="J69" t="s">
        <v>9</v>
      </c>
      <c r="K69" t="s">
        <v>37</v>
      </c>
      <c r="L69" t="s">
        <v>43</v>
      </c>
      <c r="M69" t="s">
        <v>12</v>
      </c>
      <c r="N69" s="2">
        <v>0</v>
      </c>
      <c r="O69" s="2">
        <v>0</v>
      </c>
      <c r="P69" s="2">
        <v>4659477.3600000003</v>
      </c>
      <c r="Q69" s="2">
        <v>4659477.3600000003</v>
      </c>
      <c r="R69" s="2">
        <v>0</v>
      </c>
      <c r="S69" s="2">
        <v>2254851.6800000002</v>
      </c>
      <c r="T69" s="2">
        <v>2249963.35</v>
      </c>
      <c r="U69" s="2">
        <v>2404625.6800000002</v>
      </c>
      <c r="V69" s="2">
        <v>2409514.0099999998</v>
      </c>
      <c r="W69" s="2">
        <v>2404625.6800000002</v>
      </c>
    </row>
    <row r="70" spans="1:23" outlineLevel="2" x14ac:dyDescent="0.2">
      <c r="A70" t="s">
        <v>0</v>
      </c>
      <c r="B70" t="s">
        <v>1</v>
      </c>
      <c r="C70" t="s">
        <v>16</v>
      </c>
      <c r="D70" t="s">
        <v>103</v>
      </c>
      <c r="E70" t="s">
        <v>104</v>
      </c>
      <c r="F70" t="s">
        <v>5</v>
      </c>
      <c r="G70" t="s">
        <v>6</v>
      </c>
      <c r="H70" t="s">
        <v>35</v>
      </c>
      <c r="I70" t="s">
        <v>36</v>
      </c>
      <c r="J70" t="s">
        <v>9</v>
      </c>
      <c r="K70" t="s">
        <v>37</v>
      </c>
      <c r="L70" t="s">
        <v>48</v>
      </c>
      <c r="M70" t="s">
        <v>12</v>
      </c>
      <c r="N70" s="2">
        <v>0</v>
      </c>
      <c r="O70" s="2">
        <v>0</v>
      </c>
      <c r="P70" s="2">
        <v>329634.8</v>
      </c>
      <c r="Q70" s="2">
        <v>329634.8</v>
      </c>
      <c r="R70" s="2">
        <v>0</v>
      </c>
      <c r="S70" s="2">
        <v>167077.70000000001</v>
      </c>
      <c r="T70" s="2">
        <v>167077.70000000001</v>
      </c>
      <c r="U70" s="2">
        <v>162557.1</v>
      </c>
      <c r="V70" s="2">
        <v>162557.1</v>
      </c>
      <c r="W70" s="2">
        <v>162557.1</v>
      </c>
    </row>
    <row r="71" spans="1:23" outlineLevel="2" x14ac:dyDescent="0.2">
      <c r="A71" t="s">
        <v>0</v>
      </c>
      <c r="B71" t="s">
        <v>39</v>
      </c>
      <c r="C71" t="s">
        <v>58</v>
      </c>
      <c r="D71" t="s">
        <v>135</v>
      </c>
      <c r="E71" t="s">
        <v>136</v>
      </c>
      <c r="F71" t="s">
        <v>5</v>
      </c>
      <c r="G71" t="s">
        <v>6</v>
      </c>
      <c r="H71" t="s">
        <v>35</v>
      </c>
      <c r="I71" t="s">
        <v>36</v>
      </c>
      <c r="J71" t="s">
        <v>9</v>
      </c>
      <c r="K71" t="s">
        <v>37</v>
      </c>
      <c r="L71" t="s">
        <v>61</v>
      </c>
      <c r="M71" t="s">
        <v>12</v>
      </c>
      <c r="N71" s="2">
        <v>0</v>
      </c>
      <c r="O71" s="2">
        <v>-1650</v>
      </c>
      <c r="P71" s="2">
        <v>207056.69</v>
      </c>
      <c r="Q71" s="2">
        <v>205406.69</v>
      </c>
      <c r="R71" s="2">
        <v>0</v>
      </c>
      <c r="S71" s="2">
        <v>88831.86</v>
      </c>
      <c r="T71" s="2">
        <v>88831.86</v>
      </c>
      <c r="U71" s="2">
        <v>116574.83</v>
      </c>
      <c r="V71" s="2">
        <v>116574.83</v>
      </c>
      <c r="W71" s="2">
        <v>116574.83</v>
      </c>
    </row>
    <row r="72" spans="1:23" outlineLevel="2" x14ac:dyDescent="0.2">
      <c r="A72" t="s">
        <v>0</v>
      </c>
      <c r="B72" t="s">
        <v>53</v>
      </c>
      <c r="C72" t="s">
        <v>54</v>
      </c>
      <c r="D72" t="s">
        <v>55</v>
      </c>
      <c r="E72" t="s">
        <v>56</v>
      </c>
      <c r="F72" t="s">
        <v>5</v>
      </c>
      <c r="G72" t="s">
        <v>6</v>
      </c>
      <c r="H72" t="s">
        <v>35</v>
      </c>
      <c r="I72" t="s">
        <v>36</v>
      </c>
      <c r="J72" t="s">
        <v>9</v>
      </c>
      <c r="K72" t="s">
        <v>37</v>
      </c>
      <c r="L72" t="s">
        <v>57</v>
      </c>
      <c r="M72" t="s">
        <v>15</v>
      </c>
      <c r="N72" s="2">
        <v>1290288</v>
      </c>
      <c r="O72" s="2">
        <v>-144291.54</v>
      </c>
      <c r="P72" s="2">
        <v>-200541.27</v>
      </c>
      <c r="Q72" s="2">
        <v>945455.19</v>
      </c>
      <c r="R72" s="2">
        <v>0</v>
      </c>
      <c r="S72" s="2">
        <v>945455.19</v>
      </c>
      <c r="T72" s="2">
        <v>945455.19</v>
      </c>
      <c r="U72" s="2">
        <v>0</v>
      </c>
      <c r="V72" s="2">
        <v>0</v>
      </c>
      <c r="W72" s="2">
        <v>0</v>
      </c>
    </row>
    <row r="73" spans="1:23" outlineLevel="2" x14ac:dyDescent="0.2">
      <c r="A73" t="s">
        <v>0</v>
      </c>
      <c r="B73" t="s">
        <v>39</v>
      </c>
      <c r="C73" t="s">
        <v>58</v>
      </c>
      <c r="D73" t="s">
        <v>137</v>
      </c>
      <c r="E73" t="s">
        <v>138</v>
      </c>
      <c r="F73" t="s">
        <v>5</v>
      </c>
      <c r="G73" t="s">
        <v>6</v>
      </c>
      <c r="H73" t="s">
        <v>35</v>
      </c>
      <c r="I73" t="s">
        <v>36</v>
      </c>
      <c r="J73" t="s">
        <v>9</v>
      </c>
      <c r="K73" t="s">
        <v>37</v>
      </c>
      <c r="L73" t="s">
        <v>61</v>
      </c>
      <c r="M73" t="s">
        <v>15</v>
      </c>
      <c r="N73" s="2">
        <v>1051848</v>
      </c>
      <c r="O73" s="2">
        <v>-17587.82</v>
      </c>
      <c r="P73" s="2">
        <v>-291863.11</v>
      </c>
      <c r="Q73" s="2">
        <v>742397.07</v>
      </c>
      <c r="R73" s="2">
        <v>0</v>
      </c>
      <c r="S73" s="2">
        <v>742397.07</v>
      </c>
      <c r="T73" s="2">
        <v>742397.07</v>
      </c>
      <c r="U73" s="2">
        <v>0</v>
      </c>
      <c r="V73" s="2">
        <v>0</v>
      </c>
      <c r="W73" s="2">
        <v>0</v>
      </c>
    </row>
    <row r="74" spans="1:23" outlineLevel="2" x14ac:dyDescent="0.2">
      <c r="A74" t="s">
        <v>0</v>
      </c>
      <c r="B74" t="s">
        <v>39</v>
      </c>
      <c r="C74" t="s">
        <v>58</v>
      </c>
      <c r="D74" t="s">
        <v>105</v>
      </c>
      <c r="E74" t="s">
        <v>106</v>
      </c>
      <c r="F74" t="s">
        <v>5</v>
      </c>
      <c r="G74" t="s">
        <v>6</v>
      </c>
      <c r="H74" t="s">
        <v>35</v>
      </c>
      <c r="I74" t="s">
        <v>36</v>
      </c>
      <c r="J74" t="s">
        <v>9</v>
      </c>
      <c r="K74" t="s">
        <v>37</v>
      </c>
      <c r="L74" t="s">
        <v>61</v>
      </c>
      <c r="M74" t="s">
        <v>15</v>
      </c>
      <c r="N74" s="2">
        <v>485220</v>
      </c>
      <c r="O74" s="2">
        <v>-14939.24</v>
      </c>
      <c r="P74" s="2">
        <v>-143641.64000000001</v>
      </c>
      <c r="Q74" s="2">
        <v>326639.12</v>
      </c>
      <c r="R74" s="2">
        <v>0</v>
      </c>
      <c r="S74" s="2">
        <v>326639.12</v>
      </c>
      <c r="T74" s="2">
        <v>326639.12</v>
      </c>
      <c r="U74" s="2">
        <v>0</v>
      </c>
      <c r="V74" s="2">
        <v>0</v>
      </c>
      <c r="W74" s="2">
        <v>0</v>
      </c>
    </row>
    <row r="75" spans="1:23" outlineLevel="2" x14ac:dyDescent="0.2">
      <c r="A75" t="s">
        <v>0</v>
      </c>
      <c r="B75" t="s">
        <v>39</v>
      </c>
      <c r="C75" t="s">
        <v>58</v>
      </c>
      <c r="D75" t="s">
        <v>139</v>
      </c>
      <c r="E75" t="s">
        <v>140</v>
      </c>
      <c r="F75" t="s">
        <v>5</v>
      </c>
      <c r="G75" t="s">
        <v>6</v>
      </c>
      <c r="H75" t="s">
        <v>35</v>
      </c>
      <c r="I75" t="s">
        <v>36</v>
      </c>
      <c r="J75" t="s">
        <v>9</v>
      </c>
      <c r="K75" t="s">
        <v>37</v>
      </c>
      <c r="L75" t="s">
        <v>61</v>
      </c>
      <c r="M75" t="s">
        <v>15</v>
      </c>
      <c r="N75" s="2">
        <v>1345260</v>
      </c>
      <c r="O75" s="2">
        <v>-11505</v>
      </c>
      <c r="P75" s="2">
        <v>-303864.18</v>
      </c>
      <c r="Q75" s="2">
        <v>1029890.82</v>
      </c>
      <c r="R75" s="2">
        <v>0</v>
      </c>
      <c r="S75" s="2">
        <v>1029890.82</v>
      </c>
      <c r="T75" s="2">
        <v>1029890.82</v>
      </c>
      <c r="U75" s="2">
        <v>0</v>
      </c>
      <c r="V75" s="2">
        <v>0</v>
      </c>
      <c r="W75" s="2">
        <v>0</v>
      </c>
    </row>
    <row r="76" spans="1:23" outlineLevel="2" x14ac:dyDescent="0.2">
      <c r="A76" t="s">
        <v>0</v>
      </c>
      <c r="B76" t="s">
        <v>31</v>
      </c>
      <c r="C76" t="s">
        <v>79</v>
      </c>
      <c r="D76" t="s">
        <v>113</v>
      </c>
      <c r="E76" t="s">
        <v>114</v>
      </c>
      <c r="F76" t="s">
        <v>5</v>
      </c>
      <c r="G76" t="s">
        <v>6</v>
      </c>
      <c r="H76" t="s">
        <v>35</v>
      </c>
      <c r="I76" t="s">
        <v>36</v>
      </c>
      <c r="J76" t="s">
        <v>9</v>
      </c>
      <c r="K76" t="s">
        <v>37</v>
      </c>
      <c r="L76" t="s">
        <v>82</v>
      </c>
      <c r="M76" t="s">
        <v>15</v>
      </c>
      <c r="N76" s="2">
        <v>120984</v>
      </c>
      <c r="O76" s="2">
        <v>-2451</v>
      </c>
      <c r="P76" s="2">
        <v>-31859</v>
      </c>
      <c r="Q76" s="2">
        <v>86674</v>
      </c>
      <c r="R76" s="2">
        <v>0</v>
      </c>
      <c r="S76" s="2">
        <v>86674</v>
      </c>
      <c r="T76" s="2">
        <v>86674</v>
      </c>
      <c r="U76" s="2">
        <v>0</v>
      </c>
      <c r="V76" s="2">
        <v>0</v>
      </c>
      <c r="W76" s="2">
        <v>0</v>
      </c>
    </row>
    <row r="77" spans="1:23" outlineLevel="2" x14ac:dyDescent="0.2">
      <c r="A77" t="s">
        <v>0</v>
      </c>
      <c r="B77" t="s">
        <v>31</v>
      </c>
      <c r="C77" t="s">
        <v>79</v>
      </c>
      <c r="D77" t="s">
        <v>111</v>
      </c>
      <c r="E77" t="s">
        <v>112</v>
      </c>
      <c r="F77" t="s">
        <v>5</v>
      </c>
      <c r="G77" t="s">
        <v>6</v>
      </c>
      <c r="H77" t="s">
        <v>35</v>
      </c>
      <c r="I77" t="s">
        <v>36</v>
      </c>
      <c r="J77" t="s">
        <v>9</v>
      </c>
      <c r="K77" t="s">
        <v>37</v>
      </c>
      <c r="L77" t="s">
        <v>82</v>
      </c>
      <c r="M77" t="s">
        <v>15</v>
      </c>
      <c r="N77" s="2">
        <v>70368</v>
      </c>
      <c r="O77" s="2">
        <v>-609.38</v>
      </c>
      <c r="P77" s="2">
        <v>-168.62</v>
      </c>
      <c r="Q77" s="2">
        <v>69590</v>
      </c>
      <c r="R77" s="2">
        <v>0</v>
      </c>
      <c r="S77" s="2">
        <v>69590</v>
      </c>
      <c r="T77" s="2">
        <v>69590</v>
      </c>
      <c r="U77" s="2">
        <v>0</v>
      </c>
      <c r="V77" s="2">
        <v>0</v>
      </c>
      <c r="W77" s="2">
        <v>0</v>
      </c>
    </row>
    <row r="78" spans="1:23" outlineLevel="2" x14ac:dyDescent="0.2">
      <c r="A78" t="s">
        <v>0</v>
      </c>
      <c r="B78" t="s">
        <v>39</v>
      </c>
      <c r="C78" t="s">
        <v>95</v>
      </c>
      <c r="D78" t="s">
        <v>96</v>
      </c>
      <c r="E78" t="s">
        <v>97</v>
      </c>
      <c r="F78" t="s">
        <v>5</v>
      </c>
      <c r="G78" t="s">
        <v>6</v>
      </c>
      <c r="H78" t="s">
        <v>35</v>
      </c>
      <c r="I78" t="s">
        <v>36</v>
      </c>
      <c r="J78" t="s">
        <v>9</v>
      </c>
      <c r="K78" t="s">
        <v>37</v>
      </c>
      <c r="L78" t="s">
        <v>98</v>
      </c>
      <c r="M78" t="s">
        <v>15</v>
      </c>
      <c r="N78" s="2">
        <v>1238064</v>
      </c>
      <c r="O78" s="2">
        <v>-8448</v>
      </c>
      <c r="P78" s="2">
        <v>-279145.88</v>
      </c>
      <c r="Q78" s="2">
        <v>950470.12</v>
      </c>
      <c r="R78" s="2">
        <v>0</v>
      </c>
      <c r="S78" s="2">
        <v>950470.12</v>
      </c>
      <c r="T78" s="2">
        <v>950470.12</v>
      </c>
      <c r="U78" s="2">
        <v>0</v>
      </c>
      <c r="V78" s="2">
        <v>0</v>
      </c>
      <c r="W78" s="2">
        <v>0</v>
      </c>
    </row>
    <row r="79" spans="1:23" outlineLevel="2" x14ac:dyDescent="0.2">
      <c r="A79" t="s">
        <v>0</v>
      </c>
      <c r="B79" t="s">
        <v>39</v>
      </c>
      <c r="C79" t="s">
        <v>66</v>
      </c>
      <c r="D79" t="s">
        <v>121</v>
      </c>
      <c r="E79" t="s">
        <v>122</v>
      </c>
      <c r="F79" t="s">
        <v>5</v>
      </c>
      <c r="G79" t="s">
        <v>6</v>
      </c>
      <c r="H79" t="s">
        <v>35</v>
      </c>
      <c r="I79" t="s">
        <v>36</v>
      </c>
      <c r="J79" t="s">
        <v>9</v>
      </c>
      <c r="K79" t="s">
        <v>37</v>
      </c>
      <c r="L79" t="s">
        <v>69</v>
      </c>
      <c r="M79" t="s">
        <v>12</v>
      </c>
      <c r="N79" s="2">
        <v>0</v>
      </c>
      <c r="O79" s="2">
        <v>0</v>
      </c>
      <c r="P79" s="2">
        <v>204739.63</v>
      </c>
      <c r="Q79" s="2">
        <v>204739.63</v>
      </c>
      <c r="R79" s="2">
        <v>0</v>
      </c>
      <c r="S79" s="2">
        <v>101886.87</v>
      </c>
      <c r="T79" s="2">
        <v>101886.87</v>
      </c>
      <c r="U79" s="2">
        <v>102852.76</v>
      </c>
      <c r="V79" s="2">
        <v>102852.76</v>
      </c>
      <c r="W79" s="2">
        <v>102852.76</v>
      </c>
    </row>
    <row r="80" spans="1:23" outlineLevel="2" x14ac:dyDescent="0.2">
      <c r="A80" t="s">
        <v>0</v>
      </c>
      <c r="B80" t="s">
        <v>31</v>
      </c>
      <c r="C80" t="s">
        <v>32</v>
      </c>
      <c r="D80" t="s">
        <v>141</v>
      </c>
      <c r="E80" t="s">
        <v>142</v>
      </c>
      <c r="F80" t="s">
        <v>5</v>
      </c>
      <c r="G80" t="s">
        <v>6</v>
      </c>
      <c r="H80" t="s">
        <v>35</v>
      </c>
      <c r="I80" t="s">
        <v>36</v>
      </c>
      <c r="J80" t="s">
        <v>9</v>
      </c>
      <c r="K80" t="s">
        <v>37</v>
      </c>
      <c r="L80" t="s">
        <v>38</v>
      </c>
      <c r="M80" t="s">
        <v>15</v>
      </c>
      <c r="N80" s="2">
        <v>766215.36</v>
      </c>
      <c r="O80" s="2">
        <v>-16987.54</v>
      </c>
      <c r="P80" s="2">
        <v>-181202.64</v>
      </c>
      <c r="Q80" s="2">
        <v>568025.18000000005</v>
      </c>
      <c r="R80" s="2">
        <v>0</v>
      </c>
      <c r="S80" s="2">
        <v>568025.18000000005</v>
      </c>
      <c r="T80" s="2">
        <v>568025.18000000005</v>
      </c>
      <c r="U80" s="2">
        <v>0</v>
      </c>
      <c r="V80" s="2">
        <v>0</v>
      </c>
      <c r="W80" s="2">
        <v>0</v>
      </c>
    </row>
    <row r="81" spans="1:23" outlineLevel="2" x14ac:dyDescent="0.2">
      <c r="A81" t="s">
        <v>0</v>
      </c>
      <c r="B81" t="s">
        <v>39</v>
      </c>
      <c r="C81" t="s">
        <v>70</v>
      </c>
      <c r="D81" t="s">
        <v>71</v>
      </c>
      <c r="E81" t="s">
        <v>72</v>
      </c>
      <c r="F81" t="s">
        <v>5</v>
      </c>
      <c r="G81" t="s">
        <v>6</v>
      </c>
      <c r="H81" t="s">
        <v>35</v>
      </c>
      <c r="I81" t="s">
        <v>36</v>
      </c>
      <c r="J81" t="s">
        <v>9</v>
      </c>
      <c r="K81" t="s">
        <v>37</v>
      </c>
      <c r="L81" t="s">
        <v>73</v>
      </c>
      <c r="M81" t="s">
        <v>12</v>
      </c>
      <c r="N81" s="2">
        <v>0</v>
      </c>
      <c r="O81" s="2">
        <v>0</v>
      </c>
      <c r="P81" s="2">
        <v>517252.47</v>
      </c>
      <c r="Q81" s="2">
        <v>517252.47</v>
      </c>
      <c r="R81" s="2">
        <v>0</v>
      </c>
      <c r="S81" s="2">
        <v>126935.9</v>
      </c>
      <c r="T81" s="2">
        <v>126935.9</v>
      </c>
      <c r="U81" s="2">
        <v>390316.57</v>
      </c>
      <c r="V81" s="2">
        <v>390316.57</v>
      </c>
      <c r="W81" s="2">
        <v>390316.57</v>
      </c>
    </row>
    <row r="82" spans="1:23" outlineLevel="2" x14ac:dyDescent="0.2">
      <c r="A82" t="s">
        <v>0</v>
      </c>
      <c r="B82" t="s">
        <v>39</v>
      </c>
      <c r="C82" t="s">
        <v>58</v>
      </c>
      <c r="D82" t="s">
        <v>143</v>
      </c>
      <c r="E82" t="s">
        <v>144</v>
      </c>
      <c r="F82" t="s">
        <v>5</v>
      </c>
      <c r="G82" t="s">
        <v>6</v>
      </c>
      <c r="H82" t="s">
        <v>35</v>
      </c>
      <c r="I82" t="s">
        <v>36</v>
      </c>
      <c r="J82" t="s">
        <v>9</v>
      </c>
      <c r="K82" t="s">
        <v>37</v>
      </c>
      <c r="L82" t="s">
        <v>61</v>
      </c>
      <c r="M82" t="s">
        <v>15</v>
      </c>
      <c r="N82" s="2">
        <v>1394112</v>
      </c>
      <c r="O82" s="2">
        <v>-19264.2</v>
      </c>
      <c r="P82" s="2">
        <v>-313762.7</v>
      </c>
      <c r="Q82" s="2">
        <v>1061085.1000000001</v>
      </c>
      <c r="R82" s="2">
        <v>0</v>
      </c>
      <c r="S82" s="2">
        <v>1061085.1000000001</v>
      </c>
      <c r="T82" s="2">
        <v>1061085.1000000001</v>
      </c>
      <c r="U82" s="2">
        <v>0</v>
      </c>
      <c r="V82" s="2">
        <v>0</v>
      </c>
      <c r="W82" s="2">
        <v>0</v>
      </c>
    </row>
    <row r="83" spans="1:23" outlineLevel="2" x14ac:dyDescent="0.2">
      <c r="A83" t="s">
        <v>0</v>
      </c>
      <c r="B83" t="s">
        <v>31</v>
      </c>
      <c r="C83" t="s">
        <v>79</v>
      </c>
      <c r="D83" t="s">
        <v>80</v>
      </c>
      <c r="E83" t="s">
        <v>81</v>
      </c>
      <c r="F83" t="s">
        <v>5</v>
      </c>
      <c r="G83" t="s">
        <v>6</v>
      </c>
      <c r="H83" t="s">
        <v>35</v>
      </c>
      <c r="I83" t="s">
        <v>36</v>
      </c>
      <c r="J83" t="s">
        <v>9</v>
      </c>
      <c r="K83" t="s">
        <v>37</v>
      </c>
      <c r="L83" t="s">
        <v>82</v>
      </c>
      <c r="M83" t="s">
        <v>15</v>
      </c>
      <c r="N83" s="2">
        <v>211656</v>
      </c>
      <c r="O83" s="2">
        <v>-175</v>
      </c>
      <c r="P83" s="2">
        <v>-60124.01</v>
      </c>
      <c r="Q83" s="2">
        <v>151356.99</v>
      </c>
      <c r="R83" s="2">
        <v>0</v>
      </c>
      <c r="S83" s="2">
        <v>151356.99</v>
      </c>
      <c r="T83" s="2">
        <v>151356.99</v>
      </c>
      <c r="U83" s="2">
        <v>0</v>
      </c>
      <c r="V83" s="2">
        <v>0</v>
      </c>
      <c r="W83" s="2">
        <v>0</v>
      </c>
    </row>
    <row r="84" spans="1:23" outlineLevel="2" x14ac:dyDescent="0.2">
      <c r="A84" t="s">
        <v>0</v>
      </c>
      <c r="B84" t="s">
        <v>1</v>
      </c>
      <c r="C84" t="s">
        <v>2</v>
      </c>
      <c r="D84" t="s">
        <v>20</v>
      </c>
      <c r="E84" t="s">
        <v>21</v>
      </c>
      <c r="F84" t="s">
        <v>5</v>
      </c>
      <c r="G84" t="s">
        <v>6</v>
      </c>
      <c r="H84" t="s">
        <v>35</v>
      </c>
      <c r="I84" t="s">
        <v>36</v>
      </c>
      <c r="J84" t="s">
        <v>9</v>
      </c>
      <c r="K84" t="s">
        <v>37</v>
      </c>
      <c r="L84" t="s">
        <v>74</v>
      </c>
      <c r="M84" t="s">
        <v>15</v>
      </c>
      <c r="N84" s="2">
        <v>8669544</v>
      </c>
      <c r="O84" s="2">
        <v>-62765.73</v>
      </c>
      <c r="P84" s="2">
        <v>-2388011.85</v>
      </c>
      <c r="Q84" s="2">
        <v>6218766.4199999999</v>
      </c>
      <c r="R84" s="2">
        <v>0</v>
      </c>
      <c r="S84" s="2">
        <v>6218766.4199999999</v>
      </c>
      <c r="T84" s="2">
        <v>6218766.4199999999</v>
      </c>
      <c r="U84" s="2">
        <v>0</v>
      </c>
      <c r="V84" s="2">
        <v>0</v>
      </c>
      <c r="W84" s="2">
        <v>0</v>
      </c>
    </row>
    <row r="85" spans="1:23" outlineLevel="2" x14ac:dyDescent="0.2">
      <c r="A85" t="s">
        <v>0</v>
      </c>
      <c r="B85" t="s">
        <v>39</v>
      </c>
      <c r="C85" t="s">
        <v>58</v>
      </c>
      <c r="D85" t="s">
        <v>59</v>
      </c>
      <c r="E85" t="s">
        <v>60</v>
      </c>
      <c r="F85" t="s">
        <v>5</v>
      </c>
      <c r="G85" t="s">
        <v>6</v>
      </c>
      <c r="H85" t="s">
        <v>35</v>
      </c>
      <c r="I85" t="s">
        <v>36</v>
      </c>
      <c r="J85" t="s">
        <v>9</v>
      </c>
      <c r="K85" t="s">
        <v>37</v>
      </c>
      <c r="L85" t="s">
        <v>61</v>
      </c>
      <c r="M85" t="s">
        <v>15</v>
      </c>
      <c r="N85" s="2">
        <v>838284</v>
      </c>
      <c r="O85" s="2">
        <v>-13902.74</v>
      </c>
      <c r="P85" s="2">
        <v>-205523.18</v>
      </c>
      <c r="Q85" s="2">
        <v>618858.07999999996</v>
      </c>
      <c r="R85" s="2">
        <v>0</v>
      </c>
      <c r="S85" s="2">
        <v>618858.07999999996</v>
      </c>
      <c r="T85" s="2">
        <v>618858.07999999996</v>
      </c>
      <c r="U85" s="2">
        <v>0</v>
      </c>
      <c r="V85" s="2">
        <v>0</v>
      </c>
      <c r="W85" s="2">
        <v>0</v>
      </c>
    </row>
    <row r="86" spans="1:23" outlineLevel="2" x14ac:dyDescent="0.2">
      <c r="A86" t="s">
        <v>0</v>
      </c>
      <c r="B86" t="s">
        <v>31</v>
      </c>
      <c r="C86" t="s">
        <v>32</v>
      </c>
      <c r="D86" t="s">
        <v>141</v>
      </c>
      <c r="E86" t="s">
        <v>142</v>
      </c>
      <c r="F86" t="s">
        <v>5</v>
      </c>
      <c r="G86" t="s">
        <v>6</v>
      </c>
      <c r="H86" t="s">
        <v>35</v>
      </c>
      <c r="I86" t="s">
        <v>36</v>
      </c>
      <c r="J86" t="s">
        <v>9</v>
      </c>
      <c r="K86" t="s">
        <v>37</v>
      </c>
      <c r="L86" t="s">
        <v>38</v>
      </c>
      <c r="M86" t="s">
        <v>12</v>
      </c>
      <c r="N86" s="2">
        <v>0</v>
      </c>
      <c r="O86" s="2">
        <v>0</v>
      </c>
      <c r="P86" s="2">
        <v>181202.64</v>
      </c>
      <c r="Q86" s="2">
        <v>181202.64</v>
      </c>
      <c r="R86" s="2">
        <v>0</v>
      </c>
      <c r="S86" s="2">
        <v>63208.480000000003</v>
      </c>
      <c r="T86" s="2">
        <v>63208.480000000003</v>
      </c>
      <c r="U86" s="2">
        <v>117994.16</v>
      </c>
      <c r="V86" s="2">
        <v>117994.16</v>
      </c>
      <c r="W86" s="2">
        <v>117994.16</v>
      </c>
    </row>
    <row r="87" spans="1:23" outlineLevel="2" x14ac:dyDescent="0.2">
      <c r="A87" t="s">
        <v>0</v>
      </c>
      <c r="B87" t="s">
        <v>31</v>
      </c>
      <c r="C87" t="s">
        <v>79</v>
      </c>
      <c r="D87" t="s">
        <v>117</v>
      </c>
      <c r="E87" t="s">
        <v>118</v>
      </c>
      <c r="F87" t="s">
        <v>5</v>
      </c>
      <c r="G87" t="s">
        <v>6</v>
      </c>
      <c r="H87" t="s">
        <v>35</v>
      </c>
      <c r="I87" t="s">
        <v>36</v>
      </c>
      <c r="J87" t="s">
        <v>9</v>
      </c>
      <c r="K87" t="s">
        <v>37</v>
      </c>
      <c r="L87" t="s">
        <v>82</v>
      </c>
      <c r="M87" t="s">
        <v>15</v>
      </c>
      <c r="N87" s="2">
        <v>168360</v>
      </c>
      <c r="O87" s="2">
        <v>0</v>
      </c>
      <c r="P87" s="2">
        <v>-52491.31</v>
      </c>
      <c r="Q87" s="2">
        <v>115868.69</v>
      </c>
      <c r="R87" s="2">
        <v>0</v>
      </c>
      <c r="S87" s="2">
        <v>115868.69</v>
      </c>
      <c r="T87" s="2">
        <v>115868.69</v>
      </c>
      <c r="U87" s="2">
        <v>0</v>
      </c>
      <c r="V87" s="2">
        <v>0</v>
      </c>
      <c r="W87" s="2">
        <v>0</v>
      </c>
    </row>
    <row r="88" spans="1:23" outlineLevel="2" x14ac:dyDescent="0.2">
      <c r="A88" t="s">
        <v>0</v>
      </c>
      <c r="B88" t="s">
        <v>31</v>
      </c>
      <c r="C88" t="s">
        <v>79</v>
      </c>
      <c r="D88" t="s">
        <v>133</v>
      </c>
      <c r="E88" t="s">
        <v>134</v>
      </c>
      <c r="F88" t="s">
        <v>5</v>
      </c>
      <c r="G88" t="s">
        <v>6</v>
      </c>
      <c r="H88" t="s">
        <v>35</v>
      </c>
      <c r="I88" t="s">
        <v>36</v>
      </c>
      <c r="J88" t="s">
        <v>9</v>
      </c>
      <c r="K88" t="s">
        <v>37</v>
      </c>
      <c r="L88" t="s">
        <v>82</v>
      </c>
      <c r="M88" t="s">
        <v>15</v>
      </c>
      <c r="N88" s="2">
        <v>240336</v>
      </c>
      <c r="O88" s="2">
        <v>-16</v>
      </c>
      <c r="P88" s="2">
        <v>-39822.129999999997</v>
      </c>
      <c r="Q88" s="2">
        <v>200497.87</v>
      </c>
      <c r="R88" s="2">
        <v>0</v>
      </c>
      <c r="S88" s="2">
        <v>200497.87</v>
      </c>
      <c r="T88" s="2">
        <v>200497.87</v>
      </c>
      <c r="U88" s="2">
        <v>0</v>
      </c>
      <c r="V88" s="2">
        <v>0</v>
      </c>
      <c r="W88" s="2">
        <v>0</v>
      </c>
    </row>
    <row r="89" spans="1:23" outlineLevel="2" x14ac:dyDescent="0.2">
      <c r="A89" t="s">
        <v>0</v>
      </c>
      <c r="B89" t="s">
        <v>39</v>
      </c>
      <c r="C89" t="s">
        <v>58</v>
      </c>
      <c r="D89" t="s">
        <v>137</v>
      </c>
      <c r="E89" t="s">
        <v>138</v>
      </c>
      <c r="F89" t="s">
        <v>5</v>
      </c>
      <c r="G89" t="s">
        <v>6</v>
      </c>
      <c r="H89" t="s">
        <v>35</v>
      </c>
      <c r="I89" t="s">
        <v>36</v>
      </c>
      <c r="J89" t="s">
        <v>9</v>
      </c>
      <c r="K89" t="s">
        <v>37</v>
      </c>
      <c r="L89" t="s">
        <v>61</v>
      </c>
      <c r="M89" t="s">
        <v>12</v>
      </c>
      <c r="N89" s="2">
        <v>0</v>
      </c>
      <c r="O89" s="2">
        <v>23250</v>
      </c>
      <c r="P89" s="2">
        <v>132584.45000000001</v>
      </c>
      <c r="Q89" s="2">
        <v>155834.45000000001</v>
      </c>
      <c r="R89" s="2">
        <v>0</v>
      </c>
      <c r="S89" s="2">
        <v>77906</v>
      </c>
      <c r="T89" s="2">
        <v>77906</v>
      </c>
      <c r="U89" s="2">
        <v>77928.45</v>
      </c>
      <c r="V89" s="2">
        <v>77928.45</v>
      </c>
      <c r="W89" s="2">
        <v>77928.45</v>
      </c>
    </row>
    <row r="90" spans="1:23" outlineLevel="2" x14ac:dyDescent="0.2">
      <c r="A90" t="s">
        <v>0</v>
      </c>
      <c r="B90" t="s">
        <v>39</v>
      </c>
      <c r="C90" t="s">
        <v>58</v>
      </c>
      <c r="D90" t="s">
        <v>145</v>
      </c>
      <c r="E90" t="s">
        <v>146</v>
      </c>
      <c r="F90" t="s">
        <v>5</v>
      </c>
      <c r="G90" t="s">
        <v>6</v>
      </c>
      <c r="H90" t="s">
        <v>35</v>
      </c>
      <c r="I90" t="s">
        <v>36</v>
      </c>
      <c r="J90" t="s">
        <v>9</v>
      </c>
      <c r="K90" t="s">
        <v>37</v>
      </c>
      <c r="L90" t="s">
        <v>61</v>
      </c>
      <c r="M90" t="s">
        <v>12</v>
      </c>
      <c r="N90" s="2">
        <v>0</v>
      </c>
      <c r="O90" s="2">
        <v>9370</v>
      </c>
      <c r="P90" s="2">
        <v>151377.32</v>
      </c>
      <c r="Q90" s="2">
        <v>160747.32</v>
      </c>
      <c r="R90" s="2">
        <v>0</v>
      </c>
      <c r="S90" s="2">
        <v>80370.600000000006</v>
      </c>
      <c r="T90" s="2">
        <v>80370.600000000006</v>
      </c>
      <c r="U90" s="2">
        <v>80376.72</v>
      </c>
      <c r="V90" s="2">
        <v>80376.72</v>
      </c>
      <c r="W90" s="2">
        <v>80376.72</v>
      </c>
    </row>
    <row r="91" spans="1:23" outlineLevel="2" x14ac:dyDescent="0.2">
      <c r="A91" t="s">
        <v>0</v>
      </c>
      <c r="B91" t="s">
        <v>31</v>
      </c>
      <c r="C91" t="s">
        <v>79</v>
      </c>
      <c r="D91" t="s">
        <v>131</v>
      </c>
      <c r="E91" t="s">
        <v>132</v>
      </c>
      <c r="F91" t="s">
        <v>5</v>
      </c>
      <c r="G91" t="s">
        <v>6</v>
      </c>
      <c r="H91" t="s">
        <v>35</v>
      </c>
      <c r="I91" t="s">
        <v>36</v>
      </c>
      <c r="J91" t="s">
        <v>9</v>
      </c>
      <c r="K91" t="s">
        <v>37</v>
      </c>
      <c r="L91" t="s">
        <v>82</v>
      </c>
      <c r="M91" t="s">
        <v>15</v>
      </c>
      <c r="N91" s="2">
        <v>174228</v>
      </c>
      <c r="O91" s="2">
        <v>-4886</v>
      </c>
      <c r="P91" s="2">
        <v>-36822.97</v>
      </c>
      <c r="Q91" s="2">
        <v>132519.03</v>
      </c>
      <c r="R91" s="2">
        <v>0</v>
      </c>
      <c r="S91" s="2">
        <v>132519.03</v>
      </c>
      <c r="T91" s="2">
        <v>132519.03</v>
      </c>
      <c r="U91" s="2">
        <v>0</v>
      </c>
      <c r="V91" s="2">
        <v>0</v>
      </c>
      <c r="W91" s="2">
        <v>0</v>
      </c>
    </row>
    <row r="92" spans="1:23" outlineLevel="2" x14ac:dyDescent="0.2">
      <c r="A92" t="s">
        <v>0</v>
      </c>
      <c r="B92" t="s">
        <v>31</v>
      </c>
      <c r="C92" t="s">
        <v>79</v>
      </c>
      <c r="D92" t="s">
        <v>127</v>
      </c>
      <c r="E92" t="s">
        <v>128</v>
      </c>
      <c r="F92" t="s">
        <v>5</v>
      </c>
      <c r="G92" t="s">
        <v>6</v>
      </c>
      <c r="H92" t="s">
        <v>35</v>
      </c>
      <c r="I92" t="s">
        <v>36</v>
      </c>
      <c r="J92" t="s">
        <v>9</v>
      </c>
      <c r="K92" t="s">
        <v>37</v>
      </c>
      <c r="L92" t="s">
        <v>82</v>
      </c>
      <c r="M92" t="s">
        <v>15</v>
      </c>
      <c r="N92" s="2">
        <v>206208</v>
      </c>
      <c r="O92" s="2">
        <v>-9836.7999999999993</v>
      </c>
      <c r="P92" s="2">
        <v>-48531.199999999997</v>
      </c>
      <c r="Q92" s="2">
        <v>147840</v>
      </c>
      <c r="R92" s="2">
        <v>0</v>
      </c>
      <c r="S92" s="2">
        <v>147840</v>
      </c>
      <c r="T92" s="2">
        <v>147840</v>
      </c>
      <c r="U92" s="2">
        <v>0</v>
      </c>
      <c r="V92" s="2">
        <v>0</v>
      </c>
      <c r="W92" s="2">
        <v>0</v>
      </c>
    </row>
    <row r="93" spans="1:23" outlineLevel="2" x14ac:dyDescent="0.2">
      <c r="A93" t="s">
        <v>0</v>
      </c>
      <c r="B93" t="s">
        <v>31</v>
      </c>
      <c r="C93" t="s">
        <v>107</v>
      </c>
      <c r="D93" t="s">
        <v>108</v>
      </c>
      <c r="E93" t="s">
        <v>109</v>
      </c>
      <c r="F93" t="s">
        <v>5</v>
      </c>
      <c r="G93" t="s">
        <v>6</v>
      </c>
      <c r="H93" t="s">
        <v>35</v>
      </c>
      <c r="I93" t="s">
        <v>36</v>
      </c>
      <c r="J93" t="s">
        <v>9</v>
      </c>
      <c r="K93" t="s">
        <v>37</v>
      </c>
      <c r="L93" t="s">
        <v>110</v>
      </c>
      <c r="M93" t="s">
        <v>15</v>
      </c>
      <c r="N93" s="2">
        <v>2492376</v>
      </c>
      <c r="O93" s="2">
        <v>-13747.43</v>
      </c>
      <c r="P93" s="2">
        <v>-601787.66</v>
      </c>
      <c r="Q93" s="2">
        <v>1876840.91</v>
      </c>
      <c r="R93" s="2">
        <v>0</v>
      </c>
      <c r="S93" s="2">
        <v>1876840.91</v>
      </c>
      <c r="T93" s="2">
        <v>1876840.91</v>
      </c>
      <c r="U93" s="2">
        <v>0</v>
      </c>
      <c r="V93" s="2">
        <v>0</v>
      </c>
      <c r="W93" s="2">
        <v>0</v>
      </c>
    </row>
    <row r="94" spans="1:23" outlineLevel="2" x14ac:dyDescent="0.2">
      <c r="A94" t="s">
        <v>0</v>
      </c>
      <c r="B94" t="s">
        <v>39</v>
      </c>
      <c r="C94" t="s">
        <v>58</v>
      </c>
      <c r="D94" t="s">
        <v>147</v>
      </c>
      <c r="E94" t="s">
        <v>148</v>
      </c>
      <c r="F94" t="s">
        <v>5</v>
      </c>
      <c r="G94" t="s">
        <v>6</v>
      </c>
      <c r="H94" t="s">
        <v>35</v>
      </c>
      <c r="I94" t="s">
        <v>36</v>
      </c>
      <c r="J94" t="s">
        <v>9</v>
      </c>
      <c r="K94" t="s">
        <v>37</v>
      </c>
      <c r="L94" t="s">
        <v>61</v>
      </c>
      <c r="M94" t="s">
        <v>12</v>
      </c>
      <c r="N94" s="2">
        <v>0</v>
      </c>
      <c r="O94" s="2">
        <v>0</v>
      </c>
      <c r="P94" s="2">
        <v>194283.45</v>
      </c>
      <c r="Q94" s="2">
        <v>194283.45</v>
      </c>
      <c r="R94" s="2">
        <v>0</v>
      </c>
      <c r="S94" s="2">
        <v>92477.5</v>
      </c>
      <c r="T94" s="2">
        <v>92477.5</v>
      </c>
      <c r="U94" s="2">
        <v>101805.95</v>
      </c>
      <c r="V94" s="2">
        <v>101805.95</v>
      </c>
      <c r="W94" s="2">
        <v>101805.95</v>
      </c>
    </row>
    <row r="95" spans="1:23" outlineLevel="2" x14ac:dyDescent="0.2">
      <c r="A95" t="s">
        <v>0</v>
      </c>
      <c r="B95" t="s">
        <v>39</v>
      </c>
      <c r="C95" t="s">
        <v>58</v>
      </c>
      <c r="D95" t="s">
        <v>143</v>
      </c>
      <c r="E95" t="s">
        <v>144</v>
      </c>
      <c r="F95" t="s">
        <v>5</v>
      </c>
      <c r="G95" t="s">
        <v>6</v>
      </c>
      <c r="H95" t="s">
        <v>35</v>
      </c>
      <c r="I95" t="s">
        <v>36</v>
      </c>
      <c r="J95" t="s">
        <v>9</v>
      </c>
      <c r="K95" t="s">
        <v>37</v>
      </c>
      <c r="L95" t="s">
        <v>61</v>
      </c>
      <c r="M95" t="s">
        <v>12</v>
      </c>
      <c r="N95" s="2">
        <v>0</v>
      </c>
      <c r="O95" s="2">
        <v>0</v>
      </c>
      <c r="P95" s="2">
        <v>214467.83</v>
      </c>
      <c r="Q95" s="2">
        <v>214467.83</v>
      </c>
      <c r="R95" s="2">
        <v>0</v>
      </c>
      <c r="S95" s="2">
        <v>107082</v>
      </c>
      <c r="T95" s="2">
        <v>107082</v>
      </c>
      <c r="U95" s="2">
        <v>107385.83</v>
      </c>
      <c r="V95" s="2">
        <v>107385.83</v>
      </c>
      <c r="W95" s="2">
        <v>107385.83</v>
      </c>
    </row>
    <row r="96" spans="1:23" outlineLevel="2" x14ac:dyDescent="0.2">
      <c r="A96" t="s">
        <v>0</v>
      </c>
      <c r="B96" t="s">
        <v>31</v>
      </c>
      <c r="C96" t="s">
        <v>79</v>
      </c>
      <c r="D96" t="s">
        <v>115</v>
      </c>
      <c r="E96" t="s">
        <v>116</v>
      </c>
      <c r="F96" t="s">
        <v>5</v>
      </c>
      <c r="G96" t="s">
        <v>6</v>
      </c>
      <c r="H96" t="s">
        <v>35</v>
      </c>
      <c r="I96" t="s">
        <v>36</v>
      </c>
      <c r="J96" t="s">
        <v>9</v>
      </c>
      <c r="K96" t="s">
        <v>37</v>
      </c>
      <c r="L96" t="s">
        <v>82</v>
      </c>
      <c r="M96" t="s">
        <v>15</v>
      </c>
      <c r="N96" s="2">
        <v>118740</v>
      </c>
      <c r="O96" s="2">
        <v>-8617.3799999999992</v>
      </c>
      <c r="P96" s="2">
        <v>-18862.62</v>
      </c>
      <c r="Q96" s="2">
        <v>91260</v>
      </c>
      <c r="R96" s="2">
        <v>0</v>
      </c>
      <c r="S96" s="2">
        <v>91260</v>
      </c>
      <c r="T96" s="2">
        <v>91260</v>
      </c>
      <c r="U96" s="2">
        <v>0</v>
      </c>
      <c r="V96" s="2">
        <v>0</v>
      </c>
      <c r="W96" s="2">
        <v>0</v>
      </c>
    </row>
    <row r="97" spans="1:23" outlineLevel="2" x14ac:dyDescent="0.2">
      <c r="A97" t="s">
        <v>0</v>
      </c>
      <c r="B97" t="s">
        <v>39</v>
      </c>
      <c r="C97" t="s">
        <v>58</v>
      </c>
      <c r="D97" t="s">
        <v>135</v>
      </c>
      <c r="E97" t="s">
        <v>136</v>
      </c>
      <c r="F97" t="s">
        <v>5</v>
      </c>
      <c r="G97" t="s">
        <v>6</v>
      </c>
      <c r="H97" t="s">
        <v>35</v>
      </c>
      <c r="I97" t="s">
        <v>36</v>
      </c>
      <c r="J97" t="s">
        <v>9</v>
      </c>
      <c r="K97" t="s">
        <v>37</v>
      </c>
      <c r="L97" t="s">
        <v>61</v>
      </c>
      <c r="M97" t="s">
        <v>15</v>
      </c>
      <c r="N97" s="2">
        <v>1253772</v>
      </c>
      <c r="O97" s="2">
        <v>12305</v>
      </c>
      <c r="P97" s="2">
        <v>-362543.5</v>
      </c>
      <c r="Q97" s="2">
        <v>903533.5</v>
      </c>
      <c r="R97" s="2">
        <v>0</v>
      </c>
      <c r="S97" s="2">
        <v>903533.5</v>
      </c>
      <c r="T97" s="2">
        <v>903533.49</v>
      </c>
      <c r="U97" s="2">
        <v>0</v>
      </c>
      <c r="V97" s="2">
        <v>0.01</v>
      </c>
      <c r="W97" s="2">
        <v>0</v>
      </c>
    </row>
    <row r="98" spans="1:23" outlineLevel="2" x14ac:dyDescent="0.2">
      <c r="A98" t="s">
        <v>0</v>
      </c>
      <c r="B98" t="s">
        <v>39</v>
      </c>
      <c r="C98" t="s">
        <v>58</v>
      </c>
      <c r="D98" t="s">
        <v>139</v>
      </c>
      <c r="E98" t="s">
        <v>140</v>
      </c>
      <c r="F98" t="s">
        <v>5</v>
      </c>
      <c r="G98" t="s">
        <v>6</v>
      </c>
      <c r="H98" t="s">
        <v>35</v>
      </c>
      <c r="I98" t="s">
        <v>36</v>
      </c>
      <c r="J98" t="s">
        <v>9</v>
      </c>
      <c r="K98" t="s">
        <v>37</v>
      </c>
      <c r="L98" t="s">
        <v>61</v>
      </c>
      <c r="M98" t="s">
        <v>12</v>
      </c>
      <c r="N98" s="2">
        <v>0</v>
      </c>
      <c r="O98" s="2">
        <v>0</v>
      </c>
      <c r="P98" s="2">
        <v>209135.24</v>
      </c>
      <c r="Q98" s="2">
        <v>209135.24</v>
      </c>
      <c r="R98" s="2">
        <v>0</v>
      </c>
      <c r="S98" s="2">
        <v>103252</v>
      </c>
      <c r="T98" s="2">
        <v>103252</v>
      </c>
      <c r="U98" s="2">
        <v>105883.24</v>
      </c>
      <c r="V98" s="2">
        <v>105883.24</v>
      </c>
      <c r="W98" s="2">
        <v>105883.24</v>
      </c>
    </row>
    <row r="99" spans="1:23" outlineLevel="2" x14ac:dyDescent="0.2">
      <c r="A99" t="s">
        <v>0</v>
      </c>
      <c r="B99" t="s">
        <v>39</v>
      </c>
      <c r="C99" t="s">
        <v>58</v>
      </c>
      <c r="D99" t="s">
        <v>147</v>
      </c>
      <c r="E99" t="s">
        <v>148</v>
      </c>
      <c r="F99" t="s">
        <v>5</v>
      </c>
      <c r="G99" t="s">
        <v>6</v>
      </c>
      <c r="H99" t="s">
        <v>35</v>
      </c>
      <c r="I99" t="s">
        <v>36</v>
      </c>
      <c r="J99" t="s">
        <v>9</v>
      </c>
      <c r="K99" t="s">
        <v>37</v>
      </c>
      <c r="L99" t="s">
        <v>61</v>
      </c>
      <c r="M99" t="s">
        <v>15</v>
      </c>
      <c r="N99" s="2">
        <v>1192392</v>
      </c>
      <c r="O99" s="2">
        <v>-7203</v>
      </c>
      <c r="P99" s="2">
        <v>-239141.22</v>
      </c>
      <c r="Q99" s="2">
        <v>946047.78</v>
      </c>
      <c r="R99" s="2">
        <v>0</v>
      </c>
      <c r="S99" s="2">
        <v>946047.78</v>
      </c>
      <c r="T99" s="2">
        <v>946047.78</v>
      </c>
      <c r="U99" s="2">
        <v>0</v>
      </c>
      <c r="V99" s="2">
        <v>0</v>
      </c>
      <c r="W99" s="2">
        <v>0</v>
      </c>
    </row>
    <row r="100" spans="1:23" outlineLevel="2" x14ac:dyDescent="0.2">
      <c r="A100" t="s">
        <v>0</v>
      </c>
      <c r="B100" t="s">
        <v>39</v>
      </c>
      <c r="C100" t="s">
        <v>58</v>
      </c>
      <c r="D100" t="s">
        <v>149</v>
      </c>
      <c r="E100" t="s">
        <v>150</v>
      </c>
      <c r="F100" t="s">
        <v>5</v>
      </c>
      <c r="G100" t="s">
        <v>6</v>
      </c>
      <c r="H100" t="s">
        <v>35</v>
      </c>
      <c r="I100" t="s">
        <v>36</v>
      </c>
      <c r="J100" t="s">
        <v>9</v>
      </c>
      <c r="K100" t="s">
        <v>37</v>
      </c>
      <c r="L100" t="s">
        <v>61</v>
      </c>
      <c r="M100" t="s">
        <v>12</v>
      </c>
      <c r="N100" s="2">
        <v>0</v>
      </c>
      <c r="O100" s="2">
        <v>22830</v>
      </c>
      <c r="P100" s="2">
        <v>200511.18</v>
      </c>
      <c r="Q100" s="2">
        <v>223341.18</v>
      </c>
      <c r="R100" s="2">
        <v>0</v>
      </c>
      <c r="S100" s="2">
        <v>111667</v>
      </c>
      <c r="T100" s="2">
        <v>111667</v>
      </c>
      <c r="U100" s="2">
        <v>111674.18</v>
      </c>
      <c r="V100" s="2">
        <v>111674.18</v>
      </c>
      <c r="W100" s="2">
        <v>111674.18</v>
      </c>
    </row>
    <row r="101" spans="1:23" outlineLevel="2" x14ac:dyDescent="0.2">
      <c r="A101" t="s">
        <v>0</v>
      </c>
      <c r="B101" t="s">
        <v>39</v>
      </c>
      <c r="C101" t="s">
        <v>58</v>
      </c>
      <c r="D101" t="s">
        <v>129</v>
      </c>
      <c r="E101" t="s">
        <v>130</v>
      </c>
      <c r="F101" t="s">
        <v>5</v>
      </c>
      <c r="G101" t="s">
        <v>6</v>
      </c>
      <c r="H101" t="s">
        <v>35</v>
      </c>
      <c r="I101" t="s">
        <v>36</v>
      </c>
      <c r="J101" t="s">
        <v>9</v>
      </c>
      <c r="K101" t="s">
        <v>37</v>
      </c>
      <c r="L101" t="s">
        <v>61</v>
      </c>
      <c r="M101" t="s">
        <v>15</v>
      </c>
      <c r="N101" s="2">
        <v>487680</v>
      </c>
      <c r="O101" s="2">
        <v>3879</v>
      </c>
      <c r="P101" s="2">
        <v>-151822.67000000001</v>
      </c>
      <c r="Q101" s="2">
        <v>339736.33</v>
      </c>
      <c r="R101" s="2">
        <v>0</v>
      </c>
      <c r="S101" s="2">
        <v>339736.33</v>
      </c>
      <c r="T101" s="2">
        <v>339736.33</v>
      </c>
      <c r="U101" s="2">
        <v>0</v>
      </c>
      <c r="V101" s="2">
        <v>0</v>
      </c>
      <c r="W101" s="2">
        <v>0</v>
      </c>
    </row>
    <row r="102" spans="1:23" outlineLevel="2" x14ac:dyDescent="0.2">
      <c r="A102" t="s">
        <v>0</v>
      </c>
      <c r="B102" t="s">
        <v>39</v>
      </c>
      <c r="C102" t="s">
        <v>58</v>
      </c>
      <c r="D102" t="s">
        <v>145</v>
      </c>
      <c r="E102" t="s">
        <v>146</v>
      </c>
      <c r="F102" t="s">
        <v>5</v>
      </c>
      <c r="G102" t="s">
        <v>6</v>
      </c>
      <c r="H102" t="s">
        <v>35</v>
      </c>
      <c r="I102" t="s">
        <v>36</v>
      </c>
      <c r="J102" t="s">
        <v>9</v>
      </c>
      <c r="K102" t="s">
        <v>37</v>
      </c>
      <c r="L102" t="s">
        <v>61</v>
      </c>
      <c r="M102" t="s">
        <v>15</v>
      </c>
      <c r="N102" s="2">
        <v>1014468</v>
      </c>
      <c r="O102" s="2">
        <v>5074.67</v>
      </c>
      <c r="P102" s="2">
        <v>-243544.31</v>
      </c>
      <c r="Q102" s="2">
        <v>775998.36</v>
      </c>
      <c r="R102" s="2">
        <v>0</v>
      </c>
      <c r="S102" s="2">
        <v>775998.36</v>
      </c>
      <c r="T102" s="2">
        <v>775998.36</v>
      </c>
      <c r="U102" s="2">
        <v>0</v>
      </c>
      <c r="V102" s="2">
        <v>0</v>
      </c>
      <c r="W102" s="2">
        <v>0</v>
      </c>
    </row>
    <row r="103" spans="1:23" outlineLevel="2" x14ac:dyDescent="0.2">
      <c r="A103" t="s">
        <v>0</v>
      </c>
      <c r="B103" t="s">
        <v>39</v>
      </c>
      <c r="C103" t="s">
        <v>58</v>
      </c>
      <c r="D103" t="s">
        <v>119</v>
      </c>
      <c r="E103" t="s">
        <v>120</v>
      </c>
      <c r="F103" t="s">
        <v>5</v>
      </c>
      <c r="G103" t="s">
        <v>6</v>
      </c>
      <c r="H103" t="s">
        <v>35</v>
      </c>
      <c r="I103" t="s">
        <v>36</v>
      </c>
      <c r="J103" t="s">
        <v>9</v>
      </c>
      <c r="K103" t="s">
        <v>37</v>
      </c>
      <c r="L103" t="s">
        <v>61</v>
      </c>
      <c r="M103" t="s">
        <v>15</v>
      </c>
      <c r="N103" s="2">
        <v>438156</v>
      </c>
      <c r="O103" s="2">
        <v>-5716.13</v>
      </c>
      <c r="P103" s="2">
        <v>-83095.67</v>
      </c>
      <c r="Q103" s="2">
        <v>349344.2</v>
      </c>
      <c r="R103" s="2">
        <v>0</v>
      </c>
      <c r="S103" s="2">
        <v>349344.2</v>
      </c>
      <c r="T103" s="2">
        <v>349344.2</v>
      </c>
      <c r="U103" s="2">
        <v>0</v>
      </c>
      <c r="V103" s="2">
        <v>0</v>
      </c>
      <c r="W103" s="2">
        <v>0</v>
      </c>
    </row>
    <row r="104" spans="1:23" outlineLevel="2" x14ac:dyDescent="0.2">
      <c r="A104" t="s">
        <v>0</v>
      </c>
      <c r="B104" t="s">
        <v>31</v>
      </c>
      <c r="C104" t="s">
        <v>79</v>
      </c>
      <c r="D104" t="s">
        <v>125</v>
      </c>
      <c r="E104" t="s">
        <v>126</v>
      </c>
      <c r="F104" t="s">
        <v>5</v>
      </c>
      <c r="G104" t="s">
        <v>6</v>
      </c>
      <c r="H104" t="s">
        <v>35</v>
      </c>
      <c r="I104" t="s">
        <v>36</v>
      </c>
      <c r="J104" t="s">
        <v>9</v>
      </c>
      <c r="K104" t="s">
        <v>37</v>
      </c>
      <c r="L104" t="s">
        <v>82</v>
      </c>
      <c r="M104" t="s">
        <v>15</v>
      </c>
      <c r="N104" s="2">
        <v>75084</v>
      </c>
      <c r="O104" s="2">
        <v>-2734.4</v>
      </c>
      <c r="P104" s="2">
        <v>-9779.6</v>
      </c>
      <c r="Q104" s="2">
        <v>62570</v>
      </c>
      <c r="R104" s="2">
        <v>0</v>
      </c>
      <c r="S104" s="2">
        <v>62570</v>
      </c>
      <c r="T104" s="2">
        <v>62570</v>
      </c>
      <c r="U104" s="2">
        <v>0</v>
      </c>
      <c r="V104" s="2">
        <v>0</v>
      </c>
      <c r="W104" s="2">
        <v>0</v>
      </c>
    </row>
    <row r="105" spans="1:23" outlineLevel="2" x14ac:dyDescent="0.2">
      <c r="A105" t="s">
        <v>0</v>
      </c>
      <c r="B105" t="s">
        <v>39</v>
      </c>
      <c r="C105" t="s">
        <v>58</v>
      </c>
      <c r="D105" t="s">
        <v>149</v>
      </c>
      <c r="E105" t="s">
        <v>150</v>
      </c>
      <c r="F105" t="s">
        <v>5</v>
      </c>
      <c r="G105" t="s">
        <v>6</v>
      </c>
      <c r="H105" t="s">
        <v>35</v>
      </c>
      <c r="I105" t="s">
        <v>36</v>
      </c>
      <c r="J105" t="s">
        <v>9</v>
      </c>
      <c r="K105" t="s">
        <v>37</v>
      </c>
      <c r="L105" t="s">
        <v>61</v>
      </c>
      <c r="M105" t="s">
        <v>15</v>
      </c>
      <c r="N105" s="2">
        <v>1537008</v>
      </c>
      <c r="O105" s="2">
        <v>-32456.17</v>
      </c>
      <c r="P105" s="2">
        <v>-423842.88</v>
      </c>
      <c r="Q105" s="2">
        <v>1080708.95</v>
      </c>
      <c r="R105" s="2">
        <v>0</v>
      </c>
      <c r="S105" s="2">
        <v>1080708.95</v>
      </c>
      <c r="T105" s="2">
        <v>1080708.95</v>
      </c>
      <c r="U105" s="2">
        <v>0</v>
      </c>
      <c r="V105" s="2">
        <v>0</v>
      </c>
      <c r="W105" s="2">
        <v>0</v>
      </c>
    </row>
    <row r="106" spans="1:23" outlineLevel="2" x14ac:dyDescent="0.2">
      <c r="A106" t="s">
        <v>0</v>
      </c>
      <c r="B106" t="s">
        <v>39</v>
      </c>
      <c r="C106" t="s">
        <v>40</v>
      </c>
      <c r="D106" t="s">
        <v>41</v>
      </c>
      <c r="E106" t="s">
        <v>42</v>
      </c>
      <c r="F106" t="s">
        <v>5</v>
      </c>
      <c r="G106" t="s">
        <v>6</v>
      </c>
      <c r="H106" t="s">
        <v>35</v>
      </c>
      <c r="I106" t="s">
        <v>36</v>
      </c>
      <c r="J106" t="s">
        <v>9</v>
      </c>
      <c r="K106" t="s">
        <v>151</v>
      </c>
      <c r="L106" t="s">
        <v>152</v>
      </c>
      <c r="M106" t="s">
        <v>12</v>
      </c>
      <c r="N106" s="2">
        <v>0</v>
      </c>
      <c r="O106" s="2">
        <v>0</v>
      </c>
      <c r="P106" s="2">
        <v>10968.99</v>
      </c>
      <c r="Q106" s="2">
        <v>10968.99</v>
      </c>
      <c r="R106" s="2">
        <v>0</v>
      </c>
      <c r="S106" s="2">
        <v>3050.36</v>
      </c>
      <c r="T106" s="2">
        <v>3050.36</v>
      </c>
      <c r="U106" s="2">
        <v>7918.63</v>
      </c>
      <c r="V106" s="2">
        <v>7918.63</v>
      </c>
      <c r="W106" s="2">
        <v>7918.63</v>
      </c>
    </row>
    <row r="107" spans="1:23" outlineLevel="2" x14ac:dyDescent="0.2">
      <c r="A107" t="s">
        <v>0</v>
      </c>
      <c r="B107" t="s">
        <v>1</v>
      </c>
      <c r="C107" t="s">
        <v>16</v>
      </c>
      <c r="D107" t="s">
        <v>62</v>
      </c>
      <c r="E107" t="s">
        <v>63</v>
      </c>
      <c r="F107" t="s">
        <v>5</v>
      </c>
      <c r="G107" t="s">
        <v>6</v>
      </c>
      <c r="H107" t="s">
        <v>35</v>
      </c>
      <c r="I107" t="s">
        <v>36</v>
      </c>
      <c r="J107" t="s">
        <v>9</v>
      </c>
      <c r="K107" t="s">
        <v>151</v>
      </c>
      <c r="L107" t="s">
        <v>153</v>
      </c>
      <c r="M107" t="s">
        <v>12</v>
      </c>
      <c r="N107" s="2">
        <v>0</v>
      </c>
      <c r="O107" s="2">
        <v>0</v>
      </c>
      <c r="P107" s="2">
        <v>1261.06</v>
      </c>
      <c r="Q107" s="2">
        <v>1261.06</v>
      </c>
      <c r="R107" s="2">
        <v>0</v>
      </c>
      <c r="S107" s="2">
        <v>630.53</v>
      </c>
      <c r="T107" s="2">
        <v>630.53</v>
      </c>
      <c r="U107" s="2">
        <v>630.53</v>
      </c>
      <c r="V107" s="2">
        <v>630.53</v>
      </c>
      <c r="W107" s="2">
        <v>630.53</v>
      </c>
    </row>
    <row r="108" spans="1:23" outlineLevel="2" x14ac:dyDescent="0.2">
      <c r="A108" t="s">
        <v>0</v>
      </c>
      <c r="B108" t="s">
        <v>39</v>
      </c>
      <c r="C108" t="s">
        <v>58</v>
      </c>
      <c r="D108" t="s">
        <v>137</v>
      </c>
      <c r="E108" t="s">
        <v>138</v>
      </c>
      <c r="F108" t="s">
        <v>5</v>
      </c>
      <c r="G108" t="s">
        <v>6</v>
      </c>
      <c r="H108" t="s">
        <v>35</v>
      </c>
      <c r="I108" t="s">
        <v>36</v>
      </c>
      <c r="J108" t="s">
        <v>9</v>
      </c>
      <c r="K108" t="s">
        <v>151</v>
      </c>
      <c r="L108" t="s">
        <v>154</v>
      </c>
      <c r="M108" t="s">
        <v>12</v>
      </c>
      <c r="N108" s="2">
        <v>0</v>
      </c>
      <c r="O108" s="2">
        <v>0</v>
      </c>
      <c r="P108" s="2">
        <v>29895.67</v>
      </c>
      <c r="Q108" s="2">
        <v>29895.67</v>
      </c>
      <c r="R108" s="2">
        <v>0</v>
      </c>
      <c r="S108" s="2">
        <v>11670.97</v>
      </c>
      <c r="T108" s="2">
        <v>11670.97</v>
      </c>
      <c r="U108" s="2">
        <v>18224.7</v>
      </c>
      <c r="V108" s="2">
        <v>18224.7</v>
      </c>
      <c r="W108" s="2">
        <v>18224.7</v>
      </c>
    </row>
    <row r="109" spans="1:23" outlineLevel="2" x14ac:dyDescent="0.2">
      <c r="A109" t="s">
        <v>0</v>
      </c>
      <c r="B109" t="s">
        <v>31</v>
      </c>
      <c r="C109" t="s">
        <v>79</v>
      </c>
      <c r="D109" t="s">
        <v>125</v>
      </c>
      <c r="E109" t="s">
        <v>126</v>
      </c>
      <c r="F109" t="s">
        <v>5</v>
      </c>
      <c r="G109" t="s">
        <v>6</v>
      </c>
      <c r="H109" t="s">
        <v>35</v>
      </c>
      <c r="I109" t="s">
        <v>36</v>
      </c>
      <c r="J109" t="s">
        <v>9</v>
      </c>
      <c r="K109" t="s">
        <v>151</v>
      </c>
      <c r="L109" t="s">
        <v>155</v>
      </c>
      <c r="M109" t="s">
        <v>15</v>
      </c>
      <c r="N109" s="2">
        <v>22239.599999999999</v>
      </c>
      <c r="O109" s="2">
        <v>0</v>
      </c>
      <c r="P109" s="2">
        <v>-3706.6</v>
      </c>
      <c r="Q109" s="2">
        <v>18533</v>
      </c>
      <c r="R109" s="2">
        <v>0</v>
      </c>
      <c r="S109" s="2">
        <v>18533</v>
      </c>
      <c r="T109" s="2">
        <v>18533</v>
      </c>
      <c r="U109" s="2">
        <v>0</v>
      </c>
      <c r="V109" s="2">
        <v>0</v>
      </c>
      <c r="W109" s="2">
        <v>0</v>
      </c>
    </row>
    <row r="110" spans="1:23" outlineLevel="2" x14ac:dyDescent="0.2">
      <c r="A110" t="s">
        <v>0</v>
      </c>
      <c r="B110" t="s">
        <v>1</v>
      </c>
      <c r="C110" t="s">
        <v>16</v>
      </c>
      <c r="D110" t="s">
        <v>17</v>
      </c>
      <c r="E110" t="s">
        <v>18</v>
      </c>
      <c r="F110" t="s">
        <v>5</v>
      </c>
      <c r="G110" t="s">
        <v>6</v>
      </c>
      <c r="H110" t="s">
        <v>35</v>
      </c>
      <c r="I110" t="s">
        <v>36</v>
      </c>
      <c r="J110" t="s">
        <v>9</v>
      </c>
      <c r="K110" t="s">
        <v>151</v>
      </c>
      <c r="L110" t="s">
        <v>153</v>
      </c>
      <c r="M110" t="s">
        <v>12</v>
      </c>
      <c r="N110" s="2">
        <v>0</v>
      </c>
      <c r="O110" s="2">
        <v>0</v>
      </c>
      <c r="P110" s="2">
        <v>23175.83</v>
      </c>
      <c r="Q110" s="2">
        <v>23175.83</v>
      </c>
      <c r="R110" s="2">
        <v>0</v>
      </c>
      <c r="S110" s="2">
        <v>11141.23</v>
      </c>
      <c r="T110" s="2">
        <v>11141.23</v>
      </c>
      <c r="U110" s="2">
        <v>12034.6</v>
      </c>
      <c r="V110" s="2">
        <v>12034.6</v>
      </c>
      <c r="W110" s="2">
        <v>12034.6</v>
      </c>
    </row>
    <row r="111" spans="1:23" outlineLevel="2" x14ac:dyDescent="0.2">
      <c r="A111" t="s">
        <v>0</v>
      </c>
      <c r="B111" t="s">
        <v>31</v>
      </c>
      <c r="C111" t="s">
        <v>107</v>
      </c>
      <c r="D111" t="s">
        <v>108</v>
      </c>
      <c r="E111" t="s">
        <v>109</v>
      </c>
      <c r="F111" t="s">
        <v>5</v>
      </c>
      <c r="G111" t="s">
        <v>6</v>
      </c>
      <c r="H111" t="s">
        <v>35</v>
      </c>
      <c r="I111" t="s">
        <v>36</v>
      </c>
      <c r="J111" t="s">
        <v>9</v>
      </c>
      <c r="K111" t="s">
        <v>151</v>
      </c>
      <c r="L111" t="s">
        <v>156</v>
      </c>
      <c r="M111" t="s">
        <v>12</v>
      </c>
      <c r="N111" s="2">
        <v>0</v>
      </c>
      <c r="O111" s="2">
        <v>0</v>
      </c>
      <c r="P111" s="2">
        <v>19717.93</v>
      </c>
      <c r="Q111" s="2">
        <v>19717.93</v>
      </c>
      <c r="R111" s="2">
        <v>0</v>
      </c>
      <c r="S111" s="2">
        <v>6764.55</v>
      </c>
      <c r="T111" s="2">
        <v>6764.55</v>
      </c>
      <c r="U111" s="2">
        <v>12953.38</v>
      </c>
      <c r="V111" s="2">
        <v>12953.38</v>
      </c>
      <c r="W111" s="2">
        <v>12953.38</v>
      </c>
    </row>
    <row r="112" spans="1:23" outlineLevel="2" x14ac:dyDescent="0.2">
      <c r="A112" t="s">
        <v>0</v>
      </c>
      <c r="B112" t="s">
        <v>1</v>
      </c>
      <c r="C112" t="s">
        <v>44</v>
      </c>
      <c r="D112" t="s">
        <v>45</v>
      </c>
      <c r="E112" t="s">
        <v>46</v>
      </c>
      <c r="F112" t="s">
        <v>5</v>
      </c>
      <c r="G112" t="s">
        <v>6</v>
      </c>
      <c r="H112" t="s">
        <v>35</v>
      </c>
      <c r="I112" t="s">
        <v>36</v>
      </c>
      <c r="J112" t="s">
        <v>9</v>
      </c>
      <c r="K112" t="s">
        <v>151</v>
      </c>
      <c r="L112" t="s">
        <v>157</v>
      </c>
      <c r="M112" t="s">
        <v>12</v>
      </c>
      <c r="N112" s="2">
        <v>0</v>
      </c>
      <c r="O112" s="2">
        <v>0</v>
      </c>
      <c r="P112" s="2">
        <v>4638.26</v>
      </c>
      <c r="Q112" s="2">
        <v>4638.26</v>
      </c>
      <c r="R112" s="2">
        <v>0</v>
      </c>
      <c r="S112" s="2">
        <v>1222.08</v>
      </c>
      <c r="T112" s="2">
        <v>1222.08</v>
      </c>
      <c r="U112" s="2">
        <v>3416.18</v>
      </c>
      <c r="V112" s="2">
        <v>3416.18</v>
      </c>
      <c r="W112" s="2">
        <v>3416.18</v>
      </c>
    </row>
    <row r="113" spans="1:23" outlineLevel="2" x14ac:dyDescent="0.2">
      <c r="A113" t="s">
        <v>0</v>
      </c>
      <c r="B113" t="s">
        <v>39</v>
      </c>
      <c r="C113" t="s">
        <v>95</v>
      </c>
      <c r="D113" t="s">
        <v>96</v>
      </c>
      <c r="E113" t="s">
        <v>97</v>
      </c>
      <c r="F113" t="s">
        <v>5</v>
      </c>
      <c r="G113" t="s">
        <v>6</v>
      </c>
      <c r="H113" t="s">
        <v>35</v>
      </c>
      <c r="I113" t="s">
        <v>36</v>
      </c>
      <c r="J113" t="s">
        <v>9</v>
      </c>
      <c r="K113" t="s">
        <v>151</v>
      </c>
      <c r="L113" t="s">
        <v>158</v>
      </c>
      <c r="M113" t="s">
        <v>12</v>
      </c>
      <c r="N113" s="2">
        <v>0</v>
      </c>
      <c r="O113" s="2">
        <v>210</v>
      </c>
      <c r="P113" s="2">
        <v>3317.43</v>
      </c>
      <c r="Q113" s="2">
        <v>3527.43</v>
      </c>
      <c r="R113" s="2">
        <v>0</v>
      </c>
      <c r="S113" s="2">
        <v>1759.43</v>
      </c>
      <c r="T113" s="2">
        <v>1759.43</v>
      </c>
      <c r="U113" s="2">
        <v>1768</v>
      </c>
      <c r="V113" s="2">
        <v>1768</v>
      </c>
      <c r="W113" s="2">
        <v>1768</v>
      </c>
    </row>
    <row r="114" spans="1:23" outlineLevel="2" x14ac:dyDescent="0.2">
      <c r="A114" t="s">
        <v>0</v>
      </c>
      <c r="B114" t="s">
        <v>31</v>
      </c>
      <c r="C114" t="s">
        <v>79</v>
      </c>
      <c r="D114" t="s">
        <v>117</v>
      </c>
      <c r="E114" t="s">
        <v>118</v>
      </c>
      <c r="F114" t="s">
        <v>5</v>
      </c>
      <c r="G114" t="s">
        <v>6</v>
      </c>
      <c r="H114" t="s">
        <v>35</v>
      </c>
      <c r="I114" t="s">
        <v>36</v>
      </c>
      <c r="J114" t="s">
        <v>9</v>
      </c>
      <c r="K114" t="s">
        <v>151</v>
      </c>
      <c r="L114" t="s">
        <v>155</v>
      </c>
      <c r="M114" t="s">
        <v>15</v>
      </c>
      <c r="N114" s="2">
        <v>122313.36</v>
      </c>
      <c r="O114" s="2">
        <v>0</v>
      </c>
      <c r="P114" s="2">
        <v>-43304.51</v>
      </c>
      <c r="Q114" s="2">
        <v>79008.850000000006</v>
      </c>
      <c r="R114" s="2">
        <v>0</v>
      </c>
      <c r="S114" s="2">
        <v>79008.850000000006</v>
      </c>
      <c r="T114" s="2">
        <v>79008.850000000006</v>
      </c>
      <c r="U114" s="2">
        <v>0</v>
      </c>
      <c r="V114" s="2">
        <v>0</v>
      </c>
      <c r="W114" s="2">
        <v>0</v>
      </c>
    </row>
    <row r="115" spans="1:23" outlineLevel="2" x14ac:dyDescent="0.2">
      <c r="A115" t="s">
        <v>0</v>
      </c>
      <c r="B115" t="s">
        <v>39</v>
      </c>
      <c r="C115" t="s">
        <v>70</v>
      </c>
      <c r="D115" t="s">
        <v>89</v>
      </c>
      <c r="E115" t="s">
        <v>90</v>
      </c>
      <c r="F115" t="s">
        <v>5</v>
      </c>
      <c r="G115" t="s">
        <v>6</v>
      </c>
      <c r="H115" t="s">
        <v>35</v>
      </c>
      <c r="I115" t="s">
        <v>36</v>
      </c>
      <c r="J115" t="s">
        <v>9</v>
      </c>
      <c r="K115" t="s">
        <v>151</v>
      </c>
      <c r="L115" t="s">
        <v>159</v>
      </c>
      <c r="M115" t="s">
        <v>15</v>
      </c>
      <c r="N115" s="2">
        <v>37255.919999999998</v>
      </c>
      <c r="O115" s="2">
        <v>0</v>
      </c>
      <c r="P115" s="2">
        <v>-6209.32</v>
      </c>
      <c r="Q115" s="2">
        <v>31046.6</v>
      </c>
      <c r="R115" s="2">
        <v>0</v>
      </c>
      <c r="S115" s="2">
        <v>31046.6</v>
      </c>
      <c r="T115" s="2">
        <v>31046.6</v>
      </c>
      <c r="U115" s="2">
        <v>0</v>
      </c>
      <c r="V115" s="2">
        <v>0</v>
      </c>
      <c r="W115" s="2">
        <v>0</v>
      </c>
    </row>
    <row r="116" spans="1:23" outlineLevel="2" x14ac:dyDescent="0.2">
      <c r="A116" t="s">
        <v>0</v>
      </c>
      <c r="B116" t="s">
        <v>1</v>
      </c>
      <c r="C116" t="s">
        <v>99</v>
      </c>
      <c r="D116" t="s">
        <v>100</v>
      </c>
      <c r="E116" t="s">
        <v>101</v>
      </c>
      <c r="F116" t="s">
        <v>5</v>
      </c>
      <c r="G116" t="s">
        <v>6</v>
      </c>
      <c r="H116" t="s">
        <v>35</v>
      </c>
      <c r="I116" t="s">
        <v>36</v>
      </c>
      <c r="J116" t="s">
        <v>9</v>
      </c>
      <c r="K116" t="s">
        <v>151</v>
      </c>
      <c r="L116" t="s">
        <v>160</v>
      </c>
      <c r="M116" t="s">
        <v>12</v>
      </c>
      <c r="N116" s="2">
        <v>0</v>
      </c>
      <c r="O116" s="2">
        <v>20</v>
      </c>
      <c r="P116" s="2">
        <v>10026.16</v>
      </c>
      <c r="Q116" s="2">
        <v>10046.16</v>
      </c>
      <c r="R116" s="2">
        <v>0</v>
      </c>
      <c r="S116" s="2">
        <v>5013.08</v>
      </c>
      <c r="T116" s="2">
        <v>5013.08</v>
      </c>
      <c r="U116" s="2">
        <v>5033.08</v>
      </c>
      <c r="V116" s="2">
        <v>5033.08</v>
      </c>
      <c r="W116" s="2">
        <v>5033.08</v>
      </c>
    </row>
    <row r="117" spans="1:23" outlineLevel="2" x14ac:dyDescent="0.2">
      <c r="A117" t="s">
        <v>0</v>
      </c>
      <c r="B117" t="s">
        <v>39</v>
      </c>
      <c r="C117" t="s">
        <v>58</v>
      </c>
      <c r="D117" t="s">
        <v>149</v>
      </c>
      <c r="E117" t="s">
        <v>150</v>
      </c>
      <c r="F117" t="s">
        <v>5</v>
      </c>
      <c r="G117" t="s">
        <v>6</v>
      </c>
      <c r="H117" t="s">
        <v>35</v>
      </c>
      <c r="I117" t="s">
        <v>36</v>
      </c>
      <c r="J117" t="s">
        <v>9</v>
      </c>
      <c r="K117" t="s">
        <v>151</v>
      </c>
      <c r="L117" t="s">
        <v>154</v>
      </c>
      <c r="M117" t="s">
        <v>12</v>
      </c>
      <c r="N117" s="2">
        <v>0</v>
      </c>
      <c r="O117" s="2">
        <v>0</v>
      </c>
      <c r="P117" s="2">
        <v>65441.1</v>
      </c>
      <c r="Q117" s="2">
        <v>65441.1</v>
      </c>
      <c r="R117" s="2">
        <v>0</v>
      </c>
      <c r="S117" s="2">
        <v>30714.99</v>
      </c>
      <c r="T117" s="2">
        <v>30714.99</v>
      </c>
      <c r="U117" s="2">
        <v>34726.11</v>
      </c>
      <c r="V117" s="2">
        <v>34726.11</v>
      </c>
      <c r="W117" s="2">
        <v>34726.11</v>
      </c>
    </row>
    <row r="118" spans="1:23" outlineLevel="2" x14ac:dyDescent="0.2">
      <c r="A118" t="s">
        <v>0</v>
      </c>
      <c r="B118" t="s">
        <v>31</v>
      </c>
      <c r="C118" t="s">
        <v>79</v>
      </c>
      <c r="D118" t="s">
        <v>115</v>
      </c>
      <c r="E118" t="s">
        <v>116</v>
      </c>
      <c r="F118" t="s">
        <v>5</v>
      </c>
      <c r="G118" t="s">
        <v>6</v>
      </c>
      <c r="H118" t="s">
        <v>35</v>
      </c>
      <c r="I118" t="s">
        <v>36</v>
      </c>
      <c r="J118" t="s">
        <v>9</v>
      </c>
      <c r="K118" t="s">
        <v>151</v>
      </c>
      <c r="L118" t="s">
        <v>155</v>
      </c>
      <c r="M118" t="s">
        <v>15</v>
      </c>
      <c r="N118" s="2">
        <v>13618.32</v>
      </c>
      <c r="O118" s="2">
        <v>0</v>
      </c>
      <c r="P118" s="2">
        <v>-2269.7199999999998</v>
      </c>
      <c r="Q118" s="2">
        <v>11348.6</v>
      </c>
      <c r="R118" s="2">
        <v>0</v>
      </c>
      <c r="S118" s="2">
        <v>11348.6</v>
      </c>
      <c r="T118" s="2">
        <v>11348.6</v>
      </c>
      <c r="U118" s="2">
        <v>0</v>
      </c>
      <c r="V118" s="2">
        <v>0</v>
      </c>
      <c r="W118" s="2">
        <v>0</v>
      </c>
    </row>
    <row r="119" spans="1:23" outlineLevel="2" x14ac:dyDescent="0.2">
      <c r="A119" t="s">
        <v>0</v>
      </c>
      <c r="B119" t="s">
        <v>1</v>
      </c>
      <c r="C119" t="s">
        <v>16</v>
      </c>
      <c r="D119" t="s">
        <v>103</v>
      </c>
      <c r="E119" t="s">
        <v>104</v>
      </c>
      <c r="F119" t="s">
        <v>5</v>
      </c>
      <c r="G119" t="s">
        <v>6</v>
      </c>
      <c r="H119" t="s">
        <v>35</v>
      </c>
      <c r="I119" t="s">
        <v>36</v>
      </c>
      <c r="J119" t="s">
        <v>9</v>
      </c>
      <c r="K119" t="s">
        <v>151</v>
      </c>
      <c r="L119" t="s">
        <v>153</v>
      </c>
      <c r="M119" t="s">
        <v>12</v>
      </c>
      <c r="N119" s="2">
        <v>0</v>
      </c>
      <c r="O119" s="2">
        <v>0</v>
      </c>
      <c r="P119" s="2">
        <v>10954.98</v>
      </c>
      <c r="Q119" s="2">
        <v>10954.98</v>
      </c>
      <c r="R119" s="2">
        <v>0</v>
      </c>
      <c r="S119" s="2">
        <v>5578.44</v>
      </c>
      <c r="T119" s="2">
        <v>5578.44</v>
      </c>
      <c r="U119" s="2">
        <v>5376.54</v>
      </c>
      <c r="V119" s="2">
        <v>5376.54</v>
      </c>
      <c r="W119" s="2">
        <v>5376.54</v>
      </c>
    </row>
    <row r="120" spans="1:23" outlineLevel="2" x14ac:dyDescent="0.2">
      <c r="A120" t="s">
        <v>0</v>
      </c>
      <c r="B120" t="s">
        <v>1</v>
      </c>
      <c r="C120" t="s">
        <v>2</v>
      </c>
      <c r="D120" t="s">
        <v>20</v>
      </c>
      <c r="E120" t="s">
        <v>21</v>
      </c>
      <c r="F120" t="s">
        <v>5</v>
      </c>
      <c r="G120" t="s">
        <v>6</v>
      </c>
      <c r="H120" t="s">
        <v>35</v>
      </c>
      <c r="I120" t="s">
        <v>36</v>
      </c>
      <c r="J120" t="s">
        <v>9</v>
      </c>
      <c r="K120" t="s">
        <v>151</v>
      </c>
      <c r="L120" t="s">
        <v>161</v>
      </c>
      <c r="M120" t="s">
        <v>12</v>
      </c>
      <c r="N120" s="2">
        <v>0</v>
      </c>
      <c r="O120" s="2">
        <v>0</v>
      </c>
      <c r="P120" s="2">
        <v>146077.22</v>
      </c>
      <c r="Q120" s="2">
        <v>146077.22</v>
      </c>
      <c r="R120" s="2">
        <v>0</v>
      </c>
      <c r="S120" s="2">
        <v>62634.62</v>
      </c>
      <c r="T120" s="2">
        <v>62634.62</v>
      </c>
      <c r="U120" s="2">
        <v>83442.600000000006</v>
      </c>
      <c r="V120" s="2">
        <v>83442.600000000006</v>
      </c>
      <c r="W120" s="2">
        <v>83442.600000000006</v>
      </c>
    </row>
    <row r="121" spans="1:23" outlineLevel="2" x14ac:dyDescent="0.2">
      <c r="A121" t="s">
        <v>0</v>
      </c>
      <c r="B121" t="s">
        <v>31</v>
      </c>
      <c r="C121" t="s">
        <v>32</v>
      </c>
      <c r="D121" t="s">
        <v>123</v>
      </c>
      <c r="E121" t="s">
        <v>124</v>
      </c>
      <c r="F121" t="s">
        <v>5</v>
      </c>
      <c r="G121" t="s">
        <v>6</v>
      </c>
      <c r="H121" t="s">
        <v>35</v>
      </c>
      <c r="I121" t="s">
        <v>36</v>
      </c>
      <c r="J121" t="s">
        <v>9</v>
      </c>
      <c r="K121" t="s">
        <v>151</v>
      </c>
      <c r="L121" t="s">
        <v>162</v>
      </c>
      <c r="M121" t="s">
        <v>15</v>
      </c>
      <c r="N121" s="2">
        <v>114411</v>
      </c>
      <c r="O121" s="2">
        <v>4014.62</v>
      </c>
      <c r="P121" s="2">
        <v>-24320.91</v>
      </c>
      <c r="Q121" s="2">
        <v>94104.71</v>
      </c>
      <c r="R121" s="2">
        <v>0</v>
      </c>
      <c r="S121" s="2">
        <v>94104.71</v>
      </c>
      <c r="T121" s="2">
        <v>94104.71</v>
      </c>
      <c r="U121" s="2">
        <v>0</v>
      </c>
      <c r="V121" s="2">
        <v>0</v>
      </c>
      <c r="W121" s="2">
        <v>0</v>
      </c>
    </row>
    <row r="122" spans="1:23" outlineLevel="2" x14ac:dyDescent="0.2">
      <c r="A122" t="s">
        <v>0</v>
      </c>
      <c r="B122" t="s">
        <v>31</v>
      </c>
      <c r="C122" t="s">
        <v>32</v>
      </c>
      <c r="D122" t="s">
        <v>33</v>
      </c>
      <c r="E122" t="s">
        <v>34</v>
      </c>
      <c r="F122" t="s">
        <v>5</v>
      </c>
      <c r="G122" t="s">
        <v>6</v>
      </c>
      <c r="H122" t="s">
        <v>35</v>
      </c>
      <c r="I122" t="s">
        <v>36</v>
      </c>
      <c r="J122" t="s">
        <v>9</v>
      </c>
      <c r="K122" t="s">
        <v>151</v>
      </c>
      <c r="L122" t="s">
        <v>162</v>
      </c>
      <c r="M122" t="s">
        <v>12</v>
      </c>
      <c r="N122" s="2">
        <v>0</v>
      </c>
      <c r="O122" s="2">
        <v>0</v>
      </c>
      <c r="P122" s="2">
        <v>29085.24</v>
      </c>
      <c r="Q122" s="2">
        <v>29085.24</v>
      </c>
      <c r="R122" s="2">
        <v>0</v>
      </c>
      <c r="S122" s="2">
        <v>13339.43</v>
      </c>
      <c r="T122" s="2">
        <v>13339.43</v>
      </c>
      <c r="U122" s="2">
        <v>15745.81</v>
      </c>
      <c r="V122" s="2">
        <v>15745.81</v>
      </c>
      <c r="W122" s="2">
        <v>15745.81</v>
      </c>
    </row>
    <row r="123" spans="1:23" outlineLevel="2" x14ac:dyDescent="0.2">
      <c r="A123" t="s">
        <v>0</v>
      </c>
      <c r="B123" t="s">
        <v>31</v>
      </c>
      <c r="C123" t="s">
        <v>107</v>
      </c>
      <c r="D123" t="s">
        <v>108</v>
      </c>
      <c r="E123" t="s">
        <v>109</v>
      </c>
      <c r="F123" t="s">
        <v>5</v>
      </c>
      <c r="G123" t="s">
        <v>6</v>
      </c>
      <c r="H123" t="s">
        <v>35</v>
      </c>
      <c r="I123" t="s">
        <v>36</v>
      </c>
      <c r="J123" t="s">
        <v>9</v>
      </c>
      <c r="K123" t="s">
        <v>151</v>
      </c>
      <c r="L123" t="s">
        <v>156</v>
      </c>
      <c r="M123" t="s">
        <v>15</v>
      </c>
      <c r="N123" s="2">
        <v>96068.160000000003</v>
      </c>
      <c r="O123" s="2">
        <v>0</v>
      </c>
      <c r="P123" s="2">
        <v>-19974.78</v>
      </c>
      <c r="Q123" s="2">
        <v>76093.38</v>
      </c>
      <c r="R123" s="2">
        <v>0</v>
      </c>
      <c r="S123" s="2">
        <v>76093.38</v>
      </c>
      <c r="T123" s="2">
        <v>76093.38</v>
      </c>
      <c r="U123" s="2">
        <v>0</v>
      </c>
      <c r="V123" s="2">
        <v>0</v>
      </c>
      <c r="W123" s="2">
        <v>0</v>
      </c>
    </row>
    <row r="124" spans="1:23" outlineLevel="2" x14ac:dyDescent="0.2">
      <c r="A124" t="s">
        <v>0</v>
      </c>
      <c r="B124" t="s">
        <v>31</v>
      </c>
      <c r="C124" t="s">
        <v>32</v>
      </c>
      <c r="D124" t="s">
        <v>141</v>
      </c>
      <c r="E124" t="s">
        <v>142</v>
      </c>
      <c r="F124" t="s">
        <v>5</v>
      </c>
      <c r="G124" t="s">
        <v>6</v>
      </c>
      <c r="H124" t="s">
        <v>35</v>
      </c>
      <c r="I124" t="s">
        <v>36</v>
      </c>
      <c r="J124" t="s">
        <v>9</v>
      </c>
      <c r="K124" t="s">
        <v>151</v>
      </c>
      <c r="L124" t="s">
        <v>162</v>
      </c>
      <c r="M124" t="s">
        <v>12</v>
      </c>
      <c r="N124" s="2">
        <v>0</v>
      </c>
      <c r="O124" s="2">
        <v>60</v>
      </c>
      <c r="P124" s="2">
        <v>9089.6</v>
      </c>
      <c r="Q124" s="2">
        <v>9149.6</v>
      </c>
      <c r="R124" s="2">
        <v>0</v>
      </c>
      <c r="S124" s="2">
        <v>4569.0200000000004</v>
      </c>
      <c r="T124" s="2">
        <v>4569.0200000000004</v>
      </c>
      <c r="U124" s="2">
        <v>4580.58</v>
      </c>
      <c r="V124" s="2">
        <v>4580.58</v>
      </c>
      <c r="W124" s="2">
        <v>4580.58</v>
      </c>
    </row>
    <row r="125" spans="1:23" outlineLevel="2" x14ac:dyDescent="0.2">
      <c r="A125" t="s">
        <v>0</v>
      </c>
      <c r="B125" t="s">
        <v>39</v>
      </c>
      <c r="C125" t="s">
        <v>70</v>
      </c>
      <c r="D125" t="s">
        <v>71</v>
      </c>
      <c r="E125" t="s">
        <v>72</v>
      </c>
      <c r="F125" t="s">
        <v>5</v>
      </c>
      <c r="G125" t="s">
        <v>6</v>
      </c>
      <c r="H125" t="s">
        <v>35</v>
      </c>
      <c r="I125" t="s">
        <v>36</v>
      </c>
      <c r="J125" t="s">
        <v>9</v>
      </c>
      <c r="K125" t="s">
        <v>151</v>
      </c>
      <c r="L125" t="s">
        <v>159</v>
      </c>
      <c r="M125" t="s">
        <v>12</v>
      </c>
      <c r="N125" s="2">
        <v>0</v>
      </c>
      <c r="O125" s="2">
        <v>160</v>
      </c>
      <c r="P125" s="2">
        <v>20100.77</v>
      </c>
      <c r="Q125" s="2">
        <v>20260.77</v>
      </c>
      <c r="R125" s="2">
        <v>0</v>
      </c>
      <c r="S125" s="2">
        <v>10089.540000000001</v>
      </c>
      <c r="T125" s="2">
        <v>10089.540000000001</v>
      </c>
      <c r="U125" s="2">
        <v>10171.23</v>
      </c>
      <c r="V125" s="2">
        <v>10171.23</v>
      </c>
      <c r="W125" s="2">
        <v>10171.23</v>
      </c>
    </row>
    <row r="126" spans="1:23" outlineLevel="2" x14ac:dyDescent="0.2">
      <c r="A126" t="s">
        <v>0</v>
      </c>
      <c r="B126" t="s">
        <v>1</v>
      </c>
      <c r="C126" t="s">
        <v>91</v>
      </c>
      <c r="D126" t="s">
        <v>92</v>
      </c>
      <c r="E126" t="s">
        <v>93</v>
      </c>
      <c r="F126" t="s">
        <v>5</v>
      </c>
      <c r="G126" t="s">
        <v>6</v>
      </c>
      <c r="H126" t="s">
        <v>35</v>
      </c>
      <c r="I126" t="s">
        <v>36</v>
      </c>
      <c r="J126" t="s">
        <v>9</v>
      </c>
      <c r="K126" t="s">
        <v>151</v>
      </c>
      <c r="L126" t="s">
        <v>163</v>
      </c>
      <c r="M126" t="s">
        <v>12</v>
      </c>
      <c r="N126" s="2">
        <v>0</v>
      </c>
      <c r="O126" s="2">
        <v>0</v>
      </c>
      <c r="P126" s="2">
        <v>6157.72</v>
      </c>
      <c r="Q126" s="2">
        <v>6157.72</v>
      </c>
      <c r="R126" s="2">
        <v>0</v>
      </c>
      <c r="S126" s="2">
        <v>3078.86</v>
      </c>
      <c r="T126" s="2">
        <v>3078.86</v>
      </c>
      <c r="U126" s="2">
        <v>3078.86</v>
      </c>
      <c r="V126" s="2">
        <v>3078.86</v>
      </c>
      <c r="W126" s="2">
        <v>3078.86</v>
      </c>
    </row>
    <row r="127" spans="1:23" outlineLevel="2" x14ac:dyDescent="0.2">
      <c r="A127" t="s">
        <v>0</v>
      </c>
      <c r="B127" t="s">
        <v>39</v>
      </c>
      <c r="C127" t="s">
        <v>66</v>
      </c>
      <c r="D127" t="s">
        <v>121</v>
      </c>
      <c r="E127" t="s">
        <v>122</v>
      </c>
      <c r="F127" t="s">
        <v>5</v>
      </c>
      <c r="G127" t="s">
        <v>6</v>
      </c>
      <c r="H127" t="s">
        <v>35</v>
      </c>
      <c r="I127" t="s">
        <v>36</v>
      </c>
      <c r="J127" t="s">
        <v>9</v>
      </c>
      <c r="K127" t="s">
        <v>151</v>
      </c>
      <c r="L127" t="s">
        <v>164</v>
      </c>
      <c r="M127" t="s">
        <v>12</v>
      </c>
      <c r="N127" s="2">
        <v>0</v>
      </c>
      <c r="O127" s="2">
        <v>20</v>
      </c>
      <c r="P127" s="2">
        <v>1205.42</v>
      </c>
      <c r="Q127" s="2">
        <v>1225.42</v>
      </c>
      <c r="R127" s="2">
        <v>0</v>
      </c>
      <c r="S127" s="2">
        <v>602.71</v>
      </c>
      <c r="T127" s="2">
        <v>602.71</v>
      </c>
      <c r="U127" s="2">
        <v>622.71</v>
      </c>
      <c r="V127" s="2">
        <v>622.71</v>
      </c>
      <c r="W127" s="2">
        <v>622.71</v>
      </c>
    </row>
    <row r="128" spans="1:23" outlineLevel="2" x14ac:dyDescent="0.2">
      <c r="A128" t="s">
        <v>0</v>
      </c>
      <c r="B128" t="s">
        <v>31</v>
      </c>
      <c r="C128" t="s">
        <v>79</v>
      </c>
      <c r="D128" t="s">
        <v>111</v>
      </c>
      <c r="E128" t="s">
        <v>112</v>
      </c>
      <c r="F128" t="s">
        <v>5</v>
      </c>
      <c r="G128" t="s">
        <v>6</v>
      </c>
      <c r="H128" t="s">
        <v>35</v>
      </c>
      <c r="I128" t="s">
        <v>36</v>
      </c>
      <c r="J128" t="s">
        <v>9</v>
      </c>
      <c r="K128" t="s">
        <v>151</v>
      </c>
      <c r="L128" t="s">
        <v>155</v>
      </c>
      <c r="M128" t="s">
        <v>15</v>
      </c>
      <c r="N128" s="2">
        <v>6809.16</v>
      </c>
      <c r="O128" s="2">
        <v>0</v>
      </c>
      <c r="P128" s="2">
        <v>-1134.8599999999999</v>
      </c>
      <c r="Q128" s="2">
        <v>5674.3</v>
      </c>
      <c r="R128" s="2">
        <v>0</v>
      </c>
      <c r="S128" s="2">
        <v>5674.3</v>
      </c>
      <c r="T128" s="2">
        <v>5674.3</v>
      </c>
      <c r="U128" s="2">
        <v>0</v>
      </c>
      <c r="V128" s="2">
        <v>0</v>
      </c>
      <c r="W128" s="2">
        <v>0</v>
      </c>
    </row>
    <row r="129" spans="1:23" outlineLevel="2" x14ac:dyDescent="0.2">
      <c r="A129" t="s">
        <v>0</v>
      </c>
      <c r="B129" t="s">
        <v>39</v>
      </c>
      <c r="C129" t="s">
        <v>58</v>
      </c>
      <c r="D129" t="s">
        <v>59</v>
      </c>
      <c r="E129" t="s">
        <v>60</v>
      </c>
      <c r="F129" t="s">
        <v>5</v>
      </c>
      <c r="G129" t="s">
        <v>6</v>
      </c>
      <c r="H129" t="s">
        <v>35</v>
      </c>
      <c r="I129" t="s">
        <v>36</v>
      </c>
      <c r="J129" t="s">
        <v>9</v>
      </c>
      <c r="K129" t="s">
        <v>151</v>
      </c>
      <c r="L129" t="s">
        <v>154</v>
      </c>
      <c r="M129" t="s">
        <v>12</v>
      </c>
      <c r="N129" s="2">
        <v>0</v>
      </c>
      <c r="O129" s="2">
        <v>40</v>
      </c>
      <c r="P129" s="2">
        <v>10167</v>
      </c>
      <c r="Q129" s="2">
        <v>10207</v>
      </c>
      <c r="R129" s="2">
        <v>0</v>
      </c>
      <c r="S129" s="2">
        <v>5083.5</v>
      </c>
      <c r="T129" s="2">
        <v>5083.5</v>
      </c>
      <c r="U129" s="2">
        <v>5123.5</v>
      </c>
      <c r="V129" s="2">
        <v>5123.5</v>
      </c>
      <c r="W129" s="2">
        <v>5123.5</v>
      </c>
    </row>
    <row r="130" spans="1:23" outlineLevel="2" x14ac:dyDescent="0.2">
      <c r="A130" t="s">
        <v>0</v>
      </c>
      <c r="B130" t="s">
        <v>31</v>
      </c>
      <c r="C130" t="s">
        <v>79</v>
      </c>
      <c r="D130" t="s">
        <v>111</v>
      </c>
      <c r="E130" t="s">
        <v>112</v>
      </c>
      <c r="F130" t="s">
        <v>5</v>
      </c>
      <c r="G130" t="s">
        <v>6</v>
      </c>
      <c r="H130" t="s">
        <v>35</v>
      </c>
      <c r="I130" t="s">
        <v>36</v>
      </c>
      <c r="J130" t="s">
        <v>9</v>
      </c>
      <c r="K130" t="s">
        <v>151</v>
      </c>
      <c r="L130" t="s">
        <v>155</v>
      </c>
      <c r="M130" t="s">
        <v>12</v>
      </c>
      <c r="N130" s="2">
        <v>0</v>
      </c>
      <c r="O130" s="2">
        <v>0</v>
      </c>
      <c r="P130" s="2">
        <v>1134.8599999999999</v>
      </c>
      <c r="Q130" s="2">
        <v>1134.8599999999999</v>
      </c>
      <c r="R130" s="2">
        <v>0</v>
      </c>
      <c r="S130" s="2">
        <v>567.42999999999995</v>
      </c>
      <c r="T130" s="2">
        <v>567.42999999999995</v>
      </c>
      <c r="U130" s="2">
        <v>567.42999999999995</v>
      </c>
      <c r="V130" s="2">
        <v>567.42999999999995</v>
      </c>
      <c r="W130" s="2">
        <v>567.42999999999995</v>
      </c>
    </row>
    <row r="131" spans="1:23" outlineLevel="2" x14ac:dyDescent="0.2">
      <c r="A131" t="s">
        <v>0</v>
      </c>
      <c r="B131" t="s">
        <v>31</v>
      </c>
      <c r="C131" t="s">
        <v>79</v>
      </c>
      <c r="D131" t="s">
        <v>113</v>
      </c>
      <c r="E131" t="s">
        <v>114</v>
      </c>
      <c r="F131" t="s">
        <v>5</v>
      </c>
      <c r="G131" t="s">
        <v>6</v>
      </c>
      <c r="H131" t="s">
        <v>35</v>
      </c>
      <c r="I131" t="s">
        <v>36</v>
      </c>
      <c r="J131" t="s">
        <v>9</v>
      </c>
      <c r="K131" t="s">
        <v>151</v>
      </c>
      <c r="L131" t="s">
        <v>155</v>
      </c>
      <c r="M131" t="s">
        <v>12</v>
      </c>
      <c r="N131" s="2">
        <v>0</v>
      </c>
      <c r="O131" s="2">
        <v>0</v>
      </c>
      <c r="P131" s="2">
        <v>5409.62</v>
      </c>
      <c r="Q131" s="2">
        <v>5409.62</v>
      </c>
      <c r="R131" s="2">
        <v>0</v>
      </c>
      <c r="S131" s="2">
        <v>2704.81</v>
      </c>
      <c r="T131" s="2">
        <v>2704.81</v>
      </c>
      <c r="U131" s="2">
        <v>2704.81</v>
      </c>
      <c r="V131" s="2">
        <v>2704.81</v>
      </c>
      <c r="W131" s="2">
        <v>2704.81</v>
      </c>
    </row>
    <row r="132" spans="1:23" outlineLevel="2" x14ac:dyDescent="0.2">
      <c r="A132" t="s">
        <v>0</v>
      </c>
      <c r="B132" t="s">
        <v>39</v>
      </c>
      <c r="C132" t="s">
        <v>58</v>
      </c>
      <c r="D132" t="s">
        <v>147</v>
      </c>
      <c r="E132" t="s">
        <v>148</v>
      </c>
      <c r="F132" t="s">
        <v>5</v>
      </c>
      <c r="G132" t="s">
        <v>6</v>
      </c>
      <c r="H132" t="s">
        <v>35</v>
      </c>
      <c r="I132" t="s">
        <v>36</v>
      </c>
      <c r="J132" t="s">
        <v>9</v>
      </c>
      <c r="K132" t="s">
        <v>151</v>
      </c>
      <c r="L132" t="s">
        <v>154</v>
      </c>
      <c r="M132" t="s">
        <v>12</v>
      </c>
      <c r="N132" s="2">
        <v>0</v>
      </c>
      <c r="O132" s="2">
        <v>150</v>
      </c>
      <c r="P132" s="2">
        <v>27902.68</v>
      </c>
      <c r="Q132" s="2">
        <v>28052.68</v>
      </c>
      <c r="R132" s="2">
        <v>0</v>
      </c>
      <c r="S132" s="2">
        <v>13969.41</v>
      </c>
      <c r="T132" s="2">
        <v>13969.41</v>
      </c>
      <c r="U132" s="2">
        <v>14083.27</v>
      </c>
      <c r="V132" s="2">
        <v>14083.27</v>
      </c>
      <c r="W132" s="2">
        <v>14083.27</v>
      </c>
    </row>
    <row r="133" spans="1:23" outlineLevel="2" x14ac:dyDescent="0.2">
      <c r="A133" t="s">
        <v>0</v>
      </c>
      <c r="B133" t="s">
        <v>39</v>
      </c>
      <c r="C133" t="s">
        <v>58</v>
      </c>
      <c r="D133" t="s">
        <v>143</v>
      </c>
      <c r="E133" t="s">
        <v>144</v>
      </c>
      <c r="F133" t="s">
        <v>5</v>
      </c>
      <c r="G133" t="s">
        <v>6</v>
      </c>
      <c r="H133" t="s">
        <v>35</v>
      </c>
      <c r="I133" t="s">
        <v>36</v>
      </c>
      <c r="J133" t="s">
        <v>9</v>
      </c>
      <c r="K133" t="s">
        <v>151</v>
      </c>
      <c r="L133" t="s">
        <v>154</v>
      </c>
      <c r="M133" t="s">
        <v>12</v>
      </c>
      <c r="N133" s="2">
        <v>0</v>
      </c>
      <c r="O133" s="2">
        <v>183</v>
      </c>
      <c r="P133" s="2">
        <v>12315.16</v>
      </c>
      <c r="Q133" s="2">
        <v>12498.16</v>
      </c>
      <c r="R133" s="2">
        <v>0</v>
      </c>
      <c r="S133" s="2">
        <v>6179.88</v>
      </c>
      <c r="T133" s="2">
        <v>6179.88</v>
      </c>
      <c r="U133" s="2">
        <v>6318.28</v>
      </c>
      <c r="V133" s="2">
        <v>6318.28</v>
      </c>
      <c r="W133" s="2">
        <v>6318.28</v>
      </c>
    </row>
    <row r="134" spans="1:23" outlineLevel="2" x14ac:dyDescent="0.2">
      <c r="A134" t="s">
        <v>0</v>
      </c>
      <c r="B134" t="s">
        <v>31</v>
      </c>
      <c r="C134" t="s">
        <v>79</v>
      </c>
      <c r="D134" t="s">
        <v>115</v>
      </c>
      <c r="E134" t="s">
        <v>116</v>
      </c>
      <c r="F134" t="s">
        <v>5</v>
      </c>
      <c r="G134" t="s">
        <v>6</v>
      </c>
      <c r="H134" t="s">
        <v>35</v>
      </c>
      <c r="I134" t="s">
        <v>36</v>
      </c>
      <c r="J134" t="s">
        <v>9</v>
      </c>
      <c r="K134" t="s">
        <v>151</v>
      </c>
      <c r="L134" t="s">
        <v>155</v>
      </c>
      <c r="M134" t="s">
        <v>12</v>
      </c>
      <c r="N134" s="2">
        <v>0</v>
      </c>
      <c r="O134" s="2">
        <v>0</v>
      </c>
      <c r="P134" s="2">
        <v>2269.7199999999998</v>
      </c>
      <c r="Q134" s="2">
        <v>2269.7199999999998</v>
      </c>
      <c r="R134" s="2">
        <v>0</v>
      </c>
      <c r="S134" s="2">
        <v>1134.8599999999999</v>
      </c>
      <c r="T134" s="2">
        <v>1134.8599999999999</v>
      </c>
      <c r="U134" s="2">
        <v>1134.8599999999999</v>
      </c>
      <c r="V134" s="2">
        <v>1134.8599999999999</v>
      </c>
      <c r="W134" s="2">
        <v>1134.8599999999999</v>
      </c>
    </row>
    <row r="135" spans="1:23" outlineLevel="2" x14ac:dyDescent="0.2">
      <c r="A135" t="s">
        <v>0</v>
      </c>
      <c r="B135" t="s">
        <v>31</v>
      </c>
      <c r="C135" t="s">
        <v>32</v>
      </c>
      <c r="D135" t="s">
        <v>75</v>
      </c>
      <c r="E135" t="s">
        <v>76</v>
      </c>
      <c r="F135" t="s">
        <v>5</v>
      </c>
      <c r="G135" t="s">
        <v>6</v>
      </c>
      <c r="H135" t="s">
        <v>35</v>
      </c>
      <c r="I135" t="s">
        <v>36</v>
      </c>
      <c r="J135" t="s">
        <v>9</v>
      </c>
      <c r="K135" t="s">
        <v>151</v>
      </c>
      <c r="L135" t="s">
        <v>162</v>
      </c>
      <c r="M135" t="s">
        <v>12</v>
      </c>
      <c r="N135" s="2">
        <v>0</v>
      </c>
      <c r="O135" s="2">
        <v>0</v>
      </c>
      <c r="P135" s="2">
        <v>29966.27</v>
      </c>
      <c r="Q135" s="2">
        <v>29966.27</v>
      </c>
      <c r="R135" s="2">
        <v>0</v>
      </c>
      <c r="S135" s="2">
        <v>13566.25</v>
      </c>
      <c r="T135" s="2">
        <v>13566.25</v>
      </c>
      <c r="U135" s="2">
        <v>16400.02</v>
      </c>
      <c r="V135" s="2">
        <v>16400.02</v>
      </c>
      <c r="W135" s="2">
        <v>16400.02</v>
      </c>
    </row>
    <row r="136" spans="1:23" outlineLevel="2" x14ac:dyDescent="0.2">
      <c r="A136" t="s">
        <v>0</v>
      </c>
      <c r="B136" t="s">
        <v>31</v>
      </c>
      <c r="C136" t="s">
        <v>32</v>
      </c>
      <c r="D136" t="s">
        <v>33</v>
      </c>
      <c r="E136" t="s">
        <v>34</v>
      </c>
      <c r="F136" t="s">
        <v>5</v>
      </c>
      <c r="G136" t="s">
        <v>6</v>
      </c>
      <c r="H136" t="s">
        <v>35</v>
      </c>
      <c r="I136" t="s">
        <v>36</v>
      </c>
      <c r="J136" t="s">
        <v>9</v>
      </c>
      <c r="K136" t="s">
        <v>151</v>
      </c>
      <c r="L136" t="s">
        <v>162</v>
      </c>
      <c r="M136" t="s">
        <v>15</v>
      </c>
      <c r="N136" s="2">
        <v>158226.23999999999</v>
      </c>
      <c r="O136" s="2">
        <v>10174.959999999999</v>
      </c>
      <c r="P136" s="2">
        <v>-29085.24</v>
      </c>
      <c r="Q136" s="2">
        <v>139315.96</v>
      </c>
      <c r="R136" s="2">
        <v>0</v>
      </c>
      <c r="S136" s="2">
        <v>139315.96</v>
      </c>
      <c r="T136" s="2">
        <v>139315.96</v>
      </c>
      <c r="U136" s="2">
        <v>0</v>
      </c>
      <c r="V136" s="2">
        <v>0</v>
      </c>
      <c r="W136" s="2">
        <v>0</v>
      </c>
    </row>
    <row r="137" spans="1:23" outlineLevel="2" x14ac:dyDescent="0.2">
      <c r="A137" t="s">
        <v>0</v>
      </c>
      <c r="B137" t="s">
        <v>39</v>
      </c>
      <c r="C137" t="s">
        <v>70</v>
      </c>
      <c r="D137" t="s">
        <v>89</v>
      </c>
      <c r="E137" t="s">
        <v>90</v>
      </c>
      <c r="F137" t="s">
        <v>5</v>
      </c>
      <c r="G137" t="s">
        <v>6</v>
      </c>
      <c r="H137" t="s">
        <v>35</v>
      </c>
      <c r="I137" t="s">
        <v>36</v>
      </c>
      <c r="J137" t="s">
        <v>9</v>
      </c>
      <c r="K137" t="s">
        <v>151</v>
      </c>
      <c r="L137" t="s">
        <v>159</v>
      </c>
      <c r="M137" t="s">
        <v>12</v>
      </c>
      <c r="N137" s="2">
        <v>0</v>
      </c>
      <c r="O137" s="2">
        <v>50</v>
      </c>
      <c r="P137" s="2">
        <v>6209.32</v>
      </c>
      <c r="Q137" s="2">
        <v>6259.32</v>
      </c>
      <c r="R137" s="2">
        <v>0</v>
      </c>
      <c r="S137" s="2">
        <v>3104.66</v>
      </c>
      <c r="T137" s="2">
        <v>3104.66</v>
      </c>
      <c r="U137" s="2">
        <v>3154.66</v>
      </c>
      <c r="V137" s="2">
        <v>3154.66</v>
      </c>
      <c r="W137" s="2">
        <v>3154.66</v>
      </c>
    </row>
    <row r="138" spans="1:23" outlineLevel="2" x14ac:dyDescent="0.2">
      <c r="A138" t="s">
        <v>0</v>
      </c>
      <c r="B138" t="s">
        <v>39</v>
      </c>
      <c r="C138" t="s">
        <v>58</v>
      </c>
      <c r="D138" t="s">
        <v>139</v>
      </c>
      <c r="E138" t="s">
        <v>140</v>
      </c>
      <c r="F138" t="s">
        <v>5</v>
      </c>
      <c r="G138" t="s">
        <v>6</v>
      </c>
      <c r="H138" t="s">
        <v>35</v>
      </c>
      <c r="I138" t="s">
        <v>36</v>
      </c>
      <c r="J138" t="s">
        <v>9</v>
      </c>
      <c r="K138" t="s">
        <v>151</v>
      </c>
      <c r="L138" t="s">
        <v>154</v>
      </c>
      <c r="M138" t="s">
        <v>12</v>
      </c>
      <c r="N138" s="2">
        <v>0</v>
      </c>
      <c r="O138" s="2">
        <v>0</v>
      </c>
      <c r="P138" s="2">
        <v>20007.060000000001</v>
      </c>
      <c r="Q138" s="2">
        <v>20007.060000000001</v>
      </c>
      <c r="R138" s="2">
        <v>0</v>
      </c>
      <c r="S138" s="2">
        <v>9415.33</v>
      </c>
      <c r="T138" s="2">
        <v>9415.33</v>
      </c>
      <c r="U138" s="2">
        <v>10591.73</v>
      </c>
      <c r="V138" s="2">
        <v>10591.73</v>
      </c>
      <c r="W138" s="2">
        <v>10591.73</v>
      </c>
    </row>
    <row r="139" spans="1:23" outlineLevel="2" x14ac:dyDescent="0.2">
      <c r="A139" t="s">
        <v>0</v>
      </c>
      <c r="B139" t="s">
        <v>31</v>
      </c>
      <c r="C139" t="s">
        <v>79</v>
      </c>
      <c r="D139" t="s">
        <v>113</v>
      </c>
      <c r="E139" t="s">
        <v>114</v>
      </c>
      <c r="F139" t="s">
        <v>5</v>
      </c>
      <c r="G139" t="s">
        <v>6</v>
      </c>
      <c r="H139" t="s">
        <v>35</v>
      </c>
      <c r="I139" t="s">
        <v>36</v>
      </c>
      <c r="J139" t="s">
        <v>9</v>
      </c>
      <c r="K139" t="s">
        <v>151</v>
      </c>
      <c r="L139" t="s">
        <v>155</v>
      </c>
      <c r="M139" t="s">
        <v>15</v>
      </c>
      <c r="N139" s="2">
        <v>32457.72</v>
      </c>
      <c r="O139" s="2">
        <v>0</v>
      </c>
      <c r="P139" s="2">
        <v>-5409.62</v>
      </c>
      <c r="Q139" s="2">
        <v>27048.1</v>
      </c>
      <c r="R139" s="2">
        <v>0</v>
      </c>
      <c r="S139" s="2">
        <v>27048.1</v>
      </c>
      <c r="T139" s="2">
        <v>27048.1</v>
      </c>
      <c r="U139" s="2">
        <v>0</v>
      </c>
      <c r="V139" s="2">
        <v>0</v>
      </c>
      <c r="W139" s="2">
        <v>0</v>
      </c>
    </row>
    <row r="140" spans="1:23" outlineLevel="2" x14ac:dyDescent="0.2">
      <c r="A140" t="s">
        <v>0</v>
      </c>
      <c r="B140" t="s">
        <v>31</v>
      </c>
      <c r="C140" t="s">
        <v>79</v>
      </c>
      <c r="D140" t="s">
        <v>125</v>
      </c>
      <c r="E140" t="s">
        <v>126</v>
      </c>
      <c r="F140" t="s">
        <v>5</v>
      </c>
      <c r="G140" t="s">
        <v>6</v>
      </c>
      <c r="H140" t="s">
        <v>35</v>
      </c>
      <c r="I140" t="s">
        <v>36</v>
      </c>
      <c r="J140" t="s">
        <v>9</v>
      </c>
      <c r="K140" t="s">
        <v>151</v>
      </c>
      <c r="L140" t="s">
        <v>155</v>
      </c>
      <c r="M140" t="s">
        <v>12</v>
      </c>
      <c r="N140" s="2">
        <v>0</v>
      </c>
      <c r="O140" s="2">
        <v>20</v>
      </c>
      <c r="P140" s="2">
        <v>3706.6</v>
      </c>
      <c r="Q140" s="2">
        <v>3726.6</v>
      </c>
      <c r="R140" s="2">
        <v>0</v>
      </c>
      <c r="S140" s="2">
        <v>1853.3</v>
      </c>
      <c r="T140" s="2">
        <v>1853.3</v>
      </c>
      <c r="U140" s="2">
        <v>1873.3</v>
      </c>
      <c r="V140" s="2">
        <v>1873.3</v>
      </c>
      <c r="W140" s="2">
        <v>1873.3</v>
      </c>
    </row>
    <row r="141" spans="1:23" outlineLevel="2" x14ac:dyDescent="0.2">
      <c r="A141" t="s">
        <v>0</v>
      </c>
      <c r="B141" t="s">
        <v>31</v>
      </c>
      <c r="C141" t="s">
        <v>32</v>
      </c>
      <c r="D141" t="s">
        <v>123</v>
      </c>
      <c r="E141" t="s">
        <v>124</v>
      </c>
      <c r="F141" t="s">
        <v>5</v>
      </c>
      <c r="G141" t="s">
        <v>6</v>
      </c>
      <c r="H141" t="s">
        <v>35</v>
      </c>
      <c r="I141" t="s">
        <v>36</v>
      </c>
      <c r="J141" t="s">
        <v>9</v>
      </c>
      <c r="K141" t="s">
        <v>151</v>
      </c>
      <c r="L141" t="s">
        <v>162</v>
      </c>
      <c r="M141" t="s">
        <v>12</v>
      </c>
      <c r="N141" s="2">
        <v>0</v>
      </c>
      <c r="O141" s="2">
        <v>0</v>
      </c>
      <c r="P141" s="2">
        <v>24320.91</v>
      </c>
      <c r="Q141" s="2">
        <v>24320.91</v>
      </c>
      <c r="R141" s="2">
        <v>0</v>
      </c>
      <c r="S141" s="2">
        <v>8678.39</v>
      </c>
      <c r="T141" s="2">
        <v>8678.39</v>
      </c>
      <c r="U141" s="2">
        <v>15642.52</v>
      </c>
      <c r="V141" s="2">
        <v>15642.52</v>
      </c>
      <c r="W141" s="2">
        <v>15642.52</v>
      </c>
    </row>
    <row r="142" spans="1:23" outlineLevel="2" x14ac:dyDescent="0.2">
      <c r="A142" t="s">
        <v>0</v>
      </c>
      <c r="B142" t="s">
        <v>39</v>
      </c>
      <c r="C142" t="s">
        <v>58</v>
      </c>
      <c r="D142" t="s">
        <v>145</v>
      </c>
      <c r="E142" t="s">
        <v>146</v>
      </c>
      <c r="F142" t="s">
        <v>5</v>
      </c>
      <c r="G142" t="s">
        <v>6</v>
      </c>
      <c r="H142" t="s">
        <v>35</v>
      </c>
      <c r="I142" t="s">
        <v>36</v>
      </c>
      <c r="J142" t="s">
        <v>9</v>
      </c>
      <c r="K142" t="s">
        <v>151</v>
      </c>
      <c r="L142" t="s">
        <v>154</v>
      </c>
      <c r="M142" t="s">
        <v>12</v>
      </c>
      <c r="N142" s="2">
        <v>0</v>
      </c>
      <c r="O142" s="2">
        <v>0</v>
      </c>
      <c r="P142" s="2">
        <v>14147.81</v>
      </c>
      <c r="Q142" s="2">
        <v>14147.81</v>
      </c>
      <c r="R142" s="2">
        <v>0</v>
      </c>
      <c r="S142" s="2">
        <v>6384.27</v>
      </c>
      <c r="T142" s="2">
        <v>6384.27</v>
      </c>
      <c r="U142" s="2">
        <v>7763.54</v>
      </c>
      <c r="V142" s="2">
        <v>7763.54</v>
      </c>
      <c r="W142" s="2">
        <v>7763.54</v>
      </c>
    </row>
    <row r="143" spans="1:23" outlineLevel="2" x14ac:dyDescent="0.2">
      <c r="A143" t="s">
        <v>0</v>
      </c>
      <c r="B143" t="s">
        <v>31</v>
      </c>
      <c r="C143" t="s">
        <v>32</v>
      </c>
      <c r="D143" t="s">
        <v>75</v>
      </c>
      <c r="E143" t="s">
        <v>76</v>
      </c>
      <c r="F143" t="s">
        <v>5</v>
      </c>
      <c r="G143" t="s">
        <v>6</v>
      </c>
      <c r="H143" t="s">
        <v>35</v>
      </c>
      <c r="I143" t="s">
        <v>36</v>
      </c>
      <c r="J143" t="s">
        <v>9</v>
      </c>
      <c r="K143" t="s">
        <v>151</v>
      </c>
      <c r="L143" t="s">
        <v>162</v>
      </c>
      <c r="M143" t="s">
        <v>15</v>
      </c>
      <c r="N143" s="2">
        <v>151835.4</v>
      </c>
      <c r="O143" s="2">
        <v>15274.64</v>
      </c>
      <c r="P143" s="2">
        <v>-29966.27</v>
      </c>
      <c r="Q143" s="2">
        <v>137143.76999999999</v>
      </c>
      <c r="R143" s="2">
        <v>0</v>
      </c>
      <c r="S143" s="2">
        <v>137143.76999999999</v>
      </c>
      <c r="T143" s="2">
        <v>137143.76999999999</v>
      </c>
      <c r="U143" s="2">
        <v>0</v>
      </c>
      <c r="V143" s="2">
        <v>0</v>
      </c>
      <c r="W143" s="2">
        <v>0</v>
      </c>
    </row>
    <row r="144" spans="1:23" outlineLevel="2" x14ac:dyDescent="0.2">
      <c r="A144" t="s">
        <v>0</v>
      </c>
      <c r="B144" t="s">
        <v>31</v>
      </c>
      <c r="C144" t="s">
        <v>79</v>
      </c>
      <c r="D144" t="s">
        <v>127</v>
      </c>
      <c r="E144" t="s">
        <v>128</v>
      </c>
      <c r="F144" t="s">
        <v>5</v>
      </c>
      <c r="G144" t="s">
        <v>6</v>
      </c>
      <c r="H144" t="s">
        <v>35</v>
      </c>
      <c r="I144" t="s">
        <v>36</v>
      </c>
      <c r="J144" t="s">
        <v>9</v>
      </c>
      <c r="K144" t="s">
        <v>151</v>
      </c>
      <c r="L144" t="s">
        <v>155</v>
      </c>
      <c r="M144" t="s">
        <v>15</v>
      </c>
      <c r="N144" s="2">
        <v>34477.199999999997</v>
      </c>
      <c r="O144" s="2">
        <v>0</v>
      </c>
      <c r="P144" s="2">
        <v>-5746.2</v>
      </c>
      <c r="Q144" s="2">
        <v>28731</v>
      </c>
      <c r="R144" s="2">
        <v>0</v>
      </c>
      <c r="S144" s="2">
        <v>28731</v>
      </c>
      <c r="T144" s="2">
        <v>28731</v>
      </c>
      <c r="U144" s="2">
        <v>0</v>
      </c>
      <c r="V144" s="2">
        <v>0</v>
      </c>
      <c r="W144" s="2">
        <v>0</v>
      </c>
    </row>
    <row r="145" spans="1:23" outlineLevel="2" x14ac:dyDescent="0.2">
      <c r="A145" t="s">
        <v>0</v>
      </c>
      <c r="B145" t="s">
        <v>31</v>
      </c>
      <c r="C145" t="s">
        <v>79</v>
      </c>
      <c r="D145" t="s">
        <v>133</v>
      </c>
      <c r="E145" t="s">
        <v>134</v>
      </c>
      <c r="F145" t="s">
        <v>5</v>
      </c>
      <c r="G145" t="s">
        <v>6</v>
      </c>
      <c r="H145" t="s">
        <v>35</v>
      </c>
      <c r="I145" t="s">
        <v>36</v>
      </c>
      <c r="J145" t="s">
        <v>9</v>
      </c>
      <c r="K145" t="s">
        <v>151</v>
      </c>
      <c r="L145" t="s">
        <v>155</v>
      </c>
      <c r="M145" t="s">
        <v>12</v>
      </c>
      <c r="N145" s="2">
        <v>0</v>
      </c>
      <c r="O145" s="2">
        <v>20</v>
      </c>
      <c r="P145" s="2">
        <v>9743.32</v>
      </c>
      <c r="Q145" s="2">
        <v>9763.32</v>
      </c>
      <c r="R145" s="2">
        <v>0</v>
      </c>
      <c r="S145" s="2">
        <v>4871.66</v>
      </c>
      <c r="T145" s="2">
        <v>4871.66</v>
      </c>
      <c r="U145" s="2">
        <v>4891.66</v>
      </c>
      <c r="V145" s="2">
        <v>4891.66</v>
      </c>
      <c r="W145" s="2">
        <v>4891.66</v>
      </c>
    </row>
    <row r="146" spans="1:23" outlineLevel="2" x14ac:dyDescent="0.2">
      <c r="A146" t="s">
        <v>0</v>
      </c>
      <c r="B146" t="s">
        <v>53</v>
      </c>
      <c r="C146" t="s">
        <v>85</v>
      </c>
      <c r="D146" t="s">
        <v>86</v>
      </c>
      <c r="E146" t="s">
        <v>87</v>
      </c>
      <c r="F146" t="s">
        <v>5</v>
      </c>
      <c r="G146" t="s">
        <v>6</v>
      </c>
      <c r="H146" t="s">
        <v>35</v>
      </c>
      <c r="I146" t="s">
        <v>36</v>
      </c>
      <c r="J146" t="s">
        <v>9</v>
      </c>
      <c r="K146" t="s">
        <v>151</v>
      </c>
      <c r="L146" t="s">
        <v>165</v>
      </c>
      <c r="M146" t="s">
        <v>15</v>
      </c>
      <c r="N146" s="2">
        <v>15016.08</v>
      </c>
      <c r="O146" s="2">
        <v>-15016.08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</row>
    <row r="147" spans="1:23" outlineLevel="2" x14ac:dyDescent="0.2">
      <c r="A147" t="s">
        <v>0</v>
      </c>
      <c r="B147" t="s">
        <v>39</v>
      </c>
      <c r="C147" t="s">
        <v>40</v>
      </c>
      <c r="D147" t="s">
        <v>77</v>
      </c>
      <c r="E147" t="s">
        <v>78</v>
      </c>
      <c r="F147" t="s">
        <v>5</v>
      </c>
      <c r="G147" t="s">
        <v>6</v>
      </c>
      <c r="H147" t="s">
        <v>35</v>
      </c>
      <c r="I147" t="s">
        <v>36</v>
      </c>
      <c r="J147" t="s">
        <v>9</v>
      </c>
      <c r="K147" t="s">
        <v>151</v>
      </c>
      <c r="L147" t="s">
        <v>152</v>
      </c>
      <c r="M147" t="s">
        <v>12</v>
      </c>
      <c r="N147" s="2">
        <v>0</v>
      </c>
      <c r="O147" s="2">
        <v>0</v>
      </c>
      <c r="P147" s="2">
        <v>2419.3200000000002</v>
      </c>
      <c r="Q147" s="2">
        <v>2419.3200000000002</v>
      </c>
      <c r="R147" s="2">
        <v>0</v>
      </c>
      <c r="S147" s="2">
        <v>1209.6600000000001</v>
      </c>
      <c r="T147" s="2">
        <v>1209.6600000000001</v>
      </c>
      <c r="U147" s="2">
        <v>1209.6600000000001</v>
      </c>
      <c r="V147" s="2">
        <v>1209.6600000000001</v>
      </c>
      <c r="W147" s="2">
        <v>1209.6600000000001</v>
      </c>
    </row>
    <row r="148" spans="1:23" outlineLevel="2" x14ac:dyDescent="0.2">
      <c r="A148" t="s">
        <v>0</v>
      </c>
      <c r="B148" t="s">
        <v>53</v>
      </c>
      <c r="C148" t="s">
        <v>54</v>
      </c>
      <c r="D148" t="s">
        <v>55</v>
      </c>
      <c r="E148" t="s">
        <v>56</v>
      </c>
      <c r="F148" t="s">
        <v>5</v>
      </c>
      <c r="G148" t="s">
        <v>6</v>
      </c>
      <c r="H148" t="s">
        <v>35</v>
      </c>
      <c r="I148" t="s">
        <v>36</v>
      </c>
      <c r="J148" t="s">
        <v>9</v>
      </c>
      <c r="K148" t="s">
        <v>151</v>
      </c>
      <c r="L148" t="s">
        <v>166</v>
      </c>
      <c r="M148" t="s">
        <v>12</v>
      </c>
      <c r="N148" s="2">
        <v>0</v>
      </c>
      <c r="O148" s="2">
        <v>0</v>
      </c>
      <c r="P148" s="2">
        <v>34576.86</v>
      </c>
      <c r="Q148" s="2">
        <v>34576.86</v>
      </c>
      <c r="R148" s="2">
        <v>0</v>
      </c>
      <c r="S148" s="2">
        <v>16533.7</v>
      </c>
      <c r="T148" s="2">
        <v>16533.7</v>
      </c>
      <c r="U148" s="2">
        <v>18043.16</v>
      </c>
      <c r="V148" s="2">
        <v>18043.16</v>
      </c>
      <c r="W148" s="2">
        <v>18043.16</v>
      </c>
    </row>
    <row r="149" spans="1:23" outlineLevel="2" x14ac:dyDescent="0.2">
      <c r="A149" t="s">
        <v>0</v>
      </c>
      <c r="B149" t="s">
        <v>39</v>
      </c>
      <c r="C149" t="s">
        <v>95</v>
      </c>
      <c r="D149" t="s">
        <v>96</v>
      </c>
      <c r="E149" t="s">
        <v>97</v>
      </c>
      <c r="F149" t="s">
        <v>5</v>
      </c>
      <c r="G149" t="s">
        <v>6</v>
      </c>
      <c r="H149" t="s">
        <v>35</v>
      </c>
      <c r="I149" t="s">
        <v>36</v>
      </c>
      <c r="J149" t="s">
        <v>9</v>
      </c>
      <c r="K149" t="s">
        <v>151</v>
      </c>
      <c r="L149" t="s">
        <v>158</v>
      </c>
      <c r="M149" t="s">
        <v>15</v>
      </c>
      <c r="N149" s="2">
        <v>28381.200000000001</v>
      </c>
      <c r="O149" s="2">
        <v>0</v>
      </c>
      <c r="P149" s="2">
        <v>-11068.9</v>
      </c>
      <c r="Q149" s="2">
        <v>17312.3</v>
      </c>
      <c r="R149" s="2">
        <v>0</v>
      </c>
      <c r="S149" s="2">
        <v>17312.3</v>
      </c>
      <c r="T149" s="2">
        <v>17312.3</v>
      </c>
      <c r="U149" s="2">
        <v>0</v>
      </c>
      <c r="V149" s="2">
        <v>0</v>
      </c>
      <c r="W149" s="2">
        <v>0</v>
      </c>
    </row>
    <row r="150" spans="1:23" outlineLevel="2" x14ac:dyDescent="0.2">
      <c r="A150" t="s">
        <v>0</v>
      </c>
      <c r="B150" t="s">
        <v>1</v>
      </c>
      <c r="C150" t="s">
        <v>16</v>
      </c>
      <c r="D150" t="s">
        <v>103</v>
      </c>
      <c r="E150" t="s">
        <v>104</v>
      </c>
      <c r="F150" t="s">
        <v>5</v>
      </c>
      <c r="G150" t="s">
        <v>6</v>
      </c>
      <c r="H150" t="s">
        <v>35</v>
      </c>
      <c r="I150" t="s">
        <v>36</v>
      </c>
      <c r="J150" t="s">
        <v>9</v>
      </c>
      <c r="K150" t="s">
        <v>151</v>
      </c>
      <c r="L150" t="s">
        <v>153</v>
      </c>
      <c r="M150" t="s">
        <v>15</v>
      </c>
      <c r="N150" s="2">
        <v>102586.32</v>
      </c>
      <c r="O150" s="2">
        <v>-2436.52</v>
      </c>
      <c r="P150" s="2">
        <v>-40206.51</v>
      </c>
      <c r="Q150" s="2">
        <v>59943.29</v>
      </c>
      <c r="R150" s="2">
        <v>0</v>
      </c>
      <c r="S150" s="2">
        <v>59943.29</v>
      </c>
      <c r="T150" s="2">
        <v>59943.29</v>
      </c>
      <c r="U150" s="2">
        <v>0</v>
      </c>
      <c r="V150" s="2">
        <v>0</v>
      </c>
      <c r="W150" s="2">
        <v>0</v>
      </c>
    </row>
    <row r="151" spans="1:23" outlineLevel="2" x14ac:dyDescent="0.2">
      <c r="A151" t="s">
        <v>0</v>
      </c>
      <c r="B151" t="s">
        <v>39</v>
      </c>
      <c r="C151" t="s">
        <v>58</v>
      </c>
      <c r="D151" t="s">
        <v>135</v>
      </c>
      <c r="E151" t="s">
        <v>136</v>
      </c>
      <c r="F151" t="s">
        <v>5</v>
      </c>
      <c r="G151" t="s">
        <v>6</v>
      </c>
      <c r="H151" t="s">
        <v>35</v>
      </c>
      <c r="I151" t="s">
        <v>36</v>
      </c>
      <c r="J151" t="s">
        <v>9</v>
      </c>
      <c r="K151" t="s">
        <v>151</v>
      </c>
      <c r="L151" t="s">
        <v>154</v>
      </c>
      <c r="M151" t="s">
        <v>15</v>
      </c>
      <c r="N151" s="2">
        <v>94303.2</v>
      </c>
      <c r="O151" s="2">
        <v>0</v>
      </c>
      <c r="P151" s="2">
        <v>-24989.03</v>
      </c>
      <c r="Q151" s="2">
        <v>69314.17</v>
      </c>
      <c r="R151" s="2">
        <v>0</v>
      </c>
      <c r="S151" s="2">
        <v>69314.17</v>
      </c>
      <c r="T151" s="2">
        <v>69314.17</v>
      </c>
      <c r="U151" s="2">
        <v>0</v>
      </c>
      <c r="V151" s="2">
        <v>0</v>
      </c>
      <c r="W151" s="2">
        <v>0</v>
      </c>
    </row>
    <row r="152" spans="1:23" outlineLevel="2" x14ac:dyDescent="0.2">
      <c r="A152" t="s">
        <v>0</v>
      </c>
      <c r="B152" t="s">
        <v>1</v>
      </c>
      <c r="C152" t="s">
        <v>16</v>
      </c>
      <c r="D152" t="s">
        <v>62</v>
      </c>
      <c r="E152" t="s">
        <v>63</v>
      </c>
      <c r="F152" t="s">
        <v>5</v>
      </c>
      <c r="G152" t="s">
        <v>6</v>
      </c>
      <c r="H152" t="s">
        <v>35</v>
      </c>
      <c r="I152" t="s">
        <v>36</v>
      </c>
      <c r="J152" t="s">
        <v>9</v>
      </c>
      <c r="K152" t="s">
        <v>151</v>
      </c>
      <c r="L152" t="s">
        <v>153</v>
      </c>
      <c r="M152" t="s">
        <v>15</v>
      </c>
      <c r="N152" s="2">
        <v>7566.36</v>
      </c>
      <c r="O152" s="2">
        <v>0</v>
      </c>
      <c r="P152" s="2">
        <v>-1261.06</v>
      </c>
      <c r="Q152" s="2">
        <v>6305.3</v>
      </c>
      <c r="R152" s="2">
        <v>0</v>
      </c>
      <c r="S152" s="2">
        <v>6305.3</v>
      </c>
      <c r="T152" s="2">
        <v>6305.3</v>
      </c>
      <c r="U152" s="2">
        <v>0</v>
      </c>
      <c r="V152" s="2">
        <v>0</v>
      </c>
      <c r="W152" s="2">
        <v>0</v>
      </c>
    </row>
    <row r="153" spans="1:23" outlineLevel="2" x14ac:dyDescent="0.2">
      <c r="A153" t="s">
        <v>0</v>
      </c>
      <c r="B153" t="s">
        <v>1</v>
      </c>
      <c r="C153" t="s">
        <v>16</v>
      </c>
      <c r="D153" t="s">
        <v>17</v>
      </c>
      <c r="E153" t="s">
        <v>18</v>
      </c>
      <c r="F153" t="s">
        <v>5</v>
      </c>
      <c r="G153" t="s">
        <v>6</v>
      </c>
      <c r="H153" t="s">
        <v>35</v>
      </c>
      <c r="I153" t="s">
        <v>36</v>
      </c>
      <c r="J153" t="s">
        <v>9</v>
      </c>
      <c r="K153" t="s">
        <v>151</v>
      </c>
      <c r="L153" t="s">
        <v>153</v>
      </c>
      <c r="M153" t="s">
        <v>15</v>
      </c>
      <c r="N153" s="2">
        <v>169828.8</v>
      </c>
      <c r="O153" s="2">
        <v>0</v>
      </c>
      <c r="P153" s="2">
        <v>-57194.3</v>
      </c>
      <c r="Q153" s="2">
        <v>112634.5</v>
      </c>
      <c r="R153" s="2">
        <v>0</v>
      </c>
      <c r="S153" s="2">
        <v>112634.5</v>
      </c>
      <c r="T153" s="2">
        <v>112634.5</v>
      </c>
      <c r="U153" s="2">
        <v>0</v>
      </c>
      <c r="V153" s="2">
        <v>0</v>
      </c>
      <c r="W153" s="2">
        <v>0</v>
      </c>
    </row>
    <row r="154" spans="1:23" outlineLevel="2" x14ac:dyDescent="0.2">
      <c r="A154" t="s">
        <v>0</v>
      </c>
      <c r="B154" t="s">
        <v>1</v>
      </c>
      <c r="C154" t="s">
        <v>99</v>
      </c>
      <c r="D154" t="s">
        <v>100</v>
      </c>
      <c r="E154" t="s">
        <v>101</v>
      </c>
      <c r="F154" t="s">
        <v>5</v>
      </c>
      <c r="G154" t="s">
        <v>6</v>
      </c>
      <c r="H154" t="s">
        <v>35</v>
      </c>
      <c r="I154" t="s">
        <v>36</v>
      </c>
      <c r="J154" t="s">
        <v>9</v>
      </c>
      <c r="K154" t="s">
        <v>151</v>
      </c>
      <c r="L154" t="s">
        <v>160</v>
      </c>
      <c r="M154" t="s">
        <v>15</v>
      </c>
      <c r="N154" s="2">
        <v>67482.12</v>
      </c>
      <c r="O154" s="2">
        <v>0</v>
      </c>
      <c r="P154" s="2">
        <v>-17351.32</v>
      </c>
      <c r="Q154" s="2">
        <v>50130.8</v>
      </c>
      <c r="R154" s="2">
        <v>0</v>
      </c>
      <c r="S154" s="2">
        <v>50130.8</v>
      </c>
      <c r="T154" s="2">
        <v>50130.8</v>
      </c>
      <c r="U154" s="2">
        <v>0</v>
      </c>
      <c r="V154" s="2">
        <v>0</v>
      </c>
      <c r="W154" s="2">
        <v>0</v>
      </c>
    </row>
    <row r="155" spans="1:23" outlineLevel="2" x14ac:dyDescent="0.2">
      <c r="A155" t="s">
        <v>0</v>
      </c>
      <c r="B155" t="s">
        <v>39</v>
      </c>
      <c r="C155" t="s">
        <v>58</v>
      </c>
      <c r="D155" t="s">
        <v>137</v>
      </c>
      <c r="E155" t="s">
        <v>138</v>
      </c>
      <c r="F155" t="s">
        <v>5</v>
      </c>
      <c r="G155" t="s">
        <v>6</v>
      </c>
      <c r="H155" t="s">
        <v>35</v>
      </c>
      <c r="I155" t="s">
        <v>36</v>
      </c>
      <c r="J155" t="s">
        <v>9</v>
      </c>
      <c r="K155" t="s">
        <v>151</v>
      </c>
      <c r="L155" t="s">
        <v>154</v>
      </c>
      <c r="M155" t="s">
        <v>15</v>
      </c>
      <c r="N155" s="2">
        <v>177309.12</v>
      </c>
      <c r="O155" s="2">
        <v>0</v>
      </c>
      <c r="P155" s="2">
        <v>-51347.01</v>
      </c>
      <c r="Q155" s="2">
        <v>125962.11</v>
      </c>
      <c r="R155" s="2">
        <v>0</v>
      </c>
      <c r="S155" s="2">
        <v>125962.11</v>
      </c>
      <c r="T155" s="2">
        <v>125962.11</v>
      </c>
      <c r="U155" s="2">
        <v>0</v>
      </c>
      <c r="V155" s="2">
        <v>0</v>
      </c>
      <c r="W155" s="2">
        <v>0</v>
      </c>
    </row>
    <row r="156" spans="1:23" outlineLevel="2" x14ac:dyDescent="0.2">
      <c r="A156" t="s">
        <v>0</v>
      </c>
      <c r="B156" t="s">
        <v>39</v>
      </c>
      <c r="C156" t="s">
        <v>58</v>
      </c>
      <c r="D156" t="s">
        <v>147</v>
      </c>
      <c r="E156" t="s">
        <v>148</v>
      </c>
      <c r="F156" t="s">
        <v>5</v>
      </c>
      <c r="G156" t="s">
        <v>6</v>
      </c>
      <c r="H156" t="s">
        <v>35</v>
      </c>
      <c r="I156" t="s">
        <v>36</v>
      </c>
      <c r="J156" t="s">
        <v>9</v>
      </c>
      <c r="K156" t="s">
        <v>151</v>
      </c>
      <c r="L156" t="s">
        <v>154</v>
      </c>
      <c r="M156" t="s">
        <v>15</v>
      </c>
      <c r="N156" s="2">
        <v>174833.64</v>
      </c>
      <c r="O156" s="2">
        <v>0</v>
      </c>
      <c r="P156" s="2">
        <v>-35320.239999999998</v>
      </c>
      <c r="Q156" s="2">
        <v>139513.4</v>
      </c>
      <c r="R156" s="2">
        <v>0</v>
      </c>
      <c r="S156" s="2">
        <v>139513.4</v>
      </c>
      <c r="T156" s="2">
        <v>139513.4</v>
      </c>
      <c r="U156" s="2">
        <v>0</v>
      </c>
      <c r="V156" s="2">
        <v>0</v>
      </c>
      <c r="W156" s="2">
        <v>0</v>
      </c>
    </row>
    <row r="157" spans="1:23" outlineLevel="2" x14ac:dyDescent="0.2">
      <c r="A157" t="s">
        <v>0</v>
      </c>
      <c r="B157" t="s">
        <v>1</v>
      </c>
      <c r="C157" t="s">
        <v>91</v>
      </c>
      <c r="D157" t="s">
        <v>92</v>
      </c>
      <c r="E157" t="s">
        <v>93</v>
      </c>
      <c r="F157" t="s">
        <v>5</v>
      </c>
      <c r="G157" t="s">
        <v>6</v>
      </c>
      <c r="H157" t="s">
        <v>35</v>
      </c>
      <c r="I157" t="s">
        <v>36</v>
      </c>
      <c r="J157" t="s">
        <v>9</v>
      </c>
      <c r="K157" t="s">
        <v>151</v>
      </c>
      <c r="L157" t="s">
        <v>163</v>
      </c>
      <c r="M157" t="s">
        <v>15</v>
      </c>
      <c r="N157" s="2">
        <v>36946.32</v>
      </c>
      <c r="O157" s="2">
        <v>0</v>
      </c>
      <c r="P157" s="2">
        <v>-6157.72</v>
      </c>
      <c r="Q157" s="2">
        <v>30788.6</v>
      </c>
      <c r="R157" s="2">
        <v>0</v>
      </c>
      <c r="S157" s="2">
        <v>30788.6</v>
      </c>
      <c r="T157" s="2">
        <v>30788.6</v>
      </c>
      <c r="U157" s="2">
        <v>0</v>
      </c>
      <c r="V157" s="2">
        <v>0</v>
      </c>
      <c r="W157" s="2">
        <v>0</v>
      </c>
    </row>
    <row r="158" spans="1:23" outlineLevel="2" x14ac:dyDescent="0.2">
      <c r="A158" t="s">
        <v>0</v>
      </c>
      <c r="B158" t="s">
        <v>39</v>
      </c>
      <c r="C158" t="s">
        <v>40</v>
      </c>
      <c r="D158" t="s">
        <v>41</v>
      </c>
      <c r="E158" t="s">
        <v>42</v>
      </c>
      <c r="F158" t="s">
        <v>5</v>
      </c>
      <c r="G158" t="s">
        <v>6</v>
      </c>
      <c r="H158" t="s">
        <v>35</v>
      </c>
      <c r="I158" t="s">
        <v>36</v>
      </c>
      <c r="J158" t="s">
        <v>9</v>
      </c>
      <c r="K158" t="s">
        <v>151</v>
      </c>
      <c r="L158" t="s">
        <v>152</v>
      </c>
      <c r="M158" t="s">
        <v>15</v>
      </c>
      <c r="N158" s="2">
        <v>51510.12</v>
      </c>
      <c r="O158" s="2">
        <v>0</v>
      </c>
      <c r="P158" s="2">
        <v>-14190.94</v>
      </c>
      <c r="Q158" s="2">
        <v>37319.18</v>
      </c>
      <c r="R158" s="2">
        <v>0</v>
      </c>
      <c r="S158" s="2">
        <v>37319.18</v>
      </c>
      <c r="T158" s="2">
        <v>37319.18</v>
      </c>
      <c r="U158" s="2">
        <v>0</v>
      </c>
      <c r="V158" s="2">
        <v>0</v>
      </c>
      <c r="W158" s="2">
        <v>0</v>
      </c>
    </row>
    <row r="159" spans="1:23" outlineLevel="2" x14ac:dyDescent="0.2">
      <c r="A159" t="s">
        <v>0</v>
      </c>
      <c r="B159" t="s">
        <v>39</v>
      </c>
      <c r="C159" t="s">
        <v>58</v>
      </c>
      <c r="D159" t="s">
        <v>145</v>
      </c>
      <c r="E159" t="s">
        <v>146</v>
      </c>
      <c r="F159" t="s">
        <v>5</v>
      </c>
      <c r="G159" t="s">
        <v>6</v>
      </c>
      <c r="H159" t="s">
        <v>35</v>
      </c>
      <c r="I159" t="s">
        <v>36</v>
      </c>
      <c r="J159" t="s">
        <v>9</v>
      </c>
      <c r="K159" t="s">
        <v>151</v>
      </c>
      <c r="L159" t="s">
        <v>154</v>
      </c>
      <c r="M159" t="s">
        <v>15</v>
      </c>
      <c r="N159" s="2">
        <v>84454.8</v>
      </c>
      <c r="O159" s="2">
        <v>0</v>
      </c>
      <c r="P159" s="2">
        <v>-18629.84</v>
      </c>
      <c r="Q159" s="2">
        <v>65824.960000000006</v>
      </c>
      <c r="R159" s="2">
        <v>0</v>
      </c>
      <c r="S159" s="2">
        <v>65824.960000000006</v>
      </c>
      <c r="T159" s="2">
        <v>65824.960000000006</v>
      </c>
      <c r="U159" s="2">
        <v>0</v>
      </c>
      <c r="V159" s="2">
        <v>0</v>
      </c>
      <c r="W159" s="2">
        <v>0</v>
      </c>
    </row>
    <row r="160" spans="1:23" outlineLevel="2" x14ac:dyDescent="0.2">
      <c r="A160" t="s">
        <v>0</v>
      </c>
      <c r="B160" t="s">
        <v>39</v>
      </c>
      <c r="C160" t="s">
        <v>66</v>
      </c>
      <c r="D160" t="s">
        <v>121</v>
      </c>
      <c r="E160" t="s">
        <v>122</v>
      </c>
      <c r="F160" t="s">
        <v>5</v>
      </c>
      <c r="G160" t="s">
        <v>6</v>
      </c>
      <c r="H160" t="s">
        <v>35</v>
      </c>
      <c r="I160" t="s">
        <v>36</v>
      </c>
      <c r="J160" t="s">
        <v>9</v>
      </c>
      <c r="K160" t="s">
        <v>151</v>
      </c>
      <c r="L160" t="s">
        <v>164</v>
      </c>
      <c r="M160" t="s">
        <v>15</v>
      </c>
      <c r="N160" s="2">
        <v>7232.52</v>
      </c>
      <c r="O160" s="2">
        <v>0</v>
      </c>
      <c r="P160" s="2">
        <v>-1205.42</v>
      </c>
      <c r="Q160" s="2">
        <v>6027.1</v>
      </c>
      <c r="R160" s="2">
        <v>0</v>
      </c>
      <c r="S160" s="2">
        <v>6027.1</v>
      </c>
      <c r="T160" s="2">
        <v>6027.1</v>
      </c>
      <c r="U160" s="2">
        <v>0</v>
      </c>
      <c r="V160" s="2">
        <v>0</v>
      </c>
      <c r="W160" s="2">
        <v>0</v>
      </c>
    </row>
    <row r="161" spans="1:23" outlineLevel="2" x14ac:dyDescent="0.2">
      <c r="A161" t="s">
        <v>0</v>
      </c>
      <c r="B161" t="s">
        <v>39</v>
      </c>
      <c r="C161" t="s">
        <v>58</v>
      </c>
      <c r="D161" t="s">
        <v>149</v>
      </c>
      <c r="E161" t="s">
        <v>150</v>
      </c>
      <c r="F161" t="s">
        <v>5</v>
      </c>
      <c r="G161" t="s">
        <v>6</v>
      </c>
      <c r="H161" t="s">
        <v>35</v>
      </c>
      <c r="I161" t="s">
        <v>36</v>
      </c>
      <c r="J161" t="s">
        <v>9</v>
      </c>
      <c r="K161" t="s">
        <v>151</v>
      </c>
      <c r="L161" t="s">
        <v>154</v>
      </c>
      <c r="M161" t="s">
        <v>15</v>
      </c>
      <c r="N161" s="2">
        <v>382757.04</v>
      </c>
      <c r="O161" s="2">
        <v>0</v>
      </c>
      <c r="P161" s="2">
        <v>-67185.8</v>
      </c>
      <c r="Q161" s="2">
        <v>315571.24</v>
      </c>
      <c r="R161" s="2">
        <v>0</v>
      </c>
      <c r="S161" s="2">
        <v>315571.24</v>
      </c>
      <c r="T161" s="2">
        <v>315571.24</v>
      </c>
      <c r="U161" s="2">
        <v>0</v>
      </c>
      <c r="V161" s="2">
        <v>0</v>
      </c>
      <c r="W161" s="2">
        <v>0</v>
      </c>
    </row>
    <row r="162" spans="1:23" outlineLevel="2" x14ac:dyDescent="0.2">
      <c r="A162" t="s">
        <v>0</v>
      </c>
      <c r="B162" t="s">
        <v>1</v>
      </c>
      <c r="C162" t="s">
        <v>44</v>
      </c>
      <c r="D162" t="s">
        <v>45</v>
      </c>
      <c r="E162" t="s">
        <v>46</v>
      </c>
      <c r="F162" t="s">
        <v>5</v>
      </c>
      <c r="G162" t="s">
        <v>6</v>
      </c>
      <c r="H162" t="s">
        <v>35</v>
      </c>
      <c r="I162" t="s">
        <v>36</v>
      </c>
      <c r="J162" t="s">
        <v>9</v>
      </c>
      <c r="K162" t="s">
        <v>151</v>
      </c>
      <c r="L162" t="s">
        <v>157</v>
      </c>
      <c r="M162" t="s">
        <v>15</v>
      </c>
      <c r="N162" s="2">
        <v>22068.36</v>
      </c>
      <c r="O162" s="2">
        <v>0</v>
      </c>
      <c r="P162" s="2">
        <v>-6753.52</v>
      </c>
      <c r="Q162" s="2">
        <v>15314.84</v>
      </c>
      <c r="R162" s="2">
        <v>0</v>
      </c>
      <c r="S162" s="2">
        <v>15314.84</v>
      </c>
      <c r="T162" s="2">
        <v>15314.84</v>
      </c>
      <c r="U162" s="2">
        <v>0</v>
      </c>
      <c r="V162" s="2">
        <v>0</v>
      </c>
      <c r="W162" s="2">
        <v>0</v>
      </c>
    </row>
    <row r="163" spans="1:23" outlineLevel="2" x14ac:dyDescent="0.2">
      <c r="A163" t="s">
        <v>0</v>
      </c>
      <c r="B163" t="s">
        <v>39</v>
      </c>
      <c r="C163" t="s">
        <v>58</v>
      </c>
      <c r="D163" t="s">
        <v>139</v>
      </c>
      <c r="E163" t="s">
        <v>140</v>
      </c>
      <c r="F163" t="s">
        <v>5</v>
      </c>
      <c r="G163" t="s">
        <v>6</v>
      </c>
      <c r="H163" t="s">
        <v>35</v>
      </c>
      <c r="I163" t="s">
        <v>36</v>
      </c>
      <c r="J163" t="s">
        <v>9</v>
      </c>
      <c r="K163" t="s">
        <v>151</v>
      </c>
      <c r="L163" t="s">
        <v>154</v>
      </c>
      <c r="M163" t="s">
        <v>15</v>
      </c>
      <c r="N163" s="2">
        <v>127767.24</v>
      </c>
      <c r="O163" s="2">
        <v>0</v>
      </c>
      <c r="P163" s="2">
        <v>-27731.94</v>
      </c>
      <c r="Q163" s="2">
        <v>100035.3</v>
      </c>
      <c r="R163" s="2">
        <v>0</v>
      </c>
      <c r="S163" s="2">
        <v>100035.3</v>
      </c>
      <c r="T163" s="2">
        <v>100035.3</v>
      </c>
      <c r="U163" s="2">
        <v>0</v>
      </c>
      <c r="V163" s="2">
        <v>0</v>
      </c>
      <c r="W163" s="2">
        <v>0</v>
      </c>
    </row>
    <row r="164" spans="1:23" outlineLevel="2" x14ac:dyDescent="0.2">
      <c r="A164" t="s">
        <v>0</v>
      </c>
      <c r="B164" t="s">
        <v>39</v>
      </c>
      <c r="C164" t="s">
        <v>40</v>
      </c>
      <c r="D164" t="s">
        <v>77</v>
      </c>
      <c r="E164" t="s">
        <v>78</v>
      </c>
      <c r="F164" t="s">
        <v>5</v>
      </c>
      <c r="G164" t="s">
        <v>6</v>
      </c>
      <c r="H164" t="s">
        <v>35</v>
      </c>
      <c r="I164" t="s">
        <v>36</v>
      </c>
      <c r="J164" t="s">
        <v>9</v>
      </c>
      <c r="K164" t="s">
        <v>151</v>
      </c>
      <c r="L164" t="s">
        <v>152</v>
      </c>
      <c r="M164" t="s">
        <v>15</v>
      </c>
      <c r="N164" s="2">
        <v>14515.92</v>
      </c>
      <c r="O164" s="2">
        <v>0</v>
      </c>
      <c r="P164" s="2">
        <v>-2419.3200000000002</v>
      </c>
      <c r="Q164" s="2">
        <v>12096.6</v>
      </c>
      <c r="R164" s="2">
        <v>0</v>
      </c>
      <c r="S164" s="2">
        <v>12096.6</v>
      </c>
      <c r="T164" s="2">
        <v>12096.6</v>
      </c>
      <c r="U164" s="2">
        <v>0</v>
      </c>
      <c r="V164" s="2">
        <v>0</v>
      </c>
      <c r="W164" s="2">
        <v>0</v>
      </c>
    </row>
    <row r="165" spans="1:23" outlineLevel="2" x14ac:dyDescent="0.2">
      <c r="A165" t="s">
        <v>0</v>
      </c>
      <c r="B165" t="s">
        <v>31</v>
      </c>
      <c r="C165" t="s">
        <v>79</v>
      </c>
      <c r="D165" t="s">
        <v>80</v>
      </c>
      <c r="E165" t="s">
        <v>81</v>
      </c>
      <c r="F165" t="s">
        <v>5</v>
      </c>
      <c r="G165" t="s">
        <v>6</v>
      </c>
      <c r="H165" t="s">
        <v>35</v>
      </c>
      <c r="I165" t="s">
        <v>36</v>
      </c>
      <c r="J165" t="s">
        <v>9</v>
      </c>
      <c r="K165" t="s">
        <v>151</v>
      </c>
      <c r="L165" t="s">
        <v>155</v>
      </c>
      <c r="M165" t="s">
        <v>12</v>
      </c>
      <c r="N165" s="2">
        <v>0</v>
      </c>
      <c r="O165" s="2">
        <v>20</v>
      </c>
      <c r="P165" s="2">
        <v>2791.2</v>
      </c>
      <c r="Q165" s="2">
        <v>2811.2</v>
      </c>
      <c r="R165" s="2">
        <v>0</v>
      </c>
      <c r="S165" s="2">
        <v>1395.6</v>
      </c>
      <c r="T165" s="2">
        <v>1395.6</v>
      </c>
      <c r="U165" s="2">
        <v>1415.6</v>
      </c>
      <c r="V165" s="2">
        <v>1415.6</v>
      </c>
      <c r="W165" s="2">
        <v>1415.6</v>
      </c>
    </row>
    <row r="166" spans="1:23" outlineLevel="2" x14ac:dyDescent="0.2">
      <c r="A166" t="s">
        <v>0</v>
      </c>
      <c r="B166" t="s">
        <v>39</v>
      </c>
      <c r="C166" t="s">
        <v>58</v>
      </c>
      <c r="D166" t="s">
        <v>59</v>
      </c>
      <c r="E166" t="s">
        <v>60</v>
      </c>
      <c r="F166" t="s">
        <v>5</v>
      </c>
      <c r="G166" t="s">
        <v>6</v>
      </c>
      <c r="H166" t="s">
        <v>35</v>
      </c>
      <c r="I166" t="s">
        <v>36</v>
      </c>
      <c r="J166" t="s">
        <v>9</v>
      </c>
      <c r="K166" t="s">
        <v>151</v>
      </c>
      <c r="L166" t="s">
        <v>154</v>
      </c>
      <c r="M166" t="s">
        <v>15</v>
      </c>
      <c r="N166" s="2">
        <v>61002</v>
      </c>
      <c r="O166" s="2">
        <v>0</v>
      </c>
      <c r="P166" s="2">
        <v>-10167</v>
      </c>
      <c r="Q166" s="2">
        <v>50835</v>
      </c>
      <c r="R166" s="2">
        <v>0</v>
      </c>
      <c r="S166" s="2">
        <v>50835</v>
      </c>
      <c r="T166" s="2">
        <v>50835</v>
      </c>
      <c r="U166" s="2">
        <v>0</v>
      </c>
      <c r="V166" s="2">
        <v>0</v>
      </c>
      <c r="W166" s="2">
        <v>0</v>
      </c>
    </row>
    <row r="167" spans="1:23" outlineLevel="2" x14ac:dyDescent="0.2">
      <c r="A167" t="s">
        <v>0</v>
      </c>
      <c r="B167" t="s">
        <v>39</v>
      </c>
      <c r="C167" t="s">
        <v>58</v>
      </c>
      <c r="D167" t="s">
        <v>143</v>
      </c>
      <c r="E167" t="s">
        <v>144</v>
      </c>
      <c r="F167" t="s">
        <v>5</v>
      </c>
      <c r="G167" t="s">
        <v>6</v>
      </c>
      <c r="H167" t="s">
        <v>35</v>
      </c>
      <c r="I167" t="s">
        <v>36</v>
      </c>
      <c r="J167" t="s">
        <v>9</v>
      </c>
      <c r="K167" t="s">
        <v>151</v>
      </c>
      <c r="L167" t="s">
        <v>154</v>
      </c>
      <c r="M167" t="s">
        <v>15</v>
      </c>
      <c r="N167" s="2">
        <v>81483.72</v>
      </c>
      <c r="O167" s="2">
        <v>0</v>
      </c>
      <c r="P167" s="2">
        <v>-19640.32</v>
      </c>
      <c r="Q167" s="2">
        <v>61843.4</v>
      </c>
      <c r="R167" s="2">
        <v>0</v>
      </c>
      <c r="S167" s="2">
        <v>61843.4</v>
      </c>
      <c r="T167" s="2">
        <v>61843.4</v>
      </c>
      <c r="U167" s="2">
        <v>0</v>
      </c>
      <c r="V167" s="2">
        <v>0</v>
      </c>
      <c r="W167" s="2">
        <v>0</v>
      </c>
    </row>
    <row r="168" spans="1:23" outlineLevel="2" x14ac:dyDescent="0.2">
      <c r="A168" t="s">
        <v>0</v>
      </c>
      <c r="B168" t="s">
        <v>31</v>
      </c>
      <c r="C168" t="s">
        <v>79</v>
      </c>
      <c r="D168" t="s">
        <v>83</v>
      </c>
      <c r="E168" t="s">
        <v>84</v>
      </c>
      <c r="F168" t="s">
        <v>5</v>
      </c>
      <c r="G168" t="s">
        <v>6</v>
      </c>
      <c r="H168" t="s">
        <v>35</v>
      </c>
      <c r="I168" t="s">
        <v>36</v>
      </c>
      <c r="J168" t="s">
        <v>9</v>
      </c>
      <c r="K168" t="s">
        <v>151</v>
      </c>
      <c r="L168" t="s">
        <v>155</v>
      </c>
      <c r="M168" t="s">
        <v>12</v>
      </c>
      <c r="N168" s="2">
        <v>0</v>
      </c>
      <c r="O168" s="2">
        <v>0</v>
      </c>
      <c r="P168" s="2">
        <v>38241.64</v>
      </c>
      <c r="Q168" s="2">
        <v>38241.64</v>
      </c>
      <c r="R168" s="2">
        <v>0</v>
      </c>
      <c r="S168" s="2">
        <v>16180.51</v>
      </c>
      <c r="T168" s="2">
        <v>16180.51</v>
      </c>
      <c r="U168" s="2">
        <v>22061.13</v>
      </c>
      <c r="V168" s="2">
        <v>22061.13</v>
      </c>
      <c r="W168" s="2">
        <v>22061.13</v>
      </c>
    </row>
    <row r="169" spans="1:23" outlineLevel="2" x14ac:dyDescent="0.2">
      <c r="A169" t="s">
        <v>0</v>
      </c>
      <c r="B169" t="s">
        <v>31</v>
      </c>
      <c r="C169" t="s">
        <v>79</v>
      </c>
      <c r="D169" t="s">
        <v>117</v>
      </c>
      <c r="E169" t="s">
        <v>118</v>
      </c>
      <c r="F169" t="s">
        <v>5</v>
      </c>
      <c r="G169" t="s">
        <v>6</v>
      </c>
      <c r="H169" t="s">
        <v>35</v>
      </c>
      <c r="I169" t="s">
        <v>36</v>
      </c>
      <c r="J169" t="s">
        <v>9</v>
      </c>
      <c r="K169" t="s">
        <v>151</v>
      </c>
      <c r="L169" t="s">
        <v>155</v>
      </c>
      <c r="M169" t="s">
        <v>12</v>
      </c>
      <c r="N169" s="2">
        <v>0</v>
      </c>
      <c r="O169" s="2">
        <v>0</v>
      </c>
      <c r="P169" s="2">
        <v>17931.349999999999</v>
      </c>
      <c r="Q169" s="2">
        <v>17931.349999999999</v>
      </c>
      <c r="R169" s="2">
        <v>0</v>
      </c>
      <c r="S169" s="2">
        <v>7486.8</v>
      </c>
      <c r="T169" s="2">
        <v>7486.8</v>
      </c>
      <c r="U169" s="2">
        <v>10444.549999999999</v>
      </c>
      <c r="V169" s="2">
        <v>10444.549999999999</v>
      </c>
      <c r="W169" s="2">
        <v>10444.549999999999</v>
      </c>
    </row>
    <row r="170" spans="1:23" outlineLevel="2" x14ac:dyDescent="0.2">
      <c r="A170" t="s">
        <v>0</v>
      </c>
      <c r="B170" t="s">
        <v>53</v>
      </c>
      <c r="C170" t="s">
        <v>54</v>
      </c>
      <c r="D170" t="s">
        <v>55</v>
      </c>
      <c r="E170" t="s">
        <v>56</v>
      </c>
      <c r="F170" t="s">
        <v>5</v>
      </c>
      <c r="G170" t="s">
        <v>6</v>
      </c>
      <c r="H170" t="s">
        <v>35</v>
      </c>
      <c r="I170" t="s">
        <v>36</v>
      </c>
      <c r="J170" t="s">
        <v>9</v>
      </c>
      <c r="K170" t="s">
        <v>151</v>
      </c>
      <c r="L170" t="s">
        <v>166</v>
      </c>
      <c r="M170" t="s">
        <v>15</v>
      </c>
      <c r="N170" s="2">
        <v>254801.88</v>
      </c>
      <c r="O170" s="2">
        <v>-43382.68</v>
      </c>
      <c r="P170" s="2">
        <v>-34576.86</v>
      </c>
      <c r="Q170" s="2">
        <v>176842.34</v>
      </c>
      <c r="R170" s="2">
        <v>0</v>
      </c>
      <c r="S170" s="2">
        <v>176842.34</v>
      </c>
      <c r="T170" s="2">
        <v>176842.34</v>
      </c>
      <c r="U170" s="2">
        <v>0</v>
      </c>
      <c r="V170" s="2">
        <v>0</v>
      </c>
      <c r="W170" s="2">
        <v>0</v>
      </c>
    </row>
    <row r="171" spans="1:23" outlineLevel="2" x14ac:dyDescent="0.2">
      <c r="A171" t="s">
        <v>0</v>
      </c>
      <c r="B171" t="s">
        <v>39</v>
      </c>
      <c r="C171" t="s">
        <v>70</v>
      </c>
      <c r="D171" t="s">
        <v>71</v>
      </c>
      <c r="E171" t="s">
        <v>72</v>
      </c>
      <c r="F171" t="s">
        <v>5</v>
      </c>
      <c r="G171" t="s">
        <v>6</v>
      </c>
      <c r="H171" t="s">
        <v>35</v>
      </c>
      <c r="I171" t="s">
        <v>36</v>
      </c>
      <c r="J171" t="s">
        <v>9</v>
      </c>
      <c r="K171" t="s">
        <v>151</v>
      </c>
      <c r="L171" t="s">
        <v>159</v>
      </c>
      <c r="M171" t="s">
        <v>15</v>
      </c>
      <c r="N171" s="2">
        <v>121074.48</v>
      </c>
      <c r="O171" s="2">
        <v>0</v>
      </c>
      <c r="P171" s="2">
        <v>-20100.77</v>
      </c>
      <c r="Q171" s="2">
        <v>100973.71</v>
      </c>
      <c r="R171" s="2">
        <v>0</v>
      </c>
      <c r="S171" s="2">
        <v>100973.71</v>
      </c>
      <c r="T171" s="2">
        <v>100973.71</v>
      </c>
      <c r="U171" s="2">
        <v>0</v>
      </c>
      <c r="V171" s="2">
        <v>0</v>
      </c>
      <c r="W171" s="2">
        <v>0</v>
      </c>
    </row>
    <row r="172" spans="1:23" outlineLevel="2" x14ac:dyDescent="0.2">
      <c r="A172" t="s">
        <v>0</v>
      </c>
      <c r="B172" t="s">
        <v>31</v>
      </c>
      <c r="C172" t="s">
        <v>79</v>
      </c>
      <c r="D172" t="s">
        <v>131</v>
      </c>
      <c r="E172" t="s">
        <v>132</v>
      </c>
      <c r="F172" t="s">
        <v>5</v>
      </c>
      <c r="G172" t="s">
        <v>6</v>
      </c>
      <c r="H172" t="s">
        <v>35</v>
      </c>
      <c r="I172" t="s">
        <v>36</v>
      </c>
      <c r="J172" t="s">
        <v>9</v>
      </c>
      <c r="K172" t="s">
        <v>151</v>
      </c>
      <c r="L172" t="s">
        <v>155</v>
      </c>
      <c r="M172" t="s">
        <v>12</v>
      </c>
      <c r="N172" s="2">
        <v>0</v>
      </c>
      <c r="O172" s="2">
        <v>30</v>
      </c>
      <c r="P172" s="2">
        <v>4917.1000000000004</v>
      </c>
      <c r="Q172" s="2">
        <v>4947.1000000000004</v>
      </c>
      <c r="R172" s="2">
        <v>0</v>
      </c>
      <c r="S172" s="2">
        <v>2458.5500000000002</v>
      </c>
      <c r="T172" s="2">
        <v>2458.5500000000002</v>
      </c>
      <c r="U172" s="2">
        <v>2488.5500000000002</v>
      </c>
      <c r="V172" s="2">
        <v>2488.5500000000002</v>
      </c>
      <c r="W172" s="2">
        <v>2488.5500000000002</v>
      </c>
    </row>
    <row r="173" spans="1:23" outlineLevel="2" x14ac:dyDescent="0.2">
      <c r="A173" t="s">
        <v>0</v>
      </c>
      <c r="B173" t="s">
        <v>31</v>
      </c>
      <c r="C173" t="s">
        <v>79</v>
      </c>
      <c r="D173" t="s">
        <v>131</v>
      </c>
      <c r="E173" t="s">
        <v>132</v>
      </c>
      <c r="F173" t="s">
        <v>5</v>
      </c>
      <c r="G173" t="s">
        <v>6</v>
      </c>
      <c r="H173" t="s">
        <v>35</v>
      </c>
      <c r="I173" t="s">
        <v>36</v>
      </c>
      <c r="J173" t="s">
        <v>9</v>
      </c>
      <c r="K173" t="s">
        <v>151</v>
      </c>
      <c r="L173" t="s">
        <v>155</v>
      </c>
      <c r="M173" t="s">
        <v>15</v>
      </c>
      <c r="N173" s="2">
        <v>29502.6</v>
      </c>
      <c r="O173" s="2">
        <v>0</v>
      </c>
      <c r="P173" s="2">
        <v>-4917.1000000000004</v>
      </c>
      <c r="Q173" s="2">
        <v>24585.5</v>
      </c>
      <c r="R173" s="2">
        <v>0</v>
      </c>
      <c r="S173" s="2">
        <v>24585.5</v>
      </c>
      <c r="T173" s="2">
        <v>24585.5</v>
      </c>
      <c r="U173" s="2">
        <v>0</v>
      </c>
      <c r="V173" s="2">
        <v>0</v>
      </c>
      <c r="W173" s="2">
        <v>0</v>
      </c>
    </row>
    <row r="174" spans="1:23" outlineLevel="2" x14ac:dyDescent="0.2">
      <c r="A174" t="s">
        <v>0</v>
      </c>
      <c r="B174" t="s">
        <v>31</v>
      </c>
      <c r="C174" t="s">
        <v>79</v>
      </c>
      <c r="D174" t="s">
        <v>127</v>
      </c>
      <c r="E174" t="s">
        <v>128</v>
      </c>
      <c r="F174" t="s">
        <v>5</v>
      </c>
      <c r="G174" t="s">
        <v>6</v>
      </c>
      <c r="H174" t="s">
        <v>35</v>
      </c>
      <c r="I174" t="s">
        <v>36</v>
      </c>
      <c r="J174" t="s">
        <v>9</v>
      </c>
      <c r="K174" t="s">
        <v>151</v>
      </c>
      <c r="L174" t="s">
        <v>155</v>
      </c>
      <c r="M174" t="s">
        <v>12</v>
      </c>
      <c r="N174" s="2">
        <v>0</v>
      </c>
      <c r="O174" s="2">
        <v>0</v>
      </c>
      <c r="P174" s="2">
        <v>5746.2</v>
      </c>
      <c r="Q174" s="2">
        <v>5746.2</v>
      </c>
      <c r="R174" s="2">
        <v>0</v>
      </c>
      <c r="S174" s="2">
        <v>2044.93</v>
      </c>
      <c r="T174" s="2">
        <v>2044.93</v>
      </c>
      <c r="U174" s="2">
        <v>3701.27</v>
      </c>
      <c r="V174" s="2">
        <v>3701.27</v>
      </c>
      <c r="W174" s="2">
        <v>3701.27</v>
      </c>
    </row>
    <row r="175" spans="1:23" outlineLevel="2" x14ac:dyDescent="0.2">
      <c r="A175" t="s">
        <v>0</v>
      </c>
      <c r="B175" t="s">
        <v>31</v>
      </c>
      <c r="C175" t="s">
        <v>79</v>
      </c>
      <c r="D175" t="s">
        <v>83</v>
      </c>
      <c r="E175" t="s">
        <v>84</v>
      </c>
      <c r="F175" t="s">
        <v>5</v>
      </c>
      <c r="G175" t="s">
        <v>6</v>
      </c>
      <c r="H175" t="s">
        <v>35</v>
      </c>
      <c r="I175" t="s">
        <v>36</v>
      </c>
      <c r="J175" t="s">
        <v>9</v>
      </c>
      <c r="K175" t="s">
        <v>151</v>
      </c>
      <c r="L175" t="s">
        <v>155</v>
      </c>
      <c r="M175" t="s">
        <v>15</v>
      </c>
      <c r="N175" s="2">
        <v>216840.24</v>
      </c>
      <c r="O175" s="2">
        <v>0</v>
      </c>
      <c r="P175" s="2">
        <v>-46802.27</v>
      </c>
      <c r="Q175" s="2">
        <v>170037.97</v>
      </c>
      <c r="R175" s="2">
        <v>0</v>
      </c>
      <c r="S175" s="2">
        <v>170037.97</v>
      </c>
      <c r="T175" s="2">
        <v>170037.97</v>
      </c>
      <c r="U175" s="2">
        <v>0</v>
      </c>
      <c r="V175" s="2">
        <v>0</v>
      </c>
      <c r="W175" s="2">
        <v>0</v>
      </c>
    </row>
    <row r="176" spans="1:23" outlineLevel="2" x14ac:dyDescent="0.2">
      <c r="A176" t="s">
        <v>0</v>
      </c>
      <c r="B176" t="s">
        <v>31</v>
      </c>
      <c r="C176" t="s">
        <v>79</v>
      </c>
      <c r="D176" t="s">
        <v>133</v>
      </c>
      <c r="E176" t="s">
        <v>134</v>
      </c>
      <c r="F176" t="s">
        <v>5</v>
      </c>
      <c r="G176" t="s">
        <v>6</v>
      </c>
      <c r="H176" t="s">
        <v>35</v>
      </c>
      <c r="I176" t="s">
        <v>36</v>
      </c>
      <c r="J176" t="s">
        <v>9</v>
      </c>
      <c r="K176" t="s">
        <v>151</v>
      </c>
      <c r="L176" t="s">
        <v>155</v>
      </c>
      <c r="M176" t="s">
        <v>15</v>
      </c>
      <c r="N176" s="2">
        <v>58459.92</v>
      </c>
      <c r="O176" s="2">
        <v>0</v>
      </c>
      <c r="P176" s="2">
        <v>-9743.32</v>
      </c>
      <c r="Q176" s="2">
        <v>48716.6</v>
      </c>
      <c r="R176" s="2">
        <v>0</v>
      </c>
      <c r="S176" s="2">
        <v>48716.6</v>
      </c>
      <c r="T176" s="2">
        <v>48716.6</v>
      </c>
      <c r="U176" s="2">
        <v>0</v>
      </c>
      <c r="V176" s="2">
        <v>0</v>
      </c>
      <c r="W176" s="2">
        <v>0</v>
      </c>
    </row>
    <row r="177" spans="1:23" outlineLevel="2" x14ac:dyDescent="0.2">
      <c r="A177" t="s">
        <v>0</v>
      </c>
      <c r="B177" t="s">
        <v>1</v>
      </c>
      <c r="C177" t="s">
        <v>2</v>
      </c>
      <c r="D177" t="s">
        <v>20</v>
      </c>
      <c r="E177" t="s">
        <v>21</v>
      </c>
      <c r="F177" t="s">
        <v>5</v>
      </c>
      <c r="G177" t="s">
        <v>6</v>
      </c>
      <c r="H177" t="s">
        <v>35</v>
      </c>
      <c r="I177" t="s">
        <v>36</v>
      </c>
      <c r="J177" t="s">
        <v>9</v>
      </c>
      <c r="K177" t="s">
        <v>151</v>
      </c>
      <c r="L177" t="s">
        <v>161</v>
      </c>
      <c r="M177" t="s">
        <v>15</v>
      </c>
      <c r="N177" s="2">
        <v>762350.88</v>
      </c>
      <c r="O177" s="2">
        <v>2436.52</v>
      </c>
      <c r="P177" s="2">
        <v>-111139.67</v>
      </c>
      <c r="Q177" s="2">
        <v>653647.73</v>
      </c>
      <c r="R177" s="2">
        <v>0</v>
      </c>
      <c r="S177" s="2">
        <v>653647.73</v>
      </c>
      <c r="T177" s="2">
        <v>653647.73</v>
      </c>
      <c r="U177" s="2">
        <v>0</v>
      </c>
      <c r="V177" s="2">
        <v>0</v>
      </c>
      <c r="W177" s="2">
        <v>0</v>
      </c>
    </row>
    <row r="178" spans="1:23" outlineLevel="2" x14ac:dyDescent="0.2">
      <c r="A178" t="s">
        <v>0</v>
      </c>
      <c r="B178" t="s">
        <v>31</v>
      </c>
      <c r="C178" t="s">
        <v>32</v>
      </c>
      <c r="D178" t="s">
        <v>141</v>
      </c>
      <c r="E178" t="s">
        <v>142</v>
      </c>
      <c r="F178" t="s">
        <v>5</v>
      </c>
      <c r="G178" t="s">
        <v>6</v>
      </c>
      <c r="H178" t="s">
        <v>35</v>
      </c>
      <c r="I178" t="s">
        <v>36</v>
      </c>
      <c r="J178" t="s">
        <v>9</v>
      </c>
      <c r="K178" t="s">
        <v>151</v>
      </c>
      <c r="L178" t="s">
        <v>162</v>
      </c>
      <c r="M178" t="s">
        <v>15</v>
      </c>
      <c r="N178" s="2">
        <v>44890.2</v>
      </c>
      <c r="O178" s="2">
        <v>1656.34</v>
      </c>
      <c r="P178" s="2">
        <v>-9089.6</v>
      </c>
      <c r="Q178" s="2">
        <v>37456.94</v>
      </c>
      <c r="R178" s="2">
        <v>0</v>
      </c>
      <c r="S178" s="2">
        <v>37456.94</v>
      </c>
      <c r="T178" s="2">
        <v>37456.94</v>
      </c>
      <c r="U178" s="2">
        <v>0</v>
      </c>
      <c r="V178" s="2">
        <v>0</v>
      </c>
      <c r="W178" s="2">
        <v>0</v>
      </c>
    </row>
    <row r="179" spans="1:23" outlineLevel="2" x14ac:dyDescent="0.2">
      <c r="A179" t="s">
        <v>0</v>
      </c>
      <c r="B179" t="s">
        <v>39</v>
      </c>
      <c r="C179" t="s">
        <v>58</v>
      </c>
      <c r="D179" t="s">
        <v>135</v>
      </c>
      <c r="E179" t="s">
        <v>136</v>
      </c>
      <c r="F179" t="s">
        <v>5</v>
      </c>
      <c r="G179" t="s">
        <v>6</v>
      </c>
      <c r="H179" t="s">
        <v>35</v>
      </c>
      <c r="I179" t="s">
        <v>36</v>
      </c>
      <c r="J179" t="s">
        <v>9</v>
      </c>
      <c r="K179" t="s">
        <v>151</v>
      </c>
      <c r="L179" t="s">
        <v>154</v>
      </c>
      <c r="M179" t="s">
        <v>12</v>
      </c>
      <c r="N179" s="2">
        <v>0</v>
      </c>
      <c r="O179" s="2">
        <v>0</v>
      </c>
      <c r="P179" s="2">
        <v>15520</v>
      </c>
      <c r="Q179" s="2">
        <v>15520</v>
      </c>
      <c r="R179" s="2">
        <v>0</v>
      </c>
      <c r="S179" s="2">
        <v>6603.89</v>
      </c>
      <c r="T179" s="2">
        <v>6603.89</v>
      </c>
      <c r="U179" s="2">
        <v>8916.11</v>
      </c>
      <c r="V179" s="2">
        <v>8916.11</v>
      </c>
      <c r="W179" s="2">
        <v>8916.11</v>
      </c>
    </row>
    <row r="180" spans="1:23" outlineLevel="2" x14ac:dyDescent="0.2">
      <c r="A180" t="s">
        <v>0</v>
      </c>
      <c r="B180" t="s">
        <v>31</v>
      </c>
      <c r="C180" t="s">
        <v>79</v>
      </c>
      <c r="D180" t="s">
        <v>80</v>
      </c>
      <c r="E180" t="s">
        <v>81</v>
      </c>
      <c r="F180" t="s">
        <v>5</v>
      </c>
      <c r="G180" t="s">
        <v>6</v>
      </c>
      <c r="H180" t="s">
        <v>35</v>
      </c>
      <c r="I180" t="s">
        <v>36</v>
      </c>
      <c r="J180" t="s">
        <v>9</v>
      </c>
      <c r="K180" t="s">
        <v>151</v>
      </c>
      <c r="L180" t="s">
        <v>155</v>
      </c>
      <c r="M180" t="s">
        <v>15</v>
      </c>
      <c r="N180" s="2">
        <v>16747.2</v>
      </c>
      <c r="O180" s="2">
        <v>0</v>
      </c>
      <c r="P180" s="2">
        <v>-2791.2</v>
      </c>
      <c r="Q180" s="2">
        <v>13956</v>
      </c>
      <c r="R180" s="2">
        <v>0</v>
      </c>
      <c r="S180" s="2">
        <v>13956</v>
      </c>
      <c r="T180" s="2">
        <v>13956</v>
      </c>
      <c r="U180" s="2">
        <v>0</v>
      </c>
      <c r="V180" s="2">
        <v>0</v>
      </c>
      <c r="W180" s="2">
        <v>0</v>
      </c>
    </row>
    <row r="181" spans="1:23" outlineLevel="2" x14ac:dyDescent="0.2">
      <c r="A181" t="s">
        <v>0</v>
      </c>
      <c r="B181" t="s">
        <v>31</v>
      </c>
      <c r="C181" t="s">
        <v>79</v>
      </c>
      <c r="D181" t="s">
        <v>125</v>
      </c>
      <c r="E181" t="s">
        <v>126</v>
      </c>
      <c r="F181" t="s">
        <v>5</v>
      </c>
      <c r="G181" t="s">
        <v>6</v>
      </c>
      <c r="H181" t="s">
        <v>35</v>
      </c>
      <c r="I181" t="s">
        <v>36</v>
      </c>
      <c r="J181" t="s">
        <v>9</v>
      </c>
      <c r="K181" t="s">
        <v>167</v>
      </c>
      <c r="L181" t="s">
        <v>168</v>
      </c>
      <c r="M181" t="s">
        <v>12</v>
      </c>
      <c r="N181" s="2">
        <v>0</v>
      </c>
      <c r="O181" s="2">
        <v>0</v>
      </c>
      <c r="P181" s="2">
        <v>137978.29999999999</v>
      </c>
      <c r="Q181" s="2">
        <v>137978.29999999999</v>
      </c>
      <c r="R181" s="2">
        <v>0</v>
      </c>
      <c r="S181" s="2">
        <v>66715</v>
      </c>
      <c r="T181" s="2">
        <v>66715</v>
      </c>
      <c r="U181" s="2">
        <v>71263.3</v>
      </c>
      <c r="V181" s="2">
        <v>71263.3</v>
      </c>
      <c r="W181" s="2">
        <v>71263.3</v>
      </c>
    </row>
    <row r="182" spans="1:23" outlineLevel="2" x14ac:dyDescent="0.2">
      <c r="A182" t="s">
        <v>0</v>
      </c>
      <c r="B182" t="s">
        <v>31</v>
      </c>
      <c r="C182" t="s">
        <v>79</v>
      </c>
      <c r="D182" t="s">
        <v>127</v>
      </c>
      <c r="E182" t="s">
        <v>128</v>
      </c>
      <c r="F182" t="s">
        <v>5</v>
      </c>
      <c r="G182" t="s">
        <v>6</v>
      </c>
      <c r="H182" t="s">
        <v>35</v>
      </c>
      <c r="I182" t="s">
        <v>36</v>
      </c>
      <c r="J182" t="s">
        <v>9</v>
      </c>
      <c r="K182" t="s">
        <v>167</v>
      </c>
      <c r="L182" t="s">
        <v>168</v>
      </c>
      <c r="M182" t="s">
        <v>15</v>
      </c>
      <c r="N182" s="2">
        <v>957708.48</v>
      </c>
      <c r="O182" s="2">
        <v>0</v>
      </c>
      <c r="P182" s="2">
        <v>-187427.91</v>
      </c>
      <c r="Q182" s="2">
        <v>770280.57</v>
      </c>
      <c r="R182" s="2">
        <v>0</v>
      </c>
      <c r="S182" s="2">
        <v>770280.57</v>
      </c>
      <c r="T182" s="2">
        <v>770280.57</v>
      </c>
      <c r="U182" s="2">
        <v>0</v>
      </c>
      <c r="V182" s="2">
        <v>0</v>
      </c>
      <c r="W182" s="2">
        <v>0</v>
      </c>
    </row>
    <row r="183" spans="1:23" outlineLevel="2" x14ac:dyDescent="0.2">
      <c r="A183" t="s">
        <v>0</v>
      </c>
      <c r="B183" t="s">
        <v>31</v>
      </c>
      <c r="C183" t="s">
        <v>79</v>
      </c>
      <c r="D183" t="s">
        <v>117</v>
      </c>
      <c r="E183" t="s">
        <v>118</v>
      </c>
      <c r="F183" t="s">
        <v>5</v>
      </c>
      <c r="G183" t="s">
        <v>6</v>
      </c>
      <c r="H183" t="s">
        <v>35</v>
      </c>
      <c r="I183" t="s">
        <v>36</v>
      </c>
      <c r="J183" t="s">
        <v>9</v>
      </c>
      <c r="K183" t="s">
        <v>167</v>
      </c>
      <c r="L183" t="s">
        <v>168</v>
      </c>
      <c r="M183" t="s">
        <v>12</v>
      </c>
      <c r="N183" s="2">
        <v>0</v>
      </c>
      <c r="O183" s="2">
        <v>0</v>
      </c>
      <c r="P183" s="2">
        <v>306438.21999999997</v>
      </c>
      <c r="Q183" s="2">
        <v>306438.21999999997</v>
      </c>
      <c r="R183" s="2">
        <v>0</v>
      </c>
      <c r="S183" s="2">
        <v>147674</v>
      </c>
      <c r="T183" s="2">
        <v>147674</v>
      </c>
      <c r="U183" s="2">
        <v>158764.22</v>
      </c>
      <c r="V183" s="2">
        <v>158764.22</v>
      </c>
      <c r="W183" s="2">
        <v>158764.22</v>
      </c>
    </row>
    <row r="184" spans="1:23" outlineLevel="2" x14ac:dyDescent="0.2">
      <c r="A184" t="s">
        <v>0</v>
      </c>
      <c r="B184" t="s">
        <v>31</v>
      </c>
      <c r="C184" t="s">
        <v>79</v>
      </c>
      <c r="D184" t="s">
        <v>111</v>
      </c>
      <c r="E184" t="s">
        <v>112</v>
      </c>
      <c r="F184" t="s">
        <v>5</v>
      </c>
      <c r="G184" t="s">
        <v>6</v>
      </c>
      <c r="H184" t="s">
        <v>35</v>
      </c>
      <c r="I184" t="s">
        <v>36</v>
      </c>
      <c r="J184" t="s">
        <v>9</v>
      </c>
      <c r="K184" t="s">
        <v>167</v>
      </c>
      <c r="L184" t="s">
        <v>168</v>
      </c>
      <c r="M184" t="s">
        <v>15</v>
      </c>
      <c r="N184" s="2">
        <v>765312</v>
      </c>
      <c r="O184" s="2">
        <v>-2100</v>
      </c>
      <c r="P184" s="2">
        <v>-38300.43</v>
      </c>
      <c r="Q184" s="2">
        <v>724911.57</v>
      </c>
      <c r="R184" s="2">
        <v>0</v>
      </c>
      <c r="S184" s="2">
        <v>724911.57</v>
      </c>
      <c r="T184" s="2">
        <v>724911.57</v>
      </c>
      <c r="U184" s="2">
        <v>0</v>
      </c>
      <c r="V184" s="2">
        <v>0</v>
      </c>
      <c r="W184" s="2">
        <v>0</v>
      </c>
    </row>
    <row r="185" spans="1:23" outlineLevel="2" x14ac:dyDescent="0.2">
      <c r="A185" t="s">
        <v>0</v>
      </c>
      <c r="B185" t="s">
        <v>31</v>
      </c>
      <c r="C185" t="s">
        <v>79</v>
      </c>
      <c r="D185" t="s">
        <v>131</v>
      </c>
      <c r="E185" t="s">
        <v>132</v>
      </c>
      <c r="F185" t="s">
        <v>5</v>
      </c>
      <c r="G185" t="s">
        <v>6</v>
      </c>
      <c r="H185" t="s">
        <v>35</v>
      </c>
      <c r="I185" t="s">
        <v>36</v>
      </c>
      <c r="J185" t="s">
        <v>9</v>
      </c>
      <c r="K185" t="s">
        <v>167</v>
      </c>
      <c r="L185" t="s">
        <v>168</v>
      </c>
      <c r="M185" t="s">
        <v>15</v>
      </c>
      <c r="N185" s="2">
        <v>1646892</v>
      </c>
      <c r="O185" s="2">
        <v>-9609.42</v>
      </c>
      <c r="P185" s="2">
        <v>-336900.58</v>
      </c>
      <c r="Q185" s="2">
        <v>1300382</v>
      </c>
      <c r="R185" s="2">
        <v>0</v>
      </c>
      <c r="S185" s="2">
        <v>1300382</v>
      </c>
      <c r="T185" s="2">
        <v>1300382</v>
      </c>
      <c r="U185" s="2">
        <v>0</v>
      </c>
      <c r="V185" s="2">
        <v>0</v>
      </c>
      <c r="W185" s="2">
        <v>0</v>
      </c>
    </row>
    <row r="186" spans="1:23" outlineLevel="2" x14ac:dyDescent="0.2">
      <c r="A186" t="s">
        <v>0</v>
      </c>
      <c r="B186" t="s">
        <v>31</v>
      </c>
      <c r="C186" t="s">
        <v>79</v>
      </c>
      <c r="D186" t="s">
        <v>125</v>
      </c>
      <c r="E186" t="s">
        <v>126</v>
      </c>
      <c r="F186" t="s">
        <v>5</v>
      </c>
      <c r="G186" t="s">
        <v>6</v>
      </c>
      <c r="H186" t="s">
        <v>35</v>
      </c>
      <c r="I186" t="s">
        <v>36</v>
      </c>
      <c r="J186" t="s">
        <v>9</v>
      </c>
      <c r="K186" t="s">
        <v>167</v>
      </c>
      <c r="L186" t="s">
        <v>168</v>
      </c>
      <c r="M186" t="s">
        <v>15</v>
      </c>
      <c r="N186" s="2">
        <v>829608</v>
      </c>
      <c r="O186" s="2">
        <v>0</v>
      </c>
      <c r="P186" s="2">
        <v>-175000</v>
      </c>
      <c r="Q186" s="2">
        <v>654608</v>
      </c>
      <c r="R186" s="2">
        <v>0</v>
      </c>
      <c r="S186" s="2">
        <v>654608</v>
      </c>
      <c r="T186" s="2">
        <v>654608</v>
      </c>
      <c r="U186" s="2">
        <v>0</v>
      </c>
      <c r="V186" s="2">
        <v>0</v>
      </c>
      <c r="W186" s="2">
        <v>0</v>
      </c>
    </row>
    <row r="187" spans="1:23" outlineLevel="2" x14ac:dyDescent="0.2">
      <c r="A187" t="s">
        <v>0</v>
      </c>
      <c r="B187" t="s">
        <v>31</v>
      </c>
      <c r="C187" t="s">
        <v>79</v>
      </c>
      <c r="D187" t="s">
        <v>83</v>
      </c>
      <c r="E187" t="s">
        <v>84</v>
      </c>
      <c r="F187" t="s">
        <v>5</v>
      </c>
      <c r="G187" t="s">
        <v>6</v>
      </c>
      <c r="H187" t="s">
        <v>35</v>
      </c>
      <c r="I187" t="s">
        <v>36</v>
      </c>
      <c r="J187" t="s">
        <v>9</v>
      </c>
      <c r="K187" t="s">
        <v>167</v>
      </c>
      <c r="L187" t="s">
        <v>168</v>
      </c>
      <c r="M187" t="s">
        <v>12</v>
      </c>
      <c r="N187" s="2">
        <v>0</v>
      </c>
      <c r="O187" s="2">
        <v>0</v>
      </c>
      <c r="P187" s="2">
        <v>397350.28</v>
      </c>
      <c r="Q187" s="2">
        <v>397350.28</v>
      </c>
      <c r="R187" s="2">
        <v>0</v>
      </c>
      <c r="S187" s="2">
        <v>198127.5</v>
      </c>
      <c r="T187" s="2">
        <v>198127.5</v>
      </c>
      <c r="U187" s="2">
        <v>199222.78</v>
      </c>
      <c r="V187" s="2">
        <v>199222.78</v>
      </c>
      <c r="W187" s="2">
        <v>199222.78</v>
      </c>
    </row>
    <row r="188" spans="1:23" outlineLevel="2" x14ac:dyDescent="0.2">
      <c r="A188" t="s">
        <v>0</v>
      </c>
      <c r="B188" t="s">
        <v>31</v>
      </c>
      <c r="C188" t="s">
        <v>79</v>
      </c>
      <c r="D188" t="s">
        <v>115</v>
      </c>
      <c r="E188" t="s">
        <v>116</v>
      </c>
      <c r="F188" t="s">
        <v>5</v>
      </c>
      <c r="G188" t="s">
        <v>6</v>
      </c>
      <c r="H188" t="s">
        <v>35</v>
      </c>
      <c r="I188" t="s">
        <v>36</v>
      </c>
      <c r="J188" t="s">
        <v>9</v>
      </c>
      <c r="K188" t="s">
        <v>167</v>
      </c>
      <c r="L188" t="s">
        <v>168</v>
      </c>
      <c r="M188" t="s">
        <v>12</v>
      </c>
      <c r="N188" s="2">
        <v>0</v>
      </c>
      <c r="O188" s="2">
        <v>0</v>
      </c>
      <c r="P188" s="2">
        <v>118374.53</v>
      </c>
      <c r="Q188" s="2">
        <v>118374.53</v>
      </c>
      <c r="R188" s="2">
        <v>0</v>
      </c>
      <c r="S188" s="2">
        <v>54348</v>
      </c>
      <c r="T188" s="2">
        <v>54348</v>
      </c>
      <c r="U188" s="2">
        <v>64026.53</v>
      </c>
      <c r="V188" s="2">
        <v>64026.53</v>
      </c>
      <c r="W188" s="2">
        <v>64026.53</v>
      </c>
    </row>
    <row r="189" spans="1:23" outlineLevel="2" x14ac:dyDescent="0.2">
      <c r="A189" t="s">
        <v>0</v>
      </c>
      <c r="B189" t="s">
        <v>31</v>
      </c>
      <c r="C189" t="s">
        <v>79</v>
      </c>
      <c r="D189" t="s">
        <v>111</v>
      </c>
      <c r="E189" t="s">
        <v>112</v>
      </c>
      <c r="F189" t="s">
        <v>5</v>
      </c>
      <c r="G189" t="s">
        <v>6</v>
      </c>
      <c r="H189" t="s">
        <v>35</v>
      </c>
      <c r="I189" t="s">
        <v>36</v>
      </c>
      <c r="J189" t="s">
        <v>9</v>
      </c>
      <c r="K189" t="s">
        <v>167</v>
      </c>
      <c r="L189" t="s">
        <v>168</v>
      </c>
      <c r="M189" t="s">
        <v>12</v>
      </c>
      <c r="N189" s="2">
        <v>0</v>
      </c>
      <c r="O189" s="2">
        <v>0</v>
      </c>
      <c r="P189" s="2">
        <v>157532.26</v>
      </c>
      <c r="Q189" s="2">
        <v>157532.26</v>
      </c>
      <c r="R189" s="2">
        <v>0</v>
      </c>
      <c r="S189" s="2">
        <v>69523</v>
      </c>
      <c r="T189" s="2">
        <v>69523</v>
      </c>
      <c r="U189" s="2">
        <v>88009.26</v>
      </c>
      <c r="V189" s="2">
        <v>88009.26</v>
      </c>
      <c r="W189" s="2">
        <v>88009.26</v>
      </c>
    </row>
    <row r="190" spans="1:23" outlineLevel="2" x14ac:dyDescent="0.2">
      <c r="A190" t="s">
        <v>0</v>
      </c>
      <c r="B190" t="s">
        <v>31</v>
      </c>
      <c r="C190" t="s">
        <v>79</v>
      </c>
      <c r="D190" t="s">
        <v>113</v>
      </c>
      <c r="E190" t="s">
        <v>114</v>
      </c>
      <c r="F190" t="s">
        <v>5</v>
      </c>
      <c r="G190" t="s">
        <v>6</v>
      </c>
      <c r="H190" t="s">
        <v>35</v>
      </c>
      <c r="I190" t="s">
        <v>36</v>
      </c>
      <c r="J190" t="s">
        <v>9</v>
      </c>
      <c r="K190" t="s">
        <v>167</v>
      </c>
      <c r="L190" t="s">
        <v>168</v>
      </c>
      <c r="M190" t="s">
        <v>12</v>
      </c>
      <c r="N190" s="2">
        <v>0</v>
      </c>
      <c r="O190" s="2">
        <v>0</v>
      </c>
      <c r="P190" s="2">
        <v>176221.96</v>
      </c>
      <c r="Q190" s="2">
        <v>176221.96</v>
      </c>
      <c r="R190" s="2">
        <v>0</v>
      </c>
      <c r="S190" s="2">
        <v>84096</v>
      </c>
      <c r="T190" s="2">
        <v>84096</v>
      </c>
      <c r="U190" s="2">
        <v>92125.96</v>
      </c>
      <c r="V190" s="2">
        <v>92125.96</v>
      </c>
      <c r="W190" s="2">
        <v>92125.96</v>
      </c>
    </row>
    <row r="191" spans="1:23" outlineLevel="2" x14ac:dyDescent="0.2">
      <c r="A191" t="s">
        <v>0</v>
      </c>
      <c r="B191" t="s">
        <v>31</v>
      </c>
      <c r="C191" t="s">
        <v>79</v>
      </c>
      <c r="D191" t="s">
        <v>117</v>
      </c>
      <c r="E191" t="s">
        <v>118</v>
      </c>
      <c r="F191" t="s">
        <v>5</v>
      </c>
      <c r="G191" t="s">
        <v>6</v>
      </c>
      <c r="H191" t="s">
        <v>35</v>
      </c>
      <c r="I191" t="s">
        <v>36</v>
      </c>
      <c r="J191" t="s">
        <v>9</v>
      </c>
      <c r="K191" t="s">
        <v>167</v>
      </c>
      <c r="L191" t="s">
        <v>168</v>
      </c>
      <c r="M191" t="s">
        <v>15</v>
      </c>
      <c r="N191" s="2">
        <v>1847772</v>
      </c>
      <c r="O191" s="2">
        <v>-454</v>
      </c>
      <c r="P191" s="2">
        <v>-379874.86</v>
      </c>
      <c r="Q191" s="2">
        <v>1467443.14</v>
      </c>
      <c r="R191" s="2">
        <v>0</v>
      </c>
      <c r="S191" s="2">
        <v>1467443.14</v>
      </c>
      <c r="T191" s="2">
        <v>1467443.14</v>
      </c>
      <c r="U191" s="2">
        <v>0</v>
      </c>
      <c r="V191" s="2">
        <v>0</v>
      </c>
      <c r="W191" s="2">
        <v>0</v>
      </c>
    </row>
    <row r="192" spans="1:23" outlineLevel="2" x14ac:dyDescent="0.2">
      <c r="A192" t="s">
        <v>0</v>
      </c>
      <c r="B192" t="s">
        <v>31</v>
      </c>
      <c r="C192" t="s">
        <v>79</v>
      </c>
      <c r="D192" t="s">
        <v>83</v>
      </c>
      <c r="E192" t="s">
        <v>84</v>
      </c>
      <c r="F192" t="s">
        <v>5</v>
      </c>
      <c r="G192" t="s">
        <v>6</v>
      </c>
      <c r="H192" t="s">
        <v>35</v>
      </c>
      <c r="I192" t="s">
        <v>36</v>
      </c>
      <c r="J192" t="s">
        <v>9</v>
      </c>
      <c r="K192" t="s">
        <v>167</v>
      </c>
      <c r="L192" t="s">
        <v>168</v>
      </c>
      <c r="M192" t="s">
        <v>15</v>
      </c>
      <c r="N192" s="2">
        <v>4008084</v>
      </c>
      <c r="O192" s="2">
        <v>-1352537.86</v>
      </c>
      <c r="P192" s="2">
        <v>-699676.91</v>
      </c>
      <c r="Q192" s="2">
        <v>1955869.23</v>
      </c>
      <c r="R192" s="2">
        <v>0</v>
      </c>
      <c r="S192" s="2">
        <v>1955869.23</v>
      </c>
      <c r="T192" s="2">
        <v>1955869.23</v>
      </c>
      <c r="U192" s="2">
        <v>0</v>
      </c>
      <c r="V192" s="2">
        <v>0</v>
      </c>
      <c r="W192" s="2">
        <v>0</v>
      </c>
    </row>
    <row r="193" spans="1:23" outlineLevel="2" x14ac:dyDescent="0.2">
      <c r="A193" t="s">
        <v>0</v>
      </c>
      <c r="B193" t="s">
        <v>31</v>
      </c>
      <c r="C193" t="s">
        <v>79</v>
      </c>
      <c r="D193" t="s">
        <v>133</v>
      </c>
      <c r="E193" t="s">
        <v>134</v>
      </c>
      <c r="F193" t="s">
        <v>5</v>
      </c>
      <c r="G193" t="s">
        <v>6</v>
      </c>
      <c r="H193" t="s">
        <v>35</v>
      </c>
      <c r="I193" t="s">
        <v>36</v>
      </c>
      <c r="J193" t="s">
        <v>9</v>
      </c>
      <c r="K193" t="s">
        <v>167</v>
      </c>
      <c r="L193" t="s">
        <v>168</v>
      </c>
      <c r="M193" t="s">
        <v>15</v>
      </c>
      <c r="N193" s="2">
        <v>1008876</v>
      </c>
      <c r="O193" s="2">
        <v>-14261.42</v>
      </c>
      <c r="P193" s="2">
        <v>-208823.81</v>
      </c>
      <c r="Q193" s="2">
        <v>785790.77</v>
      </c>
      <c r="R193" s="2">
        <v>0</v>
      </c>
      <c r="S193" s="2">
        <v>785790.77</v>
      </c>
      <c r="T193" s="2">
        <v>785790.77</v>
      </c>
      <c r="U193" s="2">
        <v>0</v>
      </c>
      <c r="V193" s="2">
        <v>0</v>
      </c>
      <c r="W193" s="2">
        <v>0</v>
      </c>
    </row>
    <row r="194" spans="1:23" outlineLevel="2" x14ac:dyDescent="0.2">
      <c r="A194" t="s">
        <v>0</v>
      </c>
      <c r="B194" t="s">
        <v>31</v>
      </c>
      <c r="C194" t="s">
        <v>79</v>
      </c>
      <c r="D194" t="s">
        <v>80</v>
      </c>
      <c r="E194" t="s">
        <v>81</v>
      </c>
      <c r="F194" t="s">
        <v>5</v>
      </c>
      <c r="G194" t="s">
        <v>6</v>
      </c>
      <c r="H194" t="s">
        <v>35</v>
      </c>
      <c r="I194" t="s">
        <v>36</v>
      </c>
      <c r="J194" t="s">
        <v>9</v>
      </c>
      <c r="K194" t="s">
        <v>167</v>
      </c>
      <c r="L194" t="s">
        <v>168</v>
      </c>
      <c r="M194" t="s">
        <v>15</v>
      </c>
      <c r="N194" s="2">
        <v>943105.56</v>
      </c>
      <c r="O194" s="2">
        <v>-9613.25</v>
      </c>
      <c r="P194" s="2">
        <v>-187652.41</v>
      </c>
      <c r="Q194" s="2">
        <v>745839.9</v>
      </c>
      <c r="R194" s="2">
        <v>0</v>
      </c>
      <c r="S194" s="2">
        <v>745839.9</v>
      </c>
      <c r="T194" s="2">
        <v>745839.9</v>
      </c>
      <c r="U194" s="2">
        <v>0</v>
      </c>
      <c r="V194" s="2">
        <v>0</v>
      </c>
      <c r="W194" s="2">
        <v>0</v>
      </c>
    </row>
    <row r="195" spans="1:23" outlineLevel="2" x14ac:dyDescent="0.2">
      <c r="A195" t="s">
        <v>0</v>
      </c>
      <c r="B195" t="s">
        <v>31</v>
      </c>
      <c r="C195" t="s">
        <v>79</v>
      </c>
      <c r="D195" t="s">
        <v>131</v>
      </c>
      <c r="E195" t="s">
        <v>132</v>
      </c>
      <c r="F195" t="s">
        <v>5</v>
      </c>
      <c r="G195" t="s">
        <v>6</v>
      </c>
      <c r="H195" t="s">
        <v>35</v>
      </c>
      <c r="I195" t="s">
        <v>36</v>
      </c>
      <c r="J195" t="s">
        <v>9</v>
      </c>
      <c r="K195" t="s">
        <v>167</v>
      </c>
      <c r="L195" t="s">
        <v>168</v>
      </c>
      <c r="M195" t="s">
        <v>12</v>
      </c>
      <c r="N195" s="2">
        <v>0</v>
      </c>
      <c r="O195" s="2">
        <v>0</v>
      </c>
      <c r="P195" s="2">
        <v>277841.74</v>
      </c>
      <c r="Q195" s="2">
        <v>277841.74</v>
      </c>
      <c r="R195" s="2">
        <v>0</v>
      </c>
      <c r="S195" s="2">
        <v>130354</v>
      </c>
      <c r="T195" s="2">
        <v>130354</v>
      </c>
      <c r="U195" s="2">
        <v>147487.74</v>
      </c>
      <c r="V195" s="2">
        <v>147487.74</v>
      </c>
      <c r="W195" s="2">
        <v>147487.74</v>
      </c>
    </row>
    <row r="196" spans="1:23" outlineLevel="2" x14ac:dyDescent="0.2">
      <c r="A196" t="s">
        <v>0</v>
      </c>
      <c r="B196" t="s">
        <v>31</v>
      </c>
      <c r="C196" t="s">
        <v>79</v>
      </c>
      <c r="D196" t="s">
        <v>127</v>
      </c>
      <c r="E196" t="s">
        <v>128</v>
      </c>
      <c r="F196" t="s">
        <v>5</v>
      </c>
      <c r="G196" t="s">
        <v>6</v>
      </c>
      <c r="H196" t="s">
        <v>35</v>
      </c>
      <c r="I196" t="s">
        <v>36</v>
      </c>
      <c r="J196" t="s">
        <v>9</v>
      </c>
      <c r="K196" t="s">
        <v>167</v>
      </c>
      <c r="L196" t="s">
        <v>168</v>
      </c>
      <c r="M196" t="s">
        <v>12</v>
      </c>
      <c r="N196" s="2">
        <v>0</v>
      </c>
      <c r="O196" s="2">
        <v>0</v>
      </c>
      <c r="P196" s="2">
        <v>159385.68</v>
      </c>
      <c r="Q196" s="2">
        <v>159385.68</v>
      </c>
      <c r="R196" s="2">
        <v>0</v>
      </c>
      <c r="S196" s="2">
        <v>78482.039999999994</v>
      </c>
      <c r="T196" s="2">
        <v>78482.039999999994</v>
      </c>
      <c r="U196" s="2">
        <v>80903.64</v>
      </c>
      <c r="V196" s="2">
        <v>80903.64</v>
      </c>
      <c r="W196" s="2">
        <v>80903.64</v>
      </c>
    </row>
    <row r="197" spans="1:23" outlineLevel="2" x14ac:dyDescent="0.2">
      <c r="A197" t="s">
        <v>0</v>
      </c>
      <c r="B197" t="s">
        <v>31</v>
      </c>
      <c r="C197" t="s">
        <v>79</v>
      </c>
      <c r="D197" t="s">
        <v>115</v>
      </c>
      <c r="E197" t="s">
        <v>116</v>
      </c>
      <c r="F197" t="s">
        <v>5</v>
      </c>
      <c r="G197" t="s">
        <v>6</v>
      </c>
      <c r="H197" t="s">
        <v>35</v>
      </c>
      <c r="I197" t="s">
        <v>36</v>
      </c>
      <c r="J197" t="s">
        <v>9</v>
      </c>
      <c r="K197" t="s">
        <v>167</v>
      </c>
      <c r="L197" t="s">
        <v>168</v>
      </c>
      <c r="M197" t="s">
        <v>15</v>
      </c>
      <c r="N197" s="2">
        <v>662100</v>
      </c>
      <c r="O197" s="2">
        <v>0</v>
      </c>
      <c r="P197" s="2">
        <v>-122487.13</v>
      </c>
      <c r="Q197" s="2">
        <v>539612.87</v>
      </c>
      <c r="R197" s="2">
        <v>0</v>
      </c>
      <c r="S197" s="2">
        <v>539612.87</v>
      </c>
      <c r="T197" s="2">
        <v>539612.87</v>
      </c>
      <c r="U197" s="2">
        <v>0</v>
      </c>
      <c r="V197" s="2">
        <v>0</v>
      </c>
      <c r="W197" s="2">
        <v>0</v>
      </c>
    </row>
    <row r="198" spans="1:23" outlineLevel="2" x14ac:dyDescent="0.2">
      <c r="A198" t="s">
        <v>0</v>
      </c>
      <c r="B198" t="s">
        <v>31</v>
      </c>
      <c r="C198" t="s">
        <v>79</v>
      </c>
      <c r="D198" t="s">
        <v>113</v>
      </c>
      <c r="E198" t="s">
        <v>114</v>
      </c>
      <c r="F198" t="s">
        <v>5</v>
      </c>
      <c r="G198" t="s">
        <v>6</v>
      </c>
      <c r="H198" t="s">
        <v>35</v>
      </c>
      <c r="I198" t="s">
        <v>36</v>
      </c>
      <c r="J198" t="s">
        <v>9</v>
      </c>
      <c r="K198" t="s">
        <v>167</v>
      </c>
      <c r="L198" t="s">
        <v>168</v>
      </c>
      <c r="M198" t="s">
        <v>15</v>
      </c>
      <c r="N198" s="2">
        <v>1003428</v>
      </c>
      <c r="O198" s="2">
        <v>-7503.97</v>
      </c>
      <c r="P198" s="2">
        <v>-165055.97</v>
      </c>
      <c r="Q198" s="2">
        <v>830868.06</v>
      </c>
      <c r="R198" s="2">
        <v>0</v>
      </c>
      <c r="S198" s="2">
        <v>830868.06</v>
      </c>
      <c r="T198" s="2">
        <v>830868.06</v>
      </c>
      <c r="U198" s="2">
        <v>0</v>
      </c>
      <c r="V198" s="2">
        <v>0</v>
      </c>
      <c r="W198" s="2">
        <v>0</v>
      </c>
    </row>
    <row r="199" spans="1:23" outlineLevel="2" x14ac:dyDescent="0.2">
      <c r="A199" t="s">
        <v>0</v>
      </c>
      <c r="B199" t="s">
        <v>31</v>
      </c>
      <c r="C199" t="s">
        <v>79</v>
      </c>
      <c r="D199" t="s">
        <v>133</v>
      </c>
      <c r="E199" t="s">
        <v>134</v>
      </c>
      <c r="F199" t="s">
        <v>5</v>
      </c>
      <c r="G199" t="s">
        <v>6</v>
      </c>
      <c r="H199" t="s">
        <v>35</v>
      </c>
      <c r="I199" t="s">
        <v>36</v>
      </c>
      <c r="J199" t="s">
        <v>9</v>
      </c>
      <c r="K199" t="s">
        <v>167</v>
      </c>
      <c r="L199" t="s">
        <v>168</v>
      </c>
      <c r="M199" t="s">
        <v>12</v>
      </c>
      <c r="N199" s="2">
        <v>0</v>
      </c>
      <c r="O199" s="2">
        <v>0</v>
      </c>
      <c r="P199" s="2">
        <v>170722.06</v>
      </c>
      <c r="Q199" s="2">
        <v>170722.06</v>
      </c>
      <c r="R199" s="2">
        <v>0</v>
      </c>
      <c r="S199" s="2">
        <v>77379.710000000006</v>
      </c>
      <c r="T199" s="2">
        <v>76700</v>
      </c>
      <c r="U199" s="2">
        <v>93342.35</v>
      </c>
      <c r="V199" s="2">
        <v>94022.06</v>
      </c>
      <c r="W199" s="2">
        <v>93342.35</v>
      </c>
    </row>
    <row r="200" spans="1:23" outlineLevel="2" x14ac:dyDescent="0.2">
      <c r="A200" t="s">
        <v>0</v>
      </c>
      <c r="B200" t="s">
        <v>31</v>
      </c>
      <c r="C200" t="s">
        <v>79</v>
      </c>
      <c r="D200" t="s">
        <v>80</v>
      </c>
      <c r="E200" t="s">
        <v>81</v>
      </c>
      <c r="F200" t="s">
        <v>5</v>
      </c>
      <c r="G200" t="s">
        <v>6</v>
      </c>
      <c r="H200" t="s">
        <v>35</v>
      </c>
      <c r="I200" t="s">
        <v>36</v>
      </c>
      <c r="J200" t="s">
        <v>9</v>
      </c>
      <c r="K200" t="s">
        <v>167</v>
      </c>
      <c r="L200" t="s">
        <v>168</v>
      </c>
      <c r="M200" t="s">
        <v>12</v>
      </c>
      <c r="N200" s="2">
        <v>0</v>
      </c>
      <c r="O200" s="2">
        <v>0</v>
      </c>
      <c r="P200" s="2">
        <v>167910.46</v>
      </c>
      <c r="Q200" s="2">
        <v>167910.46</v>
      </c>
      <c r="R200" s="2">
        <v>0</v>
      </c>
      <c r="S200" s="2">
        <v>67537.13</v>
      </c>
      <c r="T200" s="2">
        <v>67537.13</v>
      </c>
      <c r="U200" s="2">
        <v>100373.33</v>
      </c>
      <c r="V200" s="2">
        <v>100373.33</v>
      </c>
      <c r="W200" s="2">
        <v>100373.33</v>
      </c>
    </row>
    <row r="201" spans="1:23" outlineLevel="2" x14ac:dyDescent="0.2">
      <c r="A201" t="s">
        <v>0</v>
      </c>
      <c r="B201" t="s">
        <v>39</v>
      </c>
      <c r="C201" t="s">
        <v>58</v>
      </c>
      <c r="D201" t="s">
        <v>149</v>
      </c>
      <c r="E201" t="s">
        <v>150</v>
      </c>
      <c r="F201" t="s">
        <v>5</v>
      </c>
      <c r="G201" t="s">
        <v>6</v>
      </c>
      <c r="H201" t="s">
        <v>35</v>
      </c>
      <c r="I201" t="s">
        <v>36</v>
      </c>
      <c r="J201" t="s">
        <v>9</v>
      </c>
      <c r="K201" t="s">
        <v>169</v>
      </c>
      <c r="L201" t="s">
        <v>170</v>
      </c>
      <c r="M201" t="s">
        <v>15</v>
      </c>
      <c r="N201" s="2">
        <v>159980.42000000001</v>
      </c>
      <c r="O201" s="2">
        <v>375.17</v>
      </c>
      <c r="P201" s="2">
        <v>-145522.76</v>
      </c>
      <c r="Q201" s="2">
        <v>14832.83</v>
      </c>
      <c r="R201" s="2">
        <v>1874.5</v>
      </c>
      <c r="S201" s="2">
        <v>12958.33</v>
      </c>
      <c r="T201" s="2">
        <v>12958.33</v>
      </c>
      <c r="U201" s="2">
        <v>1874.5</v>
      </c>
      <c r="V201" s="2">
        <v>1874.5</v>
      </c>
      <c r="W201" s="2">
        <v>0</v>
      </c>
    </row>
    <row r="202" spans="1:23" outlineLevel="2" x14ac:dyDescent="0.2">
      <c r="A202" t="s">
        <v>0</v>
      </c>
      <c r="B202" t="s">
        <v>1</v>
      </c>
      <c r="C202" t="s">
        <v>16</v>
      </c>
      <c r="D202" t="s">
        <v>62</v>
      </c>
      <c r="E202" t="s">
        <v>63</v>
      </c>
      <c r="F202" t="s">
        <v>5</v>
      </c>
      <c r="G202" t="s">
        <v>6</v>
      </c>
      <c r="H202" t="s">
        <v>35</v>
      </c>
      <c r="I202" t="s">
        <v>36</v>
      </c>
      <c r="J202" t="s">
        <v>9</v>
      </c>
      <c r="K202" t="s">
        <v>169</v>
      </c>
      <c r="L202" t="s">
        <v>171</v>
      </c>
      <c r="M202" t="s">
        <v>15</v>
      </c>
      <c r="N202" s="2">
        <v>11713.53</v>
      </c>
      <c r="O202" s="2">
        <v>2500</v>
      </c>
      <c r="P202" s="2">
        <v>-5707.53</v>
      </c>
      <c r="Q202" s="2">
        <v>8506</v>
      </c>
      <c r="R202" s="2">
        <v>756.46</v>
      </c>
      <c r="S202" s="2">
        <v>7749.54</v>
      </c>
      <c r="T202" s="2">
        <v>7749.54</v>
      </c>
      <c r="U202" s="2">
        <v>756.46</v>
      </c>
      <c r="V202" s="2">
        <v>756.46</v>
      </c>
      <c r="W202" s="2">
        <v>0</v>
      </c>
    </row>
    <row r="203" spans="1:23" outlineLevel="2" x14ac:dyDescent="0.2">
      <c r="A203" t="s">
        <v>0</v>
      </c>
      <c r="B203" t="s">
        <v>39</v>
      </c>
      <c r="C203" t="s">
        <v>58</v>
      </c>
      <c r="D203" t="s">
        <v>105</v>
      </c>
      <c r="E203" t="s">
        <v>106</v>
      </c>
      <c r="F203" t="s">
        <v>5</v>
      </c>
      <c r="G203" t="s">
        <v>6</v>
      </c>
      <c r="H203" t="s">
        <v>35</v>
      </c>
      <c r="I203" t="s">
        <v>36</v>
      </c>
      <c r="J203" t="s">
        <v>9</v>
      </c>
      <c r="K203" t="s">
        <v>169</v>
      </c>
      <c r="L203" t="s">
        <v>170</v>
      </c>
      <c r="M203" t="s">
        <v>15</v>
      </c>
      <c r="N203" s="2">
        <v>59379</v>
      </c>
      <c r="O203" s="2">
        <v>306</v>
      </c>
      <c r="P203" s="2">
        <v>-34519.33</v>
      </c>
      <c r="Q203" s="2">
        <v>25165.67</v>
      </c>
      <c r="R203" s="2">
        <v>13446.45</v>
      </c>
      <c r="S203" s="2">
        <v>11719.22</v>
      </c>
      <c r="T203" s="2">
        <v>11719.22</v>
      </c>
      <c r="U203" s="2">
        <v>13446.45</v>
      </c>
      <c r="V203" s="2">
        <v>13446.45</v>
      </c>
      <c r="W203" s="2">
        <v>0</v>
      </c>
    </row>
    <row r="204" spans="1:23" outlineLevel="2" x14ac:dyDescent="0.2">
      <c r="A204" t="s">
        <v>0</v>
      </c>
      <c r="B204" t="s">
        <v>31</v>
      </c>
      <c r="C204" t="s">
        <v>79</v>
      </c>
      <c r="D204" t="s">
        <v>113</v>
      </c>
      <c r="E204" t="s">
        <v>114</v>
      </c>
      <c r="F204" t="s">
        <v>5</v>
      </c>
      <c r="G204" t="s">
        <v>6</v>
      </c>
      <c r="H204" t="s">
        <v>35</v>
      </c>
      <c r="I204" t="s">
        <v>36</v>
      </c>
      <c r="J204" t="s">
        <v>9</v>
      </c>
      <c r="K204" t="s">
        <v>169</v>
      </c>
      <c r="L204" t="s">
        <v>172</v>
      </c>
      <c r="M204" t="s">
        <v>15</v>
      </c>
      <c r="N204" s="2">
        <v>96405.81</v>
      </c>
      <c r="O204" s="2">
        <v>-625.33000000000004</v>
      </c>
      <c r="P204" s="2">
        <v>-83864.52</v>
      </c>
      <c r="Q204" s="2">
        <v>11915.96</v>
      </c>
      <c r="R204" s="2">
        <v>0</v>
      </c>
      <c r="S204" s="2">
        <v>11915.96</v>
      </c>
      <c r="T204" s="2">
        <v>11915.96</v>
      </c>
      <c r="U204" s="2">
        <v>0</v>
      </c>
      <c r="V204" s="2">
        <v>0</v>
      </c>
      <c r="W204" s="2">
        <v>0</v>
      </c>
    </row>
    <row r="205" spans="1:23" outlineLevel="2" x14ac:dyDescent="0.2">
      <c r="A205" t="s">
        <v>0</v>
      </c>
      <c r="B205" t="s">
        <v>31</v>
      </c>
      <c r="C205" t="s">
        <v>79</v>
      </c>
      <c r="D205" t="s">
        <v>117</v>
      </c>
      <c r="E205" t="s">
        <v>118</v>
      </c>
      <c r="F205" t="s">
        <v>5</v>
      </c>
      <c r="G205" t="s">
        <v>6</v>
      </c>
      <c r="H205" t="s">
        <v>35</v>
      </c>
      <c r="I205" t="s">
        <v>36</v>
      </c>
      <c r="J205" t="s">
        <v>9</v>
      </c>
      <c r="K205" t="s">
        <v>169</v>
      </c>
      <c r="L205" t="s">
        <v>172</v>
      </c>
      <c r="M205" t="s">
        <v>15</v>
      </c>
      <c r="N205" s="2">
        <v>178203.78</v>
      </c>
      <c r="O205" s="2">
        <v>0</v>
      </c>
      <c r="P205" s="2">
        <v>-166495.67000000001</v>
      </c>
      <c r="Q205" s="2">
        <v>11708.11</v>
      </c>
      <c r="R205" s="2">
        <v>0</v>
      </c>
      <c r="S205" s="2">
        <v>11708.11</v>
      </c>
      <c r="T205" s="2">
        <v>11708.11</v>
      </c>
      <c r="U205" s="2">
        <v>0</v>
      </c>
      <c r="V205" s="2">
        <v>0</v>
      </c>
      <c r="W205" s="2">
        <v>0</v>
      </c>
    </row>
    <row r="206" spans="1:23" outlineLevel="2" x14ac:dyDescent="0.2">
      <c r="A206" t="s">
        <v>0</v>
      </c>
      <c r="B206" t="s">
        <v>39</v>
      </c>
      <c r="C206" t="s">
        <v>95</v>
      </c>
      <c r="D206" t="s">
        <v>96</v>
      </c>
      <c r="E206" t="s">
        <v>97</v>
      </c>
      <c r="F206" t="s">
        <v>5</v>
      </c>
      <c r="G206" t="s">
        <v>6</v>
      </c>
      <c r="H206" t="s">
        <v>35</v>
      </c>
      <c r="I206" t="s">
        <v>36</v>
      </c>
      <c r="J206" t="s">
        <v>9</v>
      </c>
      <c r="K206" t="s">
        <v>169</v>
      </c>
      <c r="L206" t="s">
        <v>173</v>
      </c>
      <c r="M206" t="s">
        <v>15</v>
      </c>
      <c r="N206" s="2">
        <v>105537.1</v>
      </c>
      <c r="O206" s="2">
        <v>9</v>
      </c>
      <c r="P206" s="2">
        <v>-81764.100000000006</v>
      </c>
      <c r="Q206" s="2">
        <v>23782</v>
      </c>
      <c r="R206" s="2">
        <v>396.1</v>
      </c>
      <c r="S206" s="2">
        <v>23385.9</v>
      </c>
      <c r="T206" s="2">
        <v>23385.9</v>
      </c>
      <c r="U206" s="2">
        <v>396.1</v>
      </c>
      <c r="V206" s="2">
        <v>396.1</v>
      </c>
      <c r="W206" s="2">
        <v>0</v>
      </c>
    </row>
    <row r="207" spans="1:23" outlineLevel="2" x14ac:dyDescent="0.2">
      <c r="A207" t="s">
        <v>0</v>
      </c>
      <c r="B207" t="s">
        <v>1</v>
      </c>
      <c r="C207" t="s">
        <v>2</v>
      </c>
      <c r="D207" t="s">
        <v>3</v>
      </c>
      <c r="E207" t="s">
        <v>4</v>
      </c>
      <c r="F207" t="s">
        <v>5</v>
      </c>
      <c r="G207" t="s">
        <v>6</v>
      </c>
      <c r="H207" t="s">
        <v>35</v>
      </c>
      <c r="I207" t="s">
        <v>36</v>
      </c>
      <c r="J207" t="s">
        <v>9</v>
      </c>
      <c r="K207" t="s">
        <v>169</v>
      </c>
      <c r="L207" t="s">
        <v>174</v>
      </c>
      <c r="M207" t="s">
        <v>15</v>
      </c>
      <c r="N207" s="2">
        <v>293188.53000000003</v>
      </c>
      <c r="O207" s="2">
        <v>-39525.660000000003</v>
      </c>
      <c r="P207" s="2">
        <v>-206105.60000000001</v>
      </c>
      <c r="Q207" s="2">
        <v>47557.27</v>
      </c>
      <c r="R207" s="2">
        <v>18011.37</v>
      </c>
      <c r="S207" s="2">
        <v>29545.9</v>
      </c>
      <c r="T207" s="2">
        <v>29545.9</v>
      </c>
      <c r="U207" s="2">
        <v>18011.37</v>
      </c>
      <c r="V207" s="2">
        <v>18011.37</v>
      </c>
      <c r="W207" s="2">
        <v>0</v>
      </c>
    </row>
    <row r="208" spans="1:23" outlineLevel="2" x14ac:dyDescent="0.2">
      <c r="A208" t="s">
        <v>0</v>
      </c>
      <c r="B208" t="s">
        <v>1</v>
      </c>
      <c r="C208" t="s">
        <v>44</v>
      </c>
      <c r="D208" t="s">
        <v>45</v>
      </c>
      <c r="E208" t="s">
        <v>46</v>
      </c>
      <c r="F208" t="s">
        <v>5</v>
      </c>
      <c r="G208" t="s">
        <v>6</v>
      </c>
      <c r="H208" t="s">
        <v>35</v>
      </c>
      <c r="I208" t="s">
        <v>36</v>
      </c>
      <c r="J208" t="s">
        <v>9</v>
      </c>
      <c r="K208" t="s">
        <v>169</v>
      </c>
      <c r="L208" t="s">
        <v>175</v>
      </c>
      <c r="M208" t="s">
        <v>15</v>
      </c>
      <c r="N208" s="2">
        <v>72096.03</v>
      </c>
      <c r="O208" s="2">
        <v>6708.5</v>
      </c>
      <c r="P208" s="2">
        <v>-41097.19</v>
      </c>
      <c r="Q208" s="2">
        <v>37707.339999999997</v>
      </c>
      <c r="R208" s="2">
        <v>10424.68</v>
      </c>
      <c r="S208" s="2">
        <v>27282.66</v>
      </c>
      <c r="T208" s="2">
        <v>27282.66</v>
      </c>
      <c r="U208" s="2">
        <v>10424.68</v>
      </c>
      <c r="V208" s="2">
        <v>10424.68</v>
      </c>
      <c r="W208" s="2">
        <v>0</v>
      </c>
    </row>
    <row r="209" spans="1:23" outlineLevel="2" x14ac:dyDescent="0.2">
      <c r="A209" t="s">
        <v>0</v>
      </c>
      <c r="B209" t="s">
        <v>1</v>
      </c>
      <c r="C209" t="s">
        <v>16</v>
      </c>
      <c r="D209" t="s">
        <v>17</v>
      </c>
      <c r="E209" t="s">
        <v>18</v>
      </c>
      <c r="F209" t="s">
        <v>5</v>
      </c>
      <c r="G209" t="s">
        <v>6</v>
      </c>
      <c r="H209" t="s">
        <v>35</v>
      </c>
      <c r="I209" t="s">
        <v>36</v>
      </c>
      <c r="J209" t="s">
        <v>9</v>
      </c>
      <c r="K209" t="s">
        <v>169</v>
      </c>
      <c r="L209" t="s">
        <v>171</v>
      </c>
      <c r="M209" t="s">
        <v>15</v>
      </c>
      <c r="N209" s="2">
        <v>331608.03999999998</v>
      </c>
      <c r="O209" s="2">
        <v>-112</v>
      </c>
      <c r="P209" s="2">
        <v>-224350.32</v>
      </c>
      <c r="Q209" s="2">
        <v>107145.72</v>
      </c>
      <c r="R209" s="2">
        <v>56262.92</v>
      </c>
      <c r="S209" s="2">
        <v>50882.8</v>
      </c>
      <c r="T209" s="2">
        <v>49953.63</v>
      </c>
      <c r="U209" s="2">
        <v>56262.92</v>
      </c>
      <c r="V209" s="2">
        <v>57192.09</v>
      </c>
      <c r="W209" s="2">
        <v>0</v>
      </c>
    </row>
    <row r="210" spans="1:23" outlineLevel="2" x14ac:dyDescent="0.2">
      <c r="A210" t="s">
        <v>0</v>
      </c>
      <c r="B210" t="s">
        <v>39</v>
      </c>
      <c r="C210" t="s">
        <v>58</v>
      </c>
      <c r="D210" t="s">
        <v>135</v>
      </c>
      <c r="E210" t="s">
        <v>136</v>
      </c>
      <c r="F210" t="s">
        <v>5</v>
      </c>
      <c r="G210" t="s">
        <v>6</v>
      </c>
      <c r="H210" t="s">
        <v>35</v>
      </c>
      <c r="I210" t="s">
        <v>36</v>
      </c>
      <c r="J210" t="s">
        <v>9</v>
      </c>
      <c r="K210" t="s">
        <v>169</v>
      </c>
      <c r="L210" t="s">
        <v>170</v>
      </c>
      <c r="M210" t="s">
        <v>15</v>
      </c>
      <c r="N210" s="2">
        <v>113052.6</v>
      </c>
      <c r="O210" s="2">
        <v>620</v>
      </c>
      <c r="P210" s="2">
        <v>-96034.27</v>
      </c>
      <c r="Q210" s="2">
        <v>17638.330000000002</v>
      </c>
      <c r="R210" s="2">
        <v>0</v>
      </c>
      <c r="S210" s="2">
        <v>17638.330000000002</v>
      </c>
      <c r="T210" s="2">
        <v>17638.330000000002</v>
      </c>
      <c r="U210" s="2">
        <v>0</v>
      </c>
      <c r="V210" s="2">
        <v>0</v>
      </c>
      <c r="W210" s="2">
        <v>0</v>
      </c>
    </row>
    <row r="211" spans="1:23" outlineLevel="2" x14ac:dyDescent="0.2">
      <c r="A211" t="s">
        <v>0</v>
      </c>
      <c r="B211" t="s">
        <v>53</v>
      </c>
      <c r="C211" t="s">
        <v>85</v>
      </c>
      <c r="D211" t="s">
        <v>86</v>
      </c>
      <c r="E211" t="s">
        <v>87</v>
      </c>
      <c r="F211" t="s">
        <v>5</v>
      </c>
      <c r="G211" t="s">
        <v>6</v>
      </c>
      <c r="H211" t="s">
        <v>35</v>
      </c>
      <c r="I211" t="s">
        <v>36</v>
      </c>
      <c r="J211" t="s">
        <v>9</v>
      </c>
      <c r="K211" t="s">
        <v>169</v>
      </c>
      <c r="L211" t="s">
        <v>176</v>
      </c>
      <c r="M211" t="s">
        <v>15</v>
      </c>
      <c r="N211" s="2">
        <v>40754.339999999997</v>
      </c>
      <c r="O211" s="2">
        <v>0</v>
      </c>
      <c r="P211" s="2">
        <v>-23171.61</v>
      </c>
      <c r="Q211" s="2">
        <v>17582.73</v>
      </c>
      <c r="R211" s="2">
        <v>3000</v>
      </c>
      <c r="S211" s="2">
        <v>14582.73</v>
      </c>
      <c r="T211" s="2">
        <v>14582.73</v>
      </c>
      <c r="U211" s="2">
        <v>3000</v>
      </c>
      <c r="V211" s="2">
        <v>3000</v>
      </c>
      <c r="W211" s="2">
        <v>0</v>
      </c>
    </row>
    <row r="212" spans="1:23" outlineLevel="2" x14ac:dyDescent="0.2">
      <c r="A212" t="s">
        <v>0</v>
      </c>
      <c r="B212" t="s">
        <v>31</v>
      </c>
      <c r="C212" t="s">
        <v>32</v>
      </c>
      <c r="D212" t="s">
        <v>33</v>
      </c>
      <c r="E212" t="s">
        <v>34</v>
      </c>
      <c r="F212" t="s">
        <v>5</v>
      </c>
      <c r="G212" t="s">
        <v>6</v>
      </c>
      <c r="H212" t="s">
        <v>35</v>
      </c>
      <c r="I212" t="s">
        <v>36</v>
      </c>
      <c r="J212" t="s">
        <v>9</v>
      </c>
      <c r="K212" t="s">
        <v>169</v>
      </c>
      <c r="L212" t="s">
        <v>177</v>
      </c>
      <c r="M212" t="s">
        <v>12</v>
      </c>
      <c r="N212" s="2">
        <v>0</v>
      </c>
      <c r="O212" s="2">
        <v>0</v>
      </c>
      <c r="P212" s="2">
        <v>265590.2</v>
      </c>
      <c r="Q212" s="2">
        <v>265590.2</v>
      </c>
      <c r="R212" s="2">
        <v>0</v>
      </c>
      <c r="S212" s="2">
        <v>5825.08</v>
      </c>
      <c r="T212" s="2">
        <v>1800.84</v>
      </c>
      <c r="U212" s="2">
        <v>259765.12</v>
      </c>
      <c r="V212" s="2">
        <v>263789.36</v>
      </c>
      <c r="W212" s="2">
        <v>259765.12</v>
      </c>
    </row>
    <row r="213" spans="1:23" outlineLevel="2" x14ac:dyDescent="0.2">
      <c r="A213" t="s">
        <v>0</v>
      </c>
      <c r="B213" t="s">
        <v>1</v>
      </c>
      <c r="C213" t="s">
        <v>16</v>
      </c>
      <c r="D213" t="s">
        <v>103</v>
      </c>
      <c r="E213" t="s">
        <v>104</v>
      </c>
      <c r="F213" t="s">
        <v>5</v>
      </c>
      <c r="G213" t="s">
        <v>6</v>
      </c>
      <c r="H213" t="s">
        <v>35</v>
      </c>
      <c r="I213" t="s">
        <v>36</v>
      </c>
      <c r="J213" t="s">
        <v>9</v>
      </c>
      <c r="K213" t="s">
        <v>169</v>
      </c>
      <c r="L213" t="s">
        <v>171</v>
      </c>
      <c r="M213" t="s">
        <v>15</v>
      </c>
      <c r="N213" s="2">
        <v>251329.86</v>
      </c>
      <c r="O213" s="2">
        <v>1134.96</v>
      </c>
      <c r="P213" s="2">
        <v>-172763.31</v>
      </c>
      <c r="Q213" s="2">
        <v>79701.509999999995</v>
      </c>
      <c r="R213" s="2">
        <v>37996.25</v>
      </c>
      <c r="S213" s="2">
        <v>41705.26</v>
      </c>
      <c r="T213" s="2">
        <v>41705.26</v>
      </c>
      <c r="U213" s="2">
        <v>37996.25</v>
      </c>
      <c r="V213" s="2">
        <v>37996.25</v>
      </c>
      <c r="W213" s="2">
        <v>0</v>
      </c>
    </row>
    <row r="214" spans="1:23" outlineLevel="2" x14ac:dyDescent="0.2">
      <c r="A214" t="s">
        <v>0</v>
      </c>
      <c r="B214" t="s">
        <v>39</v>
      </c>
      <c r="C214" t="s">
        <v>40</v>
      </c>
      <c r="D214" t="s">
        <v>77</v>
      </c>
      <c r="E214" t="s">
        <v>78</v>
      </c>
      <c r="F214" t="s">
        <v>5</v>
      </c>
      <c r="G214" t="s">
        <v>6</v>
      </c>
      <c r="H214" t="s">
        <v>35</v>
      </c>
      <c r="I214" t="s">
        <v>36</v>
      </c>
      <c r="J214" t="s">
        <v>9</v>
      </c>
      <c r="K214" t="s">
        <v>169</v>
      </c>
      <c r="L214" t="s">
        <v>178</v>
      </c>
      <c r="M214" t="s">
        <v>15</v>
      </c>
      <c r="N214" s="2">
        <v>2342671.66</v>
      </c>
      <c r="O214" s="2">
        <v>-44573.19</v>
      </c>
      <c r="P214" s="2">
        <v>-2091170.57</v>
      </c>
      <c r="Q214" s="2">
        <v>206927.9</v>
      </c>
      <c r="R214" s="2">
        <v>10093.31</v>
      </c>
      <c r="S214" s="2">
        <v>196834.59</v>
      </c>
      <c r="T214" s="2">
        <v>196834.59</v>
      </c>
      <c r="U214" s="2">
        <v>10093.31</v>
      </c>
      <c r="V214" s="2">
        <v>10093.31</v>
      </c>
      <c r="W214" s="2">
        <v>0</v>
      </c>
    </row>
    <row r="215" spans="1:23" outlineLevel="2" x14ac:dyDescent="0.2">
      <c r="A215" t="s">
        <v>0</v>
      </c>
      <c r="B215" t="s">
        <v>39</v>
      </c>
      <c r="C215" t="s">
        <v>58</v>
      </c>
      <c r="D215" t="s">
        <v>137</v>
      </c>
      <c r="E215" t="s">
        <v>138</v>
      </c>
      <c r="F215" t="s">
        <v>5</v>
      </c>
      <c r="G215" t="s">
        <v>6</v>
      </c>
      <c r="H215" t="s">
        <v>35</v>
      </c>
      <c r="I215" t="s">
        <v>36</v>
      </c>
      <c r="J215" t="s">
        <v>9</v>
      </c>
      <c r="K215" t="s">
        <v>169</v>
      </c>
      <c r="L215" t="s">
        <v>170</v>
      </c>
      <c r="M215" t="s">
        <v>15</v>
      </c>
      <c r="N215" s="2">
        <v>102972.76</v>
      </c>
      <c r="O215" s="2">
        <v>0</v>
      </c>
      <c r="P215" s="2">
        <v>-95092.27</v>
      </c>
      <c r="Q215" s="2">
        <v>7880.49</v>
      </c>
      <c r="R215" s="2">
        <v>790.33</v>
      </c>
      <c r="S215" s="2">
        <v>7090.16</v>
      </c>
      <c r="T215" s="2">
        <v>7090.16</v>
      </c>
      <c r="U215" s="2">
        <v>790.33</v>
      </c>
      <c r="V215" s="2">
        <v>790.33</v>
      </c>
      <c r="W215" s="2">
        <v>0</v>
      </c>
    </row>
    <row r="216" spans="1:23" outlineLevel="2" x14ac:dyDescent="0.2">
      <c r="A216" t="s">
        <v>0</v>
      </c>
      <c r="B216" t="s">
        <v>53</v>
      </c>
      <c r="C216" t="s">
        <v>54</v>
      </c>
      <c r="D216" t="s">
        <v>55</v>
      </c>
      <c r="E216" t="s">
        <v>56</v>
      </c>
      <c r="F216" t="s">
        <v>5</v>
      </c>
      <c r="G216" t="s">
        <v>6</v>
      </c>
      <c r="H216" t="s">
        <v>35</v>
      </c>
      <c r="I216" t="s">
        <v>36</v>
      </c>
      <c r="J216" t="s">
        <v>9</v>
      </c>
      <c r="K216" t="s">
        <v>169</v>
      </c>
      <c r="L216" t="s">
        <v>179</v>
      </c>
      <c r="M216" t="s">
        <v>15</v>
      </c>
      <c r="N216" s="2">
        <v>132557.49</v>
      </c>
      <c r="O216" s="2">
        <v>11531.53</v>
      </c>
      <c r="P216" s="2">
        <v>-119310.62</v>
      </c>
      <c r="Q216" s="2">
        <v>24778.400000000001</v>
      </c>
      <c r="R216" s="2">
        <v>3617.78</v>
      </c>
      <c r="S216" s="2">
        <v>21160.62</v>
      </c>
      <c r="T216" s="2">
        <v>21160.62</v>
      </c>
      <c r="U216" s="2">
        <v>3617.78</v>
      </c>
      <c r="V216" s="2">
        <v>3617.78</v>
      </c>
      <c r="W216" s="2">
        <v>0</v>
      </c>
    </row>
    <row r="217" spans="1:23" outlineLevel="2" x14ac:dyDescent="0.2">
      <c r="A217" t="s">
        <v>0</v>
      </c>
      <c r="B217" t="s">
        <v>39</v>
      </c>
      <c r="C217" t="s">
        <v>58</v>
      </c>
      <c r="D217" t="s">
        <v>129</v>
      </c>
      <c r="E217" t="s">
        <v>130</v>
      </c>
      <c r="F217" t="s">
        <v>5</v>
      </c>
      <c r="G217" t="s">
        <v>6</v>
      </c>
      <c r="H217" t="s">
        <v>35</v>
      </c>
      <c r="I217" t="s">
        <v>36</v>
      </c>
      <c r="J217" t="s">
        <v>9</v>
      </c>
      <c r="K217" t="s">
        <v>169</v>
      </c>
      <c r="L217" t="s">
        <v>170</v>
      </c>
      <c r="M217" t="s">
        <v>15</v>
      </c>
      <c r="N217" s="2">
        <v>40640</v>
      </c>
      <c r="O217" s="2">
        <v>385.75</v>
      </c>
      <c r="P217" s="2">
        <v>-36372.22</v>
      </c>
      <c r="Q217" s="2">
        <v>4653.53</v>
      </c>
      <c r="R217" s="2">
        <v>0</v>
      </c>
      <c r="S217" s="2">
        <v>4653.53</v>
      </c>
      <c r="T217" s="2">
        <v>4653.53</v>
      </c>
      <c r="U217" s="2">
        <v>0</v>
      </c>
      <c r="V217" s="2">
        <v>0</v>
      </c>
      <c r="W217" s="2">
        <v>0</v>
      </c>
    </row>
    <row r="218" spans="1:23" outlineLevel="2" x14ac:dyDescent="0.2">
      <c r="A218" t="s">
        <v>0</v>
      </c>
      <c r="B218" t="s">
        <v>1</v>
      </c>
      <c r="C218" t="s">
        <v>16</v>
      </c>
      <c r="D218" t="s">
        <v>64</v>
      </c>
      <c r="E218" t="s">
        <v>65</v>
      </c>
      <c r="F218" t="s">
        <v>5</v>
      </c>
      <c r="G218" t="s">
        <v>6</v>
      </c>
      <c r="H218" t="s">
        <v>35</v>
      </c>
      <c r="I218" t="s">
        <v>36</v>
      </c>
      <c r="J218" t="s">
        <v>9</v>
      </c>
      <c r="K218" t="s">
        <v>169</v>
      </c>
      <c r="L218" t="s">
        <v>171</v>
      </c>
      <c r="M218" t="s">
        <v>15</v>
      </c>
      <c r="N218" s="2">
        <v>32506</v>
      </c>
      <c r="O218" s="2">
        <v>0</v>
      </c>
      <c r="P218" s="2">
        <v>-27974.95</v>
      </c>
      <c r="Q218" s="2">
        <v>4531.05</v>
      </c>
      <c r="R218" s="2">
        <v>674</v>
      </c>
      <c r="S218" s="2">
        <v>3857.05</v>
      </c>
      <c r="T218" s="2">
        <v>3857.05</v>
      </c>
      <c r="U218" s="2">
        <v>674</v>
      </c>
      <c r="V218" s="2">
        <v>674</v>
      </c>
      <c r="W218" s="2">
        <v>0</v>
      </c>
    </row>
    <row r="219" spans="1:23" outlineLevel="2" x14ac:dyDescent="0.2">
      <c r="A219" t="s">
        <v>0</v>
      </c>
      <c r="B219" t="s">
        <v>39</v>
      </c>
      <c r="C219" t="s">
        <v>58</v>
      </c>
      <c r="D219" t="s">
        <v>59</v>
      </c>
      <c r="E219" t="s">
        <v>60</v>
      </c>
      <c r="F219" t="s">
        <v>5</v>
      </c>
      <c r="G219" t="s">
        <v>6</v>
      </c>
      <c r="H219" t="s">
        <v>35</v>
      </c>
      <c r="I219" t="s">
        <v>36</v>
      </c>
      <c r="J219" t="s">
        <v>9</v>
      </c>
      <c r="K219" t="s">
        <v>169</v>
      </c>
      <c r="L219" t="s">
        <v>170</v>
      </c>
      <c r="M219" t="s">
        <v>12</v>
      </c>
      <c r="N219" s="2">
        <v>0</v>
      </c>
      <c r="O219" s="2">
        <v>0</v>
      </c>
      <c r="P219" s="2">
        <v>61830.12</v>
      </c>
      <c r="Q219" s="2">
        <v>61830.12</v>
      </c>
      <c r="R219" s="2">
        <v>0</v>
      </c>
      <c r="S219" s="2">
        <v>1340.19</v>
      </c>
      <c r="T219" s="2">
        <v>1340.19</v>
      </c>
      <c r="U219" s="2">
        <v>60489.93</v>
      </c>
      <c r="V219" s="2">
        <v>60489.93</v>
      </c>
      <c r="W219" s="2">
        <v>60489.93</v>
      </c>
    </row>
    <row r="220" spans="1:23" outlineLevel="2" x14ac:dyDescent="0.2">
      <c r="A220" t="s">
        <v>0</v>
      </c>
      <c r="B220" t="s">
        <v>31</v>
      </c>
      <c r="C220" t="s">
        <v>79</v>
      </c>
      <c r="D220" t="s">
        <v>127</v>
      </c>
      <c r="E220" t="s">
        <v>128</v>
      </c>
      <c r="F220" t="s">
        <v>5</v>
      </c>
      <c r="G220" t="s">
        <v>6</v>
      </c>
      <c r="H220" t="s">
        <v>35</v>
      </c>
      <c r="I220" t="s">
        <v>36</v>
      </c>
      <c r="J220" t="s">
        <v>9</v>
      </c>
      <c r="K220" t="s">
        <v>169</v>
      </c>
      <c r="L220" t="s">
        <v>172</v>
      </c>
      <c r="M220" t="s">
        <v>15</v>
      </c>
      <c r="N220" s="2">
        <v>99866.14</v>
      </c>
      <c r="O220" s="2">
        <v>-790.98</v>
      </c>
      <c r="P220" s="2">
        <v>-91382.18</v>
      </c>
      <c r="Q220" s="2">
        <v>7692.98</v>
      </c>
      <c r="R220" s="2">
        <v>0</v>
      </c>
      <c r="S220" s="2">
        <v>7692.98</v>
      </c>
      <c r="T220" s="2">
        <v>7692.98</v>
      </c>
      <c r="U220" s="2">
        <v>0</v>
      </c>
      <c r="V220" s="2">
        <v>0</v>
      </c>
      <c r="W220" s="2">
        <v>0</v>
      </c>
    </row>
    <row r="221" spans="1:23" outlineLevel="2" x14ac:dyDescent="0.2">
      <c r="A221" t="s">
        <v>0</v>
      </c>
      <c r="B221" t="s">
        <v>39</v>
      </c>
      <c r="C221" t="s">
        <v>58</v>
      </c>
      <c r="D221" t="s">
        <v>139</v>
      </c>
      <c r="E221" t="s">
        <v>140</v>
      </c>
      <c r="F221" t="s">
        <v>5</v>
      </c>
      <c r="G221" t="s">
        <v>6</v>
      </c>
      <c r="H221" t="s">
        <v>35</v>
      </c>
      <c r="I221" t="s">
        <v>36</v>
      </c>
      <c r="J221" t="s">
        <v>9</v>
      </c>
      <c r="K221" t="s">
        <v>169</v>
      </c>
      <c r="L221" t="s">
        <v>170</v>
      </c>
      <c r="M221" t="s">
        <v>15</v>
      </c>
      <c r="N221" s="2">
        <v>124295.27</v>
      </c>
      <c r="O221" s="2">
        <v>0</v>
      </c>
      <c r="P221" s="2">
        <v>-108956.61</v>
      </c>
      <c r="Q221" s="2">
        <v>15338.66</v>
      </c>
      <c r="R221" s="2">
        <v>678.73</v>
      </c>
      <c r="S221" s="2">
        <v>14659.93</v>
      </c>
      <c r="T221" s="2">
        <v>14659.93</v>
      </c>
      <c r="U221" s="2">
        <v>678.73</v>
      </c>
      <c r="V221" s="2">
        <v>678.73</v>
      </c>
      <c r="W221" s="2">
        <v>0</v>
      </c>
    </row>
    <row r="222" spans="1:23" outlineLevel="2" x14ac:dyDescent="0.2">
      <c r="A222" t="s">
        <v>0</v>
      </c>
      <c r="B222" t="s">
        <v>39</v>
      </c>
      <c r="C222" t="s">
        <v>58</v>
      </c>
      <c r="D222" t="s">
        <v>143</v>
      </c>
      <c r="E222" t="s">
        <v>144</v>
      </c>
      <c r="F222" t="s">
        <v>5</v>
      </c>
      <c r="G222" t="s">
        <v>6</v>
      </c>
      <c r="H222" t="s">
        <v>35</v>
      </c>
      <c r="I222" t="s">
        <v>36</v>
      </c>
      <c r="J222" t="s">
        <v>9</v>
      </c>
      <c r="K222" t="s">
        <v>169</v>
      </c>
      <c r="L222" t="s">
        <v>170</v>
      </c>
      <c r="M222" t="s">
        <v>15</v>
      </c>
      <c r="N222" s="2">
        <v>122966.31</v>
      </c>
      <c r="O222" s="2">
        <v>-246.17</v>
      </c>
      <c r="P222" s="2">
        <v>-105702.04</v>
      </c>
      <c r="Q222" s="2">
        <v>17018.099999999999</v>
      </c>
      <c r="R222" s="2">
        <v>1206.5</v>
      </c>
      <c r="S222" s="2">
        <v>15811.6</v>
      </c>
      <c r="T222" s="2">
        <v>15811.6</v>
      </c>
      <c r="U222" s="2">
        <v>1206.5</v>
      </c>
      <c r="V222" s="2">
        <v>1206.5</v>
      </c>
      <c r="W222" s="2">
        <v>0</v>
      </c>
    </row>
    <row r="223" spans="1:23" outlineLevel="2" x14ac:dyDescent="0.2">
      <c r="A223" t="s">
        <v>0</v>
      </c>
      <c r="B223" t="s">
        <v>1</v>
      </c>
      <c r="C223" t="s">
        <v>99</v>
      </c>
      <c r="D223" t="s">
        <v>100</v>
      </c>
      <c r="E223" t="s">
        <v>101</v>
      </c>
      <c r="F223" t="s">
        <v>5</v>
      </c>
      <c r="G223" t="s">
        <v>6</v>
      </c>
      <c r="H223" t="s">
        <v>35</v>
      </c>
      <c r="I223" t="s">
        <v>36</v>
      </c>
      <c r="J223" t="s">
        <v>9</v>
      </c>
      <c r="K223" t="s">
        <v>169</v>
      </c>
      <c r="L223" t="s">
        <v>180</v>
      </c>
      <c r="M223" t="s">
        <v>15</v>
      </c>
      <c r="N223" s="2">
        <v>106712.51</v>
      </c>
      <c r="O223" s="2">
        <v>-724.67</v>
      </c>
      <c r="P223" s="2">
        <v>-66215.14</v>
      </c>
      <c r="Q223" s="2">
        <v>39772.699999999997</v>
      </c>
      <c r="R223" s="2">
        <v>29640.35</v>
      </c>
      <c r="S223" s="2">
        <v>10132.35</v>
      </c>
      <c r="T223" s="2">
        <v>10132.35</v>
      </c>
      <c r="U223" s="2">
        <v>29640.35</v>
      </c>
      <c r="V223" s="2">
        <v>29640.35</v>
      </c>
      <c r="W223" s="2">
        <v>0</v>
      </c>
    </row>
    <row r="224" spans="1:23" outlineLevel="2" x14ac:dyDescent="0.2">
      <c r="A224" t="s">
        <v>0</v>
      </c>
      <c r="B224" t="s">
        <v>39</v>
      </c>
      <c r="C224" t="s">
        <v>58</v>
      </c>
      <c r="D224" t="s">
        <v>119</v>
      </c>
      <c r="E224" t="s">
        <v>120</v>
      </c>
      <c r="F224" t="s">
        <v>5</v>
      </c>
      <c r="G224" t="s">
        <v>6</v>
      </c>
      <c r="H224" t="s">
        <v>35</v>
      </c>
      <c r="I224" t="s">
        <v>36</v>
      </c>
      <c r="J224" t="s">
        <v>9</v>
      </c>
      <c r="K224" t="s">
        <v>169</v>
      </c>
      <c r="L224" t="s">
        <v>170</v>
      </c>
      <c r="M224" t="s">
        <v>15</v>
      </c>
      <c r="N224" s="2">
        <v>39013</v>
      </c>
      <c r="O224" s="2">
        <v>-306</v>
      </c>
      <c r="P224" s="2">
        <v>-27187.69</v>
      </c>
      <c r="Q224" s="2">
        <v>11519.31</v>
      </c>
      <c r="R224" s="2">
        <v>2500</v>
      </c>
      <c r="S224" s="2">
        <v>9019.31</v>
      </c>
      <c r="T224" s="2">
        <v>9019.31</v>
      </c>
      <c r="U224" s="2">
        <v>2500</v>
      </c>
      <c r="V224" s="2">
        <v>2500</v>
      </c>
      <c r="W224" s="2">
        <v>0</v>
      </c>
    </row>
    <row r="225" spans="1:23" outlineLevel="2" x14ac:dyDescent="0.2">
      <c r="A225" t="s">
        <v>0</v>
      </c>
      <c r="B225" t="s">
        <v>1</v>
      </c>
      <c r="C225" t="s">
        <v>91</v>
      </c>
      <c r="D225" t="s">
        <v>92</v>
      </c>
      <c r="E225" t="s">
        <v>93</v>
      </c>
      <c r="F225" t="s">
        <v>5</v>
      </c>
      <c r="G225" t="s">
        <v>6</v>
      </c>
      <c r="H225" t="s">
        <v>35</v>
      </c>
      <c r="I225" t="s">
        <v>36</v>
      </c>
      <c r="J225" t="s">
        <v>9</v>
      </c>
      <c r="K225" t="s">
        <v>169</v>
      </c>
      <c r="L225" t="s">
        <v>181</v>
      </c>
      <c r="M225" t="s">
        <v>15</v>
      </c>
      <c r="N225" s="2">
        <v>328121.86</v>
      </c>
      <c r="O225" s="2">
        <v>-75278.3</v>
      </c>
      <c r="P225" s="2">
        <v>-170033.97</v>
      </c>
      <c r="Q225" s="2">
        <v>82809.59</v>
      </c>
      <c r="R225" s="2">
        <v>0</v>
      </c>
      <c r="S225" s="2">
        <v>82809.59</v>
      </c>
      <c r="T225" s="2">
        <v>76571.009999999995</v>
      </c>
      <c r="U225" s="2">
        <v>0</v>
      </c>
      <c r="V225" s="2">
        <v>6238.58</v>
      </c>
      <c r="W225" s="2">
        <v>0</v>
      </c>
    </row>
    <row r="226" spans="1:23" outlineLevel="2" x14ac:dyDescent="0.2">
      <c r="A226" t="s">
        <v>0</v>
      </c>
      <c r="B226" t="s">
        <v>1</v>
      </c>
      <c r="C226" t="s">
        <v>2</v>
      </c>
      <c r="D226" t="s">
        <v>20</v>
      </c>
      <c r="E226" t="s">
        <v>21</v>
      </c>
      <c r="F226" t="s">
        <v>5</v>
      </c>
      <c r="G226" t="s">
        <v>6</v>
      </c>
      <c r="H226" t="s">
        <v>35</v>
      </c>
      <c r="I226" t="s">
        <v>36</v>
      </c>
      <c r="J226" t="s">
        <v>9</v>
      </c>
      <c r="K226" t="s">
        <v>169</v>
      </c>
      <c r="L226" t="s">
        <v>174</v>
      </c>
      <c r="M226" t="s">
        <v>15</v>
      </c>
      <c r="N226" s="2">
        <v>877696.24</v>
      </c>
      <c r="O226" s="2">
        <v>6908.15</v>
      </c>
      <c r="P226" s="2">
        <v>-690155.64</v>
      </c>
      <c r="Q226" s="2">
        <v>194448.75</v>
      </c>
      <c r="R226" s="2">
        <v>63264.71</v>
      </c>
      <c r="S226" s="2">
        <v>131184.04</v>
      </c>
      <c r="T226" s="2">
        <v>130077.79</v>
      </c>
      <c r="U226" s="2">
        <v>63264.71</v>
      </c>
      <c r="V226" s="2">
        <v>64370.96</v>
      </c>
      <c r="W226" s="2">
        <v>0</v>
      </c>
    </row>
    <row r="227" spans="1:23" outlineLevel="2" x14ac:dyDescent="0.2">
      <c r="A227" t="s">
        <v>0</v>
      </c>
      <c r="B227" t="s">
        <v>39</v>
      </c>
      <c r="C227" t="s">
        <v>66</v>
      </c>
      <c r="D227" t="s">
        <v>121</v>
      </c>
      <c r="E227" t="s">
        <v>122</v>
      </c>
      <c r="F227" t="s">
        <v>5</v>
      </c>
      <c r="G227" t="s">
        <v>6</v>
      </c>
      <c r="H227" t="s">
        <v>35</v>
      </c>
      <c r="I227" t="s">
        <v>36</v>
      </c>
      <c r="J227" t="s">
        <v>9</v>
      </c>
      <c r="K227" t="s">
        <v>169</v>
      </c>
      <c r="L227" t="s">
        <v>182</v>
      </c>
      <c r="M227" t="s">
        <v>15</v>
      </c>
      <c r="N227" s="2">
        <v>103889.71</v>
      </c>
      <c r="O227" s="2">
        <v>257.17</v>
      </c>
      <c r="P227" s="2">
        <v>-76518.2</v>
      </c>
      <c r="Q227" s="2">
        <v>27628.68</v>
      </c>
      <c r="R227" s="2">
        <v>547.5</v>
      </c>
      <c r="S227" s="2">
        <v>27081.18</v>
      </c>
      <c r="T227" s="2">
        <v>27081.18</v>
      </c>
      <c r="U227" s="2">
        <v>547.5</v>
      </c>
      <c r="V227" s="2">
        <v>547.5</v>
      </c>
      <c r="W227" s="2">
        <v>0</v>
      </c>
    </row>
    <row r="228" spans="1:23" outlineLevel="2" x14ac:dyDescent="0.2">
      <c r="A228" t="s">
        <v>0</v>
      </c>
      <c r="B228" t="s">
        <v>39</v>
      </c>
      <c r="C228" t="s">
        <v>66</v>
      </c>
      <c r="D228" t="s">
        <v>67</v>
      </c>
      <c r="E228" t="s">
        <v>68</v>
      </c>
      <c r="F228" t="s">
        <v>5</v>
      </c>
      <c r="G228" t="s">
        <v>6</v>
      </c>
      <c r="H228" t="s">
        <v>35</v>
      </c>
      <c r="I228" t="s">
        <v>36</v>
      </c>
      <c r="J228" t="s">
        <v>9</v>
      </c>
      <c r="K228" t="s">
        <v>169</v>
      </c>
      <c r="L228" t="s">
        <v>182</v>
      </c>
      <c r="M228" t="s">
        <v>15</v>
      </c>
      <c r="N228" s="2">
        <v>182536</v>
      </c>
      <c r="O228" s="2">
        <v>-5236</v>
      </c>
      <c r="P228" s="2">
        <v>-127079.27</v>
      </c>
      <c r="Q228" s="2">
        <v>50220.73</v>
      </c>
      <c r="R228" s="2">
        <v>3324.71</v>
      </c>
      <c r="S228" s="2">
        <v>46896.02</v>
      </c>
      <c r="T228" s="2">
        <v>46896.02</v>
      </c>
      <c r="U228" s="2">
        <v>3324.71</v>
      </c>
      <c r="V228" s="2">
        <v>3324.71</v>
      </c>
      <c r="W228" s="2">
        <v>0</v>
      </c>
    </row>
    <row r="229" spans="1:23" outlineLevel="2" x14ac:dyDescent="0.2">
      <c r="A229" t="s">
        <v>0</v>
      </c>
      <c r="B229" t="s">
        <v>39</v>
      </c>
      <c r="C229" t="s">
        <v>40</v>
      </c>
      <c r="D229" t="s">
        <v>41</v>
      </c>
      <c r="E229" t="s">
        <v>42</v>
      </c>
      <c r="F229" t="s">
        <v>5</v>
      </c>
      <c r="G229" t="s">
        <v>6</v>
      </c>
      <c r="H229" t="s">
        <v>35</v>
      </c>
      <c r="I229" t="s">
        <v>36</v>
      </c>
      <c r="J229" t="s">
        <v>9</v>
      </c>
      <c r="K229" t="s">
        <v>169</v>
      </c>
      <c r="L229" t="s">
        <v>178</v>
      </c>
      <c r="M229" t="s">
        <v>15</v>
      </c>
      <c r="N229" s="2">
        <v>124580.63</v>
      </c>
      <c r="O229" s="2">
        <v>0</v>
      </c>
      <c r="P229" s="2">
        <v>-86172.34</v>
      </c>
      <c r="Q229" s="2">
        <v>38408.29</v>
      </c>
      <c r="R229" s="2">
        <v>5973.41</v>
      </c>
      <c r="S229" s="2">
        <v>32434.880000000001</v>
      </c>
      <c r="T229" s="2">
        <v>32434.880000000001</v>
      </c>
      <c r="U229" s="2">
        <v>5973.41</v>
      </c>
      <c r="V229" s="2">
        <v>5973.41</v>
      </c>
      <c r="W229" s="2">
        <v>0</v>
      </c>
    </row>
    <row r="230" spans="1:23" outlineLevel="2" x14ac:dyDescent="0.2">
      <c r="A230" t="s">
        <v>0</v>
      </c>
      <c r="B230" t="s">
        <v>39</v>
      </c>
      <c r="C230" t="s">
        <v>58</v>
      </c>
      <c r="D230" t="s">
        <v>59</v>
      </c>
      <c r="E230" t="s">
        <v>60</v>
      </c>
      <c r="F230" t="s">
        <v>5</v>
      </c>
      <c r="G230" t="s">
        <v>6</v>
      </c>
      <c r="H230" t="s">
        <v>35</v>
      </c>
      <c r="I230" t="s">
        <v>36</v>
      </c>
      <c r="J230" t="s">
        <v>9</v>
      </c>
      <c r="K230" t="s">
        <v>169</v>
      </c>
      <c r="L230" t="s">
        <v>170</v>
      </c>
      <c r="M230" t="s">
        <v>15</v>
      </c>
      <c r="N230" s="2">
        <v>75757.5</v>
      </c>
      <c r="O230" s="2">
        <v>-153</v>
      </c>
      <c r="P230" s="2">
        <v>-61830.12</v>
      </c>
      <c r="Q230" s="2">
        <v>13774.38</v>
      </c>
      <c r="R230" s="2">
        <v>1091.25</v>
      </c>
      <c r="S230" s="2">
        <v>12683.13</v>
      </c>
      <c r="T230" s="2">
        <v>12683.13</v>
      </c>
      <c r="U230" s="2">
        <v>1091.25</v>
      </c>
      <c r="V230" s="2">
        <v>1091.25</v>
      </c>
      <c r="W230" s="2">
        <v>0</v>
      </c>
    </row>
    <row r="231" spans="1:23" outlineLevel="2" x14ac:dyDescent="0.2">
      <c r="A231" t="s">
        <v>0</v>
      </c>
      <c r="B231" t="s">
        <v>39</v>
      </c>
      <c r="C231" t="s">
        <v>58</v>
      </c>
      <c r="D231" t="s">
        <v>145</v>
      </c>
      <c r="E231" t="s">
        <v>146</v>
      </c>
      <c r="F231" t="s">
        <v>5</v>
      </c>
      <c r="G231" t="s">
        <v>6</v>
      </c>
      <c r="H231" t="s">
        <v>35</v>
      </c>
      <c r="I231" t="s">
        <v>36</v>
      </c>
      <c r="J231" t="s">
        <v>9</v>
      </c>
      <c r="K231" t="s">
        <v>169</v>
      </c>
      <c r="L231" t="s">
        <v>170</v>
      </c>
      <c r="M231" t="s">
        <v>15</v>
      </c>
      <c r="N231" s="2">
        <v>91576.9</v>
      </c>
      <c r="O231" s="2">
        <v>838.33</v>
      </c>
      <c r="P231" s="2">
        <v>-80129.27</v>
      </c>
      <c r="Q231" s="2">
        <v>12285.96</v>
      </c>
      <c r="R231" s="2">
        <v>0</v>
      </c>
      <c r="S231" s="2">
        <v>12285.96</v>
      </c>
      <c r="T231" s="2">
        <v>12285.96</v>
      </c>
      <c r="U231" s="2">
        <v>0</v>
      </c>
      <c r="V231" s="2">
        <v>0</v>
      </c>
      <c r="W231" s="2">
        <v>0</v>
      </c>
    </row>
    <row r="232" spans="1:23" outlineLevel="2" x14ac:dyDescent="0.2">
      <c r="A232" t="s">
        <v>0</v>
      </c>
      <c r="B232" t="s">
        <v>39</v>
      </c>
      <c r="C232" t="s">
        <v>58</v>
      </c>
      <c r="D232" t="s">
        <v>147</v>
      </c>
      <c r="E232" t="s">
        <v>148</v>
      </c>
      <c r="F232" t="s">
        <v>5</v>
      </c>
      <c r="G232" t="s">
        <v>6</v>
      </c>
      <c r="H232" t="s">
        <v>35</v>
      </c>
      <c r="I232" t="s">
        <v>36</v>
      </c>
      <c r="J232" t="s">
        <v>9</v>
      </c>
      <c r="K232" t="s">
        <v>169</v>
      </c>
      <c r="L232" t="s">
        <v>170</v>
      </c>
      <c r="M232" t="s">
        <v>15</v>
      </c>
      <c r="N232" s="2">
        <v>113935.47</v>
      </c>
      <c r="O232" s="2">
        <v>0</v>
      </c>
      <c r="P232" s="2">
        <v>-103179.22</v>
      </c>
      <c r="Q232" s="2">
        <v>10756.25</v>
      </c>
      <c r="R232" s="2">
        <v>435</v>
      </c>
      <c r="S232" s="2">
        <v>10321.25</v>
      </c>
      <c r="T232" s="2">
        <v>10321.25</v>
      </c>
      <c r="U232" s="2">
        <v>435</v>
      </c>
      <c r="V232" s="2">
        <v>435</v>
      </c>
      <c r="W232" s="2">
        <v>0</v>
      </c>
    </row>
    <row r="233" spans="1:23" outlineLevel="2" x14ac:dyDescent="0.2">
      <c r="A233" t="s">
        <v>0</v>
      </c>
      <c r="B233" t="s">
        <v>31</v>
      </c>
      <c r="C233" t="s">
        <v>79</v>
      </c>
      <c r="D233" t="s">
        <v>131</v>
      </c>
      <c r="E233" t="s">
        <v>132</v>
      </c>
      <c r="F233" t="s">
        <v>5</v>
      </c>
      <c r="G233" t="s">
        <v>6</v>
      </c>
      <c r="H233" t="s">
        <v>35</v>
      </c>
      <c r="I233" t="s">
        <v>36</v>
      </c>
      <c r="J233" t="s">
        <v>9</v>
      </c>
      <c r="K233" t="s">
        <v>169</v>
      </c>
      <c r="L233" t="s">
        <v>172</v>
      </c>
      <c r="M233" t="s">
        <v>15</v>
      </c>
      <c r="N233" s="2">
        <v>154218.54999999999</v>
      </c>
      <c r="O233" s="2">
        <v>-800.78</v>
      </c>
      <c r="P233" s="2">
        <v>-138941.70000000001</v>
      </c>
      <c r="Q233" s="2">
        <v>14476.07</v>
      </c>
      <c r="R233" s="2">
        <v>0</v>
      </c>
      <c r="S233" s="2">
        <v>14476.07</v>
      </c>
      <c r="T233" s="2">
        <v>14368.45</v>
      </c>
      <c r="U233" s="2">
        <v>0</v>
      </c>
      <c r="V233" s="2">
        <v>107.62</v>
      </c>
      <c r="W233" s="2">
        <v>0</v>
      </c>
    </row>
    <row r="234" spans="1:23" outlineLevel="2" x14ac:dyDescent="0.2">
      <c r="A234" t="s">
        <v>0</v>
      </c>
      <c r="B234" t="s">
        <v>31</v>
      </c>
      <c r="C234" t="s">
        <v>32</v>
      </c>
      <c r="D234" t="s">
        <v>141</v>
      </c>
      <c r="E234" t="s">
        <v>142</v>
      </c>
      <c r="F234" t="s">
        <v>5</v>
      </c>
      <c r="G234" t="s">
        <v>6</v>
      </c>
      <c r="H234" t="s">
        <v>35</v>
      </c>
      <c r="I234" t="s">
        <v>36</v>
      </c>
      <c r="J234" t="s">
        <v>9</v>
      </c>
      <c r="K234" t="s">
        <v>169</v>
      </c>
      <c r="L234" t="s">
        <v>177</v>
      </c>
      <c r="M234" t="s">
        <v>15</v>
      </c>
      <c r="N234" s="2">
        <v>123336.13</v>
      </c>
      <c r="O234" s="2">
        <v>-10207.790000000001</v>
      </c>
      <c r="P234" s="2">
        <v>-59017.62</v>
      </c>
      <c r="Q234" s="2">
        <v>54110.720000000001</v>
      </c>
      <c r="R234" s="2">
        <v>35292.300000000003</v>
      </c>
      <c r="S234" s="2">
        <v>18818.419999999998</v>
      </c>
      <c r="T234" s="2">
        <v>18818.419999999998</v>
      </c>
      <c r="U234" s="2">
        <v>35292.300000000003</v>
      </c>
      <c r="V234" s="2">
        <v>35292.300000000003</v>
      </c>
      <c r="W234" s="2">
        <v>0</v>
      </c>
    </row>
    <row r="235" spans="1:23" outlineLevel="2" x14ac:dyDescent="0.2">
      <c r="A235" t="s">
        <v>0</v>
      </c>
      <c r="B235" t="s">
        <v>39</v>
      </c>
      <c r="C235" t="s">
        <v>58</v>
      </c>
      <c r="D235" t="s">
        <v>145</v>
      </c>
      <c r="E235" t="s">
        <v>146</v>
      </c>
      <c r="F235" t="s">
        <v>5</v>
      </c>
      <c r="G235" t="s">
        <v>6</v>
      </c>
      <c r="H235" t="s">
        <v>35</v>
      </c>
      <c r="I235" t="s">
        <v>36</v>
      </c>
      <c r="J235" t="s">
        <v>9</v>
      </c>
      <c r="K235" t="s">
        <v>169</v>
      </c>
      <c r="L235" t="s">
        <v>170</v>
      </c>
      <c r="M235" t="s">
        <v>12</v>
      </c>
      <c r="N235" s="2">
        <v>0</v>
      </c>
      <c r="O235" s="2">
        <v>0</v>
      </c>
      <c r="P235" s="2">
        <v>80129.27</v>
      </c>
      <c r="Q235" s="2">
        <v>80129.27</v>
      </c>
      <c r="R235" s="2">
        <v>0</v>
      </c>
      <c r="S235" s="2">
        <v>722.19</v>
      </c>
      <c r="T235" s="2">
        <v>722.19</v>
      </c>
      <c r="U235" s="2">
        <v>79407.08</v>
      </c>
      <c r="V235" s="2">
        <v>79407.08</v>
      </c>
      <c r="W235" s="2">
        <v>79407.08</v>
      </c>
    </row>
    <row r="236" spans="1:23" outlineLevel="2" x14ac:dyDescent="0.2">
      <c r="A236" t="s">
        <v>0</v>
      </c>
      <c r="B236" t="s">
        <v>1</v>
      </c>
      <c r="C236" t="s">
        <v>16</v>
      </c>
      <c r="D236" t="s">
        <v>64</v>
      </c>
      <c r="E236" t="s">
        <v>65</v>
      </c>
      <c r="F236" t="s">
        <v>5</v>
      </c>
      <c r="G236" t="s">
        <v>6</v>
      </c>
      <c r="H236" t="s">
        <v>35</v>
      </c>
      <c r="I236" t="s">
        <v>36</v>
      </c>
      <c r="J236" t="s">
        <v>9</v>
      </c>
      <c r="K236" t="s">
        <v>169</v>
      </c>
      <c r="L236" t="s">
        <v>171</v>
      </c>
      <c r="M236" t="s">
        <v>12</v>
      </c>
      <c r="N236" s="2">
        <v>0</v>
      </c>
      <c r="O236" s="2">
        <v>0</v>
      </c>
      <c r="P236" s="2">
        <v>27974.95</v>
      </c>
      <c r="Q236" s="2">
        <v>27974.95</v>
      </c>
      <c r="R236" s="2">
        <v>0</v>
      </c>
      <c r="S236" s="2">
        <v>808.33</v>
      </c>
      <c r="T236" s="2">
        <v>808.33</v>
      </c>
      <c r="U236" s="2">
        <v>27166.62</v>
      </c>
      <c r="V236" s="2">
        <v>27166.62</v>
      </c>
      <c r="W236" s="2">
        <v>27166.62</v>
      </c>
    </row>
    <row r="237" spans="1:23" outlineLevel="2" x14ac:dyDescent="0.2">
      <c r="A237" t="s">
        <v>0</v>
      </c>
      <c r="B237" t="s">
        <v>31</v>
      </c>
      <c r="C237" t="s">
        <v>79</v>
      </c>
      <c r="D237" t="s">
        <v>115</v>
      </c>
      <c r="E237" t="s">
        <v>116</v>
      </c>
      <c r="F237" t="s">
        <v>5</v>
      </c>
      <c r="G237" t="s">
        <v>6</v>
      </c>
      <c r="H237" t="s">
        <v>35</v>
      </c>
      <c r="I237" t="s">
        <v>36</v>
      </c>
      <c r="J237" t="s">
        <v>9</v>
      </c>
      <c r="K237" t="s">
        <v>169</v>
      </c>
      <c r="L237" t="s">
        <v>172</v>
      </c>
      <c r="M237" t="s">
        <v>15</v>
      </c>
      <c r="N237" s="2">
        <v>66204.86</v>
      </c>
      <c r="O237" s="2">
        <v>-506.89</v>
      </c>
      <c r="P237" s="2">
        <v>-62257.88</v>
      </c>
      <c r="Q237" s="2">
        <v>3440.09</v>
      </c>
      <c r="R237" s="2">
        <v>0</v>
      </c>
      <c r="S237" s="2">
        <v>3440.09</v>
      </c>
      <c r="T237" s="2">
        <v>3440.09</v>
      </c>
      <c r="U237" s="2">
        <v>0</v>
      </c>
      <c r="V237" s="2">
        <v>0</v>
      </c>
      <c r="W237" s="2">
        <v>0</v>
      </c>
    </row>
    <row r="238" spans="1:23" outlineLevel="2" x14ac:dyDescent="0.2">
      <c r="A238" t="s">
        <v>0</v>
      </c>
      <c r="B238" t="s">
        <v>39</v>
      </c>
      <c r="C238" t="s">
        <v>40</v>
      </c>
      <c r="D238" t="s">
        <v>41</v>
      </c>
      <c r="E238" t="s">
        <v>42</v>
      </c>
      <c r="F238" t="s">
        <v>5</v>
      </c>
      <c r="G238" t="s">
        <v>6</v>
      </c>
      <c r="H238" t="s">
        <v>35</v>
      </c>
      <c r="I238" t="s">
        <v>36</v>
      </c>
      <c r="J238" t="s">
        <v>9</v>
      </c>
      <c r="K238" t="s">
        <v>169</v>
      </c>
      <c r="L238" t="s">
        <v>178</v>
      </c>
      <c r="M238" t="s">
        <v>12</v>
      </c>
      <c r="N238" s="2">
        <v>0</v>
      </c>
      <c r="O238" s="2">
        <v>0</v>
      </c>
      <c r="P238" s="2">
        <v>86172.34</v>
      </c>
      <c r="Q238" s="2">
        <v>86172.34</v>
      </c>
      <c r="R238" s="2">
        <v>0</v>
      </c>
      <c r="S238" s="2">
        <v>2913.17</v>
      </c>
      <c r="T238" s="2">
        <v>2913.17</v>
      </c>
      <c r="U238" s="2">
        <v>83259.17</v>
      </c>
      <c r="V238" s="2">
        <v>83259.17</v>
      </c>
      <c r="W238" s="2">
        <v>83259.17</v>
      </c>
    </row>
    <row r="239" spans="1:23" outlineLevel="2" x14ac:dyDescent="0.2">
      <c r="A239" t="s">
        <v>0</v>
      </c>
      <c r="B239" t="s">
        <v>39</v>
      </c>
      <c r="C239" t="s">
        <v>58</v>
      </c>
      <c r="D239" t="s">
        <v>139</v>
      </c>
      <c r="E239" t="s">
        <v>140</v>
      </c>
      <c r="F239" t="s">
        <v>5</v>
      </c>
      <c r="G239" t="s">
        <v>6</v>
      </c>
      <c r="H239" t="s">
        <v>35</v>
      </c>
      <c r="I239" t="s">
        <v>36</v>
      </c>
      <c r="J239" t="s">
        <v>9</v>
      </c>
      <c r="K239" t="s">
        <v>169</v>
      </c>
      <c r="L239" t="s">
        <v>170</v>
      </c>
      <c r="M239" t="s">
        <v>12</v>
      </c>
      <c r="N239" s="2">
        <v>0</v>
      </c>
      <c r="O239" s="2">
        <v>0</v>
      </c>
      <c r="P239" s="2">
        <v>108956.61</v>
      </c>
      <c r="Q239" s="2">
        <v>108956.61</v>
      </c>
      <c r="R239" s="2">
        <v>0</v>
      </c>
      <c r="S239" s="2">
        <v>1382.62</v>
      </c>
      <c r="T239" s="2">
        <v>1382.62</v>
      </c>
      <c r="U239" s="2">
        <v>107573.99</v>
      </c>
      <c r="V239" s="2">
        <v>107573.99</v>
      </c>
      <c r="W239" s="2">
        <v>107573.99</v>
      </c>
    </row>
    <row r="240" spans="1:23" outlineLevel="2" x14ac:dyDescent="0.2">
      <c r="A240" t="s">
        <v>0</v>
      </c>
      <c r="B240" t="s">
        <v>39</v>
      </c>
      <c r="C240" t="s">
        <v>70</v>
      </c>
      <c r="D240" t="s">
        <v>89</v>
      </c>
      <c r="E240" t="s">
        <v>90</v>
      </c>
      <c r="F240" t="s">
        <v>5</v>
      </c>
      <c r="G240" t="s">
        <v>6</v>
      </c>
      <c r="H240" t="s">
        <v>35</v>
      </c>
      <c r="I240" t="s">
        <v>36</v>
      </c>
      <c r="J240" t="s">
        <v>9</v>
      </c>
      <c r="K240" t="s">
        <v>169</v>
      </c>
      <c r="L240" t="s">
        <v>183</v>
      </c>
      <c r="M240" t="s">
        <v>12</v>
      </c>
      <c r="N240" s="2">
        <v>0</v>
      </c>
      <c r="O240" s="2">
        <v>0</v>
      </c>
      <c r="P240" s="2">
        <v>1035297.97</v>
      </c>
      <c r="Q240" s="2">
        <v>1035297.97</v>
      </c>
      <c r="R240" s="2">
        <v>0</v>
      </c>
      <c r="S240" s="2">
        <v>10341.02</v>
      </c>
      <c r="T240" s="2">
        <v>10341.02</v>
      </c>
      <c r="U240" s="2">
        <v>1024956.95</v>
      </c>
      <c r="V240" s="2">
        <v>1024956.95</v>
      </c>
      <c r="W240" s="2">
        <v>1024956.95</v>
      </c>
    </row>
    <row r="241" spans="1:23" outlineLevel="2" x14ac:dyDescent="0.2">
      <c r="A241" t="s">
        <v>0</v>
      </c>
      <c r="B241" t="s">
        <v>1</v>
      </c>
      <c r="C241" t="s">
        <v>16</v>
      </c>
      <c r="D241" t="s">
        <v>17</v>
      </c>
      <c r="E241" t="s">
        <v>18</v>
      </c>
      <c r="F241" t="s">
        <v>5</v>
      </c>
      <c r="G241" t="s">
        <v>6</v>
      </c>
      <c r="H241" t="s">
        <v>35</v>
      </c>
      <c r="I241" t="s">
        <v>36</v>
      </c>
      <c r="J241" t="s">
        <v>9</v>
      </c>
      <c r="K241" t="s">
        <v>169</v>
      </c>
      <c r="L241" t="s">
        <v>171</v>
      </c>
      <c r="M241" t="s">
        <v>12</v>
      </c>
      <c r="N241" s="2">
        <v>0</v>
      </c>
      <c r="O241" s="2">
        <v>0</v>
      </c>
      <c r="P241" s="2">
        <v>224350.32</v>
      </c>
      <c r="Q241" s="2">
        <v>224350.32</v>
      </c>
      <c r="R241" s="2">
        <v>0</v>
      </c>
      <c r="S241" s="2">
        <v>2247.91</v>
      </c>
      <c r="T241" s="2">
        <v>2247.91</v>
      </c>
      <c r="U241" s="2">
        <v>222102.41</v>
      </c>
      <c r="V241" s="2">
        <v>222102.41</v>
      </c>
      <c r="W241" s="2">
        <v>222102.41</v>
      </c>
    </row>
    <row r="242" spans="1:23" outlineLevel="2" x14ac:dyDescent="0.2">
      <c r="A242" t="s">
        <v>0</v>
      </c>
      <c r="B242" t="s">
        <v>1</v>
      </c>
      <c r="C242" t="s">
        <v>44</v>
      </c>
      <c r="D242" t="s">
        <v>45</v>
      </c>
      <c r="E242" t="s">
        <v>46</v>
      </c>
      <c r="F242" t="s">
        <v>5</v>
      </c>
      <c r="G242" t="s">
        <v>6</v>
      </c>
      <c r="H242" t="s">
        <v>35</v>
      </c>
      <c r="I242" t="s">
        <v>36</v>
      </c>
      <c r="J242" t="s">
        <v>9</v>
      </c>
      <c r="K242" t="s">
        <v>169</v>
      </c>
      <c r="L242" t="s">
        <v>175</v>
      </c>
      <c r="M242" t="s">
        <v>12</v>
      </c>
      <c r="N242" s="2">
        <v>0</v>
      </c>
      <c r="O242" s="2">
        <v>0</v>
      </c>
      <c r="P242" s="2">
        <v>41097.19</v>
      </c>
      <c r="Q242" s="2">
        <v>41097.19</v>
      </c>
      <c r="R242" s="2">
        <v>0</v>
      </c>
      <c r="S242" s="2">
        <v>1627.32</v>
      </c>
      <c r="T242" s="2">
        <v>1627.32</v>
      </c>
      <c r="U242" s="2">
        <v>39469.870000000003</v>
      </c>
      <c r="V242" s="2">
        <v>39469.870000000003</v>
      </c>
      <c r="W242" s="2">
        <v>39469.870000000003</v>
      </c>
    </row>
    <row r="243" spans="1:23" outlineLevel="2" x14ac:dyDescent="0.2">
      <c r="A243" t="s">
        <v>0</v>
      </c>
      <c r="B243" t="s">
        <v>39</v>
      </c>
      <c r="C243" t="s">
        <v>66</v>
      </c>
      <c r="D243" t="s">
        <v>67</v>
      </c>
      <c r="E243" t="s">
        <v>68</v>
      </c>
      <c r="F243" t="s">
        <v>5</v>
      </c>
      <c r="G243" t="s">
        <v>6</v>
      </c>
      <c r="H243" t="s">
        <v>35</v>
      </c>
      <c r="I243" t="s">
        <v>36</v>
      </c>
      <c r="J243" t="s">
        <v>9</v>
      </c>
      <c r="K243" t="s">
        <v>169</v>
      </c>
      <c r="L243" t="s">
        <v>182</v>
      </c>
      <c r="M243" t="s">
        <v>12</v>
      </c>
      <c r="N243" s="2">
        <v>0</v>
      </c>
      <c r="O243" s="2">
        <v>0</v>
      </c>
      <c r="P243" s="2">
        <v>127079.27</v>
      </c>
      <c r="Q243" s="2">
        <v>127079.27</v>
      </c>
      <c r="R243" s="2">
        <v>0</v>
      </c>
      <c r="S243" s="2">
        <v>4808.3900000000003</v>
      </c>
      <c r="T243" s="2">
        <v>4808.3900000000003</v>
      </c>
      <c r="U243" s="2">
        <v>122270.88</v>
      </c>
      <c r="V243" s="2">
        <v>122270.88</v>
      </c>
      <c r="W243" s="2">
        <v>122270.88</v>
      </c>
    </row>
    <row r="244" spans="1:23" outlineLevel="2" x14ac:dyDescent="0.2">
      <c r="A244" t="s">
        <v>0</v>
      </c>
      <c r="B244" t="s">
        <v>39</v>
      </c>
      <c r="C244" t="s">
        <v>58</v>
      </c>
      <c r="D244" t="s">
        <v>135</v>
      </c>
      <c r="E244" t="s">
        <v>136</v>
      </c>
      <c r="F244" t="s">
        <v>5</v>
      </c>
      <c r="G244" t="s">
        <v>6</v>
      </c>
      <c r="H244" t="s">
        <v>35</v>
      </c>
      <c r="I244" t="s">
        <v>36</v>
      </c>
      <c r="J244" t="s">
        <v>9</v>
      </c>
      <c r="K244" t="s">
        <v>169</v>
      </c>
      <c r="L244" t="s">
        <v>170</v>
      </c>
      <c r="M244" t="s">
        <v>12</v>
      </c>
      <c r="N244" s="2">
        <v>0</v>
      </c>
      <c r="O244" s="2">
        <v>0</v>
      </c>
      <c r="P244" s="2">
        <v>96034.27</v>
      </c>
      <c r="Q244" s="2">
        <v>96034.27</v>
      </c>
      <c r="R244" s="2">
        <v>0</v>
      </c>
      <c r="S244" s="2">
        <v>1599.91</v>
      </c>
      <c r="T244" s="2">
        <v>1599.91</v>
      </c>
      <c r="U244" s="2">
        <v>94434.36</v>
      </c>
      <c r="V244" s="2">
        <v>94434.36</v>
      </c>
      <c r="W244" s="2">
        <v>94434.36</v>
      </c>
    </row>
    <row r="245" spans="1:23" outlineLevel="2" x14ac:dyDescent="0.2">
      <c r="A245" t="s">
        <v>0</v>
      </c>
      <c r="B245" t="s">
        <v>31</v>
      </c>
      <c r="C245" t="s">
        <v>49</v>
      </c>
      <c r="D245" t="s">
        <v>50</v>
      </c>
      <c r="E245" t="s">
        <v>51</v>
      </c>
      <c r="F245" t="s">
        <v>5</v>
      </c>
      <c r="G245" t="s">
        <v>6</v>
      </c>
      <c r="H245" t="s">
        <v>35</v>
      </c>
      <c r="I245" t="s">
        <v>36</v>
      </c>
      <c r="J245" t="s">
        <v>9</v>
      </c>
      <c r="K245" t="s">
        <v>169</v>
      </c>
      <c r="L245" t="s">
        <v>184</v>
      </c>
      <c r="M245" t="s">
        <v>15</v>
      </c>
      <c r="N245" s="2">
        <v>59289</v>
      </c>
      <c r="O245" s="2">
        <v>22913</v>
      </c>
      <c r="P245" s="2">
        <v>-65388.71</v>
      </c>
      <c r="Q245" s="2">
        <v>16813.29</v>
      </c>
      <c r="R245" s="2">
        <v>5862.5</v>
      </c>
      <c r="S245" s="2">
        <v>10950.79</v>
      </c>
      <c r="T245" s="2">
        <v>10950.79</v>
      </c>
      <c r="U245" s="2">
        <v>5862.5</v>
      </c>
      <c r="V245" s="2">
        <v>5862.5</v>
      </c>
      <c r="W245" s="2">
        <v>0</v>
      </c>
    </row>
    <row r="246" spans="1:23" outlineLevel="2" x14ac:dyDescent="0.2">
      <c r="A246" t="s">
        <v>0</v>
      </c>
      <c r="B246" t="s">
        <v>31</v>
      </c>
      <c r="C246" t="s">
        <v>32</v>
      </c>
      <c r="D246" t="s">
        <v>123</v>
      </c>
      <c r="E246" t="s">
        <v>124</v>
      </c>
      <c r="F246" t="s">
        <v>5</v>
      </c>
      <c r="G246" t="s">
        <v>6</v>
      </c>
      <c r="H246" t="s">
        <v>35</v>
      </c>
      <c r="I246" t="s">
        <v>36</v>
      </c>
      <c r="J246" t="s">
        <v>9</v>
      </c>
      <c r="K246" t="s">
        <v>169</v>
      </c>
      <c r="L246" t="s">
        <v>177</v>
      </c>
      <c r="M246" t="s">
        <v>12</v>
      </c>
      <c r="N246" s="2">
        <v>0</v>
      </c>
      <c r="O246" s="2">
        <v>0</v>
      </c>
      <c r="P246" s="2">
        <v>92277.74</v>
      </c>
      <c r="Q246" s="2">
        <v>92277.74</v>
      </c>
      <c r="R246" s="2">
        <v>0</v>
      </c>
      <c r="S246" s="2">
        <v>880.25</v>
      </c>
      <c r="T246" s="2">
        <v>880.25</v>
      </c>
      <c r="U246" s="2">
        <v>91397.49</v>
      </c>
      <c r="V246" s="2">
        <v>91397.49</v>
      </c>
      <c r="W246" s="2">
        <v>91397.49</v>
      </c>
    </row>
    <row r="247" spans="1:23" outlineLevel="2" x14ac:dyDescent="0.2">
      <c r="A247" t="s">
        <v>0</v>
      </c>
      <c r="B247" t="s">
        <v>39</v>
      </c>
      <c r="C247" t="s">
        <v>70</v>
      </c>
      <c r="D247" t="s">
        <v>71</v>
      </c>
      <c r="E247" t="s">
        <v>72</v>
      </c>
      <c r="F247" t="s">
        <v>5</v>
      </c>
      <c r="G247" t="s">
        <v>6</v>
      </c>
      <c r="H247" t="s">
        <v>35</v>
      </c>
      <c r="I247" t="s">
        <v>36</v>
      </c>
      <c r="J247" t="s">
        <v>9</v>
      </c>
      <c r="K247" t="s">
        <v>169</v>
      </c>
      <c r="L247" t="s">
        <v>183</v>
      </c>
      <c r="M247" t="s">
        <v>15</v>
      </c>
      <c r="N247" s="2">
        <v>285517.53999999998</v>
      </c>
      <c r="O247" s="2">
        <v>-23246.66</v>
      </c>
      <c r="P247" s="2">
        <v>-196806.91</v>
      </c>
      <c r="Q247" s="2">
        <v>65463.97</v>
      </c>
      <c r="R247" s="2">
        <v>23592.89</v>
      </c>
      <c r="S247" s="2">
        <v>41871.08</v>
      </c>
      <c r="T247" s="2">
        <v>41871.08</v>
      </c>
      <c r="U247" s="2">
        <v>23592.89</v>
      </c>
      <c r="V247" s="2">
        <v>23592.89</v>
      </c>
      <c r="W247" s="2">
        <v>0</v>
      </c>
    </row>
    <row r="248" spans="1:23" outlineLevel="2" x14ac:dyDescent="0.2">
      <c r="A248" t="s">
        <v>0</v>
      </c>
      <c r="B248" t="s">
        <v>31</v>
      </c>
      <c r="C248" t="s">
        <v>32</v>
      </c>
      <c r="D248" t="s">
        <v>75</v>
      </c>
      <c r="E248" t="s">
        <v>76</v>
      </c>
      <c r="F248" t="s">
        <v>5</v>
      </c>
      <c r="G248" t="s">
        <v>6</v>
      </c>
      <c r="H248" t="s">
        <v>35</v>
      </c>
      <c r="I248" t="s">
        <v>36</v>
      </c>
      <c r="J248" t="s">
        <v>9</v>
      </c>
      <c r="K248" t="s">
        <v>169</v>
      </c>
      <c r="L248" t="s">
        <v>177</v>
      </c>
      <c r="M248" t="s">
        <v>12</v>
      </c>
      <c r="N248" s="2">
        <v>0</v>
      </c>
      <c r="O248" s="2">
        <v>0</v>
      </c>
      <c r="P248" s="2">
        <v>146051.69</v>
      </c>
      <c r="Q248" s="2">
        <v>146051.69</v>
      </c>
      <c r="R248" s="2">
        <v>0</v>
      </c>
      <c r="S248" s="2">
        <v>2646.82</v>
      </c>
      <c r="T248" s="2">
        <v>2646.82</v>
      </c>
      <c r="U248" s="2">
        <v>143404.87</v>
      </c>
      <c r="V248" s="2">
        <v>143404.87</v>
      </c>
      <c r="W248" s="2">
        <v>143404.87</v>
      </c>
    </row>
    <row r="249" spans="1:23" outlineLevel="2" x14ac:dyDescent="0.2">
      <c r="A249" t="s">
        <v>0</v>
      </c>
      <c r="B249" t="s">
        <v>1</v>
      </c>
      <c r="C249" t="s">
        <v>16</v>
      </c>
      <c r="D249" t="s">
        <v>62</v>
      </c>
      <c r="E249" t="s">
        <v>63</v>
      </c>
      <c r="F249" t="s">
        <v>5</v>
      </c>
      <c r="G249" t="s">
        <v>6</v>
      </c>
      <c r="H249" t="s">
        <v>35</v>
      </c>
      <c r="I249" t="s">
        <v>36</v>
      </c>
      <c r="J249" t="s">
        <v>9</v>
      </c>
      <c r="K249" t="s">
        <v>169</v>
      </c>
      <c r="L249" t="s">
        <v>171</v>
      </c>
      <c r="M249" t="s">
        <v>12</v>
      </c>
      <c r="N249" s="2">
        <v>0</v>
      </c>
      <c r="O249" s="2">
        <v>0</v>
      </c>
      <c r="P249" s="2">
        <v>5707.53</v>
      </c>
      <c r="Q249" s="2">
        <v>5707.53</v>
      </c>
      <c r="R249" s="2">
        <v>0</v>
      </c>
      <c r="S249" s="2">
        <v>250</v>
      </c>
      <c r="T249" s="2">
        <v>250</v>
      </c>
      <c r="U249" s="2">
        <v>5457.53</v>
      </c>
      <c r="V249" s="2">
        <v>5457.53</v>
      </c>
      <c r="W249" s="2">
        <v>5457.53</v>
      </c>
    </row>
    <row r="250" spans="1:23" outlineLevel="2" x14ac:dyDescent="0.2">
      <c r="A250" t="s">
        <v>0</v>
      </c>
      <c r="B250" t="s">
        <v>31</v>
      </c>
      <c r="C250" t="s">
        <v>32</v>
      </c>
      <c r="D250" t="s">
        <v>141</v>
      </c>
      <c r="E250" t="s">
        <v>142</v>
      </c>
      <c r="F250" t="s">
        <v>5</v>
      </c>
      <c r="G250" t="s">
        <v>6</v>
      </c>
      <c r="H250" t="s">
        <v>35</v>
      </c>
      <c r="I250" t="s">
        <v>36</v>
      </c>
      <c r="J250" t="s">
        <v>9</v>
      </c>
      <c r="K250" t="s">
        <v>169</v>
      </c>
      <c r="L250" t="s">
        <v>177</v>
      </c>
      <c r="M250" t="s">
        <v>12</v>
      </c>
      <c r="N250" s="2">
        <v>0</v>
      </c>
      <c r="O250" s="2">
        <v>0</v>
      </c>
      <c r="P250" s="2">
        <v>59017.62</v>
      </c>
      <c r="Q250" s="2">
        <v>59017.62</v>
      </c>
      <c r="R250" s="2">
        <v>0</v>
      </c>
      <c r="S250" s="2">
        <v>1091</v>
      </c>
      <c r="T250" s="2">
        <v>1091</v>
      </c>
      <c r="U250" s="2">
        <v>57926.62</v>
      </c>
      <c r="V250" s="2">
        <v>57926.62</v>
      </c>
      <c r="W250" s="2">
        <v>57926.62</v>
      </c>
    </row>
    <row r="251" spans="1:23" outlineLevel="2" x14ac:dyDescent="0.2">
      <c r="A251" t="s">
        <v>0</v>
      </c>
      <c r="B251" t="s">
        <v>31</v>
      </c>
      <c r="C251" t="s">
        <v>79</v>
      </c>
      <c r="D251" t="s">
        <v>111</v>
      </c>
      <c r="E251" t="s">
        <v>112</v>
      </c>
      <c r="F251" t="s">
        <v>5</v>
      </c>
      <c r="G251" t="s">
        <v>6</v>
      </c>
      <c r="H251" t="s">
        <v>35</v>
      </c>
      <c r="I251" t="s">
        <v>36</v>
      </c>
      <c r="J251" t="s">
        <v>9</v>
      </c>
      <c r="K251" t="s">
        <v>169</v>
      </c>
      <c r="L251" t="s">
        <v>172</v>
      </c>
      <c r="M251" t="s">
        <v>15</v>
      </c>
      <c r="N251" s="2">
        <v>70207.429999999993</v>
      </c>
      <c r="O251" s="2">
        <v>0</v>
      </c>
      <c r="P251" s="2">
        <v>-62323.61</v>
      </c>
      <c r="Q251" s="2">
        <v>7883.82</v>
      </c>
      <c r="R251" s="2">
        <v>0</v>
      </c>
      <c r="S251" s="2">
        <v>7883.82</v>
      </c>
      <c r="T251" s="2">
        <v>7883.82</v>
      </c>
      <c r="U251" s="2">
        <v>0</v>
      </c>
      <c r="V251" s="2">
        <v>0</v>
      </c>
      <c r="W251" s="2">
        <v>0</v>
      </c>
    </row>
    <row r="252" spans="1:23" outlineLevel="2" x14ac:dyDescent="0.2">
      <c r="A252" t="s">
        <v>0</v>
      </c>
      <c r="B252" t="s">
        <v>31</v>
      </c>
      <c r="C252" t="s">
        <v>79</v>
      </c>
      <c r="D252" t="s">
        <v>80</v>
      </c>
      <c r="E252" t="s">
        <v>81</v>
      </c>
      <c r="F252" t="s">
        <v>5</v>
      </c>
      <c r="G252" t="s">
        <v>6</v>
      </c>
      <c r="H252" t="s">
        <v>35</v>
      </c>
      <c r="I252" t="s">
        <v>36</v>
      </c>
      <c r="J252" t="s">
        <v>9</v>
      </c>
      <c r="K252" t="s">
        <v>169</v>
      </c>
      <c r="L252" t="s">
        <v>172</v>
      </c>
      <c r="M252" t="s">
        <v>15</v>
      </c>
      <c r="N252" s="2">
        <v>97625.73</v>
      </c>
      <c r="O252" s="2">
        <v>-800.78</v>
      </c>
      <c r="P252" s="2">
        <v>-92567.55</v>
      </c>
      <c r="Q252" s="2">
        <v>4257.3999999999996</v>
      </c>
      <c r="R252" s="2">
        <v>0</v>
      </c>
      <c r="S252" s="2">
        <v>4257.3999999999996</v>
      </c>
      <c r="T252" s="2">
        <v>4257.3999999999996</v>
      </c>
      <c r="U252" s="2">
        <v>0</v>
      </c>
      <c r="V252" s="2">
        <v>0</v>
      </c>
      <c r="W252" s="2">
        <v>0</v>
      </c>
    </row>
    <row r="253" spans="1:23" outlineLevel="2" x14ac:dyDescent="0.2">
      <c r="A253" t="s">
        <v>0</v>
      </c>
      <c r="B253" t="s">
        <v>31</v>
      </c>
      <c r="C253" t="s">
        <v>79</v>
      </c>
      <c r="D253" t="s">
        <v>125</v>
      </c>
      <c r="E253" t="s">
        <v>126</v>
      </c>
      <c r="F253" t="s">
        <v>5</v>
      </c>
      <c r="G253" t="s">
        <v>6</v>
      </c>
      <c r="H253" t="s">
        <v>35</v>
      </c>
      <c r="I253" t="s">
        <v>36</v>
      </c>
      <c r="J253" t="s">
        <v>9</v>
      </c>
      <c r="K253" t="s">
        <v>169</v>
      </c>
      <c r="L253" t="s">
        <v>172</v>
      </c>
      <c r="M253" t="s">
        <v>12</v>
      </c>
      <c r="N253" s="2">
        <v>0</v>
      </c>
      <c r="O253" s="2">
        <v>0</v>
      </c>
      <c r="P253" s="2">
        <v>70683.5</v>
      </c>
      <c r="Q253" s="2">
        <v>70683.5</v>
      </c>
      <c r="R253" s="2">
        <v>0</v>
      </c>
      <c r="S253" s="2">
        <v>656.08</v>
      </c>
      <c r="T253" s="2">
        <v>656.08</v>
      </c>
      <c r="U253" s="2">
        <v>70027.42</v>
      </c>
      <c r="V253" s="2">
        <v>70027.42</v>
      </c>
      <c r="W253" s="2">
        <v>70027.42</v>
      </c>
    </row>
    <row r="254" spans="1:23" outlineLevel="2" x14ac:dyDescent="0.2">
      <c r="A254" t="s">
        <v>0</v>
      </c>
      <c r="B254" t="s">
        <v>31</v>
      </c>
      <c r="C254" t="s">
        <v>79</v>
      </c>
      <c r="D254" t="s">
        <v>133</v>
      </c>
      <c r="E254" t="s">
        <v>134</v>
      </c>
      <c r="F254" t="s">
        <v>5</v>
      </c>
      <c r="G254" t="s">
        <v>6</v>
      </c>
      <c r="H254" t="s">
        <v>35</v>
      </c>
      <c r="I254" t="s">
        <v>36</v>
      </c>
      <c r="J254" t="s">
        <v>9</v>
      </c>
      <c r="K254" t="s">
        <v>169</v>
      </c>
      <c r="L254" t="s">
        <v>172</v>
      </c>
      <c r="M254" t="s">
        <v>15</v>
      </c>
      <c r="N254" s="2">
        <v>108972.66</v>
      </c>
      <c r="O254" s="2">
        <v>-800.78</v>
      </c>
      <c r="P254" s="2">
        <v>-91140.32</v>
      </c>
      <c r="Q254" s="2">
        <v>17031.560000000001</v>
      </c>
      <c r="R254" s="2">
        <v>0</v>
      </c>
      <c r="S254" s="2">
        <v>17031.560000000001</v>
      </c>
      <c r="T254" s="2">
        <v>17031.560000000001</v>
      </c>
      <c r="U254" s="2">
        <v>0</v>
      </c>
      <c r="V254" s="2">
        <v>0</v>
      </c>
      <c r="W254" s="2">
        <v>0</v>
      </c>
    </row>
    <row r="255" spans="1:23" outlineLevel="2" x14ac:dyDescent="0.2">
      <c r="A255" t="s">
        <v>0</v>
      </c>
      <c r="B255" t="s">
        <v>31</v>
      </c>
      <c r="C255" t="s">
        <v>79</v>
      </c>
      <c r="D255" t="s">
        <v>83</v>
      </c>
      <c r="E255" t="s">
        <v>84</v>
      </c>
      <c r="F255" t="s">
        <v>5</v>
      </c>
      <c r="G255" t="s">
        <v>6</v>
      </c>
      <c r="H255" t="s">
        <v>35</v>
      </c>
      <c r="I255" t="s">
        <v>36</v>
      </c>
      <c r="J255" t="s">
        <v>9</v>
      </c>
      <c r="K255" t="s">
        <v>169</v>
      </c>
      <c r="L255" t="s">
        <v>172</v>
      </c>
      <c r="M255" t="s">
        <v>12</v>
      </c>
      <c r="N255" s="2">
        <v>0</v>
      </c>
      <c r="O255" s="2">
        <v>7761.5</v>
      </c>
      <c r="P255" s="2">
        <v>315168.39</v>
      </c>
      <c r="Q255" s="2">
        <v>322929.89</v>
      </c>
      <c r="R255" s="2">
        <v>7166.93</v>
      </c>
      <c r="S255" s="2">
        <v>2749.68</v>
      </c>
      <c r="T255" s="2">
        <v>2749.68</v>
      </c>
      <c r="U255" s="2">
        <v>320180.21000000002</v>
      </c>
      <c r="V255" s="2">
        <v>320180.21000000002</v>
      </c>
      <c r="W255" s="2">
        <v>313013.28000000003</v>
      </c>
    </row>
    <row r="256" spans="1:23" outlineLevel="2" x14ac:dyDescent="0.2">
      <c r="A256" t="s">
        <v>0</v>
      </c>
      <c r="B256" t="s">
        <v>39</v>
      </c>
      <c r="C256" t="s">
        <v>70</v>
      </c>
      <c r="D256" t="s">
        <v>71</v>
      </c>
      <c r="E256" t="s">
        <v>72</v>
      </c>
      <c r="F256" t="s">
        <v>5</v>
      </c>
      <c r="G256" t="s">
        <v>6</v>
      </c>
      <c r="H256" t="s">
        <v>35</v>
      </c>
      <c r="I256" t="s">
        <v>36</v>
      </c>
      <c r="J256" t="s">
        <v>9</v>
      </c>
      <c r="K256" t="s">
        <v>169</v>
      </c>
      <c r="L256" t="s">
        <v>183</v>
      </c>
      <c r="M256" t="s">
        <v>12</v>
      </c>
      <c r="N256" s="2">
        <v>0</v>
      </c>
      <c r="O256" s="2">
        <v>0</v>
      </c>
      <c r="P256" s="2">
        <v>196806.91</v>
      </c>
      <c r="Q256" s="2">
        <v>196806.91</v>
      </c>
      <c r="R256" s="2">
        <v>0</v>
      </c>
      <c r="S256" s="2">
        <v>1639.06</v>
      </c>
      <c r="T256" s="2">
        <v>1639.06</v>
      </c>
      <c r="U256" s="2">
        <v>195167.85</v>
      </c>
      <c r="V256" s="2">
        <v>195167.85</v>
      </c>
      <c r="W256" s="2">
        <v>195167.85</v>
      </c>
    </row>
    <row r="257" spans="1:23" outlineLevel="2" x14ac:dyDescent="0.2">
      <c r="A257" t="s">
        <v>0</v>
      </c>
      <c r="B257" t="s">
        <v>39</v>
      </c>
      <c r="C257" t="s">
        <v>58</v>
      </c>
      <c r="D257" t="s">
        <v>129</v>
      </c>
      <c r="E257" t="s">
        <v>130</v>
      </c>
      <c r="F257" t="s">
        <v>5</v>
      </c>
      <c r="G257" t="s">
        <v>6</v>
      </c>
      <c r="H257" t="s">
        <v>35</v>
      </c>
      <c r="I257" t="s">
        <v>36</v>
      </c>
      <c r="J257" t="s">
        <v>9</v>
      </c>
      <c r="K257" t="s">
        <v>169</v>
      </c>
      <c r="L257" t="s">
        <v>170</v>
      </c>
      <c r="M257" t="s">
        <v>12</v>
      </c>
      <c r="N257" s="2">
        <v>0</v>
      </c>
      <c r="O257" s="2">
        <v>0</v>
      </c>
      <c r="P257" s="2">
        <v>36372.22</v>
      </c>
      <c r="Q257" s="2">
        <v>36372.22</v>
      </c>
      <c r="R257" s="2">
        <v>0</v>
      </c>
      <c r="S257" s="2">
        <v>663.78</v>
      </c>
      <c r="T257" s="2">
        <v>663.78</v>
      </c>
      <c r="U257" s="2">
        <v>35708.44</v>
      </c>
      <c r="V257" s="2">
        <v>35708.44</v>
      </c>
      <c r="W257" s="2">
        <v>35708.44</v>
      </c>
    </row>
    <row r="258" spans="1:23" outlineLevel="2" x14ac:dyDescent="0.2">
      <c r="A258" t="s">
        <v>0</v>
      </c>
      <c r="B258" t="s">
        <v>39</v>
      </c>
      <c r="C258" t="s">
        <v>66</v>
      </c>
      <c r="D258" t="s">
        <v>121</v>
      </c>
      <c r="E258" t="s">
        <v>122</v>
      </c>
      <c r="F258" t="s">
        <v>5</v>
      </c>
      <c r="G258" t="s">
        <v>6</v>
      </c>
      <c r="H258" t="s">
        <v>35</v>
      </c>
      <c r="I258" t="s">
        <v>36</v>
      </c>
      <c r="J258" t="s">
        <v>9</v>
      </c>
      <c r="K258" t="s">
        <v>169</v>
      </c>
      <c r="L258" t="s">
        <v>182</v>
      </c>
      <c r="M258" t="s">
        <v>12</v>
      </c>
      <c r="N258" s="2">
        <v>0</v>
      </c>
      <c r="O258" s="2">
        <v>0</v>
      </c>
      <c r="P258" s="2">
        <v>76518.2</v>
      </c>
      <c r="Q258" s="2">
        <v>76518.2</v>
      </c>
      <c r="R258" s="2">
        <v>0</v>
      </c>
      <c r="S258" s="2">
        <v>2525.16</v>
      </c>
      <c r="T258" s="2">
        <v>2525.16</v>
      </c>
      <c r="U258" s="2">
        <v>73993.039999999994</v>
      </c>
      <c r="V258" s="2">
        <v>73993.039999999994</v>
      </c>
      <c r="W258" s="2">
        <v>73993.039999999994</v>
      </c>
    </row>
    <row r="259" spans="1:23" outlineLevel="2" x14ac:dyDescent="0.2">
      <c r="A259" t="s">
        <v>0</v>
      </c>
      <c r="B259" t="s">
        <v>39</v>
      </c>
      <c r="C259" t="s">
        <v>58</v>
      </c>
      <c r="D259" t="s">
        <v>137</v>
      </c>
      <c r="E259" t="s">
        <v>138</v>
      </c>
      <c r="F259" t="s">
        <v>5</v>
      </c>
      <c r="G259" t="s">
        <v>6</v>
      </c>
      <c r="H259" t="s">
        <v>35</v>
      </c>
      <c r="I259" t="s">
        <v>36</v>
      </c>
      <c r="J259" t="s">
        <v>9</v>
      </c>
      <c r="K259" t="s">
        <v>169</v>
      </c>
      <c r="L259" t="s">
        <v>170</v>
      </c>
      <c r="M259" t="s">
        <v>12</v>
      </c>
      <c r="N259" s="2">
        <v>0</v>
      </c>
      <c r="O259" s="2">
        <v>0</v>
      </c>
      <c r="P259" s="2">
        <v>95092.27</v>
      </c>
      <c r="Q259" s="2">
        <v>95092.27</v>
      </c>
      <c r="R259" s="2">
        <v>0</v>
      </c>
      <c r="S259" s="2">
        <v>641.91</v>
      </c>
      <c r="T259" s="2">
        <v>641.91</v>
      </c>
      <c r="U259" s="2">
        <v>94450.36</v>
      </c>
      <c r="V259" s="2">
        <v>94450.36</v>
      </c>
      <c r="W259" s="2">
        <v>94450.36</v>
      </c>
    </row>
    <row r="260" spans="1:23" outlineLevel="2" x14ac:dyDescent="0.2">
      <c r="A260" t="s">
        <v>0</v>
      </c>
      <c r="B260" t="s">
        <v>39</v>
      </c>
      <c r="C260" t="s">
        <v>58</v>
      </c>
      <c r="D260" t="s">
        <v>119</v>
      </c>
      <c r="E260" t="s">
        <v>120</v>
      </c>
      <c r="F260" t="s">
        <v>5</v>
      </c>
      <c r="G260" t="s">
        <v>6</v>
      </c>
      <c r="H260" t="s">
        <v>35</v>
      </c>
      <c r="I260" t="s">
        <v>36</v>
      </c>
      <c r="J260" t="s">
        <v>9</v>
      </c>
      <c r="K260" t="s">
        <v>169</v>
      </c>
      <c r="L260" t="s">
        <v>170</v>
      </c>
      <c r="M260" t="s">
        <v>12</v>
      </c>
      <c r="N260" s="2">
        <v>0</v>
      </c>
      <c r="O260" s="2">
        <v>0</v>
      </c>
      <c r="P260" s="2">
        <v>27187.69</v>
      </c>
      <c r="Q260" s="2">
        <v>27187.69</v>
      </c>
      <c r="R260" s="2">
        <v>0</v>
      </c>
      <c r="S260" s="2">
        <v>833.32</v>
      </c>
      <c r="T260" s="2">
        <v>833.32</v>
      </c>
      <c r="U260" s="2">
        <v>26354.37</v>
      </c>
      <c r="V260" s="2">
        <v>26354.37</v>
      </c>
      <c r="W260" s="2">
        <v>26354.37</v>
      </c>
    </row>
    <row r="261" spans="1:23" outlineLevel="2" x14ac:dyDescent="0.2">
      <c r="A261" t="s">
        <v>0</v>
      </c>
      <c r="B261" t="s">
        <v>39</v>
      </c>
      <c r="C261" t="s">
        <v>58</v>
      </c>
      <c r="D261" t="s">
        <v>147</v>
      </c>
      <c r="E261" t="s">
        <v>148</v>
      </c>
      <c r="F261" t="s">
        <v>5</v>
      </c>
      <c r="G261" t="s">
        <v>6</v>
      </c>
      <c r="H261" t="s">
        <v>35</v>
      </c>
      <c r="I261" t="s">
        <v>36</v>
      </c>
      <c r="J261" t="s">
        <v>9</v>
      </c>
      <c r="K261" t="s">
        <v>169</v>
      </c>
      <c r="L261" t="s">
        <v>170</v>
      </c>
      <c r="M261" t="s">
        <v>12</v>
      </c>
      <c r="N261" s="2">
        <v>0</v>
      </c>
      <c r="O261" s="2">
        <v>0</v>
      </c>
      <c r="P261" s="2">
        <v>103179.22</v>
      </c>
      <c r="Q261" s="2">
        <v>103179.22</v>
      </c>
      <c r="R261" s="2">
        <v>0</v>
      </c>
      <c r="S261" s="2">
        <v>318.62</v>
      </c>
      <c r="T261" s="2">
        <v>318.62</v>
      </c>
      <c r="U261" s="2">
        <v>102860.6</v>
      </c>
      <c r="V261" s="2">
        <v>102860.6</v>
      </c>
      <c r="W261" s="2">
        <v>102860.6</v>
      </c>
    </row>
    <row r="262" spans="1:23" outlineLevel="2" x14ac:dyDescent="0.2">
      <c r="A262" t="s">
        <v>0</v>
      </c>
      <c r="B262" t="s">
        <v>31</v>
      </c>
      <c r="C262" t="s">
        <v>79</v>
      </c>
      <c r="D262" t="s">
        <v>115</v>
      </c>
      <c r="E262" t="s">
        <v>116</v>
      </c>
      <c r="F262" t="s">
        <v>5</v>
      </c>
      <c r="G262" t="s">
        <v>6</v>
      </c>
      <c r="H262" t="s">
        <v>35</v>
      </c>
      <c r="I262" t="s">
        <v>36</v>
      </c>
      <c r="J262" t="s">
        <v>9</v>
      </c>
      <c r="K262" t="s">
        <v>169</v>
      </c>
      <c r="L262" t="s">
        <v>172</v>
      </c>
      <c r="M262" t="s">
        <v>12</v>
      </c>
      <c r="N262" s="2">
        <v>0</v>
      </c>
      <c r="O262" s="2">
        <v>1634</v>
      </c>
      <c r="P262" s="2">
        <v>62257.88</v>
      </c>
      <c r="Q262" s="2">
        <v>63891.88</v>
      </c>
      <c r="R262" s="2">
        <v>1634</v>
      </c>
      <c r="S262" s="2">
        <v>454.07</v>
      </c>
      <c r="T262" s="2">
        <v>454.07</v>
      </c>
      <c r="U262" s="2">
        <v>63437.81</v>
      </c>
      <c r="V262" s="2">
        <v>63437.81</v>
      </c>
      <c r="W262" s="2">
        <v>61803.81</v>
      </c>
    </row>
    <row r="263" spans="1:23" outlineLevel="2" x14ac:dyDescent="0.2">
      <c r="A263" t="s">
        <v>0</v>
      </c>
      <c r="B263" t="s">
        <v>31</v>
      </c>
      <c r="C263" t="s">
        <v>79</v>
      </c>
      <c r="D263" t="s">
        <v>83</v>
      </c>
      <c r="E263" t="s">
        <v>84</v>
      </c>
      <c r="F263" t="s">
        <v>5</v>
      </c>
      <c r="G263" t="s">
        <v>6</v>
      </c>
      <c r="H263" t="s">
        <v>35</v>
      </c>
      <c r="I263" t="s">
        <v>36</v>
      </c>
      <c r="J263" t="s">
        <v>9</v>
      </c>
      <c r="K263" t="s">
        <v>169</v>
      </c>
      <c r="L263" t="s">
        <v>172</v>
      </c>
      <c r="M263" t="s">
        <v>15</v>
      </c>
      <c r="N263" s="2">
        <v>488627.02</v>
      </c>
      <c r="O263" s="2">
        <v>-91036.52</v>
      </c>
      <c r="P263" s="2">
        <v>-315168.39</v>
      </c>
      <c r="Q263" s="2">
        <v>82422.11</v>
      </c>
      <c r="R263" s="2">
        <v>44329.72</v>
      </c>
      <c r="S263" s="2">
        <v>38092.39</v>
      </c>
      <c r="T263" s="2">
        <v>37029.019999999997</v>
      </c>
      <c r="U263" s="2">
        <v>44329.72</v>
      </c>
      <c r="V263" s="2">
        <v>45393.09</v>
      </c>
      <c r="W263" s="2">
        <v>0</v>
      </c>
    </row>
    <row r="264" spans="1:23" outlineLevel="2" x14ac:dyDescent="0.2">
      <c r="A264" t="s">
        <v>0</v>
      </c>
      <c r="B264" t="s">
        <v>31</v>
      </c>
      <c r="C264" t="s">
        <v>49</v>
      </c>
      <c r="D264" t="s">
        <v>50</v>
      </c>
      <c r="E264" t="s">
        <v>51</v>
      </c>
      <c r="F264" t="s">
        <v>5</v>
      </c>
      <c r="G264" t="s">
        <v>6</v>
      </c>
      <c r="H264" t="s">
        <v>35</v>
      </c>
      <c r="I264" t="s">
        <v>36</v>
      </c>
      <c r="J264" t="s">
        <v>9</v>
      </c>
      <c r="K264" t="s">
        <v>169</v>
      </c>
      <c r="L264" t="s">
        <v>184</v>
      </c>
      <c r="M264" t="s">
        <v>12</v>
      </c>
      <c r="N264" s="2">
        <v>0</v>
      </c>
      <c r="O264" s="2">
        <v>0</v>
      </c>
      <c r="P264" s="2">
        <v>65388.71</v>
      </c>
      <c r="Q264" s="2">
        <v>65388.71</v>
      </c>
      <c r="R264" s="2">
        <v>0</v>
      </c>
      <c r="S264" s="2">
        <v>1974.72</v>
      </c>
      <c r="T264" s="2">
        <v>1974.72</v>
      </c>
      <c r="U264" s="2">
        <v>63413.99</v>
      </c>
      <c r="V264" s="2">
        <v>63413.99</v>
      </c>
      <c r="W264" s="2">
        <v>63413.99</v>
      </c>
    </row>
    <row r="265" spans="1:23" outlineLevel="2" x14ac:dyDescent="0.2">
      <c r="A265" t="s">
        <v>0</v>
      </c>
      <c r="B265" t="s">
        <v>31</v>
      </c>
      <c r="C265" t="s">
        <v>79</v>
      </c>
      <c r="D265" t="s">
        <v>111</v>
      </c>
      <c r="E265" t="s">
        <v>112</v>
      </c>
      <c r="F265" t="s">
        <v>5</v>
      </c>
      <c r="G265" t="s">
        <v>6</v>
      </c>
      <c r="H265" t="s">
        <v>35</v>
      </c>
      <c r="I265" t="s">
        <v>36</v>
      </c>
      <c r="J265" t="s">
        <v>9</v>
      </c>
      <c r="K265" t="s">
        <v>169</v>
      </c>
      <c r="L265" t="s">
        <v>172</v>
      </c>
      <c r="M265" t="s">
        <v>12</v>
      </c>
      <c r="N265" s="2">
        <v>0</v>
      </c>
      <c r="O265" s="2">
        <v>817</v>
      </c>
      <c r="P265" s="2">
        <v>62323.61</v>
      </c>
      <c r="Q265" s="2">
        <v>63140.61</v>
      </c>
      <c r="R265" s="2">
        <v>817</v>
      </c>
      <c r="S265" s="2">
        <v>624.99</v>
      </c>
      <c r="T265" s="2">
        <v>624.99</v>
      </c>
      <c r="U265" s="2">
        <v>62515.62</v>
      </c>
      <c r="V265" s="2">
        <v>62515.62</v>
      </c>
      <c r="W265" s="2">
        <v>61698.62</v>
      </c>
    </row>
    <row r="266" spans="1:23" outlineLevel="2" x14ac:dyDescent="0.2">
      <c r="A266" t="s">
        <v>0</v>
      </c>
      <c r="B266" t="s">
        <v>39</v>
      </c>
      <c r="C266" t="s">
        <v>70</v>
      </c>
      <c r="D266" t="s">
        <v>89</v>
      </c>
      <c r="E266" t="s">
        <v>90</v>
      </c>
      <c r="F266" t="s">
        <v>5</v>
      </c>
      <c r="G266" t="s">
        <v>6</v>
      </c>
      <c r="H266" t="s">
        <v>35</v>
      </c>
      <c r="I266" t="s">
        <v>36</v>
      </c>
      <c r="J266" t="s">
        <v>9</v>
      </c>
      <c r="K266" t="s">
        <v>169</v>
      </c>
      <c r="L266" t="s">
        <v>183</v>
      </c>
      <c r="M266" t="s">
        <v>15</v>
      </c>
      <c r="N266" s="2">
        <v>1300077.6599999999</v>
      </c>
      <c r="O266" s="2">
        <v>0</v>
      </c>
      <c r="P266" s="2">
        <v>-1035297.97</v>
      </c>
      <c r="Q266" s="2">
        <v>264779.69</v>
      </c>
      <c r="R266" s="2">
        <v>154793</v>
      </c>
      <c r="S266" s="2">
        <v>109986.69</v>
      </c>
      <c r="T266" s="2">
        <v>109986.65</v>
      </c>
      <c r="U266" s="2">
        <v>154793</v>
      </c>
      <c r="V266" s="2">
        <v>154793.04</v>
      </c>
      <c r="W266" s="2">
        <v>0</v>
      </c>
    </row>
    <row r="267" spans="1:23" outlineLevel="2" x14ac:dyDescent="0.2">
      <c r="A267" t="s">
        <v>0</v>
      </c>
      <c r="B267" t="s">
        <v>31</v>
      </c>
      <c r="C267" t="s">
        <v>79</v>
      </c>
      <c r="D267" t="s">
        <v>125</v>
      </c>
      <c r="E267" t="s">
        <v>126</v>
      </c>
      <c r="F267" t="s">
        <v>5</v>
      </c>
      <c r="G267" t="s">
        <v>6</v>
      </c>
      <c r="H267" t="s">
        <v>35</v>
      </c>
      <c r="I267" t="s">
        <v>36</v>
      </c>
      <c r="J267" t="s">
        <v>9</v>
      </c>
      <c r="K267" t="s">
        <v>169</v>
      </c>
      <c r="L267" t="s">
        <v>172</v>
      </c>
      <c r="M267" t="s">
        <v>15</v>
      </c>
      <c r="N267" s="2">
        <v>77244.3</v>
      </c>
      <c r="O267" s="2">
        <v>0</v>
      </c>
      <c r="P267" s="2">
        <v>-70683.5</v>
      </c>
      <c r="Q267" s="2">
        <v>6560.8</v>
      </c>
      <c r="R267" s="2">
        <v>0</v>
      </c>
      <c r="S267" s="2">
        <v>6560.8</v>
      </c>
      <c r="T267" s="2">
        <v>6560.8</v>
      </c>
      <c r="U267" s="2">
        <v>0</v>
      </c>
      <c r="V267" s="2">
        <v>0</v>
      </c>
      <c r="W267" s="2">
        <v>0</v>
      </c>
    </row>
    <row r="268" spans="1:23" outlineLevel="2" x14ac:dyDescent="0.2">
      <c r="A268" t="s">
        <v>0</v>
      </c>
      <c r="B268" t="s">
        <v>31</v>
      </c>
      <c r="C268" t="s">
        <v>32</v>
      </c>
      <c r="D268" t="s">
        <v>123</v>
      </c>
      <c r="E268" t="s">
        <v>124</v>
      </c>
      <c r="F268" t="s">
        <v>5</v>
      </c>
      <c r="G268" t="s">
        <v>6</v>
      </c>
      <c r="H268" t="s">
        <v>35</v>
      </c>
      <c r="I268" t="s">
        <v>36</v>
      </c>
      <c r="J268" t="s">
        <v>9</v>
      </c>
      <c r="K268" t="s">
        <v>169</v>
      </c>
      <c r="L268" t="s">
        <v>177</v>
      </c>
      <c r="M268" t="s">
        <v>15</v>
      </c>
      <c r="N268" s="2">
        <v>239114.25</v>
      </c>
      <c r="O268" s="2">
        <v>-114117.29</v>
      </c>
      <c r="P268" s="2">
        <v>-92277.74</v>
      </c>
      <c r="Q268" s="2">
        <v>32719.22</v>
      </c>
      <c r="R268" s="2">
        <v>17702.78</v>
      </c>
      <c r="S268" s="2">
        <v>15016.44</v>
      </c>
      <c r="T268" s="2">
        <v>15016.44</v>
      </c>
      <c r="U268" s="2">
        <v>17702.78</v>
      </c>
      <c r="V268" s="2">
        <v>17702.78</v>
      </c>
      <c r="W268" s="2">
        <v>0</v>
      </c>
    </row>
    <row r="269" spans="1:23" outlineLevel="2" x14ac:dyDescent="0.2">
      <c r="A269" t="s">
        <v>0</v>
      </c>
      <c r="B269" t="s">
        <v>1</v>
      </c>
      <c r="C269" t="s">
        <v>91</v>
      </c>
      <c r="D269" t="s">
        <v>92</v>
      </c>
      <c r="E269" t="s">
        <v>93</v>
      </c>
      <c r="F269" t="s">
        <v>5</v>
      </c>
      <c r="G269" t="s">
        <v>6</v>
      </c>
      <c r="H269" t="s">
        <v>35</v>
      </c>
      <c r="I269" t="s">
        <v>36</v>
      </c>
      <c r="J269" t="s">
        <v>9</v>
      </c>
      <c r="K269" t="s">
        <v>169</v>
      </c>
      <c r="L269" t="s">
        <v>181</v>
      </c>
      <c r="M269" t="s">
        <v>12</v>
      </c>
      <c r="N269" s="2">
        <v>0</v>
      </c>
      <c r="O269" s="2">
        <v>0</v>
      </c>
      <c r="P269" s="2">
        <v>170033.97</v>
      </c>
      <c r="Q269" s="2">
        <v>170033.97</v>
      </c>
      <c r="R269" s="2">
        <v>0</v>
      </c>
      <c r="S269" s="2">
        <v>3032.44</v>
      </c>
      <c r="T269" s="2">
        <v>3032.44</v>
      </c>
      <c r="U269" s="2">
        <v>167001.53</v>
      </c>
      <c r="V269" s="2">
        <v>167001.53</v>
      </c>
      <c r="W269" s="2">
        <v>167001.53</v>
      </c>
    </row>
    <row r="270" spans="1:23" outlineLevel="2" x14ac:dyDescent="0.2">
      <c r="A270" t="s">
        <v>0</v>
      </c>
      <c r="B270" t="s">
        <v>31</v>
      </c>
      <c r="C270" t="s">
        <v>32</v>
      </c>
      <c r="D270" t="s">
        <v>75</v>
      </c>
      <c r="E270" t="s">
        <v>76</v>
      </c>
      <c r="F270" t="s">
        <v>5</v>
      </c>
      <c r="G270" t="s">
        <v>6</v>
      </c>
      <c r="H270" t="s">
        <v>35</v>
      </c>
      <c r="I270" t="s">
        <v>36</v>
      </c>
      <c r="J270" t="s">
        <v>9</v>
      </c>
      <c r="K270" t="s">
        <v>169</v>
      </c>
      <c r="L270" t="s">
        <v>177</v>
      </c>
      <c r="M270" t="s">
        <v>15</v>
      </c>
      <c r="N270" s="2">
        <v>208670.95</v>
      </c>
      <c r="O270" s="2">
        <v>-4490.1099999999997</v>
      </c>
      <c r="P270" s="2">
        <v>-146051.69</v>
      </c>
      <c r="Q270" s="2">
        <v>58129.15</v>
      </c>
      <c r="R270" s="2">
        <v>22839.03</v>
      </c>
      <c r="S270" s="2">
        <v>35290.120000000003</v>
      </c>
      <c r="T270" s="2">
        <v>34979.01</v>
      </c>
      <c r="U270" s="2">
        <v>22839.03</v>
      </c>
      <c r="V270" s="2">
        <v>23150.14</v>
      </c>
      <c r="W270" s="2">
        <v>0</v>
      </c>
    </row>
    <row r="271" spans="1:23" outlineLevel="2" x14ac:dyDescent="0.2">
      <c r="A271" t="s">
        <v>0</v>
      </c>
      <c r="B271" t="s">
        <v>39</v>
      </c>
      <c r="C271" t="s">
        <v>40</v>
      </c>
      <c r="D271" t="s">
        <v>77</v>
      </c>
      <c r="E271" t="s">
        <v>78</v>
      </c>
      <c r="F271" t="s">
        <v>5</v>
      </c>
      <c r="G271" t="s">
        <v>6</v>
      </c>
      <c r="H271" t="s">
        <v>35</v>
      </c>
      <c r="I271" t="s">
        <v>36</v>
      </c>
      <c r="J271" t="s">
        <v>9</v>
      </c>
      <c r="K271" t="s">
        <v>169</v>
      </c>
      <c r="L271" t="s">
        <v>178</v>
      </c>
      <c r="M271" t="s">
        <v>12</v>
      </c>
      <c r="N271" s="2">
        <v>0</v>
      </c>
      <c r="O271" s="2">
        <v>0</v>
      </c>
      <c r="P271" s="2">
        <v>2091170.57</v>
      </c>
      <c r="Q271" s="2">
        <v>2091170.57</v>
      </c>
      <c r="R271" s="2">
        <v>0</v>
      </c>
      <c r="S271" s="2">
        <v>21873.67</v>
      </c>
      <c r="T271" s="2">
        <v>16654.13</v>
      </c>
      <c r="U271" s="2">
        <v>2069296.9</v>
      </c>
      <c r="V271" s="2">
        <v>2074516.44</v>
      </c>
      <c r="W271" s="2">
        <v>2069296.9</v>
      </c>
    </row>
    <row r="272" spans="1:23" outlineLevel="2" x14ac:dyDescent="0.2">
      <c r="A272" t="s">
        <v>0</v>
      </c>
      <c r="B272" t="s">
        <v>1</v>
      </c>
      <c r="C272" t="s">
        <v>99</v>
      </c>
      <c r="D272" t="s">
        <v>100</v>
      </c>
      <c r="E272" t="s">
        <v>101</v>
      </c>
      <c r="F272" t="s">
        <v>5</v>
      </c>
      <c r="G272" t="s">
        <v>6</v>
      </c>
      <c r="H272" t="s">
        <v>35</v>
      </c>
      <c r="I272" t="s">
        <v>36</v>
      </c>
      <c r="J272" t="s">
        <v>9</v>
      </c>
      <c r="K272" t="s">
        <v>169</v>
      </c>
      <c r="L272" t="s">
        <v>180</v>
      </c>
      <c r="M272" t="s">
        <v>12</v>
      </c>
      <c r="N272" s="2">
        <v>0</v>
      </c>
      <c r="O272" s="2">
        <v>0</v>
      </c>
      <c r="P272" s="2">
        <v>66215.14</v>
      </c>
      <c r="Q272" s="2">
        <v>66215.14</v>
      </c>
      <c r="R272" s="2">
        <v>0</v>
      </c>
      <c r="S272" s="2">
        <v>308.33</v>
      </c>
      <c r="T272" s="2">
        <v>308.33</v>
      </c>
      <c r="U272" s="2">
        <v>65906.81</v>
      </c>
      <c r="V272" s="2">
        <v>65906.81</v>
      </c>
      <c r="W272" s="2">
        <v>65906.81</v>
      </c>
    </row>
    <row r="273" spans="1:23" outlineLevel="2" x14ac:dyDescent="0.2">
      <c r="A273" t="s">
        <v>0</v>
      </c>
      <c r="B273" t="s">
        <v>39</v>
      </c>
      <c r="C273" t="s">
        <v>58</v>
      </c>
      <c r="D273" t="s">
        <v>105</v>
      </c>
      <c r="E273" t="s">
        <v>106</v>
      </c>
      <c r="F273" t="s">
        <v>5</v>
      </c>
      <c r="G273" t="s">
        <v>6</v>
      </c>
      <c r="H273" t="s">
        <v>35</v>
      </c>
      <c r="I273" t="s">
        <v>36</v>
      </c>
      <c r="J273" t="s">
        <v>9</v>
      </c>
      <c r="K273" t="s">
        <v>169</v>
      </c>
      <c r="L273" t="s">
        <v>170</v>
      </c>
      <c r="M273" t="s">
        <v>12</v>
      </c>
      <c r="N273" s="2">
        <v>0</v>
      </c>
      <c r="O273" s="2">
        <v>0</v>
      </c>
      <c r="P273" s="2">
        <v>34519.33</v>
      </c>
      <c r="Q273" s="2">
        <v>34519.33</v>
      </c>
      <c r="R273" s="2">
        <v>0</v>
      </c>
      <c r="S273" s="2">
        <v>446.5</v>
      </c>
      <c r="T273" s="2">
        <v>446.5</v>
      </c>
      <c r="U273" s="2">
        <v>34072.83</v>
      </c>
      <c r="V273" s="2">
        <v>34072.83</v>
      </c>
      <c r="W273" s="2">
        <v>34072.83</v>
      </c>
    </row>
    <row r="274" spans="1:23" outlineLevel="2" x14ac:dyDescent="0.2">
      <c r="A274" t="s">
        <v>0</v>
      </c>
      <c r="B274" t="s">
        <v>31</v>
      </c>
      <c r="C274" t="s">
        <v>32</v>
      </c>
      <c r="D274" t="s">
        <v>33</v>
      </c>
      <c r="E274" t="s">
        <v>34</v>
      </c>
      <c r="F274" t="s">
        <v>5</v>
      </c>
      <c r="G274" t="s">
        <v>6</v>
      </c>
      <c r="H274" t="s">
        <v>35</v>
      </c>
      <c r="I274" t="s">
        <v>36</v>
      </c>
      <c r="J274" t="s">
        <v>9</v>
      </c>
      <c r="K274" t="s">
        <v>169</v>
      </c>
      <c r="L274" t="s">
        <v>177</v>
      </c>
      <c r="M274" t="s">
        <v>15</v>
      </c>
      <c r="N274" s="2">
        <v>300907.52000000002</v>
      </c>
      <c r="O274" s="2">
        <v>12070.08</v>
      </c>
      <c r="P274" s="2">
        <v>-265590.2</v>
      </c>
      <c r="Q274" s="2">
        <v>47387.4</v>
      </c>
      <c r="R274" s="2">
        <v>25618.560000000001</v>
      </c>
      <c r="S274" s="2">
        <v>21768.84</v>
      </c>
      <c r="T274" s="2">
        <v>21768.84</v>
      </c>
      <c r="U274" s="2">
        <v>25618.560000000001</v>
      </c>
      <c r="V274" s="2">
        <v>25618.560000000001</v>
      </c>
      <c r="W274" s="2">
        <v>0</v>
      </c>
    </row>
    <row r="275" spans="1:23" outlineLevel="2" x14ac:dyDescent="0.2">
      <c r="A275" t="s">
        <v>0</v>
      </c>
      <c r="B275" t="s">
        <v>31</v>
      </c>
      <c r="C275" t="s">
        <v>79</v>
      </c>
      <c r="D275" t="s">
        <v>113</v>
      </c>
      <c r="E275" t="s">
        <v>114</v>
      </c>
      <c r="F275" t="s">
        <v>5</v>
      </c>
      <c r="G275" t="s">
        <v>6</v>
      </c>
      <c r="H275" t="s">
        <v>35</v>
      </c>
      <c r="I275" t="s">
        <v>36</v>
      </c>
      <c r="J275" t="s">
        <v>9</v>
      </c>
      <c r="K275" t="s">
        <v>169</v>
      </c>
      <c r="L275" t="s">
        <v>172</v>
      </c>
      <c r="M275" t="s">
        <v>12</v>
      </c>
      <c r="N275" s="2">
        <v>0</v>
      </c>
      <c r="O275" s="2">
        <v>1634</v>
      </c>
      <c r="P275" s="2">
        <v>83864.52</v>
      </c>
      <c r="Q275" s="2">
        <v>85498.52</v>
      </c>
      <c r="R275" s="2">
        <v>1039.43</v>
      </c>
      <c r="S275" s="2">
        <v>1693.56</v>
      </c>
      <c r="T275" s="2">
        <v>1693.56</v>
      </c>
      <c r="U275" s="2">
        <v>83804.960000000006</v>
      </c>
      <c r="V275" s="2">
        <v>83804.960000000006</v>
      </c>
      <c r="W275" s="2">
        <v>82765.53</v>
      </c>
    </row>
    <row r="276" spans="1:23" outlineLevel="2" x14ac:dyDescent="0.2">
      <c r="A276" t="s">
        <v>0</v>
      </c>
      <c r="B276" t="s">
        <v>31</v>
      </c>
      <c r="C276" t="s">
        <v>107</v>
      </c>
      <c r="D276" t="s">
        <v>108</v>
      </c>
      <c r="E276" t="s">
        <v>109</v>
      </c>
      <c r="F276" t="s">
        <v>5</v>
      </c>
      <c r="G276" t="s">
        <v>6</v>
      </c>
      <c r="H276" t="s">
        <v>35</v>
      </c>
      <c r="I276" t="s">
        <v>36</v>
      </c>
      <c r="J276" t="s">
        <v>9</v>
      </c>
      <c r="K276" t="s">
        <v>169</v>
      </c>
      <c r="L276" t="s">
        <v>185</v>
      </c>
      <c r="M276" t="s">
        <v>12</v>
      </c>
      <c r="N276" s="2">
        <v>0</v>
      </c>
      <c r="O276" s="2">
        <v>0</v>
      </c>
      <c r="P276" s="2">
        <v>193149.94</v>
      </c>
      <c r="Q276" s="2">
        <v>193149.94</v>
      </c>
      <c r="R276" s="2">
        <v>0</v>
      </c>
      <c r="S276" s="2">
        <v>2242.48</v>
      </c>
      <c r="T276" s="2">
        <v>2242.48</v>
      </c>
      <c r="U276" s="2">
        <v>190907.46</v>
      </c>
      <c r="V276" s="2">
        <v>190907.46</v>
      </c>
      <c r="W276" s="2">
        <v>190907.46</v>
      </c>
    </row>
    <row r="277" spans="1:23" outlineLevel="2" x14ac:dyDescent="0.2">
      <c r="A277" t="s">
        <v>0</v>
      </c>
      <c r="B277" t="s">
        <v>1</v>
      </c>
      <c r="C277" t="s">
        <v>2</v>
      </c>
      <c r="D277" t="s">
        <v>20</v>
      </c>
      <c r="E277" t="s">
        <v>21</v>
      </c>
      <c r="F277" t="s">
        <v>5</v>
      </c>
      <c r="G277" t="s">
        <v>6</v>
      </c>
      <c r="H277" t="s">
        <v>35</v>
      </c>
      <c r="I277" t="s">
        <v>36</v>
      </c>
      <c r="J277" t="s">
        <v>9</v>
      </c>
      <c r="K277" t="s">
        <v>169</v>
      </c>
      <c r="L277" t="s">
        <v>174</v>
      </c>
      <c r="M277" t="s">
        <v>12</v>
      </c>
      <c r="N277" s="2">
        <v>0</v>
      </c>
      <c r="O277" s="2">
        <v>0</v>
      </c>
      <c r="P277" s="2">
        <v>690155.64</v>
      </c>
      <c r="Q277" s="2">
        <v>690155.64</v>
      </c>
      <c r="R277" s="2">
        <v>0</v>
      </c>
      <c r="S277" s="2">
        <v>8671.9500000000007</v>
      </c>
      <c r="T277" s="2">
        <v>8671.9500000000007</v>
      </c>
      <c r="U277" s="2">
        <v>681483.69</v>
      </c>
      <c r="V277" s="2">
        <v>681483.69</v>
      </c>
      <c r="W277" s="2">
        <v>681483.69</v>
      </c>
    </row>
    <row r="278" spans="1:23" outlineLevel="2" x14ac:dyDescent="0.2">
      <c r="A278" t="s">
        <v>0</v>
      </c>
      <c r="B278" t="s">
        <v>31</v>
      </c>
      <c r="C278" t="s">
        <v>79</v>
      </c>
      <c r="D278" t="s">
        <v>127</v>
      </c>
      <c r="E278" t="s">
        <v>128</v>
      </c>
      <c r="F278" t="s">
        <v>5</v>
      </c>
      <c r="G278" t="s">
        <v>6</v>
      </c>
      <c r="H278" t="s">
        <v>35</v>
      </c>
      <c r="I278" t="s">
        <v>36</v>
      </c>
      <c r="J278" t="s">
        <v>9</v>
      </c>
      <c r="K278" t="s">
        <v>169</v>
      </c>
      <c r="L278" t="s">
        <v>172</v>
      </c>
      <c r="M278" t="s">
        <v>12</v>
      </c>
      <c r="N278" s="2">
        <v>0</v>
      </c>
      <c r="O278" s="2">
        <v>817</v>
      </c>
      <c r="P278" s="2">
        <v>91382.18</v>
      </c>
      <c r="Q278" s="2">
        <v>92199.18</v>
      </c>
      <c r="R278" s="2">
        <v>817</v>
      </c>
      <c r="S278" s="2">
        <v>700.08</v>
      </c>
      <c r="T278" s="2">
        <v>700.08</v>
      </c>
      <c r="U278" s="2">
        <v>91499.1</v>
      </c>
      <c r="V278" s="2">
        <v>91499.1</v>
      </c>
      <c r="W278" s="2">
        <v>90682.1</v>
      </c>
    </row>
    <row r="279" spans="1:23" outlineLevel="2" x14ac:dyDescent="0.2">
      <c r="A279" t="s">
        <v>0</v>
      </c>
      <c r="B279" t="s">
        <v>39</v>
      </c>
      <c r="C279" t="s">
        <v>58</v>
      </c>
      <c r="D279" t="s">
        <v>143</v>
      </c>
      <c r="E279" t="s">
        <v>144</v>
      </c>
      <c r="F279" t="s">
        <v>5</v>
      </c>
      <c r="G279" t="s">
        <v>6</v>
      </c>
      <c r="H279" t="s">
        <v>35</v>
      </c>
      <c r="I279" t="s">
        <v>36</v>
      </c>
      <c r="J279" t="s">
        <v>9</v>
      </c>
      <c r="K279" t="s">
        <v>169</v>
      </c>
      <c r="L279" t="s">
        <v>170</v>
      </c>
      <c r="M279" t="s">
        <v>12</v>
      </c>
      <c r="N279" s="2">
        <v>0</v>
      </c>
      <c r="O279" s="2">
        <v>0</v>
      </c>
      <c r="P279" s="2">
        <v>105702.04</v>
      </c>
      <c r="Q279" s="2">
        <v>105702.04</v>
      </c>
      <c r="R279" s="2">
        <v>0</v>
      </c>
      <c r="S279" s="2">
        <v>1270.9100000000001</v>
      </c>
      <c r="T279" s="2">
        <v>1270.9100000000001</v>
      </c>
      <c r="U279" s="2">
        <v>104431.13</v>
      </c>
      <c r="V279" s="2">
        <v>104431.13</v>
      </c>
      <c r="W279" s="2">
        <v>104431.13</v>
      </c>
    </row>
    <row r="280" spans="1:23" outlineLevel="2" x14ac:dyDescent="0.2">
      <c r="A280" t="s">
        <v>0</v>
      </c>
      <c r="B280" t="s">
        <v>31</v>
      </c>
      <c r="C280" t="s">
        <v>79</v>
      </c>
      <c r="D280" t="s">
        <v>131</v>
      </c>
      <c r="E280" t="s">
        <v>132</v>
      </c>
      <c r="F280" t="s">
        <v>5</v>
      </c>
      <c r="G280" t="s">
        <v>6</v>
      </c>
      <c r="H280" t="s">
        <v>35</v>
      </c>
      <c r="I280" t="s">
        <v>36</v>
      </c>
      <c r="J280" t="s">
        <v>9</v>
      </c>
      <c r="K280" t="s">
        <v>169</v>
      </c>
      <c r="L280" t="s">
        <v>172</v>
      </c>
      <c r="M280" t="s">
        <v>12</v>
      </c>
      <c r="N280" s="2">
        <v>0</v>
      </c>
      <c r="O280" s="2">
        <v>1634</v>
      </c>
      <c r="P280" s="2">
        <v>138941.70000000001</v>
      </c>
      <c r="Q280" s="2">
        <v>140575.70000000001</v>
      </c>
      <c r="R280" s="2">
        <v>1634</v>
      </c>
      <c r="S280" s="2">
        <v>1215.32</v>
      </c>
      <c r="T280" s="2">
        <v>1215.32</v>
      </c>
      <c r="U280" s="2">
        <v>139360.38</v>
      </c>
      <c r="V280" s="2">
        <v>139360.38</v>
      </c>
      <c r="W280" s="2">
        <v>137726.38</v>
      </c>
    </row>
    <row r="281" spans="1:23" outlineLevel="2" x14ac:dyDescent="0.2">
      <c r="A281" t="s">
        <v>0</v>
      </c>
      <c r="B281" t="s">
        <v>31</v>
      </c>
      <c r="C281" t="s">
        <v>79</v>
      </c>
      <c r="D281" t="s">
        <v>117</v>
      </c>
      <c r="E281" t="s">
        <v>118</v>
      </c>
      <c r="F281" t="s">
        <v>5</v>
      </c>
      <c r="G281" t="s">
        <v>6</v>
      </c>
      <c r="H281" t="s">
        <v>35</v>
      </c>
      <c r="I281" t="s">
        <v>36</v>
      </c>
      <c r="J281" t="s">
        <v>9</v>
      </c>
      <c r="K281" t="s">
        <v>169</v>
      </c>
      <c r="L281" t="s">
        <v>172</v>
      </c>
      <c r="M281" t="s">
        <v>12</v>
      </c>
      <c r="N281" s="2">
        <v>0</v>
      </c>
      <c r="O281" s="2">
        <v>0</v>
      </c>
      <c r="P281" s="2">
        <v>166495.67000000001</v>
      </c>
      <c r="Q281" s="2">
        <v>166495.67000000001</v>
      </c>
      <c r="R281" s="2">
        <v>0</v>
      </c>
      <c r="S281" s="2">
        <v>1083.22</v>
      </c>
      <c r="T281" s="2">
        <v>1083.22</v>
      </c>
      <c r="U281" s="2">
        <v>165412.45000000001</v>
      </c>
      <c r="V281" s="2">
        <v>165412.45000000001</v>
      </c>
      <c r="W281" s="2">
        <v>165412.45000000001</v>
      </c>
    </row>
    <row r="282" spans="1:23" outlineLevel="2" x14ac:dyDescent="0.2">
      <c r="A282" t="s">
        <v>0</v>
      </c>
      <c r="B282" t="s">
        <v>53</v>
      </c>
      <c r="C282" t="s">
        <v>54</v>
      </c>
      <c r="D282" t="s">
        <v>55</v>
      </c>
      <c r="E282" t="s">
        <v>56</v>
      </c>
      <c r="F282" t="s">
        <v>5</v>
      </c>
      <c r="G282" t="s">
        <v>6</v>
      </c>
      <c r="H282" t="s">
        <v>35</v>
      </c>
      <c r="I282" t="s">
        <v>36</v>
      </c>
      <c r="J282" t="s">
        <v>9</v>
      </c>
      <c r="K282" t="s">
        <v>169</v>
      </c>
      <c r="L282" t="s">
        <v>179</v>
      </c>
      <c r="M282" t="s">
        <v>12</v>
      </c>
      <c r="N282" s="2">
        <v>0</v>
      </c>
      <c r="O282" s="2">
        <v>0</v>
      </c>
      <c r="P282" s="2">
        <v>119310.62</v>
      </c>
      <c r="Q282" s="2">
        <v>119310.62</v>
      </c>
      <c r="R282" s="2">
        <v>0</v>
      </c>
      <c r="S282" s="2">
        <v>1855.32</v>
      </c>
      <c r="T282" s="2">
        <v>1855.32</v>
      </c>
      <c r="U282" s="2">
        <v>117455.3</v>
      </c>
      <c r="V282" s="2">
        <v>117455.3</v>
      </c>
      <c r="W282" s="2">
        <v>117455.3</v>
      </c>
    </row>
    <row r="283" spans="1:23" outlineLevel="2" x14ac:dyDescent="0.2">
      <c r="A283" t="s">
        <v>0</v>
      </c>
      <c r="B283" t="s">
        <v>39</v>
      </c>
      <c r="C283" t="s">
        <v>58</v>
      </c>
      <c r="D283" t="s">
        <v>149</v>
      </c>
      <c r="E283" t="s">
        <v>150</v>
      </c>
      <c r="F283" t="s">
        <v>5</v>
      </c>
      <c r="G283" t="s">
        <v>6</v>
      </c>
      <c r="H283" t="s">
        <v>35</v>
      </c>
      <c r="I283" t="s">
        <v>36</v>
      </c>
      <c r="J283" t="s">
        <v>9</v>
      </c>
      <c r="K283" t="s">
        <v>169</v>
      </c>
      <c r="L283" t="s">
        <v>170</v>
      </c>
      <c r="M283" t="s">
        <v>12</v>
      </c>
      <c r="N283" s="2">
        <v>0</v>
      </c>
      <c r="O283" s="2">
        <v>0</v>
      </c>
      <c r="P283" s="2">
        <v>145522.76</v>
      </c>
      <c r="Q283" s="2">
        <v>145522.76</v>
      </c>
      <c r="R283" s="2">
        <v>0</v>
      </c>
      <c r="S283" s="2">
        <v>1453.48</v>
      </c>
      <c r="T283" s="2">
        <v>1453.48</v>
      </c>
      <c r="U283" s="2">
        <v>144069.28</v>
      </c>
      <c r="V283" s="2">
        <v>144069.28</v>
      </c>
      <c r="W283" s="2">
        <v>144069.28</v>
      </c>
    </row>
    <row r="284" spans="1:23" outlineLevel="2" x14ac:dyDescent="0.2">
      <c r="A284" t="s">
        <v>0</v>
      </c>
      <c r="B284" t="s">
        <v>31</v>
      </c>
      <c r="C284" t="s">
        <v>107</v>
      </c>
      <c r="D284" t="s">
        <v>108</v>
      </c>
      <c r="E284" t="s">
        <v>109</v>
      </c>
      <c r="F284" t="s">
        <v>5</v>
      </c>
      <c r="G284" t="s">
        <v>6</v>
      </c>
      <c r="H284" t="s">
        <v>35</v>
      </c>
      <c r="I284" t="s">
        <v>36</v>
      </c>
      <c r="J284" t="s">
        <v>9</v>
      </c>
      <c r="K284" t="s">
        <v>169</v>
      </c>
      <c r="L284" t="s">
        <v>185</v>
      </c>
      <c r="M284" t="s">
        <v>15</v>
      </c>
      <c r="N284" s="2">
        <v>230143.68</v>
      </c>
      <c r="O284" s="2">
        <v>899.83</v>
      </c>
      <c r="P284" s="2">
        <v>-193149.94</v>
      </c>
      <c r="Q284" s="2">
        <v>37893.57</v>
      </c>
      <c r="R284" s="2">
        <v>7898.33</v>
      </c>
      <c r="S284" s="2">
        <v>29995.24</v>
      </c>
      <c r="T284" s="2">
        <v>29995.24</v>
      </c>
      <c r="U284" s="2">
        <v>7898.33</v>
      </c>
      <c r="V284" s="2">
        <v>7898.33</v>
      </c>
      <c r="W284" s="2">
        <v>0</v>
      </c>
    </row>
    <row r="285" spans="1:23" outlineLevel="2" x14ac:dyDescent="0.2">
      <c r="A285" t="s">
        <v>0</v>
      </c>
      <c r="B285" t="s">
        <v>53</v>
      </c>
      <c r="C285" t="s">
        <v>85</v>
      </c>
      <c r="D285" t="s">
        <v>86</v>
      </c>
      <c r="E285" t="s">
        <v>87</v>
      </c>
      <c r="F285" t="s">
        <v>5</v>
      </c>
      <c r="G285" t="s">
        <v>6</v>
      </c>
      <c r="H285" t="s">
        <v>35</v>
      </c>
      <c r="I285" t="s">
        <v>36</v>
      </c>
      <c r="J285" t="s">
        <v>9</v>
      </c>
      <c r="K285" t="s">
        <v>169</v>
      </c>
      <c r="L285" t="s">
        <v>176</v>
      </c>
      <c r="M285" t="s">
        <v>12</v>
      </c>
      <c r="N285" s="2">
        <v>0</v>
      </c>
      <c r="O285" s="2">
        <v>0</v>
      </c>
      <c r="P285" s="2">
        <v>23171.61</v>
      </c>
      <c r="Q285" s="2">
        <v>23171.61</v>
      </c>
      <c r="R285" s="2">
        <v>0</v>
      </c>
      <c r="S285" s="2">
        <v>1635.1</v>
      </c>
      <c r="T285" s="2">
        <v>1635.1</v>
      </c>
      <c r="U285" s="2">
        <v>21536.51</v>
      </c>
      <c r="V285" s="2">
        <v>21536.51</v>
      </c>
      <c r="W285" s="2">
        <v>21536.51</v>
      </c>
    </row>
    <row r="286" spans="1:23" outlineLevel="2" x14ac:dyDescent="0.2">
      <c r="A286" t="s">
        <v>0</v>
      </c>
      <c r="B286" t="s">
        <v>31</v>
      </c>
      <c r="C286" t="s">
        <v>79</v>
      </c>
      <c r="D286" t="s">
        <v>80</v>
      </c>
      <c r="E286" t="s">
        <v>81</v>
      </c>
      <c r="F286" t="s">
        <v>5</v>
      </c>
      <c r="G286" t="s">
        <v>6</v>
      </c>
      <c r="H286" t="s">
        <v>35</v>
      </c>
      <c r="I286" t="s">
        <v>36</v>
      </c>
      <c r="J286" t="s">
        <v>9</v>
      </c>
      <c r="K286" t="s">
        <v>169</v>
      </c>
      <c r="L286" t="s">
        <v>172</v>
      </c>
      <c r="M286" t="s">
        <v>12</v>
      </c>
      <c r="N286" s="2">
        <v>0</v>
      </c>
      <c r="O286" s="2">
        <v>1634</v>
      </c>
      <c r="P286" s="2">
        <v>92567.55</v>
      </c>
      <c r="Q286" s="2">
        <v>94201.55</v>
      </c>
      <c r="R286" s="2">
        <v>1634</v>
      </c>
      <c r="S286" s="2">
        <v>2711.93</v>
      </c>
      <c r="T286" s="2">
        <v>425.74</v>
      </c>
      <c r="U286" s="2">
        <v>91489.62</v>
      </c>
      <c r="V286" s="2">
        <v>93775.81</v>
      </c>
      <c r="W286" s="2">
        <v>89855.62</v>
      </c>
    </row>
    <row r="287" spans="1:23" outlineLevel="2" x14ac:dyDescent="0.2">
      <c r="A287" t="s">
        <v>0</v>
      </c>
      <c r="B287" t="s">
        <v>1</v>
      </c>
      <c r="C287" t="s">
        <v>16</v>
      </c>
      <c r="D287" t="s">
        <v>103</v>
      </c>
      <c r="E287" t="s">
        <v>104</v>
      </c>
      <c r="F287" t="s">
        <v>5</v>
      </c>
      <c r="G287" t="s">
        <v>6</v>
      </c>
      <c r="H287" t="s">
        <v>35</v>
      </c>
      <c r="I287" t="s">
        <v>36</v>
      </c>
      <c r="J287" t="s">
        <v>9</v>
      </c>
      <c r="K287" t="s">
        <v>169</v>
      </c>
      <c r="L287" t="s">
        <v>171</v>
      </c>
      <c r="M287" t="s">
        <v>12</v>
      </c>
      <c r="N287" s="2">
        <v>0</v>
      </c>
      <c r="O287" s="2">
        <v>0</v>
      </c>
      <c r="P287" s="2">
        <v>172763.31</v>
      </c>
      <c r="Q287" s="2">
        <v>172763.31</v>
      </c>
      <c r="R287" s="2">
        <v>0</v>
      </c>
      <c r="S287" s="2">
        <v>2481.59</v>
      </c>
      <c r="T287" s="2">
        <v>2481.59</v>
      </c>
      <c r="U287" s="2">
        <v>170281.72</v>
      </c>
      <c r="V287" s="2">
        <v>170281.72</v>
      </c>
      <c r="W287" s="2">
        <v>170281.72</v>
      </c>
    </row>
    <row r="288" spans="1:23" outlineLevel="2" x14ac:dyDescent="0.2">
      <c r="A288" t="s">
        <v>0</v>
      </c>
      <c r="B288" t="s">
        <v>39</v>
      </c>
      <c r="C288" t="s">
        <v>95</v>
      </c>
      <c r="D288" t="s">
        <v>96</v>
      </c>
      <c r="E288" t="s">
        <v>97</v>
      </c>
      <c r="F288" t="s">
        <v>5</v>
      </c>
      <c r="G288" t="s">
        <v>6</v>
      </c>
      <c r="H288" t="s">
        <v>35</v>
      </c>
      <c r="I288" t="s">
        <v>36</v>
      </c>
      <c r="J288" t="s">
        <v>9</v>
      </c>
      <c r="K288" t="s">
        <v>169</v>
      </c>
      <c r="L288" t="s">
        <v>173</v>
      </c>
      <c r="M288" t="s">
        <v>12</v>
      </c>
      <c r="N288" s="2">
        <v>0</v>
      </c>
      <c r="O288" s="2">
        <v>0</v>
      </c>
      <c r="P288" s="2">
        <v>81764.100000000006</v>
      </c>
      <c r="Q288" s="2">
        <v>81764.100000000006</v>
      </c>
      <c r="R288" s="2">
        <v>0</v>
      </c>
      <c r="S288" s="2">
        <v>2480.41</v>
      </c>
      <c r="T288" s="2">
        <v>2480.41</v>
      </c>
      <c r="U288" s="2">
        <v>79283.69</v>
      </c>
      <c r="V288" s="2">
        <v>79283.69</v>
      </c>
      <c r="W288" s="2">
        <v>79283.69</v>
      </c>
    </row>
    <row r="289" spans="1:23" outlineLevel="2" x14ac:dyDescent="0.2">
      <c r="A289" t="s">
        <v>0</v>
      </c>
      <c r="B289" t="s">
        <v>1</v>
      </c>
      <c r="C289" t="s">
        <v>2</v>
      </c>
      <c r="D289" t="s">
        <v>3</v>
      </c>
      <c r="E289" t="s">
        <v>4</v>
      </c>
      <c r="F289" t="s">
        <v>5</v>
      </c>
      <c r="G289" t="s">
        <v>6</v>
      </c>
      <c r="H289" t="s">
        <v>35</v>
      </c>
      <c r="I289" t="s">
        <v>36</v>
      </c>
      <c r="J289" t="s">
        <v>9</v>
      </c>
      <c r="K289" t="s">
        <v>169</v>
      </c>
      <c r="L289" t="s">
        <v>174</v>
      </c>
      <c r="M289" t="s">
        <v>12</v>
      </c>
      <c r="N289" s="2">
        <v>0</v>
      </c>
      <c r="O289" s="2">
        <v>0</v>
      </c>
      <c r="P289" s="2">
        <v>206105.60000000001</v>
      </c>
      <c r="Q289" s="2">
        <v>206105.60000000001</v>
      </c>
      <c r="R289" s="2">
        <v>0</v>
      </c>
      <c r="S289" s="2">
        <v>1956.07</v>
      </c>
      <c r="T289" s="2">
        <v>1956.07</v>
      </c>
      <c r="U289" s="2">
        <v>204149.53</v>
      </c>
      <c r="V289" s="2">
        <v>204149.53</v>
      </c>
      <c r="W289" s="2">
        <v>204149.53</v>
      </c>
    </row>
    <row r="290" spans="1:23" outlineLevel="2" x14ac:dyDescent="0.2">
      <c r="A290" t="s">
        <v>0</v>
      </c>
      <c r="B290" t="s">
        <v>31</v>
      </c>
      <c r="C290" t="s">
        <v>79</v>
      </c>
      <c r="D290" t="s">
        <v>133</v>
      </c>
      <c r="E290" t="s">
        <v>134</v>
      </c>
      <c r="F290" t="s">
        <v>5</v>
      </c>
      <c r="G290" t="s">
        <v>6</v>
      </c>
      <c r="H290" t="s">
        <v>35</v>
      </c>
      <c r="I290" t="s">
        <v>36</v>
      </c>
      <c r="J290" t="s">
        <v>9</v>
      </c>
      <c r="K290" t="s">
        <v>169</v>
      </c>
      <c r="L290" t="s">
        <v>172</v>
      </c>
      <c r="M290" t="s">
        <v>12</v>
      </c>
      <c r="N290" s="2">
        <v>0</v>
      </c>
      <c r="O290" s="2">
        <v>817</v>
      </c>
      <c r="P290" s="2">
        <v>91140.32</v>
      </c>
      <c r="Q290" s="2">
        <v>91957.32</v>
      </c>
      <c r="R290" s="2">
        <v>408.52</v>
      </c>
      <c r="S290" s="2">
        <v>3394.67</v>
      </c>
      <c r="T290" s="2">
        <v>2078.48</v>
      </c>
      <c r="U290" s="2">
        <v>88562.65</v>
      </c>
      <c r="V290" s="2">
        <v>89878.84</v>
      </c>
      <c r="W290" s="2">
        <v>88154.13</v>
      </c>
    </row>
    <row r="291" spans="1:23" outlineLevel="2" x14ac:dyDescent="0.2">
      <c r="A291" t="s">
        <v>0</v>
      </c>
      <c r="B291" t="s">
        <v>39</v>
      </c>
      <c r="C291" t="s">
        <v>66</v>
      </c>
      <c r="D291" t="s">
        <v>121</v>
      </c>
      <c r="E291" t="s">
        <v>122</v>
      </c>
      <c r="F291" t="s">
        <v>5</v>
      </c>
      <c r="G291" t="s">
        <v>6</v>
      </c>
      <c r="H291" t="s">
        <v>35</v>
      </c>
      <c r="I291" t="s">
        <v>36</v>
      </c>
      <c r="J291" t="s">
        <v>9</v>
      </c>
      <c r="K291" t="s">
        <v>186</v>
      </c>
      <c r="L291" t="s">
        <v>187</v>
      </c>
      <c r="M291" t="s">
        <v>15</v>
      </c>
      <c r="N291" s="2">
        <v>26784.12</v>
      </c>
      <c r="O291" s="2">
        <v>66.67</v>
      </c>
      <c r="P291" s="2">
        <v>-3201.64</v>
      </c>
      <c r="Q291" s="2">
        <v>23649.15</v>
      </c>
      <c r="R291" s="2">
        <v>242.22</v>
      </c>
      <c r="S291" s="2">
        <v>23406.93</v>
      </c>
      <c r="T291" s="2">
        <v>23406.93</v>
      </c>
      <c r="U291" s="2">
        <v>242.22</v>
      </c>
      <c r="V291" s="2">
        <v>242.22</v>
      </c>
      <c r="W291" s="2">
        <v>0</v>
      </c>
    </row>
    <row r="292" spans="1:23" outlineLevel="2" x14ac:dyDescent="0.2">
      <c r="A292" t="s">
        <v>0</v>
      </c>
      <c r="B292" t="s">
        <v>39</v>
      </c>
      <c r="C292" t="s">
        <v>58</v>
      </c>
      <c r="D292" t="s">
        <v>139</v>
      </c>
      <c r="E292" t="s">
        <v>140</v>
      </c>
      <c r="F292" t="s">
        <v>5</v>
      </c>
      <c r="G292" t="s">
        <v>6</v>
      </c>
      <c r="H292" t="s">
        <v>35</v>
      </c>
      <c r="I292" t="s">
        <v>36</v>
      </c>
      <c r="J292" t="s">
        <v>9</v>
      </c>
      <c r="K292" t="s">
        <v>186</v>
      </c>
      <c r="L292" t="s">
        <v>188</v>
      </c>
      <c r="M292" t="s">
        <v>12</v>
      </c>
      <c r="N292" s="2">
        <v>0</v>
      </c>
      <c r="O292" s="2">
        <v>0</v>
      </c>
      <c r="P292" s="2">
        <v>4053.28</v>
      </c>
      <c r="Q292" s="2">
        <v>4053.28</v>
      </c>
      <c r="R292" s="2">
        <v>0</v>
      </c>
      <c r="S292" s="2">
        <v>333.3</v>
      </c>
      <c r="T292" s="2">
        <v>333.3</v>
      </c>
      <c r="U292" s="2">
        <v>3719.98</v>
      </c>
      <c r="V292" s="2">
        <v>3719.98</v>
      </c>
      <c r="W292" s="2">
        <v>3719.98</v>
      </c>
    </row>
    <row r="293" spans="1:23" outlineLevel="2" x14ac:dyDescent="0.2">
      <c r="A293" t="s">
        <v>0</v>
      </c>
      <c r="B293" t="s">
        <v>1</v>
      </c>
      <c r="C293" t="s">
        <v>91</v>
      </c>
      <c r="D293" t="s">
        <v>92</v>
      </c>
      <c r="E293" t="s">
        <v>93</v>
      </c>
      <c r="F293" t="s">
        <v>5</v>
      </c>
      <c r="G293" t="s">
        <v>6</v>
      </c>
      <c r="H293" t="s">
        <v>35</v>
      </c>
      <c r="I293" t="s">
        <v>36</v>
      </c>
      <c r="J293" t="s">
        <v>9</v>
      </c>
      <c r="K293" t="s">
        <v>186</v>
      </c>
      <c r="L293" t="s">
        <v>189</v>
      </c>
      <c r="M293" t="s">
        <v>15</v>
      </c>
      <c r="N293" s="2">
        <v>103078.28</v>
      </c>
      <c r="O293" s="2">
        <v>-30441.94</v>
      </c>
      <c r="P293" s="2">
        <v>-8073.36</v>
      </c>
      <c r="Q293" s="2">
        <v>64562.98</v>
      </c>
      <c r="R293" s="2">
        <v>0</v>
      </c>
      <c r="S293" s="2">
        <v>64562.98</v>
      </c>
      <c r="T293" s="2">
        <v>61771.88</v>
      </c>
      <c r="U293" s="2">
        <v>0</v>
      </c>
      <c r="V293" s="2">
        <v>2791.1</v>
      </c>
      <c r="W293" s="2">
        <v>0</v>
      </c>
    </row>
    <row r="294" spans="1:23" outlineLevel="2" x14ac:dyDescent="0.2">
      <c r="A294" t="s">
        <v>0</v>
      </c>
      <c r="B294" t="s">
        <v>39</v>
      </c>
      <c r="C294" t="s">
        <v>70</v>
      </c>
      <c r="D294" t="s">
        <v>71</v>
      </c>
      <c r="E294" t="s">
        <v>72</v>
      </c>
      <c r="F294" t="s">
        <v>5</v>
      </c>
      <c r="G294" t="s">
        <v>6</v>
      </c>
      <c r="H294" t="s">
        <v>35</v>
      </c>
      <c r="I294" t="s">
        <v>36</v>
      </c>
      <c r="J294" t="s">
        <v>9</v>
      </c>
      <c r="K294" t="s">
        <v>186</v>
      </c>
      <c r="L294" t="s">
        <v>190</v>
      </c>
      <c r="M294" t="s">
        <v>15</v>
      </c>
      <c r="N294" s="2">
        <v>92526.96</v>
      </c>
      <c r="O294" s="2">
        <v>-7566.68</v>
      </c>
      <c r="P294" s="2">
        <v>-6394.01</v>
      </c>
      <c r="Q294" s="2">
        <v>78566.27</v>
      </c>
      <c r="R294" s="2">
        <v>1141.1099999999999</v>
      </c>
      <c r="S294" s="2">
        <v>77425.16</v>
      </c>
      <c r="T294" s="2">
        <v>77425.16</v>
      </c>
      <c r="U294" s="2">
        <v>1141.1099999999999</v>
      </c>
      <c r="V294" s="2">
        <v>1141.1099999999999</v>
      </c>
      <c r="W294" s="2">
        <v>0</v>
      </c>
    </row>
    <row r="295" spans="1:23" outlineLevel="2" x14ac:dyDescent="0.2">
      <c r="A295" t="s">
        <v>0</v>
      </c>
      <c r="B295" t="s">
        <v>39</v>
      </c>
      <c r="C295" t="s">
        <v>58</v>
      </c>
      <c r="D295" t="s">
        <v>139</v>
      </c>
      <c r="E295" t="s">
        <v>140</v>
      </c>
      <c r="F295" t="s">
        <v>5</v>
      </c>
      <c r="G295" t="s">
        <v>6</v>
      </c>
      <c r="H295" t="s">
        <v>35</v>
      </c>
      <c r="I295" t="s">
        <v>36</v>
      </c>
      <c r="J295" t="s">
        <v>9</v>
      </c>
      <c r="K295" t="s">
        <v>186</v>
      </c>
      <c r="L295" t="s">
        <v>188</v>
      </c>
      <c r="M295" t="s">
        <v>15</v>
      </c>
      <c r="N295" s="2">
        <v>46263.48</v>
      </c>
      <c r="O295" s="2">
        <v>0</v>
      </c>
      <c r="P295" s="2">
        <v>-4053.28</v>
      </c>
      <c r="Q295" s="2">
        <v>42210.2</v>
      </c>
      <c r="R295" s="2">
        <v>245.56</v>
      </c>
      <c r="S295" s="2">
        <v>41964.639999999999</v>
      </c>
      <c r="T295" s="2">
        <v>41964.639999999999</v>
      </c>
      <c r="U295" s="2">
        <v>245.56</v>
      </c>
      <c r="V295" s="2">
        <v>245.56</v>
      </c>
      <c r="W295" s="2">
        <v>0</v>
      </c>
    </row>
    <row r="296" spans="1:23" outlineLevel="2" x14ac:dyDescent="0.2">
      <c r="A296" t="s">
        <v>0</v>
      </c>
      <c r="B296" t="s">
        <v>39</v>
      </c>
      <c r="C296" t="s">
        <v>58</v>
      </c>
      <c r="D296" t="s">
        <v>143</v>
      </c>
      <c r="E296" t="s">
        <v>144</v>
      </c>
      <c r="F296" t="s">
        <v>5</v>
      </c>
      <c r="G296" t="s">
        <v>6</v>
      </c>
      <c r="H296" t="s">
        <v>35</v>
      </c>
      <c r="I296" t="s">
        <v>36</v>
      </c>
      <c r="J296" t="s">
        <v>9</v>
      </c>
      <c r="K296" t="s">
        <v>186</v>
      </c>
      <c r="L296" t="s">
        <v>188</v>
      </c>
      <c r="M296" t="s">
        <v>15</v>
      </c>
      <c r="N296" s="2">
        <v>43422.74</v>
      </c>
      <c r="O296" s="2">
        <v>-99.99</v>
      </c>
      <c r="P296" s="2">
        <v>-4935.33</v>
      </c>
      <c r="Q296" s="2">
        <v>38387.42</v>
      </c>
      <c r="R296" s="2">
        <v>300</v>
      </c>
      <c r="S296" s="2">
        <v>38087.42</v>
      </c>
      <c r="T296" s="2">
        <v>38087.42</v>
      </c>
      <c r="U296" s="2">
        <v>300</v>
      </c>
      <c r="V296" s="2">
        <v>300</v>
      </c>
      <c r="W296" s="2">
        <v>0</v>
      </c>
    </row>
    <row r="297" spans="1:23" outlineLevel="2" x14ac:dyDescent="0.2">
      <c r="A297" t="s">
        <v>0</v>
      </c>
      <c r="B297" t="s">
        <v>39</v>
      </c>
      <c r="C297" t="s">
        <v>58</v>
      </c>
      <c r="D297" t="s">
        <v>145</v>
      </c>
      <c r="E297" t="s">
        <v>146</v>
      </c>
      <c r="F297" t="s">
        <v>5</v>
      </c>
      <c r="G297" t="s">
        <v>6</v>
      </c>
      <c r="H297" t="s">
        <v>35</v>
      </c>
      <c r="I297" t="s">
        <v>36</v>
      </c>
      <c r="J297" t="s">
        <v>9</v>
      </c>
      <c r="K297" t="s">
        <v>186</v>
      </c>
      <c r="L297" t="s">
        <v>188</v>
      </c>
      <c r="M297" t="s">
        <v>15</v>
      </c>
      <c r="N297" s="2">
        <v>34494.699999999997</v>
      </c>
      <c r="O297" s="2">
        <v>333.33</v>
      </c>
      <c r="P297" s="2">
        <v>-5322.56</v>
      </c>
      <c r="Q297" s="2">
        <v>29505.47</v>
      </c>
      <c r="R297" s="2">
        <v>0</v>
      </c>
      <c r="S297" s="2">
        <v>29505.47</v>
      </c>
      <c r="T297" s="2">
        <v>29505.47</v>
      </c>
      <c r="U297" s="2">
        <v>0</v>
      </c>
      <c r="V297" s="2">
        <v>0</v>
      </c>
      <c r="W297" s="2">
        <v>0</v>
      </c>
    </row>
    <row r="298" spans="1:23" outlineLevel="2" x14ac:dyDescent="0.2">
      <c r="A298" t="s">
        <v>0</v>
      </c>
      <c r="B298" t="s">
        <v>39</v>
      </c>
      <c r="C298" t="s">
        <v>58</v>
      </c>
      <c r="D298" t="s">
        <v>119</v>
      </c>
      <c r="E298" t="s">
        <v>120</v>
      </c>
      <c r="F298" t="s">
        <v>5</v>
      </c>
      <c r="G298" t="s">
        <v>6</v>
      </c>
      <c r="H298" t="s">
        <v>35</v>
      </c>
      <c r="I298" t="s">
        <v>36</v>
      </c>
      <c r="J298" t="s">
        <v>9</v>
      </c>
      <c r="K298" t="s">
        <v>186</v>
      </c>
      <c r="L298" t="s">
        <v>188</v>
      </c>
      <c r="M298" t="s">
        <v>15</v>
      </c>
      <c r="N298" s="2">
        <v>8522.2199999999993</v>
      </c>
      <c r="O298" s="2">
        <v>-133.33000000000001</v>
      </c>
      <c r="P298" s="2">
        <v>-809.96</v>
      </c>
      <c r="Q298" s="2">
        <v>7578.93</v>
      </c>
      <c r="R298" s="2">
        <v>0</v>
      </c>
      <c r="S298" s="2">
        <v>7578.93</v>
      </c>
      <c r="T298" s="2">
        <v>7578.93</v>
      </c>
      <c r="U298" s="2">
        <v>0</v>
      </c>
      <c r="V298" s="2">
        <v>0</v>
      </c>
      <c r="W298" s="2">
        <v>0</v>
      </c>
    </row>
    <row r="299" spans="1:23" outlineLevel="2" x14ac:dyDescent="0.2">
      <c r="A299" t="s">
        <v>0</v>
      </c>
      <c r="B299" t="s">
        <v>39</v>
      </c>
      <c r="C299" t="s">
        <v>58</v>
      </c>
      <c r="D299" t="s">
        <v>129</v>
      </c>
      <c r="E299" t="s">
        <v>130</v>
      </c>
      <c r="F299" t="s">
        <v>5</v>
      </c>
      <c r="G299" t="s">
        <v>6</v>
      </c>
      <c r="H299" t="s">
        <v>35</v>
      </c>
      <c r="I299" t="s">
        <v>36</v>
      </c>
      <c r="J299" t="s">
        <v>9</v>
      </c>
      <c r="K299" t="s">
        <v>186</v>
      </c>
      <c r="L299" t="s">
        <v>188</v>
      </c>
      <c r="M299" t="s">
        <v>12</v>
      </c>
      <c r="N299" s="2">
        <v>0</v>
      </c>
      <c r="O299" s="2">
        <v>0</v>
      </c>
      <c r="P299" s="2">
        <v>4023.78</v>
      </c>
      <c r="Q299" s="2">
        <v>4023.78</v>
      </c>
      <c r="R299" s="2">
        <v>0</v>
      </c>
      <c r="S299" s="2">
        <v>228.87</v>
      </c>
      <c r="T299" s="2">
        <v>228.87</v>
      </c>
      <c r="U299" s="2">
        <v>3794.91</v>
      </c>
      <c r="V299" s="2">
        <v>3794.91</v>
      </c>
      <c r="W299" s="2">
        <v>3794.91</v>
      </c>
    </row>
    <row r="300" spans="1:23" outlineLevel="2" x14ac:dyDescent="0.2">
      <c r="A300" t="s">
        <v>0</v>
      </c>
      <c r="B300" t="s">
        <v>31</v>
      </c>
      <c r="C300" t="s">
        <v>32</v>
      </c>
      <c r="D300" t="s">
        <v>141</v>
      </c>
      <c r="E300" t="s">
        <v>142</v>
      </c>
      <c r="F300" t="s">
        <v>5</v>
      </c>
      <c r="G300" t="s">
        <v>6</v>
      </c>
      <c r="H300" t="s">
        <v>35</v>
      </c>
      <c r="I300" t="s">
        <v>36</v>
      </c>
      <c r="J300" t="s">
        <v>9</v>
      </c>
      <c r="K300" t="s">
        <v>186</v>
      </c>
      <c r="L300" t="s">
        <v>191</v>
      </c>
      <c r="M300" t="s">
        <v>15</v>
      </c>
      <c r="N300" s="2">
        <v>29624.86</v>
      </c>
      <c r="O300" s="2">
        <v>-3066.67</v>
      </c>
      <c r="P300" s="2">
        <v>-1703.79</v>
      </c>
      <c r="Q300" s="2">
        <v>24854.400000000001</v>
      </c>
      <c r="R300" s="2">
        <v>7634.12</v>
      </c>
      <c r="S300" s="2">
        <v>17220.28</v>
      </c>
      <c r="T300" s="2">
        <v>17220.28</v>
      </c>
      <c r="U300" s="2">
        <v>7634.12</v>
      </c>
      <c r="V300" s="2">
        <v>7634.12</v>
      </c>
      <c r="W300" s="2">
        <v>0</v>
      </c>
    </row>
    <row r="301" spans="1:23" outlineLevel="2" x14ac:dyDescent="0.2">
      <c r="A301" t="s">
        <v>0</v>
      </c>
      <c r="B301" t="s">
        <v>39</v>
      </c>
      <c r="C301" t="s">
        <v>58</v>
      </c>
      <c r="D301" t="s">
        <v>105</v>
      </c>
      <c r="E301" t="s">
        <v>106</v>
      </c>
      <c r="F301" t="s">
        <v>5</v>
      </c>
      <c r="G301" t="s">
        <v>6</v>
      </c>
      <c r="H301" t="s">
        <v>35</v>
      </c>
      <c r="I301" t="s">
        <v>36</v>
      </c>
      <c r="J301" t="s">
        <v>9</v>
      </c>
      <c r="K301" t="s">
        <v>186</v>
      </c>
      <c r="L301" t="s">
        <v>188</v>
      </c>
      <c r="M301" t="s">
        <v>12</v>
      </c>
      <c r="N301" s="2">
        <v>0</v>
      </c>
      <c r="O301" s="2">
        <v>0</v>
      </c>
      <c r="P301" s="2">
        <v>3099.21</v>
      </c>
      <c r="Q301" s="2">
        <v>3099.21</v>
      </c>
      <c r="R301" s="2">
        <v>0</v>
      </c>
      <c r="S301" s="2">
        <v>133.32</v>
      </c>
      <c r="T301" s="2">
        <v>133.32</v>
      </c>
      <c r="U301" s="2">
        <v>2965.89</v>
      </c>
      <c r="V301" s="2">
        <v>2965.89</v>
      </c>
      <c r="W301" s="2">
        <v>2965.89</v>
      </c>
    </row>
    <row r="302" spans="1:23" outlineLevel="2" x14ac:dyDescent="0.2">
      <c r="A302" t="s">
        <v>0</v>
      </c>
      <c r="B302" t="s">
        <v>1</v>
      </c>
      <c r="C302" t="s">
        <v>91</v>
      </c>
      <c r="D302" t="s">
        <v>92</v>
      </c>
      <c r="E302" t="s">
        <v>93</v>
      </c>
      <c r="F302" t="s">
        <v>5</v>
      </c>
      <c r="G302" t="s">
        <v>6</v>
      </c>
      <c r="H302" t="s">
        <v>35</v>
      </c>
      <c r="I302" t="s">
        <v>36</v>
      </c>
      <c r="J302" t="s">
        <v>9</v>
      </c>
      <c r="K302" t="s">
        <v>186</v>
      </c>
      <c r="L302" t="s">
        <v>189</v>
      </c>
      <c r="M302" t="s">
        <v>12</v>
      </c>
      <c r="N302" s="2">
        <v>0</v>
      </c>
      <c r="O302" s="2">
        <v>0</v>
      </c>
      <c r="P302" s="2">
        <v>8073.36</v>
      </c>
      <c r="Q302" s="2">
        <v>8073.36</v>
      </c>
      <c r="R302" s="2">
        <v>0</v>
      </c>
      <c r="S302" s="2">
        <v>919.92</v>
      </c>
      <c r="T302" s="2">
        <v>919.92</v>
      </c>
      <c r="U302" s="2">
        <v>7153.44</v>
      </c>
      <c r="V302" s="2">
        <v>7153.44</v>
      </c>
      <c r="W302" s="2">
        <v>7153.44</v>
      </c>
    </row>
    <row r="303" spans="1:23" outlineLevel="2" x14ac:dyDescent="0.2">
      <c r="A303" t="s">
        <v>0</v>
      </c>
      <c r="B303" t="s">
        <v>1</v>
      </c>
      <c r="C303" t="s">
        <v>44</v>
      </c>
      <c r="D303" t="s">
        <v>45</v>
      </c>
      <c r="E303" t="s">
        <v>46</v>
      </c>
      <c r="F303" t="s">
        <v>5</v>
      </c>
      <c r="G303" t="s">
        <v>6</v>
      </c>
      <c r="H303" t="s">
        <v>35</v>
      </c>
      <c r="I303" t="s">
        <v>36</v>
      </c>
      <c r="J303" t="s">
        <v>9</v>
      </c>
      <c r="K303" t="s">
        <v>186</v>
      </c>
      <c r="L303" t="s">
        <v>192</v>
      </c>
      <c r="M303" t="s">
        <v>15</v>
      </c>
      <c r="N303" s="2">
        <v>16638.62</v>
      </c>
      <c r="O303" s="2">
        <v>2200</v>
      </c>
      <c r="P303" s="2">
        <v>-2861.09</v>
      </c>
      <c r="Q303" s="2">
        <v>15977.53</v>
      </c>
      <c r="R303" s="2">
        <v>383.43</v>
      </c>
      <c r="S303" s="2">
        <v>15594.1</v>
      </c>
      <c r="T303" s="2">
        <v>15594.1</v>
      </c>
      <c r="U303" s="2">
        <v>383.43</v>
      </c>
      <c r="V303" s="2">
        <v>383.43</v>
      </c>
      <c r="W303" s="2">
        <v>0</v>
      </c>
    </row>
    <row r="304" spans="1:23" outlineLevel="2" x14ac:dyDescent="0.2">
      <c r="A304" t="s">
        <v>0</v>
      </c>
      <c r="B304" t="s">
        <v>31</v>
      </c>
      <c r="C304" t="s">
        <v>107</v>
      </c>
      <c r="D304" t="s">
        <v>108</v>
      </c>
      <c r="E304" t="s">
        <v>109</v>
      </c>
      <c r="F304" t="s">
        <v>5</v>
      </c>
      <c r="G304" t="s">
        <v>6</v>
      </c>
      <c r="H304" t="s">
        <v>35</v>
      </c>
      <c r="I304" t="s">
        <v>36</v>
      </c>
      <c r="J304" t="s">
        <v>9</v>
      </c>
      <c r="K304" t="s">
        <v>186</v>
      </c>
      <c r="L304" t="s">
        <v>193</v>
      </c>
      <c r="M304" t="s">
        <v>12</v>
      </c>
      <c r="N304" s="2">
        <v>0</v>
      </c>
      <c r="O304" s="2">
        <v>0</v>
      </c>
      <c r="P304" s="2">
        <v>9788.48</v>
      </c>
      <c r="Q304" s="2">
        <v>9788.48</v>
      </c>
      <c r="R304" s="2">
        <v>0</v>
      </c>
      <c r="S304" s="2">
        <v>633.27</v>
      </c>
      <c r="T304" s="2">
        <v>633.27</v>
      </c>
      <c r="U304" s="2">
        <v>9155.2099999999991</v>
      </c>
      <c r="V304" s="2">
        <v>9155.2099999999991</v>
      </c>
      <c r="W304" s="2">
        <v>9155.2099999999991</v>
      </c>
    </row>
    <row r="305" spans="1:23" outlineLevel="2" x14ac:dyDescent="0.2">
      <c r="A305" t="s">
        <v>0</v>
      </c>
      <c r="B305" t="s">
        <v>1</v>
      </c>
      <c r="C305" t="s">
        <v>2</v>
      </c>
      <c r="D305" t="s">
        <v>20</v>
      </c>
      <c r="E305" t="s">
        <v>21</v>
      </c>
      <c r="F305" t="s">
        <v>5</v>
      </c>
      <c r="G305" t="s">
        <v>6</v>
      </c>
      <c r="H305" t="s">
        <v>35</v>
      </c>
      <c r="I305" t="s">
        <v>36</v>
      </c>
      <c r="J305" t="s">
        <v>9</v>
      </c>
      <c r="K305" t="s">
        <v>186</v>
      </c>
      <c r="L305" t="s">
        <v>194</v>
      </c>
      <c r="M305" t="s">
        <v>15</v>
      </c>
      <c r="N305" s="2">
        <v>316133.78000000003</v>
      </c>
      <c r="O305" s="2">
        <v>1661.97</v>
      </c>
      <c r="P305" s="2">
        <v>-45885.5</v>
      </c>
      <c r="Q305" s="2">
        <v>271910.25</v>
      </c>
      <c r="R305" s="2">
        <v>10179.030000000001</v>
      </c>
      <c r="S305" s="2">
        <v>261731.22</v>
      </c>
      <c r="T305" s="2">
        <v>261531.22</v>
      </c>
      <c r="U305" s="2">
        <v>10179.030000000001</v>
      </c>
      <c r="V305" s="2">
        <v>10379.030000000001</v>
      </c>
      <c r="W305" s="2">
        <v>0</v>
      </c>
    </row>
    <row r="306" spans="1:23" outlineLevel="2" x14ac:dyDescent="0.2">
      <c r="A306" t="s">
        <v>0</v>
      </c>
      <c r="B306" t="s">
        <v>53</v>
      </c>
      <c r="C306" t="s">
        <v>85</v>
      </c>
      <c r="D306" t="s">
        <v>86</v>
      </c>
      <c r="E306" t="s">
        <v>87</v>
      </c>
      <c r="F306" t="s">
        <v>5</v>
      </c>
      <c r="G306" t="s">
        <v>6</v>
      </c>
      <c r="H306" t="s">
        <v>35</v>
      </c>
      <c r="I306" t="s">
        <v>36</v>
      </c>
      <c r="J306" t="s">
        <v>9</v>
      </c>
      <c r="K306" t="s">
        <v>186</v>
      </c>
      <c r="L306" t="s">
        <v>195</v>
      </c>
      <c r="M306" t="s">
        <v>15</v>
      </c>
      <c r="N306" s="2">
        <v>7710.58</v>
      </c>
      <c r="O306" s="2">
        <v>0</v>
      </c>
      <c r="P306" s="2">
        <v>-2080.2199999999998</v>
      </c>
      <c r="Q306" s="2">
        <v>5630.36</v>
      </c>
      <c r="R306" s="2">
        <v>0</v>
      </c>
      <c r="S306" s="2">
        <v>5630.36</v>
      </c>
      <c r="T306" s="2">
        <v>5630.36</v>
      </c>
      <c r="U306" s="2">
        <v>0</v>
      </c>
      <c r="V306" s="2">
        <v>0</v>
      </c>
      <c r="W306" s="2">
        <v>0</v>
      </c>
    </row>
    <row r="307" spans="1:23" outlineLevel="2" x14ac:dyDescent="0.2">
      <c r="A307" t="s">
        <v>0</v>
      </c>
      <c r="B307" t="s">
        <v>31</v>
      </c>
      <c r="C307" t="s">
        <v>79</v>
      </c>
      <c r="D307" t="s">
        <v>127</v>
      </c>
      <c r="E307" t="s">
        <v>128</v>
      </c>
      <c r="F307" t="s">
        <v>5</v>
      </c>
      <c r="G307" t="s">
        <v>6</v>
      </c>
      <c r="H307" t="s">
        <v>35</v>
      </c>
      <c r="I307" t="s">
        <v>36</v>
      </c>
      <c r="J307" t="s">
        <v>9</v>
      </c>
      <c r="K307" t="s">
        <v>186</v>
      </c>
      <c r="L307" t="s">
        <v>196</v>
      </c>
      <c r="M307" t="s">
        <v>12</v>
      </c>
      <c r="N307" s="2">
        <v>0</v>
      </c>
      <c r="O307" s="2">
        <v>400</v>
      </c>
      <c r="P307" s="2">
        <v>2129.83</v>
      </c>
      <c r="Q307" s="2">
        <v>2529.83</v>
      </c>
      <c r="R307" s="2">
        <v>250</v>
      </c>
      <c r="S307" s="2">
        <v>349.98</v>
      </c>
      <c r="T307" s="2">
        <v>349.98</v>
      </c>
      <c r="U307" s="2">
        <v>2179.85</v>
      </c>
      <c r="V307" s="2">
        <v>2179.85</v>
      </c>
      <c r="W307" s="2">
        <v>1929.85</v>
      </c>
    </row>
    <row r="308" spans="1:23" outlineLevel="2" x14ac:dyDescent="0.2">
      <c r="A308" t="s">
        <v>0</v>
      </c>
      <c r="B308" t="s">
        <v>53</v>
      </c>
      <c r="C308" t="s">
        <v>85</v>
      </c>
      <c r="D308" t="s">
        <v>86</v>
      </c>
      <c r="E308" t="s">
        <v>87</v>
      </c>
      <c r="F308" t="s">
        <v>5</v>
      </c>
      <c r="G308" t="s">
        <v>6</v>
      </c>
      <c r="H308" t="s">
        <v>35</v>
      </c>
      <c r="I308" t="s">
        <v>36</v>
      </c>
      <c r="J308" t="s">
        <v>9</v>
      </c>
      <c r="K308" t="s">
        <v>186</v>
      </c>
      <c r="L308" t="s">
        <v>195</v>
      </c>
      <c r="M308" t="s">
        <v>12</v>
      </c>
      <c r="N308" s="2">
        <v>0</v>
      </c>
      <c r="O308" s="2">
        <v>0</v>
      </c>
      <c r="P308" s="2">
        <v>2080.2199999999998</v>
      </c>
      <c r="Q308" s="2">
        <v>2080.2199999999998</v>
      </c>
      <c r="R308" s="2">
        <v>0</v>
      </c>
      <c r="S308" s="2">
        <v>299.97000000000003</v>
      </c>
      <c r="T308" s="2">
        <v>299.97000000000003</v>
      </c>
      <c r="U308" s="2">
        <v>1780.25</v>
      </c>
      <c r="V308" s="2">
        <v>1780.25</v>
      </c>
      <c r="W308" s="2">
        <v>1780.25</v>
      </c>
    </row>
    <row r="309" spans="1:23" outlineLevel="2" x14ac:dyDescent="0.2">
      <c r="A309" t="s">
        <v>0</v>
      </c>
      <c r="B309" t="s">
        <v>31</v>
      </c>
      <c r="C309" t="s">
        <v>79</v>
      </c>
      <c r="D309" t="s">
        <v>117</v>
      </c>
      <c r="E309" t="s">
        <v>118</v>
      </c>
      <c r="F309" t="s">
        <v>5</v>
      </c>
      <c r="G309" t="s">
        <v>6</v>
      </c>
      <c r="H309" t="s">
        <v>35</v>
      </c>
      <c r="I309" t="s">
        <v>36</v>
      </c>
      <c r="J309" t="s">
        <v>9</v>
      </c>
      <c r="K309" t="s">
        <v>186</v>
      </c>
      <c r="L309" t="s">
        <v>196</v>
      </c>
      <c r="M309" t="s">
        <v>12</v>
      </c>
      <c r="N309" s="2">
        <v>0</v>
      </c>
      <c r="O309" s="2">
        <v>0</v>
      </c>
      <c r="P309" s="2">
        <v>6201.94</v>
      </c>
      <c r="Q309" s="2">
        <v>6201.94</v>
      </c>
      <c r="R309" s="2">
        <v>0</v>
      </c>
      <c r="S309" s="2">
        <v>399.96</v>
      </c>
      <c r="T309" s="2">
        <v>399.96</v>
      </c>
      <c r="U309" s="2">
        <v>5801.98</v>
      </c>
      <c r="V309" s="2">
        <v>5801.98</v>
      </c>
      <c r="W309" s="2">
        <v>5801.98</v>
      </c>
    </row>
    <row r="310" spans="1:23" outlineLevel="2" x14ac:dyDescent="0.2">
      <c r="A310" t="s">
        <v>0</v>
      </c>
      <c r="B310" t="s">
        <v>31</v>
      </c>
      <c r="C310" t="s">
        <v>49</v>
      </c>
      <c r="D310" t="s">
        <v>50</v>
      </c>
      <c r="E310" t="s">
        <v>51</v>
      </c>
      <c r="F310" t="s">
        <v>5</v>
      </c>
      <c r="G310" t="s">
        <v>6</v>
      </c>
      <c r="H310" t="s">
        <v>35</v>
      </c>
      <c r="I310" t="s">
        <v>36</v>
      </c>
      <c r="J310" t="s">
        <v>9</v>
      </c>
      <c r="K310" t="s">
        <v>186</v>
      </c>
      <c r="L310" t="s">
        <v>197</v>
      </c>
      <c r="M310" t="s">
        <v>12</v>
      </c>
      <c r="N310" s="2">
        <v>0</v>
      </c>
      <c r="O310" s="2">
        <v>0</v>
      </c>
      <c r="P310" s="2">
        <v>8743.6200000000008</v>
      </c>
      <c r="Q310" s="2">
        <v>8743.6200000000008</v>
      </c>
      <c r="R310" s="2">
        <v>0</v>
      </c>
      <c r="S310" s="2">
        <v>533.28</v>
      </c>
      <c r="T310" s="2">
        <v>533.28</v>
      </c>
      <c r="U310" s="2">
        <v>8210.34</v>
      </c>
      <c r="V310" s="2">
        <v>8210.34</v>
      </c>
      <c r="W310" s="2">
        <v>8210.34</v>
      </c>
    </row>
    <row r="311" spans="1:23" outlineLevel="2" x14ac:dyDescent="0.2">
      <c r="A311" t="s">
        <v>0</v>
      </c>
      <c r="B311" t="s">
        <v>39</v>
      </c>
      <c r="C311" t="s">
        <v>40</v>
      </c>
      <c r="D311" t="s">
        <v>41</v>
      </c>
      <c r="E311" t="s">
        <v>42</v>
      </c>
      <c r="F311" t="s">
        <v>5</v>
      </c>
      <c r="G311" t="s">
        <v>6</v>
      </c>
      <c r="H311" t="s">
        <v>35</v>
      </c>
      <c r="I311" t="s">
        <v>36</v>
      </c>
      <c r="J311" t="s">
        <v>9</v>
      </c>
      <c r="K311" t="s">
        <v>186</v>
      </c>
      <c r="L311" t="s">
        <v>198</v>
      </c>
      <c r="M311" t="s">
        <v>12</v>
      </c>
      <c r="N311" s="2">
        <v>0</v>
      </c>
      <c r="O311" s="2">
        <v>0</v>
      </c>
      <c r="P311" s="2">
        <v>5406.29</v>
      </c>
      <c r="Q311" s="2">
        <v>5406.29</v>
      </c>
      <c r="R311" s="2">
        <v>0</v>
      </c>
      <c r="S311" s="2">
        <v>699.93</v>
      </c>
      <c r="T311" s="2">
        <v>699.93</v>
      </c>
      <c r="U311" s="2">
        <v>4706.3599999999997</v>
      </c>
      <c r="V311" s="2">
        <v>4706.3599999999997</v>
      </c>
      <c r="W311" s="2">
        <v>4706.3599999999997</v>
      </c>
    </row>
    <row r="312" spans="1:23" outlineLevel="2" x14ac:dyDescent="0.2">
      <c r="A312" t="s">
        <v>0</v>
      </c>
      <c r="B312" t="s">
        <v>39</v>
      </c>
      <c r="C312" t="s">
        <v>66</v>
      </c>
      <c r="D312" t="s">
        <v>67</v>
      </c>
      <c r="E312" t="s">
        <v>68</v>
      </c>
      <c r="F312" t="s">
        <v>5</v>
      </c>
      <c r="G312" t="s">
        <v>6</v>
      </c>
      <c r="H312" t="s">
        <v>35</v>
      </c>
      <c r="I312" t="s">
        <v>36</v>
      </c>
      <c r="J312" t="s">
        <v>9</v>
      </c>
      <c r="K312" t="s">
        <v>186</v>
      </c>
      <c r="L312" t="s">
        <v>187</v>
      </c>
      <c r="M312" t="s">
        <v>15</v>
      </c>
      <c r="N312" s="2">
        <v>50727.5</v>
      </c>
      <c r="O312" s="2">
        <v>-1600</v>
      </c>
      <c r="P312" s="2">
        <v>-6473.61</v>
      </c>
      <c r="Q312" s="2">
        <v>42653.89</v>
      </c>
      <c r="R312" s="2">
        <v>764.17</v>
      </c>
      <c r="S312" s="2">
        <v>41889.72</v>
      </c>
      <c r="T312" s="2">
        <v>41889.72</v>
      </c>
      <c r="U312" s="2">
        <v>764.17</v>
      </c>
      <c r="V312" s="2">
        <v>764.17</v>
      </c>
      <c r="W312" s="2">
        <v>0</v>
      </c>
    </row>
    <row r="313" spans="1:23" outlineLevel="2" x14ac:dyDescent="0.2">
      <c r="A313" t="s">
        <v>0</v>
      </c>
      <c r="B313" t="s">
        <v>1</v>
      </c>
      <c r="C313" t="s">
        <v>2</v>
      </c>
      <c r="D313" t="s">
        <v>3</v>
      </c>
      <c r="E313" t="s">
        <v>4</v>
      </c>
      <c r="F313" t="s">
        <v>5</v>
      </c>
      <c r="G313" t="s">
        <v>6</v>
      </c>
      <c r="H313" t="s">
        <v>35</v>
      </c>
      <c r="I313" t="s">
        <v>36</v>
      </c>
      <c r="J313" t="s">
        <v>9</v>
      </c>
      <c r="K313" t="s">
        <v>186</v>
      </c>
      <c r="L313" t="s">
        <v>194</v>
      </c>
      <c r="M313" t="s">
        <v>15</v>
      </c>
      <c r="N313" s="2">
        <v>109571.4</v>
      </c>
      <c r="O313" s="2">
        <v>-400</v>
      </c>
      <c r="P313" s="2">
        <v>-7777.36</v>
      </c>
      <c r="Q313" s="2">
        <v>101394.04</v>
      </c>
      <c r="R313" s="2">
        <v>1991.45</v>
      </c>
      <c r="S313" s="2">
        <v>99402.59</v>
      </c>
      <c r="T313" s="2">
        <v>99402.59</v>
      </c>
      <c r="U313" s="2">
        <v>1991.45</v>
      </c>
      <c r="V313" s="2">
        <v>1991.45</v>
      </c>
      <c r="W313" s="2">
        <v>0</v>
      </c>
    </row>
    <row r="314" spans="1:23" outlineLevel="2" x14ac:dyDescent="0.2">
      <c r="A314" t="s">
        <v>0</v>
      </c>
      <c r="B314" t="s">
        <v>39</v>
      </c>
      <c r="C314" t="s">
        <v>70</v>
      </c>
      <c r="D314" t="s">
        <v>89</v>
      </c>
      <c r="E314" t="s">
        <v>90</v>
      </c>
      <c r="F314" t="s">
        <v>5</v>
      </c>
      <c r="G314" t="s">
        <v>6</v>
      </c>
      <c r="H314" t="s">
        <v>35</v>
      </c>
      <c r="I314" t="s">
        <v>36</v>
      </c>
      <c r="J314" t="s">
        <v>9</v>
      </c>
      <c r="K314" t="s">
        <v>186</v>
      </c>
      <c r="L314" t="s">
        <v>190</v>
      </c>
      <c r="M314" t="s">
        <v>12</v>
      </c>
      <c r="N314" s="2">
        <v>0</v>
      </c>
      <c r="O314" s="2">
        <v>0</v>
      </c>
      <c r="P314" s="2">
        <v>35575.440000000002</v>
      </c>
      <c r="Q314" s="2">
        <v>35575.440000000002</v>
      </c>
      <c r="R314" s="2">
        <v>0</v>
      </c>
      <c r="S314" s="2">
        <v>4132.92</v>
      </c>
      <c r="T314" s="2">
        <v>4132.92</v>
      </c>
      <c r="U314" s="2">
        <v>31442.52</v>
      </c>
      <c r="V314" s="2">
        <v>31442.52</v>
      </c>
      <c r="W314" s="2">
        <v>31442.52</v>
      </c>
    </row>
    <row r="315" spans="1:23" outlineLevel="2" x14ac:dyDescent="0.2">
      <c r="A315" t="s">
        <v>0</v>
      </c>
      <c r="B315" t="s">
        <v>1</v>
      </c>
      <c r="C315" t="s">
        <v>44</v>
      </c>
      <c r="D315" t="s">
        <v>45</v>
      </c>
      <c r="E315" t="s">
        <v>46</v>
      </c>
      <c r="F315" t="s">
        <v>5</v>
      </c>
      <c r="G315" t="s">
        <v>6</v>
      </c>
      <c r="H315" t="s">
        <v>35</v>
      </c>
      <c r="I315" t="s">
        <v>36</v>
      </c>
      <c r="J315" t="s">
        <v>9</v>
      </c>
      <c r="K315" t="s">
        <v>186</v>
      </c>
      <c r="L315" t="s">
        <v>192</v>
      </c>
      <c r="M315" t="s">
        <v>12</v>
      </c>
      <c r="N315" s="2">
        <v>0</v>
      </c>
      <c r="O315" s="2">
        <v>0</v>
      </c>
      <c r="P315" s="2">
        <v>2861.09</v>
      </c>
      <c r="Q315" s="2">
        <v>2861.09</v>
      </c>
      <c r="R315" s="2">
        <v>0</v>
      </c>
      <c r="S315" s="2">
        <v>266.64</v>
      </c>
      <c r="T315" s="2">
        <v>266.64</v>
      </c>
      <c r="U315" s="2">
        <v>2594.4499999999998</v>
      </c>
      <c r="V315" s="2">
        <v>2594.4499999999998</v>
      </c>
      <c r="W315" s="2">
        <v>2594.4499999999998</v>
      </c>
    </row>
    <row r="316" spans="1:23" outlineLevel="2" x14ac:dyDescent="0.2">
      <c r="A316" t="s">
        <v>0</v>
      </c>
      <c r="B316" t="s">
        <v>39</v>
      </c>
      <c r="C316" t="s">
        <v>40</v>
      </c>
      <c r="D316" t="s">
        <v>77</v>
      </c>
      <c r="E316" t="s">
        <v>78</v>
      </c>
      <c r="F316" t="s">
        <v>5</v>
      </c>
      <c r="G316" t="s">
        <v>6</v>
      </c>
      <c r="H316" t="s">
        <v>35</v>
      </c>
      <c r="I316" t="s">
        <v>36</v>
      </c>
      <c r="J316" t="s">
        <v>9</v>
      </c>
      <c r="K316" t="s">
        <v>186</v>
      </c>
      <c r="L316" t="s">
        <v>198</v>
      </c>
      <c r="M316" t="s">
        <v>15</v>
      </c>
      <c r="N316" s="2">
        <v>1021448.94</v>
      </c>
      <c r="O316" s="2">
        <v>2163.9499999999998</v>
      </c>
      <c r="P316" s="2">
        <v>-56153.09</v>
      </c>
      <c r="Q316" s="2">
        <v>967459.8</v>
      </c>
      <c r="R316" s="2">
        <v>2447.83</v>
      </c>
      <c r="S316" s="2">
        <v>965011.97</v>
      </c>
      <c r="T316" s="2">
        <v>965011.97</v>
      </c>
      <c r="U316" s="2">
        <v>2447.83</v>
      </c>
      <c r="V316" s="2">
        <v>2447.83</v>
      </c>
      <c r="W316" s="2">
        <v>0</v>
      </c>
    </row>
    <row r="317" spans="1:23" outlineLevel="2" x14ac:dyDescent="0.2">
      <c r="A317" t="s">
        <v>0</v>
      </c>
      <c r="B317" t="s">
        <v>39</v>
      </c>
      <c r="C317" t="s">
        <v>66</v>
      </c>
      <c r="D317" t="s">
        <v>67</v>
      </c>
      <c r="E317" t="s">
        <v>68</v>
      </c>
      <c r="F317" t="s">
        <v>5</v>
      </c>
      <c r="G317" t="s">
        <v>6</v>
      </c>
      <c r="H317" t="s">
        <v>35</v>
      </c>
      <c r="I317" t="s">
        <v>36</v>
      </c>
      <c r="J317" t="s">
        <v>9</v>
      </c>
      <c r="K317" t="s">
        <v>186</v>
      </c>
      <c r="L317" t="s">
        <v>187</v>
      </c>
      <c r="M317" t="s">
        <v>12</v>
      </c>
      <c r="N317" s="2">
        <v>0</v>
      </c>
      <c r="O317" s="2">
        <v>0</v>
      </c>
      <c r="P317" s="2">
        <v>6473.61</v>
      </c>
      <c r="Q317" s="2">
        <v>6473.61</v>
      </c>
      <c r="R317" s="2">
        <v>0</v>
      </c>
      <c r="S317" s="2">
        <v>1133.22</v>
      </c>
      <c r="T317" s="2">
        <v>1133.22</v>
      </c>
      <c r="U317" s="2">
        <v>5340.39</v>
      </c>
      <c r="V317" s="2">
        <v>5340.39</v>
      </c>
      <c r="W317" s="2">
        <v>5340.39</v>
      </c>
    </row>
    <row r="318" spans="1:23" outlineLevel="2" x14ac:dyDescent="0.2">
      <c r="A318" t="s">
        <v>0</v>
      </c>
      <c r="B318" t="s">
        <v>1</v>
      </c>
      <c r="C318" t="s">
        <v>99</v>
      </c>
      <c r="D318" t="s">
        <v>100</v>
      </c>
      <c r="E318" t="s">
        <v>101</v>
      </c>
      <c r="F318" t="s">
        <v>5</v>
      </c>
      <c r="G318" t="s">
        <v>6</v>
      </c>
      <c r="H318" t="s">
        <v>35</v>
      </c>
      <c r="I318" t="s">
        <v>36</v>
      </c>
      <c r="J318" t="s">
        <v>9</v>
      </c>
      <c r="K318" t="s">
        <v>186</v>
      </c>
      <c r="L318" t="s">
        <v>199</v>
      </c>
      <c r="M318" t="s">
        <v>12</v>
      </c>
      <c r="N318" s="2">
        <v>0</v>
      </c>
      <c r="O318" s="2">
        <v>0</v>
      </c>
      <c r="P318" s="2">
        <v>2019.35</v>
      </c>
      <c r="Q318" s="2">
        <v>2019.35</v>
      </c>
      <c r="R318" s="2">
        <v>0</v>
      </c>
      <c r="S318" s="2">
        <v>66.66</v>
      </c>
      <c r="T318" s="2">
        <v>66.66</v>
      </c>
      <c r="U318" s="2">
        <v>1952.69</v>
      </c>
      <c r="V318" s="2">
        <v>1952.69</v>
      </c>
      <c r="W318" s="2">
        <v>1952.69</v>
      </c>
    </row>
    <row r="319" spans="1:23" outlineLevel="2" x14ac:dyDescent="0.2">
      <c r="A319" t="s">
        <v>0</v>
      </c>
      <c r="B319" t="s">
        <v>31</v>
      </c>
      <c r="C319" t="s">
        <v>32</v>
      </c>
      <c r="D319" t="s">
        <v>123</v>
      </c>
      <c r="E319" t="s">
        <v>124</v>
      </c>
      <c r="F319" t="s">
        <v>5</v>
      </c>
      <c r="G319" t="s">
        <v>6</v>
      </c>
      <c r="H319" t="s">
        <v>35</v>
      </c>
      <c r="I319" t="s">
        <v>36</v>
      </c>
      <c r="J319" t="s">
        <v>9</v>
      </c>
      <c r="K319" t="s">
        <v>186</v>
      </c>
      <c r="L319" t="s">
        <v>191</v>
      </c>
      <c r="M319" t="s">
        <v>12</v>
      </c>
      <c r="N319" s="2">
        <v>0</v>
      </c>
      <c r="O319" s="2">
        <v>0</v>
      </c>
      <c r="P319" s="2">
        <v>569.77</v>
      </c>
      <c r="Q319" s="2">
        <v>569.77</v>
      </c>
      <c r="R319" s="2">
        <v>0</v>
      </c>
      <c r="S319" s="2">
        <v>266.64</v>
      </c>
      <c r="T319" s="2">
        <v>266.64</v>
      </c>
      <c r="U319" s="2">
        <v>303.13</v>
      </c>
      <c r="V319" s="2">
        <v>303.13</v>
      </c>
      <c r="W319" s="2">
        <v>303.13</v>
      </c>
    </row>
    <row r="320" spans="1:23" outlineLevel="2" x14ac:dyDescent="0.2">
      <c r="A320" t="s">
        <v>0</v>
      </c>
      <c r="B320" t="s">
        <v>39</v>
      </c>
      <c r="C320" t="s">
        <v>58</v>
      </c>
      <c r="D320" t="s">
        <v>119</v>
      </c>
      <c r="E320" t="s">
        <v>120</v>
      </c>
      <c r="F320" t="s">
        <v>5</v>
      </c>
      <c r="G320" t="s">
        <v>6</v>
      </c>
      <c r="H320" t="s">
        <v>35</v>
      </c>
      <c r="I320" t="s">
        <v>36</v>
      </c>
      <c r="J320" t="s">
        <v>9</v>
      </c>
      <c r="K320" t="s">
        <v>186</v>
      </c>
      <c r="L320" t="s">
        <v>188</v>
      </c>
      <c r="M320" t="s">
        <v>12</v>
      </c>
      <c r="N320" s="2">
        <v>0</v>
      </c>
      <c r="O320" s="2">
        <v>0</v>
      </c>
      <c r="P320" s="2">
        <v>809.96</v>
      </c>
      <c r="Q320" s="2">
        <v>809.96</v>
      </c>
      <c r="R320" s="2">
        <v>0</v>
      </c>
      <c r="S320" s="2">
        <v>199.98</v>
      </c>
      <c r="T320" s="2">
        <v>199.98</v>
      </c>
      <c r="U320" s="2">
        <v>609.98</v>
      </c>
      <c r="V320" s="2">
        <v>609.98</v>
      </c>
      <c r="W320" s="2">
        <v>609.98</v>
      </c>
    </row>
    <row r="321" spans="1:23" outlineLevel="2" x14ac:dyDescent="0.2">
      <c r="A321" t="s">
        <v>0</v>
      </c>
      <c r="B321" t="s">
        <v>39</v>
      </c>
      <c r="C321" t="s">
        <v>40</v>
      </c>
      <c r="D321" t="s">
        <v>41</v>
      </c>
      <c r="E321" t="s">
        <v>42</v>
      </c>
      <c r="F321" t="s">
        <v>5</v>
      </c>
      <c r="G321" t="s">
        <v>6</v>
      </c>
      <c r="H321" t="s">
        <v>35</v>
      </c>
      <c r="I321" t="s">
        <v>36</v>
      </c>
      <c r="J321" t="s">
        <v>9</v>
      </c>
      <c r="K321" t="s">
        <v>186</v>
      </c>
      <c r="L321" t="s">
        <v>198</v>
      </c>
      <c r="M321" t="s">
        <v>15</v>
      </c>
      <c r="N321" s="2">
        <v>38552.9</v>
      </c>
      <c r="O321" s="2">
        <v>0</v>
      </c>
      <c r="P321" s="2">
        <v>-5406.29</v>
      </c>
      <c r="Q321" s="2">
        <v>33146.61</v>
      </c>
      <c r="R321" s="2">
        <v>319.45999999999998</v>
      </c>
      <c r="S321" s="2">
        <v>32827.15</v>
      </c>
      <c r="T321" s="2">
        <v>32827.15</v>
      </c>
      <c r="U321" s="2">
        <v>319.45999999999998</v>
      </c>
      <c r="V321" s="2">
        <v>319.45999999999998</v>
      </c>
      <c r="W321" s="2">
        <v>0</v>
      </c>
    </row>
    <row r="322" spans="1:23" outlineLevel="2" x14ac:dyDescent="0.2">
      <c r="A322" t="s">
        <v>0</v>
      </c>
      <c r="B322" t="s">
        <v>31</v>
      </c>
      <c r="C322" t="s">
        <v>32</v>
      </c>
      <c r="D322" t="s">
        <v>141</v>
      </c>
      <c r="E322" t="s">
        <v>142</v>
      </c>
      <c r="F322" t="s">
        <v>5</v>
      </c>
      <c r="G322" t="s">
        <v>6</v>
      </c>
      <c r="H322" t="s">
        <v>35</v>
      </c>
      <c r="I322" t="s">
        <v>36</v>
      </c>
      <c r="J322" t="s">
        <v>9</v>
      </c>
      <c r="K322" t="s">
        <v>186</v>
      </c>
      <c r="L322" t="s">
        <v>191</v>
      </c>
      <c r="M322" t="s">
        <v>12</v>
      </c>
      <c r="N322" s="2">
        <v>0</v>
      </c>
      <c r="O322" s="2">
        <v>0</v>
      </c>
      <c r="P322" s="2">
        <v>1703.79</v>
      </c>
      <c r="Q322" s="2">
        <v>1703.79</v>
      </c>
      <c r="R322" s="2">
        <v>0</v>
      </c>
      <c r="S322" s="2">
        <v>266.64</v>
      </c>
      <c r="T322" s="2">
        <v>266.64</v>
      </c>
      <c r="U322" s="2">
        <v>1437.15</v>
      </c>
      <c r="V322" s="2">
        <v>1437.15</v>
      </c>
      <c r="W322" s="2">
        <v>1437.15</v>
      </c>
    </row>
    <row r="323" spans="1:23" outlineLevel="2" x14ac:dyDescent="0.2">
      <c r="A323" t="s">
        <v>0</v>
      </c>
      <c r="B323" t="s">
        <v>39</v>
      </c>
      <c r="C323" t="s">
        <v>58</v>
      </c>
      <c r="D323" t="s">
        <v>59</v>
      </c>
      <c r="E323" t="s">
        <v>60</v>
      </c>
      <c r="F323" t="s">
        <v>5</v>
      </c>
      <c r="G323" t="s">
        <v>6</v>
      </c>
      <c r="H323" t="s">
        <v>35</v>
      </c>
      <c r="I323" t="s">
        <v>36</v>
      </c>
      <c r="J323" t="s">
        <v>9</v>
      </c>
      <c r="K323" t="s">
        <v>186</v>
      </c>
      <c r="L323" t="s">
        <v>188</v>
      </c>
      <c r="M323" t="s">
        <v>15</v>
      </c>
      <c r="N323" s="2">
        <v>27595.759999999998</v>
      </c>
      <c r="O323" s="2">
        <v>-66.67</v>
      </c>
      <c r="P323" s="2">
        <v>-4458.83</v>
      </c>
      <c r="Q323" s="2">
        <v>23070.26</v>
      </c>
      <c r="R323" s="2">
        <v>115.55</v>
      </c>
      <c r="S323" s="2">
        <v>22954.71</v>
      </c>
      <c r="T323" s="2">
        <v>22954.71</v>
      </c>
      <c r="U323" s="2">
        <v>115.55</v>
      </c>
      <c r="V323" s="2">
        <v>115.55</v>
      </c>
      <c r="W323" s="2">
        <v>0</v>
      </c>
    </row>
    <row r="324" spans="1:23" outlineLevel="2" x14ac:dyDescent="0.2">
      <c r="A324" t="s">
        <v>0</v>
      </c>
      <c r="B324" t="s">
        <v>39</v>
      </c>
      <c r="C324" t="s">
        <v>70</v>
      </c>
      <c r="D324" t="s">
        <v>71</v>
      </c>
      <c r="E324" t="s">
        <v>72</v>
      </c>
      <c r="F324" t="s">
        <v>5</v>
      </c>
      <c r="G324" t="s">
        <v>6</v>
      </c>
      <c r="H324" t="s">
        <v>35</v>
      </c>
      <c r="I324" t="s">
        <v>36</v>
      </c>
      <c r="J324" t="s">
        <v>9</v>
      </c>
      <c r="K324" t="s">
        <v>186</v>
      </c>
      <c r="L324" t="s">
        <v>190</v>
      </c>
      <c r="M324" t="s">
        <v>12</v>
      </c>
      <c r="N324" s="2">
        <v>0</v>
      </c>
      <c r="O324" s="2">
        <v>0</v>
      </c>
      <c r="P324" s="2">
        <v>6394.01</v>
      </c>
      <c r="Q324" s="2">
        <v>6394.01</v>
      </c>
      <c r="R324" s="2">
        <v>0</v>
      </c>
      <c r="S324" s="2">
        <v>479.95</v>
      </c>
      <c r="T324" s="2">
        <v>479.95</v>
      </c>
      <c r="U324" s="2">
        <v>5914.06</v>
      </c>
      <c r="V324" s="2">
        <v>5914.06</v>
      </c>
      <c r="W324" s="2">
        <v>5914.06</v>
      </c>
    </row>
    <row r="325" spans="1:23" outlineLevel="2" x14ac:dyDescent="0.2">
      <c r="A325" t="s">
        <v>0</v>
      </c>
      <c r="B325" t="s">
        <v>39</v>
      </c>
      <c r="C325" t="s">
        <v>66</v>
      </c>
      <c r="D325" t="s">
        <v>121</v>
      </c>
      <c r="E325" t="s">
        <v>122</v>
      </c>
      <c r="F325" t="s">
        <v>5</v>
      </c>
      <c r="G325" t="s">
        <v>6</v>
      </c>
      <c r="H325" t="s">
        <v>35</v>
      </c>
      <c r="I325" t="s">
        <v>36</v>
      </c>
      <c r="J325" t="s">
        <v>9</v>
      </c>
      <c r="K325" t="s">
        <v>186</v>
      </c>
      <c r="L325" t="s">
        <v>187</v>
      </c>
      <c r="M325" t="s">
        <v>12</v>
      </c>
      <c r="N325" s="2">
        <v>0</v>
      </c>
      <c r="O325" s="2">
        <v>0</v>
      </c>
      <c r="P325" s="2">
        <v>3201.64</v>
      </c>
      <c r="Q325" s="2">
        <v>3201.64</v>
      </c>
      <c r="R325" s="2">
        <v>0</v>
      </c>
      <c r="S325" s="2">
        <v>599.94000000000005</v>
      </c>
      <c r="T325" s="2">
        <v>599.94000000000005</v>
      </c>
      <c r="U325" s="2">
        <v>2601.6999999999998</v>
      </c>
      <c r="V325" s="2">
        <v>2601.6999999999998</v>
      </c>
      <c r="W325" s="2">
        <v>2601.6999999999998</v>
      </c>
    </row>
    <row r="326" spans="1:23" outlineLevel="2" x14ac:dyDescent="0.2">
      <c r="A326" t="s">
        <v>0</v>
      </c>
      <c r="B326" t="s">
        <v>31</v>
      </c>
      <c r="C326" t="s">
        <v>79</v>
      </c>
      <c r="D326" t="s">
        <v>125</v>
      </c>
      <c r="E326" t="s">
        <v>126</v>
      </c>
      <c r="F326" t="s">
        <v>5</v>
      </c>
      <c r="G326" t="s">
        <v>6</v>
      </c>
      <c r="H326" t="s">
        <v>35</v>
      </c>
      <c r="I326" t="s">
        <v>36</v>
      </c>
      <c r="J326" t="s">
        <v>9</v>
      </c>
      <c r="K326" t="s">
        <v>186</v>
      </c>
      <c r="L326" t="s">
        <v>196</v>
      </c>
      <c r="M326" t="s">
        <v>12</v>
      </c>
      <c r="N326" s="2">
        <v>0</v>
      </c>
      <c r="O326" s="2">
        <v>0</v>
      </c>
      <c r="P326" s="2">
        <v>2297.84</v>
      </c>
      <c r="Q326" s="2">
        <v>2297.84</v>
      </c>
      <c r="R326" s="2">
        <v>0</v>
      </c>
      <c r="S326" s="2">
        <v>199.98</v>
      </c>
      <c r="T326" s="2">
        <v>199.98</v>
      </c>
      <c r="U326" s="2">
        <v>2097.86</v>
      </c>
      <c r="V326" s="2">
        <v>2097.86</v>
      </c>
      <c r="W326" s="2">
        <v>2097.86</v>
      </c>
    </row>
    <row r="327" spans="1:23" outlineLevel="2" x14ac:dyDescent="0.2">
      <c r="A327" t="s">
        <v>0</v>
      </c>
      <c r="B327" t="s">
        <v>39</v>
      </c>
      <c r="C327" t="s">
        <v>58</v>
      </c>
      <c r="D327" t="s">
        <v>105</v>
      </c>
      <c r="E327" t="s">
        <v>106</v>
      </c>
      <c r="F327" t="s">
        <v>5</v>
      </c>
      <c r="G327" t="s">
        <v>6</v>
      </c>
      <c r="H327" t="s">
        <v>35</v>
      </c>
      <c r="I327" t="s">
        <v>36</v>
      </c>
      <c r="J327" t="s">
        <v>9</v>
      </c>
      <c r="K327" t="s">
        <v>186</v>
      </c>
      <c r="L327" t="s">
        <v>188</v>
      </c>
      <c r="M327" t="s">
        <v>15</v>
      </c>
      <c r="N327" s="2">
        <v>12986.24</v>
      </c>
      <c r="O327" s="2">
        <v>133.33000000000001</v>
      </c>
      <c r="P327" s="2">
        <v>-3099.21</v>
      </c>
      <c r="Q327" s="2">
        <v>10020.36</v>
      </c>
      <c r="R327" s="2">
        <v>2290.06</v>
      </c>
      <c r="S327" s="2">
        <v>7730.3</v>
      </c>
      <c r="T327" s="2">
        <v>7730.3</v>
      </c>
      <c r="U327" s="2">
        <v>2290.06</v>
      </c>
      <c r="V327" s="2">
        <v>2290.06</v>
      </c>
      <c r="W327" s="2">
        <v>0</v>
      </c>
    </row>
    <row r="328" spans="1:23" outlineLevel="2" x14ac:dyDescent="0.2">
      <c r="A328" t="s">
        <v>0</v>
      </c>
      <c r="B328" t="s">
        <v>31</v>
      </c>
      <c r="C328" t="s">
        <v>79</v>
      </c>
      <c r="D328" t="s">
        <v>133</v>
      </c>
      <c r="E328" t="s">
        <v>134</v>
      </c>
      <c r="F328" t="s">
        <v>5</v>
      </c>
      <c r="G328" t="s">
        <v>6</v>
      </c>
      <c r="H328" t="s">
        <v>35</v>
      </c>
      <c r="I328" t="s">
        <v>36</v>
      </c>
      <c r="J328" t="s">
        <v>9</v>
      </c>
      <c r="K328" t="s">
        <v>186</v>
      </c>
      <c r="L328" t="s">
        <v>196</v>
      </c>
      <c r="M328" t="s">
        <v>15</v>
      </c>
      <c r="N328" s="2">
        <v>41393.64</v>
      </c>
      <c r="O328" s="2">
        <v>15.76</v>
      </c>
      <c r="P328" s="2">
        <v>-2319.91</v>
      </c>
      <c r="Q328" s="2">
        <v>39089.49</v>
      </c>
      <c r="R328" s="2">
        <v>0</v>
      </c>
      <c r="S328" s="2">
        <v>39089.49</v>
      </c>
      <c r="T328" s="2">
        <v>39089.49</v>
      </c>
      <c r="U328" s="2">
        <v>0</v>
      </c>
      <c r="V328" s="2">
        <v>0</v>
      </c>
      <c r="W328" s="2">
        <v>0</v>
      </c>
    </row>
    <row r="329" spans="1:23" outlineLevel="2" x14ac:dyDescent="0.2">
      <c r="A329" t="s">
        <v>0</v>
      </c>
      <c r="B329" t="s">
        <v>1</v>
      </c>
      <c r="C329" t="s">
        <v>16</v>
      </c>
      <c r="D329" t="s">
        <v>17</v>
      </c>
      <c r="E329" t="s">
        <v>18</v>
      </c>
      <c r="F329" t="s">
        <v>5</v>
      </c>
      <c r="G329" t="s">
        <v>6</v>
      </c>
      <c r="H329" t="s">
        <v>35</v>
      </c>
      <c r="I329" t="s">
        <v>36</v>
      </c>
      <c r="J329" t="s">
        <v>9</v>
      </c>
      <c r="K329" t="s">
        <v>186</v>
      </c>
      <c r="L329" t="s">
        <v>200</v>
      </c>
      <c r="M329" t="s">
        <v>12</v>
      </c>
      <c r="N329" s="2">
        <v>0</v>
      </c>
      <c r="O329" s="2">
        <v>0</v>
      </c>
      <c r="P329" s="2">
        <v>8977.75</v>
      </c>
      <c r="Q329" s="2">
        <v>8977.75</v>
      </c>
      <c r="R329" s="2">
        <v>0</v>
      </c>
      <c r="S329" s="2">
        <v>557.73</v>
      </c>
      <c r="T329" s="2">
        <v>557.73</v>
      </c>
      <c r="U329" s="2">
        <v>8420.02</v>
      </c>
      <c r="V329" s="2">
        <v>8420.02</v>
      </c>
      <c r="W329" s="2">
        <v>8420.02</v>
      </c>
    </row>
    <row r="330" spans="1:23" outlineLevel="2" x14ac:dyDescent="0.2">
      <c r="A330" t="s">
        <v>0</v>
      </c>
      <c r="B330" t="s">
        <v>39</v>
      </c>
      <c r="C330" t="s">
        <v>58</v>
      </c>
      <c r="D330" t="s">
        <v>59</v>
      </c>
      <c r="E330" t="s">
        <v>60</v>
      </c>
      <c r="F330" t="s">
        <v>5</v>
      </c>
      <c r="G330" t="s">
        <v>6</v>
      </c>
      <c r="H330" t="s">
        <v>35</v>
      </c>
      <c r="I330" t="s">
        <v>36</v>
      </c>
      <c r="J330" t="s">
        <v>9</v>
      </c>
      <c r="K330" t="s">
        <v>186</v>
      </c>
      <c r="L330" t="s">
        <v>188</v>
      </c>
      <c r="M330" t="s">
        <v>12</v>
      </c>
      <c r="N330" s="2">
        <v>0</v>
      </c>
      <c r="O330" s="2">
        <v>0</v>
      </c>
      <c r="P330" s="2">
        <v>4458.83</v>
      </c>
      <c r="Q330" s="2">
        <v>4458.83</v>
      </c>
      <c r="R330" s="2">
        <v>0</v>
      </c>
      <c r="S330" s="2">
        <v>379.76</v>
      </c>
      <c r="T330" s="2">
        <v>379.76</v>
      </c>
      <c r="U330" s="2">
        <v>4079.07</v>
      </c>
      <c r="V330" s="2">
        <v>4079.07</v>
      </c>
      <c r="W330" s="2">
        <v>4079.07</v>
      </c>
    </row>
    <row r="331" spans="1:23" outlineLevel="2" x14ac:dyDescent="0.2">
      <c r="A331" t="s">
        <v>0</v>
      </c>
      <c r="B331" t="s">
        <v>39</v>
      </c>
      <c r="C331" t="s">
        <v>40</v>
      </c>
      <c r="D331" t="s">
        <v>77</v>
      </c>
      <c r="E331" t="s">
        <v>78</v>
      </c>
      <c r="F331" t="s">
        <v>5</v>
      </c>
      <c r="G331" t="s">
        <v>6</v>
      </c>
      <c r="H331" t="s">
        <v>35</v>
      </c>
      <c r="I331" t="s">
        <v>36</v>
      </c>
      <c r="J331" t="s">
        <v>9</v>
      </c>
      <c r="K331" t="s">
        <v>186</v>
      </c>
      <c r="L331" t="s">
        <v>198</v>
      </c>
      <c r="M331" t="s">
        <v>12</v>
      </c>
      <c r="N331" s="2">
        <v>0</v>
      </c>
      <c r="O331" s="2">
        <v>0</v>
      </c>
      <c r="P331" s="2">
        <v>56153.09</v>
      </c>
      <c r="Q331" s="2">
        <v>56153.09</v>
      </c>
      <c r="R331" s="2">
        <v>0</v>
      </c>
      <c r="S331" s="2">
        <v>6807.88</v>
      </c>
      <c r="T331" s="2">
        <v>6141.63</v>
      </c>
      <c r="U331" s="2">
        <v>49345.21</v>
      </c>
      <c r="V331" s="2">
        <v>50011.46</v>
      </c>
      <c r="W331" s="2">
        <v>49345.21</v>
      </c>
    </row>
    <row r="332" spans="1:23" outlineLevel="2" x14ac:dyDescent="0.2">
      <c r="A332" t="s">
        <v>0</v>
      </c>
      <c r="B332" t="s">
        <v>39</v>
      </c>
      <c r="C332" t="s">
        <v>58</v>
      </c>
      <c r="D332" t="s">
        <v>135</v>
      </c>
      <c r="E332" t="s">
        <v>136</v>
      </c>
      <c r="F332" t="s">
        <v>5</v>
      </c>
      <c r="G332" t="s">
        <v>6</v>
      </c>
      <c r="H332" t="s">
        <v>35</v>
      </c>
      <c r="I332" t="s">
        <v>36</v>
      </c>
      <c r="J332" t="s">
        <v>9</v>
      </c>
      <c r="K332" t="s">
        <v>186</v>
      </c>
      <c r="L332" t="s">
        <v>188</v>
      </c>
      <c r="M332" t="s">
        <v>12</v>
      </c>
      <c r="N332" s="2">
        <v>0</v>
      </c>
      <c r="O332" s="2">
        <v>0</v>
      </c>
      <c r="P332" s="2">
        <v>9626.6299999999992</v>
      </c>
      <c r="Q332" s="2">
        <v>9626.6299999999992</v>
      </c>
      <c r="R332" s="2">
        <v>0</v>
      </c>
      <c r="S332" s="2">
        <v>466.62</v>
      </c>
      <c r="T332" s="2">
        <v>466.62</v>
      </c>
      <c r="U332" s="2">
        <v>9160.01</v>
      </c>
      <c r="V332" s="2">
        <v>9160.01</v>
      </c>
      <c r="W332" s="2">
        <v>9160.01</v>
      </c>
    </row>
    <row r="333" spans="1:23" outlineLevel="2" x14ac:dyDescent="0.2">
      <c r="A333" t="s">
        <v>0</v>
      </c>
      <c r="B333" t="s">
        <v>1</v>
      </c>
      <c r="C333" t="s">
        <v>2</v>
      </c>
      <c r="D333" t="s">
        <v>3</v>
      </c>
      <c r="E333" t="s">
        <v>4</v>
      </c>
      <c r="F333" t="s">
        <v>5</v>
      </c>
      <c r="G333" t="s">
        <v>6</v>
      </c>
      <c r="H333" t="s">
        <v>35</v>
      </c>
      <c r="I333" t="s">
        <v>36</v>
      </c>
      <c r="J333" t="s">
        <v>9</v>
      </c>
      <c r="K333" t="s">
        <v>186</v>
      </c>
      <c r="L333" t="s">
        <v>194</v>
      </c>
      <c r="M333" t="s">
        <v>12</v>
      </c>
      <c r="N333" s="2">
        <v>0</v>
      </c>
      <c r="O333" s="2">
        <v>0</v>
      </c>
      <c r="P333" s="2">
        <v>7777.36</v>
      </c>
      <c r="Q333" s="2">
        <v>7777.36</v>
      </c>
      <c r="R333" s="2">
        <v>0</v>
      </c>
      <c r="S333" s="2">
        <v>699.93</v>
      </c>
      <c r="T333" s="2">
        <v>699.93</v>
      </c>
      <c r="U333" s="2">
        <v>7077.43</v>
      </c>
      <c r="V333" s="2">
        <v>7077.43</v>
      </c>
      <c r="W333" s="2">
        <v>7077.43</v>
      </c>
    </row>
    <row r="334" spans="1:23" outlineLevel="2" x14ac:dyDescent="0.2">
      <c r="A334" t="s">
        <v>0</v>
      </c>
      <c r="B334" t="s">
        <v>31</v>
      </c>
      <c r="C334" t="s">
        <v>79</v>
      </c>
      <c r="D334" t="s">
        <v>131</v>
      </c>
      <c r="E334" t="s">
        <v>132</v>
      </c>
      <c r="F334" t="s">
        <v>5</v>
      </c>
      <c r="G334" t="s">
        <v>6</v>
      </c>
      <c r="H334" t="s">
        <v>35</v>
      </c>
      <c r="I334" t="s">
        <v>36</v>
      </c>
      <c r="J334" t="s">
        <v>9</v>
      </c>
      <c r="K334" t="s">
        <v>186</v>
      </c>
      <c r="L334" t="s">
        <v>196</v>
      </c>
      <c r="M334" t="s">
        <v>15</v>
      </c>
      <c r="N334" s="2">
        <v>58032.26</v>
      </c>
      <c r="O334" s="2">
        <v>15.76</v>
      </c>
      <c r="P334" s="2">
        <v>-3996.29</v>
      </c>
      <c r="Q334" s="2">
        <v>54051.73</v>
      </c>
      <c r="R334" s="2">
        <v>0</v>
      </c>
      <c r="S334" s="2">
        <v>54051.73</v>
      </c>
      <c r="T334" s="2">
        <v>53730.07</v>
      </c>
      <c r="U334" s="2">
        <v>0</v>
      </c>
      <c r="V334" s="2">
        <v>321.66000000000003</v>
      </c>
      <c r="W334" s="2">
        <v>0</v>
      </c>
    </row>
    <row r="335" spans="1:23" outlineLevel="2" x14ac:dyDescent="0.2">
      <c r="A335" t="s">
        <v>0</v>
      </c>
      <c r="B335" t="s">
        <v>1</v>
      </c>
      <c r="C335" t="s">
        <v>16</v>
      </c>
      <c r="D335" t="s">
        <v>62</v>
      </c>
      <c r="E335" t="s">
        <v>63</v>
      </c>
      <c r="F335" t="s">
        <v>5</v>
      </c>
      <c r="G335" t="s">
        <v>6</v>
      </c>
      <c r="H335" t="s">
        <v>35</v>
      </c>
      <c r="I335" t="s">
        <v>36</v>
      </c>
      <c r="J335" t="s">
        <v>9</v>
      </c>
      <c r="K335" t="s">
        <v>186</v>
      </c>
      <c r="L335" t="s">
        <v>200</v>
      </c>
      <c r="M335" t="s">
        <v>15</v>
      </c>
      <c r="N335" s="2">
        <v>3652.38</v>
      </c>
      <c r="O335" s="2">
        <v>750.8</v>
      </c>
      <c r="P335" s="2">
        <v>-67.34</v>
      </c>
      <c r="Q335" s="2">
        <v>4335.84</v>
      </c>
      <c r="R335" s="2">
        <v>148.36000000000001</v>
      </c>
      <c r="S335" s="2">
        <v>4187.4799999999996</v>
      </c>
      <c r="T335" s="2">
        <v>4187.4799999999996</v>
      </c>
      <c r="U335" s="2">
        <v>148.36000000000001</v>
      </c>
      <c r="V335" s="2">
        <v>148.36000000000001</v>
      </c>
      <c r="W335" s="2">
        <v>0</v>
      </c>
    </row>
    <row r="336" spans="1:23" outlineLevel="2" x14ac:dyDescent="0.2">
      <c r="A336" t="s">
        <v>0</v>
      </c>
      <c r="B336" t="s">
        <v>31</v>
      </c>
      <c r="C336" t="s">
        <v>79</v>
      </c>
      <c r="D336" t="s">
        <v>115</v>
      </c>
      <c r="E336" t="s">
        <v>116</v>
      </c>
      <c r="F336" t="s">
        <v>5</v>
      </c>
      <c r="G336" t="s">
        <v>6</v>
      </c>
      <c r="H336" t="s">
        <v>35</v>
      </c>
      <c r="I336" t="s">
        <v>36</v>
      </c>
      <c r="J336" t="s">
        <v>9</v>
      </c>
      <c r="K336" t="s">
        <v>186</v>
      </c>
      <c r="L336" t="s">
        <v>196</v>
      </c>
      <c r="M336" t="s">
        <v>12</v>
      </c>
      <c r="N336" s="2">
        <v>0</v>
      </c>
      <c r="O336" s="2">
        <v>800</v>
      </c>
      <c r="P336" s="2">
        <v>867.38</v>
      </c>
      <c r="Q336" s="2">
        <v>1667.38</v>
      </c>
      <c r="R336" s="2">
        <v>733.33</v>
      </c>
      <c r="S336" s="2">
        <v>233.32</v>
      </c>
      <c r="T336" s="2">
        <v>233.32</v>
      </c>
      <c r="U336" s="2">
        <v>1434.06</v>
      </c>
      <c r="V336" s="2">
        <v>1434.06</v>
      </c>
      <c r="W336" s="2">
        <v>700.73</v>
      </c>
    </row>
    <row r="337" spans="1:23" outlineLevel="2" x14ac:dyDescent="0.2">
      <c r="A337" t="s">
        <v>0</v>
      </c>
      <c r="B337" t="s">
        <v>31</v>
      </c>
      <c r="C337" t="s">
        <v>79</v>
      </c>
      <c r="D337" t="s">
        <v>127</v>
      </c>
      <c r="E337" t="s">
        <v>128</v>
      </c>
      <c r="F337" t="s">
        <v>5</v>
      </c>
      <c r="G337" t="s">
        <v>6</v>
      </c>
      <c r="H337" t="s">
        <v>35</v>
      </c>
      <c r="I337" t="s">
        <v>36</v>
      </c>
      <c r="J337" t="s">
        <v>9</v>
      </c>
      <c r="K337" t="s">
        <v>186</v>
      </c>
      <c r="L337" t="s">
        <v>196</v>
      </c>
      <c r="M337" t="s">
        <v>15</v>
      </c>
      <c r="N337" s="2">
        <v>35712.160000000003</v>
      </c>
      <c r="O337" s="2">
        <v>-263.66000000000003</v>
      </c>
      <c r="P337" s="2">
        <v>-2129.83</v>
      </c>
      <c r="Q337" s="2">
        <v>33318.67</v>
      </c>
      <c r="R337" s="2">
        <v>0</v>
      </c>
      <c r="S337" s="2">
        <v>33318.67</v>
      </c>
      <c r="T337" s="2">
        <v>33318.67</v>
      </c>
      <c r="U337" s="2">
        <v>0</v>
      </c>
      <c r="V337" s="2">
        <v>0</v>
      </c>
      <c r="W337" s="2">
        <v>0</v>
      </c>
    </row>
    <row r="338" spans="1:23" outlineLevel="2" x14ac:dyDescent="0.2">
      <c r="A338" t="s">
        <v>0</v>
      </c>
      <c r="B338" t="s">
        <v>1</v>
      </c>
      <c r="C338" t="s">
        <v>16</v>
      </c>
      <c r="D338" t="s">
        <v>64</v>
      </c>
      <c r="E338" t="s">
        <v>65</v>
      </c>
      <c r="F338" t="s">
        <v>5</v>
      </c>
      <c r="G338" t="s">
        <v>6</v>
      </c>
      <c r="H338" t="s">
        <v>35</v>
      </c>
      <c r="I338" t="s">
        <v>36</v>
      </c>
      <c r="J338" t="s">
        <v>9</v>
      </c>
      <c r="K338" t="s">
        <v>186</v>
      </c>
      <c r="L338" t="s">
        <v>200</v>
      </c>
      <c r="M338" t="s">
        <v>12</v>
      </c>
      <c r="N338" s="2">
        <v>0</v>
      </c>
      <c r="O338" s="2">
        <v>0</v>
      </c>
      <c r="P338" s="2">
        <v>4033.43</v>
      </c>
      <c r="Q338" s="2">
        <v>4033.43</v>
      </c>
      <c r="R338" s="2">
        <v>0</v>
      </c>
      <c r="S338" s="2">
        <v>99.99</v>
      </c>
      <c r="T338" s="2">
        <v>99.99</v>
      </c>
      <c r="U338" s="2">
        <v>3933.44</v>
      </c>
      <c r="V338" s="2">
        <v>3933.44</v>
      </c>
      <c r="W338" s="2">
        <v>3933.44</v>
      </c>
    </row>
    <row r="339" spans="1:23" outlineLevel="2" x14ac:dyDescent="0.2">
      <c r="A339" t="s">
        <v>0</v>
      </c>
      <c r="B339" t="s">
        <v>31</v>
      </c>
      <c r="C339" t="s">
        <v>79</v>
      </c>
      <c r="D339" t="s">
        <v>117</v>
      </c>
      <c r="E339" t="s">
        <v>118</v>
      </c>
      <c r="F339" t="s">
        <v>5</v>
      </c>
      <c r="G339" t="s">
        <v>6</v>
      </c>
      <c r="H339" t="s">
        <v>35</v>
      </c>
      <c r="I339" t="s">
        <v>36</v>
      </c>
      <c r="J339" t="s">
        <v>9</v>
      </c>
      <c r="K339" t="s">
        <v>186</v>
      </c>
      <c r="L339" t="s">
        <v>196</v>
      </c>
      <c r="M339" t="s">
        <v>15</v>
      </c>
      <c r="N339" s="2">
        <v>66960.3</v>
      </c>
      <c r="O339" s="2">
        <v>0</v>
      </c>
      <c r="P339" s="2">
        <v>-6201.94</v>
      </c>
      <c r="Q339" s="2">
        <v>60758.36</v>
      </c>
      <c r="R339" s="2">
        <v>0</v>
      </c>
      <c r="S339" s="2">
        <v>60758.36</v>
      </c>
      <c r="T339" s="2">
        <v>60758.36</v>
      </c>
      <c r="U339" s="2">
        <v>0</v>
      </c>
      <c r="V339" s="2">
        <v>0</v>
      </c>
      <c r="W339" s="2">
        <v>0</v>
      </c>
    </row>
    <row r="340" spans="1:23" outlineLevel="2" x14ac:dyDescent="0.2">
      <c r="A340" t="s">
        <v>0</v>
      </c>
      <c r="B340" t="s">
        <v>1</v>
      </c>
      <c r="C340" t="s">
        <v>16</v>
      </c>
      <c r="D340" t="s">
        <v>17</v>
      </c>
      <c r="E340" t="s">
        <v>18</v>
      </c>
      <c r="F340" t="s">
        <v>5</v>
      </c>
      <c r="G340" t="s">
        <v>6</v>
      </c>
      <c r="H340" t="s">
        <v>35</v>
      </c>
      <c r="I340" t="s">
        <v>36</v>
      </c>
      <c r="J340" t="s">
        <v>9</v>
      </c>
      <c r="K340" t="s">
        <v>186</v>
      </c>
      <c r="L340" t="s">
        <v>200</v>
      </c>
      <c r="M340" t="s">
        <v>15</v>
      </c>
      <c r="N340" s="2">
        <v>77511.62</v>
      </c>
      <c r="O340" s="2">
        <v>-99.99</v>
      </c>
      <c r="P340" s="2">
        <v>-8977.75</v>
      </c>
      <c r="Q340" s="2">
        <v>68433.88</v>
      </c>
      <c r="R340" s="2">
        <v>1893.38</v>
      </c>
      <c r="S340" s="2">
        <v>66540.5</v>
      </c>
      <c r="T340" s="2">
        <v>66524.94</v>
      </c>
      <c r="U340" s="2">
        <v>1893.38</v>
      </c>
      <c r="V340" s="2">
        <v>1908.94</v>
      </c>
      <c r="W340" s="2">
        <v>0</v>
      </c>
    </row>
    <row r="341" spans="1:23" outlineLevel="2" x14ac:dyDescent="0.2">
      <c r="A341" t="s">
        <v>0</v>
      </c>
      <c r="B341" t="s">
        <v>31</v>
      </c>
      <c r="C341" t="s">
        <v>79</v>
      </c>
      <c r="D341" t="s">
        <v>113</v>
      </c>
      <c r="E341" t="s">
        <v>114</v>
      </c>
      <c r="F341" t="s">
        <v>5</v>
      </c>
      <c r="G341" t="s">
        <v>6</v>
      </c>
      <c r="H341" t="s">
        <v>35</v>
      </c>
      <c r="I341" t="s">
        <v>36</v>
      </c>
      <c r="J341" t="s">
        <v>9</v>
      </c>
      <c r="K341" t="s">
        <v>186</v>
      </c>
      <c r="L341" t="s">
        <v>196</v>
      </c>
      <c r="M341" t="s">
        <v>15</v>
      </c>
      <c r="N341" s="2">
        <v>40582</v>
      </c>
      <c r="O341" s="2">
        <v>15.76</v>
      </c>
      <c r="P341" s="2">
        <v>-3345.93</v>
      </c>
      <c r="Q341" s="2">
        <v>37251.83</v>
      </c>
      <c r="R341" s="2">
        <v>0</v>
      </c>
      <c r="S341" s="2">
        <v>37251.83</v>
      </c>
      <c r="T341" s="2">
        <v>37251.83</v>
      </c>
      <c r="U341" s="2">
        <v>0</v>
      </c>
      <c r="V341" s="2">
        <v>0</v>
      </c>
      <c r="W341" s="2">
        <v>0</v>
      </c>
    </row>
    <row r="342" spans="1:23" outlineLevel="2" x14ac:dyDescent="0.2">
      <c r="A342" t="s">
        <v>0</v>
      </c>
      <c r="B342" t="s">
        <v>31</v>
      </c>
      <c r="C342" t="s">
        <v>79</v>
      </c>
      <c r="D342" t="s">
        <v>115</v>
      </c>
      <c r="E342" t="s">
        <v>116</v>
      </c>
      <c r="F342" t="s">
        <v>5</v>
      </c>
      <c r="G342" t="s">
        <v>6</v>
      </c>
      <c r="H342" t="s">
        <v>35</v>
      </c>
      <c r="I342" t="s">
        <v>36</v>
      </c>
      <c r="J342" t="s">
        <v>9</v>
      </c>
      <c r="K342" t="s">
        <v>186</v>
      </c>
      <c r="L342" t="s">
        <v>196</v>
      </c>
      <c r="M342" t="s">
        <v>15</v>
      </c>
      <c r="N342" s="2">
        <v>26784.12</v>
      </c>
      <c r="O342" s="2">
        <v>-263.66000000000003</v>
      </c>
      <c r="P342" s="2">
        <v>-867.38</v>
      </c>
      <c r="Q342" s="2">
        <v>25653.08</v>
      </c>
      <c r="R342" s="2">
        <v>0</v>
      </c>
      <c r="S342" s="2">
        <v>25653.08</v>
      </c>
      <c r="T342" s="2">
        <v>25653.08</v>
      </c>
      <c r="U342" s="2">
        <v>0</v>
      </c>
      <c r="V342" s="2">
        <v>0</v>
      </c>
      <c r="W342" s="2">
        <v>0</v>
      </c>
    </row>
    <row r="343" spans="1:23" outlineLevel="2" x14ac:dyDescent="0.2">
      <c r="A343" t="s">
        <v>0</v>
      </c>
      <c r="B343" t="s">
        <v>31</v>
      </c>
      <c r="C343" t="s">
        <v>79</v>
      </c>
      <c r="D343" t="s">
        <v>133</v>
      </c>
      <c r="E343" t="s">
        <v>134</v>
      </c>
      <c r="F343" t="s">
        <v>5</v>
      </c>
      <c r="G343" t="s">
        <v>6</v>
      </c>
      <c r="H343" t="s">
        <v>35</v>
      </c>
      <c r="I343" t="s">
        <v>36</v>
      </c>
      <c r="J343" t="s">
        <v>9</v>
      </c>
      <c r="K343" t="s">
        <v>186</v>
      </c>
      <c r="L343" t="s">
        <v>196</v>
      </c>
      <c r="M343" t="s">
        <v>12</v>
      </c>
      <c r="N343" s="2">
        <v>0</v>
      </c>
      <c r="O343" s="2">
        <v>400</v>
      </c>
      <c r="P343" s="2">
        <v>2319.91</v>
      </c>
      <c r="Q343" s="2">
        <v>2719.91</v>
      </c>
      <c r="R343" s="2">
        <v>200.02</v>
      </c>
      <c r="S343" s="2">
        <v>817.7</v>
      </c>
      <c r="T343" s="2">
        <v>733.26</v>
      </c>
      <c r="U343" s="2">
        <v>1902.21</v>
      </c>
      <c r="V343" s="2">
        <v>1986.65</v>
      </c>
      <c r="W343" s="2">
        <v>1702.19</v>
      </c>
    </row>
    <row r="344" spans="1:23" outlineLevel="2" x14ac:dyDescent="0.2">
      <c r="A344" t="s">
        <v>0</v>
      </c>
      <c r="B344" t="s">
        <v>31</v>
      </c>
      <c r="C344" t="s">
        <v>32</v>
      </c>
      <c r="D344" t="s">
        <v>33</v>
      </c>
      <c r="E344" t="s">
        <v>34</v>
      </c>
      <c r="F344" t="s">
        <v>5</v>
      </c>
      <c r="G344" t="s">
        <v>6</v>
      </c>
      <c r="H344" t="s">
        <v>35</v>
      </c>
      <c r="I344" t="s">
        <v>36</v>
      </c>
      <c r="J344" t="s">
        <v>9</v>
      </c>
      <c r="K344" t="s">
        <v>186</v>
      </c>
      <c r="L344" t="s">
        <v>191</v>
      </c>
      <c r="M344" t="s">
        <v>15</v>
      </c>
      <c r="N344" s="2">
        <v>83193.100000000006</v>
      </c>
      <c r="O344" s="2">
        <v>3733.33</v>
      </c>
      <c r="P344" s="2">
        <v>-13794.57</v>
      </c>
      <c r="Q344" s="2">
        <v>73131.86</v>
      </c>
      <c r="R344" s="2">
        <v>4611.92</v>
      </c>
      <c r="S344" s="2">
        <v>68519.94</v>
      </c>
      <c r="T344" s="2">
        <v>68519.94</v>
      </c>
      <c r="U344" s="2">
        <v>4611.92</v>
      </c>
      <c r="V344" s="2">
        <v>4611.92</v>
      </c>
      <c r="W344" s="2">
        <v>0</v>
      </c>
    </row>
    <row r="345" spans="1:23" outlineLevel="2" x14ac:dyDescent="0.2">
      <c r="A345" t="s">
        <v>0</v>
      </c>
      <c r="B345" t="s">
        <v>53</v>
      </c>
      <c r="C345" t="s">
        <v>54</v>
      </c>
      <c r="D345" t="s">
        <v>55</v>
      </c>
      <c r="E345" t="s">
        <v>56</v>
      </c>
      <c r="F345" t="s">
        <v>5</v>
      </c>
      <c r="G345" t="s">
        <v>6</v>
      </c>
      <c r="H345" t="s">
        <v>35</v>
      </c>
      <c r="I345" t="s">
        <v>36</v>
      </c>
      <c r="J345" t="s">
        <v>9</v>
      </c>
      <c r="K345" t="s">
        <v>186</v>
      </c>
      <c r="L345" t="s">
        <v>201</v>
      </c>
      <c r="M345" t="s">
        <v>15</v>
      </c>
      <c r="N345" s="2">
        <v>47886.76</v>
      </c>
      <c r="O345" s="2">
        <v>5389.76</v>
      </c>
      <c r="P345" s="2">
        <v>-14148.15</v>
      </c>
      <c r="Q345" s="2">
        <v>39128.370000000003</v>
      </c>
      <c r="R345" s="2">
        <v>372.21</v>
      </c>
      <c r="S345" s="2">
        <v>38756.160000000003</v>
      </c>
      <c r="T345" s="2">
        <v>38756.160000000003</v>
      </c>
      <c r="U345" s="2">
        <v>372.21</v>
      </c>
      <c r="V345" s="2">
        <v>372.21</v>
      </c>
      <c r="W345" s="2">
        <v>0</v>
      </c>
    </row>
    <row r="346" spans="1:23" outlineLevel="2" x14ac:dyDescent="0.2">
      <c r="A346" t="s">
        <v>0</v>
      </c>
      <c r="B346" t="s">
        <v>31</v>
      </c>
      <c r="C346" t="s">
        <v>79</v>
      </c>
      <c r="D346" t="s">
        <v>80</v>
      </c>
      <c r="E346" t="s">
        <v>81</v>
      </c>
      <c r="F346" t="s">
        <v>5</v>
      </c>
      <c r="G346" t="s">
        <v>6</v>
      </c>
      <c r="H346" t="s">
        <v>35</v>
      </c>
      <c r="I346" t="s">
        <v>36</v>
      </c>
      <c r="J346" t="s">
        <v>9</v>
      </c>
      <c r="K346" t="s">
        <v>186</v>
      </c>
      <c r="L346" t="s">
        <v>196</v>
      </c>
      <c r="M346" t="s">
        <v>12</v>
      </c>
      <c r="N346" s="2">
        <v>0</v>
      </c>
      <c r="O346" s="2">
        <v>800</v>
      </c>
      <c r="P346" s="2">
        <v>2554.81</v>
      </c>
      <c r="Q346" s="2">
        <v>3354.81</v>
      </c>
      <c r="R346" s="2">
        <v>642.22</v>
      </c>
      <c r="S346" s="2">
        <v>496.65</v>
      </c>
      <c r="T346" s="2">
        <v>357.76</v>
      </c>
      <c r="U346" s="2">
        <v>2858.16</v>
      </c>
      <c r="V346" s="2">
        <v>2997.05</v>
      </c>
      <c r="W346" s="2">
        <v>2215.94</v>
      </c>
    </row>
    <row r="347" spans="1:23" outlineLevel="2" x14ac:dyDescent="0.2">
      <c r="A347" t="s">
        <v>0</v>
      </c>
      <c r="B347" t="s">
        <v>31</v>
      </c>
      <c r="C347" t="s">
        <v>107</v>
      </c>
      <c r="D347" t="s">
        <v>108</v>
      </c>
      <c r="E347" t="s">
        <v>109</v>
      </c>
      <c r="F347" t="s">
        <v>5</v>
      </c>
      <c r="G347" t="s">
        <v>6</v>
      </c>
      <c r="H347" t="s">
        <v>35</v>
      </c>
      <c r="I347" t="s">
        <v>36</v>
      </c>
      <c r="J347" t="s">
        <v>9</v>
      </c>
      <c r="K347" t="s">
        <v>186</v>
      </c>
      <c r="L347" t="s">
        <v>193</v>
      </c>
      <c r="M347" t="s">
        <v>15</v>
      </c>
      <c r="N347" s="2">
        <v>88468.76</v>
      </c>
      <c r="O347" s="2">
        <v>800</v>
      </c>
      <c r="P347" s="2">
        <v>-9788.48</v>
      </c>
      <c r="Q347" s="2">
        <v>79480.28</v>
      </c>
      <c r="R347" s="2">
        <v>192.71</v>
      </c>
      <c r="S347" s="2">
        <v>79287.570000000007</v>
      </c>
      <c r="T347" s="2">
        <v>79287.570000000007</v>
      </c>
      <c r="U347" s="2">
        <v>192.71</v>
      </c>
      <c r="V347" s="2">
        <v>192.71</v>
      </c>
      <c r="W347" s="2">
        <v>0</v>
      </c>
    </row>
    <row r="348" spans="1:23" outlineLevel="2" x14ac:dyDescent="0.2">
      <c r="A348" t="s">
        <v>0</v>
      </c>
      <c r="B348" t="s">
        <v>53</v>
      </c>
      <c r="C348" t="s">
        <v>54</v>
      </c>
      <c r="D348" t="s">
        <v>55</v>
      </c>
      <c r="E348" t="s">
        <v>56</v>
      </c>
      <c r="F348" t="s">
        <v>5</v>
      </c>
      <c r="G348" t="s">
        <v>6</v>
      </c>
      <c r="H348" t="s">
        <v>35</v>
      </c>
      <c r="I348" t="s">
        <v>36</v>
      </c>
      <c r="J348" t="s">
        <v>9</v>
      </c>
      <c r="K348" t="s">
        <v>186</v>
      </c>
      <c r="L348" t="s">
        <v>201</v>
      </c>
      <c r="M348" t="s">
        <v>12</v>
      </c>
      <c r="N348" s="2">
        <v>0</v>
      </c>
      <c r="O348" s="2">
        <v>0</v>
      </c>
      <c r="P348" s="2">
        <v>14148.15</v>
      </c>
      <c r="Q348" s="2">
        <v>14148.15</v>
      </c>
      <c r="R348" s="2">
        <v>0</v>
      </c>
      <c r="S348" s="2">
        <v>396.63</v>
      </c>
      <c r="T348" s="2">
        <v>396.63</v>
      </c>
      <c r="U348" s="2">
        <v>13751.52</v>
      </c>
      <c r="V348" s="2">
        <v>13751.52</v>
      </c>
      <c r="W348" s="2">
        <v>13751.52</v>
      </c>
    </row>
    <row r="349" spans="1:23" outlineLevel="2" x14ac:dyDescent="0.2">
      <c r="A349" t="s">
        <v>0</v>
      </c>
      <c r="B349" t="s">
        <v>1</v>
      </c>
      <c r="C349" t="s">
        <v>2</v>
      </c>
      <c r="D349" t="s">
        <v>20</v>
      </c>
      <c r="E349" t="s">
        <v>21</v>
      </c>
      <c r="F349" t="s">
        <v>5</v>
      </c>
      <c r="G349" t="s">
        <v>6</v>
      </c>
      <c r="H349" t="s">
        <v>35</v>
      </c>
      <c r="I349" t="s">
        <v>36</v>
      </c>
      <c r="J349" t="s">
        <v>9</v>
      </c>
      <c r="K349" t="s">
        <v>186</v>
      </c>
      <c r="L349" t="s">
        <v>194</v>
      </c>
      <c r="M349" t="s">
        <v>12</v>
      </c>
      <c r="N349" s="2">
        <v>0</v>
      </c>
      <c r="O349" s="2">
        <v>0</v>
      </c>
      <c r="P349" s="2">
        <v>45885.5</v>
      </c>
      <c r="Q349" s="2">
        <v>45885.5</v>
      </c>
      <c r="R349" s="2">
        <v>0</v>
      </c>
      <c r="S349" s="2">
        <v>2314.2399999999998</v>
      </c>
      <c r="T349" s="2">
        <v>2314.2399999999998</v>
      </c>
      <c r="U349" s="2">
        <v>43571.26</v>
      </c>
      <c r="V349" s="2">
        <v>43571.26</v>
      </c>
      <c r="W349" s="2">
        <v>43571.26</v>
      </c>
    </row>
    <row r="350" spans="1:23" outlineLevel="2" x14ac:dyDescent="0.2">
      <c r="A350" t="s">
        <v>0</v>
      </c>
      <c r="B350" t="s">
        <v>31</v>
      </c>
      <c r="C350" t="s">
        <v>79</v>
      </c>
      <c r="D350" t="s">
        <v>131</v>
      </c>
      <c r="E350" t="s">
        <v>132</v>
      </c>
      <c r="F350" t="s">
        <v>5</v>
      </c>
      <c r="G350" t="s">
        <v>6</v>
      </c>
      <c r="H350" t="s">
        <v>35</v>
      </c>
      <c r="I350" t="s">
        <v>36</v>
      </c>
      <c r="J350" t="s">
        <v>9</v>
      </c>
      <c r="K350" t="s">
        <v>186</v>
      </c>
      <c r="L350" t="s">
        <v>196</v>
      </c>
      <c r="M350" t="s">
        <v>12</v>
      </c>
      <c r="N350" s="2">
        <v>0</v>
      </c>
      <c r="O350" s="2">
        <v>800</v>
      </c>
      <c r="P350" s="2">
        <v>3996.29</v>
      </c>
      <c r="Q350" s="2">
        <v>4796.29</v>
      </c>
      <c r="R350" s="2">
        <v>575.54999999999995</v>
      </c>
      <c r="S350" s="2">
        <v>691.07</v>
      </c>
      <c r="T350" s="2">
        <v>691.07</v>
      </c>
      <c r="U350" s="2">
        <v>4105.22</v>
      </c>
      <c r="V350" s="2">
        <v>4105.22</v>
      </c>
      <c r="W350" s="2">
        <v>3529.67</v>
      </c>
    </row>
    <row r="351" spans="1:23" outlineLevel="2" x14ac:dyDescent="0.2">
      <c r="A351" t="s">
        <v>0</v>
      </c>
      <c r="B351" t="s">
        <v>31</v>
      </c>
      <c r="C351" t="s">
        <v>79</v>
      </c>
      <c r="D351" t="s">
        <v>111</v>
      </c>
      <c r="E351" t="s">
        <v>112</v>
      </c>
      <c r="F351" t="s">
        <v>5</v>
      </c>
      <c r="G351" t="s">
        <v>6</v>
      </c>
      <c r="H351" t="s">
        <v>35</v>
      </c>
      <c r="I351" t="s">
        <v>36</v>
      </c>
      <c r="J351" t="s">
        <v>9</v>
      </c>
      <c r="K351" t="s">
        <v>186</v>
      </c>
      <c r="L351" t="s">
        <v>196</v>
      </c>
      <c r="M351" t="s">
        <v>12</v>
      </c>
      <c r="N351" s="2">
        <v>0</v>
      </c>
      <c r="O351" s="2">
        <v>400</v>
      </c>
      <c r="P351" s="2">
        <v>400.04</v>
      </c>
      <c r="Q351" s="2">
        <v>800.04</v>
      </c>
      <c r="R351" s="2">
        <v>242.22</v>
      </c>
      <c r="S351" s="2">
        <v>357.76</v>
      </c>
      <c r="T351" s="2">
        <v>357.76</v>
      </c>
      <c r="U351" s="2">
        <v>442.28</v>
      </c>
      <c r="V351" s="2">
        <v>442.28</v>
      </c>
      <c r="W351" s="2">
        <v>200.06</v>
      </c>
    </row>
    <row r="352" spans="1:23" outlineLevel="2" x14ac:dyDescent="0.2">
      <c r="A352" t="s">
        <v>0</v>
      </c>
      <c r="B352" t="s">
        <v>1</v>
      </c>
      <c r="C352" t="s">
        <v>16</v>
      </c>
      <c r="D352" t="s">
        <v>103</v>
      </c>
      <c r="E352" t="s">
        <v>104</v>
      </c>
      <c r="F352" t="s">
        <v>5</v>
      </c>
      <c r="G352" t="s">
        <v>6</v>
      </c>
      <c r="H352" t="s">
        <v>35</v>
      </c>
      <c r="I352" t="s">
        <v>36</v>
      </c>
      <c r="J352" t="s">
        <v>9</v>
      </c>
      <c r="K352" t="s">
        <v>186</v>
      </c>
      <c r="L352" t="s">
        <v>200</v>
      </c>
      <c r="M352" t="s">
        <v>15</v>
      </c>
      <c r="N352" s="2">
        <v>58438.080000000002</v>
      </c>
      <c r="O352" s="2">
        <v>600</v>
      </c>
      <c r="P352" s="2">
        <v>-10627.2</v>
      </c>
      <c r="Q352" s="2">
        <v>48410.879999999997</v>
      </c>
      <c r="R352" s="2">
        <v>3971.2</v>
      </c>
      <c r="S352" s="2">
        <v>44439.68</v>
      </c>
      <c r="T352" s="2">
        <v>44439.68</v>
      </c>
      <c r="U352" s="2">
        <v>3971.2</v>
      </c>
      <c r="V352" s="2">
        <v>3971.2</v>
      </c>
      <c r="W352" s="2">
        <v>0</v>
      </c>
    </row>
    <row r="353" spans="1:23" outlineLevel="2" x14ac:dyDescent="0.2">
      <c r="A353" t="s">
        <v>0</v>
      </c>
      <c r="B353" t="s">
        <v>31</v>
      </c>
      <c r="C353" t="s">
        <v>32</v>
      </c>
      <c r="D353" t="s">
        <v>33</v>
      </c>
      <c r="E353" t="s">
        <v>34</v>
      </c>
      <c r="F353" t="s">
        <v>5</v>
      </c>
      <c r="G353" t="s">
        <v>6</v>
      </c>
      <c r="H353" t="s">
        <v>35</v>
      </c>
      <c r="I353" t="s">
        <v>36</v>
      </c>
      <c r="J353" t="s">
        <v>9</v>
      </c>
      <c r="K353" t="s">
        <v>186</v>
      </c>
      <c r="L353" t="s">
        <v>191</v>
      </c>
      <c r="M353" t="s">
        <v>12</v>
      </c>
      <c r="N353" s="2">
        <v>0</v>
      </c>
      <c r="O353" s="2">
        <v>0</v>
      </c>
      <c r="P353" s="2">
        <v>13794.57</v>
      </c>
      <c r="Q353" s="2">
        <v>13794.57</v>
      </c>
      <c r="R353" s="2">
        <v>0</v>
      </c>
      <c r="S353" s="2">
        <v>985.37</v>
      </c>
      <c r="T353" s="2">
        <v>399.96</v>
      </c>
      <c r="U353" s="2">
        <v>12809.2</v>
      </c>
      <c r="V353" s="2">
        <v>13394.61</v>
      </c>
      <c r="W353" s="2">
        <v>12809.2</v>
      </c>
    </row>
    <row r="354" spans="1:23" outlineLevel="2" x14ac:dyDescent="0.2">
      <c r="A354" t="s">
        <v>0</v>
      </c>
      <c r="B354" t="s">
        <v>39</v>
      </c>
      <c r="C354" t="s">
        <v>58</v>
      </c>
      <c r="D354" t="s">
        <v>129</v>
      </c>
      <c r="E354" t="s">
        <v>130</v>
      </c>
      <c r="F354" t="s">
        <v>5</v>
      </c>
      <c r="G354" t="s">
        <v>6</v>
      </c>
      <c r="H354" t="s">
        <v>35</v>
      </c>
      <c r="I354" t="s">
        <v>36</v>
      </c>
      <c r="J354" t="s">
        <v>9</v>
      </c>
      <c r="K354" t="s">
        <v>186</v>
      </c>
      <c r="L354" t="s">
        <v>188</v>
      </c>
      <c r="M354" t="s">
        <v>15</v>
      </c>
      <c r="N354" s="2">
        <v>13797.88</v>
      </c>
      <c r="O354" s="2">
        <v>100</v>
      </c>
      <c r="P354" s="2">
        <v>-4023.78</v>
      </c>
      <c r="Q354" s="2">
        <v>9874.1</v>
      </c>
      <c r="R354" s="2">
        <v>0</v>
      </c>
      <c r="S354" s="2">
        <v>9874.1</v>
      </c>
      <c r="T354" s="2">
        <v>9874.1</v>
      </c>
      <c r="U354" s="2">
        <v>0</v>
      </c>
      <c r="V354" s="2">
        <v>0</v>
      </c>
      <c r="W354" s="2">
        <v>0</v>
      </c>
    </row>
    <row r="355" spans="1:23" outlineLevel="2" x14ac:dyDescent="0.2">
      <c r="A355" t="s">
        <v>0</v>
      </c>
      <c r="B355" t="s">
        <v>39</v>
      </c>
      <c r="C355" t="s">
        <v>58</v>
      </c>
      <c r="D355" t="s">
        <v>135</v>
      </c>
      <c r="E355" t="s">
        <v>136</v>
      </c>
      <c r="F355" t="s">
        <v>5</v>
      </c>
      <c r="G355" t="s">
        <v>6</v>
      </c>
      <c r="H355" t="s">
        <v>35</v>
      </c>
      <c r="I355" t="s">
        <v>36</v>
      </c>
      <c r="J355" t="s">
        <v>9</v>
      </c>
      <c r="K355" t="s">
        <v>186</v>
      </c>
      <c r="L355" t="s">
        <v>188</v>
      </c>
      <c r="M355" t="s">
        <v>15</v>
      </c>
      <c r="N355" s="2">
        <v>40987.82</v>
      </c>
      <c r="O355" s="2">
        <v>0</v>
      </c>
      <c r="P355" s="2">
        <v>-9626.6299999999992</v>
      </c>
      <c r="Q355" s="2">
        <v>31361.19</v>
      </c>
      <c r="R355" s="2">
        <v>0</v>
      </c>
      <c r="S355" s="2">
        <v>31361.19</v>
      </c>
      <c r="T355" s="2">
        <v>31361.19</v>
      </c>
      <c r="U355" s="2">
        <v>0</v>
      </c>
      <c r="V355" s="2">
        <v>0</v>
      </c>
      <c r="W355" s="2">
        <v>0</v>
      </c>
    </row>
    <row r="356" spans="1:23" outlineLevel="2" x14ac:dyDescent="0.2">
      <c r="A356" t="s">
        <v>0</v>
      </c>
      <c r="B356" t="s">
        <v>31</v>
      </c>
      <c r="C356" t="s">
        <v>79</v>
      </c>
      <c r="D356" t="s">
        <v>125</v>
      </c>
      <c r="E356" t="s">
        <v>126</v>
      </c>
      <c r="F356" t="s">
        <v>5</v>
      </c>
      <c r="G356" t="s">
        <v>6</v>
      </c>
      <c r="H356" t="s">
        <v>35</v>
      </c>
      <c r="I356" t="s">
        <v>36</v>
      </c>
      <c r="J356" t="s">
        <v>9</v>
      </c>
      <c r="K356" t="s">
        <v>186</v>
      </c>
      <c r="L356" t="s">
        <v>196</v>
      </c>
      <c r="M356" t="s">
        <v>15</v>
      </c>
      <c r="N356" s="2">
        <v>30436.5</v>
      </c>
      <c r="O356" s="2">
        <v>0</v>
      </c>
      <c r="P356" s="2">
        <v>-2297.84</v>
      </c>
      <c r="Q356" s="2">
        <v>28138.66</v>
      </c>
      <c r="R356" s="2">
        <v>0</v>
      </c>
      <c r="S356" s="2">
        <v>28138.66</v>
      </c>
      <c r="T356" s="2">
        <v>28138.66</v>
      </c>
      <c r="U356" s="2">
        <v>0</v>
      </c>
      <c r="V356" s="2">
        <v>0</v>
      </c>
      <c r="W356" s="2">
        <v>0</v>
      </c>
    </row>
    <row r="357" spans="1:23" outlineLevel="2" x14ac:dyDescent="0.2">
      <c r="A357" t="s">
        <v>0</v>
      </c>
      <c r="B357" t="s">
        <v>1</v>
      </c>
      <c r="C357" t="s">
        <v>16</v>
      </c>
      <c r="D357" t="s">
        <v>103</v>
      </c>
      <c r="E357" t="s">
        <v>104</v>
      </c>
      <c r="F357" t="s">
        <v>5</v>
      </c>
      <c r="G357" t="s">
        <v>6</v>
      </c>
      <c r="H357" t="s">
        <v>35</v>
      </c>
      <c r="I357" t="s">
        <v>36</v>
      </c>
      <c r="J357" t="s">
        <v>9</v>
      </c>
      <c r="K357" t="s">
        <v>186</v>
      </c>
      <c r="L357" t="s">
        <v>200</v>
      </c>
      <c r="M357" t="s">
        <v>12</v>
      </c>
      <c r="N357" s="2">
        <v>0</v>
      </c>
      <c r="O357" s="2">
        <v>0</v>
      </c>
      <c r="P357" s="2">
        <v>10627.2</v>
      </c>
      <c r="Q357" s="2">
        <v>10627.2</v>
      </c>
      <c r="R357" s="2">
        <v>0</v>
      </c>
      <c r="S357" s="2">
        <v>499.95</v>
      </c>
      <c r="T357" s="2">
        <v>499.95</v>
      </c>
      <c r="U357" s="2">
        <v>10127.25</v>
      </c>
      <c r="V357" s="2">
        <v>10127.25</v>
      </c>
      <c r="W357" s="2">
        <v>10127.25</v>
      </c>
    </row>
    <row r="358" spans="1:23" outlineLevel="2" x14ac:dyDescent="0.2">
      <c r="A358" t="s">
        <v>0</v>
      </c>
      <c r="B358" t="s">
        <v>1</v>
      </c>
      <c r="C358" t="s">
        <v>99</v>
      </c>
      <c r="D358" t="s">
        <v>100</v>
      </c>
      <c r="E358" t="s">
        <v>101</v>
      </c>
      <c r="F358" t="s">
        <v>5</v>
      </c>
      <c r="G358" t="s">
        <v>6</v>
      </c>
      <c r="H358" t="s">
        <v>35</v>
      </c>
      <c r="I358" t="s">
        <v>36</v>
      </c>
      <c r="J358" t="s">
        <v>9</v>
      </c>
      <c r="K358" t="s">
        <v>186</v>
      </c>
      <c r="L358" t="s">
        <v>199</v>
      </c>
      <c r="M358" t="s">
        <v>15</v>
      </c>
      <c r="N358" s="2">
        <v>32465.599999999999</v>
      </c>
      <c r="O358" s="2">
        <v>-300</v>
      </c>
      <c r="P358" s="2">
        <v>-2019.35</v>
      </c>
      <c r="Q358" s="2">
        <v>30146.25</v>
      </c>
      <c r="R358" s="2">
        <v>2100.13</v>
      </c>
      <c r="S358" s="2">
        <v>28046.12</v>
      </c>
      <c r="T358" s="2">
        <v>28046.12</v>
      </c>
      <c r="U358" s="2">
        <v>2100.13</v>
      </c>
      <c r="V358" s="2">
        <v>2100.13</v>
      </c>
      <c r="W358" s="2">
        <v>0</v>
      </c>
    </row>
    <row r="359" spans="1:23" outlineLevel="2" x14ac:dyDescent="0.2">
      <c r="A359" t="s">
        <v>0</v>
      </c>
      <c r="B359" t="s">
        <v>39</v>
      </c>
      <c r="C359" t="s">
        <v>58</v>
      </c>
      <c r="D359" t="s">
        <v>143</v>
      </c>
      <c r="E359" t="s">
        <v>144</v>
      </c>
      <c r="F359" t="s">
        <v>5</v>
      </c>
      <c r="G359" t="s">
        <v>6</v>
      </c>
      <c r="H359" t="s">
        <v>35</v>
      </c>
      <c r="I359" t="s">
        <v>36</v>
      </c>
      <c r="J359" t="s">
        <v>9</v>
      </c>
      <c r="K359" t="s">
        <v>186</v>
      </c>
      <c r="L359" t="s">
        <v>188</v>
      </c>
      <c r="M359" t="s">
        <v>12</v>
      </c>
      <c r="N359" s="2">
        <v>0</v>
      </c>
      <c r="O359" s="2">
        <v>0</v>
      </c>
      <c r="P359" s="2">
        <v>4935.33</v>
      </c>
      <c r="Q359" s="2">
        <v>4935.33</v>
      </c>
      <c r="R359" s="2">
        <v>0</v>
      </c>
      <c r="S359" s="2">
        <v>299.97000000000003</v>
      </c>
      <c r="T359" s="2">
        <v>299.97000000000003</v>
      </c>
      <c r="U359" s="2">
        <v>4635.3599999999997</v>
      </c>
      <c r="V359" s="2">
        <v>4635.3599999999997</v>
      </c>
      <c r="W359" s="2">
        <v>4635.3599999999997</v>
      </c>
    </row>
    <row r="360" spans="1:23" outlineLevel="2" x14ac:dyDescent="0.2">
      <c r="A360" t="s">
        <v>0</v>
      </c>
      <c r="B360" t="s">
        <v>39</v>
      </c>
      <c r="C360" t="s">
        <v>58</v>
      </c>
      <c r="D360" t="s">
        <v>149</v>
      </c>
      <c r="E360" t="s">
        <v>150</v>
      </c>
      <c r="F360" t="s">
        <v>5</v>
      </c>
      <c r="G360" t="s">
        <v>6</v>
      </c>
      <c r="H360" t="s">
        <v>35</v>
      </c>
      <c r="I360" t="s">
        <v>36</v>
      </c>
      <c r="J360" t="s">
        <v>9</v>
      </c>
      <c r="K360" t="s">
        <v>186</v>
      </c>
      <c r="L360" t="s">
        <v>188</v>
      </c>
      <c r="M360" t="s">
        <v>12</v>
      </c>
      <c r="N360" s="2">
        <v>0</v>
      </c>
      <c r="O360" s="2">
        <v>0</v>
      </c>
      <c r="P360" s="2">
        <v>9690.18</v>
      </c>
      <c r="Q360" s="2">
        <v>9690.18</v>
      </c>
      <c r="R360" s="2">
        <v>0</v>
      </c>
      <c r="S360" s="2">
        <v>466.62</v>
      </c>
      <c r="T360" s="2">
        <v>466.62</v>
      </c>
      <c r="U360" s="2">
        <v>9223.56</v>
      </c>
      <c r="V360" s="2">
        <v>9223.56</v>
      </c>
      <c r="W360" s="2">
        <v>9223.56</v>
      </c>
    </row>
    <row r="361" spans="1:23" outlineLevel="2" x14ac:dyDescent="0.2">
      <c r="A361" t="s">
        <v>0</v>
      </c>
      <c r="B361" t="s">
        <v>39</v>
      </c>
      <c r="C361" t="s">
        <v>58</v>
      </c>
      <c r="D361" t="s">
        <v>145</v>
      </c>
      <c r="E361" t="s">
        <v>146</v>
      </c>
      <c r="F361" t="s">
        <v>5</v>
      </c>
      <c r="G361" t="s">
        <v>6</v>
      </c>
      <c r="H361" t="s">
        <v>35</v>
      </c>
      <c r="I361" t="s">
        <v>36</v>
      </c>
      <c r="J361" t="s">
        <v>9</v>
      </c>
      <c r="K361" t="s">
        <v>186</v>
      </c>
      <c r="L361" t="s">
        <v>188</v>
      </c>
      <c r="M361" t="s">
        <v>12</v>
      </c>
      <c r="N361" s="2">
        <v>0</v>
      </c>
      <c r="O361" s="2">
        <v>0</v>
      </c>
      <c r="P361" s="2">
        <v>5322.56</v>
      </c>
      <c r="Q361" s="2">
        <v>5322.56</v>
      </c>
      <c r="R361" s="2">
        <v>0</v>
      </c>
      <c r="S361" s="2">
        <v>233.31</v>
      </c>
      <c r="T361" s="2">
        <v>233.31</v>
      </c>
      <c r="U361" s="2">
        <v>5089.25</v>
      </c>
      <c r="V361" s="2">
        <v>5089.25</v>
      </c>
      <c r="W361" s="2">
        <v>5089.25</v>
      </c>
    </row>
    <row r="362" spans="1:23" outlineLevel="2" x14ac:dyDescent="0.2">
      <c r="A362" t="s">
        <v>0</v>
      </c>
      <c r="B362" t="s">
        <v>39</v>
      </c>
      <c r="C362" t="s">
        <v>58</v>
      </c>
      <c r="D362" t="s">
        <v>149</v>
      </c>
      <c r="E362" t="s">
        <v>150</v>
      </c>
      <c r="F362" t="s">
        <v>5</v>
      </c>
      <c r="G362" t="s">
        <v>6</v>
      </c>
      <c r="H362" t="s">
        <v>35</v>
      </c>
      <c r="I362" t="s">
        <v>36</v>
      </c>
      <c r="J362" t="s">
        <v>9</v>
      </c>
      <c r="K362" t="s">
        <v>186</v>
      </c>
      <c r="L362" t="s">
        <v>188</v>
      </c>
      <c r="M362" t="s">
        <v>15</v>
      </c>
      <c r="N362" s="2">
        <v>66960.3</v>
      </c>
      <c r="O362" s="2">
        <v>133.34</v>
      </c>
      <c r="P362" s="2">
        <v>-9690.18</v>
      </c>
      <c r="Q362" s="2">
        <v>57403.46</v>
      </c>
      <c r="R362" s="2">
        <v>572.22</v>
      </c>
      <c r="S362" s="2">
        <v>56831.24</v>
      </c>
      <c r="T362" s="2">
        <v>56831.24</v>
      </c>
      <c r="U362" s="2">
        <v>572.22</v>
      </c>
      <c r="V362" s="2">
        <v>572.22</v>
      </c>
      <c r="W362" s="2">
        <v>0</v>
      </c>
    </row>
    <row r="363" spans="1:23" outlineLevel="2" x14ac:dyDescent="0.2">
      <c r="A363" t="s">
        <v>0</v>
      </c>
      <c r="B363" t="s">
        <v>39</v>
      </c>
      <c r="C363" t="s">
        <v>58</v>
      </c>
      <c r="D363" t="s">
        <v>147</v>
      </c>
      <c r="E363" t="s">
        <v>148</v>
      </c>
      <c r="F363" t="s">
        <v>5</v>
      </c>
      <c r="G363" t="s">
        <v>6</v>
      </c>
      <c r="H363" t="s">
        <v>35</v>
      </c>
      <c r="I363" t="s">
        <v>36</v>
      </c>
      <c r="J363" t="s">
        <v>9</v>
      </c>
      <c r="K363" t="s">
        <v>186</v>
      </c>
      <c r="L363" t="s">
        <v>188</v>
      </c>
      <c r="M363" t="s">
        <v>15</v>
      </c>
      <c r="N363" s="2">
        <v>42205.279999999999</v>
      </c>
      <c r="O363" s="2">
        <v>0</v>
      </c>
      <c r="P363" s="2">
        <v>-4240.32</v>
      </c>
      <c r="Q363" s="2">
        <v>37964.959999999999</v>
      </c>
      <c r="R363" s="2">
        <v>100</v>
      </c>
      <c r="S363" s="2">
        <v>37864.959999999999</v>
      </c>
      <c r="T363" s="2">
        <v>37864.959999999999</v>
      </c>
      <c r="U363" s="2">
        <v>100</v>
      </c>
      <c r="V363" s="2">
        <v>100</v>
      </c>
      <c r="W363" s="2">
        <v>0</v>
      </c>
    </row>
    <row r="364" spans="1:23" outlineLevel="2" x14ac:dyDescent="0.2">
      <c r="A364" t="s">
        <v>0</v>
      </c>
      <c r="B364" t="s">
        <v>31</v>
      </c>
      <c r="C364" t="s">
        <v>49</v>
      </c>
      <c r="D364" t="s">
        <v>50</v>
      </c>
      <c r="E364" t="s">
        <v>51</v>
      </c>
      <c r="F364" t="s">
        <v>5</v>
      </c>
      <c r="G364" t="s">
        <v>6</v>
      </c>
      <c r="H364" t="s">
        <v>35</v>
      </c>
      <c r="I364" t="s">
        <v>36</v>
      </c>
      <c r="J364" t="s">
        <v>9</v>
      </c>
      <c r="K364" t="s">
        <v>186</v>
      </c>
      <c r="L364" t="s">
        <v>197</v>
      </c>
      <c r="M364" t="s">
        <v>15</v>
      </c>
      <c r="N364" s="2">
        <v>15421.16</v>
      </c>
      <c r="O364" s="2">
        <v>7300</v>
      </c>
      <c r="P364" s="2">
        <v>-8743.6200000000008</v>
      </c>
      <c r="Q364" s="2">
        <v>13977.54</v>
      </c>
      <c r="R364" s="2">
        <v>511.12</v>
      </c>
      <c r="S364" s="2">
        <v>13466.42</v>
      </c>
      <c r="T364" s="2">
        <v>13466.42</v>
      </c>
      <c r="U364" s="2">
        <v>511.12</v>
      </c>
      <c r="V364" s="2">
        <v>511.12</v>
      </c>
      <c r="W364" s="2">
        <v>0</v>
      </c>
    </row>
    <row r="365" spans="1:23" outlineLevel="2" x14ac:dyDescent="0.2">
      <c r="A365" t="s">
        <v>0</v>
      </c>
      <c r="B365" t="s">
        <v>39</v>
      </c>
      <c r="C365" t="s">
        <v>70</v>
      </c>
      <c r="D365" t="s">
        <v>89</v>
      </c>
      <c r="E365" t="s">
        <v>90</v>
      </c>
      <c r="F365" t="s">
        <v>5</v>
      </c>
      <c r="G365" t="s">
        <v>6</v>
      </c>
      <c r="H365" t="s">
        <v>35</v>
      </c>
      <c r="I365" t="s">
        <v>36</v>
      </c>
      <c r="J365" t="s">
        <v>9</v>
      </c>
      <c r="K365" t="s">
        <v>186</v>
      </c>
      <c r="L365" t="s">
        <v>190</v>
      </c>
      <c r="M365" t="s">
        <v>15</v>
      </c>
      <c r="N365" s="2">
        <v>589656.46</v>
      </c>
      <c r="O365" s="2">
        <v>0</v>
      </c>
      <c r="P365" s="2">
        <v>-35575.440000000002</v>
      </c>
      <c r="Q365" s="2">
        <v>554081.02</v>
      </c>
      <c r="R365" s="2">
        <v>9600</v>
      </c>
      <c r="S365" s="2">
        <v>544481.02</v>
      </c>
      <c r="T365" s="2">
        <v>544481.02</v>
      </c>
      <c r="U365" s="2">
        <v>9600</v>
      </c>
      <c r="V365" s="2">
        <v>9600</v>
      </c>
      <c r="W365" s="2">
        <v>0</v>
      </c>
    </row>
    <row r="366" spans="1:23" outlineLevel="2" x14ac:dyDescent="0.2">
      <c r="A366" t="s">
        <v>0</v>
      </c>
      <c r="B366" t="s">
        <v>31</v>
      </c>
      <c r="C366" t="s">
        <v>79</v>
      </c>
      <c r="D366" t="s">
        <v>113</v>
      </c>
      <c r="E366" t="s">
        <v>114</v>
      </c>
      <c r="F366" t="s">
        <v>5</v>
      </c>
      <c r="G366" t="s">
        <v>6</v>
      </c>
      <c r="H366" t="s">
        <v>35</v>
      </c>
      <c r="I366" t="s">
        <v>36</v>
      </c>
      <c r="J366" t="s">
        <v>9</v>
      </c>
      <c r="K366" t="s">
        <v>186</v>
      </c>
      <c r="L366" t="s">
        <v>196</v>
      </c>
      <c r="M366" t="s">
        <v>12</v>
      </c>
      <c r="N366" s="2">
        <v>0</v>
      </c>
      <c r="O366" s="2">
        <v>800</v>
      </c>
      <c r="P366" s="2">
        <v>3345.93</v>
      </c>
      <c r="Q366" s="2">
        <v>4145.93</v>
      </c>
      <c r="R366" s="2">
        <v>442.25</v>
      </c>
      <c r="S366" s="2">
        <v>724.38</v>
      </c>
      <c r="T366" s="2">
        <v>724.38</v>
      </c>
      <c r="U366" s="2">
        <v>3421.55</v>
      </c>
      <c r="V366" s="2">
        <v>3421.55</v>
      </c>
      <c r="W366" s="2">
        <v>2979.3</v>
      </c>
    </row>
    <row r="367" spans="1:23" outlineLevel="2" x14ac:dyDescent="0.2">
      <c r="A367" t="s">
        <v>0</v>
      </c>
      <c r="B367" t="s">
        <v>31</v>
      </c>
      <c r="C367" t="s">
        <v>32</v>
      </c>
      <c r="D367" t="s">
        <v>75</v>
      </c>
      <c r="E367" t="s">
        <v>76</v>
      </c>
      <c r="F367" t="s">
        <v>5</v>
      </c>
      <c r="G367" t="s">
        <v>6</v>
      </c>
      <c r="H367" t="s">
        <v>35</v>
      </c>
      <c r="I367" t="s">
        <v>36</v>
      </c>
      <c r="J367" t="s">
        <v>9</v>
      </c>
      <c r="K367" t="s">
        <v>186</v>
      </c>
      <c r="L367" t="s">
        <v>191</v>
      </c>
      <c r="M367" t="s">
        <v>12</v>
      </c>
      <c r="N367" s="2">
        <v>0</v>
      </c>
      <c r="O367" s="2">
        <v>0</v>
      </c>
      <c r="P367" s="2">
        <v>6670.14</v>
      </c>
      <c r="Q367" s="2">
        <v>6670.14</v>
      </c>
      <c r="R367" s="2">
        <v>0</v>
      </c>
      <c r="S367" s="2">
        <v>599.94000000000005</v>
      </c>
      <c r="T367" s="2">
        <v>599.94000000000005</v>
      </c>
      <c r="U367" s="2">
        <v>6070.2</v>
      </c>
      <c r="V367" s="2">
        <v>6070.2</v>
      </c>
      <c r="W367" s="2">
        <v>6070.2</v>
      </c>
    </row>
    <row r="368" spans="1:23" outlineLevel="2" x14ac:dyDescent="0.2">
      <c r="A368" t="s">
        <v>0</v>
      </c>
      <c r="B368" t="s">
        <v>39</v>
      </c>
      <c r="C368" t="s">
        <v>58</v>
      </c>
      <c r="D368" t="s">
        <v>137</v>
      </c>
      <c r="E368" t="s">
        <v>138</v>
      </c>
      <c r="F368" t="s">
        <v>5</v>
      </c>
      <c r="G368" t="s">
        <v>6</v>
      </c>
      <c r="H368" t="s">
        <v>35</v>
      </c>
      <c r="I368" t="s">
        <v>36</v>
      </c>
      <c r="J368" t="s">
        <v>9</v>
      </c>
      <c r="K368" t="s">
        <v>186</v>
      </c>
      <c r="L368" t="s">
        <v>188</v>
      </c>
      <c r="M368" t="s">
        <v>15</v>
      </c>
      <c r="N368" s="2">
        <v>40582</v>
      </c>
      <c r="O368" s="2">
        <v>0</v>
      </c>
      <c r="P368" s="2">
        <v>-8606.8700000000008</v>
      </c>
      <c r="Q368" s="2">
        <v>31975.13</v>
      </c>
      <c r="R368" s="2">
        <v>271.11</v>
      </c>
      <c r="S368" s="2">
        <v>31704.02</v>
      </c>
      <c r="T368" s="2">
        <v>31704.02</v>
      </c>
      <c r="U368" s="2">
        <v>271.11</v>
      </c>
      <c r="V368" s="2">
        <v>271.11</v>
      </c>
      <c r="W368" s="2">
        <v>0</v>
      </c>
    </row>
    <row r="369" spans="1:23" outlineLevel="2" x14ac:dyDescent="0.2">
      <c r="A369" t="s">
        <v>0</v>
      </c>
      <c r="B369" t="s">
        <v>31</v>
      </c>
      <c r="C369" t="s">
        <v>79</v>
      </c>
      <c r="D369" t="s">
        <v>83</v>
      </c>
      <c r="E369" t="s">
        <v>84</v>
      </c>
      <c r="F369" t="s">
        <v>5</v>
      </c>
      <c r="G369" t="s">
        <v>6</v>
      </c>
      <c r="H369" t="s">
        <v>35</v>
      </c>
      <c r="I369" t="s">
        <v>36</v>
      </c>
      <c r="J369" t="s">
        <v>9</v>
      </c>
      <c r="K369" t="s">
        <v>186</v>
      </c>
      <c r="L369" t="s">
        <v>196</v>
      </c>
      <c r="M369" t="s">
        <v>15</v>
      </c>
      <c r="N369" s="2">
        <v>196822.7</v>
      </c>
      <c r="O369" s="2">
        <v>-42617.58</v>
      </c>
      <c r="P369" s="2">
        <v>-17247.34</v>
      </c>
      <c r="Q369" s="2">
        <v>136957.78</v>
      </c>
      <c r="R369" s="2">
        <v>8157.28</v>
      </c>
      <c r="S369" s="2">
        <v>128800.5</v>
      </c>
      <c r="T369" s="2">
        <v>128166.06</v>
      </c>
      <c r="U369" s="2">
        <v>8157.28</v>
      </c>
      <c r="V369" s="2">
        <v>8791.7199999999993</v>
      </c>
      <c r="W369" s="2">
        <v>0</v>
      </c>
    </row>
    <row r="370" spans="1:23" outlineLevel="2" x14ac:dyDescent="0.2">
      <c r="A370" t="s">
        <v>0</v>
      </c>
      <c r="B370" t="s">
        <v>31</v>
      </c>
      <c r="C370" t="s">
        <v>79</v>
      </c>
      <c r="D370" t="s">
        <v>111</v>
      </c>
      <c r="E370" t="s">
        <v>112</v>
      </c>
      <c r="F370" t="s">
        <v>5</v>
      </c>
      <c r="G370" t="s">
        <v>6</v>
      </c>
      <c r="H370" t="s">
        <v>35</v>
      </c>
      <c r="I370" t="s">
        <v>36</v>
      </c>
      <c r="J370" t="s">
        <v>9</v>
      </c>
      <c r="K370" t="s">
        <v>186</v>
      </c>
      <c r="L370" t="s">
        <v>196</v>
      </c>
      <c r="M370" t="s">
        <v>15</v>
      </c>
      <c r="N370" s="2">
        <v>27595.759999999998</v>
      </c>
      <c r="O370" s="2">
        <v>2709.38</v>
      </c>
      <c r="P370" s="2">
        <v>-400.04</v>
      </c>
      <c r="Q370" s="2">
        <v>29905.1</v>
      </c>
      <c r="R370" s="2">
        <v>0</v>
      </c>
      <c r="S370" s="2">
        <v>29905.1</v>
      </c>
      <c r="T370" s="2">
        <v>29905.1</v>
      </c>
      <c r="U370" s="2">
        <v>0</v>
      </c>
      <c r="V370" s="2">
        <v>0</v>
      </c>
      <c r="W370" s="2">
        <v>0</v>
      </c>
    </row>
    <row r="371" spans="1:23" outlineLevel="2" x14ac:dyDescent="0.2">
      <c r="A371" t="s">
        <v>0</v>
      </c>
      <c r="B371" t="s">
        <v>1</v>
      </c>
      <c r="C371" t="s">
        <v>16</v>
      </c>
      <c r="D371" t="s">
        <v>64</v>
      </c>
      <c r="E371" t="s">
        <v>65</v>
      </c>
      <c r="F371" t="s">
        <v>5</v>
      </c>
      <c r="G371" t="s">
        <v>6</v>
      </c>
      <c r="H371" t="s">
        <v>35</v>
      </c>
      <c r="I371" t="s">
        <v>36</v>
      </c>
      <c r="J371" t="s">
        <v>9</v>
      </c>
      <c r="K371" t="s">
        <v>186</v>
      </c>
      <c r="L371" t="s">
        <v>200</v>
      </c>
      <c r="M371" t="s">
        <v>15</v>
      </c>
      <c r="N371" s="2">
        <v>6898.94</v>
      </c>
      <c r="O371" s="2">
        <v>0</v>
      </c>
      <c r="P371" s="2">
        <v>-4033.43</v>
      </c>
      <c r="Q371" s="2">
        <v>2865.51</v>
      </c>
      <c r="R371" s="2">
        <v>66.349999999999994</v>
      </c>
      <c r="S371" s="2">
        <v>2799.16</v>
      </c>
      <c r="T371" s="2">
        <v>2799.16</v>
      </c>
      <c r="U371" s="2">
        <v>66.349999999999994</v>
      </c>
      <c r="V371" s="2">
        <v>66.349999999999994</v>
      </c>
      <c r="W371" s="2">
        <v>0</v>
      </c>
    </row>
    <row r="372" spans="1:23" outlineLevel="2" x14ac:dyDescent="0.2">
      <c r="A372" t="s">
        <v>0</v>
      </c>
      <c r="B372" t="s">
        <v>39</v>
      </c>
      <c r="C372" t="s">
        <v>58</v>
      </c>
      <c r="D372" t="s">
        <v>147</v>
      </c>
      <c r="E372" t="s">
        <v>148</v>
      </c>
      <c r="F372" t="s">
        <v>5</v>
      </c>
      <c r="G372" t="s">
        <v>6</v>
      </c>
      <c r="H372" t="s">
        <v>35</v>
      </c>
      <c r="I372" t="s">
        <v>36</v>
      </c>
      <c r="J372" t="s">
        <v>9</v>
      </c>
      <c r="K372" t="s">
        <v>186</v>
      </c>
      <c r="L372" t="s">
        <v>188</v>
      </c>
      <c r="M372" t="s">
        <v>12</v>
      </c>
      <c r="N372" s="2">
        <v>0</v>
      </c>
      <c r="O372" s="2">
        <v>0</v>
      </c>
      <c r="P372" s="2">
        <v>4240.32</v>
      </c>
      <c r="Q372" s="2">
        <v>4240.32</v>
      </c>
      <c r="R372" s="2">
        <v>0</v>
      </c>
      <c r="S372" s="2">
        <v>83.33</v>
      </c>
      <c r="T372" s="2">
        <v>83.33</v>
      </c>
      <c r="U372" s="2">
        <v>4156.99</v>
      </c>
      <c r="V372" s="2">
        <v>4156.99</v>
      </c>
      <c r="W372" s="2">
        <v>4156.99</v>
      </c>
    </row>
    <row r="373" spans="1:23" outlineLevel="2" x14ac:dyDescent="0.2">
      <c r="A373" t="s">
        <v>0</v>
      </c>
      <c r="B373" t="s">
        <v>39</v>
      </c>
      <c r="C373" t="s">
        <v>58</v>
      </c>
      <c r="D373" t="s">
        <v>137</v>
      </c>
      <c r="E373" t="s">
        <v>138</v>
      </c>
      <c r="F373" t="s">
        <v>5</v>
      </c>
      <c r="G373" t="s">
        <v>6</v>
      </c>
      <c r="H373" t="s">
        <v>35</v>
      </c>
      <c r="I373" t="s">
        <v>36</v>
      </c>
      <c r="J373" t="s">
        <v>9</v>
      </c>
      <c r="K373" t="s">
        <v>186</v>
      </c>
      <c r="L373" t="s">
        <v>188</v>
      </c>
      <c r="M373" t="s">
        <v>12</v>
      </c>
      <c r="N373" s="2">
        <v>0</v>
      </c>
      <c r="O373" s="2">
        <v>0</v>
      </c>
      <c r="P373" s="2">
        <v>8606.8700000000008</v>
      </c>
      <c r="Q373" s="2">
        <v>8606.8700000000008</v>
      </c>
      <c r="R373" s="2">
        <v>0</v>
      </c>
      <c r="S373" s="2">
        <v>133.32</v>
      </c>
      <c r="T373" s="2">
        <v>133.32</v>
      </c>
      <c r="U373" s="2">
        <v>8473.5499999999993</v>
      </c>
      <c r="V373" s="2">
        <v>8473.5499999999993</v>
      </c>
      <c r="W373" s="2">
        <v>8473.5499999999993</v>
      </c>
    </row>
    <row r="374" spans="1:23" outlineLevel="2" x14ac:dyDescent="0.2">
      <c r="A374" t="s">
        <v>0</v>
      </c>
      <c r="B374" t="s">
        <v>39</v>
      </c>
      <c r="C374" t="s">
        <v>95</v>
      </c>
      <c r="D374" t="s">
        <v>96</v>
      </c>
      <c r="E374" t="s">
        <v>97</v>
      </c>
      <c r="F374" t="s">
        <v>5</v>
      </c>
      <c r="G374" t="s">
        <v>6</v>
      </c>
      <c r="H374" t="s">
        <v>35</v>
      </c>
      <c r="I374" t="s">
        <v>36</v>
      </c>
      <c r="J374" t="s">
        <v>9</v>
      </c>
      <c r="K374" t="s">
        <v>186</v>
      </c>
      <c r="L374" t="s">
        <v>202</v>
      </c>
      <c r="M374" t="s">
        <v>15</v>
      </c>
      <c r="N374" s="2">
        <v>31248.14</v>
      </c>
      <c r="O374" s="2">
        <v>133.34</v>
      </c>
      <c r="P374" s="2">
        <v>-4880.9399999999996</v>
      </c>
      <c r="Q374" s="2">
        <v>26500.54</v>
      </c>
      <c r="R374" s="2">
        <v>102.25</v>
      </c>
      <c r="S374" s="2">
        <v>26398.29</v>
      </c>
      <c r="T374" s="2">
        <v>26398.29</v>
      </c>
      <c r="U374" s="2">
        <v>102.25</v>
      </c>
      <c r="V374" s="2">
        <v>102.25</v>
      </c>
      <c r="W374" s="2">
        <v>0</v>
      </c>
    </row>
    <row r="375" spans="1:23" outlineLevel="2" x14ac:dyDescent="0.2">
      <c r="A375" t="s">
        <v>0</v>
      </c>
      <c r="B375" t="s">
        <v>31</v>
      </c>
      <c r="C375" t="s">
        <v>32</v>
      </c>
      <c r="D375" t="s">
        <v>123</v>
      </c>
      <c r="E375" t="s">
        <v>124</v>
      </c>
      <c r="F375" t="s">
        <v>5</v>
      </c>
      <c r="G375" t="s">
        <v>6</v>
      </c>
      <c r="H375" t="s">
        <v>35</v>
      </c>
      <c r="I375" t="s">
        <v>36</v>
      </c>
      <c r="J375" t="s">
        <v>9</v>
      </c>
      <c r="K375" t="s">
        <v>186</v>
      </c>
      <c r="L375" t="s">
        <v>191</v>
      </c>
      <c r="M375" t="s">
        <v>15</v>
      </c>
      <c r="N375" s="2">
        <v>71018.5</v>
      </c>
      <c r="O375" s="2">
        <v>-31633.33</v>
      </c>
      <c r="P375" s="2">
        <v>-569.77</v>
      </c>
      <c r="Q375" s="2">
        <v>38815.4</v>
      </c>
      <c r="R375" s="2">
        <v>3179.73</v>
      </c>
      <c r="S375" s="2">
        <v>35635.67</v>
      </c>
      <c r="T375" s="2">
        <v>35635.67</v>
      </c>
      <c r="U375" s="2">
        <v>3179.73</v>
      </c>
      <c r="V375" s="2">
        <v>3179.73</v>
      </c>
      <c r="W375" s="2">
        <v>0</v>
      </c>
    </row>
    <row r="376" spans="1:23" outlineLevel="2" x14ac:dyDescent="0.2">
      <c r="A376" t="s">
        <v>0</v>
      </c>
      <c r="B376" t="s">
        <v>31</v>
      </c>
      <c r="C376" t="s">
        <v>79</v>
      </c>
      <c r="D376" t="s">
        <v>83</v>
      </c>
      <c r="E376" t="s">
        <v>84</v>
      </c>
      <c r="F376" t="s">
        <v>5</v>
      </c>
      <c r="G376" t="s">
        <v>6</v>
      </c>
      <c r="H376" t="s">
        <v>35</v>
      </c>
      <c r="I376" t="s">
        <v>36</v>
      </c>
      <c r="J376" t="s">
        <v>9</v>
      </c>
      <c r="K376" t="s">
        <v>186</v>
      </c>
      <c r="L376" t="s">
        <v>196</v>
      </c>
      <c r="M376" t="s">
        <v>12</v>
      </c>
      <c r="N376" s="2">
        <v>0</v>
      </c>
      <c r="O376" s="2">
        <v>3800</v>
      </c>
      <c r="P376" s="2">
        <v>17247.34</v>
      </c>
      <c r="Q376" s="2">
        <v>21047.34</v>
      </c>
      <c r="R376" s="2">
        <v>3375.59</v>
      </c>
      <c r="S376" s="2">
        <v>1041.01</v>
      </c>
      <c r="T376" s="2">
        <v>1041.01</v>
      </c>
      <c r="U376" s="2">
        <v>20006.330000000002</v>
      </c>
      <c r="V376" s="2">
        <v>20006.330000000002</v>
      </c>
      <c r="W376" s="2">
        <v>16630.740000000002</v>
      </c>
    </row>
    <row r="377" spans="1:23" outlineLevel="2" x14ac:dyDescent="0.2">
      <c r="A377" t="s">
        <v>0</v>
      </c>
      <c r="B377" t="s">
        <v>39</v>
      </c>
      <c r="C377" t="s">
        <v>95</v>
      </c>
      <c r="D377" t="s">
        <v>96</v>
      </c>
      <c r="E377" t="s">
        <v>97</v>
      </c>
      <c r="F377" t="s">
        <v>5</v>
      </c>
      <c r="G377" t="s">
        <v>6</v>
      </c>
      <c r="H377" t="s">
        <v>35</v>
      </c>
      <c r="I377" t="s">
        <v>36</v>
      </c>
      <c r="J377" t="s">
        <v>9</v>
      </c>
      <c r="K377" t="s">
        <v>186</v>
      </c>
      <c r="L377" t="s">
        <v>202</v>
      </c>
      <c r="M377" t="s">
        <v>12</v>
      </c>
      <c r="N377" s="2">
        <v>0</v>
      </c>
      <c r="O377" s="2">
        <v>0</v>
      </c>
      <c r="P377" s="2">
        <v>4880.9399999999996</v>
      </c>
      <c r="Q377" s="2">
        <v>4880.9399999999996</v>
      </c>
      <c r="R377" s="2">
        <v>0</v>
      </c>
      <c r="S377" s="2">
        <v>617.72</v>
      </c>
      <c r="T377" s="2">
        <v>617.72</v>
      </c>
      <c r="U377" s="2">
        <v>4263.22</v>
      </c>
      <c r="V377" s="2">
        <v>4263.22</v>
      </c>
      <c r="W377" s="2">
        <v>4263.22</v>
      </c>
    </row>
    <row r="378" spans="1:23" outlineLevel="2" x14ac:dyDescent="0.2">
      <c r="A378" t="s">
        <v>0</v>
      </c>
      <c r="B378" t="s">
        <v>31</v>
      </c>
      <c r="C378" t="s">
        <v>79</v>
      </c>
      <c r="D378" t="s">
        <v>80</v>
      </c>
      <c r="E378" t="s">
        <v>81</v>
      </c>
      <c r="F378" t="s">
        <v>5</v>
      </c>
      <c r="G378" t="s">
        <v>6</v>
      </c>
      <c r="H378" t="s">
        <v>35</v>
      </c>
      <c r="I378" t="s">
        <v>36</v>
      </c>
      <c r="J378" t="s">
        <v>9</v>
      </c>
      <c r="K378" t="s">
        <v>186</v>
      </c>
      <c r="L378" t="s">
        <v>196</v>
      </c>
      <c r="M378" t="s">
        <v>15</v>
      </c>
      <c r="N378" s="2">
        <v>37741.26</v>
      </c>
      <c r="O378" s="2">
        <v>15.76</v>
      </c>
      <c r="P378" s="2">
        <v>-2554.81</v>
      </c>
      <c r="Q378" s="2">
        <v>35202.21</v>
      </c>
      <c r="R378" s="2">
        <v>0</v>
      </c>
      <c r="S378" s="2">
        <v>35202.21</v>
      </c>
      <c r="T378" s="2">
        <v>35202.21</v>
      </c>
      <c r="U378" s="2">
        <v>0</v>
      </c>
      <c r="V378" s="2">
        <v>0</v>
      </c>
      <c r="W378" s="2">
        <v>0</v>
      </c>
    </row>
    <row r="379" spans="1:23" outlineLevel="2" x14ac:dyDescent="0.2">
      <c r="A379" t="s">
        <v>0</v>
      </c>
      <c r="B379" t="s">
        <v>31</v>
      </c>
      <c r="C379" t="s">
        <v>32</v>
      </c>
      <c r="D379" t="s">
        <v>75</v>
      </c>
      <c r="E379" t="s">
        <v>76</v>
      </c>
      <c r="F379" t="s">
        <v>5</v>
      </c>
      <c r="G379" t="s">
        <v>6</v>
      </c>
      <c r="H379" t="s">
        <v>35</v>
      </c>
      <c r="I379" t="s">
        <v>36</v>
      </c>
      <c r="J379" t="s">
        <v>9</v>
      </c>
      <c r="K379" t="s">
        <v>186</v>
      </c>
      <c r="L379" t="s">
        <v>191</v>
      </c>
      <c r="M379" t="s">
        <v>15</v>
      </c>
      <c r="N379" s="2">
        <v>55597.34</v>
      </c>
      <c r="O379" s="2">
        <v>800</v>
      </c>
      <c r="P379" s="2">
        <v>-6670.14</v>
      </c>
      <c r="Q379" s="2">
        <v>49727.199999999997</v>
      </c>
      <c r="R379" s="2">
        <v>2315.69</v>
      </c>
      <c r="S379" s="2">
        <v>47411.51</v>
      </c>
      <c r="T379" s="2">
        <v>47340.4</v>
      </c>
      <c r="U379" s="2">
        <v>2315.69</v>
      </c>
      <c r="V379" s="2">
        <v>2386.8000000000002</v>
      </c>
      <c r="W379" s="2">
        <v>0</v>
      </c>
    </row>
    <row r="380" spans="1:23" outlineLevel="2" x14ac:dyDescent="0.2">
      <c r="A380" t="s">
        <v>0</v>
      </c>
      <c r="B380" t="s">
        <v>1</v>
      </c>
      <c r="C380" t="s">
        <v>16</v>
      </c>
      <c r="D380" t="s">
        <v>62</v>
      </c>
      <c r="E380" t="s">
        <v>63</v>
      </c>
      <c r="F380" t="s">
        <v>5</v>
      </c>
      <c r="G380" t="s">
        <v>6</v>
      </c>
      <c r="H380" t="s">
        <v>35</v>
      </c>
      <c r="I380" t="s">
        <v>36</v>
      </c>
      <c r="J380" t="s">
        <v>9</v>
      </c>
      <c r="K380" t="s">
        <v>186</v>
      </c>
      <c r="L380" t="s">
        <v>200</v>
      </c>
      <c r="M380" t="s">
        <v>12</v>
      </c>
      <c r="N380" s="2">
        <v>0</v>
      </c>
      <c r="O380" s="2">
        <v>0</v>
      </c>
      <c r="P380" s="2">
        <v>67.34</v>
      </c>
      <c r="Q380" s="2">
        <v>67.34</v>
      </c>
      <c r="R380" s="2">
        <v>0</v>
      </c>
      <c r="S380" s="2">
        <v>33.33</v>
      </c>
      <c r="T380" s="2">
        <v>33.33</v>
      </c>
      <c r="U380" s="2">
        <v>34.01</v>
      </c>
      <c r="V380" s="2">
        <v>34.01</v>
      </c>
      <c r="W380" s="2">
        <v>34.01</v>
      </c>
    </row>
    <row r="381" spans="1:23" outlineLevel="2" x14ac:dyDescent="0.2">
      <c r="A381" t="s">
        <v>0</v>
      </c>
      <c r="B381" t="s">
        <v>31</v>
      </c>
      <c r="C381" t="s">
        <v>79</v>
      </c>
      <c r="D381" t="s">
        <v>115</v>
      </c>
      <c r="E381" t="s">
        <v>116</v>
      </c>
      <c r="F381" t="s">
        <v>5</v>
      </c>
      <c r="G381" t="s">
        <v>6</v>
      </c>
      <c r="H381" t="s">
        <v>35</v>
      </c>
      <c r="I381" t="s">
        <v>36</v>
      </c>
      <c r="J381" t="s">
        <v>9</v>
      </c>
      <c r="K381" t="s">
        <v>203</v>
      </c>
      <c r="L381" t="s">
        <v>204</v>
      </c>
      <c r="M381" t="s">
        <v>12</v>
      </c>
      <c r="N381" s="2">
        <v>0</v>
      </c>
      <c r="O381" s="2">
        <v>0</v>
      </c>
      <c r="P381" s="2">
        <v>39.47</v>
      </c>
      <c r="Q381" s="2">
        <v>39.47</v>
      </c>
      <c r="R381" s="2">
        <v>0</v>
      </c>
      <c r="S381" s="2">
        <v>19</v>
      </c>
      <c r="T381" s="2">
        <v>19</v>
      </c>
      <c r="U381" s="2">
        <v>20.47</v>
      </c>
      <c r="V381" s="2">
        <v>20.47</v>
      </c>
      <c r="W381" s="2">
        <v>20.47</v>
      </c>
    </row>
    <row r="382" spans="1:23" outlineLevel="2" x14ac:dyDescent="0.2">
      <c r="A382" t="s">
        <v>0</v>
      </c>
      <c r="B382" t="s">
        <v>1</v>
      </c>
      <c r="C382" t="s">
        <v>16</v>
      </c>
      <c r="D382" t="s">
        <v>17</v>
      </c>
      <c r="E382" t="s">
        <v>18</v>
      </c>
      <c r="F382" t="s">
        <v>5</v>
      </c>
      <c r="G382" t="s">
        <v>6</v>
      </c>
      <c r="H382" t="s">
        <v>35</v>
      </c>
      <c r="I382" t="s">
        <v>36</v>
      </c>
      <c r="J382" t="s">
        <v>9</v>
      </c>
      <c r="K382" t="s">
        <v>203</v>
      </c>
      <c r="L382" t="s">
        <v>205</v>
      </c>
      <c r="M382" t="s">
        <v>12</v>
      </c>
      <c r="N382" s="2">
        <v>0</v>
      </c>
      <c r="O382" s="2">
        <v>50</v>
      </c>
      <c r="P382" s="2">
        <v>161.35</v>
      </c>
      <c r="Q382" s="2">
        <v>211.35</v>
      </c>
      <c r="R382" s="2">
        <v>0</v>
      </c>
      <c r="S382" s="2">
        <v>95</v>
      </c>
      <c r="T382" s="2">
        <v>95</v>
      </c>
      <c r="U382" s="2">
        <v>116.35</v>
      </c>
      <c r="V382" s="2">
        <v>116.35</v>
      </c>
      <c r="W382" s="2">
        <v>116.35</v>
      </c>
    </row>
    <row r="383" spans="1:23" outlineLevel="2" x14ac:dyDescent="0.2">
      <c r="A383" t="s">
        <v>0</v>
      </c>
      <c r="B383" t="s">
        <v>39</v>
      </c>
      <c r="C383" t="s">
        <v>40</v>
      </c>
      <c r="D383" t="s">
        <v>77</v>
      </c>
      <c r="E383" t="s">
        <v>78</v>
      </c>
      <c r="F383" t="s">
        <v>5</v>
      </c>
      <c r="G383" t="s">
        <v>6</v>
      </c>
      <c r="H383" t="s">
        <v>35</v>
      </c>
      <c r="I383" t="s">
        <v>36</v>
      </c>
      <c r="J383" t="s">
        <v>9</v>
      </c>
      <c r="K383" t="s">
        <v>203</v>
      </c>
      <c r="L383" t="s">
        <v>206</v>
      </c>
      <c r="M383" t="s">
        <v>12</v>
      </c>
      <c r="N383" s="2">
        <v>0</v>
      </c>
      <c r="O383" s="2">
        <v>0</v>
      </c>
      <c r="P383" s="2">
        <v>76.63</v>
      </c>
      <c r="Q383" s="2">
        <v>76.63</v>
      </c>
      <c r="R383" s="2">
        <v>0</v>
      </c>
      <c r="S383" s="2">
        <v>0</v>
      </c>
      <c r="T383" s="2">
        <v>0</v>
      </c>
      <c r="U383" s="2">
        <v>76.63</v>
      </c>
      <c r="V383" s="2">
        <v>76.63</v>
      </c>
      <c r="W383" s="2">
        <v>76.63</v>
      </c>
    </row>
    <row r="384" spans="1:23" outlineLevel="2" x14ac:dyDescent="0.2">
      <c r="A384" t="s">
        <v>0</v>
      </c>
      <c r="B384" t="s">
        <v>1</v>
      </c>
      <c r="C384" t="s">
        <v>16</v>
      </c>
      <c r="D384" t="s">
        <v>62</v>
      </c>
      <c r="E384" t="s">
        <v>63</v>
      </c>
      <c r="F384" t="s">
        <v>5</v>
      </c>
      <c r="G384" t="s">
        <v>6</v>
      </c>
      <c r="H384" t="s">
        <v>35</v>
      </c>
      <c r="I384" t="s">
        <v>36</v>
      </c>
      <c r="J384" t="s">
        <v>9</v>
      </c>
      <c r="K384" t="s">
        <v>203</v>
      </c>
      <c r="L384" t="s">
        <v>205</v>
      </c>
      <c r="M384" t="s">
        <v>12</v>
      </c>
      <c r="N384" s="2">
        <v>0</v>
      </c>
      <c r="O384" s="2">
        <v>0</v>
      </c>
      <c r="P384" s="2">
        <v>19.739999999999998</v>
      </c>
      <c r="Q384" s="2">
        <v>19.739999999999998</v>
      </c>
      <c r="R384" s="2">
        <v>0</v>
      </c>
      <c r="S384" s="2">
        <v>9.5</v>
      </c>
      <c r="T384" s="2">
        <v>9.5</v>
      </c>
      <c r="U384" s="2">
        <v>10.24</v>
      </c>
      <c r="V384" s="2">
        <v>10.24</v>
      </c>
      <c r="W384" s="2">
        <v>10.24</v>
      </c>
    </row>
    <row r="385" spans="1:23" outlineLevel="2" x14ac:dyDescent="0.2">
      <c r="A385" t="s">
        <v>0</v>
      </c>
      <c r="B385" t="s">
        <v>39</v>
      </c>
      <c r="C385" t="s">
        <v>70</v>
      </c>
      <c r="D385" t="s">
        <v>89</v>
      </c>
      <c r="E385" t="s">
        <v>90</v>
      </c>
      <c r="F385" t="s">
        <v>5</v>
      </c>
      <c r="G385" t="s">
        <v>6</v>
      </c>
      <c r="H385" t="s">
        <v>35</v>
      </c>
      <c r="I385" t="s">
        <v>36</v>
      </c>
      <c r="J385" t="s">
        <v>9</v>
      </c>
      <c r="K385" t="s">
        <v>203</v>
      </c>
      <c r="L385" t="s">
        <v>207</v>
      </c>
      <c r="M385" t="s">
        <v>12</v>
      </c>
      <c r="N385" s="2">
        <v>0</v>
      </c>
      <c r="O385" s="2">
        <v>0</v>
      </c>
      <c r="P385" s="2">
        <v>152</v>
      </c>
      <c r="Q385" s="2">
        <v>152</v>
      </c>
      <c r="R385" s="2">
        <v>0</v>
      </c>
      <c r="S385" s="2">
        <v>47.5</v>
      </c>
      <c r="T385" s="2">
        <v>47.5</v>
      </c>
      <c r="U385" s="2">
        <v>104.5</v>
      </c>
      <c r="V385" s="2">
        <v>104.5</v>
      </c>
      <c r="W385" s="2">
        <v>104.5</v>
      </c>
    </row>
    <row r="386" spans="1:23" outlineLevel="2" x14ac:dyDescent="0.2">
      <c r="A386" t="s">
        <v>0</v>
      </c>
      <c r="B386" t="s">
        <v>31</v>
      </c>
      <c r="C386" t="s">
        <v>79</v>
      </c>
      <c r="D386" t="s">
        <v>125</v>
      </c>
      <c r="E386" t="s">
        <v>126</v>
      </c>
      <c r="F386" t="s">
        <v>5</v>
      </c>
      <c r="G386" t="s">
        <v>6</v>
      </c>
      <c r="H386" t="s">
        <v>35</v>
      </c>
      <c r="I386" t="s">
        <v>36</v>
      </c>
      <c r="J386" t="s">
        <v>9</v>
      </c>
      <c r="K386" t="s">
        <v>203</v>
      </c>
      <c r="L386" t="s">
        <v>204</v>
      </c>
      <c r="M386" t="s">
        <v>12</v>
      </c>
      <c r="N386" s="2">
        <v>0</v>
      </c>
      <c r="O386" s="2">
        <v>0</v>
      </c>
      <c r="P386" s="2">
        <v>42.47</v>
      </c>
      <c r="Q386" s="2">
        <v>42.47</v>
      </c>
      <c r="R386" s="2">
        <v>0</v>
      </c>
      <c r="S386" s="2">
        <v>19</v>
      </c>
      <c r="T386" s="2">
        <v>19</v>
      </c>
      <c r="U386" s="2">
        <v>23.47</v>
      </c>
      <c r="V386" s="2">
        <v>23.47</v>
      </c>
      <c r="W386" s="2">
        <v>23.47</v>
      </c>
    </row>
    <row r="387" spans="1:23" outlineLevel="2" x14ac:dyDescent="0.2">
      <c r="A387" t="s">
        <v>0</v>
      </c>
      <c r="B387" t="s">
        <v>31</v>
      </c>
      <c r="C387" t="s">
        <v>32</v>
      </c>
      <c r="D387" t="s">
        <v>123</v>
      </c>
      <c r="E387" t="s">
        <v>124</v>
      </c>
      <c r="F387" t="s">
        <v>5</v>
      </c>
      <c r="G387" t="s">
        <v>6</v>
      </c>
      <c r="H387" t="s">
        <v>35</v>
      </c>
      <c r="I387" t="s">
        <v>36</v>
      </c>
      <c r="J387" t="s">
        <v>9</v>
      </c>
      <c r="K387" t="s">
        <v>203</v>
      </c>
      <c r="L387" t="s">
        <v>208</v>
      </c>
      <c r="M387" t="s">
        <v>12</v>
      </c>
      <c r="N387" s="2">
        <v>0</v>
      </c>
      <c r="O387" s="2">
        <v>0</v>
      </c>
      <c r="P387" s="2">
        <v>1095.5</v>
      </c>
      <c r="Q387" s="2">
        <v>1095.5</v>
      </c>
      <c r="R387" s="2">
        <v>0</v>
      </c>
      <c r="S387" s="2">
        <v>76</v>
      </c>
      <c r="T387" s="2">
        <v>76</v>
      </c>
      <c r="U387" s="2">
        <v>1019.5</v>
      </c>
      <c r="V387" s="2">
        <v>1019.5</v>
      </c>
      <c r="W387" s="2">
        <v>1019.5</v>
      </c>
    </row>
    <row r="388" spans="1:23" outlineLevel="2" x14ac:dyDescent="0.2">
      <c r="A388" t="s">
        <v>0</v>
      </c>
      <c r="B388" t="s">
        <v>1</v>
      </c>
      <c r="C388" t="s">
        <v>16</v>
      </c>
      <c r="D388" t="s">
        <v>103</v>
      </c>
      <c r="E388" t="s">
        <v>104</v>
      </c>
      <c r="F388" t="s">
        <v>5</v>
      </c>
      <c r="G388" t="s">
        <v>6</v>
      </c>
      <c r="H388" t="s">
        <v>35</v>
      </c>
      <c r="I388" t="s">
        <v>36</v>
      </c>
      <c r="J388" t="s">
        <v>9</v>
      </c>
      <c r="K388" t="s">
        <v>203</v>
      </c>
      <c r="L388" t="s">
        <v>205</v>
      </c>
      <c r="M388" t="s">
        <v>12</v>
      </c>
      <c r="N388" s="2">
        <v>0</v>
      </c>
      <c r="O388" s="2">
        <v>20</v>
      </c>
      <c r="P388" s="2">
        <v>13.08</v>
      </c>
      <c r="Q388" s="2">
        <v>33.08</v>
      </c>
      <c r="R388" s="2">
        <v>0</v>
      </c>
      <c r="S388" s="2">
        <v>9.5</v>
      </c>
      <c r="T388" s="2">
        <v>9.5</v>
      </c>
      <c r="U388" s="2">
        <v>23.58</v>
      </c>
      <c r="V388" s="2">
        <v>23.58</v>
      </c>
      <c r="W388" s="2">
        <v>23.58</v>
      </c>
    </row>
    <row r="389" spans="1:23" outlineLevel="2" x14ac:dyDescent="0.2">
      <c r="A389" t="s">
        <v>0</v>
      </c>
      <c r="B389" t="s">
        <v>1</v>
      </c>
      <c r="C389" t="s">
        <v>2</v>
      </c>
      <c r="D389" t="s">
        <v>20</v>
      </c>
      <c r="E389" t="s">
        <v>21</v>
      </c>
      <c r="F389" t="s">
        <v>5</v>
      </c>
      <c r="G389" t="s">
        <v>6</v>
      </c>
      <c r="H389" t="s">
        <v>35</v>
      </c>
      <c r="I389" t="s">
        <v>36</v>
      </c>
      <c r="J389" t="s">
        <v>9</v>
      </c>
      <c r="K389" t="s">
        <v>203</v>
      </c>
      <c r="L389" t="s">
        <v>209</v>
      </c>
      <c r="M389" t="s">
        <v>12</v>
      </c>
      <c r="N389" s="2">
        <v>0</v>
      </c>
      <c r="O389" s="2">
        <v>3500</v>
      </c>
      <c r="P389" s="2">
        <v>308.58999999999997</v>
      </c>
      <c r="Q389" s="2">
        <v>3808.59</v>
      </c>
      <c r="R389" s="2">
        <v>0</v>
      </c>
      <c r="S389" s="2">
        <v>963.5</v>
      </c>
      <c r="T389" s="2">
        <v>963.5</v>
      </c>
      <c r="U389" s="2">
        <v>2845.09</v>
      </c>
      <c r="V389" s="2">
        <v>2845.09</v>
      </c>
      <c r="W389" s="2">
        <v>2845.09</v>
      </c>
    </row>
    <row r="390" spans="1:23" outlineLevel="2" x14ac:dyDescent="0.2">
      <c r="A390" t="s">
        <v>0</v>
      </c>
      <c r="B390" t="s">
        <v>31</v>
      </c>
      <c r="C390" t="s">
        <v>32</v>
      </c>
      <c r="D390" t="s">
        <v>33</v>
      </c>
      <c r="E390" t="s">
        <v>34</v>
      </c>
      <c r="F390" t="s">
        <v>5</v>
      </c>
      <c r="G390" t="s">
        <v>6</v>
      </c>
      <c r="H390" t="s">
        <v>35</v>
      </c>
      <c r="I390" t="s">
        <v>36</v>
      </c>
      <c r="J390" t="s">
        <v>9</v>
      </c>
      <c r="K390" t="s">
        <v>203</v>
      </c>
      <c r="L390" t="s">
        <v>208</v>
      </c>
      <c r="M390" t="s">
        <v>12</v>
      </c>
      <c r="N390" s="2">
        <v>0</v>
      </c>
      <c r="O390" s="2">
        <v>0</v>
      </c>
      <c r="P390" s="2">
        <v>1144</v>
      </c>
      <c r="Q390" s="2">
        <v>1144</v>
      </c>
      <c r="R390" s="2">
        <v>0</v>
      </c>
      <c r="S390" s="2">
        <v>171</v>
      </c>
      <c r="T390" s="2">
        <v>171</v>
      </c>
      <c r="U390" s="2">
        <v>973</v>
      </c>
      <c r="V390" s="2">
        <v>973</v>
      </c>
      <c r="W390" s="2">
        <v>973</v>
      </c>
    </row>
    <row r="391" spans="1:23" outlineLevel="2" x14ac:dyDescent="0.2">
      <c r="A391" t="s">
        <v>0</v>
      </c>
      <c r="B391" t="s">
        <v>31</v>
      </c>
      <c r="C391" t="s">
        <v>32</v>
      </c>
      <c r="D391" t="s">
        <v>75</v>
      </c>
      <c r="E391" t="s">
        <v>76</v>
      </c>
      <c r="F391" t="s">
        <v>5</v>
      </c>
      <c r="G391" t="s">
        <v>6</v>
      </c>
      <c r="H391" t="s">
        <v>35</v>
      </c>
      <c r="I391" t="s">
        <v>36</v>
      </c>
      <c r="J391" t="s">
        <v>9</v>
      </c>
      <c r="K391" t="s">
        <v>203</v>
      </c>
      <c r="L391" t="s">
        <v>208</v>
      </c>
      <c r="M391" t="s">
        <v>12</v>
      </c>
      <c r="N391" s="2">
        <v>0</v>
      </c>
      <c r="O391" s="2">
        <v>0</v>
      </c>
      <c r="P391" s="2">
        <v>1809.5</v>
      </c>
      <c r="Q391" s="2">
        <v>1809.5</v>
      </c>
      <c r="R391" s="2">
        <v>0</v>
      </c>
      <c r="S391" s="2">
        <v>244</v>
      </c>
      <c r="T391" s="2">
        <v>244</v>
      </c>
      <c r="U391" s="2">
        <v>1565.5</v>
      </c>
      <c r="V391" s="2">
        <v>1565.5</v>
      </c>
      <c r="W391" s="2">
        <v>1565.5</v>
      </c>
    </row>
    <row r="392" spans="1:23" outlineLevel="2" x14ac:dyDescent="0.2">
      <c r="A392" t="s">
        <v>0</v>
      </c>
      <c r="B392" t="s">
        <v>39</v>
      </c>
      <c r="C392" t="s">
        <v>58</v>
      </c>
      <c r="D392" t="s">
        <v>147</v>
      </c>
      <c r="E392" t="s">
        <v>148</v>
      </c>
      <c r="F392" t="s">
        <v>5</v>
      </c>
      <c r="G392" t="s">
        <v>6</v>
      </c>
      <c r="H392" t="s">
        <v>35</v>
      </c>
      <c r="I392" t="s">
        <v>36</v>
      </c>
      <c r="J392" t="s">
        <v>9</v>
      </c>
      <c r="K392" t="s">
        <v>203</v>
      </c>
      <c r="L392" t="s">
        <v>210</v>
      </c>
      <c r="M392" t="s">
        <v>12</v>
      </c>
      <c r="N392" s="2">
        <v>0</v>
      </c>
      <c r="O392" s="2">
        <v>0</v>
      </c>
      <c r="P392" s="2">
        <v>252.87</v>
      </c>
      <c r="Q392" s="2">
        <v>252.87</v>
      </c>
      <c r="R392" s="2">
        <v>0</v>
      </c>
      <c r="S392" s="2">
        <v>114</v>
      </c>
      <c r="T392" s="2">
        <v>114</v>
      </c>
      <c r="U392" s="2">
        <v>138.87</v>
      </c>
      <c r="V392" s="2">
        <v>138.87</v>
      </c>
      <c r="W392" s="2">
        <v>138.87</v>
      </c>
    </row>
    <row r="393" spans="1:23" outlineLevel="2" x14ac:dyDescent="0.2">
      <c r="A393" t="s">
        <v>0</v>
      </c>
      <c r="B393" t="s">
        <v>39</v>
      </c>
      <c r="C393" t="s">
        <v>58</v>
      </c>
      <c r="D393" t="s">
        <v>137</v>
      </c>
      <c r="E393" t="s">
        <v>138</v>
      </c>
      <c r="F393" t="s">
        <v>5</v>
      </c>
      <c r="G393" t="s">
        <v>6</v>
      </c>
      <c r="H393" t="s">
        <v>35</v>
      </c>
      <c r="I393" t="s">
        <v>36</v>
      </c>
      <c r="J393" t="s">
        <v>9</v>
      </c>
      <c r="K393" t="s">
        <v>203</v>
      </c>
      <c r="L393" t="s">
        <v>210</v>
      </c>
      <c r="M393" t="s">
        <v>12</v>
      </c>
      <c r="N393" s="2">
        <v>0</v>
      </c>
      <c r="O393" s="2">
        <v>30</v>
      </c>
      <c r="P393" s="2">
        <v>358.14</v>
      </c>
      <c r="Q393" s="2">
        <v>388.14</v>
      </c>
      <c r="R393" s="2">
        <v>0</v>
      </c>
      <c r="S393" s="2">
        <v>193</v>
      </c>
      <c r="T393" s="2">
        <v>193</v>
      </c>
      <c r="U393" s="2">
        <v>195.14</v>
      </c>
      <c r="V393" s="2">
        <v>195.14</v>
      </c>
      <c r="W393" s="2">
        <v>195.14</v>
      </c>
    </row>
    <row r="394" spans="1:23" outlineLevel="2" x14ac:dyDescent="0.2">
      <c r="A394" t="s">
        <v>0</v>
      </c>
      <c r="B394" t="s">
        <v>31</v>
      </c>
      <c r="C394" t="s">
        <v>79</v>
      </c>
      <c r="D394" t="s">
        <v>111</v>
      </c>
      <c r="E394" t="s">
        <v>112</v>
      </c>
      <c r="F394" t="s">
        <v>5</v>
      </c>
      <c r="G394" t="s">
        <v>6</v>
      </c>
      <c r="H394" t="s">
        <v>35</v>
      </c>
      <c r="I394" t="s">
        <v>36</v>
      </c>
      <c r="J394" t="s">
        <v>9</v>
      </c>
      <c r="K394" t="s">
        <v>203</v>
      </c>
      <c r="L394" t="s">
        <v>204</v>
      </c>
      <c r="M394" t="s">
        <v>15</v>
      </c>
      <c r="N394" s="2">
        <v>132</v>
      </c>
      <c r="O394" s="2">
        <v>0</v>
      </c>
      <c r="P394" s="2">
        <v>-80</v>
      </c>
      <c r="Q394" s="2">
        <v>52</v>
      </c>
      <c r="R394" s="2">
        <v>0</v>
      </c>
      <c r="S394" s="2">
        <v>52</v>
      </c>
      <c r="T394" s="2">
        <v>52</v>
      </c>
      <c r="U394" s="2">
        <v>0</v>
      </c>
      <c r="V394" s="2">
        <v>0</v>
      </c>
      <c r="W394" s="2">
        <v>0</v>
      </c>
    </row>
    <row r="395" spans="1:23" outlineLevel="2" x14ac:dyDescent="0.2">
      <c r="A395" t="s">
        <v>0</v>
      </c>
      <c r="B395" t="s">
        <v>31</v>
      </c>
      <c r="C395" t="s">
        <v>79</v>
      </c>
      <c r="D395" t="s">
        <v>117</v>
      </c>
      <c r="E395" t="s">
        <v>118</v>
      </c>
      <c r="F395" t="s">
        <v>5</v>
      </c>
      <c r="G395" t="s">
        <v>6</v>
      </c>
      <c r="H395" t="s">
        <v>35</v>
      </c>
      <c r="I395" t="s">
        <v>36</v>
      </c>
      <c r="J395" t="s">
        <v>9</v>
      </c>
      <c r="K395" t="s">
        <v>203</v>
      </c>
      <c r="L395" t="s">
        <v>204</v>
      </c>
      <c r="M395" t="s">
        <v>15</v>
      </c>
      <c r="N395" s="2">
        <v>1848</v>
      </c>
      <c r="O395" s="2">
        <v>454</v>
      </c>
      <c r="P395" s="2">
        <v>-1717</v>
      </c>
      <c r="Q395" s="2">
        <v>585</v>
      </c>
      <c r="R395" s="2">
        <v>0</v>
      </c>
      <c r="S395" s="2">
        <v>585</v>
      </c>
      <c r="T395" s="2">
        <v>585</v>
      </c>
      <c r="U395" s="2">
        <v>0</v>
      </c>
      <c r="V395" s="2">
        <v>0</v>
      </c>
      <c r="W395" s="2">
        <v>0</v>
      </c>
    </row>
    <row r="396" spans="1:23" outlineLevel="2" x14ac:dyDescent="0.2">
      <c r="A396" t="s">
        <v>0</v>
      </c>
      <c r="B396" t="s">
        <v>31</v>
      </c>
      <c r="C396" t="s">
        <v>79</v>
      </c>
      <c r="D396" t="s">
        <v>127</v>
      </c>
      <c r="E396" t="s">
        <v>128</v>
      </c>
      <c r="F396" t="s">
        <v>5</v>
      </c>
      <c r="G396" t="s">
        <v>6</v>
      </c>
      <c r="H396" t="s">
        <v>35</v>
      </c>
      <c r="I396" t="s">
        <v>36</v>
      </c>
      <c r="J396" t="s">
        <v>9</v>
      </c>
      <c r="K396" t="s">
        <v>203</v>
      </c>
      <c r="L396" t="s">
        <v>204</v>
      </c>
      <c r="M396" t="s">
        <v>15</v>
      </c>
      <c r="N396" s="2">
        <v>528</v>
      </c>
      <c r="O396" s="2">
        <v>0</v>
      </c>
      <c r="P396" s="2">
        <v>-320</v>
      </c>
      <c r="Q396" s="2">
        <v>208</v>
      </c>
      <c r="R396" s="2">
        <v>0</v>
      </c>
      <c r="S396" s="2">
        <v>208</v>
      </c>
      <c r="T396" s="2">
        <v>208</v>
      </c>
      <c r="U396" s="2">
        <v>0</v>
      </c>
      <c r="V396" s="2">
        <v>0</v>
      </c>
      <c r="W396" s="2">
        <v>0</v>
      </c>
    </row>
    <row r="397" spans="1:23" outlineLevel="2" x14ac:dyDescent="0.2">
      <c r="A397" t="s">
        <v>0</v>
      </c>
      <c r="B397" t="s">
        <v>31</v>
      </c>
      <c r="C397" t="s">
        <v>79</v>
      </c>
      <c r="D397" t="s">
        <v>131</v>
      </c>
      <c r="E397" t="s">
        <v>132</v>
      </c>
      <c r="F397" t="s">
        <v>5</v>
      </c>
      <c r="G397" t="s">
        <v>6</v>
      </c>
      <c r="H397" t="s">
        <v>35</v>
      </c>
      <c r="I397" t="s">
        <v>36</v>
      </c>
      <c r="J397" t="s">
        <v>9</v>
      </c>
      <c r="K397" t="s">
        <v>203</v>
      </c>
      <c r="L397" t="s">
        <v>204</v>
      </c>
      <c r="M397" t="s">
        <v>15</v>
      </c>
      <c r="N397" s="2">
        <v>528</v>
      </c>
      <c r="O397" s="2">
        <v>265</v>
      </c>
      <c r="P397" s="2">
        <v>-499.5</v>
      </c>
      <c r="Q397" s="2">
        <v>293.5</v>
      </c>
      <c r="R397" s="2">
        <v>0</v>
      </c>
      <c r="S397" s="2">
        <v>293.5</v>
      </c>
      <c r="T397" s="2">
        <v>293.5</v>
      </c>
      <c r="U397" s="2">
        <v>0</v>
      </c>
      <c r="V397" s="2">
        <v>0</v>
      </c>
      <c r="W397" s="2">
        <v>0</v>
      </c>
    </row>
    <row r="398" spans="1:23" outlineLevel="2" x14ac:dyDescent="0.2">
      <c r="A398" t="s">
        <v>0</v>
      </c>
      <c r="B398" t="s">
        <v>39</v>
      </c>
      <c r="C398" t="s">
        <v>58</v>
      </c>
      <c r="D398" t="s">
        <v>135</v>
      </c>
      <c r="E398" t="s">
        <v>136</v>
      </c>
      <c r="F398" t="s">
        <v>5</v>
      </c>
      <c r="G398" t="s">
        <v>6</v>
      </c>
      <c r="H398" t="s">
        <v>35</v>
      </c>
      <c r="I398" t="s">
        <v>36</v>
      </c>
      <c r="J398" t="s">
        <v>9</v>
      </c>
      <c r="K398" t="s">
        <v>203</v>
      </c>
      <c r="L398" t="s">
        <v>210</v>
      </c>
      <c r="M398" t="s">
        <v>12</v>
      </c>
      <c r="N398" s="2">
        <v>0</v>
      </c>
      <c r="O398" s="2">
        <v>70</v>
      </c>
      <c r="P398" s="2">
        <v>72.290000000000006</v>
      </c>
      <c r="Q398" s="2">
        <v>142.29</v>
      </c>
      <c r="R398" s="2">
        <v>0</v>
      </c>
      <c r="S398" s="2">
        <v>66.5</v>
      </c>
      <c r="T398" s="2">
        <v>66.5</v>
      </c>
      <c r="U398" s="2">
        <v>75.790000000000006</v>
      </c>
      <c r="V398" s="2">
        <v>75.790000000000006</v>
      </c>
      <c r="W398" s="2">
        <v>75.790000000000006</v>
      </c>
    </row>
    <row r="399" spans="1:23" outlineLevel="2" x14ac:dyDescent="0.2">
      <c r="A399" t="s">
        <v>0</v>
      </c>
      <c r="B399" t="s">
        <v>31</v>
      </c>
      <c r="C399" t="s">
        <v>79</v>
      </c>
      <c r="D399" t="s">
        <v>133</v>
      </c>
      <c r="E399" t="s">
        <v>134</v>
      </c>
      <c r="F399" t="s">
        <v>5</v>
      </c>
      <c r="G399" t="s">
        <v>6</v>
      </c>
      <c r="H399" t="s">
        <v>35</v>
      </c>
      <c r="I399" t="s">
        <v>36</v>
      </c>
      <c r="J399" t="s">
        <v>9</v>
      </c>
      <c r="K399" t="s">
        <v>203</v>
      </c>
      <c r="L399" t="s">
        <v>204</v>
      </c>
      <c r="M399" t="s">
        <v>15</v>
      </c>
      <c r="N399" s="2">
        <v>924</v>
      </c>
      <c r="O399" s="2">
        <v>452</v>
      </c>
      <c r="P399" s="2">
        <v>-864.5</v>
      </c>
      <c r="Q399" s="2">
        <v>511.5</v>
      </c>
      <c r="R399" s="2">
        <v>0</v>
      </c>
      <c r="S399" s="2">
        <v>511.5</v>
      </c>
      <c r="T399" s="2">
        <v>511.5</v>
      </c>
      <c r="U399" s="2">
        <v>0</v>
      </c>
      <c r="V399" s="2">
        <v>0</v>
      </c>
      <c r="W399" s="2">
        <v>0</v>
      </c>
    </row>
    <row r="400" spans="1:23" outlineLevel="2" x14ac:dyDescent="0.2">
      <c r="A400" t="s">
        <v>0</v>
      </c>
      <c r="B400" t="s">
        <v>31</v>
      </c>
      <c r="C400" t="s">
        <v>79</v>
      </c>
      <c r="D400" t="s">
        <v>80</v>
      </c>
      <c r="E400" t="s">
        <v>81</v>
      </c>
      <c r="F400" t="s">
        <v>5</v>
      </c>
      <c r="G400" t="s">
        <v>6</v>
      </c>
      <c r="H400" t="s">
        <v>35</v>
      </c>
      <c r="I400" t="s">
        <v>36</v>
      </c>
      <c r="J400" t="s">
        <v>9</v>
      </c>
      <c r="K400" t="s">
        <v>203</v>
      </c>
      <c r="L400" t="s">
        <v>204</v>
      </c>
      <c r="M400" t="s">
        <v>15</v>
      </c>
      <c r="N400" s="2">
        <v>264</v>
      </c>
      <c r="O400" s="2">
        <v>0</v>
      </c>
      <c r="P400" s="2">
        <v>-160</v>
      </c>
      <c r="Q400" s="2">
        <v>104</v>
      </c>
      <c r="R400" s="2">
        <v>0</v>
      </c>
      <c r="S400" s="2">
        <v>104</v>
      </c>
      <c r="T400" s="2">
        <v>104</v>
      </c>
      <c r="U400" s="2">
        <v>0</v>
      </c>
      <c r="V400" s="2">
        <v>0</v>
      </c>
      <c r="W400" s="2">
        <v>0</v>
      </c>
    </row>
    <row r="401" spans="1:23" outlineLevel="2" x14ac:dyDescent="0.2">
      <c r="A401" t="s">
        <v>0</v>
      </c>
      <c r="B401" t="s">
        <v>53</v>
      </c>
      <c r="C401" t="s">
        <v>54</v>
      </c>
      <c r="D401" t="s">
        <v>55</v>
      </c>
      <c r="E401" t="s">
        <v>56</v>
      </c>
      <c r="F401" t="s">
        <v>5</v>
      </c>
      <c r="G401" t="s">
        <v>6</v>
      </c>
      <c r="H401" t="s">
        <v>35</v>
      </c>
      <c r="I401" t="s">
        <v>36</v>
      </c>
      <c r="J401" t="s">
        <v>9</v>
      </c>
      <c r="K401" t="s">
        <v>203</v>
      </c>
      <c r="L401" t="s">
        <v>211</v>
      </c>
      <c r="M401" t="s">
        <v>15</v>
      </c>
      <c r="N401" s="2">
        <v>4224</v>
      </c>
      <c r="O401" s="2">
        <v>-1100</v>
      </c>
      <c r="P401" s="2">
        <v>-1032.5</v>
      </c>
      <c r="Q401" s="2">
        <v>2091.5</v>
      </c>
      <c r="R401" s="2">
        <v>0</v>
      </c>
      <c r="S401" s="2">
        <v>2091.5</v>
      </c>
      <c r="T401" s="2">
        <v>2091.5</v>
      </c>
      <c r="U401" s="2">
        <v>0</v>
      </c>
      <c r="V401" s="2">
        <v>0</v>
      </c>
      <c r="W401" s="2">
        <v>0</v>
      </c>
    </row>
    <row r="402" spans="1:23" outlineLevel="2" x14ac:dyDescent="0.2">
      <c r="A402" t="s">
        <v>0</v>
      </c>
      <c r="B402" t="s">
        <v>39</v>
      </c>
      <c r="C402" t="s">
        <v>95</v>
      </c>
      <c r="D402" t="s">
        <v>96</v>
      </c>
      <c r="E402" t="s">
        <v>97</v>
      </c>
      <c r="F402" t="s">
        <v>5</v>
      </c>
      <c r="G402" t="s">
        <v>6</v>
      </c>
      <c r="H402" t="s">
        <v>35</v>
      </c>
      <c r="I402" t="s">
        <v>36</v>
      </c>
      <c r="J402" t="s">
        <v>9</v>
      </c>
      <c r="K402" t="s">
        <v>203</v>
      </c>
      <c r="L402" t="s">
        <v>212</v>
      </c>
      <c r="M402" t="s">
        <v>15</v>
      </c>
      <c r="N402" s="2">
        <v>528</v>
      </c>
      <c r="O402" s="2">
        <v>0</v>
      </c>
      <c r="P402" s="2">
        <v>-425.5</v>
      </c>
      <c r="Q402" s="2">
        <v>102.5</v>
      </c>
      <c r="R402" s="2">
        <v>0</v>
      </c>
      <c r="S402" s="2">
        <v>102.5</v>
      </c>
      <c r="T402" s="2">
        <v>102.5</v>
      </c>
      <c r="U402" s="2">
        <v>0</v>
      </c>
      <c r="V402" s="2">
        <v>0</v>
      </c>
      <c r="W402" s="2">
        <v>0</v>
      </c>
    </row>
    <row r="403" spans="1:23" outlineLevel="2" x14ac:dyDescent="0.2">
      <c r="A403" t="s">
        <v>0</v>
      </c>
      <c r="B403" t="s">
        <v>39</v>
      </c>
      <c r="C403" t="s">
        <v>58</v>
      </c>
      <c r="D403" t="s">
        <v>135</v>
      </c>
      <c r="E403" t="s">
        <v>136</v>
      </c>
      <c r="F403" t="s">
        <v>5</v>
      </c>
      <c r="G403" t="s">
        <v>6</v>
      </c>
      <c r="H403" t="s">
        <v>35</v>
      </c>
      <c r="I403" t="s">
        <v>36</v>
      </c>
      <c r="J403" t="s">
        <v>9</v>
      </c>
      <c r="K403" t="s">
        <v>203</v>
      </c>
      <c r="L403" t="s">
        <v>210</v>
      </c>
      <c r="M403" t="s">
        <v>15</v>
      </c>
      <c r="N403" s="2">
        <v>1584</v>
      </c>
      <c r="O403" s="2">
        <v>0</v>
      </c>
      <c r="P403" s="2">
        <v>-1336.5</v>
      </c>
      <c r="Q403" s="2">
        <v>247.5</v>
      </c>
      <c r="R403" s="2">
        <v>0</v>
      </c>
      <c r="S403" s="2">
        <v>247.5</v>
      </c>
      <c r="T403" s="2">
        <v>247.5</v>
      </c>
      <c r="U403" s="2">
        <v>0</v>
      </c>
      <c r="V403" s="2">
        <v>0</v>
      </c>
      <c r="W403" s="2">
        <v>0</v>
      </c>
    </row>
    <row r="404" spans="1:23" outlineLevel="2" x14ac:dyDescent="0.2">
      <c r="A404" t="s">
        <v>0</v>
      </c>
      <c r="B404" t="s">
        <v>39</v>
      </c>
      <c r="C404" t="s">
        <v>58</v>
      </c>
      <c r="D404" t="s">
        <v>137</v>
      </c>
      <c r="E404" t="s">
        <v>138</v>
      </c>
      <c r="F404" t="s">
        <v>5</v>
      </c>
      <c r="G404" t="s">
        <v>6</v>
      </c>
      <c r="H404" t="s">
        <v>35</v>
      </c>
      <c r="I404" t="s">
        <v>36</v>
      </c>
      <c r="J404" t="s">
        <v>9</v>
      </c>
      <c r="K404" t="s">
        <v>203</v>
      </c>
      <c r="L404" t="s">
        <v>210</v>
      </c>
      <c r="M404" t="s">
        <v>15</v>
      </c>
      <c r="N404" s="2">
        <v>3036</v>
      </c>
      <c r="O404" s="2">
        <v>0</v>
      </c>
      <c r="P404" s="2">
        <v>-2115</v>
      </c>
      <c r="Q404" s="2">
        <v>921</v>
      </c>
      <c r="R404" s="2">
        <v>0</v>
      </c>
      <c r="S404" s="2">
        <v>921</v>
      </c>
      <c r="T404" s="2">
        <v>921</v>
      </c>
      <c r="U404" s="2">
        <v>0</v>
      </c>
      <c r="V404" s="2">
        <v>0</v>
      </c>
      <c r="W404" s="2">
        <v>0</v>
      </c>
    </row>
    <row r="405" spans="1:23" outlineLevel="2" x14ac:dyDescent="0.2">
      <c r="A405" t="s">
        <v>0</v>
      </c>
      <c r="B405" t="s">
        <v>39</v>
      </c>
      <c r="C405" t="s">
        <v>58</v>
      </c>
      <c r="D405" t="s">
        <v>147</v>
      </c>
      <c r="E405" t="s">
        <v>148</v>
      </c>
      <c r="F405" t="s">
        <v>5</v>
      </c>
      <c r="G405" t="s">
        <v>6</v>
      </c>
      <c r="H405" t="s">
        <v>35</v>
      </c>
      <c r="I405" t="s">
        <v>36</v>
      </c>
      <c r="J405" t="s">
        <v>9</v>
      </c>
      <c r="K405" t="s">
        <v>203</v>
      </c>
      <c r="L405" t="s">
        <v>210</v>
      </c>
      <c r="M405" t="s">
        <v>15</v>
      </c>
      <c r="N405" s="2">
        <v>2904</v>
      </c>
      <c r="O405" s="2">
        <v>303</v>
      </c>
      <c r="P405" s="2">
        <v>-2239</v>
      </c>
      <c r="Q405" s="2">
        <v>968</v>
      </c>
      <c r="R405" s="2">
        <v>0</v>
      </c>
      <c r="S405" s="2">
        <v>968</v>
      </c>
      <c r="T405" s="2">
        <v>968</v>
      </c>
      <c r="U405" s="2">
        <v>0</v>
      </c>
      <c r="V405" s="2">
        <v>0</v>
      </c>
      <c r="W405" s="2">
        <v>0</v>
      </c>
    </row>
    <row r="406" spans="1:23" outlineLevel="2" x14ac:dyDescent="0.2">
      <c r="A406" t="s">
        <v>0</v>
      </c>
      <c r="B406" t="s">
        <v>39</v>
      </c>
      <c r="C406" t="s">
        <v>58</v>
      </c>
      <c r="D406" t="s">
        <v>145</v>
      </c>
      <c r="E406" t="s">
        <v>146</v>
      </c>
      <c r="F406" t="s">
        <v>5</v>
      </c>
      <c r="G406" t="s">
        <v>6</v>
      </c>
      <c r="H406" t="s">
        <v>35</v>
      </c>
      <c r="I406" t="s">
        <v>36</v>
      </c>
      <c r="J406" t="s">
        <v>9</v>
      </c>
      <c r="K406" t="s">
        <v>203</v>
      </c>
      <c r="L406" t="s">
        <v>210</v>
      </c>
      <c r="M406" t="s">
        <v>15</v>
      </c>
      <c r="N406" s="2">
        <v>1452</v>
      </c>
      <c r="O406" s="2">
        <v>0</v>
      </c>
      <c r="P406" s="2">
        <v>-919</v>
      </c>
      <c r="Q406" s="2">
        <v>533</v>
      </c>
      <c r="R406" s="2">
        <v>0</v>
      </c>
      <c r="S406" s="2">
        <v>533</v>
      </c>
      <c r="T406" s="2">
        <v>533</v>
      </c>
      <c r="U406" s="2">
        <v>0</v>
      </c>
      <c r="V406" s="2">
        <v>0</v>
      </c>
      <c r="W406" s="2">
        <v>0</v>
      </c>
    </row>
    <row r="407" spans="1:23" outlineLevel="2" x14ac:dyDescent="0.2">
      <c r="A407" t="s">
        <v>0</v>
      </c>
      <c r="B407" t="s">
        <v>39</v>
      </c>
      <c r="C407" t="s">
        <v>58</v>
      </c>
      <c r="D407" t="s">
        <v>149</v>
      </c>
      <c r="E407" t="s">
        <v>150</v>
      </c>
      <c r="F407" t="s">
        <v>5</v>
      </c>
      <c r="G407" t="s">
        <v>6</v>
      </c>
      <c r="H407" t="s">
        <v>35</v>
      </c>
      <c r="I407" t="s">
        <v>36</v>
      </c>
      <c r="J407" t="s">
        <v>9</v>
      </c>
      <c r="K407" t="s">
        <v>203</v>
      </c>
      <c r="L407" t="s">
        <v>210</v>
      </c>
      <c r="M407" t="s">
        <v>15</v>
      </c>
      <c r="N407" s="2">
        <v>7260</v>
      </c>
      <c r="O407" s="2">
        <v>2150</v>
      </c>
      <c r="P407" s="2">
        <v>-5776</v>
      </c>
      <c r="Q407" s="2">
        <v>3634</v>
      </c>
      <c r="R407" s="2">
        <v>0</v>
      </c>
      <c r="S407" s="2">
        <v>3634</v>
      </c>
      <c r="T407" s="2">
        <v>3634</v>
      </c>
      <c r="U407" s="2">
        <v>0</v>
      </c>
      <c r="V407" s="2">
        <v>0</v>
      </c>
      <c r="W407" s="2">
        <v>0</v>
      </c>
    </row>
    <row r="408" spans="1:23" outlineLevel="2" x14ac:dyDescent="0.2">
      <c r="A408" t="s">
        <v>0</v>
      </c>
      <c r="B408" t="s">
        <v>39</v>
      </c>
      <c r="C408" t="s">
        <v>58</v>
      </c>
      <c r="D408" t="s">
        <v>139</v>
      </c>
      <c r="E408" t="s">
        <v>140</v>
      </c>
      <c r="F408" t="s">
        <v>5</v>
      </c>
      <c r="G408" t="s">
        <v>6</v>
      </c>
      <c r="H408" t="s">
        <v>35</v>
      </c>
      <c r="I408" t="s">
        <v>36</v>
      </c>
      <c r="J408" t="s">
        <v>9</v>
      </c>
      <c r="K408" t="s">
        <v>203</v>
      </c>
      <c r="L408" t="s">
        <v>210</v>
      </c>
      <c r="M408" t="s">
        <v>15</v>
      </c>
      <c r="N408" s="2">
        <v>2244</v>
      </c>
      <c r="O408" s="2">
        <v>0</v>
      </c>
      <c r="P408" s="2">
        <v>-1809</v>
      </c>
      <c r="Q408" s="2">
        <v>435</v>
      </c>
      <c r="R408" s="2">
        <v>0</v>
      </c>
      <c r="S408" s="2">
        <v>435</v>
      </c>
      <c r="T408" s="2">
        <v>435</v>
      </c>
      <c r="U408" s="2">
        <v>0</v>
      </c>
      <c r="V408" s="2">
        <v>0</v>
      </c>
      <c r="W408" s="2">
        <v>0</v>
      </c>
    </row>
    <row r="409" spans="1:23" outlineLevel="2" x14ac:dyDescent="0.2">
      <c r="A409" t="s">
        <v>0</v>
      </c>
      <c r="B409" t="s">
        <v>39</v>
      </c>
      <c r="C409" t="s">
        <v>58</v>
      </c>
      <c r="D409" t="s">
        <v>143</v>
      </c>
      <c r="E409" t="s">
        <v>144</v>
      </c>
      <c r="F409" t="s">
        <v>5</v>
      </c>
      <c r="G409" t="s">
        <v>6</v>
      </c>
      <c r="H409" t="s">
        <v>35</v>
      </c>
      <c r="I409" t="s">
        <v>36</v>
      </c>
      <c r="J409" t="s">
        <v>9</v>
      </c>
      <c r="K409" t="s">
        <v>203</v>
      </c>
      <c r="L409" t="s">
        <v>210</v>
      </c>
      <c r="M409" t="s">
        <v>15</v>
      </c>
      <c r="N409" s="2">
        <v>1452</v>
      </c>
      <c r="O409" s="2">
        <v>0</v>
      </c>
      <c r="P409" s="2">
        <v>-1045.5</v>
      </c>
      <c r="Q409" s="2">
        <v>406.5</v>
      </c>
      <c r="R409" s="2">
        <v>0</v>
      </c>
      <c r="S409" s="2">
        <v>406.5</v>
      </c>
      <c r="T409" s="2">
        <v>406.5</v>
      </c>
      <c r="U409" s="2">
        <v>0</v>
      </c>
      <c r="V409" s="2">
        <v>0</v>
      </c>
      <c r="W409" s="2">
        <v>0</v>
      </c>
    </row>
    <row r="410" spans="1:23" outlineLevel="2" x14ac:dyDescent="0.2">
      <c r="A410" t="s">
        <v>0</v>
      </c>
      <c r="B410" t="s">
        <v>39</v>
      </c>
      <c r="C410" t="s">
        <v>58</v>
      </c>
      <c r="D410" t="s">
        <v>59</v>
      </c>
      <c r="E410" t="s">
        <v>60</v>
      </c>
      <c r="F410" t="s">
        <v>5</v>
      </c>
      <c r="G410" t="s">
        <v>6</v>
      </c>
      <c r="H410" t="s">
        <v>35</v>
      </c>
      <c r="I410" t="s">
        <v>36</v>
      </c>
      <c r="J410" t="s">
        <v>9</v>
      </c>
      <c r="K410" t="s">
        <v>203</v>
      </c>
      <c r="L410" t="s">
        <v>210</v>
      </c>
      <c r="M410" t="s">
        <v>15</v>
      </c>
      <c r="N410" s="2">
        <v>1056</v>
      </c>
      <c r="O410" s="2">
        <v>0</v>
      </c>
      <c r="P410" s="2">
        <v>-673</v>
      </c>
      <c r="Q410" s="2">
        <v>383</v>
      </c>
      <c r="R410" s="2">
        <v>0</v>
      </c>
      <c r="S410" s="2">
        <v>383</v>
      </c>
      <c r="T410" s="2">
        <v>383</v>
      </c>
      <c r="U410" s="2">
        <v>0</v>
      </c>
      <c r="V410" s="2">
        <v>0</v>
      </c>
      <c r="W410" s="2">
        <v>0</v>
      </c>
    </row>
    <row r="411" spans="1:23" outlineLevel="2" x14ac:dyDescent="0.2">
      <c r="A411" t="s">
        <v>0</v>
      </c>
      <c r="B411" t="s">
        <v>39</v>
      </c>
      <c r="C411" t="s">
        <v>40</v>
      </c>
      <c r="D411" t="s">
        <v>77</v>
      </c>
      <c r="E411" t="s">
        <v>78</v>
      </c>
      <c r="F411" t="s">
        <v>5</v>
      </c>
      <c r="G411" t="s">
        <v>6</v>
      </c>
      <c r="H411" t="s">
        <v>35</v>
      </c>
      <c r="I411" t="s">
        <v>36</v>
      </c>
      <c r="J411" t="s">
        <v>9</v>
      </c>
      <c r="K411" t="s">
        <v>203</v>
      </c>
      <c r="L411" t="s">
        <v>206</v>
      </c>
      <c r="M411" t="s">
        <v>15</v>
      </c>
      <c r="N411" s="2">
        <v>264</v>
      </c>
      <c r="O411" s="2">
        <v>50</v>
      </c>
      <c r="P411" s="2">
        <v>-230</v>
      </c>
      <c r="Q411" s="2">
        <v>84</v>
      </c>
      <c r="R411" s="2">
        <v>0</v>
      </c>
      <c r="S411" s="2">
        <v>84</v>
      </c>
      <c r="T411" s="2">
        <v>84</v>
      </c>
      <c r="U411" s="2">
        <v>0</v>
      </c>
      <c r="V411" s="2">
        <v>0</v>
      </c>
      <c r="W411" s="2">
        <v>0</v>
      </c>
    </row>
    <row r="412" spans="1:23" outlineLevel="2" x14ac:dyDescent="0.2">
      <c r="A412" t="s">
        <v>0</v>
      </c>
      <c r="B412" t="s">
        <v>1</v>
      </c>
      <c r="C412" t="s">
        <v>2</v>
      </c>
      <c r="D412" t="s">
        <v>20</v>
      </c>
      <c r="E412" t="s">
        <v>21</v>
      </c>
      <c r="F412" t="s">
        <v>5</v>
      </c>
      <c r="G412" t="s">
        <v>6</v>
      </c>
      <c r="H412" t="s">
        <v>35</v>
      </c>
      <c r="I412" t="s">
        <v>36</v>
      </c>
      <c r="J412" t="s">
        <v>9</v>
      </c>
      <c r="K412" t="s">
        <v>203</v>
      </c>
      <c r="L412" t="s">
        <v>209</v>
      </c>
      <c r="M412" t="s">
        <v>15</v>
      </c>
      <c r="N412" s="2">
        <v>13464</v>
      </c>
      <c r="O412" s="2">
        <v>0</v>
      </c>
      <c r="P412" s="2">
        <v>-7669</v>
      </c>
      <c r="Q412" s="2">
        <v>5795</v>
      </c>
      <c r="R412" s="2">
        <v>0</v>
      </c>
      <c r="S412" s="2">
        <v>5795</v>
      </c>
      <c r="T412" s="2">
        <v>5795</v>
      </c>
      <c r="U412" s="2">
        <v>0</v>
      </c>
      <c r="V412" s="2">
        <v>0</v>
      </c>
      <c r="W412" s="2">
        <v>0</v>
      </c>
    </row>
    <row r="413" spans="1:23" outlineLevel="2" x14ac:dyDescent="0.2">
      <c r="A413" t="s">
        <v>0</v>
      </c>
      <c r="B413" t="s">
        <v>1</v>
      </c>
      <c r="C413" t="s">
        <v>44</v>
      </c>
      <c r="D413" t="s">
        <v>45</v>
      </c>
      <c r="E413" t="s">
        <v>46</v>
      </c>
      <c r="F413" t="s">
        <v>5</v>
      </c>
      <c r="G413" t="s">
        <v>6</v>
      </c>
      <c r="H413" t="s">
        <v>35</v>
      </c>
      <c r="I413" t="s">
        <v>36</v>
      </c>
      <c r="J413" t="s">
        <v>9</v>
      </c>
      <c r="K413" t="s">
        <v>203</v>
      </c>
      <c r="L413" t="s">
        <v>213</v>
      </c>
      <c r="M413" t="s">
        <v>15</v>
      </c>
      <c r="N413" s="2">
        <v>396</v>
      </c>
      <c r="O413" s="2">
        <v>0</v>
      </c>
      <c r="P413" s="2">
        <v>-333.5</v>
      </c>
      <c r="Q413" s="2">
        <v>62.5</v>
      </c>
      <c r="R413" s="2">
        <v>0</v>
      </c>
      <c r="S413" s="2">
        <v>62.5</v>
      </c>
      <c r="T413" s="2">
        <v>62.5</v>
      </c>
      <c r="U413" s="2">
        <v>0</v>
      </c>
      <c r="V413" s="2">
        <v>0</v>
      </c>
      <c r="W413" s="2">
        <v>0</v>
      </c>
    </row>
    <row r="414" spans="1:23" outlineLevel="2" x14ac:dyDescent="0.2">
      <c r="A414" t="s">
        <v>0</v>
      </c>
      <c r="B414" t="s">
        <v>39</v>
      </c>
      <c r="C414" t="s">
        <v>66</v>
      </c>
      <c r="D414" t="s">
        <v>121</v>
      </c>
      <c r="E414" t="s">
        <v>122</v>
      </c>
      <c r="F414" t="s">
        <v>5</v>
      </c>
      <c r="G414" t="s">
        <v>6</v>
      </c>
      <c r="H414" t="s">
        <v>35</v>
      </c>
      <c r="I414" t="s">
        <v>36</v>
      </c>
      <c r="J414" t="s">
        <v>9</v>
      </c>
      <c r="K414" t="s">
        <v>203</v>
      </c>
      <c r="L414" t="s">
        <v>214</v>
      </c>
      <c r="M414" t="s">
        <v>15</v>
      </c>
      <c r="N414" s="2">
        <v>132</v>
      </c>
      <c r="O414" s="2">
        <v>0</v>
      </c>
      <c r="P414" s="2">
        <v>-80</v>
      </c>
      <c r="Q414" s="2">
        <v>52</v>
      </c>
      <c r="R414" s="2">
        <v>0</v>
      </c>
      <c r="S414" s="2">
        <v>52</v>
      </c>
      <c r="T414" s="2">
        <v>52</v>
      </c>
      <c r="U414" s="2">
        <v>0</v>
      </c>
      <c r="V414" s="2">
        <v>0</v>
      </c>
      <c r="W414" s="2">
        <v>0</v>
      </c>
    </row>
    <row r="415" spans="1:23" outlineLevel="2" x14ac:dyDescent="0.2">
      <c r="A415" t="s">
        <v>0</v>
      </c>
      <c r="B415" t="s">
        <v>39</v>
      </c>
      <c r="C415" t="s">
        <v>40</v>
      </c>
      <c r="D415" t="s">
        <v>41</v>
      </c>
      <c r="E415" t="s">
        <v>42</v>
      </c>
      <c r="F415" t="s">
        <v>5</v>
      </c>
      <c r="G415" t="s">
        <v>6</v>
      </c>
      <c r="H415" t="s">
        <v>35</v>
      </c>
      <c r="I415" t="s">
        <v>36</v>
      </c>
      <c r="J415" t="s">
        <v>9</v>
      </c>
      <c r="K415" t="s">
        <v>203</v>
      </c>
      <c r="L415" t="s">
        <v>206</v>
      </c>
      <c r="M415" t="s">
        <v>15</v>
      </c>
      <c r="N415" s="2">
        <v>924</v>
      </c>
      <c r="O415" s="2">
        <v>53</v>
      </c>
      <c r="P415" s="2">
        <v>-804.5</v>
      </c>
      <c r="Q415" s="2">
        <v>172.5</v>
      </c>
      <c r="R415" s="2">
        <v>0</v>
      </c>
      <c r="S415" s="2">
        <v>172.5</v>
      </c>
      <c r="T415" s="2">
        <v>172.5</v>
      </c>
      <c r="U415" s="2">
        <v>0</v>
      </c>
      <c r="V415" s="2">
        <v>0</v>
      </c>
      <c r="W415" s="2">
        <v>0</v>
      </c>
    </row>
    <row r="416" spans="1:23" outlineLevel="2" x14ac:dyDescent="0.2">
      <c r="A416" t="s">
        <v>0</v>
      </c>
      <c r="B416" t="s">
        <v>1</v>
      </c>
      <c r="C416" t="s">
        <v>91</v>
      </c>
      <c r="D416" t="s">
        <v>92</v>
      </c>
      <c r="E416" t="s">
        <v>93</v>
      </c>
      <c r="F416" t="s">
        <v>5</v>
      </c>
      <c r="G416" t="s">
        <v>6</v>
      </c>
      <c r="H416" t="s">
        <v>35</v>
      </c>
      <c r="I416" t="s">
        <v>36</v>
      </c>
      <c r="J416" t="s">
        <v>9</v>
      </c>
      <c r="K416" t="s">
        <v>203</v>
      </c>
      <c r="L416" t="s">
        <v>215</v>
      </c>
      <c r="M416" t="s">
        <v>15</v>
      </c>
      <c r="N416" s="2">
        <v>660</v>
      </c>
      <c r="O416" s="2">
        <v>0</v>
      </c>
      <c r="P416" s="2">
        <v>-372</v>
      </c>
      <c r="Q416" s="2">
        <v>288</v>
      </c>
      <c r="R416" s="2">
        <v>0</v>
      </c>
      <c r="S416" s="2">
        <v>288</v>
      </c>
      <c r="T416" s="2">
        <v>288</v>
      </c>
      <c r="U416" s="2">
        <v>0</v>
      </c>
      <c r="V416" s="2">
        <v>0</v>
      </c>
      <c r="W416" s="2">
        <v>0</v>
      </c>
    </row>
    <row r="417" spans="1:23" outlineLevel="2" x14ac:dyDescent="0.2">
      <c r="A417" t="s">
        <v>0</v>
      </c>
      <c r="B417" t="s">
        <v>1</v>
      </c>
      <c r="C417" t="s">
        <v>99</v>
      </c>
      <c r="D417" t="s">
        <v>100</v>
      </c>
      <c r="E417" t="s">
        <v>101</v>
      </c>
      <c r="F417" t="s">
        <v>5</v>
      </c>
      <c r="G417" t="s">
        <v>6</v>
      </c>
      <c r="H417" t="s">
        <v>35</v>
      </c>
      <c r="I417" t="s">
        <v>36</v>
      </c>
      <c r="J417" t="s">
        <v>9</v>
      </c>
      <c r="K417" t="s">
        <v>203</v>
      </c>
      <c r="L417" t="s">
        <v>216</v>
      </c>
      <c r="M417" t="s">
        <v>15</v>
      </c>
      <c r="N417" s="2">
        <v>1188</v>
      </c>
      <c r="O417" s="2">
        <v>0</v>
      </c>
      <c r="P417" s="2">
        <v>-882.5</v>
      </c>
      <c r="Q417" s="2">
        <v>305.5</v>
      </c>
      <c r="R417" s="2">
        <v>0</v>
      </c>
      <c r="S417" s="2">
        <v>305.5</v>
      </c>
      <c r="T417" s="2">
        <v>305.5</v>
      </c>
      <c r="U417" s="2">
        <v>0</v>
      </c>
      <c r="V417" s="2">
        <v>0</v>
      </c>
      <c r="W417" s="2">
        <v>0</v>
      </c>
    </row>
    <row r="418" spans="1:23" outlineLevel="2" x14ac:dyDescent="0.2">
      <c r="A418" t="s">
        <v>0</v>
      </c>
      <c r="B418" t="s">
        <v>1</v>
      </c>
      <c r="C418" t="s">
        <v>16</v>
      </c>
      <c r="D418" t="s">
        <v>17</v>
      </c>
      <c r="E418" t="s">
        <v>18</v>
      </c>
      <c r="F418" t="s">
        <v>5</v>
      </c>
      <c r="G418" t="s">
        <v>6</v>
      </c>
      <c r="H418" t="s">
        <v>35</v>
      </c>
      <c r="I418" t="s">
        <v>36</v>
      </c>
      <c r="J418" t="s">
        <v>9</v>
      </c>
      <c r="K418" t="s">
        <v>203</v>
      </c>
      <c r="L418" t="s">
        <v>205</v>
      </c>
      <c r="M418" t="s">
        <v>15</v>
      </c>
      <c r="N418" s="2">
        <v>3036</v>
      </c>
      <c r="O418" s="2">
        <v>0</v>
      </c>
      <c r="P418" s="2">
        <v>-2368.5</v>
      </c>
      <c r="Q418" s="2">
        <v>667.5</v>
      </c>
      <c r="R418" s="2">
        <v>0</v>
      </c>
      <c r="S418" s="2">
        <v>667.5</v>
      </c>
      <c r="T418" s="2">
        <v>667.5</v>
      </c>
      <c r="U418" s="2">
        <v>0</v>
      </c>
      <c r="V418" s="2">
        <v>0</v>
      </c>
      <c r="W418" s="2">
        <v>0</v>
      </c>
    </row>
    <row r="419" spans="1:23" outlineLevel="2" x14ac:dyDescent="0.2">
      <c r="A419" t="s">
        <v>0</v>
      </c>
      <c r="B419" t="s">
        <v>1</v>
      </c>
      <c r="C419" t="s">
        <v>16</v>
      </c>
      <c r="D419" t="s">
        <v>62</v>
      </c>
      <c r="E419" t="s">
        <v>63</v>
      </c>
      <c r="F419" t="s">
        <v>5</v>
      </c>
      <c r="G419" t="s">
        <v>6</v>
      </c>
      <c r="H419" t="s">
        <v>35</v>
      </c>
      <c r="I419" t="s">
        <v>36</v>
      </c>
      <c r="J419" t="s">
        <v>9</v>
      </c>
      <c r="K419" t="s">
        <v>203</v>
      </c>
      <c r="L419" t="s">
        <v>205</v>
      </c>
      <c r="M419" t="s">
        <v>15</v>
      </c>
      <c r="N419" s="2">
        <v>132</v>
      </c>
      <c r="O419" s="2">
        <v>0</v>
      </c>
      <c r="P419" s="2">
        <v>-80</v>
      </c>
      <c r="Q419" s="2">
        <v>52</v>
      </c>
      <c r="R419" s="2">
        <v>0</v>
      </c>
      <c r="S419" s="2">
        <v>52</v>
      </c>
      <c r="T419" s="2">
        <v>52</v>
      </c>
      <c r="U419" s="2">
        <v>0</v>
      </c>
      <c r="V419" s="2">
        <v>0</v>
      </c>
      <c r="W419" s="2">
        <v>0</v>
      </c>
    </row>
    <row r="420" spans="1:23" outlineLevel="2" x14ac:dyDescent="0.2">
      <c r="A420" t="s">
        <v>0</v>
      </c>
      <c r="B420" t="s">
        <v>53</v>
      </c>
      <c r="C420" t="s">
        <v>54</v>
      </c>
      <c r="D420" t="s">
        <v>55</v>
      </c>
      <c r="E420" t="s">
        <v>56</v>
      </c>
      <c r="F420" t="s">
        <v>5</v>
      </c>
      <c r="G420" t="s">
        <v>6</v>
      </c>
      <c r="H420" t="s">
        <v>35</v>
      </c>
      <c r="I420" t="s">
        <v>36</v>
      </c>
      <c r="J420" t="s">
        <v>9</v>
      </c>
      <c r="K420" t="s">
        <v>203</v>
      </c>
      <c r="L420" t="s">
        <v>211</v>
      </c>
      <c r="M420" t="s">
        <v>12</v>
      </c>
      <c r="N420" s="2">
        <v>0</v>
      </c>
      <c r="O420" s="2">
        <v>0</v>
      </c>
      <c r="P420" s="2">
        <v>1032.5</v>
      </c>
      <c r="Q420" s="2">
        <v>1032.5</v>
      </c>
      <c r="R420" s="2">
        <v>0</v>
      </c>
      <c r="S420" s="2">
        <v>209</v>
      </c>
      <c r="T420" s="2">
        <v>209</v>
      </c>
      <c r="U420" s="2">
        <v>823.5</v>
      </c>
      <c r="V420" s="2">
        <v>823.5</v>
      </c>
      <c r="W420" s="2">
        <v>823.5</v>
      </c>
    </row>
    <row r="421" spans="1:23" outlineLevel="2" x14ac:dyDescent="0.2">
      <c r="A421" t="s">
        <v>0</v>
      </c>
      <c r="B421" t="s">
        <v>1</v>
      </c>
      <c r="C421" t="s">
        <v>16</v>
      </c>
      <c r="D421" t="s">
        <v>103</v>
      </c>
      <c r="E421" t="s">
        <v>104</v>
      </c>
      <c r="F421" t="s">
        <v>5</v>
      </c>
      <c r="G421" t="s">
        <v>6</v>
      </c>
      <c r="H421" t="s">
        <v>35</v>
      </c>
      <c r="I421" t="s">
        <v>36</v>
      </c>
      <c r="J421" t="s">
        <v>9</v>
      </c>
      <c r="K421" t="s">
        <v>203</v>
      </c>
      <c r="L421" t="s">
        <v>205</v>
      </c>
      <c r="M421" t="s">
        <v>15</v>
      </c>
      <c r="N421" s="2">
        <v>1848</v>
      </c>
      <c r="O421" s="2">
        <v>0</v>
      </c>
      <c r="P421" s="2">
        <v>-1696</v>
      </c>
      <c r="Q421" s="2">
        <v>152</v>
      </c>
      <c r="R421" s="2">
        <v>0</v>
      </c>
      <c r="S421" s="2">
        <v>152</v>
      </c>
      <c r="T421" s="2">
        <v>152</v>
      </c>
      <c r="U421" s="2">
        <v>0</v>
      </c>
      <c r="V421" s="2">
        <v>0</v>
      </c>
      <c r="W421" s="2">
        <v>0</v>
      </c>
    </row>
    <row r="422" spans="1:23" outlineLevel="2" x14ac:dyDescent="0.2">
      <c r="A422" t="s">
        <v>0</v>
      </c>
      <c r="B422" t="s">
        <v>53</v>
      </c>
      <c r="C422" t="s">
        <v>85</v>
      </c>
      <c r="D422" t="s">
        <v>86</v>
      </c>
      <c r="E422" t="s">
        <v>87</v>
      </c>
      <c r="F422" t="s">
        <v>5</v>
      </c>
      <c r="G422" t="s">
        <v>6</v>
      </c>
      <c r="H422" t="s">
        <v>35</v>
      </c>
      <c r="I422" t="s">
        <v>36</v>
      </c>
      <c r="J422" t="s">
        <v>9</v>
      </c>
      <c r="K422" t="s">
        <v>203</v>
      </c>
      <c r="L422" t="s">
        <v>217</v>
      </c>
      <c r="M422" t="s">
        <v>15</v>
      </c>
      <c r="N422" s="2">
        <v>264</v>
      </c>
      <c r="O422" s="2">
        <v>-264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</row>
    <row r="423" spans="1:23" outlineLevel="2" x14ac:dyDescent="0.2">
      <c r="A423" t="s">
        <v>0</v>
      </c>
      <c r="B423" t="s">
        <v>39</v>
      </c>
      <c r="C423" t="s">
        <v>66</v>
      </c>
      <c r="D423" t="s">
        <v>121</v>
      </c>
      <c r="E423" t="s">
        <v>122</v>
      </c>
      <c r="F423" t="s">
        <v>5</v>
      </c>
      <c r="G423" t="s">
        <v>6</v>
      </c>
      <c r="H423" t="s">
        <v>35</v>
      </c>
      <c r="I423" t="s">
        <v>36</v>
      </c>
      <c r="J423" t="s">
        <v>9</v>
      </c>
      <c r="K423" t="s">
        <v>203</v>
      </c>
      <c r="L423" t="s">
        <v>214</v>
      </c>
      <c r="M423" t="s">
        <v>12</v>
      </c>
      <c r="N423" s="2">
        <v>0</v>
      </c>
      <c r="O423" s="2">
        <v>0</v>
      </c>
      <c r="P423" s="2">
        <v>19.739999999999998</v>
      </c>
      <c r="Q423" s="2">
        <v>19.739999999999998</v>
      </c>
      <c r="R423" s="2">
        <v>0</v>
      </c>
      <c r="S423" s="2">
        <v>0</v>
      </c>
      <c r="T423" s="2">
        <v>0</v>
      </c>
      <c r="U423" s="2">
        <v>19.739999999999998</v>
      </c>
      <c r="V423" s="2">
        <v>19.739999999999998</v>
      </c>
      <c r="W423" s="2">
        <v>19.739999999999998</v>
      </c>
    </row>
    <row r="424" spans="1:23" outlineLevel="2" x14ac:dyDescent="0.2">
      <c r="A424" t="s">
        <v>0</v>
      </c>
      <c r="B424" t="s">
        <v>31</v>
      </c>
      <c r="C424" t="s">
        <v>79</v>
      </c>
      <c r="D424" t="s">
        <v>113</v>
      </c>
      <c r="E424" t="s">
        <v>114</v>
      </c>
      <c r="F424" t="s">
        <v>5</v>
      </c>
      <c r="G424" t="s">
        <v>6</v>
      </c>
      <c r="H424" t="s">
        <v>35</v>
      </c>
      <c r="I424" t="s">
        <v>36</v>
      </c>
      <c r="J424" t="s">
        <v>9</v>
      </c>
      <c r="K424" t="s">
        <v>203</v>
      </c>
      <c r="L424" t="s">
        <v>204</v>
      </c>
      <c r="M424" t="s">
        <v>12</v>
      </c>
      <c r="N424" s="2">
        <v>0</v>
      </c>
      <c r="O424" s="2">
        <v>60</v>
      </c>
      <c r="P424" s="2">
        <v>24.94</v>
      </c>
      <c r="Q424" s="2">
        <v>84.94</v>
      </c>
      <c r="R424" s="2">
        <v>0</v>
      </c>
      <c r="S424" s="2">
        <v>38</v>
      </c>
      <c r="T424" s="2">
        <v>38</v>
      </c>
      <c r="U424" s="2">
        <v>46.94</v>
      </c>
      <c r="V424" s="2">
        <v>46.94</v>
      </c>
      <c r="W424" s="2">
        <v>46.94</v>
      </c>
    </row>
    <row r="425" spans="1:23" outlineLevel="2" x14ac:dyDescent="0.2">
      <c r="A425" t="s">
        <v>0</v>
      </c>
      <c r="B425" t="s">
        <v>31</v>
      </c>
      <c r="C425" t="s">
        <v>79</v>
      </c>
      <c r="D425" t="s">
        <v>111</v>
      </c>
      <c r="E425" t="s">
        <v>112</v>
      </c>
      <c r="F425" t="s">
        <v>5</v>
      </c>
      <c r="G425" t="s">
        <v>6</v>
      </c>
      <c r="H425" t="s">
        <v>35</v>
      </c>
      <c r="I425" t="s">
        <v>36</v>
      </c>
      <c r="J425" t="s">
        <v>9</v>
      </c>
      <c r="K425" t="s">
        <v>203</v>
      </c>
      <c r="L425" t="s">
        <v>204</v>
      </c>
      <c r="M425" t="s">
        <v>12</v>
      </c>
      <c r="N425" s="2">
        <v>0</v>
      </c>
      <c r="O425" s="2">
        <v>0</v>
      </c>
      <c r="P425" s="2">
        <v>19.739999999999998</v>
      </c>
      <c r="Q425" s="2">
        <v>19.739999999999998</v>
      </c>
      <c r="R425" s="2">
        <v>0</v>
      </c>
      <c r="S425" s="2">
        <v>9.5</v>
      </c>
      <c r="T425" s="2">
        <v>9.5</v>
      </c>
      <c r="U425" s="2">
        <v>10.24</v>
      </c>
      <c r="V425" s="2">
        <v>10.24</v>
      </c>
      <c r="W425" s="2">
        <v>10.24</v>
      </c>
    </row>
    <row r="426" spans="1:23" outlineLevel="2" x14ac:dyDescent="0.2">
      <c r="A426" t="s">
        <v>0</v>
      </c>
      <c r="B426" t="s">
        <v>1</v>
      </c>
      <c r="C426" t="s">
        <v>91</v>
      </c>
      <c r="D426" t="s">
        <v>92</v>
      </c>
      <c r="E426" t="s">
        <v>93</v>
      </c>
      <c r="F426" t="s">
        <v>5</v>
      </c>
      <c r="G426" t="s">
        <v>6</v>
      </c>
      <c r="H426" t="s">
        <v>35</v>
      </c>
      <c r="I426" t="s">
        <v>36</v>
      </c>
      <c r="J426" t="s">
        <v>9</v>
      </c>
      <c r="K426" t="s">
        <v>203</v>
      </c>
      <c r="L426" t="s">
        <v>215</v>
      </c>
      <c r="M426" t="s">
        <v>12</v>
      </c>
      <c r="N426" s="2">
        <v>0</v>
      </c>
      <c r="O426" s="2">
        <v>0</v>
      </c>
      <c r="P426" s="2">
        <v>372</v>
      </c>
      <c r="Q426" s="2">
        <v>372</v>
      </c>
      <c r="R426" s="2">
        <v>0</v>
      </c>
      <c r="S426" s="2">
        <v>9.5</v>
      </c>
      <c r="T426" s="2">
        <v>9.5</v>
      </c>
      <c r="U426" s="2">
        <v>362.5</v>
      </c>
      <c r="V426" s="2">
        <v>362.5</v>
      </c>
      <c r="W426" s="2">
        <v>362.5</v>
      </c>
    </row>
    <row r="427" spans="1:23" outlineLevel="2" x14ac:dyDescent="0.2">
      <c r="A427" t="s">
        <v>0</v>
      </c>
      <c r="B427" t="s">
        <v>39</v>
      </c>
      <c r="C427" t="s">
        <v>95</v>
      </c>
      <c r="D427" t="s">
        <v>96</v>
      </c>
      <c r="E427" t="s">
        <v>97</v>
      </c>
      <c r="F427" t="s">
        <v>5</v>
      </c>
      <c r="G427" t="s">
        <v>6</v>
      </c>
      <c r="H427" t="s">
        <v>35</v>
      </c>
      <c r="I427" t="s">
        <v>36</v>
      </c>
      <c r="J427" t="s">
        <v>9</v>
      </c>
      <c r="K427" t="s">
        <v>203</v>
      </c>
      <c r="L427" t="s">
        <v>212</v>
      </c>
      <c r="M427" t="s">
        <v>12</v>
      </c>
      <c r="N427" s="2">
        <v>0</v>
      </c>
      <c r="O427" s="2">
        <v>0</v>
      </c>
      <c r="P427" s="2">
        <v>37.51</v>
      </c>
      <c r="Q427" s="2">
        <v>37.51</v>
      </c>
      <c r="R427" s="2">
        <v>0</v>
      </c>
      <c r="S427" s="2">
        <v>9.5</v>
      </c>
      <c r="T427" s="2">
        <v>9.5</v>
      </c>
      <c r="U427" s="2">
        <v>28.01</v>
      </c>
      <c r="V427" s="2">
        <v>28.01</v>
      </c>
      <c r="W427" s="2">
        <v>28.01</v>
      </c>
    </row>
    <row r="428" spans="1:23" outlineLevel="2" x14ac:dyDescent="0.2">
      <c r="A428" t="s">
        <v>0</v>
      </c>
      <c r="B428" t="s">
        <v>1</v>
      </c>
      <c r="C428" t="s">
        <v>99</v>
      </c>
      <c r="D428" t="s">
        <v>100</v>
      </c>
      <c r="E428" t="s">
        <v>101</v>
      </c>
      <c r="F428" t="s">
        <v>5</v>
      </c>
      <c r="G428" t="s">
        <v>6</v>
      </c>
      <c r="H428" t="s">
        <v>35</v>
      </c>
      <c r="I428" t="s">
        <v>36</v>
      </c>
      <c r="J428" t="s">
        <v>9</v>
      </c>
      <c r="K428" t="s">
        <v>203</v>
      </c>
      <c r="L428" t="s">
        <v>216</v>
      </c>
      <c r="M428" t="s">
        <v>12</v>
      </c>
      <c r="N428" s="2">
        <v>0</v>
      </c>
      <c r="O428" s="2">
        <v>0</v>
      </c>
      <c r="P428" s="2">
        <v>109.36</v>
      </c>
      <c r="Q428" s="2">
        <v>109.36</v>
      </c>
      <c r="R428" s="2">
        <v>0</v>
      </c>
      <c r="S428" s="2">
        <v>28.5</v>
      </c>
      <c r="T428" s="2">
        <v>28.5</v>
      </c>
      <c r="U428" s="2">
        <v>80.86</v>
      </c>
      <c r="V428" s="2">
        <v>80.86</v>
      </c>
      <c r="W428" s="2">
        <v>80.86</v>
      </c>
    </row>
    <row r="429" spans="1:23" outlineLevel="2" x14ac:dyDescent="0.2">
      <c r="A429" t="s">
        <v>0</v>
      </c>
      <c r="B429" t="s">
        <v>31</v>
      </c>
      <c r="C429" t="s">
        <v>107</v>
      </c>
      <c r="D429" t="s">
        <v>108</v>
      </c>
      <c r="E429" t="s">
        <v>109</v>
      </c>
      <c r="F429" t="s">
        <v>5</v>
      </c>
      <c r="G429" t="s">
        <v>6</v>
      </c>
      <c r="H429" t="s">
        <v>35</v>
      </c>
      <c r="I429" t="s">
        <v>36</v>
      </c>
      <c r="J429" t="s">
        <v>9</v>
      </c>
      <c r="K429" t="s">
        <v>203</v>
      </c>
      <c r="L429" t="s">
        <v>218</v>
      </c>
      <c r="M429" t="s">
        <v>12</v>
      </c>
      <c r="N429" s="2">
        <v>0</v>
      </c>
      <c r="O429" s="2">
        <v>0</v>
      </c>
      <c r="P429" s="2">
        <v>128.38999999999999</v>
      </c>
      <c r="Q429" s="2">
        <v>128.38999999999999</v>
      </c>
      <c r="R429" s="2">
        <v>0</v>
      </c>
      <c r="S429" s="2">
        <v>57</v>
      </c>
      <c r="T429" s="2">
        <v>57</v>
      </c>
      <c r="U429" s="2">
        <v>71.39</v>
      </c>
      <c r="V429" s="2">
        <v>71.39</v>
      </c>
      <c r="W429" s="2">
        <v>71.39</v>
      </c>
    </row>
    <row r="430" spans="1:23" outlineLevel="2" x14ac:dyDescent="0.2">
      <c r="A430" t="s">
        <v>0</v>
      </c>
      <c r="B430" t="s">
        <v>31</v>
      </c>
      <c r="C430" t="s">
        <v>79</v>
      </c>
      <c r="D430" t="s">
        <v>117</v>
      </c>
      <c r="E430" t="s">
        <v>118</v>
      </c>
      <c r="F430" t="s">
        <v>5</v>
      </c>
      <c r="G430" t="s">
        <v>6</v>
      </c>
      <c r="H430" t="s">
        <v>35</v>
      </c>
      <c r="I430" t="s">
        <v>36</v>
      </c>
      <c r="J430" t="s">
        <v>9</v>
      </c>
      <c r="K430" t="s">
        <v>203</v>
      </c>
      <c r="L430" t="s">
        <v>204</v>
      </c>
      <c r="M430" t="s">
        <v>12</v>
      </c>
      <c r="N430" s="2">
        <v>0</v>
      </c>
      <c r="O430" s="2">
        <v>0</v>
      </c>
      <c r="P430" s="2">
        <v>442.89</v>
      </c>
      <c r="Q430" s="2">
        <v>442.89</v>
      </c>
      <c r="R430" s="2">
        <v>0</v>
      </c>
      <c r="S430" s="2">
        <v>76</v>
      </c>
      <c r="T430" s="2">
        <v>76</v>
      </c>
      <c r="U430" s="2">
        <v>366.89</v>
      </c>
      <c r="V430" s="2">
        <v>366.89</v>
      </c>
      <c r="W430" s="2">
        <v>366.89</v>
      </c>
    </row>
    <row r="431" spans="1:23" outlineLevel="2" x14ac:dyDescent="0.2">
      <c r="A431" t="s">
        <v>0</v>
      </c>
      <c r="B431" t="s">
        <v>31</v>
      </c>
      <c r="C431" t="s">
        <v>79</v>
      </c>
      <c r="D431" t="s">
        <v>127</v>
      </c>
      <c r="E431" t="s">
        <v>128</v>
      </c>
      <c r="F431" t="s">
        <v>5</v>
      </c>
      <c r="G431" t="s">
        <v>6</v>
      </c>
      <c r="H431" t="s">
        <v>35</v>
      </c>
      <c r="I431" t="s">
        <v>36</v>
      </c>
      <c r="J431" t="s">
        <v>9</v>
      </c>
      <c r="K431" t="s">
        <v>203</v>
      </c>
      <c r="L431" t="s">
        <v>204</v>
      </c>
      <c r="M431" t="s">
        <v>12</v>
      </c>
      <c r="N431" s="2">
        <v>0</v>
      </c>
      <c r="O431" s="2">
        <v>0</v>
      </c>
      <c r="P431" s="2">
        <v>78.94</v>
      </c>
      <c r="Q431" s="2">
        <v>78.94</v>
      </c>
      <c r="R431" s="2">
        <v>0</v>
      </c>
      <c r="S431" s="2">
        <v>28.5</v>
      </c>
      <c r="T431" s="2">
        <v>28.5</v>
      </c>
      <c r="U431" s="2">
        <v>50.44</v>
      </c>
      <c r="V431" s="2">
        <v>50.44</v>
      </c>
      <c r="W431" s="2">
        <v>50.44</v>
      </c>
    </row>
    <row r="432" spans="1:23" outlineLevel="2" x14ac:dyDescent="0.2">
      <c r="A432" t="s">
        <v>0</v>
      </c>
      <c r="B432" t="s">
        <v>31</v>
      </c>
      <c r="C432" t="s">
        <v>79</v>
      </c>
      <c r="D432" t="s">
        <v>131</v>
      </c>
      <c r="E432" t="s">
        <v>132</v>
      </c>
      <c r="F432" t="s">
        <v>5</v>
      </c>
      <c r="G432" t="s">
        <v>6</v>
      </c>
      <c r="H432" t="s">
        <v>35</v>
      </c>
      <c r="I432" t="s">
        <v>36</v>
      </c>
      <c r="J432" t="s">
        <v>9</v>
      </c>
      <c r="K432" t="s">
        <v>203</v>
      </c>
      <c r="L432" t="s">
        <v>204</v>
      </c>
      <c r="M432" t="s">
        <v>12</v>
      </c>
      <c r="N432" s="2">
        <v>0</v>
      </c>
      <c r="O432" s="2">
        <v>0</v>
      </c>
      <c r="P432" s="2">
        <v>258.44</v>
      </c>
      <c r="Q432" s="2">
        <v>258.44</v>
      </c>
      <c r="R432" s="2">
        <v>0</v>
      </c>
      <c r="S432" s="2">
        <v>38</v>
      </c>
      <c r="T432" s="2">
        <v>38</v>
      </c>
      <c r="U432" s="2">
        <v>220.44</v>
      </c>
      <c r="V432" s="2">
        <v>220.44</v>
      </c>
      <c r="W432" s="2">
        <v>220.44</v>
      </c>
    </row>
    <row r="433" spans="1:23" outlineLevel="2" x14ac:dyDescent="0.2">
      <c r="A433" t="s">
        <v>0</v>
      </c>
      <c r="B433" t="s">
        <v>31</v>
      </c>
      <c r="C433" t="s">
        <v>79</v>
      </c>
      <c r="D433" t="s">
        <v>133</v>
      </c>
      <c r="E433" t="s">
        <v>134</v>
      </c>
      <c r="F433" t="s">
        <v>5</v>
      </c>
      <c r="G433" t="s">
        <v>6</v>
      </c>
      <c r="H433" t="s">
        <v>35</v>
      </c>
      <c r="I433" t="s">
        <v>36</v>
      </c>
      <c r="J433" t="s">
        <v>9</v>
      </c>
      <c r="K433" t="s">
        <v>203</v>
      </c>
      <c r="L433" t="s">
        <v>204</v>
      </c>
      <c r="M433" t="s">
        <v>12</v>
      </c>
      <c r="N433" s="2">
        <v>0</v>
      </c>
      <c r="O433" s="2">
        <v>0</v>
      </c>
      <c r="P433" s="2">
        <v>442.65</v>
      </c>
      <c r="Q433" s="2">
        <v>442.65</v>
      </c>
      <c r="R433" s="2">
        <v>0</v>
      </c>
      <c r="S433" s="2">
        <v>66.5</v>
      </c>
      <c r="T433" s="2">
        <v>66.5</v>
      </c>
      <c r="U433" s="2">
        <v>376.15</v>
      </c>
      <c r="V433" s="2">
        <v>376.15</v>
      </c>
      <c r="W433" s="2">
        <v>376.15</v>
      </c>
    </row>
    <row r="434" spans="1:23" outlineLevel="2" x14ac:dyDescent="0.2">
      <c r="A434" t="s">
        <v>0</v>
      </c>
      <c r="B434" t="s">
        <v>31</v>
      </c>
      <c r="C434" t="s">
        <v>79</v>
      </c>
      <c r="D434" t="s">
        <v>83</v>
      </c>
      <c r="E434" t="s">
        <v>84</v>
      </c>
      <c r="F434" t="s">
        <v>5</v>
      </c>
      <c r="G434" t="s">
        <v>6</v>
      </c>
      <c r="H434" t="s">
        <v>35</v>
      </c>
      <c r="I434" t="s">
        <v>36</v>
      </c>
      <c r="J434" t="s">
        <v>9</v>
      </c>
      <c r="K434" t="s">
        <v>203</v>
      </c>
      <c r="L434" t="s">
        <v>204</v>
      </c>
      <c r="M434" t="s">
        <v>12</v>
      </c>
      <c r="N434" s="2">
        <v>0</v>
      </c>
      <c r="O434" s="2">
        <v>0</v>
      </c>
      <c r="P434" s="2">
        <v>1130.56</v>
      </c>
      <c r="Q434" s="2">
        <v>1130.56</v>
      </c>
      <c r="R434" s="2">
        <v>0</v>
      </c>
      <c r="S434" s="2">
        <v>190</v>
      </c>
      <c r="T434" s="2">
        <v>190</v>
      </c>
      <c r="U434" s="2">
        <v>940.56</v>
      </c>
      <c r="V434" s="2">
        <v>940.56</v>
      </c>
      <c r="W434" s="2">
        <v>940.56</v>
      </c>
    </row>
    <row r="435" spans="1:23" outlineLevel="2" x14ac:dyDescent="0.2">
      <c r="A435" t="s">
        <v>0</v>
      </c>
      <c r="B435" t="s">
        <v>31</v>
      </c>
      <c r="C435" t="s">
        <v>79</v>
      </c>
      <c r="D435" t="s">
        <v>80</v>
      </c>
      <c r="E435" t="s">
        <v>81</v>
      </c>
      <c r="F435" t="s">
        <v>5</v>
      </c>
      <c r="G435" t="s">
        <v>6</v>
      </c>
      <c r="H435" t="s">
        <v>35</v>
      </c>
      <c r="I435" t="s">
        <v>36</v>
      </c>
      <c r="J435" t="s">
        <v>9</v>
      </c>
      <c r="K435" t="s">
        <v>203</v>
      </c>
      <c r="L435" t="s">
        <v>204</v>
      </c>
      <c r="M435" t="s">
        <v>12</v>
      </c>
      <c r="N435" s="2">
        <v>0</v>
      </c>
      <c r="O435" s="2">
        <v>0</v>
      </c>
      <c r="P435" s="2">
        <v>39.47</v>
      </c>
      <c r="Q435" s="2">
        <v>39.47</v>
      </c>
      <c r="R435" s="2">
        <v>0</v>
      </c>
      <c r="S435" s="2">
        <v>19</v>
      </c>
      <c r="T435" s="2">
        <v>19</v>
      </c>
      <c r="U435" s="2">
        <v>20.47</v>
      </c>
      <c r="V435" s="2">
        <v>20.47</v>
      </c>
      <c r="W435" s="2">
        <v>20.47</v>
      </c>
    </row>
    <row r="436" spans="1:23" outlineLevel="2" x14ac:dyDescent="0.2">
      <c r="A436" t="s">
        <v>0</v>
      </c>
      <c r="B436" t="s">
        <v>39</v>
      </c>
      <c r="C436" t="s">
        <v>70</v>
      </c>
      <c r="D436" t="s">
        <v>71</v>
      </c>
      <c r="E436" t="s">
        <v>72</v>
      </c>
      <c r="F436" t="s">
        <v>5</v>
      </c>
      <c r="G436" t="s">
        <v>6</v>
      </c>
      <c r="H436" t="s">
        <v>35</v>
      </c>
      <c r="I436" t="s">
        <v>36</v>
      </c>
      <c r="J436" t="s">
        <v>9</v>
      </c>
      <c r="K436" t="s">
        <v>203</v>
      </c>
      <c r="L436" t="s">
        <v>207</v>
      </c>
      <c r="M436" t="s">
        <v>15</v>
      </c>
      <c r="N436" s="2">
        <v>2244</v>
      </c>
      <c r="O436" s="2">
        <v>0</v>
      </c>
      <c r="P436" s="2">
        <v>-1419.5</v>
      </c>
      <c r="Q436" s="2">
        <v>824.5</v>
      </c>
      <c r="R436" s="2">
        <v>0</v>
      </c>
      <c r="S436" s="2">
        <v>824.5</v>
      </c>
      <c r="T436" s="2">
        <v>824.5</v>
      </c>
      <c r="U436" s="2">
        <v>0</v>
      </c>
      <c r="V436" s="2">
        <v>0</v>
      </c>
      <c r="W436" s="2">
        <v>0</v>
      </c>
    </row>
    <row r="437" spans="1:23" outlineLevel="2" x14ac:dyDescent="0.2">
      <c r="A437" t="s">
        <v>0</v>
      </c>
      <c r="B437" t="s">
        <v>31</v>
      </c>
      <c r="C437" t="s">
        <v>32</v>
      </c>
      <c r="D437" t="s">
        <v>141</v>
      </c>
      <c r="E437" t="s">
        <v>142</v>
      </c>
      <c r="F437" t="s">
        <v>5</v>
      </c>
      <c r="G437" t="s">
        <v>6</v>
      </c>
      <c r="H437" t="s">
        <v>35</v>
      </c>
      <c r="I437" t="s">
        <v>36</v>
      </c>
      <c r="J437" t="s">
        <v>9</v>
      </c>
      <c r="K437" t="s">
        <v>203</v>
      </c>
      <c r="L437" t="s">
        <v>208</v>
      </c>
      <c r="M437" t="s">
        <v>15</v>
      </c>
      <c r="N437" s="2">
        <v>792</v>
      </c>
      <c r="O437" s="2">
        <v>20</v>
      </c>
      <c r="P437" s="2">
        <v>-406</v>
      </c>
      <c r="Q437" s="2">
        <v>406</v>
      </c>
      <c r="R437" s="2">
        <v>0</v>
      </c>
      <c r="S437" s="2">
        <v>406</v>
      </c>
      <c r="T437" s="2">
        <v>406</v>
      </c>
      <c r="U437" s="2">
        <v>0</v>
      </c>
      <c r="V437" s="2">
        <v>0</v>
      </c>
      <c r="W437" s="2">
        <v>0</v>
      </c>
    </row>
    <row r="438" spans="1:23" outlineLevel="2" x14ac:dyDescent="0.2">
      <c r="A438" t="s">
        <v>0</v>
      </c>
      <c r="B438" t="s">
        <v>31</v>
      </c>
      <c r="C438" t="s">
        <v>79</v>
      </c>
      <c r="D438" t="s">
        <v>83</v>
      </c>
      <c r="E438" t="s">
        <v>84</v>
      </c>
      <c r="F438" t="s">
        <v>5</v>
      </c>
      <c r="G438" t="s">
        <v>6</v>
      </c>
      <c r="H438" t="s">
        <v>35</v>
      </c>
      <c r="I438" t="s">
        <v>36</v>
      </c>
      <c r="J438" t="s">
        <v>9</v>
      </c>
      <c r="K438" t="s">
        <v>203</v>
      </c>
      <c r="L438" t="s">
        <v>204</v>
      </c>
      <c r="M438" t="s">
        <v>15</v>
      </c>
      <c r="N438" s="2">
        <v>3696</v>
      </c>
      <c r="O438" s="2">
        <v>1150</v>
      </c>
      <c r="P438" s="2">
        <v>-3238</v>
      </c>
      <c r="Q438" s="2">
        <v>1608</v>
      </c>
      <c r="R438" s="2">
        <v>0</v>
      </c>
      <c r="S438" s="2">
        <v>1608</v>
      </c>
      <c r="T438" s="2">
        <v>1608</v>
      </c>
      <c r="U438" s="2">
        <v>0</v>
      </c>
      <c r="V438" s="2">
        <v>0</v>
      </c>
      <c r="W438" s="2">
        <v>0</v>
      </c>
    </row>
    <row r="439" spans="1:23" outlineLevel="2" x14ac:dyDescent="0.2">
      <c r="A439" t="s">
        <v>0</v>
      </c>
      <c r="B439" t="s">
        <v>39</v>
      </c>
      <c r="C439" t="s">
        <v>40</v>
      </c>
      <c r="D439" t="s">
        <v>41</v>
      </c>
      <c r="E439" t="s">
        <v>42</v>
      </c>
      <c r="F439" t="s">
        <v>5</v>
      </c>
      <c r="G439" t="s">
        <v>6</v>
      </c>
      <c r="H439" t="s">
        <v>35</v>
      </c>
      <c r="I439" t="s">
        <v>36</v>
      </c>
      <c r="J439" t="s">
        <v>9</v>
      </c>
      <c r="K439" t="s">
        <v>203</v>
      </c>
      <c r="L439" t="s">
        <v>206</v>
      </c>
      <c r="M439" t="s">
        <v>12</v>
      </c>
      <c r="N439" s="2">
        <v>0</v>
      </c>
      <c r="O439" s="2">
        <v>0</v>
      </c>
      <c r="P439" s="2">
        <v>42.99</v>
      </c>
      <c r="Q439" s="2">
        <v>42.99</v>
      </c>
      <c r="R439" s="2">
        <v>0</v>
      </c>
      <c r="S439" s="2">
        <v>19</v>
      </c>
      <c r="T439" s="2">
        <v>19</v>
      </c>
      <c r="U439" s="2">
        <v>23.99</v>
      </c>
      <c r="V439" s="2">
        <v>23.99</v>
      </c>
      <c r="W439" s="2">
        <v>23.99</v>
      </c>
    </row>
    <row r="440" spans="1:23" outlineLevel="2" x14ac:dyDescent="0.2">
      <c r="A440" t="s">
        <v>0</v>
      </c>
      <c r="B440" t="s">
        <v>1</v>
      </c>
      <c r="C440" t="s">
        <v>44</v>
      </c>
      <c r="D440" t="s">
        <v>45</v>
      </c>
      <c r="E440" t="s">
        <v>46</v>
      </c>
      <c r="F440" t="s">
        <v>5</v>
      </c>
      <c r="G440" t="s">
        <v>6</v>
      </c>
      <c r="H440" t="s">
        <v>35</v>
      </c>
      <c r="I440" t="s">
        <v>36</v>
      </c>
      <c r="J440" t="s">
        <v>9</v>
      </c>
      <c r="K440" t="s">
        <v>203</v>
      </c>
      <c r="L440" t="s">
        <v>213</v>
      </c>
      <c r="M440" t="s">
        <v>12</v>
      </c>
      <c r="N440" s="2">
        <v>0</v>
      </c>
      <c r="O440" s="2">
        <v>50</v>
      </c>
      <c r="P440" s="2">
        <v>9.24</v>
      </c>
      <c r="Q440" s="2">
        <v>59.24</v>
      </c>
      <c r="R440" s="2">
        <v>0</v>
      </c>
      <c r="S440" s="2">
        <v>19</v>
      </c>
      <c r="T440" s="2">
        <v>19</v>
      </c>
      <c r="U440" s="2">
        <v>40.24</v>
      </c>
      <c r="V440" s="2">
        <v>40.24</v>
      </c>
      <c r="W440" s="2">
        <v>40.24</v>
      </c>
    </row>
    <row r="441" spans="1:23" outlineLevel="2" x14ac:dyDescent="0.2">
      <c r="A441" t="s">
        <v>0</v>
      </c>
      <c r="B441" t="s">
        <v>31</v>
      </c>
      <c r="C441" t="s">
        <v>32</v>
      </c>
      <c r="D441" t="s">
        <v>141</v>
      </c>
      <c r="E441" t="s">
        <v>142</v>
      </c>
      <c r="F441" t="s">
        <v>5</v>
      </c>
      <c r="G441" t="s">
        <v>6</v>
      </c>
      <c r="H441" t="s">
        <v>35</v>
      </c>
      <c r="I441" t="s">
        <v>36</v>
      </c>
      <c r="J441" t="s">
        <v>9</v>
      </c>
      <c r="K441" t="s">
        <v>203</v>
      </c>
      <c r="L441" t="s">
        <v>208</v>
      </c>
      <c r="M441" t="s">
        <v>12</v>
      </c>
      <c r="N441" s="2">
        <v>0</v>
      </c>
      <c r="O441" s="2">
        <v>0</v>
      </c>
      <c r="P441" s="2">
        <v>406</v>
      </c>
      <c r="Q441" s="2">
        <v>406</v>
      </c>
      <c r="R441" s="2">
        <v>0</v>
      </c>
      <c r="S441" s="2">
        <v>78.5</v>
      </c>
      <c r="T441" s="2">
        <v>78.5</v>
      </c>
      <c r="U441" s="2">
        <v>327.5</v>
      </c>
      <c r="V441" s="2">
        <v>327.5</v>
      </c>
      <c r="W441" s="2">
        <v>327.5</v>
      </c>
    </row>
    <row r="442" spans="1:23" outlineLevel="2" x14ac:dyDescent="0.2">
      <c r="A442" t="s">
        <v>0</v>
      </c>
      <c r="B442" t="s">
        <v>39</v>
      </c>
      <c r="C442" t="s">
        <v>70</v>
      </c>
      <c r="D442" t="s">
        <v>71</v>
      </c>
      <c r="E442" t="s">
        <v>72</v>
      </c>
      <c r="F442" t="s">
        <v>5</v>
      </c>
      <c r="G442" t="s">
        <v>6</v>
      </c>
      <c r="H442" t="s">
        <v>35</v>
      </c>
      <c r="I442" t="s">
        <v>36</v>
      </c>
      <c r="J442" t="s">
        <v>9</v>
      </c>
      <c r="K442" t="s">
        <v>203</v>
      </c>
      <c r="L442" t="s">
        <v>207</v>
      </c>
      <c r="M442" t="s">
        <v>12</v>
      </c>
      <c r="N442" s="2">
        <v>0</v>
      </c>
      <c r="O442" s="2">
        <v>0</v>
      </c>
      <c r="P442" s="2">
        <v>1419.5</v>
      </c>
      <c r="Q442" s="2">
        <v>1419.5</v>
      </c>
      <c r="R442" s="2">
        <v>0</v>
      </c>
      <c r="S442" s="2">
        <v>152</v>
      </c>
      <c r="T442" s="2">
        <v>152</v>
      </c>
      <c r="U442" s="2">
        <v>1267.5</v>
      </c>
      <c r="V442" s="2">
        <v>1267.5</v>
      </c>
      <c r="W442" s="2">
        <v>1267.5</v>
      </c>
    </row>
    <row r="443" spans="1:23" outlineLevel="2" x14ac:dyDescent="0.2">
      <c r="A443" t="s">
        <v>0</v>
      </c>
      <c r="B443" t="s">
        <v>39</v>
      </c>
      <c r="C443" t="s">
        <v>58</v>
      </c>
      <c r="D443" t="s">
        <v>59</v>
      </c>
      <c r="E443" t="s">
        <v>60</v>
      </c>
      <c r="F443" t="s">
        <v>5</v>
      </c>
      <c r="G443" t="s">
        <v>6</v>
      </c>
      <c r="H443" t="s">
        <v>35</v>
      </c>
      <c r="I443" t="s">
        <v>36</v>
      </c>
      <c r="J443" t="s">
        <v>9</v>
      </c>
      <c r="K443" t="s">
        <v>203</v>
      </c>
      <c r="L443" t="s">
        <v>210</v>
      </c>
      <c r="M443" t="s">
        <v>12</v>
      </c>
      <c r="N443" s="2">
        <v>0</v>
      </c>
      <c r="O443" s="2">
        <v>50</v>
      </c>
      <c r="P443" s="2">
        <v>58.65</v>
      </c>
      <c r="Q443" s="2">
        <v>108.65</v>
      </c>
      <c r="R443" s="2">
        <v>0</v>
      </c>
      <c r="S443" s="2">
        <v>47.5</v>
      </c>
      <c r="T443" s="2">
        <v>47.5</v>
      </c>
      <c r="U443" s="2">
        <v>61.15</v>
      </c>
      <c r="V443" s="2">
        <v>61.15</v>
      </c>
      <c r="W443" s="2">
        <v>61.15</v>
      </c>
    </row>
    <row r="444" spans="1:23" outlineLevel="2" x14ac:dyDescent="0.2">
      <c r="A444" t="s">
        <v>0</v>
      </c>
      <c r="B444" t="s">
        <v>31</v>
      </c>
      <c r="C444" t="s">
        <v>107</v>
      </c>
      <c r="D444" t="s">
        <v>108</v>
      </c>
      <c r="E444" t="s">
        <v>109</v>
      </c>
      <c r="F444" t="s">
        <v>5</v>
      </c>
      <c r="G444" t="s">
        <v>6</v>
      </c>
      <c r="H444" t="s">
        <v>35</v>
      </c>
      <c r="I444" t="s">
        <v>36</v>
      </c>
      <c r="J444" t="s">
        <v>9</v>
      </c>
      <c r="K444" t="s">
        <v>203</v>
      </c>
      <c r="L444" t="s">
        <v>218</v>
      </c>
      <c r="M444" t="s">
        <v>15</v>
      </c>
      <c r="N444" s="2">
        <v>1584</v>
      </c>
      <c r="O444" s="2">
        <v>0</v>
      </c>
      <c r="P444" s="2">
        <v>-1138.5</v>
      </c>
      <c r="Q444" s="2">
        <v>445.5</v>
      </c>
      <c r="R444" s="2">
        <v>0</v>
      </c>
      <c r="S444" s="2">
        <v>445.5</v>
      </c>
      <c r="T444" s="2">
        <v>445.5</v>
      </c>
      <c r="U444" s="2">
        <v>0</v>
      </c>
      <c r="V444" s="2">
        <v>0</v>
      </c>
      <c r="W444" s="2">
        <v>0</v>
      </c>
    </row>
    <row r="445" spans="1:23" outlineLevel="2" x14ac:dyDescent="0.2">
      <c r="A445" t="s">
        <v>0</v>
      </c>
      <c r="B445" t="s">
        <v>31</v>
      </c>
      <c r="C445" t="s">
        <v>32</v>
      </c>
      <c r="D445" t="s">
        <v>33</v>
      </c>
      <c r="E445" t="s">
        <v>34</v>
      </c>
      <c r="F445" t="s">
        <v>5</v>
      </c>
      <c r="G445" t="s">
        <v>6</v>
      </c>
      <c r="H445" t="s">
        <v>35</v>
      </c>
      <c r="I445" t="s">
        <v>36</v>
      </c>
      <c r="J445" t="s">
        <v>9</v>
      </c>
      <c r="K445" t="s">
        <v>203</v>
      </c>
      <c r="L445" t="s">
        <v>208</v>
      </c>
      <c r="M445" t="s">
        <v>15</v>
      </c>
      <c r="N445" s="2">
        <v>2640</v>
      </c>
      <c r="O445" s="2">
        <v>100</v>
      </c>
      <c r="P445" s="2">
        <v>-1144</v>
      </c>
      <c r="Q445" s="2">
        <v>1596</v>
      </c>
      <c r="R445" s="2">
        <v>0</v>
      </c>
      <c r="S445" s="2">
        <v>1596</v>
      </c>
      <c r="T445" s="2">
        <v>1596</v>
      </c>
      <c r="U445" s="2">
        <v>0</v>
      </c>
      <c r="V445" s="2">
        <v>0</v>
      </c>
      <c r="W445" s="2">
        <v>0</v>
      </c>
    </row>
    <row r="446" spans="1:23" outlineLevel="2" x14ac:dyDescent="0.2">
      <c r="A446" t="s">
        <v>0</v>
      </c>
      <c r="B446" t="s">
        <v>39</v>
      </c>
      <c r="C446" t="s">
        <v>58</v>
      </c>
      <c r="D446" t="s">
        <v>143</v>
      </c>
      <c r="E446" t="s">
        <v>144</v>
      </c>
      <c r="F446" t="s">
        <v>5</v>
      </c>
      <c r="G446" t="s">
        <v>6</v>
      </c>
      <c r="H446" t="s">
        <v>35</v>
      </c>
      <c r="I446" t="s">
        <v>36</v>
      </c>
      <c r="J446" t="s">
        <v>9</v>
      </c>
      <c r="K446" t="s">
        <v>203</v>
      </c>
      <c r="L446" t="s">
        <v>210</v>
      </c>
      <c r="M446" t="s">
        <v>12</v>
      </c>
      <c r="N446" s="2">
        <v>0</v>
      </c>
      <c r="O446" s="2">
        <v>120</v>
      </c>
      <c r="P446" s="2">
        <v>118.12</v>
      </c>
      <c r="Q446" s="2">
        <v>238.12</v>
      </c>
      <c r="R446" s="2">
        <v>0</v>
      </c>
      <c r="S446" s="2">
        <v>115.5</v>
      </c>
      <c r="T446" s="2">
        <v>115.5</v>
      </c>
      <c r="U446" s="2">
        <v>122.62</v>
      </c>
      <c r="V446" s="2">
        <v>122.62</v>
      </c>
      <c r="W446" s="2">
        <v>122.62</v>
      </c>
    </row>
    <row r="447" spans="1:23" outlineLevel="2" x14ac:dyDescent="0.2">
      <c r="A447" t="s">
        <v>0</v>
      </c>
      <c r="B447" t="s">
        <v>39</v>
      </c>
      <c r="C447" t="s">
        <v>58</v>
      </c>
      <c r="D447" t="s">
        <v>139</v>
      </c>
      <c r="E447" t="s">
        <v>140</v>
      </c>
      <c r="F447" t="s">
        <v>5</v>
      </c>
      <c r="G447" t="s">
        <v>6</v>
      </c>
      <c r="H447" t="s">
        <v>35</v>
      </c>
      <c r="I447" t="s">
        <v>36</v>
      </c>
      <c r="J447" t="s">
        <v>9</v>
      </c>
      <c r="K447" t="s">
        <v>203</v>
      </c>
      <c r="L447" t="s">
        <v>210</v>
      </c>
      <c r="M447" t="s">
        <v>12</v>
      </c>
      <c r="N447" s="2">
        <v>0</v>
      </c>
      <c r="O447" s="2">
        <v>100</v>
      </c>
      <c r="P447" s="2">
        <v>74.06</v>
      </c>
      <c r="Q447" s="2">
        <v>174.06</v>
      </c>
      <c r="R447" s="2">
        <v>0</v>
      </c>
      <c r="S447" s="2">
        <v>76</v>
      </c>
      <c r="T447" s="2">
        <v>76</v>
      </c>
      <c r="U447" s="2">
        <v>98.06</v>
      </c>
      <c r="V447" s="2">
        <v>98.06</v>
      </c>
      <c r="W447" s="2">
        <v>98.06</v>
      </c>
    </row>
    <row r="448" spans="1:23" outlineLevel="2" x14ac:dyDescent="0.2">
      <c r="A448" t="s">
        <v>0</v>
      </c>
      <c r="B448" t="s">
        <v>39</v>
      </c>
      <c r="C448" t="s">
        <v>58</v>
      </c>
      <c r="D448" t="s">
        <v>149</v>
      </c>
      <c r="E448" t="s">
        <v>150</v>
      </c>
      <c r="F448" t="s">
        <v>5</v>
      </c>
      <c r="G448" t="s">
        <v>6</v>
      </c>
      <c r="H448" t="s">
        <v>35</v>
      </c>
      <c r="I448" t="s">
        <v>36</v>
      </c>
      <c r="J448" t="s">
        <v>9</v>
      </c>
      <c r="K448" t="s">
        <v>203</v>
      </c>
      <c r="L448" t="s">
        <v>210</v>
      </c>
      <c r="M448" t="s">
        <v>12</v>
      </c>
      <c r="N448" s="2">
        <v>0</v>
      </c>
      <c r="O448" s="2">
        <v>0</v>
      </c>
      <c r="P448" s="2">
        <v>2015.49</v>
      </c>
      <c r="Q448" s="2">
        <v>2015.49</v>
      </c>
      <c r="R448" s="2">
        <v>0</v>
      </c>
      <c r="S448" s="2">
        <v>352.5</v>
      </c>
      <c r="T448" s="2">
        <v>352.5</v>
      </c>
      <c r="U448" s="2">
        <v>1662.99</v>
      </c>
      <c r="V448" s="2">
        <v>1662.99</v>
      </c>
      <c r="W448" s="2">
        <v>1662.99</v>
      </c>
    </row>
    <row r="449" spans="1:23" outlineLevel="2" x14ac:dyDescent="0.2">
      <c r="A449" t="s">
        <v>0</v>
      </c>
      <c r="B449" t="s">
        <v>31</v>
      </c>
      <c r="C449" t="s">
        <v>32</v>
      </c>
      <c r="D449" t="s">
        <v>75</v>
      </c>
      <c r="E449" t="s">
        <v>76</v>
      </c>
      <c r="F449" t="s">
        <v>5</v>
      </c>
      <c r="G449" t="s">
        <v>6</v>
      </c>
      <c r="H449" t="s">
        <v>35</v>
      </c>
      <c r="I449" t="s">
        <v>36</v>
      </c>
      <c r="J449" t="s">
        <v>9</v>
      </c>
      <c r="K449" t="s">
        <v>203</v>
      </c>
      <c r="L449" t="s">
        <v>208</v>
      </c>
      <c r="M449" t="s">
        <v>15</v>
      </c>
      <c r="N449" s="2">
        <v>2376</v>
      </c>
      <c r="O449" s="2">
        <v>320</v>
      </c>
      <c r="P449" s="2">
        <v>-1809.5</v>
      </c>
      <c r="Q449" s="2">
        <v>886.5</v>
      </c>
      <c r="R449" s="2">
        <v>0</v>
      </c>
      <c r="S449" s="2">
        <v>886.5</v>
      </c>
      <c r="T449" s="2">
        <v>886.5</v>
      </c>
      <c r="U449" s="2">
        <v>0</v>
      </c>
      <c r="V449" s="2">
        <v>0</v>
      </c>
      <c r="W449" s="2">
        <v>0</v>
      </c>
    </row>
    <row r="450" spans="1:23" outlineLevel="2" x14ac:dyDescent="0.2">
      <c r="A450" t="s">
        <v>0</v>
      </c>
      <c r="B450" t="s">
        <v>31</v>
      </c>
      <c r="C450" t="s">
        <v>32</v>
      </c>
      <c r="D450" t="s">
        <v>123</v>
      </c>
      <c r="E450" t="s">
        <v>124</v>
      </c>
      <c r="F450" t="s">
        <v>5</v>
      </c>
      <c r="G450" t="s">
        <v>6</v>
      </c>
      <c r="H450" t="s">
        <v>35</v>
      </c>
      <c r="I450" t="s">
        <v>36</v>
      </c>
      <c r="J450" t="s">
        <v>9</v>
      </c>
      <c r="K450" t="s">
        <v>203</v>
      </c>
      <c r="L450" t="s">
        <v>208</v>
      </c>
      <c r="M450" t="s">
        <v>15</v>
      </c>
      <c r="N450" s="2">
        <v>1584</v>
      </c>
      <c r="O450" s="2">
        <v>222</v>
      </c>
      <c r="P450" s="2">
        <v>-1095.5</v>
      </c>
      <c r="Q450" s="2">
        <v>710.5</v>
      </c>
      <c r="R450" s="2">
        <v>0</v>
      </c>
      <c r="S450" s="2">
        <v>710.5</v>
      </c>
      <c r="T450" s="2">
        <v>710.5</v>
      </c>
      <c r="U450" s="2">
        <v>0</v>
      </c>
      <c r="V450" s="2">
        <v>0</v>
      </c>
      <c r="W450" s="2">
        <v>0</v>
      </c>
    </row>
    <row r="451" spans="1:23" outlineLevel="2" x14ac:dyDescent="0.2">
      <c r="A451" t="s">
        <v>0</v>
      </c>
      <c r="B451" t="s">
        <v>31</v>
      </c>
      <c r="C451" t="s">
        <v>79</v>
      </c>
      <c r="D451" t="s">
        <v>125</v>
      </c>
      <c r="E451" t="s">
        <v>126</v>
      </c>
      <c r="F451" t="s">
        <v>5</v>
      </c>
      <c r="G451" t="s">
        <v>6</v>
      </c>
      <c r="H451" t="s">
        <v>35</v>
      </c>
      <c r="I451" t="s">
        <v>36</v>
      </c>
      <c r="J451" t="s">
        <v>9</v>
      </c>
      <c r="K451" t="s">
        <v>203</v>
      </c>
      <c r="L451" t="s">
        <v>204</v>
      </c>
      <c r="M451" t="s">
        <v>15</v>
      </c>
      <c r="N451" s="2">
        <v>396</v>
      </c>
      <c r="O451" s="2">
        <v>45</v>
      </c>
      <c r="P451" s="2">
        <v>-295</v>
      </c>
      <c r="Q451" s="2">
        <v>146</v>
      </c>
      <c r="R451" s="2">
        <v>0</v>
      </c>
      <c r="S451" s="2">
        <v>146</v>
      </c>
      <c r="T451" s="2">
        <v>146</v>
      </c>
      <c r="U451" s="2">
        <v>0</v>
      </c>
      <c r="V451" s="2">
        <v>0</v>
      </c>
      <c r="W451" s="2">
        <v>0</v>
      </c>
    </row>
    <row r="452" spans="1:23" outlineLevel="2" x14ac:dyDescent="0.2">
      <c r="A452" t="s">
        <v>0</v>
      </c>
      <c r="B452" t="s">
        <v>39</v>
      </c>
      <c r="C452" t="s">
        <v>70</v>
      </c>
      <c r="D452" t="s">
        <v>89</v>
      </c>
      <c r="E452" t="s">
        <v>90</v>
      </c>
      <c r="F452" t="s">
        <v>5</v>
      </c>
      <c r="G452" t="s">
        <v>6</v>
      </c>
      <c r="H452" t="s">
        <v>35</v>
      </c>
      <c r="I452" t="s">
        <v>36</v>
      </c>
      <c r="J452" t="s">
        <v>9</v>
      </c>
      <c r="K452" t="s">
        <v>203</v>
      </c>
      <c r="L452" t="s">
        <v>207</v>
      </c>
      <c r="M452" t="s">
        <v>15</v>
      </c>
      <c r="N452" s="2">
        <v>660</v>
      </c>
      <c r="O452" s="2">
        <v>0</v>
      </c>
      <c r="P452" s="2">
        <v>-152</v>
      </c>
      <c r="Q452" s="2">
        <v>508</v>
      </c>
      <c r="R452" s="2">
        <v>0</v>
      </c>
      <c r="S452" s="2">
        <v>508</v>
      </c>
      <c r="T452" s="2">
        <v>508</v>
      </c>
      <c r="U452" s="2">
        <v>0</v>
      </c>
      <c r="V452" s="2">
        <v>0</v>
      </c>
      <c r="W452" s="2">
        <v>0</v>
      </c>
    </row>
    <row r="453" spans="1:23" outlineLevel="2" x14ac:dyDescent="0.2">
      <c r="A453" t="s">
        <v>0</v>
      </c>
      <c r="B453" t="s">
        <v>31</v>
      </c>
      <c r="C453" t="s">
        <v>79</v>
      </c>
      <c r="D453" t="s">
        <v>115</v>
      </c>
      <c r="E453" t="s">
        <v>116</v>
      </c>
      <c r="F453" t="s">
        <v>5</v>
      </c>
      <c r="G453" t="s">
        <v>6</v>
      </c>
      <c r="H453" t="s">
        <v>35</v>
      </c>
      <c r="I453" t="s">
        <v>36</v>
      </c>
      <c r="J453" t="s">
        <v>9</v>
      </c>
      <c r="K453" t="s">
        <v>203</v>
      </c>
      <c r="L453" t="s">
        <v>204</v>
      </c>
      <c r="M453" t="s">
        <v>15</v>
      </c>
      <c r="N453" s="2">
        <v>264</v>
      </c>
      <c r="O453" s="2">
        <v>0</v>
      </c>
      <c r="P453" s="2">
        <v>-160</v>
      </c>
      <c r="Q453" s="2">
        <v>104</v>
      </c>
      <c r="R453" s="2">
        <v>0</v>
      </c>
      <c r="S453" s="2">
        <v>104</v>
      </c>
      <c r="T453" s="2">
        <v>104</v>
      </c>
      <c r="U453" s="2">
        <v>0</v>
      </c>
      <c r="V453" s="2">
        <v>0</v>
      </c>
      <c r="W453" s="2">
        <v>0</v>
      </c>
    </row>
    <row r="454" spans="1:23" outlineLevel="2" x14ac:dyDescent="0.2">
      <c r="A454" t="s">
        <v>0</v>
      </c>
      <c r="B454" t="s">
        <v>39</v>
      </c>
      <c r="C454" t="s">
        <v>58</v>
      </c>
      <c r="D454" t="s">
        <v>145</v>
      </c>
      <c r="E454" t="s">
        <v>146</v>
      </c>
      <c r="F454" t="s">
        <v>5</v>
      </c>
      <c r="G454" t="s">
        <v>6</v>
      </c>
      <c r="H454" t="s">
        <v>35</v>
      </c>
      <c r="I454" t="s">
        <v>36</v>
      </c>
      <c r="J454" t="s">
        <v>9</v>
      </c>
      <c r="K454" t="s">
        <v>203</v>
      </c>
      <c r="L454" t="s">
        <v>210</v>
      </c>
      <c r="M454" t="s">
        <v>12</v>
      </c>
      <c r="N454" s="2">
        <v>0</v>
      </c>
      <c r="O454" s="2">
        <v>60</v>
      </c>
      <c r="P454" s="2">
        <v>82.37</v>
      </c>
      <c r="Q454" s="2">
        <v>142.37</v>
      </c>
      <c r="R454" s="2">
        <v>0</v>
      </c>
      <c r="S454" s="2">
        <v>66.5</v>
      </c>
      <c r="T454" s="2">
        <v>66.5</v>
      </c>
      <c r="U454" s="2">
        <v>75.87</v>
      </c>
      <c r="V454" s="2">
        <v>75.87</v>
      </c>
      <c r="W454" s="2">
        <v>75.87</v>
      </c>
    </row>
    <row r="455" spans="1:23" outlineLevel="2" x14ac:dyDescent="0.2">
      <c r="A455" t="s">
        <v>0</v>
      </c>
      <c r="B455" t="s">
        <v>31</v>
      </c>
      <c r="C455" t="s">
        <v>79</v>
      </c>
      <c r="D455" t="s">
        <v>113</v>
      </c>
      <c r="E455" t="s">
        <v>114</v>
      </c>
      <c r="F455" t="s">
        <v>5</v>
      </c>
      <c r="G455" t="s">
        <v>6</v>
      </c>
      <c r="H455" t="s">
        <v>35</v>
      </c>
      <c r="I455" t="s">
        <v>36</v>
      </c>
      <c r="J455" t="s">
        <v>9</v>
      </c>
      <c r="K455" t="s">
        <v>203</v>
      </c>
      <c r="L455" t="s">
        <v>204</v>
      </c>
      <c r="M455" t="s">
        <v>15</v>
      </c>
      <c r="N455" s="2">
        <v>528</v>
      </c>
      <c r="O455" s="2">
        <v>0</v>
      </c>
      <c r="P455" s="2">
        <v>-266</v>
      </c>
      <c r="Q455" s="2">
        <v>262</v>
      </c>
      <c r="R455" s="2">
        <v>0</v>
      </c>
      <c r="S455" s="2">
        <v>262</v>
      </c>
      <c r="T455" s="2">
        <v>262</v>
      </c>
      <c r="U455" s="2">
        <v>0</v>
      </c>
      <c r="V455" s="2">
        <v>0</v>
      </c>
      <c r="W455" s="2">
        <v>0</v>
      </c>
    </row>
    <row r="456" spans="1:23" outlineLevel="2" x14ac:dyDescent="0.2">
      <c r="A456" t="s">
        <v>0</v>
      </c>
      <c r="B456" t="s">
        <v>53</v>
      </c>
      <c r="C456" t="s">
        <v>85</v>
      </c>
      <c r="D456" t="s">
        <v>86</v>
      </c>
      <c r="E456" t="s">
        <v>87</v>
      </c>
      <c r="F456" t="s">
        <v>5</v>
      </c>
      <c r="G456" t="s">
        <v>6</v>
      </c>
      <c r="H456" t="s">
        <v>35</v>
      </c>
      <c r="I456" t="s">
        <v>36</v>
      </c>
      <c r="J456" t="s">
        <v>9</v>
      </c>
      <c r="K456" t="s">
        <v>219</v>
      </c>
      <c r="L456" t="s">
        <v>220</v>
      </c>
      <c r="M456" t="s">
        <v>15</v>
      </c>
      <c r="N456" s="2">
        <v>2112</v>
      </c>
      <c r="O456" s="2">
        <v>-2112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</row>
    <row r="457" spans="1:23" outlineLevel="2" x14ac:dyDescent="0.2">
      <c r="A457" t="s">
        <v>0</v>
      </c>
      <c r="B457" t="s">
        <v>31</v>
      </c>
      <c r="C457" t="s">
        <v>79</v>
      </c>
      <c r="D457" t="s">
        <v>117</v>
      </c>
      <c r="E457" t="s">
        <v>118</v>
      </c>
      <c r="F457" t="s">
        <v>5</v>
      </c>
      <c r="G457" t="s">
        <v>6</v>
      </c>
      <c r="H457" t="s">
        <v>35</v>
      </c>
      <c r="I457" t="s">
        <v>36</v>
      </c>
      <c r="J457" t="s">
        <v>9</v>
      </c>
      <c r="K457" t="s">
        <v>219</v>
      </c>
      <c r="L457" t="s">
        <v>221</v>
      </c>
      <c r="M457" t="s">
        <v>15</v>
      </c>
      <c r="N457" s="2">
        <v>14784</v>
      </c>
      <c r="O457" s="2">
        <v>0</v>
      </c>
      <c r="P457" s="2">
        <v>-8636</v>
      </c>
      <c r="Q457" s="2">
        <v>6148</v>
      </c>
      <c r="R457" s="2">
        <v>0</v>
      </c>
      <c r="S457" s="2">
        <v>6148</v>
      </c>
      <c r="T457" s="2">
        <v>6148</v>
      </c>
      <c r="U457" s="2">
        <v>0</v>
      </c>
      <c r="V457" s="2">
        <v>0</v>
      </c>
      <c r="W457" s="2">
        <v>0</v>
      </c>
    </row>
    <row r="458" spans="1:23" outlineLevel="2" x14ac:dyDescent="0.2">
      <c r="A458" t="s">
        <v>0</v>
      </c>
      <c r="B458" t="s">
        <v>39</v>
      </c>
      <c r="C458" t="s">
        <v>70</v>
      </c>
      <c r="D458" t="s">
        <v>71</v>
      </c>
      <c r="E458" t="s">
        <v>72</v>
      </c>
      <c r="F458" t="s">
        <v>5</v>
      </c>
      <c r="G458" t="s">
        <v>6</v>
      </c>
      <c r="H458" t="s">
        <v>35</v>
      </c>
      <c r="I458" t="s">
        <v>36</v>
      </c>
      <c r="J458" t="s">
        <v>9</v>
      </c>
      <c r="K458" t="s">
        <v>219</v>
      </c>
      <c r="L458" t="s">
        <v>222</v>
      </c>
      <c r="M458" t="s">
        <v>12</v>
      </c>
      <c r="N458" s="2">
        <v>0</v>
      </c>
      <c r="O458" s="2">
        <v>0</v>
      </c>
      <c r="P458" s="2">
        <v>6716</v>
      </c>
      <c r="Q458" s="2">
        <v>6716</v>
      </c>
      <c r="R458" s="2">
        <v>0</v>
      </c>
      <c r="S458" s="2">
        <v>1292</v>
      </c>
      <c r="T458" s="2">
        <v>1292</v>
      </c>
      <c r="U458" s="2">
        <v>5424</v>
      </c>
      <c r="V458" s="2">
        <v>5424</v>
      </c>
      <c r="W458" s="2">
        <v>5424</v>
      </c>
    </row>
    <row r="459" spans="1:23" outlineLevel="2" x14ac:dyDescent="0.2">
      <c r="A459" t="s">
        <v>0</v>
      </c>
      <c r="B459" t="s">
        <v>39</v>
      </c>
      <c r="C459" t="s">
        <v>58</v>
      </c>
      <c r="D459" t="s">
        <v>145</v>
      </c>
      <c r="E459" t="s">
        <v>146</v>
      </c>
      <c r="F459" t="s">
        <v>5</v>
      </c>
      <c r="G459" t="s">
        <v>6</v>
      </c>
      <c r="H459" t="s">
        <v>35</v>
      </c>
      <c r="I459" t="s">
        <v>36</v>
      </c>
      <c r="J459" t="s">
        <v>9</v>
      </c>
      <c r="K459" t="s">
        <v>219</v>
      </c>
      <c r="L459" t="s">
        <v>223</v>
      </c>
      <c r="M459" t="s">
        <v>12</v>
      </c>
      <c r="N459" s="2">
        <v>0</v>
      </c>
      <c r="O459" s="2">
        <v>500</v>
      </c>
      <c r="P459" s="2">
        <v>1048.6300000000001</v>
      </c>
      <c r="Q459" s="2">
        <v>1548.63</v>
      </c>
      <c r="R459" s="2">
        <v>0</v>
      </c>
      <c r="S459" s="2">
        <v>760</v>
      </c>
      <c r="T459" s="2">
        <v>760</v>
      </c>
      <c r="U459" s="2">
        <v>788.63</v>
      </c>
      <c r="V459" s="2">
        <v>788.63</v>
      </c>
      <c r="W459" s="2">
        <v>788.63</v>
      </c>
    </row>
    <row r="460" spans="1:23" outlineLevel="2" x14ac:dyDescent="0.2">
      <c r="A460" t="s">
        <v>0</v>
      </c>
      <c r="B460" t="s">
        <v>1</v>
      </c>
      <c r="C460" t="s">
        <v>2</v>
      </c>
      <c r="D460" t="s">
        <v>20</v>
      </c>
      <c r="E460" t="s">
        <v>21</v>
      </c>
      <c r="F460" t="s">
        <v>5</v>
      </c>
      <c r="G460" t="s">
        <v>6</v>
      </c>
      <c r="H460" t="s">
        <v>35</v>
      </c>
      <c r="I460" t="s">
        <v>36</v>
      </c>
      <c r="J460" t="s">
        <v>9</v>
      </c>
      <c r="K460" t="s">
        <v>219</v>
      </c>
      <c r="L460" t="s">
        <v>224</v>
      </c>
      <c r="M460" t="s">
        <v>15</v>
      </c>
      <c r="N460" s="2">
        <v>107712</v>
      </c>
      <c r="O460" s="2">
        <v>352</v>
      </c>
      <c r="P460" s="2">
        <v>-45196</v>
      </c>
      <c r="Q460" s="2">
        <v>62868</v>
      </c>
      <c r="R460" s="2">
        <v>0</v>
      </c>
      <c r="S460" s="2">
        <v>62868</v>
      </c>
      <c r="T460" s="2">
        <v>62868</v>
      </c>
      <c r="U460" s="2">
        <v>0</v>
      </c>
      <c r="V460" s="2">
        <v>0</v>
      </c>
      <c r="W460" s="2">
        <v>0</v>
      </c>
    </row>
    <row r="461" spans="1:23" outlineLevel="2" x14ac:dyDescent="0.2">
      <c r="A461" t="s">
        <v>0</v>
      </c>
      <c r="B461" t="s">
        <v>39</v>
      </c>
      <c r="C461" t="s">
        <v>70</v>
      </c>
      <c r="D461" t="s">
        <v>89</v>
      </c>
      <c r="E461" t="s">
        <v>90</v>
      </c>
      <c r="F461" t="s">
        <v>5</v>
      </c>
      <c r="G461" t="s">
        <v>6</v>
      </c>
      <c r="H461" t="s">
        <v>35</v>
      </c>
      <c r="I461" t="s">
        <v>36</v>
      </c>
      <c r="J461" t="s">
        <v>9</v>
      </c>
      <c r="K461" t="s">
        <v>219</v>
      </c>
      <c r="L461" t="s">
        <v>222</v>
      </c>
      <c r="M461" t="s">
        <v>12</v>
      </c>
      <c r="N461" s="2">
        <v>0</v>
      </c>
      <c r="O461" s="2">
        <v>0</v>
      </c>
      <c r="P461" s="2">
        <v>1216</v>
      </c>
      <c r="Q461" s="2">
        <v>1216</v>
      </c>
      <c r="R461" s="2">
        <v>0</v>
      </c>
      <c r="S461" s="2">
        <v>380</v>
      </c>
      <c r="T461" s="2">
        <v>380</v>
      </c>
      <c r="U461" s="2">
        <v>836</v>
      </c>
      <c r="V461" s="2">
        <v>836</v>
      </c>
      <c r="W461" s="2">
        <v>836</v>
      </c>
    </row>
    <row r="462" spans="1:23" outlineLevel="2" x14ac:dyDescent="0.2">
      <c r="A462" t="s">
        <v>0</v>
      </c>
      <c r="B462" t="s">
        <v>31</v>
      </c>
      <c r="C462" t="s">
        <v>79</v>
      </c>
      <c r="D462" t="s">
        <v>111</v>
      </c>
      <c r="E462" t="s">
        <v>112</v>
      </c>
      <c r="F462" t="s">
        <v>5</v>
      </c>
      <c r="G462" t="s">
        <v>6</v>
      </c>
      <c r="H462" t="s">
        <v>35</v>
      </c>
      <c r="I462" t="s">
        <v>36</v>
      </c>
      <c r="J462" t="s">
        <v>9</v>
      </c>
      <c r="K462" t="s">
        <v>219</v>
      </c>
      <c r="L462" t="s">
        <v>221</v>
      </c>
      <c r="M462" t="s">
        <v>15</v>
      </c>
      <c r="N462" s="2">
        <v>1056</v>
      </c>
      <c r="O462" s="2">
        <v>0</v>
      </c>
      <c r="P462" s="2">
        <v>-640</v>
      </c>
      <c r="Q462" s="2">
        <v>416</v>
      </c>
      <c r="R462" s="2">
        <v>0</v>
      </c>
      <c r="S462" s="2">
        <v>416</v>
      </c>
      <c r="T462" s="2">
        <v>416</v>
      </c>
      <c r="U462" s="2">
        <v>0</v>
      </c>
      <c r="V462" s="2">
        <v>0</v>
      </c>
      <c r="W462" s="2">
        <v>0</v>
      </c>
    </row>
    <row r="463" spans="1:23" outlineLevel="2" x14ac:dyDescent="0.2">
      <c r="A463" t="s">
        <v>0</v>
      </c>
      <c r="B463" t="s">
        <v>31</v>
      </c>
      <c r="C463" t="s">
        <v>32</v>
      </c>
      <c r="D463" t="s">
        <v>141</v>
      </c>
      <c r="E463" t="s">
        <v>142</v>
      </c>
      <c r="F463" t="s">
        <v>5</v>
      </c>
      <c r="G463" t="s">
        <v>6</v>
      </c>
      <c r="H463" t="s">
        <v>35</v>
      </c>
      <c r="I463" t="s">
        <v>36</v>
      </c>
      <c r="J463" t="s">
        <v>9</v>
      </c>
      <c r="K463" t="s">
        <v>219</v>
      </c>
      <c r="L463" t="s">
        <v>225</v>
      </c>
      <c r="M463" t="s">
        <v>12</v>
      </c>
      <c r="N463" s="2">
        <v>0</v>
      </c>
      <c r="O463" s="2">
        <v>0</v>
      </c>
      <c r="P463" s="2">
        <v>2328</v>
      </c>
      <c r="Q463" s="2">
        <v>2328</v>
      </c>
      <c r="R463" s="2">
        <v>0</v>
      </c>
      <c r="S463" s="2">
        <v>532</v>
      </c>
      <c r="T463" s="2">
        <v>532</v>
      </c>
      <c r="U463" s="2">
        <v>1796</v>
      </c>
      <c r="V463" s="2">
        <v>1796</v>
      </c>
      <c r="W463" s="2">
        <v>1796</v>
      </c>
    </row>
    <row r="464" spans="1:23" outlineLevel="2" x14ac:dyDescent="0.2">
      <c r="A464" t="s">
        <v>0</v>
      </c>
      <c r="B464" t="s">
        <v>31</v>
      </c>
      <c r="C464" t="s">
        <v>79</v>
      </c>
      <c r="D464" t="s">
        <v>115</v>
      </c>
      <c r="E464" t="s">
        <v>116</v>
      </c>
      <c r="F464" t="s">
        <v>5</v>
      </c>
      <c r="G464" t="s">
        <v>6</v>
      </c>
      <c r="H464" t="s">
        <v>35</v>
      </c>
      <c r="I464" t="s">
        <v>36</v>
      </c>
      <c r="J464" t="s">
        <v>9</v>
      </c>
      <c r="K464" t="s">
        <v>219</v>
      </c>
      <c r="L464" t="s">
        <v>221</v>
      </c>
      <c r="M464" t="s">
        <v>12</v>
      </c>
      <c r="N464" s="2">
        <v>0</v>
      </c>
      <c r="O464" s="2">
        <v>0</v>
      </c>
      <c r="P464" s="2">
        <v>315.77</v>
      </c>
      <c r="Q464" s="2">
        <v>315.77</v>
      </c>
      <c r="R464" s="2">
        <v>0</v>
      </c>
      <c r="S464" s="2">
        <v>152</v>
      </c>
      <c r="T464" s="2">
        <v>152</v>
      </c>
      <c r="U464" s="2">
        <v>163.77000000000001</v>
      </c>
      <c r="V464" s="2">
        <v>163.77000000000001</v>
      </c>
      <c r="W464" s="2">
        <v>163.77000000000001</v>
      </c>
    </row>
    <row r="465" spans="1:23" outlineLevel="2" x14ac:dyDescent="0.2">
      <c r="A465" t="s">
        <v>0</v>
      </c>
      <c r="B465" t="s">
        <v>1</v>
      </c>
      <c r="C465" t="s">
        <v>16</v>
      </c>
      <c r="D465" t="s">
        <v>103</v>
      </c>
      <c r="E465" t="s">
        <v>104</v>
      </c>
      <c r="F465" t="s">
        <v>5</v>
      </c>
      <c r="G465" t="s">
        <v>6</v>
      </c>
      <c r="H465" t="s">
        <v>35</v>
      </c>
      <c r="I465" t="s">
        <v>36</v>
      </c>
      <c r="J465" t="s">
        <v>9</v>
      </c>
      <c r="K465" t="s">
        <v>219</v>
      </c>
      <c r="L465" t="s">
        <v>226</v>
      </c>
      <c r="M465" t="s">
        <v>15</v>
      </c>
      <c r="N465" s="2">
        <v>14784</v>
      </c>
      <c r="O465" s="2">
        <v>-352</v>
      </c>
      <c r="P465" s="2">
        <v>-9800</v>
      </c>
      <c r="Q465" s="2">
        <v>4632</v>
      </c>
      <c r="R465" s="2">
        <v>0</v>
      </c>
      <c r="S465" s="2">
        <v>4632</v>
      </c>
      <c r="T465" s="2">
        <v>4632</v>
      </c>
      <c r="U465" s="2">
        <v>0</v>
      </c>
      <c r="V465" s="2">
        <v>0</v>
      </c>
      <c r="W465" s="2">
        <v>0</v>
      </c>
    </row>
    <row r="466" spans="1:23" outlineLevel="2" x14ac:dyDescent="0.2">
      <c r="A466" t="s">
        <v>0</v>
      </c>
      <c r="B466" t="s">
        <v>31</v>
      </c>
      <c r="C466" t="s">
        <v>79</v>
      </c>
      <c r="D466" t="s">
        <v>113</v>
      </c>
      <c r="E466" t="s">
        <v>114</v>
      </c>
      <c r="F466" t="s">
        <v>5</v>
      </c>
      <c r="G466" t="s">
        <v>6</v>
      </c>
      <c r="H466" t="s">
        <v>35</v>
      </c>
      <c r="I466" t="s">
        <v>36</v>
      </c>
      <c r="J466" t="s">
        <v>9</v>
      </c>
      <c r="K466" t="s">
        <v>219</v>
      </c>
      <c r="L466" t="s">
        <v>221</v>
      </c>
      <c r="M466" t="s">
        <v>12</v>
      </c>
      <c r="N466" s="2">
        <v>0</v>
      </c>
      <c r="O466" s="2">
        <v>0</v>
      </c>
      <c r="P466" s="2">
        <v>2060.54</v>
      </c>
      <c r="Q466" s="2">
        <v>2060.54</v>
      </c>
      <c r="R466" s="2">
        <v>0</v>
      </c>
      <c r="S466" s="2">
        <v>304</v>
      </c>
      <c r="T466" s="2">
        <v>304</v>
      </c>
      <c r="U466" s="2">
        <v>1756.54</v>
      </c>
      <c r="V466" s="2">
        <v>1756.54</v>
      </c>
      <c r="W466" s="2">
        <v>1756.54</v>
      </c>
    </row>
    <row r="467" spans="1:23" outlineLevel="2" x14ac:dyDescent="0.2">
      <c r="A467" t="s">
        <v>0</v>
      </c>
      <c r="B467" t="s">
        <v>31</v>
      </c>
      <c r="C467" t="s">
        <v>79</v>
      </c>
      <c r="D467" t="s">
        <v>111</v>
      </c>
      <c r="E467" t="s">
        <v>112</v>
      </c>
      <c r="F467" t="s">
        <v>5</v>
      </c>
      <c r="G467" t="s">
        <v>6</v>
      </c>
      <c r="H467" t="s">
        <v>35</v>
      </c>
      <c r="I467" t="s">
        <v>36</v>
      </c>
      <c r="J467" t="s">
        <v>9</v>
      </c>
      <c r="K467" t="s">
        <v>219</v>
      </c>
      <c r="L467" t="s">
        <v>221</v>
      </c>
      <c r="M467" t="s">
        <v>12</v>
      </c>
      <c r="N467" s="2">
        <v>0</v>
      </c>
      <c r="O467" s="2">
        <v>0</v>
      </c>
      <c r="P467" s="2">
        <v>157.88999999999999</v>
      </c>
      <c r="Q467" s="2">
        <v>157.88999999999999</v>
      </c>
      <c r="R467" s="2">
        <v>0</v>
      </c>
      <c r="S467" s="2">
        <v>76</v>
      </c>
      <c r="T467" s="2">
        <v>76</v>
      </c>
      <c r="U467" s="2">
        <v>81.89</v>
      </c>
      <c r="V467" s="2">
        <v>81.89</v>
      </c>
      <c r="W467" s="2">
        <v>81.89</v>
      </c>
    </row>
    <row r="468" spans="1:23" outlineLevel="2" x14ac:dyDescent="0.2">
      <c r="A468" t="s">
        <v>0</v>
      </c>
      <c r="B468" t="s">
        <v>39</v>
      </c>
      <c r="C468" t="s">
        <v>40</v>
      </c>
      <c r="D468" t="s">
        <v>77</v>
      </c>
      <c r="E468" t="s">
        <v>78</v>
      </c>
      <c r="F468" t="s">
        <v>5</v>
      </c>
      <c r="G468" t="s">
        <v>6</v>
      </c>
      <c r="H468" t="s">
        <v>35</v>
      </c>
      <c r="I468" t="s">
        <v>36</v>
      </c>
      <c r="J468" t="s">
        <v>9</v>
      </c>
      <c r="K468" t="s">
        <v>219</v>
      </c>
      <c r="L468" t="s">
        <v>227</v>
      </c>
      <c r="M468" t="s">
        <v>12</v>
      </c>
      <c r="N468" s="2">
        <v>0</v>
      </c>
      <c r="O468" s="2">
        <v>0</v>
      </c>
      <c r="P468" s="2">
        <v>372.8</v>
      </c>
      <c r="Q468" s="2">
        <v>372.8</v>
      </c>
      <c r="R468" s="2">
        <v>0</v>
      </c>
      <c r="S468" s="2">
        <v>152</v>
      </c>
      <c r="T468" s="2">
        <v>152</v>
      </c>
      <c r="U468" s="2">
        <v>220.8</v>
      </c>
      <c r="V468" s="2">
        <v>220.8</v>
      </c>
      <c r="W468" s="2">
        <v>220.8</v>
      </c>
    </row>
    <row r="469" spans="1:23" outlineLevel="2" x14ac:dyDescent="0.2">
      <c r="A469" t="s">
        <v>0</v>
      </c>
      <c r="B469" t="s">
        <v>1</v>
      </c>
      <c r="C469" t="s">
        <v>16</v>
      </c>
      <c r="D469" t="s">
        <v>62</v>
      </c>
      <c r="E469" t="s">
        <v>63</v>
      </c>
      <c r="F469" t="s">
        <v>5</v>
      </c>
      <c r="G469" t="s">
        <v>6</v>
      </c>
      <c r="H469" t="s">
        <v>35</v>
      </c>
      <c r="I469" t="s">
        <v>36</v>
      </c>
      <c r="J469" t="s">
        <v>9</v>
      </c>
      <c r="K469" t="s">
        <v>219</v>
      </c>
      <c r="L469" t="s">
        <v>226</v>
      </c>
      <c r="M469" t="s">
        <v>12</v>
      </c>
      <c r="N469" s="2">
        <v>0</v>
      </c>
      <c r="O469" s="2">
        <v>0</v>
      </c>
      <c r="P469" s="2">
        <v>157.88999999999999</v>
      </c>
      <c r="Q469" s="2">
        <v>157.88999999999999</v>
      </c>
      <c r="R469" s="2">
        <v>0</v>
      </c>
      <c r="S469" s="2">
        <v>76</v>
      </c>
      <c r="T469" s="2">
        <v>76</v>
      </c>
      <c r="U469" s="2">
        <v>81.89</v>
      </c>
      <c r="V469" s="2">
        <v>81.89</v>
      </c>
      <c r="W469" s="2">
        <v>81.89</v>
      </c>
    </row>
    <row r="470" spans="1:23" outlineLevel="2" x14ac:dyDescent="0.2">
      <c r="A470" t="s">
        <v>0</v>
      </c>
      <c r="B470" t="s">
        <v>31</v>
      </c>
      <c r="C470" t="s">
        <v>79</v>
      </c>
      <c r="D470" t="s">
        <v>113</v>
      </c>
      <c r="E470" t="s">
        <v>114</v>
      </c>
      <c r="F470" t="s">
        <v>5</v>
      </c>
      <c r="G470" t="s">
        <v>6</v>
      </c>
      <c r="H470" t="s">
        <v>35</v>
      </c>
      <c r="I470" t="s">
        <v>36</v>
      </c>
      <c r="J470" t="s">
        <v>9</v>
      </c>
      <c r="K470" t="s">
        <v>219</v>
      </c>
      <c r="L470" t="s">
        <v>221</v>
      </c>
      <c r="M470" t="s">
        <v>15</v>
      </c>
      <c r="N470" s="2">
        <v>4224</v>
      </c>
      <c r="O470" s="2">
        <v>2121</v>
      </c>
      <c r="P470" s="2">
        <v>-3989</v>
      </c>
      <c r="Q470" s="2">
        <v>2356</v>
      </c>
      <c r="R470" s="2">
        <v>0</v>
      </c>
      <c r="S470" s="2">
        <v>2356</v>
      </c>
      <c r="T470" s="2">
        <v>2356</v>
      </c>
      <c r="U470" s="2">
        <v>0</v>
      </c>
      <c r="V470" s="2">
        <v>0</v>
      </c>
      <c r="W470" s="2">
        <v>0</v>
      </c>
    </row>
    <row r="471" spans="1:23" outlineLevel="2" x14ac:dyDescent="0.2">
      <c r="A471" t="s">
        <v>0</v>
      </c>
      <c r="B471" t="s">
        <v>53</v>
      </c>
      <c r="C471" t="s">
        <v>54</v>
      </c>
      <c r="D471" t="s">
        <v>55</v>
      </c>
      <c r="E471" t="s">
        <v>56</v>
      </c>
      <c r="F471" t="s">
        <v>5</v>
      </c>
      <c r="G471" t="s">
        <v>6</v>
      </c>
      <c r="H471" t="s">
        <v>35</v>
      </c>
      <c r="I471" t="s">
        <v>36</v>
      </c>
      <c r="J471" t="s">
        <v>9</v>
      </c>
      <c r="K471" t="s">
        <v>219</v>
      </c>
      <c r="L471" t="s">
        <v>228</v>
      </c>
      <c r="M471" t="s">
        <v>12</v>
      </c>
      <c r="N471" s="2">
        <v>0</v>
      </c>
      <c r="O471" s="2">
        <v>0</v>
      </c>
      <c r="P471" s="2">
        <v>7224</v>
      </c>
      <c r="Q471" s="2">
        <v>7224</v>
      </c>
      <c r="R471" s="2">
        <v>0</v>
      </c>
      <c r="S471" s="2">
        <v>1824</v>
      </c>
      <c r="T471" s="2">
        <v>1824</v>
      </c>
      <c r="U471" s="2">
        <v>5400</v>
      </c>
      <c r="V471" s="2">
        <v>5400</v>
      </c>
      <c r="W471" s="2">
        <v>5400</v>
      </c>
    </row>
    <row r="472" spans="1:23" outlineLevel="2" x14ac:dyDescent="0.2">
      <c r="A472" t="s">
        <v>0</v>
      </c>
      <c r="B472" t="s">
        <v>31</v>
      </c>
      <c r="C472" t="s">
        <v>79</v>
      </c>
      <c r="D472" t="s">
        <v>115</v>
      </c>
      <c r="E472" t="s">
        <v>116</v>
      </c>
      <c r="F472" t="s">
        <v>5</v>
      </c>
      <c r="G472" t="s">
        <v>6</v>
      </c>
      <c r="H472" t="s">
        <v>35</v>
      </c>
      <c r="I472" t="s">
        <v>36</v>
      </c>
      <c r="J472" t="s">
        <v>9</v>
      </c>
      <c r="K472" t="s">
        <v>219</v>
      </c>
      <c r="L472" t="s">
        <v>221</v>
      </c>
      <c r="M472" t="s">
        <v>15</v>
      </c>
      <c r="N472" s="2">
        <v>2112</v>
      </c>
      <c r="O472" s="2">
        <v>0</v>
      </c>
      <c r="P472" s="2">
        <v>-1280</v>
      </c>
      <c r="Q472" s="2">
        <v>832</v>
      </c>
      <c r="R472" s="2">
        <v>0</v>
      </c>
      <c r="S472" s="2">
        <v>832</v>
      </c>
      <c r="T472" s="2">
        <v>832</v>
      </c>
      <c r="U472" s="2">
        <v>0</v>
      </c>
      <c r="V472" s="2">
        <v>0</v>
      </c>
      <c r="W472" s="2">
        <v>0</v>
      </c>
    </row>
    <row r="473" spans="1:23" outlineLevel="2" x14ac:dyDescent="0.2">
      <c r="A473" t="s">
        <v>0</v>
      </c>
      <c r="B473" t="s">
        <v>1</v>
      </c>
      <c r="C473" t="s">
        <v>91</v>
      </c>
      <c r="D473" t="s">
        <v>92</v>
      </c>
      <c r="E473" t="s">
        <v>93</v>
      </c>
      <c r="F473" t="s">
        <v>5</v>
      </c>
      <c r="G473" t="s">
        <v>6</v>
      </c>
      <c r="H473" t="s">
        <v>35</v>
      </c>
      <c r="I473" t="s">
        <v>36</v>
      </c>
      <c r="J473" t="s">
        <v>9</v>
      </c>
      <c r="K473" t="s">
        <v>219</v>
      </c>
      <c r="L473" t="s">
        <v>229</v>
      </c>
      <c r="M473" t="s">
        <v>12</v>
      </c>
      <c r="N473" s="2">
        <v>0</v>
      </c>
      <c r="O473" s="2">
        <v>0</v>
      </c>
      <c r="P473" s="2">
        <v>1312</v>
      </c>
      <c r="Q473" s="2">
        <v>1312</v>
      </c>
      <c r="R473" s="2">
        <v>0</v>
      </c>
      <c r="S473" s="2">
        <v>380</v>
      </c>
      <c r="T473" s="2">
        <v>380</v>
      </c>
      <c r="U473" s="2">
        <v>932</v>
      </c>
      <c r="V473" s="2">
        <v>932</v>
      </c>
      <c r="W473" s="2">
        <v>932</v>
      </c>
    </row>
    <row r="474" spans="1:23" outlineLevel="2" x14ac:dyDescent="0.2">
      <c r="A474" t="s">
        <v>0</v>
      </c>
      <c r="B474" t="s">
        <v>1</v>
      </c>
      <c r="C474" t="s">
        <v>99</v>
      </c>
      <c r="D474" t="s">
        <v>100</v>
      </c>
      <c r="E474" t="s">
        <v>101</v>
      </c>
      <c r="F474" t="s">
        <v>5</v>
      </c>
      <c r="G474" t="s">
        <v>6</v>
      </c>
      <c r="H474" t="s">
        <v>35</v>
      </c>
      <c r="I474" t="s">
        <v>36</v>
      </c>
      <c r="J474" t="s">
        <v>9</v>
      </c>
      <c r="K474" t="s">
        <v>219</v>
      </c>
      <c r="L474" t="s">
        <v>230</v>
      </c>
      <c r="M474" t="s">
        <v>15</v>
      </c>
      <c r="N474" s="2">
        <v>9504</v>
      </c>
      <c r="O474" s="2">
        <v>0</v>
      </c>
      <c r="P474" s="2">
        <v>-4668</v>
      </c>
      <c r="Q474" s="2">
        <v>4836</v>
      </c>
      <c r="R474" s="2">
        <v>0</v>
      </c>
      <c r="S474" s="2">
        <v>4836</v>
      </c>
      <c r="T474" s="2">
        <v>4836</v>
      </c>
      <c r="U474" s="2">
        <v>0</v>
      </c>
      <c r="V474" s="2">
        <v>0</v>
      </c>
      <c r="W474" s="2">
        <v>0</v>
      </c>
    </row>
    <row r="475" spans="1:23" outlineLevel="2" x14ac:dyDescent="0.2">
      <c r="A475" t="s">
        <v>0</v>
      </c>
      <c r="B475" t="s">
        <v>39</v>
      </c>
      <c r="C475" t="s">
        <v>70</v>
      </c>
      <c r="D475" t="s">
        <v>89</v>
      </c>
      <c r="E475" t="s">
        <v>90</v>
      </c>
      <c r="F475" t="s">
        <v>5</v>
      </c>
      <c r="G475" t="s">
        <v>6</v>
      </c>
      <c r="H475" t="s">
        <v>35</v>
      </c>
      <c r="I475" t="s">
        <v>36</v>
      </c>
      <c r="J475" t="s">
        <v>9</v>
      </c>
      <c r="K475" t="s">
        <v>219</v>
      </c>
      <c r="L475" t="s">
        <v>222</v>
      </c>
      <c r="M475" t="s">
        <v>15</v>
      </c>
      <c r="N475" s="2">
        <v>5280</v>
      </c>
      <c r="O475" s="2">
        <v>0</v>
      </c>
      <c r="P475" s="2">
        <v>-1216</v>
      </c>
      <c r="Q475" s="2">
        <v>4064</v>
      </c>
      <c r="R475" s="2">
        <v>0</v>
      </c>
      <c r="S475" s="2">
        <v>4064</v>
      </c>
      <c r="T475" s="2">
        <v>4064</v>
      </c>
      <c r="U475" s="2">
        <v>0</v>
      </c>
      <c r="V475" s="2">
        <v>0</v>
      </c>
      <c r="W475" s="2">
        <v>0</v>
      </c>
    </row>
    <row r="476" spans="1:23" outlineLevel="2" x14ac:dyDescent="0.2">
      <c r="A476" t="s">
        <v>0</v>
      </c>
      <c r="B476" t="s">
        <v>39</v>
      </c>
      <c r="C476" t="s">
        <v>95</v>
      </c>
      <c r="D476" t="s">
        <v>96</v>
      </c>
      <c r="E476" t="s">
        <v>97</v>
      </c>
      <c r="F476" t="s">
        <v>5</v>
      </c>
      <c r="G476" t="s">
        <v>6</v>
      </c>
      <c r="H476" t="s">
        <v>35</v>
      </c>
      <c r="I476" t="s">
        <v>36</v>
      </c>
      <c r="J476" t="s">
        <v>9</v>
      </c>
      <c r="K476" t="s">
        <v>219</v>
      </c>
      <c r="L476" t="s">
        <v>231</v>
      </c>
      <c r="M476" t="s">
        <v>12</v>
      </c>
      <c r="N476" s="2">
        <v>0</v>
      </c>
      <c r="O476" s="2">
        <v>40</v>
      </c>
      <c r="P476" s="2">
        <v>426.46</v>
      </c>
      <c r="Q476" s="2">
        <v>466.46</v>
      </c>
      <c r="R476" s="2">
        <v>0</v>
      </c>
      <c r="S476" s="2">
        <v>228</v>
      </c>
      <c r="T476" s="2">
        <v>228</v>
      </c>
      <c r="U476" s="2">
        <v>238.46</v>
      </c>
      <c r="V476" s="2">
        <v>238.46</v>
      </c>
      <c r="W476" s="2">
        <v>238.46</v>
      </c>
    </row>
    <row r="477" spans="1:23" outlineLevel="2" x14ac:dyDescent="0.2">
      <c r="A477" t="s">
        <v>0</v>
      </c>
      <c r="B477" t="s">
        <v>31</v>
      </c>
      <c r="C477" t="s">
        <v>79</v>
      </c>
      <c r="D477" t="s">
        <v>117</v>
      </c>
      <c r="E477" t="s">
        <v>118</v>
      </c>
      <c r="F477" t="s">
        <v>5</v>
      </c>
      <c r="G477" t="s">
        <v>6</v>
      </c>
      <c r="H477" t="s">
        <v>35</v>
      </c>
      <c r="I477" t="s">
        <v>36</v>
      </c>
      <c r="J477" t="s">
        <v>9</v>
      </c>
      <c r="K477" t="s">
        <v>219</v>
      </c>
      <c r="L477" t="s">
        <v>221</v>
      </c>
      <c r="M477" t="s">
        <v>12</v>
      </c>
      <c r="N477" s="2">
        <v>0</v>
      </c>
      <c r="O477" s="2">
        <v>1370</v>
      </c>
      <c r="P477" s="2">
        <v>164.74</v>
      </c>
      <c r="Q477" s="2">
        <v>1534.74</v>
      </c>
      <c r="R477" s="2">
        <v>0</v>
      </c>
      <c r="S477" s="2">
        <v>760</v>
      </c>
      <c r="T477" s="2">
        <v>760</v>
      </c>
      <c r="U477" s="2">
        <v>774.74</v>
      </c>
      <c r="V477" s="2">
        <v>774.74</v>
      </c>
      <c r="W477" s="2">
        <v>774.74</v>
      </c>
    </row>
    <row r="478" spans="1:23" outlineLevel="2" x14ac:dyDescent="0.2">
      <c r="A478" t="s">
        <v>0</v>
      </c>
      <c r="B478" t="s">
        <v>1</v>
      </c>
      <c r="C478" t="s">
        <v>44</v>
      </c>
      <c r="D478" t="s">
        <v>45</v>
      </c>
      <c r="E478" t="s">
        <v>46</v>
      </c>
      <c r="F478" t="s">
        <v>5</v>
      </c>
      <c r="G478" t="s">
        <v>6</v>
      </c>
      <c r="H478" t="s">
        <v>35</v>
      </c>
      <c r="I478" t="s">
        <v>36</v>
      </c>
      <c r="J478" t="s">
        <v>9</v>
      </c>
      <c r="K478" t="s">
        <v>219</v>
      </c>
      <c r="L478" t="s">
        <v>232</v>
      </c>
      <c r="M478" t="s">
        <v>15</v>
      </c>
      <c r="N478" s="2">
        <v>3168</v>
      </c>
      <c r="O478" s="2">
        <v>0</v>
      </c>
      <c r="P478" s="2">
        <v>-1972</v>
      </c>
      <c r="Q478" s="2">
        <v>1196</v>
      </c>
      <c r="R478" s="2">
        <v>0</v>
      </c>
      <c r="S478" s="2">
        <v>1196</v>
      </c>
      <c r="T478" s="2">
        <v>1196</v>
      </c>
      <c r="U478" s="2">
        <v>0</v>
      </c>
      <c r="V478" s="2">
        <v>0</v>
      </c>
      <c r="W478" s="2">
        <v>0</v>
      </c>
    </row>
    <row r="479" spans="1:23" outlineLevel="2" x14ac:dyDescent="0.2">
      <c r="A479" t="s">
        <v>0</v>
      </c>
      <c r="B479" t="s">
        <v>31</v>
      </c>
      <c r="C479" t="s">
        <v>79</v>
      </c>
      <c r="D479" t="s">
        <v>127</v>
      </c>
      <c r="E479" t="s">
        <v>128</v>
      </c>
      <c r="F479" t="s">
        <v>5</v>
      </c>
      <c r="G479" t="s">
        <v>6</v>
      </c>
      <c r="H479" t="s">
        <v>35</v>
      </c>
      <c r="I479" t="s">
        <v>36</v>
      </c>
      <c r="J479" t="s">
        <v>9</v>
      </c>
      <c r="K479" t="s">
        <v>219</v>
      </c>
      <c r="L479" t="s">
        <v>221</v>
      </c>
      <c r="M479" t="s">
        <v>12</v>
      </c>
      <c r="N479" s="2">
        <v>0</v>
      </c>
      <c r="O479" s="2">
        <v>0</v>
      </c>
      <c r="P479" s="2">
        <v>631.54</v>
      </c>
      <c r="Q479" s="2">
        <v>631.54</v>
      </c>
      <c r="R479" s="2">
        <v>0</v>
      </c>
      <c r="S479" s="2">
        <v>228</v>
      </c>
      <c r="T479" s="2">
        <v>228</v>
      </c>
      <c r="U479" s="2">
        <v>403.54</v>
      </c>
      <c r="V479" s="2">
        <v>403.54</v>
      </c>
      <c r="W479" s="2">
        <v>403.54</v>
      </c>
    </row>
    <row r="480" spans="1:23" outlineLevel="2" x14ac:dyDescent="0.2">
      <c r="A480" t="s">
        <v>0</v>
      </c>
      <c r="B480" t="s">
        <v>31</v>
      </c>
      <c r="C480" t="s">
        <v>79</v>
      </c>
      <c r="D480" t="s">
        <v>131</v>
      </c>
      <c r="E480" t="s">
        <v>132</v>
      </c>
      <c r="F480" t="s">
        <v>5</v>
      </c>
      <c r="G480" t="s">
        <v>6</v>
      </c>
      <c r="H480" t="s">
        <v>35</v>
      </c>
      <c r="I480" t="s">
        <v>36</v>
      </c>
      <c r="J480" t="s">
        <v>9</v>
      </c>
      <c r="K480" t="s">
        <v>219</v>
      </c>
      <c r="L480" t="s">
        <v>221</v>
      </c>
      <c r="M480" t="s">
        <v>12</v>
      </c>
      <c r="N480" s="2">
        <v>0</v>
      </c>
      <c r="O480" s="2">
        <v>0</v>
      </c>
      <c r="P480" s="2">
        <v>2042.54</v>
      </c>
      <c r="Q480" s="2">
        <v>2042.54</v>
      </c>
      <c r="R480" s="2">
        <v>0</v>
      </c>
      <c r="S480" s="2">
        <v>304</v>
      </c>
      <c r="T480" s="2">
        <v>304</v>
      </c>
      <c r="U480" s="2">
        <v>1738.54</v>
      </c>
      <c r="V480" s="2">
        <v>1738.54</v>
      </c>
      <c r="W480" s="2">
        <v>1738.54</v>
      </c>
    </row>
    <row r="481" spans="1:23" outlineLevel="2" x14ac:dyDescent="0.2">
      <c r="A481" t="s">
        <v>0</v>
      </c>
      <c r="B481" t="s">
        <v>1</v>
      </c>
      <c r="C481" t="s">
        <v>99</v>
      </c>
      <c r="D481" t="s">
        <v>100</v>
      </c>
      <c r="E481" t="s">
        <v>101</v>
      </c>
      <c r="F481" t="s">
        <v>5</v>
      </c>
      <c r="G481" t="s">
        <v>6</v>
      </c>
      <c r="H481" t="s">
        <v>35</v>
      </c>
      <c r="I481" t="s">
        <v>36</v>
      </c>
      <c r="J481" t="s">
        <v>9</v>
      </c>
      <c r="K481" t="s">
        <v>219</v>
      </c>
      <c r="L481" t="s">
        <v>230</v>
      </c>
      <c r="M481" t="s">
        <v>12</v>
      </c>
      <c r="N481" s="2">
        <v>0</v>
      </c>
      <c r="O481" s="2">
        <v>0</v>
      </c>
      <c r="P481" s="2">
        <v>1352.29</v>
      </c>
      <c r="Q481" s="2">
        <v>1352.29</v>
      </c>
      <c r="R481" s="2">
        <v>0</v>
      </c>
      <c r="S481" s="2">
        <v>608</v>
      </c>
      <c r="T481" s="2">
        <v>608</v>
      </c>
      <c r="U481" s="2">
        <v>744.29</v>
      </c>
      <c r="V481" s="2">
        <v>744.29</v>
      </c>
      <c r="W481" s="2">
        <v>744.29</v>
      </c>
    </row>
    <row r="482" spans="1:23" outlineLevel="2" x14ac:dyDescent="0.2">
      <c r="A482" t="s">
        <v>0</v>
      </c>
      <c r="B482" t="s">
        <v>31</v>
      </c>
      <c r="C482" t="s">
        <v>79</v>
      </c>
      <c r="D482" t="s">
        <v>125</v>
      </c>
      <c r="E482" t="s">
        <v>126</v>
      </c>
      <c r="F482" t="s">
        <v>5</v>
      </c>
      <c r="G482" t="s">
        <v>6</v>
      </c>
      <c r="H482" t="s">
        <v>35</v>
      </c>
      <c r="I482" t="s">
        <v>36</v>
      </c>
      <c r="J482" t="s">
        <v>9</v>
      </c>
      <c r="K482" t="s">
        <v>219</v>
      </c>
      <c r="L482" t="s">
        <v>221</v>
      </c>
      <c r="M482" t="s">
        <v>15</v>
      </c>
      <c r="N482" s="2">
        <v>3168</v>
      </c>
      <c r="O482" s="2">
        <v>0</v>
      </c>
      <c r="P482" s="2">
        <v>-1584</v>
      </c>
      <c r="Q482" s="2">
        <v>1584</v>
      </c>
      <c r="R482" s="2">
        <v>0</v>
      </c>
      <c r="S482" s="2">
        <v>1584</v>
      </c>
      <c r="T482" s="2">
        <v>1584</v>
      </c>
      <c r="U482" s="2">
        <v>0</v>
      </c>
      <c r="V482" s="2">
        <v>0</v>
      </c>
      <c r="W482" s="2">
        <v>0</v>
      </c>
    </row>
    <row r="483" spans="1:23" outlineLevel="2" x14ac:dyDescent="0.2">
      <c r="A483" t="s">
        <v>0</v>
      </c>
      <c r="B483" t="s">
        <v>31</v>
      </c>
      <c r="C483" t="s">
        <v>79</v>
      </c>
      <c r="D483" t="s">
        <v>133</v>
      </c>
      <c r="E483" t="s">
        <v>134</v>
      </c>
      <c r="F483" t="s">
        <v>5</v>
      </c>
      <c r="G483" t="s">
        <v>6</v>
      </c>
      <c r="H483" t="s">
        <v>35</v>
      </c>
      <c r="I483" t="s">
        <v>36</v>
      </c>
      <c r="J483" t="s">
        <v>9</v>
      </c>
      <c r="K483" t="s">
        <v>219</v>
      </c>
      <c r="L483" t="s">
        <v>221</v>
      </c>
      <c r="M483" t="s">
        <v>12</v>
      </c>
      <c r="N483" s="2">
        <v>0</v>
      </c>
      <c r="O483" s="2">
        <v>0</v>
      </c>
      <c r="P483" s="2">
        <v>3540.2</v>
      </c>
      <c r="Q483" s="2">
        <v>3540.2</v>
      </c>
      <c r="R483" s="2">
        <v>0</v>
      </c>
      <c r="S483" s="2">
        <v>532</v>
      </c>
      <c r="T483" s="2">
        <v>532</v>
      </c>
      <c r="U483" s="2">
        <v>3008.2</v>
      </c>
      <c r="V483" s="2">
        <v>3008.2</v>
      </c>
      <c r="W483" s="2">
        <v>3008.2</v>
      </c>
    </row>
    <row r="484" spans="1:23" outlineLevel="2" x14ac:dyDescent="0.2">
      <c r="A484" t="s">
        <v>0</v>
      </c>
      <c r="B484" t="s">
        <v>31</v>
      </c>
      <c r="C484" t="s">
        <v>32</v>
      </c>
      <c r="D484" t="s">
        <v>123</v>
      </c>
      <c r="E484" t="s">
        <v>124</v>
      </c>
      <c r="F484" t="s">
        <v>5</v>
      </c>
      <c r="G484" t="s">
        <v>6</v>
      </c>
      <c r="H484" t="s">
        <v>35</v>
      </c>
      <c r="I484" t="s">
        <v>36</v>
      </c>
      <c r="J484" t="s">
        <v>9</v>
      </c>
      <c r="K484" t="s">
        <v>219</v>
      </c>
      <c r="L484" t="s">
        <v>225</v>
      </c>
      <c r="M484" t="s">
        <v>15</v>
      </c>
      <c r="N484" s="2">
        <v>12672</v>
      </c>
      <c r="O484" s="2">
        <v>640</v>
      </c>
      <c r="P484" s="2">
        <v>-6184</v>
      </c>
      <c r="Q484" s="2">
        <v>7128</v>
      </c>
      <c r="R484" s="2">
        <v>0</v>
      </c>
      <c r="S484" s="2">
        <v>7128</v>
      </c>
      <c r="T484" s="2">
        <v>7128</v>
      </c>
      <c r="U484" s="2">
        <v>0</v>
      </c>
      <c r="V484" s="2">
        <v>0</v>
      </c>
      <c r="W484" s="2">
        <v>0</v>
      </c>
    </row>
    <row r="485" spans="1:23" outlineLevel="2" x14ac:dyDescent="0.2">
      <c r="A485" t="s">
        <v>0</v>
      </c>
      <c r="B485" t="s">
        <v>39</v>
      </c>
      <c r="C485" t="s">
        <v>58</v>
      </c>
      <c r="D485" t="s">
        <v>147</v>
      </c>
      <c r="E485" t="s">
        <v>148</v>
      </c>
      <c r="F485" t="s">
        <v>5</v>
      </c>
      <c r="G485" t="s">
        <v>6</v>
      </c>
      <c r="H485" t="s">
        <v>35</v>
      </c>
      <c r="I485" t="s">
        <v>36</v>
      </c>
      <c r="J485" t="s">
        <v>9</v>
      </c>
      <c r="K485" t="s">
        <v>219</v>
      </c>
      <c r="L485" t="s">
        <v>223</v>
      </c>
      <c r="M485" t="s">
        <v>15</v>
      </c>
      <c r="N485" s="2">
        <v>23232</v>
      </c>
      <c r="O485" s="2">
        <v>0</v>
      </c>
      <c r="P485" s="2">
        <v>-10944</v>
      </c>
      <c r="Q485" s="2">
        <v>12288</v>
      </c>
      <c r="R485" s="2">
        <v>0</v>
      </c>
      <c r="S485" s="2">
        <v>12288</v>
      </c>
      <c r="T485" s="2">
        <v>12288</v>
      </c>
      <c r="U485" s="2">
        <v>0</v>
      </c>
      <c r="V485" s="2">
        <v>0</v>
      </c>
      <c r="W485" s="2">
        <v>0</v>
      </c>
    </row>
    <row r="486" spans="1:23" outlineLevel="2" x14ac:dyDescent="0.2">
      <c r="A486" t="s">
        <v>0</v>
      </c>
      <c r="B486" t="s">
        <v>39</v>
      </c>
      <c r="C486" t="s">
        <v>58</v>
      </c>
      <c r="D486" t="s">
        <v>137</v>
      </c>
      <c r="E486" t="s">
        <v>138</v>
      </c>
      <c r="F486" t="s">
        <v>5</v>
      </c>
      <c r="G486" t="s">
        <v>6</v>
      </c>
      <c r="H486" t="s">
        <v>35</v>
      </c>
      <c r="I486" t="s">
        <v>36</v>
      </c>
      <c r="J486" t="s">
        <v>9</v>
      </c>
      <c r="K486" t="s">
        <v>219</v>
      </c>
      <c r="L486" t="s">
        <v>223</v>
      </c>
      <c r="M486" t="s">
        <v>15</v>
      </c>
      <c r="N486" s="2">
        <v>24288</v>
      </c>
      <c r="O486" s="2">
        <v>0</v>
      </c>
      <c r="P486" s="2">
        <v>-14820</v>
      </c>
      <c r="Q486" s="2">
        <v>9468</v>
      </c>
      <c r="R486" s="2">
        <v>0</v>
      </c>
      <c r="S486" s="2">
        <v>9468</v>
      </c>
      <c r="T486" s="2">
        <v>9468</v>
      </c>
      <c r="U486" s="2">
        <v>0</v>
      </c>
      <c r="V486" s="2">
        <v>0</v>
      </c>
      <c r="W486" s="2">
        <v>0</v>
      </c>
    </row>
    <row r="487" spans="1:23" outlineLevel="2" x14ac:dyDescent="0.2">
      <c r="A487" t="s">
        <v>0</v>
      </c>
      <c r="B487" t="s">
        <v>1</v>
      </c>
      <c r="C487" t="s">
        <v>16</v>
      </c>
      <c r="D487" t="s">
        <v>103</v>
      </c>
      <c r="E487" t="s">
        <v>104</v>
      </c>
      <c r="F487" t="s">
        <v>5</v>
      </c>
      <c r="G487" t="s">
        <v>6</v>
      </c>
      <c r="H487" t="s">
        <v>35</v>
      </c>
      <c r="I487" t="s">
        <v>36</v>
      </c>
      <c r="J487" t="s">
        <v>9</v>
      </c>
      <c r="K487" t="s">
        <v>219</v>
      </c>
      <c r="L487" t="s">
        <v>226</v>
      </c>
      <c r="M487" t="s">
        <v>12</v>
      </c>
      <c r="N487" s="2">
        <v>0</v>
      </c>
      <c r="O487" s="2">
        <v>0</v>
      </c>
      <c r="P487" s="2">
        <v>927.71</v>
      </c>
      <c r="Q487" s="2">
        <v>927.71</v>
      </c>
      <c r="R487" s="2">
        <v>0</v>
      </c>
      <c r="S487" s="2">
        <v>608</v>
      </c>
      <c r="T487" s="2">
        <v>608</v>
      </c>
      <c r="U487" s="2">
        <v>319.70999999999998</v>
      </c>
      <c r="V487" s="2">
        <v>319.70999999999998</v>
      </c>
      <c r="W487" s="2">
        <v>319.70999999999998</v>
      </c>
    </row>
    <row r="488" spans="1:23" outlineLevel="2" x14ac:dyDescent="0.2">
      <c r="A488" t="s">
        <v>0</v>
      </c>
      <c r="B488" t="s">
        <v>1</v>
      </c>
      <c r="C488" t="s">
        <v>16</v>
      </c>
      <c r="D488" t="s">
        <v>17</v>
      </c>
      <c r="E488" t="s">
        <v>18</v>
      </c>
      <c r="F488" t="s">
        <v>5</v>
      </c>
      <c r="G488" t="s">
        <v>6</v>
      </c>
      <c r="H488" t="s">
        <v>35</v>
      </c>
      <c r="I488" t="s">
        <v>36</v>
      </c>
      <c r="J488" t="s">
        <v>9</v>
      </c>
      <c r="K488" t="s">
        <v>219</v>
      </c>
      <c r="L488" t="s">
        <v>226</v>
      </c>
      <c r="M488" t="s">
        <v>15</v>
      </c>
      <c r="N488" s="2">
        <v>24288</v>
      </c>
      <c r="O488" s="2">
        <v>0</v>
      </c>
      <c r="P488" s="2">
        <v>-14500</v>
      </c>
      <c r="Q488" s="2">
        <v>9788</v>
      </c>
      <c r="R488" s="2">
        <v>0</v>
      </c>
      <c r="S488" s="2">
        <v>9788</v>
      </c>
      <c r="T488" s="2">
        <v>9788</v>
      </c>
      <c r="U488" s="2">
        <v>0</v>
      </c>
      <c r="V488" s="2">
        <v>0</v>
      </c>
      <c r="W488" s="2">
        <v>0</v>
      </c>
    </row>
    <row r="489" spans="1:23" outlineLevel="2" x14ac:dyDescent="0.2">
      <c r="A489" t="s">
        <v>0</v>
      </c>
      <c r="B489" t="s">
        <v>1</v>
      </c>
      <c r="C489" t="s">
        <v>16</v>
      </c>
      <c r="D489" t="s">
        <v>17</v>
      </c>
      <c r="E489" t="s">
        <v>18</v>
      </c>
      <c r="F489" t="s">
        <v>5</v>
      </c>
      <c r="G489" t="s">
        <v>6</v>
      </c>
      <c r="H489" t="s">
        <v>35</v>
      </c>
      <c r="I489" t="s">
        <v>36</v>
      </c>
      <c r="J489" t="s">
        <v>9</v>
      </c>
      <c r="K489" t="s">
        <v>219</v>
      </c>
      <c r="L489" t="s">
        <v>226</v>
      </c>
      <c r="M489" t="s">
        <v>12</v>
      </c>
      <c r="N489" s="2">
        <v>0</v>
      </c>
      <c r="O489" s="2">
        <v>800</v>
      </c>
      <c r="P489" s="2">
        <v>1987.03</v>
      </c>
      <c r="Q489" s="2">
        <v>2787.03</v>
      </c>
      <c r="R489" s="2">
        <v>0</v>
      </c>
      <c r="S489" s="2">
        <v>1368</v>
      </c>
      <c r="T489" s="2">
        <v>1368</v>
      </c>
      <c r="U489" s="2">
        <v>1419.03</v>
      </c>
      <c r="V489" s="2">
        <v>1419.03</v>
      </c>
      <c r="W489" s="2">
        <v>1419.03</v>
      </c>
    </row>
    <row r="490" spans="1:23" outlineLevel="2" x14ac:dyDescent="0.2">
      <c r="A490" t="s">
        <v>0</v>
      </c>
      <c r="B490" t="s">
        <v>39</v>
      </c>
      <c r="C490" t="s">
        <v>58</v>
      </c>
      <c r="D490" t="s">
        <v>145</v>
      </c>
      <c r="E490" t="s">
        <v>146</v>
      </c>
      <c r="F490" t="s">
        <v>5</v>
      </c>
      <c r="G490" t="s">
        <v>6</v>
      </c>
      <c r="H490" t="s">
        <v>35</v>
      </c>
      <c r="I490" t="s">
        <v>36</v>
      </c>
      <c r="J490" t="s">
        <v>9</v>
      </c>
      <c r="K490" t="s">
        <v>219</v>
      </c>
      <c r="L490" t="s">
        <v>223</v>
      </c>
      <c r="M490" t="s">
        <v>15</v>
      </c>
      <c r="N490" s="2">
        <v>11616</v>
      </c>
      <c r="O490" s="2">
        <v>0</v>
      </c>
      <c r="P490" s="2">
        <v>-6020</v>
      </c>
      <c r="Q490" s="2">
        <v>5596</v>
      </c>
      <c r="R490" s="2">
        <v>0</v>
      </c>
      <c r="S490" s="2">
        <v>5596</v>
      </c>
      <c r="T490" s="2">
        <v>5596</v>
      </c>
      <c r="U490" s="2">
        <v>0</v>
      </c>
      <c r="V490" s="2">
        <v>0</v>
      </c>
      <c r="W490" s="2">
        <v>0</v>
      </c>
    </row>
    <row r="491" spans="1:23" outlineLevel="2" x14ac:dyDescent="0.2">
      <c r="A491" t="s">
        <v>0</v>
      </c>
      <c r="B491" t="s">
        <v>1</v>
      </c>
      <c r="C491" t="s">
        <v>2</v>
      </c>
      <c r="D491" t="s">
        <v>20</v>
      </c>
      <c r="E491" t="s">
        <v>21</v>
      </c>
      <c r="F491" t="s">
        <v>5</v>
      </c>
      <c r="G491" t="s">
        <v>6</v>
      </c>
      <c r="H491" t="s">
        <v>35</v>
      </c>
      <c r="I491" t="s">
        <v>36</v>
      </c>
      <c r="J491" t="s">
        <v>9</v>
      </c>
      <c r="K491" t="s">
        <v>219</v>
      </c>
      <c r="L491" t="s">
        <v>224</v>
      </c>
      <c r="M491" t="s">
        <v>12</v>
      </c>
      <c r="N491" s="2">
        <v>0</v>
      </c>
      <c r="O491" s="2">
        <v>21500</v>
      </c>
      <c r="P491" s="2">
        <v>5866.29</v>
      </c>
      <c r="Q491" s="2">
        <v>27366.29</v>
      </c>
      <c r="R491" s="2">
        <v>0</v>
      </c>
      <c r="S491" s="2">
        <v>10308</v>
      </c>
      <c r="T491" s="2">
        <v>10308</v>
      </c>
      <c r="U491" s="2">
        <v>17058.29</v>
      </c>
      <c r="V491" s="2">
        <v>17058.29</v>
      </c>
      <c r="W491" s="2">
        <v>17058.29</v>
      </c>
    </row>
    <row r="492" spans="1:23" outlineLevel="2" x14ac:dyDescent="0.2">
      <c r="A492" t="s">
        <v>0</v>
      </c>
      <c r="B492" t="s">
        <v>39</v>
      </c>
      <c r="C492" t="s">
        <v>58</v>
      </c>
      <c r="D492" t="s">
        <v>139</v>
      </c>
      <c r="E492" t="s">
        <v>140</v>
      </c>
      <c r="F492" t="s">
        <v>5</v>
      </c>
      <c r="G492" t="s">
        <v>6</v>
      </c>
      <c r="H492" t="s">
        <v>35</v>
      </c>
      <c r="I492" t="s">
        <v>36</v>
      </c>
      <c r="J492" t="s">
        <v>9</v>
      </c>
      <c r="K492" t="s">
        <v>219</v>
      </c>
      <c r="L492" t="s">
        <v>223</v>
      </c>
      <c r="M492" t="s">
        <v>12</v>
      </c>
      <c r="N492" s="2">
        <v>0</v>
      </c>
      <c r="O492" s="2">
        <v>900</v>
      </c>
      <c r="P492" s="2">
        <v>1761.26</v>
      </c>
      <c r="Q492" s="2">
        <v>2661.26</v>
      </c>
      <c r="R492" s="2">
        <v>0</v>
      </c>
      <c r="S492" s="2">
        <v>1300</v>
      </c>
      <c r="T492" s="2">
        <v>1300</v>
      </c>
      <c r="U492" s="2">
        <v>1361.26</v>
      </c>
      <c r="V492" s="2">
        <v>1361.26</v>
      </c>
      <c r="W492" s="2">
        <v>1361.26</v>
      </c>
    </row>
    <row r="493" spans="1:23" outlineLevel="2" x14ac:dyDescent="0.2">
      <c r="A493" t="s">
        <v>0</v>
      </c>
      <c r="B493" t="s">
        <v>39</v>
      </c>
      <c r="C493" t="s">
        <v>58</v>
      </c>
      <c r="D493" t="s">
        <v>135</v>
      </c>
      <c r="E493" t="s">
        <v>136</v>
      </c>
      <c r="F493" t="s">
        <v>5</v>
      </c>
      <c r="G493" t="s">
        <v>6</v>
      </c>
      <c r="H493" t="s">
        <v>35</v>
      </c>
      <c r="I493" t="s">
        <v>36</v>
      </c>
      <c r="J493" t="s">
        <v>9</v>
      </c>
      <c r="K493" t="s">
        <v>219</v>
      </c>
      <c r="L493" t="s">
        <v>223</v>
      </c>
      <c r="M493" t="s">
        <v>15</v>
      </c>
      <c r="N493" s="2">
        <v>12672</v>
      </c>
      <c r="O493" s="2">
        <v>0</v>
      </c>
      <c r="P493" s="2">
        <v>-7160</v>
      </c>
      <c r="Q493" s="2">
        <v>5512</v>
      </c>
      <c r="R493" s="2">
        <v>0</v>
      </c>
      <c r="S493" s="2">
        <v>5512</v>
      </c>
      <c r="T493" s="2">
        <v>5512</v>
      </c>
      <c r="U493" s="2">
        <v>0</v>
      </c>
      <c r="V493" s="2">
        <v>0</v>
      </c>
      <c r="W493" s="2">
        <v>0</v>
      </c>
    </row>
    <row r="494" spans="1:23" outlineLevel="2" x14ac:dyDescent="0.2">
      <c r="A494" t="s">
        <v>0</v>
      </c>
      <c r="B494" t="s">
        <v>39</v>
      </c>
      <c r="C494" t="s">
        <v>58</v>
      </c>
      <c r="D494" t="s">
        <v>149</v>
      </c>
      <c r="E494" t="s">
        <v>150</v>
      </c>
      <c r="F494" t="s">
        <v>5</v>
      </c>
      <c r="G494" t="s">
        <v>6</v>
      </c>
      <c r="H494" t="s">
        <v>35</v>
      </c>
      <c r="I494" t="s">
        <v>36</v>
      </c>
      <c r="J494" t="s">
        <v>9</v>
      </c>
      <c r="K494" t="s">
        <v>219</v>
      </c>
      <c r="L494" t="s">
        <v>223</v>
      </c>
      <c r="M494" t="s">
        <v>15</v>
      </c>
      <c r="N494" s="2">
        <v>58080</v>
      </c>
      <c r="O494" s="2">
        <v>500</v>
      </c>
      <c r="P494" s="2">
        <v>-26556</v>
      </c>
      <c r="Q494" s="2">
        <v>32024</v>
      </c>
      <c r="R494" s="2">
        <v>0</v>
      </c>
      <c r="S494" s="2">
        <v>32024</v>
      </c>
      <c r="T494" s="2">
        <v>32024</v>
      </c>
      <c r="U494" s="2">
        <v>0</v>
      </c>
      <c r="V494" s="2">
        <v>0</v>
      </c>
      <c r="W494" s="2">
        <v>0</v>
      </c>
    </row>
    <row r="495" spans="1:23" outlineLevel="2" x14ac:dyDescent="0.2">
      <c r="A495" t="s">
        <v>0</v>
      </c>
      <c r="B495" t="s">
        <v>39</v>
      </c>
      <c r="C495" t="s">
        <v>58</v>
      </c>
      <c r="D495" t="s">
        <v>149</v>
      </c>
      <c r="E495" t="s">
        <v>150</v>
      </c>
      <c r="F495" t="s">
        <v>5</v>
      </c>
      <c r="G495" t="s">
        <v>6</v>
      </c>
      <c r="H495" t="s">
        <v>35</v>
      </c>
      <c r="I495" t="s">
        <v>36</v>
      </c>
      <c r="J495" t="s">
        <v>9</v>
      </c>
      <c r="K495" t="s">
        <v>219</v>
      </c>
      <c r="L495" t="s">
        <v>223</v>
      </c>
      <c r="M495" t="s">
        <v>12</v>
      </c>
      <c r="N495" s="2">
        <v>0</v>
      </c>
      <c r="O495" s="2">
        <v>8400</v>
      </c>
      <c r="P495" s="2">
        <v>39.71</v>
      </c>
      <c r="Q495" s="2">
        <v>8439.7099999999991</v>
      </c>
      <c r="R495" s="2">
        <v>0</v>
      </c>
      <c r="S495" s="2">
        <v>4200</v>
      </c>
      <c r="T495" s="2">
        <v>4200</v>
      </c>
      <c r="U495" s="2">
        <v>4239.71</v>
      </c>
      <c r="V495" s="2">
        <v>4239.71</v>
      </c>
      <c r="W495" s="2">
        <v>4239.71</v>
      </c>
    </row>
    <row r="496" spans="1:23" outlineLevel="2" x14ac:dyDescent="0.2">
      <c r="A496" t="s">
        <v>0</v>
      </c>
      <c r="B496" t="s">
        <v>39</v>
      </c>
      <c r="C496" t="s">
        <v>95</v>
      </c>
      <c r="D496" t="s">
        <v>96</v>
      </c>
      <c r="E496" t="s">
        <v>97</v>
      </c>
      <c r="F496" t="s">
        <v>5</v>
      </c>
      <c r="G496" t="s">
        <v>6</v>
      </c>
      <c r="H496" t="s">
        <v>35</v>
      </c>
      <c r="I496" t="s">
        <v>36</v>
      </c>
      <c r="J496" t="s">
        <v>9</v>
      </c>
      <c r="K496" t="s">
        <v>219</v>
      </c>
      <c r="L496" t="s">
        <v>231</v>
      </c>
      <c r="M496" t="s">
        <v>15</v>
      </c>
      <c r="N496" s="2">
        <v>4224</v>
      </c>
      <c r="O496" s="2">
        <v>0</v>
      </c>
      <c r="P496" s="2">
        <v>-2832</v>
      </c>
      <c r="Q496" s="2">
        <v>1392</v>
      </c>
      <c r="R496" s="2">
        <v>0</v>
      </c>
      <c r="S496" s="2">
        <v>1392</v>
      </c>
      <c r="T496" s="2">
        <v>1392</v>
      </c>
      <c r="U496" s="2">
        <v>0</v>
      </c>
      <c r="V496" s="2">
        <v>0</v>
      </c>
      <c r="W496" s="2">
        <v>0</v>
      </c>
    </row>
    <row r="497" spans="1:23" outlineLevel="2" x14ac:dyDescent="0.2">
      <c r="A497" t="s">
        <v>0</v>
      </c>
      <c r="B497" t="s">
        <v>1</v>
      </c>
      <c r="C497" t="s">
        <v>16</v>
      </c>
      <c r="D497" t="s">
        <v>62</v>
      </c>
      <c r="E497" t="s">
        <v>63</v>
      </c>
      <c r="F497" t="s">
        <v>5</v>
      </c>
      <c r="G497" t="s">
        <v>6</v>
      </c>
      <c r="H497" t="s">
        <v>35</v>
      </c>
      <c r="I497" t="s">
        <v>36</v>
      </c>
      <c r="J497" t="s">
        <v>9</v>
      </c>
      <c r="K497" t="s">
        <v>219</v>
      </c>
      <c r="L497" t="s">
        <v>226</v>
      </c>
      <c r="M497" t="s">
        <v>15</v>
      </c>
      <c r="N497" s="2">
        <v>1056</v>
      </c>
      <c r="O497" s="2">
        <v>0</v>
      </c>
      <c r="P497" s="2">
        <v>-640</v>
      </c>
      <c r="Q497" s="2">
        <v>416</v>
      </c>
      <c r="R497" s="2">
        <v>0</v>
      </c>
      <c r="S497" s="2">
        <v>416</v>
      </c>
      <c r="T497" s="2">
        <v>416</v>
      </c>
      <c r="U497" s="2">
        <v>0</v>
      </c>
      <c r="V497" s="2">
        <v>0</v>
      </c>
      <c r="W497" s="2">
        <v>0</v>
      </c>
    </row>
    <row r="498" spans="1:23" outlineLevel="2" x14ac:dyDescent="0.2">
      <c r="A498" t="s">
        <v>0</v>
      </c>
      <c r="B498" t="s">
        <v>31</v>
      </c>
      <c r="C498" t="s">
        <v>32</v>
      </c>
      <c r="D498" t="s">
        <v>33</v>
      </c>
      <c r="E498" t="s">
        <v>34</v>
      </c>
      <c r="F498" t="s">
        <v>5</v>
      </c>
      <c r="G498" t="s">
        <v>6</v>
      </c>
      <c r="H498" t="s">
        <v>35</v>
      </c>
      <c r="I498" t="s">
        <v>36</v>
      </c>
      <c r="J498" t="s">
        <v>9</v>
      </c>
      <c r="K498" t="s">
        <v>219</v>
      </c>
      <c r="L498" t="s">
        <v>225</v>
      </c>
      <c r="M498" t="s">
        <v>12</v>
      </c>
      <c r="N498" s="2">
        <v>0</v>
      </c>
      <c r="O498" s="2">
        <v>0</v>
      </c>
      <c r="P498" s="2">
        <v>8320</v>
      </c>
      <c r="Q498" s="2">
        <v>8320</v>
      </c>
      <c r="R498" s="2">
        <v>0</v>
      </c>
      <c r="S498" s="2">
        <v>1520</v>
      </c>
      <c r="T498" s="2">
        <v>1520</v>
      </c>
      <c r="U498" s="2">
        <v>6800</v>
      </c>
      <c r="V498" s="2">
        <v>6800</v>
      </c>
      <c r="W498" s="2">
        <v>6800</v>
      </c>
    </row>
    <row r="499" spans="1:23" outlineLevel="2" x14ac:dyDescent="0.2">
      <c r="A499" t="s">
        <v>0</v>
      </c>
      <c r="B499" t="s">
        <v>39</v>
      </c>
      <c r="C499" t="s">
        <v>58</v>
      </c>
      <c r="D499" t="s">
        <v>139</v>
      </c>
      <c r="E499" t="s">
        <v>140</v>
      </c>
      <c r="F499" t="s">
        <v>5</v>
      </c>
      <c r="G499" t="s">
        <v>6</v>
      </c>
      <c r="H499" t="s">
        <v>35</v>
      </c>
      <c r="I499" t="s">
        <v>36</v>
      </c>
      <c r="J499" t="s">
        <v>9</v>
      </c>
      <c r="K499" t="s">
        <v>219</v>
      </c>
      <c r="L499" t="s">
        <v>223</v>
      </c>
      <c r="M499" t="s">
        <v>15</v>
      </c>
      <c r="N499" s="2">
        <v>17952</v>
      </c>
      <c r="O499" s="2">
        <v>0</v>
      </c>
      <c r="P499" s="2">
        <v>-9328</v>
      </c>
      <c r="Q499" s="2">
        <v>8624</v>
      </c>
      <c r="R499" s="2">
        <v>0</v>
      </c>
      <c r="S499" s="2">
        <v>8624</v>
      </c>
      <c r="T499" s="2">
        <v>8624</v>
      </c>
      <c r="U499" s="2">
        <v>0</v>
      </c>
      <c r="V499" s="2">
        <v>0</v>
      </c>
      <c r="W499" s="2">
        <v>0</v>
      </c>
    </row>
    <row r="500" spans="1:23" outlineLevel="2" x14ac:dyDescent="0.2">
      <c r="A500" t="s">
        <v>0</v>
      </c>
      <c r="B500" t="s">
        <v>39</v>
      </c>
      <c r="C500" t="s">
        <v>58</v>
      </c>
      <c r="D500" t="s">
        <v>143</v>
      </c>
      <c r="E500" t="s">
        <v>144</v>
      </c>
      <c r="F500" t="s">
        <v>5</v>
      </c>
      <c r="G500" t="s">
        <v>6</v>
      </c>
      <c r="H500" t="s">
        <v>35</v>
      </c>
      <c r="I500" t="s">
        <v>36</v>
      </c>
      <c r="J500" t="s">
        <v>9</v>
      </c>
      <c r="K500" t="s">
        <v>219</v>
      </c>
      <c r="L500" t="s">
        <v>223</v>
      </c>
      <c r="M500" t="s">
        <v>15</v>
      </c>
      <c r="N500" s="2">
        <v>11616</v>
      </c>
      <c r="O500" s="2">
        <v>0</v>
      </c>
      <c r="P500" s="2">
        <v>-6700</v>
      </c>
      <c r="Q500" s="2">
        <v>4916</v>
      </c>
      <c r="R500" s="2">
        <v>0</v>
      </c>
      <c r="S500" s="2">
        <v>4916</v>
      </c>
      <c r="T500" s="2">
        <v>4916</v>
      </c>
      <c r="U500" s="2">
        <v>0</v>
      </c>
      <c r="V500" s="2">
        <v>0</v>
      </c>
      <c r="W500" s="2">
        <v>0</v>
      </c>
    </row>
    <row r="501" spans="1:23" outlineLevel="2" x14ac:dyDescent="0.2">
      <c r="A501" t="s">
        <v>0</v>
      </c>
      <c r="B501" t="s">
        <v>53</v>
      </c>
      <c r="C501" t="s">
        <v>54</v>
      </c>
      <c r="D501" t="s">
        <v>55</v>
      </c>
      <c r="E501" t="s">
        <v>56</v>
      </c>
      <c r="F501" t="s">
        <v>5</v>
      </c>
      <c r="G501" t="s">
        <v>6</v>
      </c>
      <c r="H501" t="s">
        <v>35</v>
      </c>
      <c r="I501" t="s">
        <v>36</v>
      </c>
      <c r="J501" t="s">
        <v>9</v>
      </c>
      <c r="K501" t="s">
        <v>219</v>
      </c>
      <c r="L501" t="s">
        <v>228</v>
      </c>
      <c r="M501" t="s">
        <v>15</v>
      </c>
      <c r="N501" s="2">
        <v>33792</v>
      </c>
      <c r="O501" s="2">
        <v>-8564</v>
      </c>
      <c r="P501" s="2">
        <v>-7224</v>
      </c>
      <c r="Q501" s="2">
        <v>18004</v>
      </c>
      <c r="R501" s="2">
        <v>0</v>
      </c>
      <c r="S501" s="2">
        <v>18004</v>
      </c>
      <c r="T501" s="2">
        <v>18004</v>
      </c>
      <c r="U501" s="2">
        <v>0</v>
      </c>
      <c r="V501" s="2">
        <v>0</v>
      </c>
      <c r="W501" s="2">
        <v>0</v>
      </c>
    </row>
    <row r="502" spans="1:23" outlineLevel="2" x14ac:dyDescent="0.2">
      <c r="A502" t="s">
        <v>0</v>
      </c>
      <c r="B502" t="s">
        <v>39</v>
      </c>
      <c r="C502" t="s">
        <v>58</v>
      </c>
      <c r="D502" t="s">
        <v>143</v>
      </c>
      <c r="E502" t="s">
        <v>144</v>
      </c>
      <c r="F502" t="s">
        <v>5</v>
      </c>
      <c r="G502" t="s">
        <v>6</v>
      </c>
      <c r="H502" t="s">
        <v>35</v>
      </c>
      <c r="I502" t="s">
        <v>36</v>
      </c>
      <c r="J502" t="s">
        <v>9</v>
      </c>
      <c r="K502" t="s">
        <v>219</v>
      </c>
      <c r="L502" t="s">
        <v>223</v>
      </c>
      <c r="M502" t="s">
        <v>12</v>
      </c>
      <c r="N502" s="2">
        <v>0</v>
      </c>
      <c r="O502" s="2">
        <v>2735</v>
      </c>
      <c r="P502" s="2">
        <v>1576.51</v>
      </c>
      <c r="Q502" s="2">
        <v>4311.51</v>
      </c>
      <c r="R502" s="2">
        <v>0</v>
      </c>
      <c r="S502" s="2">
        <v>2120</v>
      </c>
      <c r="T502" s="2">
        <v>2120</v>
      </c>
      <c r="U502" s="2">
        <v>2191.5100000000002</v>
      </c>
      <c r="V502" s="2">
        <v>2191.5100000000002</v>
      </c>
      <c r="W502" s="2">
        <v>2191.5100000000002</v>
      </c>
    </row>
    <row r="503" spans="1:23" outlineLevel="2" x14ac:dyDescent="0.2">
      <c r="A503" t="s">
        <v>0</v>
      </c>
      <c r="B503" t="s">
        <v>31</v>
      </c>
      <c r="C503" t="s">
        <v>32</v>
      </c>
      <c r="D503" t="s">
        <v>75</v>
      </c>
      <c r="E503" t="s">
        <v>76</v>
      </c>
      <c r="F503" t="s">
        <v>5</v>
      </c>
      <c r="G503" t="s">
        <v>6</v>
      </c>
      <c r="H503" t="s">
        <v>35</v>
      </c>
      <c r="I503" t="s">
        <v>36</v>
      </c>
      <c r="J503" t="s">
        <v>9</v>
      </c>
      <c r="K503" t="s">
        <v>219</v>
      </c>
      <c r="L503" t="s">
        <v>225</v>
      </c>
      <c r="M503" t="s">
        <v>12</v>
      </c>
      <c r="N503" s="2">
        <v>0</v>
      </c>
      <c r="O503" s="2">
        <v>0</v>
      </c>
      <c r="P503" s="2">
        <v>11436</v>
      </c>
      <c r="Q503" s="2">
        <v>11436</v>
      </c>
      <c r="R503" s="2">
        <v>0</v>
      </c>
      <c r="S503" s="2">
        <v>2536</v>
      </c>
      <c r="T503" s="2">
        <v>2536</v>
      </c>
      <c r="U503" s="2">
        <v>8900</v>
      </c>
      <c r="V503" s="2">
        <v>8900</v>
      </c>
      <c r="W503" s="2">
        <v>8900</v>
      </c>
    </row>
    <row r="504" spans="1:23" outlineLevel="2" x14ac:dyDescent="0.2">
      <c r="A504" t="s">
        <v>0</v>
      </c>
      <c r="B504" t="s">
        <v>31</v>
      </c>
      <c r="C504" t="s">
        <v>79</v>
      </c>
      <c r="D504" t="s">
        <v>80</v>
      </c>
      <c r="E504" t="s">
        <v>81</v>
      </c>
      <c r="F504" t="s">
        <v>5</v>
      </c>
      <c r="G504" t="s">
        <v>6</v>
      </c>
      <c r="H504" t="s">
        <v>35</v>
      </c>
      <c r="I504" t="s">
        <v>36</v>
      </c>
      <c r="J504" t="s">
        <v>9</v>
      </c>
      <c r="K504" t="s">
        <v>219</v>
      </c>
      <c r="L504" t="s">
        <v>221</v>
      </c>
      <c r="M504" t="s">
        <v>15</v>
      </c>
      <c r="N504" s="2">
        <v>2112</v>
      </c>
      <c r="O504" s="2">
        <v>0</v>
      </c>
      <c r="P504" s="2">
        <v>-1280</v>
      </c>
      <c r="Q504" s="2">
        <v>832</v>
      </c>
      <c r="R504" s="2">
        <v>0</v>
      </c>
      <c r="S504" s="2">
        <v>832</v>
      </c>
      <c r="T504" s="2">
        <v>832</v>
      </c>
      <c r="U504" s="2">
        <v>0</v>
      </c>
      <c r="V504" s="2">
        <v>0</v>
      </c>
      <c r="W504" s="2">
        <v>0</v>
      </c>
    </row>
    <row r="505" spans="1:23" outlineLevel="2" x14ac:dyDescent="0.2">
      <c r="A505" t="s">
        <v>0</v>
      </c>
      <c r="B505" t="s">
        <v>39</v>
      </c>
      <c r="C505" t="s">
        <v>58</v>
      </c>
      <c r="D505" t="s">
        <v>59</v>
      </c>
      <c r="E505" t="s">
        <v>60</v>
      </c>
      <c r="F505" t="s">
        <v>5</v>
      </c>
      <c r="G505" t="s">
        <v>6</v>
      </c>
      <c r="H505" t="s">
        <v>35</v>
      </c>
      <c r="I505" t="s">
        <v>36</v>
      </c>
      <c r="J505" t="s">
        <v>9</v>
      </c>
      <c r="K505" t="s">
        <v>219</v>
      </c>
      <c r="L505" t="s">
        <v>223</v>
      </c>
      <c r="M505" t="s">
        <v>15</v>
      </c>
      <c r="N505" s="2">
        <v>8448</v>
      </c>
      <c r="O505" s="2">
        <v>0</v>
      </c>
      <c r="P505" s="2">
        <v>-4116</v>
      </c>
      <c r="Q505" s="2">
        <v>4332</v>
      </c>
      <c r="R505" s="2">
        <v>0</v>
      </c>
      <c r="S505" s="2">
        <v>4332</v>
      </c>
      <c r="T505" s="2">
        <v>4332</v>
      </c>
      <c r="U505" s="2">
        <v>0</v>
      </c>
      <c r="V505" s="2">
        <v>0</v>
      </c>
      <c r="W505" s="2">
        <v>0</v>
      </c>
    </row>
    <row r="506" spans="1:23" outlineLevel="2" x14ac:dyDescent="0.2">
      <c r="A506" t="s">
        <v>0</v>
      </c>
      <c r="B506" t="s">
        <v>31</v>
      </c>
      <c r="C506" t="s">
        <v>79</v>
      </c>
      <c r="D506" t="s">
        <v>133</v>
      </c>
      <c r="E506" t="s">
        <v>134</v>
      </c>
      <c r="F506" t="s">
        <v>5</v>
      </c>
      <c r="G506" t="s">
        <v>6</v>
      </c>
      <c r="H506" t="s">
        <v>35</v>
      </c>
      <c r="I506" t="s">
        <v>36</v>
      </c>
      <c r="J506" t="s">
        <v>9</v>
      </c>
      <c r="K506" t="s">
        <v>219</v>
      </c>
      <c r="L506" t="s">
        <v>221</v>
      </c>
      <c r="M506" t="s">
        <v>15</v>
      </c>
      <c r="N506" s="2">
        <v>7392</v>
      </c>
      <c r="O506" s="2">
        <v>3615</v>
      </c>
      <c r="P506" s="2">
        <v>-6915</v>
      </c>
      <c r="Q506" s="2">
        <v>4092</v>
      </c>
      <c r="R506" s="2">
        <v>0</v>
      </c>
      <c r="S506" s="2">
        <v>4092</v>
      </c>
      <c r="T506" s="2">
        <v>4092</v>
      </c>
      <c r="U506" s="2">
        <v>0</v>
      </c>
      <c r="V506" s="2">
        <v>0</v>
      </c>
      <c r="W506" s="2">
        <v>0</v>
      </c>
    </row>
    <row r="507" spans="1:23" outlineLevel="2" x14ac:dyDescent="0.2">
      <c r="A507" t="s">
        <v>0</v>
      </c>
      <c r="B507" t="s">
        <v>31</v>
      </c>
      <c r="C507" t="s">
        <v>32</v>
      </c>
      <c r="D507" t="s">
        <v>123</v>
      </c>
      <c r="E507" t="s">
        <v>124</v>
      </c>
      <c r="F507" t="s">
        <v>5</v>
      </c>
      <c r="G507" t="s">
        <v>6</v>
      </c>
      <c r="H507" t="s">
        <v>35</v>
      </c>
      <c r="I507" t="s">
        <v>36</v>
      </c>
      <c r="J507" t="s">
        <v>9</v>
      </c>
      <c r="K507" t="s">
        <v>219</v>
      </c>
      <c r="L507" t="s">
        <v>225</v>
      </c>
      <c r="M507" t="s">
        <v>12</v>
      </c>
      <c r="N507" s="2">
        <v>0</v>
      </c>
      <c r="O507" s="2">
        <v>0</v>
      </c>
      <c r="P507" s="2">
        <v>6184</v>
      </c>
      <c r="Q507" s="2">
        <v>6184</v>
      </c>
      <c r="R507" s="2">
        <v>0</v>
      </c>
      <c r="S507" s="2">
        <v>836</v>
      </c>
      <c r="T507" s="2">
        <v>836</v>
      </c>
      <c r="U507" s="2">
        <v>5348</v>
      </c>
      <c r="V507" s="2">
        <v>5348</v>
      </c>
      <c r="W507" s="2">
        <v>5348</v>
      </c>
    </row>
    <row r="508" spans="1:23" outlineLevel="2" x14ac:dyDescent="0.2">
      <c r="A508" t="s">
        <v>0</v>
      </c>
      <c r="B508" t="s">
        <v>39</v>
      </c>
      <c r="C508" t="s">
        <v>58</v>
      </c>
      <c r="D508" t="s">
        <v>59</v>
      </c>
      <c r="E508" t="s">
        <v>60</v>
      </c>
      <c r="F508" t="s">
        <v>5</v>
      </c>
      <c r="G508" t="s">
        <v>6</v>
      </c>
      <c r="H508" t="s">
        <v>35</v>
      </c>
      <c r="I508" t="s">
        <v>36</v>
      </c>
      <c r="J508" t="s">
        <v>9</v>
      </c>
      <c r="K508" t="s">
        <v>219</v>
      </c>
      <c r="L508" t="s">
        <v>223</v>
      </c>
      <c r="M508" t="s">
        <v>12</v>
      </c>
      <c r="N508" s="2">
        <v>0</v>
      </c>
      <c r="O508" s="2">
        <v>310</v>
      </c>
      <c r="P508" s="2">
        <v>922.86</v>
      </c>
      <c r="Q508" s="2">
        <v>1232.8599999999999</v>
      </c>
      <c r="R508" s="2">
        <v>0</v>
      </c>
      <c r="S508" s="2">
        <v>608</v>
      </c>
      <c r="T508" s="2">
        <v>608</v>
      </c>
      <c r="U508" s="2">
        <v>624.86</v>
      </c>
      <c r="V508" s="2">
        <v>624.86</v>
      </c>
      <c r="W508" s="2">
        <v>624.86</v>
      </c>
    </row>
    <row r="509" spans="1:23" outlineLevel="2" x14ac:dyDescent="0.2">
      <c r="A509" t="s">
        <v>0</v>
      </c>
      <c r="B509" t="s">
        <v>39</v>
      </c>
      <c r="C509" t="s">
        <v>40</v>
      </c>
      <c r="D509" t="s">
        <v>77</v>
      </c>
      <c r="E509" t="s">
        <v>78</v>
      </c>
      <c r="F509" t="s">
        <v>5</v>
      </c>
      <c r="G509" t="s">
        <v>6</v>
      </c>
      <c r="H509" t="s">
        <v>35</v>
      </c>
      <c r="I509" t="s">
        <v>36</v>
      </c>
      <c r="J509" t="s">
        <v>9</v>
      </c>
      <c r="K509" t="s">
        <v>219</v>
      </c>
      <c r="L509" t="s">
        <v>227</v>
      </c>
      <c r="M509" t="s">
        <v>15</v>
      </c>
      <c r="N509" s="2">
        <v>2112</v>
      </c>
      <c r="O509" s="2">
        <v>0</v>
      </c>
      <c r="P509" s="2">
        <v>-452</v>
      </c>
      <c r="Q509" s="2">
        <v>1660</v>
      </c>
      <c r="R509" s="2">
        <v>0</v>
      </c>
      <c r="S509" s="2">
        <v>1660</v>
      </c>
      <c r="T509" s="2">
        <v>1660</v>
      </c>
      <c r="U509" s="2">
        <v>0</v>
      </c>
      <c r="V509" s="2">
        <v>0</v>
      </c>
      <c r="W509" s="2">
        <v>0</v>
      </c>
    </row>
    <row r="510" spans="1:23" outlineLevel="2" x14ac:dyDescent="0.2">
      <c r="A510" t="s">
        <v>0</v>
      </c>
      <c r="B510" t="s">
        <v>31</v>
      </c>
      <c r="C510" t="s">
        <v>79</v>
      </c>
      <c r="D510" t="s">
        <v>131</v>
      </c>
      <c r="E510" t="s">
        <v>132</v>
      </c>
      <c r="F510" t="s">
        <v>5</v>
      </c>
      <c r="G510" t="s">
        <v>6</v>
      </c>
      <c r="H510" t="s">
        <v>35</v>
      </c>
      <c r="I510" t="s">
        <v>36</v>
      </c>
      <c r="J510" t="s">
        <v>9</v>
      </c>
      <c r="K510" t="s">
        <v>219</v>
      </c>
      <c r="L510" t="s">
        <v>221</v>
      </c>
      <c r="M510" t="s">
        <v>15</v>
      </c>
      <c r="N510" s="2">
        <v>4224</v>
      </c>
      <c r="O510" s="2">
        <v>2095</v>
      </c>
      <c r="P510" s="2">
        <v>-3971</v>
      </c>
      <c r="Q510" s="2">
        <v>2348</v>
      </c>
      <c r="R510" s="2">
        <v>0</v>
      </c>
      <c r="S510" s="2">
        <v>2348</v>
      </c>
      <c r="T510" s="2">
        <v>2348</v>
      </c>
      <c r="U510" s="2">
        <v>0</v>
      </c>
      <c r="V510" s="2">
        <v>0</v>
      </c>
      <c r="W510" s="2">
        <v>0</v>
      </c>
    </row>
    <row r="511" spans="1:23" outlineLevel="2" x14ac:dyDescent="0.2">
      <c r="A511" t="s">
        <v>0</v>
      </c>
      <c r="B511" t="s">
        <v>31</v>
      </c>
      <c r="C511" t="s">
        <v>79</v>
      </c>
      <c r="D511" t="s">
        <v>125</v>
      </c>
      <c r="E511" t="s">
        <v>126</v>
      </c>
      <c r="F511" t="s">
        <v>5</v>
      </c>
      <c r="G511" t="s">
        <v>6</v>
      </c>
      <c r="H511" t="s">
        <v>35</v>
      </c>
      <c r="I511" t="s">
        <v>36</v>
      </c>
      <c r="J511" t="s">
        <v>9</v>
      </c>
      <c r="K511" t="s">
        <v>219</v>
      </c>
      <c r="L511" t="s">
        <v>221</v>
      </c>
      <c r="M511" t="s">
        <v>12</v>
      </c>
      <c r="N511" s="2">
        <v>0</v>
      </c>
      <c r="O511" s="2">
        <v>320</v>
      </c>
      <c r="P511" s="2">
        <v>137.66</v>
      </c>
      <c r="Q511" s="2">
        <v>457.66</v>
      </c>
      <c r="R511" s="2">
        <v>0</v>
      </c>
      <c r="S511" s="2">
        <v>228</v>
      </c>
      <c r="T511" s="2">
        <v>228</v>
      </c>
      <c r="U511" s="2">
        <v>229.66</v>
      </c>
      <c r="V511" s="2">
        <v>229.66</v>
      </c>
      <c r="W511" s="2">
        <v>229.66</v>
      </c>
    </row>
    <row r="512" spans="1:23" outlineLevel="2" x14ac:dyDescent="0.2">
      <c r="A512" t="s">
        <v>0</v>
      </c>
      <c r="B512" t="s">
        <v>39</v>
      </c>
      <c r="C512" t="s">
        <v>66</v>
      </c>
      <c r="D512" t="s">
        <v>121</v>
      </c>
      <c r="E512" t="s">
        <v>122</v>
      </c>
      <c r="F512" t="s">
        <v>5</v>
      </c>
      <c r="G512" t="s">
        <v>6</v>
      </c>
      <c r="H512" t="s">
        <v>35</v>
      </c>
      <c r="I512" t="s">
        <v>36</v>
      </c>
      <c r="J512" t="s">
        <v>9</v>
      </c>
      <c r="K512" t="s">
        <v>219</v>
      </c>
      <c r="L512" t="s">
        <v>233</v>
      </c>
      <c r="M512" t="s">
        <v>12</v>
      </c>
      <c r="N512" s="2">
        <v>0</v>
      </c>
      <c r="O512" s="2">
        <v>0</v>
      </c>
      <c r="P512" s="2">
        <v>1019.89</v>
      </c>
      <c r="Q512" s="2">
        <v>1019.89</v>
      </c>
      <c r="R512" s="2">
        <v>0</v>
      </c>
      <c r="S512" s="2">
        <v>76</v>
      </c>
      <c r="T512" s="2">
        <v>76</v>
      </c>
      <c r="U512" s="2">
        <v>943.89</v>
      </c>
      <c r="V512" s="2">
        <v>943.89</v>
      </c>
      <c r="W512" s="2">
        <v>943.89</v>
      </c>
    </row>
    <row r="513" spans="1:23" outlineLevel="2" x14ac:dyDescent="0.2">
      <c r="A513" t="s">
        <v>0</v>
      </c>
      <c r="B513" t="s">
        <v>31</v>
      </c>
      <c r="C513" t="s">
        <v>79</v>
      </c>
      <c r="D513" t="s">
        <v>127</v>
      </c>
      <c r="E513" t="s">
        <v>128</v>
      </c>
      <c r="F513" t="s">
        <v>5</v>
      </c>
      <c r="G513" t="s">
        <v>6</v>
      </c>
      <c r="H513" t="s">
        <v>35</v>
      </c>
      <c r="I513" t="s">
        <v>36</v>
      </c>
      <c r="J513" t="s">
        <v>9</v>
      </c>
      <c r="K513" t="s">
        <v>219</v>
      </c>
      <c r="L513" t="s">
        <v>221</v>
      </c>
      <c r="M513" t="s">
        <v>15</v>
      </c>
      <c r="N513" s="2">
        <v>4224</v>
      </c>
      <c r="O513" s="2">
        <v>0</v>
      </c>
      <c r="P513" s="2">
        <v>-2560</v>
      </c>
      <c r="Q513" s="2">
        <v>1664</v>
      </c>
      <c r="R513" s="2">
        <v>0</v>
      </c>
      <c r="S513" s="2">
        <v>1664</v>
      </c>
      <c r="T513" s="2">
        <v>1664</v>
      </c>
      <c r="U513" s="2">
        <v>0</v>
      </c>
      <c r="V513" s="2">
        <v>0</v>
      </c>
      <c r="W513" s="2">
        <v>0</v>
      </c>
    </row>
    <row r="514" spans="1:23" outlineLevel="2" x14ac:dyDescent="0.2">
      <c r="A514" t="s">
        <v>0</v>
      </c>
      <c r="B514" t="s">
        <v>31</v>
      </c>
      <c r="C514" t="s">
        <v>32</v>
      </c>
      <c r="D514" t="s">
        <v>75</v>
      </c>
      <c r="E514" t="s">
        <v>76</v>
      </c>
      <c r="F514" t="s">
        <v>5</v>
      </c>
      <c r="G514" t="s">
        <v>6</v>
      </c>
      <c r="H514" t="s">
        <v>35</v>
      </c>
      <c r="I514" t="s">
        <v>36</v>
      </c>
      <c r="J514" t="s">
        <v>9</v>
      </c>
      <c r="K514" t="s">
        <v>219</v>
      </c>
      <c r="L514" t="s">
        <v>225</v>
      </c>
      <c r="M514" t="s">
        <v>15</v>
      </c>
      <c r="N514" s="2">
        <v>19008</v>
      </c>
      <c r="O514" s="2">
        <v>1600</v>
      </c>
      <c r="P514" s="2">
        <v>-11436</v>
      </c>
      <c r="Q514" s="2">
        <v>9172</v>
      </c>
      <c r="R514" s="2">
        <v>0</v>
      </c>
      <c r="S514" s="2">
        <v>9172</v>
      </c>
      <c r="T514" s="2">
        <v>9172</v>
      </c>
      <c r="U514" s="2">
        <v>0</v>
      </c>
      <c r="V514" s="2">
        <v>0</v>
      </c>
      <c r="W514" s="2">
        <v>0</v>
      </c>
    </row>
    <row r="515" spans="1:23" outlineLevel="2" x14ac:dyDescent="0.2">
      <c r="A515" t="s">
        <v>0</v>
      </c>
      <c r="B515" t="s">
        <v>31</v>
      </c>
      <c r="C515" t="s">
        <v>32</v>
      </c>
      <c r="D515" t="s">
        <v>33</v>
      </c>
      <c r="E515" t="s">
        <v>34</v>
      </c>
      <c r="F515" t="s">
        <v>5</v>
      </c>
      <c r="G515" t="s">
        <v>6</v>
      </c>
      <c r="H515" t="s">
        <v>35</v>
      </c>
      <c r="I515" t="s">
        <v>36</v>
      </c>
      <c r="J515" t="s">
        <v>9</v>
      </c>
      <c r="K515" t="s">
        <v>219</v>
      </c>
      <c r="L515" t="s">
        <v>225</v>
      </c>
      <c r="M515" t="s">
        <v>15</v>
      </c>
      <c r="N515" s="2">
        <v>21120</v>
      </c>
      <c r="O515" s="2">
        <v>800</v>
      </c>
      <c r="P515" s="2">
        <v>-8320</v>
      </c>
      <c r="Q515" s="2">
        <v>13600</v>
      </c>
      <c r="R515" s="2">
        <v>0</v>
      </c>
      <c r="S515" s="2">
        <v>13600</v>
      </c>
      <c r="T515" s="2">
        <v>13600</v>
      </c>
      <c r="U515" s="2">
        <v>0</v>
      </c>
      <c r="V515" s="2">
        <v>0</v>
      </c>
      <c r="W515" s="2">
        <v>0</v>
      </c>
    </row>
    <row r="516" spans="1:23" outlineLevel="2" x14ac:dyDescent="0.2">
      <c r="A516" t="s">
        <v>0</v>
      </c>
      <c r="B516" t="s">
        <v>31</v>
      </c>
      <c r="C516" t="s">
        <v>32</v>
      </c>
      <c r="D516" t="s">
        <v>141</v>
      </c>
      <c r="E516" t="s">
        <v>142</v>
      </c>
      <c r="F516" t="s">
        <v>5</v>
      </c>
      <c r="G516" t="s">
        <v>6</v>
      </c>
      <c r="H516" t="s">
        <v>35</v>
      </c>
      <c r="I516" t="s">
        <v>36</v>
      </c>
      <c r="J516" t="s">
        <v>9</v>
      </c>
      <c r="K516" t="s">
        <v>219</v>
      </c>
      <c r="L516" t="s">
        <v>225</v>
      </c>
      <c r="M516" t="s">
        <v>15</v>
      </c>
      <c r="N516" s="2">
        <v>6336</v>
      </c>
      <c r="O516" s="2">
        <v>160</v>
      </c>
      <c r="P516" s="2">
        <v>-2328</v>
      </c>
      <c r="Q516" s="2">
        <v>4168</v>
      </c>
      <c r="R516" s="2">
        <v>0</v>
      </c>
      <c r="S516" s="2">
        <v>4168</v>
      </c>
      <c r="T516" s="2">
        <v>4168</v>
      </c>
      <c r="U516" s="2">
        <v>0</v>
      </c>
      <c r="V516" s="2">
        <v>0</v>
      </c>
      <c r="W516" s="2">
        <v>0</v>
      </c>
    </row>
    <row r="517" spans="1:23" outlineLevel="2" x14ac:dyDescent="0.2">
      <c r="A517" t="s">
        <v>0</v>
      </c>
      <c r="B517" t="s">
        <v>39</v>
      </c>
      <c r="C517" t="s">
        <v>58</v>
      </c>
      <c r="D517" t="s">
        <v>147</v>
      </c>
      <c r="E517" t="s">
        <v>148</v>
      </c>
      <c r="F517" t="s">
        <v>5</v>
      </c>
      <c r="G517" t="s">
        <v>6</v>
      </c>
      <c r="H517" t="s">
        <v>35</v>
      </c>
      <c r="I517" t="s">
        <v>36</v>
      </c>
      <c r="J517" t="s">
        <v>9</v>
      </c>
      <c r="K517" t="s">
        <v>219</v>
      </c>
      <c r="L517" t="s">
        <v>223</v>
      </c>
      <c r="M517" t="s">
        <v>12</v>
      </c>
      <c r="N517" s="2">
        <v>0</v>
      </c>
      <c r="O517" s="2">
        <v>3000</v>
      </c>
      <c r="P517" s="2">
        <v>219.94</v>
      </c>
      <c r="Q517" s="2">
        <v>3219.94</v>
      </c>
      <c r="R517" s="2">
        <v>0</v>
      </c>
      <c r="S517" s="2">
        <v>1596</v>
      </c>
      <c r="T517" s="2">
        <v>1596</v>
      </c>
      <c r="U517" s="2">
        <v>1623.94</v>
      </c>
      <c r="V517" s="2">
        <v>1623.94</v>
      </c>
      <c r="W517" s="2">
        <v>1623.94</v>
      </c>
    </row>
    <row r="518" spans="1:23" outlineLevel="2" x14ac:dyDescent="0.2">
      <c r="A518" t="s">
        <v>0</v>
      </c>
      <c r="B518" t="s">
        <v>39</v>
      </c>
      <c r="C518" t="s">
        <v>70</v>
      </c>
      <c r="D518" t="s">
        <v>71</v>
      </c>
      <c r="E518" t="s">
        <v>72</v>
      </c>
      <c r="F518" t="s">
        <v>5</v>
      </c>
      <c r="G518" t="s">
        <v>6</v>
      </c>
      <c r="H518" t="s">
        <v>35</v>
      </c>
      <c r="I518" t="s">
        <v>36</v>
      </c>
      <c r="J518" t="s">
        <v>9</v>
      </c>
      <c r="K518" t="s">
        <v>219</v>
      </c>
      <c r="L518" t="s">
        <v>222</v>
      </c>
      <c r="M518" t="s">
        <v>15</v>
      </c>
      <c r="N518" s="2">
        <v>17952</v>
      </c>
      <c r="O518" s="2">
        <v>0</v>
      </c>
      <c r="P518" s="2">
        <v>-6716</v>
      </c>
      <c r="Q518" s="2">
        <v>11236</v>
      </c>
      <c r="R518" s="2">
        <v>0</v>
      </c>
      <c r="S518" s="2">
        <v>11236</v>
      </c>
      <c r="T518" s="2">
        <v>11236</v>
      </c>
      <c r="U518" s="2">
        <v>0</v>
      </c>
      <c r="V518" s="2">
        <v>0</v>
      </c>
      <c r="W518" s="2">
        <v>0</v>
      </c>
    </row>
    <row r="519" spans="1:23" outlineLevel="2" x14ac:dyDescent="0.2">
      <c r="A519" t="s">
        <v>0</v>
      </c>
      <c r="B519" t="s">
        <v>39</v>
      </c>
      <c r="C519" t="s">
        <v>58</v>
      </c>
      <c r="D519" t="s">
        <v>135</v>
      </c>
      <c r="E519" t="s">
        <v>136</v>
      </c>
      <c r="F519" t="s">
        <v>5</v>
      </c>
      <c r="G519" t="s">
        <v>6</v>
      </c>
      <c r="H519" t="s">
        <v>35</v>
      </c>
      <c r="I519" t="s">
        <v>36</v>
      </c>
      <c r="J519" t="s">
        <v>9</v>
      </c>
      <c r="K519" t="s">
        <v>219</v>
      </c>
      <c r="L519" t="s">
        <v>223</v>
      </c>
      <c r="M519" t="s">
        <v>12</v>
      </c>
      <c r="N519" s="2">
        <v>0</v>
      </c>
      <c r="O519" s="2">
        <v>0</v>
      </c>
      <c r="P519" s="2">
        <v>1637.37</v>
      </c>
      <c r="Q519" s="2">
        <v>1637.37</v>
      </c>
      <c r="R519" s="2">
        <v>0</v>
      </c>
      <c r="S519" s="2">
        <v>784</v>
      </c>
      <c r="T519" s="2">
        <v>784</v>
      </c>
      <c r="U519" s="2">
        <v>853.37</v>
      </c>
      <c r="V519" s="2">
        <v>853.37</v>
      </c>
      <c r="W519" s="2">
        <v>853.37</v>
      </c>
    </row>
    <row r="520" spans="1:23" outlineLevel="2" x14ac:dyDescent="0.2">
      <c r="A520" t="s">
        <v>0</v>
      </c>
      <c r="B520" t="s">
        <v>1</v>
      </c>
      <c r="C520" t="s">
        <v>44</v>
      </c>
      <c r="D520" t="s">
        <v>45</v>
      </c>
      <c r="E520" t="s">
        <v>46</v>
      </c>
      <c r="F520" t="s">
        <v>5</v>
      </c>
      <c r="G520" t="s">
        <v>6</v>
      </c>
      <c r="H520" t="s">
        <v>35</v>
      </c>
      <c r="I520" t="s">
        <v>36</v>
      </c>
      <c r="J520" t="s">
        <v>9</v>
      </c>
      <c r="K520" t="s">
        <v>219</v>
      </c>
      <c r="L520" t="s">
        <v>232</v>
      </c>
      <c r="M520" t="s">
        <v>12</v>
      </c>
      <c r="N520" s="2">
        <v>0</v>
      </c>
      <c r="O520" s="2">
        <v>0</v>
      </c>
      <c r="P520" s="2">
        <v>525.66</v>
      </c>
      <c r="Q520" s="2">
        <v>525.66</v>
      </c>
      <c r="R520" s="2">
        <v>0</v>
      </c>
      <c r="S520" s="2">
        <v>152</v>
      </c>
      <c r="T520" s="2">
        <v>152</v>
      </c>
      <c r="U520" s="2">
        <v>373.66</v>
      </c>
      <c r="V520" s="2">
        <v>373.66</v>
      </c>
      <c r="W520" s="2">
        <v>373.66</v>
      </c>
    </row>
    <row r="521" spans="1:23" outlineLevel="2" x14ac:dyDescent="0.2">
      <c r="A521" t="s">
        <v>0</v>
      </c>
      <c r="B521" t="s">
        <v>31</v>
      </c>
      <c r="C521" t="s">
        <v>79</v>
      </c>
      <c r="D521" t="s">
        <v>83</v>
      </c>
      <c r="E521" t="s">
        <v>84</v>
      </c>
      <c r="F521" t="s">
        <v>5</v>
      </c>
      <c r="G521" t="s">
        <v>6</v>
      </c>
      <c r="H521" t="s">
        <v>35</v>
      </c>
      <c r="I521" t="s">
        <v>36</v>
      </c>
      <c r="J521" t="s">
        <v>9</v>
      </c>
      <c r="K521" t="s">
        <v>219</v>
      </c>
      <c r="L521" t="s">
        <v>221</v>
      </c>
      <c r="M521" t="s">
        <v>15</v>
      </c>
      <c r="N521" s="2">
        <v>29568</v>
      </c>
      <c r="O521" s="2">
        <v>0</v>
      </c>
      <c r="P521" s="2">
        <v>-13868</v>
      </c>
      <c r="Q521" s="2">
        <v>15700</v>
      </c>
      <c r="R521" s="2">
        <v>0</v>
      </c>
      <c r="S521" s="2">
        <v>15700</v>
      </c>
      <c r="T521" s="2">
        <v>15700</v>
      </c>
      <c r="U521" s="2">
        <v>0</v>
      </c>
      <c r="V521" s="2">
        <v>0</v>
      </c>
      <c r="W521" s="2">
        <v>0</v>
      </c>
    </row>
    <row r="522" spans="1:23" outlineLevel="2" x14ac:dyDescent="0.2">
      <c r="A522" t="s">
        <v>0</v>
      </c>
      <c r="B522" t="s">
        <v>31</v>
      </c>
      <c r="C522" t="s">
        <v>79</v>
      </c>
      <c r="D522" t="s">
        <v>83</v>
      </c>
      <c r="E522" t="s">
        <v>84</v>
      </c>
      <c r="F522" t="s">
        <v>5</v>
      </c>
      <c r="G522" t="s">
        <v>6</v>
      </c>
      <c r="H522" t="s">
        <v>35</v>
      </c>
      <c r="I522" t="s">
        <v>36</v>
      </c>
      <c r="J522" t="s">
        <v>9</v>
      </c>
      <c r="K522" t="s">
        <v>219</v>
      </c>
      <c r="L522" t="s">
        <v>221</v>
      </c>
      <c r="M522" t="s">
        <v>12</v>
      </c>
      <c r="N522" s="2">
        <v>0</v>
      </c>
      <c r="O522" s="2">
        <v>2400</v>
      </c>
      <c r="P522" s="2">
        <v>880.46</v>
      </c>
      <c r="Q522" s="2">
        <v>3280.46</v>
      </c>
      <c r="R522" s="2">
        <v>0</v>
      </c>
      <c r="S522" s="2">
        <v>1900</v>
      </c>
      <c r="T522" s="2">
        <v>1900</v>
      </c>
      <c r="U522" s="2">
        <v>1380.46</v>
      </c>
      <c r="V522" s="2">
        <v>1380.46</v>
      </c>
      <c r="W522" s="2">
        <v>1380.46</v>
      </c>
    </row>
    <row r="523" spans="1:23" outlineLevel="2" x14ac:dyDescent="0.2">
      <c r="A523" t="s">
        <v>0</v>
      </c>
      <c r="B523" t="s">
        <v>31</v>
      </c>
      <c r="C523" t="s">
        <v>107</v>
      </c>
      <c r="D523" t="s">
        <v>108</v>
      </c>
      <c r="E523" t="s">
        <v>109</v>
      </c>
      <c r="F523" t="s">
        <v>5</v>
      </c>
      <c r="G523" t="s">
        <v>6</v>
      </c>
      <c r="H523" t="s">
        <v>35</v>
      </c>
      <c r="I523" t="s">
        <v>36</v>
      </c>
      <c r="J523" t="s">
        <v>9</v>
      </c>
      <c r="K523" t="s">
        <v>219</v>
      </c>
      <c r="L523" t="s">
        <v>234</v>
      </c>
      <c r="M523" t="s">
        <v>12</v>
      </c>
      <c r="N523" s="2">
        <v>0</v>
      </c>
      <c r="O523" s="2">
        <v>0</v>
      </c>
      <c r="P523" s="2">
        <v>1839.31</v>
      </c>
      <c r="Q523" s="2">
        <v>1839.31</v>
      </c>
      <c r="R523" s="2">
        <v>0</v>
      </c>
      <c r="S523" s="2">
        <v>760</v>
      </c>
      <c r="T523" s="2">
        <v>760</v>
      </c>
      <c r="U523" s="2">
        <v>1079.31</v>
      </c>
      <c r="V523" s="2">
        <v>1079.31</v>
      </c>
      <c r="W523" s="2">
        <v>1079.31</v>
      </c>
    </row>
    <row r="524" spans="1:23" outlineLevel="2" x14ac:dyDescent="0.2">
      <c r="A524" t="s">
        <v>0</v>
      </c>
      <c r="B524" t="s">
        <v>1</v>
      </c>
      <c r="C524" t="s">
        <v>91</v>
      </c>
      <c r="D524" t="s">
        <v>92</v>
      </c>
      <c r="E524" t="s">
        <v>93</v>
      </c>
      <c r="F524" t="s">
        <v>5</v>
      </c>
      <c r="G524" t="s">
        <v>6</v>
      </c>
      <c r="H524" t="s">
        <v>35</v>
      </c>
      <c r="I524" t="s">
        <v>36</v>
      </c>
      <c r="J524" t="s">
        <v>9</v>
      </c>
      <c r="K524" t="s">
        <v>219</v>
      </c>
      <c r="L524" t="s">
        <v>229</v>
      </c>
      <c r="M524" t="s">
        <v>15</v>
      </c>
      <c r="N524" s="2">
        <v>5280</v>
      </c>
      <c r="O524" s="2">
        <v>0</v>
      </c>
      <c r="P524" s="2">
        <v>-1312</v>
      </c>
      <c r="Q524" s="2">
        <v>3968</v>
      </c>
      <c r="R524" s="2">
        <v>0</v>
      </c>
      <c r="S524" s="2">
        <v>3968</v>
      </c>
      <c r="T524" s="2">
        <v>3968</v>
      </c>
      <c r="U524" s="2">
        <v>0</v>
      </c>
      <c r="V524" s="2">
        <v>0</v>
      </c>
      <c r="W524" s="2">
        <v>0</v>
      </c>
    </row>
    <row r="525" spans="1:23" outlineLevel="2" x14ac:dyDescent="0.2">
      <c r="A525" t="s">
        <v>0</v>
      </c>
      <c r="B525" t="s">
        <v>31</v>
      </c>
      <c r="C525" t="s">
        <v>107</v>
      </c>
      <c r="D525" t="s">
        <v>108</v>
      </c>
      <c r="E525" t="s">
        <v>109</v>
      </c>
      <c r="F525" t="s">
        <v>5</v>
      </c>
      <c r="G525" t="s">
        <v>6</v>
      </c>
      <c r="H525" t="s">
        <v>35</v>
      </c>
      <c r="I525" t="s">
        <v>36</v>
      </c>
      <c r="J525" t="s">
        <v>9</v>
      </c>
      <c r="K525" t="s">
        <v>219</v>
      </c>
      <c r="L525" t="s">
        <v>234</v>
      </c>
      <c r="M525" t="s">
        <v>15</v>
      </c>
      <c r="N525" s="2">
        <v>12672</v>
      </c>
      <c r="O525" s="2">
        <v>0</v>
      </c>
      <c r="P525" s="2">
        <v>-7196</v>
      </c>
      <c r="Q525" s="2">
        <v>5476</v>
      </c>
      <c r="R525" s="2">
        <v>0</v>
      </c>
      <c r="S525" s="2">
        <v>5476</v>
      </c>
      <c r="T525" s="2">
        <v>5476</v>
      </c>
      <c r="U525" s="2">
        <v>0</v>
      </c>
      <c r="V525" s="2">
        <v>0</v>
      </c>
      <c r="W525" s="2">
        <v>0</v>
      </c>
    </row>
    <row r="526" spans="1:23" outlineLevel="2" x14ac:dyDescent="0.2">
      <c r="A526" t="s">
        <v>0</v>
      </c>
      <c r="B526" t="s">
        <v>39</v>
      </c>
      <c r="C526" t="s">
        <v>58</v>
      </c>
      <c r="D526" t="s">
        <v>137</v>
      </c>
      <c r="E526" t="s">
        <v>138</v>
      </c>
      <c r="F526" t="s">
        <v>5</v>
      </c>
      <c r="G526" t="s">
        <v>6</v>
      </c>
      <c r="H526" t="s">
        <v>35</v>
      </c>
      <c r="I526" t="s">
        <v>36</v>
      </c>
      <c r="J526" t="s">
        <v>9</v>
      </c>
      <c r="K526" t="s">
        <v>219</v>
      </c>
      <c r="L526" t="s">
        <v>223</v>
      </c>
      <c r="M526" t="s">
        <v>12</v>
      </c>
      <c r="N526" s="2">
        <v>0</v>
      </c>
      <c r="O526" s="2">
        <v>300</v>
      </c>
      <c r="P526" s="2">
        <v>3814.34</v>
      </c>
      <c r="Q526" s="2">
        <v>4114.34</v>
      </c>
      <c r="R526" s="2">
        <v>0</v>
      </c>
      <c r="S526" s="2">
        <v>2056</v>
      </c>
      <c r="T526" s="2">
        <v>2056</v>
      </c>
      <c r="U526" s="2">
        <v>2058.34</v>
      </c>
      <c r="V526" s="2">
        <v>2058.34</v>
      </c>
      <c r="W526" s="2">
        <v>2058.34</v>
      </c>
    </row>
    <row r="527" spans="1:23" outlineLevel="2" x14ac:dyDescent="0.2">
      <c r="A527" t="s">
        <v>0</v>
      </c>
      <c r="B527" t="s">
        <v>39</v>
      </c>
      <c r="C527" t="s">
        <v>66</v>
      </c>
      <c r="D527" t="s">
        <v>121</v>
      </c>
      <c r="E527" t="s">
        <v>122</v>
      </c>
      <c r="F527" t="s">
        <v>5</v>
      </c>
      <c r="G527" t="s">
        <v>6</v>
      </c>
      <c r="H527" t="s">
        <v>35</v>
      </c>
      <c r="I527" t="s">
        <v>36</v>
      </c>
      <c r="J527" t="s">
        <v>9</v>
      </c>
      <c r="K527" t="s">
        <v>219</v>
      </c>
      <c r="L527" t="s">
        <v>233</v>
      </c>
      <c r="M527" t="s">
        <v>15</v>
      </c>
      <c r="N527" s="2">
        <v>1056</v>
      </c>
      <c r="O527" s="2">
        <v>1286</v>
      </c>
      <c r="P527" s="2">
        <v>-1502</v>
      </c>
      <c r="Q527" s="2">
        <v>840</v>
      </c>
      <c r="R527" s="2">
        <v>0</v>
      </c>
      <c r="S527" s="2">
        <v>840</v>
      </c>
      <c r="T527" s="2">
        <v>840</v>
      </c>
      <c r="U527" s="2">
        <v>0</v>
      </c>
      <c r="V527" s="2">
        <v>0</v>
      </c>
      <c r="W527" s="2">
        <v>0</v>
      </c>
    </row>
    <row r="528" spans="1:23" outlineLevel="2" x14ac:dyDescent="0.2">
      <c r="A528" t="s">
        <v>0</v>
      </c>
      <c r="B528" t="s">
        <v>39</v>
      </c>
      <c r="C528" t="s">
        <v>40</v>
      </c>
      <c r="D528" t="s">
        <v>41</v>
      </c>
      <c r="E528" t="s">
        <v>42</v>
      </c>
      <c r="F528" t="s">
        <v>5</v>
      </c>
      <c r="G528" t="s">
        <v>6</v>
      </c>
      <c r="H528" t="s">
        <v>35</v>
      </c>
      <c r="I528" t="s">
        <v>36</v>
      </c>
      <c r="J528" t="s">
        <v>9</v>
      </c>
      <c r="K528" t="s">
        <v>219</v>
      </c>
      <c r="L528" t="s">
        <v>227</v>
      </c>
      <c r="M528" t="s">
        <v>12</v>
      </c>
      <c r="N528" s="2">
        <v>0</v>
      </c>
      <c r="O528" s="2">
        <v>160</v>
      </c>
      <c r="P528" s="2">
        <v>613.30999999999995</v>
      </c>
      <c r="Q528" s="2">
        <v>773.31</v>
      </c>
      <c r="R528" s="2">
        <v>0</v>
      </c>
      <c r="S528" s="2">
        <v>380</v>
      </c>
      <c r="T528" s="2">
        <v>380</v>
      </c>
      <c r="U528" s="2">
        <v>393.31</v>
      </c>
      <c r="V528" s="2">
        <v>393.31</v>
      </c>
      <c r="W528" s="2">
        <v>393.31</v>
      </c>
    </row>
    <row r="529" spans="1:23" outlineLevel="2" x14ac:dyDescent="0.2">
      <c r="A529" t="s">
        <v>0</v>
      </c>
      <c r="B529" t="s">
        <v>31</v>
      </c>
      <c r="C529" t="s">
        <v>79</v>
      </c>
      <c r="D529" t="s">
        <v>80</v>
      </c>
      <c r="E529" t="s">
        <v>81</v>
      </c>
      <c r="F529" t="s">
        <v>5</v>
      </c>
      <c r="G529" t="s">
        <v>6</v>
      </c>
      <c r="H529" t="s">
        <v>35</v>
      </c>
      <c r="I529" t="s">
        <v>36</v>
      </c>
      <c r="J529" t="s">
        <v>9</v>
      </c>
      <c r="K529" t="s">
        <v>219</v>
      </c>
      <c r="L529" t="s">
        <v>221</v>
      </c>
      <c r="M529" t="s">
        <v>12</v>
      </c>
      <c r="N529" s="2">
        <v>0</v>
      </c>
      <c r="O529" s="2">
        <v>0</v>
      </c>
      <c r="P529" s="2">
        <v>315.77</v>
      </c>
      <c r="Q529" s="2">
        <v>315.77</v>
      </c>
      <c r="R529" s="2">
        <v>0</v>
      </c>
      <c r="S529" s="2">
        <v>152</v>
      </c>
      <c r="T529" s="2">
        <v>152</v>
      </c>
      <c r="U529" s="2">
        <v>163.77000000000001</v>
      </c>
      <c r="V529" s="2">
        <v>163.77000000000001</v>
      </c>
      <c r="W529" s="2">
        <v>163.77000000000001</v>
      </c>
    </row>
    <row r="530" spans="1:23" outlineLevel="2" x14ac:dyDescent="0.2">
      <c r="A530" t="s">
        <v>0</v>
      </c>
      <c r="B530" t="s">
        <v>39</v>
      </c>
      <c r="C530" t="s">
        <v>40</v>
      </c>
      <c r="D530" t="s">
        <v>41</v>
      </c>
      <c r="E530" t="s">
        <v>42</v>
      </c>
      <c r="F530" t="s">
        <v>5</v>
      </c>
      <c r="G530" t="s">
        <v>6</v>
      </c>
      <c r="H530" t="s">
        <v>35</v>
      </c>
      <c r="I530" t="s">
        <v>36</v>
      </c>
      <c r="J530" t="s">
        <v>9</v>
      </c>
      <c r="K530" t="s">
        <v>219</v>
      </c>
      <c r="L530" t="s">
        <v>227</v>
      </c>
      <c r="M530" t="s">
        <v>15</v>
      </c>
      <c r="N530" s="2">
        <v>7392</v>
      </c>
      <c r="O530" s="2">
        <v>0</v>
      </c>
      <c r="P530" s="2">
        <v>-3836</v>
      </c>
      <c r="Q530" s="2">
        <v>3556</v>
      </c>
      <c r="R530" s="2">
        <v>0</v>
      </c>
      <c r="S530" s="2">
        <v>3556</v>
      </c>
      <c r="T530" s="2">
        <v>3556</v>
      </c>
      <c r="U530" s="2">
        <v>0</v>
      </c>
      <c r="V530" s="2">
        <v>0</v>
      </c>
      <c r="W530" s="2">
        <v>0</v>
      </c>
    </row>
    <row r="531" spans="1:23" outlineLevel="2" x14ac:dyDescent="0.2">
      <c r="A531" t="s">
        <v>0</v>
      </c>
      <c r="B531" t="s">
        <v>39</v>
      </c>
      <c r="C531" t="s">
        <v>70</v>
      </c>
      <c r="D531" t="s">
        <v>71</v>
      </c>
      <c r="E531" t="s">
        <v>72</v>
      </c>
      <c r="F531" t="s">
        <v>5</v>
      </c>
      <c r="G531" t="s">
        <v>6</v>
      </c>
      <c r="H531" t="s">
        <v>35</v>
      </c>
      <c r="I531" t="s">
        <v>36</v>
      </c>
      <c r="J531" t="s">
        <v>9</v>
      </c>
      <c r="K531" t="s">
        <v>235</v>
      </c>
      <c r="L531" t="s">
        <v>236</v>
      </c>
      <c r="M531" t="s">
        <v>12</v>
      </c>
      <c r="N531" s="2">
        <v>0</v>
      </c>
      <c r="O531" s="2">
        <v>0</v>
      </c>
      <c r="P531" s="2">
        <v>245.37</v>
      </c>
      <c r="Q531" s="2">
        <v>245.37</v>
      </c>
      <c r="R531" s="2">
        <v>0</v>
      </c>
      <c r="S531" s="2">
        <v>36</v>
      </c>
      <c r="T531" s="2">
        <v>36</v>
      </c>
      <c r="U531" s="2">
        <v>209.37</v>
      </c>
      <c r="V531" s="2">
        <v>209.37</v>
      </c>
      <c r="W531" s="2">
        <v>209.37</v>
      </c>
    </row>
    <row r="532" spans="1:23" outlineLevel="2" x14ac:dyDescent="0.2">
      <c r="A532" t="s">
        <v>0</v>
      </c>
      <c r="B532" t="s">
        <v>39</v>
      </c>
      <c r="C532" t="s">
        <v>58</v>
      </c>
      <c r="D532" t="s">
        <v>143</v>
      </c>
      <c r="E532" t="s">
        <v>144</v>
      </c>
      <c r="F532" t="s">
        <v>5</v>
      </c>
      <c r="G532" t="s">
        <v>6</v>
      </c>
      <c r="H532" t="s">
        <v>35</v>
      </c>
      <c r="I532" t="s">
        <v>36</v>
      </c>
      <c r="J532" t="s">
        <v>9</v>
      </c>
      <c r="K532" t="s">
        <v>235</v>
      </c>
      <c r="L532" t="s">
        <v>237</v>
      </c>
      <c r="M532" t="s">
        <v>12</v>
      </c>
      <c r="N532" s="2">
        <v>0</v>
      </c>
      <c r="O532" s="2">
        <v>50</v>
      </c>
      <c r="P532" s="2">
        <v>0</v>
      </c>
      <c r="Q532" s="2">
        <v>50</v>
      </c>
      <c r="R532" s="2">
        <v>0</v>
      </c>
      <c r="S532" s="2">
        <v>24</v>
      </c>
      <c r="T532" s="2">
        <v>24</v>
      </c>
      <c r="U532" s="2">
        <v>26</v>
      </c>
      <c r="V532" s="2">
        <v>26</v>
      </c>
      <c r="W532" s="2">
        <v>26</v>
      </c>
    </row>
    <row r="533" spans="1:23" outlineLevel="2" x14ac:dyDescent="0.2">
      <c r="A533" t="s">
        <v>0</v>
      </c>
      <c r="B533" t="s">
        <v>1</v>
      </c>
      <c r="C533" t="s">
        <v>44</v>
      </c>
      <c r="D533" t="s">
        <v>45</v>
      </c>
      <c r="E533" t="s">
        <v>46</v>
      </c>
      <c r="F533" t="s">
        <v>5</v>
      </c>
      <c r="G533" t="s">
        <v>6</v>
      </c>
      <c r="H533" t="s">
        <v>35</v>
      </c>
      <c r="I533" t="s">
        <v>36</v>
      </c>
      <c r="J533" t="s">
        <v>9</v>
      </c>
      <c r="K533" t="s">
        <v>235</v>
      </c>
      <c r="L533" t="s">
        <v>238</v>
      </c>
      <c r="M533" t="s">
        <v>15</v>
      </c>
      <c r="N533" s="2">
        <v>110.34</v>
      </c>
      <c r="O533" s="2">
        <v>0</v>
      </c>
      <c r="P533" s="2">
        <v>-110.34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</row>
    <row r="534" spans="1:23" outlineLevel="2" x14ac:dyDescent="0.2">
      <c r="A534" t="s">
        <v>0</v>
      </c>
      <c r="B534" t="s">
        <v>1</v>
      </c>
      <c r="C534" t="s">
        <v>99</v>
      </c>
      <c r="D534" t="s">
        <v>100</v>
      </c>
      <c r="E534" t="s">
        <v>101</v>
      </c>
      <c r="F534" t="s">
        <v>5</v>
      </c>
      <c r="G534" t="s">
        <v>6</v>
      </c>
      <c r="H534" t="s">
        <v>35</v>
      </c>
      <c r="I534" t="s">
        <v>36</v>
      </c>
      <c r="J534" t="s">
        <v>9</v>
      </c>
      <c r="K534" t="s">
        <v>235</v>
      </c>
      <c r="L534" t="s">
        <v>239</v>
      </c>
      <c r="M534" t="s">
        <v>12</v>
      </c>
      <c r="N534" s="2">
        <v>0</v>
      </c>
      <c r="O534" s="2">
        <v>0</v>
      </c>
      <c r="P534" s="2">
        <v>16.8</v>
      </c>
      <c r="Q534" s="2">
        <v>16.8</v>
      </c>
      <c r="R534" s="2">
        <v>0</v>
      </c>
      <c r="S534" s="2">
        <v>8</v>
      </c>
      <c r="T534" s="2">
        <v>8</v>
      </c>
      <c r="U534" s="2">
        <v>8.8000000000000007</v>
      </c>
      <c r="V534" s="2">
        <v>8.8000000000000007</v>
      </c>
      <c r="W534" s="2">
        <v>8.8000000000000007</v>
      </c>
    </row>
    <row r="535" spans="1:23" outlineLevel="2" x14ac:dyDescent="0.2">
      <c r="A535" t="s">
        <v>0</v>
      </c>
      <c r="B535" t="s">
        <v>1</v>
      </c>
      <c r="C535" t="s">
        <v>2</v>
      </c>
      <c r="D535" t="s">
        <v>20</v>
      </c>
      <c r="E535" t="s">
        <v>21</v>
      </c>
      <c r="F535" t="s">
        <v>5</v>
      </c>
      <c r="G535" t="s">
        <v>6</v>
      </c>
      <c r="H535" t="s">
        <v>35</v>
      </c>
      <c r="I535" t="s">
        <v>36</v>
      </c>
      <c r="J535" t="s">
        <v>9</v>
      </c>
      <c r="K535" t="s">
        <v>235</v>
      </c>
      <c r="L535" t="s">
        <v>240</v>
      </c>
      <c r="M535" t="s">
        <v>15</v>
      </c>
      <c r="N535" s="2">
        <v>3811.75</v>
      </c>
      <c r="O535" s="2">
        <v>0</v>
      </c>
      <c r="P535" s="2">
        <v>-2911.75</v>
      </c>
      <c r="Q535" s="2">
        <v>900</v>
      </c>
      <c r="R535" s="2">
        <v>0</v>
      </c>
      <c r="S535" s="2">
        <v>900</v>
      </c>
      <c r="T535" s="2">
        <v>900</v>
      </c>
      <c r="U535" s="2">
        <v>0</v>
      </c>
      <c r="V535" s="2">
        <v>0</v>
      </c>
      <c r="W535" s="2">
        <v>0</v>
      </c>
    </row>
    <row r="536" spans="1:23" outlineLevel="2" x14ac:dyDescent="0.2">
      <c r="A536" t="s">
        <v>0</v>
      </c>
      <c r="B536" t="s">
        <v>1</v>
      </c>
      <c r="C536" t="s">
        <v>16</v>
      </c>
      <c r="D536" t="s">
        <v>62</v>
      </c>
      <c r="E536" t="s">
        <v>63</v>
      </c>
      <c r="F536" t="s">
        <v>5</v>
      </c>
      <c r="G536" t="s">
        <v>6</v>
      </c>
      <c r="H536" t="s">
        <v>35</v>
      </c>
      <c r="I536" t="s">
        <v>36</v>
      </c>
      <c r="J536" t="s">
        <v>9</v>
      </c>
      <c r="K536" t="s">
        <v>235</v>
      </c>
      <c r="L536" t="s">
        <v>241</v>
      </c>
      <c r="M536" t="s">
        <v>15</v>
      </c>
      <c r="N536" s="2">
        <v>37.83</v>
      </c>
      <c r="O536" s="2">
        <v>0</v>
      </c>
      <c r="P536" s="2">
        <v>-37.83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</row>
    <row r="537" spans="1:23" outlineLevel="2" x14ac:dyDescent="0.2">
      <c r="A537" t="s">
        <v>0</v>
      </c>
      <c r="B537" t="s">
        <v>1</v>
      </c>
      <c r="C537" t="s">
        <v>16</v>
      </c>
      <c r="D537" t="s">
        <v>103</v>
      </c>
      <c r="E537" t="s">
        <v>104</v>
      </c>
      <c r="F537" t="s">
        <v>5</v>
      </c>
      <c r="G537" t="s">
        <v>6</v>
      </c>
      <c r="H537" t="s">
        <v>35</v>
      </c>
      <c r="I537" t="s">
        <v>36</v>
      </c>
      <c r="J537" t="s">
        <v>9</v>
      </c>
      <c r="K537" t="s">
        <v>235</v>
      </c>
      <c r="L537" t="s">
        <v>241</v>
      </c>
      <c r="M537" t="s">
        <v>15</v>
      </c>
      <c r="N537" s="2">
        <v>512.92999999999995</v>
      </c>
      <c r="O537" s="2">
        <v>0</v>
      </c>
      <c r="P537" s="2">
        <v>-512.92999999999995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</row>
    <row r="538" spans="1:23" outlineLevel="2" x14ac:dyDescent="0.2">
      <c r="A538" t="s">
        <v>0</v>
      </c>
      <c r="B538" t="s">
        <v>39</v>
      </c>
      <c r="C538" t="s">
        <v>58</v>
      </c>
      <c r="D538" t="s">
        <v>139</v>
      </c>
      <c r="E538" t="s">
        <v>140</v>
      </c>
      <c r="F538" t="s">
        <v>5</v>
      </c>
      <c r="G538" t="s">
        <v>6</v>
      </c>
      <c r="H538" t="s">
        <v>35</v>
      </c>
      <c r="I538" t="s">
        <v>36</v>
      </c>
      <c r="J538" t="s">
        <v>9</v>
      </c>
      <c r="K538" t="s">
        <v>235</v>
      </c>
      <c r="L538" t="s">
        <v>237</v>
      </c>
      <c r="M538" t="s">
        <v>15</v>
      </c>
      <c r="N538" s="2">
        <v>638.84</v>
      </c>
      <c r="O538" s="2">
        <v>0</v>
      </c>
      <c r="P538" s="2">
        <v>-558.84</v>
      </c>
      <c r="Q538" s="2">
        <v>80</v>
      </c>
      <c r="R538" s="2">
        <v>0</v>
      </c>
      <c r="S538" s="2">
        <v>80</v>
      </c>
      <c r="T538" s="2">
        <v>80</v>
      </c>
      <c r="U538" s="2">
        <v>0</v>
      </c>
      <c r="V538" s="2">
        <v>0</v>
      </c>
      <c r="W538" s="2">
        <v>0</v>
      </c>
    </row>
    <row r="539" spans="1:23" outlineLevel="2" x14ac:dyDescent="0.2">
      <c r="A539" t="s">
        <v>0</v>
      </c>
      <c r="B539" t="s">
        <v>39</v>
      </c>
      <c r="C539" t="s">
        <v>70</v>
      </c>
      <c r="D539" t="s">
        <v>89</v>
      </c>
      <c r="E539" t="s">
        <v>90</v>
      </c>
      <c r="F539" t="s">
        <v>5</v>
      </c>
      <c r="G539" t="s">
        <v>6</v>
      </c>
      <c r="H539" t="s">
        <v>35</v>
      </c>
      <c r="I539" t="s">
        <v>36</v>
      </c>
      <c r="J539" t="s">
        <v>9</v>
      </c>
      <c r="K539" t="s">
        <v>235</v>
      </c>
      <c r="L539" t="s">
        <v>236</v>
      </c>
      <c r="M539" t="s">
        <v>12</v>
      </c>
      <c r="N539" s="2">
        <v>0</v>
      </c>
      <c r="O539" s="2">
        <v>0</v>
      </c>
      <c r="P539" s="2">
        <v>18.28</v>
      </c>
      <c r="Q539" s="2">
        <v>18.28</v>
      </c>
      <c r="R539" s="2">
        <v>0</v>
      </c>
      <c r="S539" s="2">
        <v>16</v>
      </c>
      <c r="T539" s="2">
        <v>16</v>
      </c>
      <c r="U539" s="2">
        <v>2.2799999999999998</v>
      </c>
      <c r="V539" s="2">
        <v>2.2799999999999998</v>
      </c>
      <c r="W539" s="2">
        <v>2.2799999999999998</v>
      </c>
    </row>
    <row r="540" spans="1:23" outlineLevel="2" x14ac:dyDescent="0.2">
      <c r="A540" t="s">
        <v>0</v>
      </c>
      <c r="B540" t="s">
        <v>39</v>
      </c>
      <c r="C540" t="s">
        <v>70</v>
      </c>
      <c r="D540" t="s">
        <v>71</v>
      </c>
      <c r="E540" t="s">
        <v>72</v>
      </c>
      <c r="F540" t="s">
        <v>5</v>
      </c>
      <c r="G540" t="s">
        <v>6</v>
      </c>
      <c r="H540" t="s">
        <v>35</v>
      </c>
      <c r="I540" t="s">
        <v>36</v>
      </c>
      <c r="J540" t="s">
        <v>9</v>
      </c>
      <c r="K540" t="s">
        <v>235</v>
      </c>
      <c r="L540" t="s">
        <v>236</v>
      </c>
      <c r="M540" t="s">
        <v>15</v>
      </c>
      <c r="N540" s="2">
        <v>605.37</v>
      </c>
      <c r="O540" s="2">
        <v>0</v>
      </c>
      <c r="P540" s="2">
        <v>-245.37</v>
      </c>
      <c r="Q540" s="2">
        <v>360</v>
      </c>
      <c r="R540" s="2">
        <v>0</v>
      </c>
      <c r="S540" s="2">
        <v>360</v>
      </c>
      <c r="T540" s="2">
        <v>360</v>
      </c>
      <c r="U540" s="2">
        <v>0</v>
      </c>
      <c r="V540" s="2">
        <v>0</v>
      </c>
      <c r="W540" s="2">
        <v>0</v>
      </c>
    </row>
    <row r="541" spans="1:23" outlineLevel="2" x14ac:dyDescent="0.2">
      <c r="A541" t="s">
        <v>0</v>
      </c>
      <c r="B541" t="s">
        <v>39</v>
      </c>
      <c r="C541" t="s">
        <v>66</v>
      </c>
      <c r="D541" t="s">
        <v>121</v>
      </c>
      <c r="E541" t="s">
        <v>122</v>
      </c>
      <c r="F541" t="s">
        <v>5</v>
      </c>
      <c r="G541" t="s">
        <v>6</v>
      </c>
      <c r="H541" t="s">
        <v>35</v>
      </c>
      <c r="I541" t="s">
        <v>36</v>
      </c>
      <c r="J541" t="s">
        <v>9</v>
      </c>
      <c r="K541" t="s">
        <v>235</v>
      </c>
      <c r="L541" t="s">
        <v>242</v>
      </c>
      <c r="M541" t="s">
        <v>15</v>
      </c>
      <c r="N541" s="2">
        <v>36.159999999999997</v>
      </c>
      <c r="O541" s="2">
        <v>62.84</v>
      </c>
      <c r="P541" s="2">
        <v>-19</v>
      </c>
      <c r="Q541" s="2">
        <v>80</v>
      </c>
      <c r="R541" s="2">
        <v>0</v>
      </c>
      <c r="S541" s="2">
        <v>80</v>
      </c>
      <c r="T541" s="2">
        <v>80</v>
      </c>
      <c r="U541" s="2">
        <v>0</v>
      </c>
      <c r="V541" s="2">
        <v>0</v>
      </c>
      <c r="W541" s="2">
        <v>0</v>
      </c>
    </row>
    <row r="542" spans="1:23" outlineLevel="2" x14ac:dyDescent="0.2">
      <c r="A542" t="s">
        <v>0</v>
      </c>
      <c r="B542" t="s">
        <v>39</v>
      </c>
      <c r="C542" t="s">
        <v>40</v>
      </c>
      <c r="D542" t="s">
        <v>41</v>
      </c>
      <c r="E542" t="s">
        <v>42</v>
      </c>
      <c r="F542" t="s">
        <v>5</v>
      </c>
      <c r="G542" t="s">
        <v>6</v>
      </c>
      <c r="H542" t="s">
        <v>35</v>
      </c>
      <c r="I542" t="s">
        <v>36</v>
      </c>
      <c r="J542" t="s">
        <v>9</v>
      </c>
      <c r="K542" t="s">
        <v>235</v>
      </c>
      <c r="L542" t="s">
        <v>243</v>
      </c>
      <c r="M542" t="s">
        <v>12</v>
      </c>
      <c r="N542" s="2">
        <v>0</v>
      </c>
      <c r="O542" s="2">
        <v>0</v>
      </c>
      <c r="P542" s="2">
        <v>16.8</v>
      </c>
      <c r="Q542" s="2">
        <v>16.8</v>
      </c>
      <c r="R542" s="2">
        <v>0</v>
      </c>
      <c r="S542" s="2">
        <v>8</v>
      </c>
      <c r="T542" s="2">
        <v>8</v>
      </c>
      <c r="U542" s="2">
        <v>8.8000000000000007</v>
      </c>
      <c r="V542" s="2">
        <v>8.8000000000000007</v>
      </c>
      <c r="W542" s="2">
        <v>8.8000000000000007</v>
      </c>
    </row>
    <row r="543" spans="1:23" outlineLevel="2" x14ac:dyDescent="0.2">
      <c r="A543" t="s">
        <v>0</v>
      </c>
      <c r="B543" t="s">
        <v>39</v>
      </c>
      <c r="C543" t="s">
        <v>58</v>
      </c>
      <c r="D543" t="s">
        <v>149</v>
      </c>
      <c r="E543" t="s">
        <v>150</v>
      </c>
      <c r="F543" t="s">
        <v>5</v>
      </c>
      <c r="G543" t="s">
        <v>6</v>
      </c>
      <c r="H543" t="s">
        <v>35</v>
      </c>
      <c r="I543" t="s">
        <v>36</v>
      </c>
      <c r="J543" t="s">
        <v>9</v>
      </c>
      <c r="K543" t="s">
        <v>235</v>
      </c>
      <c r="L543" t="s">
        <v>237</v>
      </c>
      <c r="M543" t="s">
        <v>12</v>
      </c>
      <c r="N543" s="2">
        <v>0</v>
      </c>
      <c r="O543" s="2">
        <v>0</v>
      </c>
      <c r="P543" s="2">
        <v>299.83</v>
      </c>
      <c r="Q543" s="2">
        <v>299.83</v>
      </c>
      <c r="R543" s="2">
        <v>0</v>
      </c>
      <c r="S543" s="2">
        <v>161</v>
      </c>
      <c r="T543" s="2">
        <v>161</v>
      </c>
      <c r="U543" s="2">
        <v>138.83000000000001</v>
      </c>
      <c r="V543" s="2">
        <v>138.83000000000001</v>
      </c>
      <c r="W543" s="2">
        <v>138.83000000000001</v>
      </c>
    </row>
    <row r="544" spans="1:23" outlineLevel="2" x14ac:dyDescent="0.2">
      <c r="A544" t="s">
        <v>0</v>
      </c>
      <c r="B544" t="s">
        <v>31</v>
      </c>
      <c r="C544" t="s">
        <v>32</v>
      </c>
      <c r="D544" t="s">
        <v>33</v>
      </c>
      <c r="E544" t="s">
        <v>34</v>
      </c>
      <c r="F544" t="s">
        <v>5</v>
      </c>
      <c r="G544" t="s">
        <v>6</v>
      </c>
      <c r="H544" t="s">
        <v>35</v>
      </c>
      <c r="I544" t="s">
        <v>36</v>
      </c>
      <c r="J544" t="s">
        <v>9</v>
      </c>
      <c r="K544" t="s">
        <v>235</v>
      </c>
      <c r="L544" t="s">
        <v>244</v>
      </c>
      <c r="M544" t="s">
        <v>12</v>
      </c>
      <c r="N544" s="2">
        <v>0</v>
      </c>
      <c r="O544" s="2">
        <v>0</v>
      </c>
      <c r="P544" s="2">
        <v>655.13</v>
      </c>
      <c r="Q544" s="2">
        <v>655.13</v>
      </c>
      <c r="R544" s="2">
        <v>0</v>
      </c>
      <c r="S544" s="2">
        <v>40</v>
      </c>
      <c r="T544" s="2">
        <v>40</v>
      </c>
      <c r="U544" s="2">
        <v>615.13</v>
      </c>
      <c r="V544" s="2">
        <v>615.13</v>
      </c>
      <c r="W544" s="2">
        <v>615.13</v>
      </c>
    </row>
    <row r="545" spans="1:23" outlineLevel="2" x14ac:dyDescent="0.2">
      <c r="A545" t="s">
        <v>0</v>
      </c>
      <c r="B545" t="s">
        <v>31</v>
      </c>
      <c r="C545" t="s">
        <v>79</v>
      </c>
      <c r="D545" t="s">
        <v>117</v>
      </c>
      <c r="E545" t="s">
        <v>118</v>
      </c>
      <c r="F545" t="s">
        <v>5</v>
      </c>
      <c r="G545" t="s">
        <v>6</v>
      </c>
      <c r="H545" t="s">
        <v>35</v>
      </c>
      <c r="I545" t="s">
        <v>36</v>
      </c>
      <c r="J545" t="s">
        <v>9</v>
      </c>
      <c r="K545" t="s">
        <v>235</v>
      </c>
      <c r="L545" t="s">
        <v>245</v>
      </c>
      <c r="M545" t="s">
        <v>15</v>
      </c>
      <c r="N545" s="2">
        <v>611.57000000000005</v>
      </c>
      <c r="O545" s="2">
        <v>0</v>
      </c>
      <c r="P545" s="2">
        <v>-571.57000000000005</v>
      </c>
      <c r="Q545" s="2">
        <v>40</v>
      </c>
      <c r="R545" s="2">
        <v>0</v>
      </c>
      <c r="S545" s="2">
        <v>40</v>
      </c>
      <c r="T545" s="2">
        <v>40</v>
      </c>
      <c r="U545" s="2">
        <v>0</v>
      </c>
      <c r="V545" s="2">
        <v>0</v>
      </c>
      <c r="W545" s="2">
        <v>0</v>
      </c>
    </row>
    <row r="546" spans="1:23" outlineLevel="2" x14ac:dyDescent="0.2">
      <c r="A546" t="s">
        <v>0</v>
      </c>
      <c r="B546" t="s">
        <v>53</v>
      </c>
      <c r="C546" t="s">
        <v>54</v>
      </c>
      <c r="D546" t="s">
        <v>55</v>
      </c>
      <c r="E546" t="s">
        <v>56</v>
      </c>
      <c r="F546" t="s">
        <v>5</v>
      </c>
      <c r="G546" t="s">
        <v>6</v>
      </c>
      <c r="H546" t="s">
        <v>35</v>
      </c>
      <c r="I546" t="s">
        <v>36</v>
      </c>
      <c r="J546" t="s">
        <v>9</v>
      </c>
      <c r="K546" t="s">
        <v>235</v>
      </c>
      <c r="L546" t="s">
        <v>246</v>
      </c>
      <c r="M546" t="s">
        <v>15</v>
      </c>
      <c r="N546" s="2">
        <v>1274.01</v>
      </c>
      <c r="O546" s="2">
        <v>-514.01</v>
      </c>
      <c r="P546" s="2">
        <v>-564</v>
      </c>
      <c r="Q546" s="2">
        <v>196</v>
      </c>
      <c r="R546" s="2">
        <v>0</v>
      </c>
      <c r="S546" s="2">
        <v>196</v>
      </c>
      <c r="T546" s="2">
        <v>196</v>
      </c>
      <c r="U546" s="2">
        <v>0</v>
      </c>
      <c r="V546" s="2">
        <v>0</v>
      </c>
      <c r="W546" s="2">
        <v>0</v>
      </c>
    </row>
    <row r="547" spans="1:23" outlineLevel="2" x14ac:dyDescent="0.2">
      <c r="A547" t="s">
        <v>0</v>
      </c>
      <c r="B547" t="s">
        <v>31</v>
      </c>
      <c r="C547" t="s">
        <v>32</v>
      </c>
      <c r="D547" t="s">
        <v>75</v>
      </c>
      <c r="E547" t="s">
        <v>76</v>
      </c>
      <c r="F547" t="s">
        <v>5</v>
      </c>
      <c r="G547" t="s">
        <v>6</v>
      </c>
      <c r="H547" t="s">
        <v>35</v>
      </c>
      <c r="I547" t="s">
        <v>36</v>
      </c>
      <c r="J547" t="s">
        <v>9</v>
      </c>
      <c r="K547" t="s">
        <v>235</v>
      </c>
      <c r="L547" t="s">
        <v>244</v>
      </c>
      <c r="M547" t="s">
        <v>12</v>
      </c>
      <c r="N547" s="2">
        <v>0</v>
      </c>
      <c r="O547" s="2">
        <v>0</v>
      </c>
      <c r="P547" s="2">
        <v>1239.18</v>
      </c>
      <c r="Q547" s="2">
        <v>1239.18</v>
      </c>
      <c r="R547" s="2">
        <v>0</v>
      </c>
      <c r="S547" s="2">
        <v>4</v>
      </c>
      <c r="T547" s="2">
        <v>4</v>
      </c>
      <c r="U547" s="2">
        <v>1235.18</v>
      </c>
      <c r="V547" s="2">
        <v>1235.18</v>
      </c>
      <c r="W547" s="2">
        <v>1235.18</v>
      </c>
    </row>
    <row r="548" spans="1:23" outlineLevel="2" x14ac:dyDescent="0.2">
      <c r="A548" t="s">
        <v>0</v>
      </c>
      <c r="B548" t="s">
        <v>31</v>
      </c>
      <c r="C548" t="s">
        <v>79</v>
      </c>
      <c r="D548" t="s">
        <v>83</v>
      </c>
      <c r="E548" t="s">
        <v>84</v>
      </c>
      <c r="F548" t="s">
        <v>5</v>
      </c>
      <c r="G548" t="s">
        <v>6</v>
      </c>
      <c r="H548" t="s">
        <v>35</v>
      </c>
      <c r="I548" t="s">
        <v>36</v>
      </c>
      <c r="J548" t="s">
        <v>9</v>
      </c>
      <c r="K548" t="s">
        <v>235</v>
      </c>
      <c r="L548" t="s">
        <v>245</v>
      </c>
      <c r="M548" t="s">
        <v>12</v>
      </c>
      <c r="N548" s="2">
        <v>0</v>
      </c>
      <c r="O548" s="2">
        <v>0</v>
      </c>
      <c r="P548" s="2">
        <v>25.2</v>
      </c>
      <c r="Q548" s="2">
        <v>25.2</v>
      </c>
      <c r="R548" s="2">
        <v>0</v>
      </c>
      <c r="S548" s="2">
        <v>12</v>
      </c>
      <c r="T548" s="2">
        <v>12</v>
      </c>
      <c r="U548" s="2">
        <v>13.2</v>
      </c>
      <c r="V548" s="2">
        <v>13.2</v>
      </c>
      <c r="W548" s="2">
        <v>13.2</v>
      </c>
    </row>
    <row r="549" spans="1:23" outlineLevel="2" x14ac:dyDescent="0.2">
      <c r="A549" t="s">
        <v>0</v>
      </c>
      <c r="B549" t="s">
        <v>53</v>
      </c>
      <c r="C549" t="s">
        <v>85</v>
      </c>
      <c r="D549" t="s">
        <v>86</v>
      </c>
      <c r="E549" t="s">
        <v>87</v>
      </c>
      <c r="F549" t="s">
        <v>5</v>
      </c>
      <c r="G549" t="s">
        <v>6</v>
      </c>
      <c r="H549" t="s">
        <v>35</v>
      </c>
      <c r="I549" t="s">
        <v>36</v>
      </c>
      <c r="J549" t="s">
        <v>9</v>
      </c>
      <c r="K549" t="s">
        <v>235</v>
      </c>
      <c r="L549" t="s">
        <v>247</v>
      </c>
      <c r="M549" t="s">
        <v>15</v>
      </c>
      <c r="N549" s="2">
        <v>75.08</v>
      </c>
      <c r="O549" s="2">
        <v>-75.08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</row>
    <row r="550" spans="1:23" outlineLevel="2" x14ac:dyDescent="0.2">
      <c r="A550" t="s">
        <v>0</v>
      </c>
      <c r="B550" t="s">
        <v>39</v>
      </c>
      <c r="C550" t="s">
        <v>40</v>
      </c>
      <c r="D550" t="s">
        <v>41</v>
      </c>
      <c r="E550" t="s">
        <v>42</v>
      </c>
      <c r="F550" t="s">
        <v>5</v>
      </c>
      <c r="G550" t="s">
        <v>6</v>
      </c>
      <c r="H550" t="s">
        <v>35</v>
      </c>
      <c r="I550" t="s">
        <v>36</v>
      </c>
      <c r="J550" t="s">
        <v>9</v>
      </c>
      <c r="K550" t="s">
        <v>235</v>
      </c>
      <c r="L550" t="s">
        <v>243</v>
      </c>
      <c r="M550" t="s">
        <v>15</v>
      </c>
      <c r="N550" s="2">
        <v>257.55</v>
      </c>
      <c r="O550" s="2">
        <v>0</v>
      </c>
      <c r="P550" s="2">
        <v>-177.55</v>
      </c>
      <c r="Q550" s="2">
        <v>80</v>
      </c>
      <c r="R550" s="2">
        <v>0</v>
      </c>
      <c r="S550" s="2">
        <v>80</v>
      </c>
      <c r="T550" s="2">
        <v>80</v>
      </c>
      <c r="U550" s="2">
        <v>0</v>
      </c>
      <c r="V550" s="2">
        <v>0</v>
      </c>
      <c r="W550" s="2">
        <v>0</v>
      </c>
    </row>
    <row r="551" spans="1:23" outlineLevel="2" x14ac:dyDescent="0.2">
      <c r="A551" t="s">
        <v>0</v>
      </c>
      <c r="B551" t="s">
        <v>39</v>
      </c>
      <c r="C551" t="s">
        <v>40</v>
      </c>
      <c r="D551" t="s">
        <v>77</v>
      </c>
      <c r="E551" t="s">
        <v>78</v>
      </c>
      <c r="F551" t="s">
        <v>5</v>
      </c>
      <c r="G551" t="s">
        <v>6</v>
      </c>
      <c r="H551" t="s">
        <v>35</v>
      </c>
      <c r="I551" t="s">
        <v>36</v>
      </c>
      <c r="J551" t="s">
        <v>9</v>
      </c>
      <c r="K551" t="s">
        <v>235</v>
      </c>
      <c r="L551" t="s">
        <v>243</v>
      </c>
      <c r="M551" t="s">
        <v>15</v>
      </c>
      <c r="N551" s="2">
        <v>72.58</v>
      </c>
      <c r="O551" s="2">
        <v>0</v>
      </c>
      <c r="P551" s="2">
        <v>-72.58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</row>
    <row r="552" spans="1:23" outlineLevel="2" x14ac:dyDescent="0.2">
      <c r="A552" t="s">
        <v>0</v>
      </c>
      <c r="B552" t="s">
        <v>39</v>
      </c>
      <c r="C552" t="s">
        <v>58</v>
      </c>
      <c r="D552" t="s">
        <v>135</v>
      </c>
      <c r="E552" t="s">
        <v>136</v>
      </c>
      <c r="F552" t="s">
        <v>5</v>
      </c>
      <c r="G552" t="s">
        <v>6</v>
      </c>
      <c r="H552" t="s">
        <v>35</v>
      </c>
      <c r="I552" t="s">
        <v>36</v>
      </c>
      <c r="J552" t="s">
        <v>9</v>
      </c>
      <c r="K552" t="s">
        <v>235</v>
      </c>
      <c r="L552" t="s">
        <v>237</v>
      </c>
      <c r="M552" t="s">
        <v>12</v>
      </c>
      <c r="N552" s="2">
        <v>0</v>
      </c>
      <c r="O552" s="2">
        <v>0</v>
      </c>
      <c r="P552" s="2">
        <v>42</v>
      </c>
      <c r="Q552" s="2">
        <v>42</v>
      </c>
      <c r="R552" s="2">
        <v>0</v>
      </c>
      <c r="S552" s="2">
        <v>28</v>
      </c>
      <c r="T552" s="2">
        <v>28</v>
      </c>
      <c r="U552" s="2">
        <v>14</v>
      </c>
      <c r="V552" s="2">
        <v>14</v>
      </c>
      <c r="W552" s="2">
        <v>14</v>
      </c>
    </row>
    <row r="553" spans="1:23" outlineLevel="2" x14ac:dyDescent="0.2">
      <c r="A553" t="s">
        <v>0</v>
      </c>
      <c r="B553" t="s">
        <v>39</v>
      </c>
      <c r="C553" t="s">
        <v>66</v>
      </c>
      <c r="D553" t="s">
        <v>121</v>
      </c>
      <c r="E553" t="s">
        <v>122</v>
      </c>
      <c r="F553" t="s">
        <v>5</v>
      </c>
      <c r="G553" t="s">
        <v>6</v>
      </c>
      <c r="H553" t="s">
        <v>35</v>
      </c>
      <c r="I553" t="s">
        <v>36</v>
      </c>
      <c r="J553" t="s">
        <v>9</v>
      </c>
      <c r="K553" t="s">
        <v>235</v>
      </c>
      <c r="L553" t="s">
        <v>242</v>
      </c>
      <c r="M553" t="s">
        <v>12</v>
      </c>
      <c r="N553" s="2">
        <v>0</v>
      </c>
      <c r="O553" s="2">
        <v>0</v>
      </c>
      <c r="P553" s="2">
        <v>19</v>
      </c>
      <c r="Q553" s="2">
        <v>19</v>
      </c>
      <c r="R553" s="2">
        <v>0</v>
      </c>
      <c r="S553" s="2">
        <v>8</v>
      </c>
      <c r="T553" s="2">
        <v>8</v>
      </c>
      <c r="U553" s="2">
        <v>11</v>
      </c>
      <c r="V553" s="2">
        <v>11</v>
      </c>
      <c r="W553" s="2">
        <v>11</v>
      </c>
    </row>
    <row r="554" spans="1:23" outlineLevel="2" x14ac:dyDescent="0.2">
      <c r="A554" t="s">
        <v>0</v>
      </c>
      <c r="B554" t="s">
        <v>31</v>
      </c>
      <c r="C554" t="s">
        <v>79</v>
      </c>
      <c r="D554" t="s">
        <v>125</v>
      </c>
      <c r="E554" t="s">
        <v>126</v>
      </c>
      <c r="F554" t="s">
        <v>5</v>
      </c>
      <c r="G554" t="s">
        <v>6</v>
      </c>
      <c r="H554" t="s">
        <v>35</v>
      </c>
      <c r="I554" t="s">
        <v>36</v>
      </c>
      <c r="J554" t="s">
        <v>9</v>
      </c>
      <c r="K554" t="s">
        <v>235</v>
      </c>
      <c r="L554" t="s">
        <v>245</v>
      </c>
      <c r="M554" t="s">
        <v>12</v>
      </c>
      <c r="N554" s="2">
        <v>0</v>
      </c>
      <c r="O554" s="2">
        <v>0</v>
      </c>
      <c r="P554" s="2">
        <v>16.8</v>
      </c>
      <c r="Q554" s="2">
        <v>16.8</v>
      </c>
      <c r="R554" s="2">
        <v>0</v>
      </c>
      <c r="S554" s="2">
        <v>8</v>
      </c>
      <c r="T554" s="2">
        <v>8</v>
      </c>
      <c r="U554" s="2">
        <v>8.8000000000000007</v>
      </c>
      <c r="V554" s="2">
        <v>8.8000000000000007</v>
      </c>
      <c r="W554" s="2">
        <v>8.8000000000000007</v>
      </c>
    </row>
    <row r="555" spans="1:23" outlineLevel="2" x14ac:dyDescent="0.2">
      <c r="A555" t="s">
        <v>0</v>
      </c>
      <c r="B555" t="s">
        <v>31</v>
      </c>
      <c r="C555" t="s">
        <v>79</v>
      </c>
      <c r="D555" t="s">
        <v>131</v>
      </c>
      <c r="E555" t="s">
        <v>132</v>
      </c>
      <c r="F555" t="s">
        <v>5</v>
      </c>
      <c r="G555" t="s">
        <v>6</v>
      </c>
      <c r="H555" t="s">
        <v>35</v>
      </c>
      <c r="I555" t="s">
        <v>36</v>
      </c>
      <c r="J555" t="s">
        <v>9</v>
      </c>
      <c r="K555" t="s">
        <v>235</v>
      </c>
      <c r="L555" t="s">
        <v>245</v>
      </c>
      <c r="M555" t="s">
        <v>15</v>
      </c>
      <c r="N555" s="2">
        <v>147.51</v>
      </c>
      <c r="O555" s="2">
        <v>0</v>
      </c>
      <c r="P555" s="2">
        <v>-27.51</v>
      </c>
      <c r="Q555" s="2">
        <v>120</v>
      </c>
      <c r="R555" s="2">
        <v>0</v>
      </c>
      <c r="S555" s="2">
        <v>120</v>
      </c>
      <c r="T555" s="2">
        <v>120</v>
      </c>
      <c r="U555" s="2">
        <v>0</v>
      </c>
      <c r="V555" s="2">
        <v>0</v>
      </c>
      <c r="W555" s="2">
        <v>0</v>
      </c>
    </row>
    <row r="556" spans="1:23" outlineLevel="2" x14ac:dyDescent="0.2">
      <c r="A556" t="s">
        <v>0</v>
      </c>
      <c r="B556" t="s">
        <v>1</v>
      </c>
      <c r="C556" t="s">
        <v>16</v>
      </c>
      <c r="D556" t="s">
        <v>17</v>
      </c>
      <c r="E556" t="s">
        <v>18</v>
      </c>
      <c r="F556" t="s">
        <v>5</v>
      </c>
      <c r="G556" t="s">
        <v>6</v>
      </c>
      <c r="H556" t="s">
        <v>35</v>
      </c>
      <c r="I556" t="s">
        <v>36</v>
      </c>
      <c r="J556" t="s">
        <v>9</v>
      </c>
      <c r="K556" t="s">
        <v>235</v>
      </c>
      <c r="L556" t="s">
        <v>241</v>
      </c>
      <c r="M556" t="s">
        <v>12</v>
      </c>
      <c r="N556" s="2">
        <v>0</v>
      </c>
      <c r="O556" s="2">
        <v>0</v>
      </c>
      <c r="P556" s="2">
        <v>93.77</v>
      </c>
      <c r="Q556" s="2">
        <v>93.77</v>
      </c>
      <c r="R556" s="2">
        <v>0</v>
      </c>
      <c r="S556" s="2">
        <v>28</v>
      </c>
      <c r="T556" s="2">
        <v>28</v>
      </c>
      <c r="U556" s="2">
        <v>65.77</v>
      </c>
      <c r="V556" s="2">
        <v>65.77</v>
      </c>
      <c r="W556" s="2">
        <v>65.77</v>
      </c>
    </row>
    <row r="557" spans="1:23" outlineLevel="2" x14ac:dyDescent="0.2">
      <c r="A557" t="s">
        <v>0</v>
      </c>
      <c r="B557" t="s">
        <v>39</v>
      </c>
      <c r="C557" t="s">
        <v>58</v>
      </c>
      <c r="D557" t="s">
        <v>59</v>
      </c>
      <c r="E557" t="s">
        <v>60</v>
      </c>
      <c r="F557" t="s">
        <v>5</v>
      </c>
      <c r="G557" t="s">
        <v>6</v>
      </c>
      <c r="H557" t="s">
        <v>35</v>
      </c>
      <c r="I557" t="s">
        <v>36</v>
      </c>
      <c r="J557" t="s">
        <v>9</v>
      </c>
      <c r="K557" t="s">
        <v>235</v>
      </c>
      <c r="L557" t="s">
        <v>237</v>
      </c>
      <c r="M557" t="s">
        <v>15</v>
      </c>
      <c r="N557" s="2">
        <v>305.01</v>
      </c>
      <c r="O557" s="2">
        <v>0</v>
      </c>
      <c r="P557" s="2">
        <v>-225.01</v>
      </c>
      <c r="Q557" s="2">
        <v>80</v>
      </c>
      <c r="R557" s="2">
        <v>0</v>
      </c>
      <c r="S557" s="2">
        <v>80</v>
      </c>
      <c r="T557" s="2">
        <v>80</v>
      </c>
      <c r="U557" s="2">
        <v>0</v>
      </c>
      <c r="V557" s="2">
        <v>0</v>
      </c>
      <c r="W557" s="2">
        <v>0</v>
      </c>
    </row>
    <row r="558" spans="1:23" outlineLevel="2" x14ac:dyDescent="0.2">
      <c r="A558" t="s">
        <v>0</v>
      </c>
      <c r="B558" t="s">
        <v>31</v>
      </c>
      <c r="C558" t="s">
        <v>107</v>
      </c>
      <c r="D558" t="s">
        <v>108</v>
      </c>
      <c r="E558" t="s">
        <v>109</v>
      </c>
      <c r="F558" t="s">
        <v>5</v>
      </c>
      <c r="G558" t="s">
        <v>6</v>
      </c>
      <c r="H558" t="s">
        <v>35</v>
      </c>
      <c r="I558" t="s">
        <v>36</v>
      </c>
      <c r="J558" t="s">
        <v>9</v>
      </c>
      <c r="K558" t="s">
        <v>235</v>
      </c>
      <c r="L558" t="s">
        <v>248</v>
      </c>
      <c r="M558" t="s">
        <v>15</v>
      </c>
      <c r="N558" s="2">
        <v>480.34</v>
      </c>
      <c r="O558" s="2">
        <v>0</v>
      </c>
      <c r="P558" s="2">
        <v>-460.34</v>
      </c>
      <c r="Q558" s="2">
        <v>20</v>
      </c>
      <c r="R558" s="2">
        <v>0</v>
      </c>
      <c r="S558" s="2">
        <v>20</v>
      </c>
      <c r="T558" s="2">
        <v>20</v>
      </c>
      <c r="U558" s="2">
        <v>0</v>
      </c>
      <c r="V558" s="2">
        <v>0</v>
      </c>
      <c r="W558" s="2">
        <v>0</v>
      </c>
    </row>
    <row r="559" spans="1:23" outlineLevel="2" x14ac:dyDescent="0.2">
      <c r="A559" t="s">
        <v>0</v>
      </c>
      <c r="B559" t="s">
        <v>39</v>
      </c>
      <c r="C559" t="s">
        <v>58</v>
      </c>
      <c r="D559" t="s">
        <v>59</v>
      </c>
      <c r="E559" t="s">
        <v>60</v>
      </c>
      <c r="F559" t="s">
        <v>5</v>
      </c>
      <c r="G559" t="s">
        <v>6</v>
      </c>
      <c r="H559" t="s">
        <v>35</v>
      </c>
      <c r="I559" t="s">
        <v>36</v>
      </c>
      <c r="J559" t="s">
        <v>9</v>
      </c>
      <c r="K559" t="s">
        <v>235</v>
      </c>
      <c r="L559" t="s">
        <v>237</v>
      </c>
      <c r="M559" t="s">
        <v>12</v>
      </c>
      <c r="N559" s="2">
        <v>0</v>
      </c>
      <c r="O559" s="2">
        <v>0</v>
      </c>
      <c r="P559" s="2">
        <v>16.8</v>
      </c>
      <c r="Q559" s="2">
        <v>16.8</v>
      </c>
      <c r="R559" s="2">
        <v>0</v>
      </c>
      <c r="S559" s="2">
        <v>16</v>
      </c>
      <c r="T559" s="2">
        <v>16</v>
      </c>
      <c r="U559" s="2">
        <v>0.8</v>
      </c>
      <c r="V559" s="2">
        <v>0.8</v>
      </c>
      <c r="W559" s="2">
        <v>0.8</v>
      </c>
    </row>
    <row r="560" spans="1:23" outlineLevel="2" x14ac:dyDescent="0.2">
      <c r="A560" t="s">
        <v>0</v>
      </c>
      <c r="B560" t="s">
        <v>31</v>
      </c>
      <c r="C560" t="s">
        <v>32</v>
      </c>
      <c r="D560" t="s">
        <v>123</v>
      </c>
      <c r="E560" t="s">
        <v>124</v>
      </c>
      <c r="F560" t="s">
        <v>5</v>
      </c>
      <c r="G560" t="s">
        <v>6</v>
      </c>
      <c r="H560" t="s">
        <v>35</v>
      </c>
      <c r="I560" t="s">
        <v>36</v>
      </c>
      <c r="J560" t="s">
        <v>9</v>
      </c>
      <c r="K560" t="s">
        <v>235</v>
      </c>
      <c r="L560" t="s">
        <v>244</v>
      </c>
      <c r="M560" t="s">
        <v>12</v>
      </c>
      <c r="N560" s="2">
        <v>0</v>
      </c>
      <c r="O560" s="2">
        <v>0</v>
      </c>
      <c r="P560" s="2">
        <v>566.79999999999995</v>
      </c>
      <c r="Q560" s="2">
        <v>566.79999999999995</v>
      </c>
      <c r="R560" s="2">
        <v>0</v>
      </c>
      <c r="S560" s="2">
        <v>20</v>
      </c>
      <c r="T560" s="2">
        <v>20</v>
      </c>
      <c r="U560" s="2">
        <v>546.79999999999995</v>
      </c>
      <c r="V560" s="2">
        <v>546.79999999999995</v>
      </c>
      <c r="W560" s="2">
        <v>546.79999999999995</v>
      </c>
    </row>
    <row r="561" spans="1:23" outlineLevel="2" x14ac:dyDescent="0.2">
      <c r="A561" t="s">
        <v>0</v>
      </c>
      <c r="B561" t="s">
        <v>31</v>
      </c>
      <c r="C561" t="s">
        <v>79</v>
      </c>
      <c r="D561" t="s">
        <v>133</v>
      </c>
      <c r="E561" t="s">
        <v>134</v>
      </c>
      <c r="F561" t="s">
        <v>5</v>
      </c>
      <c r="G561" t="s">
        <v>6</v>
      </c>
      <c r="H561" t="s">
        <v>35</v>
      </c>
      <c r="I561" t="s">
        <v>36</v>
      </c>
      <c r="J561" t="s">
        <v>9</v>
      </c>
      <c r="K561" t="s">
        <v>235</v>
      </c>
      <c r="L561" t="s">
        <v>245</v>
      </c>
      <c r="M561" t="s">
        <v>15</v>
      </c>
      <c r="N561" s="2">
        <v>292.3</v>
      </c>
      <c r="O561" s="2">
        <v>0</v>
      </c>
      <c r="P561" s="2">
        <v>-212.3</v>
      </c>
      <c r="Q561" s="2">
        <v>80</v>
      </c>
      <c r="R561" s="2">
        <v>0</v>
      </c>
      <c r="S561" s="2">
        <v>80</v>
      </c>
      <c r="T561" s="2">
        <v>80</v>
      </c>
      <c r="U561" s="2">
        <v>0</v>
      </c>
      <c r="V561" s="2">
        <v>0</v>
      </c>
      <c r="W561" s="2">
        <v>0</v>
      </c>
    </row>
    <row r="562" spans="1:23" outlineLevel="2" x14ac:dyDescent="0.2">
      <c r="A562" t="s">
        <v>0</v>
      </c>
      <c r="B562" t="s">
        <v>39</v>
      </c>
      <c r="C562" t="s">
        <v>58</v>
      </c>
      <c r="D562" t="s">
        <v>143</v>
      </c>
      <c r="E562" t="s">
        <v>144</v>
      </c>
      <c r="F562" t="s">
        <v>5</v>
      </c>
      <c r="G562" t="s">
        <v>6</v>
      </c>
      <c r="H562" t="s">
        <v>35</v>
      </c>
      <c r="I562" t="s">
        <v>36</v>
      </c>
      <c r="J562" t="s">
        <v>9</v>
      </c>
      <c r="K562" t="s">
        <v>235</v>
      </c>
      <c r="L562" t="s">
        <v>237</v>
      </c>
      <c r="M562" t="s">
        <v>15</v>
      </c>
      <c r="N562" s="2">
        <v>407.42</v>
      </c>
      <c r="O562" s="2">
        <v>0</v>
      </c>
      <c r="P562" s="2">
        <v>-407.42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</row>
    <row r="563" spans="1:23" outlineLevel="2" x14ac:dyDescent="0.2">
      <c r="A563" t="s">
        <v>0</v>
      </c>
      <c r="B563" t="s">
        <v>39</v>
      </c>
      <c r="C563" t="s">
        <v>95</v>
      </c>
      <c r="D563" t="s">
        <v>96</v>
      </c>
      <c r="E563" t="s">
        <v>97</v>
      </c>
      <c r="F563" t="s">
        <v>5</v>
      </c>
      <c r="G563" t="s">
        <v>6</v>
      </c>
      <c r="H563" t="s">
        <v>35</v>
      </c>
      <c r="I563" t="s">
        <v>36</v>
      </c>
      <c r="J563" t="s">
        <v>9</v>
      </c>
      <c r="K563" t="s">
        <v>235</v>
      </c>
      <c r="L563" t="s">
        <v>249</v>
      </c>
      <c r="M563" t="s">
        <v>15</v>
      </c>
      <c r="N563" s="2">
        <v>141.91</v>
      </c>
      <c r="O563" s="2">
        <v>0</v>
      </c>
      <c r="P563" s="2">
        <v>-141.91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</row>
    <row r="564" spans="1:23" outlineLevel="2" x14ac:dyDescent="0.2">
      <c r="A564" t="s">
        <v>0</v>
      </c>
      <c r="B564" t="s">
        <v>39</v>
      </c>
      <c r="C564" t="s">
        <v>58</v>
      </c>
      <c r="D564" t="s">
        <v>137</v>
      </c>
      <c r="E564" t="s">
        <v>138</v>
      </c>
      <c r="F564" t="s">
        <v>5</v>
      </c>
      <c r="G564" t="s">
        <v>6</v>
      </c>
      <c r="H564" t="s">
        <v>35</v>
      </c>
      <c r="I564" t="s">
        <v>36</v>
      </c>
      <c r="J564" t="s">
        <v>9</v>
      </c>
      <c r="K564" t="s">
        <v>235</v>
      </c>
      <c r="L564" t="s">
        <v>237</v>
      </c>
      <c r="M564" t="s">
        <v>15</v>
      </c>
      <c r="N564" s="2">
        <v>886.55</v>
      </c>
      <c r="O564" s="2">
        <v>0</v>
      </c>
      <c r="P564" s="2">
        <v>-886.55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</row>
    <row r="565" spans="1:23" outlineLevel="2" x14ac:dyDescent="0.2">
      <c r="A565" t="s">
        <v>0</v>
      </c>
      <c r="B565" t="s">
        <v>31</v>
      </c>
      <c r="C565" t="s">
        <v>79</v>
      </c>
      <c r="D565" t="s">
        <v>80</v>
      </c>
      <c r="E565" t="s">
        <v>81</v>
      </c>
      <c r="F565" t="s">
        <v>5</v>
      </c>
      <c r="G565" t="s">
        <v>6</v>
      </c>
      <c r="H565" t="s">
        <v>35</v>
      </c>
      <c r="I565" t="s">
        <v>36</v>
      </c>
      <c r="J565" t="s">
        <v>9</v>
      </c>
      <c r="K565" t="s">
        <v>235</v>
      </c>
      <c r="L565" t="s">
        <v>245</v>
      </c>
      <c r="M565" t="s">
        <v>15</v>
      </c>
      <c r="N565" s="2">
        <v>83.74</v>
      </c>
      <c r="O565" s="2">
        <v>0</v>
      </c>
      <c r="P565" s="2">
        <v>-35.74</v>
      </c>
      <c r="Q565" s="2">
        <v>48</v>
      </c>
      <c r="R565" s="2">
        <v>0</v>
      </c>
      <c r="S565" s="2">
        <v>48</v>
      </c>
      <c r="T565" s="2">
        <v>48</v>
      </c>
      <c r="U565" s="2">
        <v>0</v>
      </c>
      <c r="V565" s="2">
        <v>0</v>
      </c>
      <c r="W565" s="2">
        <v>0</v>
      </c>
    </row>
    <row r="566" spans="1:23" outlineLevel="2" x14ac:dyDescent="0.2">
      <c r="A566" t="s">
        <v>0</v>
      </c>
      <c r="B566" t="s">
        <v>1</v>
      </c>
      <c r="C566" t="s">
        <v>91</v>
      </c>
      <c r="D566" t="s">
        <v>92</v>
      </c>
      <c r="E566" t="s">
        <v>93</v>
      </c>
      <c r="F566" t="s">
        <v>5</v>
      </c>
      <c r="G566" t="s">
        <v>6</v>
      </c>
      <c r="H566" t="s">
        <v>35</v>
      </c>
      <c r="I566" t="s">
        <v>36</v>
      </c>
      <c r="J566" t="s">
        <v>9</v>
      </c>
      <c r="K566" t="s">
        <v>235</v>
      </c>
      <c r="L566" t="s">
        <v>250</v>
      </c>
      <c r="M566" t="s">
        <v>15</v>
      </c>
      <c r="N566" s="2">
        <v>184.73</v>
      </c>
      <c r="O566" s="2">
        <v>0</v>
      </c>
      <c r="P566" s="2">
        <v>-144.72999999999999</v>
      </c>
      <c r="Q566" s="2">
        <v>40</v>
      </c>
      <c r="R566" s="2">
        <v>0</v>
      </c>
      <c r="S566" s="2">
        <v>40</v>
      </c>
      <c r="T566" s="2">
        <v>40</v>
      </c>
      <c r="U566" s="2">
        <v>0</v>
      </c>
      <c r="V566" s="2">
        <v>0</v>
      </c>
      <c r="W566" s="2">
        <v>0</v>
      </c>
    </row>
    <row r="567" spans="1:23" outlineLevel="2" x14ac:dyDescent="0.2">
      <c r="A567" t="s">
        <v>0</v>
      </c>
      <c r="B567" t="s">
        <v>31</v>
      </c>
      <c r="C567" t="s">
        <v>107</v>
      </c>
      <c r="D567" t="s">
        <v>108</v>
      </c>
      <c r="E567" t="s">
        <v>109</v>
      </c>
      <c r="F567" t="s">
        <v>5</v>
      </c>
      <c r="G567" t="s">
        <v>6</v>
      </c>
      <c r="H567" t="s">
        <v>35</v>
      </c>
      <c r="I567" t="s">
        <v>36</v>
      </c>
      <c r="J567" t="s">
        <v>9</v>
      </c>
      <c r="K567" t="s">
        <v>235</v>
      </c>
      <c r="L567" t="s">
        <v>248</v>
      </c>
      <c r="M567" t="s">
        <v>12</v>
      </c>
      <c r="N567" s="2">
        <v>0</v>
      </c>
      <c r="O567" s="2">
        <v>0</v>
      </c>
      <c r="P567" s="2">
        <v>14.57</v>
      </c>
      <c r="Q567" s="2">
        <v>14.57</v>
      </c>
      <c r="R567" s="2">
        <v>0</v>
      </c>
      <c r="S567" s="2">
        <v>0</v>
      </c>
      <c r="T567" s="2">
        <v>0</v>
      </c>
      <c r="U567" s="2">
        <v>14.57</v>
      </c>
      <c r="V567" s="2">
        <v>14.57</v>
      </c>
      <c r="W567" s="2">
        <v>14.57</v>
      </c>
    </row>
    <row r="568" spans="1:23" outlineLevel="2" x14ac:dyDescent="0.2">
      <c r="A568" t="s">
        <v>0</v>
      </c>
      <c r="B568" t="s">
        <v>31</v>
      </c>
      <c r="C568" t="s">
        <v>79</v>
      </c>
      <c r="D568" t="s">
        <v>131</v>
      </c>
      <c r="E568" t="s">
        <v>132</v>
      </c>
      <c r="F568" t="s">
        <v>5</v>
      </c>
      <c r="G568" t="s">
        <v>6</v>
      </c>
      <c r="H568" t="s">
        <v>35</v>
      </c>
      <c r="I568" t="s">
        <v>36</v>
      </c>
      <c r="J568" t="s">
        <v>9</v>
      </c>
      <c r="K568" t="s">
        <v>235</v>
      </c>
      <c r="L568" t="s">
        <v>245</v>
      </c>
      <c r="M568" t="s">
        <v>12</v>
      </c>
      <c r="N568" s="2">
        <v>0</v>
      </c>
      <c r="O568" s="2">
        <v>0</v>
      </c>
      <c r="P568" s="2">
        <v>25.2</v>
      </c>
      <c r="Q568" s="2">
        <v>25.2</v>
      </c>
      <c r="R568" s="2">
        <v>0</v>
      </c>
      <c r="S568" s="2">
        <v>12</v>
      </c>
      <c r="T568" s="2">
        <v>12</v>
      </c>
      <c r="U568" s="2">
        <v>13.2</v>
      </c>
      <c r="V568" s="2">
        <v>13.2</v>
      </c>
      <c r="W568" s="2">
        <v>13.2</v>
      </c>
    </row>
    <row r="569" spans="1:23" outlineLevel="2" x14ac:dyDescent="0.2">
      <c r="A569" t="s">
        <v>0</v>
      </c>
      <c r="B569" t="s">
        <v>31</v>
      </c>
      <c r="C569" t="s">
        <v>79</v>
      </c>
      <c r="D569" t="s">
        <v>113</v>
      </c>
      <c r="E569" t="s">
        <v>114</v>
      </c>
      <c r="F569" t="s">
        <v>5</v>
      </c>
      <c r="G569" t="s">
        <v>6</v>
      </c>
      <c r="H569" t="s">
        <v>35</v>
      </c>
      <c r="I569" t="s">
        <v>36</v>
      </c>
      <c r="J569" t="s">
        <v>9</v>
      </c>
      <c r="K569" t="s">
        <v>235</v>
      </c>
      <c r="L569" t="s">
        <v>245</v>
      </c>
      <c r="M569" t="s">
        <v>15</v>
      </c>
      <c r="N569" s="2">
        <v>162.29</v>
      </c>
      <c r="O569" s="2">
        <v>0</v>
      </c>
      <c r="P569" s="2">
        <v>-162.29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</row>
    <row r="570" spans="1:23" outlineLevel="2" x14ac:dyDescent="0.2">
      <c r="A570" t="s">
        <v>0</v>
      </c>
      <c r="B570" t="s">
        <v>39</v>
      </c>
      <c r="C570" t="s">
        <v>58</v>
      </c>
      <c r="D570" t="s">
        <v>139</v>
      </c>
      <c r="E570" t="s">
        <v>140</v>
      </c>
      <c r="F570" t="s">
        <v>5</v>
      </c>
      <c r="G570" t="s">
        <v>6</v>
      </c>
      <c r="H570" t="s">
        <v>35</v>
      </c>
      <c r="I570" t="s">
        <v>36</v>
      </c>
      <c r="J570" t="s">
        <v>9</v>
      </c>
      <c r="K570" t="s">
        <v>235</v>
      </c>
      <c r="L570" t="s">
        <v>237</v>
      </c>
      <c r="M570" t="s">
        <v>12</v>
      </c>
      <c r="N570" s="2">
        <v>0</v>
      </c>
      <c r="O570" s="2">
        <v>0</v>
      </c>
      <c r="P570" s="2">
        <v>16.8</v>
      </c>
      <c r="Q570" s="2">
        <v>16.8</v>
      </c>
      <c r="R570" s="2">
        <v>0</v>
      </c>
      <c r="S570" s="2">
        <v>8</v>
      </c>
      <c r="T570" s="2">
        <v>8</v>
      </c>
      <c r="U570" s="2">
        <v>8.8000000000000007</v>
      </c>
      <c r="V570" s="2">
        <v>8.8000000000000007</v>
      </c>
      <c r="W570" s="2">
        <v>8.8000000000000007</v>
      </c>
    </row>
    <row r="571" spans="1:23" outlineLevel="2" x14ac:dyDescent="0.2">
      <c r="A571" t="s">
        <v>0</v>
      </c>
      <c r="B571" t="s">
        <v>39</v>
      </c>
      <c r="C571" t="s">
        <v>58</v>
      </c>
      <c r="D571" t="s">
        <v>145</v>
      </c>
      <c r="E571" t="s">
        <v>146</v>
      </c>
      <c r="F571" t="s">
        <v>5</v>
      </c>
      <c r="G571" t="s">
        <v>6</v>
      </c>
      <c r="H571" t="s">
        <v>35</v>
      </c>
      <c r="I571" t="s">
        <v>36</v>
      </c>
      <c r="J571" t="s">
        <v>9</v>
      </c>
      <c r="K571" t="s">
        <v>235</v>
      </c>
      <c r="L571" t="s">
        <v>237</v>
      </c>
      <c r="M571" t="s">
        <v>15</v>
      </c>
      <c r="N571" s="2">
        <v>422.27</v>
      </c>
      <c r="O571" s="2">
        <v>0</v>
      </c>
      <c r="P571" s="2">
        <v>-330.27</v>
      </c>
      <c r="Q571" s="2">
        <v>92</v>
      </c>
      <c r="R571" s="2">
        <v>0</v>
      </c>
      <c r="S571" s="2">
        <v>92</v>
      </c>
      <c r="T571" s="2">
        <v>92</v>
      </c>
      <c r="U571" s="2">
        <v>0</v>
      </c>
      <c r="V571" s="2">
        <v>0</v>
      </c>
      <c r="W571" s="2">
        <v>0</v>
      </c>
    </row>
    <row r="572" spans="1:23" outlineLevel="2" x14ac:dyDescent="0.2">
      <c r="A572" t="s">
        <v>0</v>
      </c>
      <c r="B572" t="s">
        <v>1</v>
      </c>
      <c r="C572" t="s">
        <v>2</v>
      </c>
      <c r="D572" t="s">
        <v>20</v>
      </c>
      <c r="E572" t="s">
        <v>21</v>
      </c>
      <c r="F572" t="s">
        <v>5</v>
      </c>
      <c r="G572" t="s">
        <v>6</v>
      </c>
      <c r="H572" t="s">
        <v>35</v>
      </c>
      <c r="I572" t="s">
        <v>36</v>
      </c>
      <c r="J572" t="s">
        <v>9</v>
      </c>
      <c r="K572" t="s">
        <v>235</v>
      </c>
      <c r="L572" t="s">
        <v>240</v>
      </c>
      <c r="M572" t="s">
        <v>12</v>
      </c>
      <c r="N572" s="2">
        <v>0</v>
      </c>
      <c r="O572" s="2">
        <v>0</v>
      </c>
      <c r="P572" s="2">
        <v>199.37</v>
      </c>
      <c r="Q572" s="2">
        <v>199.37</v>
      </c>
      <c r="R572" s="2">
        <v>0</v>
      </c>
      <c r="S572" s="2">
        <v>84</v>
      </c>
      <c r="T572" s="2">
        <v>84</v>
      </c>
      <c r="U572" s="2">
        <v>115.37</v>
      </c>
      <c r="V572" s="2">
        <v>115.37</v>
      </c>
      <c r="W572" s="2">
        <v>115.37</v>
      </c>
    </row>
    <row r="573" spans="1:23" outlineLevel="2" x14ac:dyDescent="0.2">
      <c r="A573" t="s">
        <v>0</v>
      </c>
      <c r="B573" t="s">
        <v>31</v>
      </c>
      <c r="C573" t="s">
        <v>79</v>
      </c>
      <c r="D573" t="s">
        <v>125</v>
      </c>
      <c r="E573" t="s">
        <v>126</v>
      </c>
      <c r="F573" t="s">
        <v>5</v>
      </c>
      <c r="G573" t="s">
        <v>6</v>
      </c>
      <c r="H573" t="s">
        <v>35</v>
      </c>
      <c r="I573" t="s">
        <v>36</v>
      </c>
      <c r="J573" t="s">
        <v>9</v>
      </c>
      <c r="K573" t="s">
        <v>235</v>
      </c>
      <c r="L573" t="s">
        <v>245</v>
      </c>
      <c r="M573" t="s">
        <v>15</v>
      </c>
      <c r="N573" s="2">
        <v>111.2</v>
      </c>
      <c r="O573" s="2">
        <v>0</v>
      </c>
      <c r="P573" s="2">
        <v>-31.2</v>
      </c>
      <c r="Q573" s="2">
        <v>80</v>
      </c>
      <c r="R573" s="2">
        <v>0</v>
      </c>
      <c r="S573" s="2">
        <v>80</v>
      </c>
      <c r="T573" s="2">
        <v>80</v>
      </c>
      <c r="U573" s="2">
        <v>0</v>
      </c>
      <c r="V573" s="2">
        <v>0</v>
      </c>
      <c r="W573" s="2">
        <v>0</v>
      </c>
    </row>
    <row r="574" spans="1:23" outlineLevel="2" x14ac:dyDescent="0.2">
      <c r="A574" t="s">
        <v>0</v>
      </c>
      <c r="B574" t="s">
        <v>1</v>
      </c>
      <c r="C574" t="s">
        <v>99</v>
      </c>
      <c r="D574" t="s">
        <v>100</v>
      </c>
      <c r="E574" t="s">
        <v>101</v>
      </c>
      <c r="F574" t="s">
        <v>5</v>
      </c>
      <c r="G574" t="s">
        <v>6</v>
      </c>
      <c r="H574" t="s">
        <v>35</v>
      </c>
      <c r="I574" t="s">
        <v>36</v>
      </c>
      <c r="J574" t="s">
        <v>9</v>
      </c>
      <c r="K574" t="s">
        <v>235</v>
      </c>
      <c r="L574" t="s">
        <v>239</v>
      </c>
      <c r="M574" t="s">
        <v>15</v>
      </c>
      <c r="N574" s="2">
        <v>337.41</v>
      </c>
      <c r="O574" s="2">
        <v>0</v>
      </c>
      <c r="P574" s="2">
        <v>-257.41000000000003</v>
      </c>
      <c r="Q574" s="2">
        <v>80</v>
      </c>
      <c r="R574" s="2">
        <v>0</v>
      </c>
      <c r="S574" s="2">
        <v>80</v>
      </c>
      <c r="T574" s="2">
        <v>80</v>
      </c>
      <c r="U574" s="2">
        <v>0</v>
      </c>
      <c r="V574" s="2">
        <v>0</v>
      </c>
      <c r="W574" s="2">
        <v>0</v>
      </c>
    </row>
    <row r="575" spans="1:23" outlineLevel="2" x14ac:dyDescent="0.2">
      <c r="A575" t="s">
        <v>0</v>
      </c>
      <c r="B575" t="s">
        <v>31</v>
      </c>
      <c r="C575" t="s">
        <v>79</v>
      </c>
      <c r="D575" t="s">
        <v>111</v>
      </c>
      <c r="E575" t="s">
        <v>112</v>
      </c>
      <c r="F575" t="s">
        <v>5</v>
      </c>
      <c r="G575" t="s">
        <v>6</v>
      </c>
      <c r="H575" t="s">
        <v>35</v>
      </c>
      <c r="I575" t="s">
        <v>36</v>
      </c>
      <c r="J575" t="s">
        <v>9</v>
      </c>
      <c r="K575" t="s">
        <v>235</v>
      </c>
      <c r="L575" t="s">
        <v>245</v>
      </c>
      <c r="M575" t="s">
        <v>15</v>
      </c>
      <c r="N575" s="2">
        <v>34.049999999999997</v>
      </c>
      <c r="O575" s="2">
        <v>0</v>
      </c>
      <c r="P575" s="2">
        <v>-34.049999999999997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</row>
    <row r="576" spans="1:23" outlineLevel="2" x14ac:dyDescent="0.2">
      <c r="A576" t="s">
        <v>0</v>
      </c>
      <c r="B576" t="s">
        <v>31</v>
      </c>
      <c r="C576" t="s">
        <v>32</v>
      </c>
      <c r="D576" t="s">
        <v>141</v>
      </c>
      <c r="E576" t="s">
        <v>142</v>
      </c>
      <c r="F576" t="s">
        <v>5</v>
      </c>
      <c r="G576" t="s">
        <v>6</v>
      </c>
      <c r="H576" t="s">
        <v>35</v>
      </c>
      <c r="I576" t="s">
        <v>36</v>
      </c>
      <c r="J576" t="s">
        <v>9</v>
      </c>
      <c r="K576" t="s">
        <v>235</v>
      </c>
      <c r="L576" t="s">
        <v>244</v>
      </c>
      <c r="M576" t="s">
        <v>15</v>
      </c>
      <c r="N576" s="2">
        <v>224.45</v>
      </c>
      <c r="O576" s="2">
        <v>13.26</v>
      </c>
      <c r="P576" s="2">
        <v>-237.71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</row>
    <row r="577" spans="1:23" outlineLevel="2" x14ac:dyDescent="0.2">
      <c r="A577" t="s">
        <v>0</v>
      </c>
      <c r="B577" t="s">
        <v>39</v>
      </c>
      <c r="C577" t="s">
        <v>70</v>
      </c>
      <c r="D577" t="s">
        <v>89</v>
      </c>
      <c r="E577" t="s">
        <v>90</v>
      </c>
      <c r="F577" t="s">
        <v>5</v>
      </c>
      <c r="G577" t="s">
        <v>6</v>
      </c>
      <c r="H577" t="s">
        <v>35</v>
      </c>
      <c r="I577" t="s">
        <v>36</v>
      </c>
      <c r="J577" t="s">
        <v>9</v>
      </c>
      <c r="K577" t="s">
        <v>235</v>
      </c>
      <c r="L577" t="s">
        <v>236</v>
      </c>
      <c r="M577" t="s">
        <v>15</v>
      </c>
      <c r="N577" s="2">
        <v>186.28</v>
      </c>
      <c r="O577" s="2">
        <v>0</v>
      </c>
      <c r="P577" s="2">
        <v>-18.28</v>
      </c>
      <c r="Q577" s="2">
        <v>168</v>
      </c>
      <c r="R577" s="2">
        <v>0</v>
      </c>
      <c r="S577" s="2">
        <v>168</v>
      </c>
      <c r="T577" s="2">
        <v>168</v>
      </c>
      <c r="U577" s="2">
        <v>0</v>
      </c>
      <c r="V577" s="2">
        <v>0</v>
      </c>
      <c r="W577" s="2">
        <v>0</v>
      </c>
    </row>
    <row r="578" spans="1:23" outlineLevel="2" x14ac:dyDescent="0.2">
      <c r="A578" t="s">
        <v>0</v>
      </c>
      <c r="B578" t="s">
        <v>31</v>
      </c>
      <c r="C578" t="s">
        <v>32</v>
      </c>
      <c r="D578" t="s">
        <v>75</v>
      </c>
      <c r="E578" t="s">
        <v>76</v>
      </c>
      <c r="F578" t="s">
        <v>5</v>
      </c>
      <c r="G578" t="s">
        <v>6</v>
      </c>
      <c r="H578" t="s">
        <v>35</v>
      </c>
      <c r="I578" t="s">
        <v>36</v>
      </c>
      <c r="J578" t="s">
        <v>9</v>
      </c>
      <c r="K578" t="s">
        <v>235</v>
      </c>
      <c r="L578" t="s">
        <v>244</v>
      </c>
      <c r="M578" t="s">
        <v>15</v>
      </c>
      <c r="N578" s="2">
        <v>759.18</v>
      </c>
      <c r="O578" s="2">
        <v>528</v>
      </c>
      <c r="P578" s="2">
        <v>-1239.18</v>
      </c>
      <c r="Q578" s="2">
        <v>48</v>
      </c>
      <c r="R578" s="2">
        <v>0</v>
      </c>
      <c r="S578" s="2">
        <v>48</v>
      </c>
      <c r="T578" s="2">
        <v>48</v>
      </c>
      <c r="U578" s="2">
        <v>0</v>
      </c>
      <c r="V578" s="2">
        <v>0</v>
      </c>
      <c r="W578" s="2">
        <v>0</v>
      </c>
    </row>
    <row r="579" spans="1:23" outlineLevel="2" x14ac:dyDescent="0.2">
      <c r="A579" t="s">
        <v>0</v>
      </c>
      <c r="B579" t="s">
        <v>31</v>
      </c>
      <c r="C579" t="s">
        <v>79</v>
      </c>
      <c r="D579" t="s">
        <v>133</v>
      </c>
      <c r="E579" t="s">
        <v>134</v>
      </c>
      <c r="F579" t="s">
        <v>5</v>
      </c>
      <c r="G579" t="s">
        <v>6</v>
      </c>
      <c r="H579" t="s">
        <v>35</v>
      </c>
      <c r="I579" t="s">
        <v>36</v>
      </c>
      <c r="J579" t="s">
        <v>9</v>
      </c>
      <c r="K579" t="s">
        <v>235</v>
      </c>
      <c r="L579" t="s">
        <v>245</v>
      </c>
      <c r="M579" t="s">
        <v>12</v>
      </c>
      <c r="N579" s="2">
        <v>0</v>
      </c>
      <c r="O579" s="2">
        <v>0</v>
      </c>
      <c r="P579" s="2">
        <v>16.8</v>
      </c>
      <c r="Q579" s="2">
        <v>16.8</v>
      </c>
      <c r="R579" s="2">
        <v>0</v>
      </c>
      <c r="S579" s="2">
        <v>8</v>
      </c>
      <c r="T579" s="2">
        <v>8</v>
      </c>
      <c r="U579" s="2">
        <v>8.8000000000000007</v>
      </c>
      <c r="V579" s="2">
        <v>8.8000000000000007</v>
      </c>
      <c r="W579" s="2">
        <v>8.8000000000000007</v>
      </c>
    </row>
    <row r="580" spans="1:23" outlineLevel="2" x14ac:dyDescent="0.2">
      <c r="A580" t="s">
        <v>0</v>
      </c>
      <c r="B580" t="s">
        <v>31</v>
      </c>
      <c r="C580" t="s">
        <v>79</v>
      </c>
      <c r="D580" t="s">
        <v>117</v>
      </c>
      <c r="E580" t="s">
        <v>118</v>
      </c>
      <c r="F580" t="s">
        <v>5</v>
      </c>
      <c r="G580" t="s">
        <v>6</v>
      </c>
      <c r="H580" t="s">
        <v>35</v>
      </c>
      <c r="I580" t="s">
        <v>36</v>
      </c>
      <c r="J580" t="s">
        <v>9</v>
      </c>
      <c r="K580" t="s">
        <v>235</v>
      </c>
      <c r="L580" t="s">
        <v>245</v>
      </c>
      <c r="M580" t="s">
        <v>12</v>
      </c>
      <c r="N580" s="2">
        <v>0</v>
      </c>
      <c r="O580" s="2">
        <v>0</v>
      </c>
      <c r="P580" s="2">
        <v>8.4</v>
      </c>
      <c r="Q580" s="2">
        <v>8.4</v>
      </c>
      <c r="R580" s="2">
        <v>0</v>
      </c>
      <c r="S580" s="2">
        <v>4</v>
      </c>
      <c r="T580" s="2">
        <v>4</v>
      </c>
      <c r="U580" s="2">
        <v>4.4000000000000004</v>
      </c>
      <c r="V580" s="2">
        <v>4.4000000000000004</v>
      </c>
      <c r="W580" s="2">
        <v>4.4000000000000004</v>
      </c>
    </row>
    <row r="581" spans="1:23" outlineLevel="2" x14ac:dyDescent="0.2">
      <c r="A581" t="s">
        <v>0</v>
      </c>
      <c r="B581" t="s">
        <v>31</v>
      </c>
      <c r="C581" t="s">
        <v>79</v>
      </c>
      <c r="D581" t="s">
        <v>127</v>
      </c>
      <c r="E581" t="s">
        <v>128</v>
      </c>
      <c r="F581" t="s">
        <v>5</v>
      </c>
      <c r="G581" t="s">
        <v>6</v>
      </c>
      <c r="H581" t="s">
        <v>35</v>
      </c>
      <c r="I581" t="s">
        <v>36</v>
      </c>
      <c r="J581" t="s">
        <v>9</v>
      </c>
      <c r="K581" t="s">
        <v>235</v>
      </c>
      <c r="L581" t="s">
        <v>245</v>
      </c>
      <c r="M581" t="s">
        <v>15</v>
      </c>
      <c r="N581" s="2">
        <v>172.39</v>
      </c>
      <c r="O581" s="2">
        <v>0</v>
      </c>
      <c r="P581" s="2">
        <v>-172.39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</row>
    <row r="582" spans="1:23" outlineLevel="2" x14ac:dyDescent="0.2">
      <c r="A582" t="s">
        <v>0</v>
      </c>
      <c r="B582" t="s">
        <v>1</v>
      </c>
      <c r="C582" t="s">
        <v>16</v>
      </c>
      <c r="D582" t="s">
        <v>17</v>
      </c>
      <c r="E582" t="s">
        <v>18</v>
      </c>
      <c r="F582" t="s">
        <v>5</v>
      </c>
      <c r="G582" t="s">
        <v>6</v>
      </c>
      <c r="H582" t="s">
        <v>35</v>
      </c>
      <c r="I582" t="s">
        <v>36</v>
      </c>
      <c r="J582" t="s">
        <v>9</v>
      </c>
      <c r="K582" t="s">
        <v>235</v>
      </c>
      <c r="L582" t="s">
        <v>241</v>
      </c>
      <c r="M582" t="s">
        <v>15</v>
      </c>
      <c r="N582" s="2">
        <v>849.14</v>
      </c>
      <c r="O582" s="2">
        <v>0</v>
      </c>
      <c r="P582" s="2">
        <v>-521.14</v>
      </c>
      <c r="Q582" s="2">
        <v>328</v>
      </c>
      <c r="R582" s="2">
        <v>0</v>
      </c>
      <c r="S582" s="2">
        <v>328</v>
      </c>
      <c r="T582" s="2">
        <v>328</v>
      </c>
      <c r="U582" s="2">
        <v>0</v>
      </c>
      <c r="V582" s="2">
        <v>0</v>
      </c>
      <c r="W582" s="2">
        <v>0</v>
      </c>
    </row>
    <row r="583" spans="1:23" outlineLevel="2" x14ac:dyDescent="0.2">
      <c r="A583" t="s">
        <v>0</v>
      </c>
      <c r="B583" t="s">
        <v>31</v>
      </c>
      <c r="C583" t="s">
        <v>32</v>
      </c>
      <c r="D583" t="s">
        <v>123</v>
      </c>
      <c r="E583" t="s">
        <v>124</v>
      </c>
      <c r="F583" t="s">
        <v>5</v>
      </c>
      <c r="G583" t="s">
        <v>6</v>
      </c>
      <c r="H583" t="s">
        <v>35</v>
      </c>
      <c r="I583" t="s">
        <v>36</v>
      </c>
      <c r="J583" t="s">
        <v>9</v>
      </c>
      <c r="K583" t="s">
        <v>235</v>
      </c>
      <c r="L583" t="s">
        <v>244</v>
      </c>
      <c r="M583" t="s">
        <v>15</v>
      </c>
      <c r="N583" s="2">
        <v>572.05999999999995</v>
      </c>
      <c r="O583" s="2">
        <v>250.74</v>
      </c>
      <c r="P583" s="2">
        <v>-566.79999999999995</v>
      </c>
      <c r="Q583" s="2">
        <v>256</v>
      </c>
      <c r="R583" s="2">
        <v>0</v>
      </c>
      <c r="S583" s="2">
        <v>256</v>
      </c>
      <c r="T583" s="2">
        <v>256</v>
      </c>
      <c r="U583" s="2">
        <v>0</v>
      </c>
      <c r="V583" s="2">
        <v>0</v>
      </c>
      <c r="W583" s="2">
        <v>0</v>
      </c>
    </row>
    <row r="584" spans="1:23" outlineLevel="2" x14ac:dyDescent="0.2">
      <c r="A584" t="s">
        <v>0</v>
      </c>
      <c r="B584" t="s">
        <v>31</v>
      </c>
      <c r="C584" t="s">
        <v>32</v>
      </c>
      <c r="D584" t="s">
        <v>33</v>
      </c>
      <c r="E584" t="s">
        <v>34</v>
      </c>
      <c r="F584" t="s">
        <v>5</v>
      </c>
      <c r="G584" t="s">
        <v>6</v>
      </c>
      <c r="H584" t="s">
        <v>35</v>
      </c>
      <c r="I584" t="s">
        <v>36</v>
      </c>
      <c r="J584" t="s">
        <v>9</v>
      </c>
      <c r="K584" t="s">
        <v>235</v>
      </c>
      <c r="L584" t="s">
        <v>244</v>
      </c>
      <c r="M584" t="s">
        <v>15</v>
      </c>
      <c r="N584" s="2">
        <v>791.13</v>
      </c>
      <c r="O584" s="2">
        <v>264</v>
      </c>
      <c r="P584" s="2">
        <v>-655.13</v>
      </c>
      <c r="Q584" s="2">
        <v>400</v>
      </c>
      <c r="R584" s="2">
        <v>0</v>
      </c>
      <c r="S584" s="2">
        <v>400</v>
      </c>
      <c r="T584" s="2">
        <v>400</v>
      </c>
      <c r="U584" s="2">
        <v>0</v>
      </c>
      <c r="V584" s="2">
        <v>0</v>
      </c>
      <c r="W584" s="2">
        <v>0</v>
      </c>
    </row>
    <row r="585" spans="1:23" outlineLevel="2" x14ac:dyDescent="0.2">
      <c r="A585" t="s">
        <v>0</v>
      </c>
      <c r="B585" t="s">
        <v>39</v>
      </c>
      <c r="C585" t="s">
        <v>58</v>
      </c>
      <c r="D585" t="s">
        <v>147</v>
      </c>
      <c r="E585" t="s">
        <v>148</v>
      </c>
      <c r="F585" t="s">
        <v>5</v>
      </c>
      <c r="G585" t="s">
        <v>6</v>
      </c>
      <c r="H585" t="s">
        <v>35</v>
      </c>
      <c r="I585" t="s">
        <v>36</v>
      </c>
      <c r="J585" t="s">
        <v>9</v>
      </c>
      <c r="K585" t="s">
        <v>235</v>
      </c>
      <c r="L585" t="s">
        <v>237</v>
      </c>
      <c r="M585" t="s">
        <v>12</v>
      </c>
      <c r="N585" s="2">
        <v>0</v>
      </c>
      <c r="O585" s="2">
        <v>0</v>
      </c>
      <c r="P585" s="2">
        <v>73.03</v>
      </c>
      <c r="Q585" s="2">
        <v>73.03</v>
      </c>
      <c r="R585" s="2">
        <v>0</v>
      </c>
      <c r="S585" s="2">
        <v>32</v>
      </c>
      <c r="T585" s="2">
        <v>32</v>
      </c>
      <c r="U585" s="2">
        <v>41.03</v>
      </c>
      <c r="V585" s="2">
        <v>41.03</v>
      </c>
      <c r="W585" s="2">
        <v>41.03</v>
      </c>
    </row>
    <row r="586" spans="1:23" outlineLevel="2" x14ac:dyDescent="0.2">
      <c r="A586" t="s">
        <v>0</v>
      </c>
      <c r="B586" t="s">
        <v>39</v>
      </c>
      <c r="C586" t="s">
        <v>58</v>
      </c>
      <c r="D586" t="s">
        <v>147</v>
      </c>
      <c r="E586" t="s">
        <v>148</v>
      </c>
      <c r="F586" t="s">
        <v>5</v>
      </c>
      <c r="G586" t="s">
        <v>6</v>
      </c>
      <c r="H586" t="s">
        <v>35</v>
      </c>
      <c r="I586" t="s">
        <v>36</v>
      </c>
      <c r="J586" t="s">
        <v>9</v>
      </c>
      <c r="K586" t="s">
        <v>235</v>
      </c>
      <c r="L586" t="s">
        <v>237</v>
      </c>
      <c r="M586" t="s">
        <v>15</v>
      </c>
      <c r="N586" s="2">
        <v>874.17</v>
      </c>
      <c r="O586" s="2">
        <v>0</v>
      </c>
      <c r="P586" s="2">
        <v>-546.16999999999996</v>
      </c>
      <c r="Q586" s="2">
        <v>328</v>
      </c>
      <c r="R586" s="2">
        <v>0</v>
      </c>
      <c r="S586" s="2">
        <v>328</v>
      </c>
      <c r="T586" s="2">
        <v>328</v>
      </c>
      <c r="U586" s="2">
        <v>0</v>
      </c>
      <c r="V586" s="2">
        <v>0</v>
      </c>
      <c r="W586" s="2">
        <v>0</v>
      </c>
    </row>
    <row r="587" spans="1:23" outlineLevel="2" x14ac:dyDescent="0.2">
      <c r="A587" t="s">
        <v>0</v>
      </c>
      <c r="B587" t="s">
        <v>31</v>
      </c>
      <c r="C587" t="s">
        <v>79</v>
      </c>
      <c r="D587" t="s">
        <v>80</v>
      </c>
      <c r="E587" t="s">
        <v>81</v>
      </c>
      <c r="F587" t="s">
        <v>5</v>
      </c>
      <c r="G587" t="s">
        <v>6</v>
      </c>
      <c r="H587" t="s">
        <v>35</v>
      </c>
      <c r="I587" t="s">
        <v>36</v>
      </c>
      <c r="J587" t="s">
        <v>9</v>
      </c>
      <c r="K587" t="s">
        <v>235</v>
      </c>
      <c r="L587" t="s">
        <v>245</v>
      </c>
      <c r="M587" t="s">
        <v>12</v>
      </c>
      <c r="N587" s="2">
        <v>0</v>
      </c>
      <c r="O587" s="2">
        <v>0</v>
      </c>
      <c r="P587" s="2">
        <v>14.23</v>
      </c>
      <c r="Q587" s="2">
        <v>14.23</v>
      </c>
      <c r="R587" s="2">
        <v>0</v>
      </c>
      <c r="S587" s="2">
        <v>4</v>
      </c>
      <c r="T587" s="2">
        <v>4</v>
      </c>
      <c r="U587" s="2">
        <v>10.23</v>
      </c>
      <c r="V587" s="2">
        <v>10.23</v>
      </c>
      <c r="W587" s="2">
        <v>10.23</v>
      </c>
    </row>
    <row r="588" spans="1:23" outlineLevel="2" x14ac:dyDescent="0.2">
      <c r="A588" t="s">
        <v>0</v>
      </c>
      <c r="B588" t="s">
        <v>53</v>
      </c>
      <c r="C588" t="s">
        <v>54</v>
      </c>
      <c r="D588" t="s">
        <v>55</v>
      </c>
      <c r="E588" t="s">
        <v>56</v>
      </c>
      <c r="F588" t="s">
        <v>5</v>
      </c>
      <c r="G588" t="s">
        <v>6</v>
      </c>
      <c r="H588" t="s">
        <v>35</v>
      </c>
      <c r="I588" t="s">
        <v>36</v>
      </c>
      <c r="J588" t="s">
        <v>9</v>
      </c>
      <c r="K588" t="s">
        <v>235</v>
      </c>
      <c r="L588" t="s">
        <v>246</v>
      </c>
      <c r="M588" t="s">
        <v>12</v>
      </c>
      <c r="N588" s="2">
        <v>0</v>
      </c>
      <c r="O588" s="2">
        <v>0</v>
      </c>
      <c r="P588" s="2">
        <v>564</v>
      </c>
      <c r="Q588" s="2">
        <v>564</v>
      </c>
      <c r="R588" s="2">
        <v>0</v>
      </c>
      <c r="S588" s="2">
        <v>16</v>
      </c>
      <c r="T588" s="2">
        <v>16</v>
      </c>
      <c r="U588" s="2">
        <v>548</v>
      </c>
      <c r="V588" s="2">
        <v>548</v>
      </c>
      <c r="W588" s="2">
        <v>548</v>
      </c>
    </row>
    <row r="589" spans="1:23" outlineLevel="2" x14ac:dyDescent="0.2">
      <c r="A589" t="s">
        <v>0</v>
      </c>
      <c r="B589" t="s">
        <v>39</v>
      </c>
      <c r="C589" t="s">
        <v>58</v>
      </c>
      <c r="D589" t="s">
        <v>149</v>
      </c>
      <c r="E589" t="s">
        <v>150</v>
      </c>
      <c r="F589" t="s">
        <v>5</v>
      </c>
      <c r="G589" t="s">
        <v>6</v>
      </c>
      <c r="H589" t="s">
        <v>35</v>
      </c>
      <c r="I589" t="s">
        <v>36</v>
      </c>
      <c r="J589" t="s">
        <v>9</v>
      </c>
      <c r="K589" t="s">
        <v>235</v>
      </c>
      <c r="L589" t="s">
        <v>237</v>
      </c>
      <c r="M589" t="s">
        <v>15</v>
      </c>
      <c r="N589" s="2">
        <v>1913.79</v>
      </c>
      <c r="O589" s="2">
        <v>0</v>
      </c>
      <c r="P589" s="2">
        <v>-505.79</v>
      </c>
      <c r="Q589" s="2">
        <v>1408</v>
      </c>
      <c r="R589" s="2">
        <v>0</v>
      </c>
      <c r="S589" s="2">
        <v>1408</v>
      </c>
      <c r="T589" s="2">
        <v>1408</v>
      </c>
      <c r="U589" s="2">
        <v>0</v>
      </c>
      <c r="V589" s="2">
        <v>0</v>
      </c>
      <c r="W589" s="2">
        <v>0</v>
      </c>
    </row>
    <row r="590" spans="1:23" outlineLevel="2" x14ac:dyDescent="0.2">
      <c r="A590" t="s">
        <v>0</v>
      </c>
      <c r="B590" t="s">
        <v>39</v>
      </c>
      <c r="C590" t="s">
        <v>58</v>
      </c>
      <c r="D590" t="s">
        <v>135</v>
      </c>
      <c r="E590" t="s">
        <v>136</v>
      </c>
      <c r="F590" t="s">
        <v>5</v>
      </c>
      <c r="G590" t="s">
        <v>6</v>
      </c>
      <c r="H590" t="s">
        <v>35</v>
      </c>
      <c r="I590" t="s">
        <v>36</v>
      </c>
      <c r="J590" t="s">
        <v>9</v>
      </c>
      <c r="K590" t="s">
        <v>235</v>
      </c>
      <c r="L590" t="s">
        <v>237</v>
      </c>
      <c r="M590" t="s">
        <v>15</v>
      </c>
      <c r="N590" s="2">
        <v>471.52</v>
      </c>
      <c r="O590" s="2">
        <v>0</v>
      </c>
      <c r="P590" s="2">
        <v>-271.52</v>
      </c>
      <c r="Q590" s="2">
        <v>200</v>
      </c>
      <c r="R590" s="2">
        <v>0</v>
      </c>
      <c r="S590" s="2">
        <v>200</v>
      </c>
      <c r="T590" s="2">
        <v>200</v>
      </c>
      <c r="U590" s="2">
        <v>0</v>
      </c>
      <c r="V590" s="2">
        <v>0</v>
      </c>
      <c r="W590" s="2">
        <v>0</v>
      </c>
    </row>
    <row r="591" spans="1:23" outlineLevel="2" x14ac:dyDescent="0.2">
      <c r="A591" t="s">
        <v>0</v>
      </c>
      <c r="B591" t="s">
        <v>31</v>
      </c>
      <c r="C591" t="s">
        <v>79</v>
      </c>
      <c r="D591" t="s">
        <v>115</v>
      </c>
      <c r="E591" t="s">
        <v>116</v>
      </c>
      <c r="F591" t="s">
        <v>5</v>
      </c>
      <c r="G591" t="s">
        <v>6</v>
      </c>
      <c r="H591" t="s">
        <v>35</v>
      </c>
      <c r="I591" t="s">
        <v>36</v>
      </c>
      <c r="J591" t="s">
        <v>9</v>
      </c>
      <c r="K591" t="s">
        <v>235</v>
      </c>
      <c r="L591" t="s">
        <v>245</v>
      </c>
      <c r="M591" t="s">
        <v>15</v>
      </c>
      <c r="N591" s="2">
        <v>68.09</v>
      </c>
      <c r="O591" s="2">
        <v>0</v>
      </c>
      <c r="P591" s="2">
        <v>-68.09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</row>
    <row r="592" spans="1:23" outlineLevel="2" x14ac:dyDescent="0.2">
      <c r="A592" t="s">
        <v>0</v>
      </c>
      <c r="B592" t="s">
        <v>39</v>
      </c>
      <c r="C592" t="s">
        <v>58</v>
      </c>
      <c r="D592" t="s">
        <v>145</v>
      </c>
      <c r="E592" t="s">
        <v>146</v>
      </c>
      <c r="F592" t="s">
        <v>5</v>
      </c>
      <c r="G592" t="s">
        <v>6</v>
      </c>
      <c r="H592" t="s">
        <v>35</v>
      </c>
      <c r="I592" t="s">
        <v>36</v>
      </c>
      <c r="J592" t="s">
        <v>9</v>
      </c>
      <c r="K592" t="s">
        <v>235</v>
      </c>
      <c r="L592" t="s">
        <v>237</v>
      </c>
      <c r="M592" t="s">
        <v>12</v>
      </c>
      <c r="N592" s="2">
        <v>0</v>
      </c>
      <c r="O592" s="2">
        <v>0</v>
      </c>
      <c r="P592" s="2">
        <v>25.54</v>
      </c>
      <c r="Q592" s="2">
        <v>25.54</v>
      </c>
      <c r="R592" s="2">
        <v>0</v>
      </c>
      <c r="S592" s="2">
        <v>8</v>
      </c>
      <c r="T592" s="2">
        <v>8</v>
      </c>
      <c r="U592" s="2">
        <v>17.54</v>
      </c>
      <c r="V592" s="2">
        <v>17.54</v>
      </c>
      <c r="W592" s="2">
        <v>17.54</v>
      </c>
    </row>
    <row r="593" spans="1:23" outlineLevel="2" x14ac:dyDescent="0.2">
      <c r="A593" t="s">
        <v>0</v>
      </c>
      <c r="B593" t="s">
        <v>31</v>
      </c>
      <c r="C593" t="s">
        <v>32</v>
      </c>
      <c r="D593" t="s">
        <v>141</v>
      </c>
      <c r="E593" t="s">
        <v>142</v>
      </c>
      <c r="F593" t="s">
        <v>5</v>
      </c>
      <c r="G593" t="s">
        <v>6</v>
      </c>
      <c r="H593" t="s">
        <v>35</v>
      </c>
      <c r="I593" t="s">
        <v>36</v>
      </c>
      <c r="J593" t="s">
        <v>9</v>
      </c>
      <c r="K593" t="s">
        <v>235</v>
      </c>
      <c r="L593" t="s">
        <v>244</v>
      </c>
      <c r="M593" t="s">
        <v>12</v>
      </c>
      <c r="N593" s="2">
        <v>0</v>
      </c>
      <c r="O593" s="2">
        <v>0</v>
      </c>
      <c r="P593" s="2">
        <v>237.71</v>
      </c>
      <c r="Q593" s="2">
        <v>237.71</v>
      </c>
      <c r="R593" s="2">
        <v>0</v>
      </c>
      <c r="S593" s="2">
        <v>0</v>
      </c>
      <c r="T593" s="2">
        <v>0</v>
      </c>
      <c r="U593" s="2">
        <v>237.71</v>
      </c>
      <c r="V593" s="2">
        <v>237.71</v>
      </c>
      <c r="W593" s="2">
        <v>237.71</v>
      </c>
    </row>
    <row r="594" spans="1:23" outlineLevel="2" x14ac:dyDescent="0.2">
      <c r="A594" t="s">
        <v>0</v>
      </c>
      <c r="B594" t="s">
        <v>1</v>
      </c>
      <c r="C594" t="s">
        <v>91</v>
      </c>
      <c r="D594" t="s">
        <v>92</v>
      </c>
      <c r="E594" t="s">
        <v>93</v>
      </c>
      <c r="F594" t="s">
        <v>5</v>
      </c>
      <c r="G594" t="s">
        <v>6</v>
      </c>
      <c r="H594" t="s">
        <v>35</v>
      </c>
      <c r="I594" t="s">
        <v>36</v>
      </c>
      <c r="J594" t="s">
        <v>9</v>
      </c>
      <c r="K594" t="s">
        <v>235</v>
      </c>
      <c r="L594" t="s">
        <v>250</v>
      </c>
      <c r="M594" t="s">
        <v>12</v>
      </c>
      <c r="N594" s="2">
        <v>0</v>
      </c>
      <c r="O594" s="2">
        <v>0</v>
      </c>
      <c r="P594" s="2">
        <v>144.72999999999999</v>
      </c>
      <c r="Q594" s="2">
        <v>144.72999999999999</v>
      </c>
      <c r="R594" s="2">
        <v>0</v>
      </c>
      <c r="S594" s="2">
        <v>4</v>
      </c>
      <c r="T594" s="2">
        <v>4</v>
      </c>
      <c r="U594" s="2">
        <v>140.72999999999999</v>
      </c>
      <c r="V594" s="2">
        <v>140.72999999999999</v>
      </c>
      <c r="W594" s="2">
        <v>140.72999999999999</v>
      </c>
    </row>
    <row r="595" spans="1:23" outlineLevel="2" x14ac:dyDescent="0.2">
      <c r="A595" t="s">
        <v>0</v>
      </c>
      <c r="B595" t="s">
        <v>31</v>
      </c>
      <c r="C595" t="s">
        <v>79</v>
      </c>
      <c r="D595" t="s">
        <v>83</v>
      </c>
      <c r="E595" t="s">
        <v>84</v>
      </c>
      <c r="F595" t="s">
        <v>5</v>
      </c>
      <c r="G595" t="s">
        <v>6</v>
      </c>
      <c r="H595" t="s">
        <v>35</v>
      </c>
      <c r="I595" t="s">
        <v>36</v>
      </c>
      <c r="J595" t="s">
        <v>9</v>
      </c>
      <c r="K595" t="s">
        <v>235</v>
      </c>
      <c r="L595" t="s">
        <v>245</v>
      </c>
      <c r="M595" t="s">
        <v>15</v>
      </c>
      <c r="N595" s="2">
        <v>1084.2</v>
      </c>
      <c r="O595" s="2">
        <v>0</v>
      </c>
      <c r="P595" s="2">
        <v>-964.2</v>
      </c>
      <c r="Q595" s="2">
        <v>120</v>
      </c>
      <c r="R595" s="2">
        <v>0</v>
      </c>
      <c r="S595" s="2">
        <v>120</v>
      </c>
      <c r="T595" s="2">
        <v>120</v>
      </c>
      <c r="U595" s="2">
        <v>0</v>
      </c>
      <c r="V595" s="2">
        <v>0</v>
      </c>
      <c r="W595" s="2">
        <v>0</v>
      </c>
    </row>
    <row r="596" spans="1:23" outlineLevel="2" x14ac:dyDescent="0.2">
      <c r="A596" t="s">
        <v>0</v>
      </c>
      <c r="B596" t="s">
        <v>39</v>
      </c>
      <c r="C596" t="s">
        <v>58</v>
      </c>
      <c r="D596" t="s">
        <v>145</v>
      </c>
      <c r="E596" t="s">
        <v>146</v>
      </c>
      <c r="F596" t="s">
        <v>5</v>
      </c>
      <c r="G596" t="s">
        <v>6</v>
      </c>
      <c r="H596" t="s">
        <v>35</v>
      </c>
      <c r="I596" t="s">
        <v>36</v>
      </c>
      <c r="J596" t="s">
        <v>9</v>
      </c>
      <c r="K596" t="s">
        <v>251</v>
      </c>
      <c r="L596" t="s">
        <v>252</v>
      </c>
      <c r="M596" t="s">
        <v>15</v>
      </c>
      <c r="N596" s="2">
        <v>2533.64</v>
      </c>
      <c r="O596" s="2">
        <v>0</v>
      </c>
      <c r="P596" s="2">
        <v>-136.43</v>
      </c>
      <c r="Q596" s="2">
        <v>2397.21</v>
      </c>
      <c r="R596" s="2">
        <v>0</v>
      </c>
      <c r="S596" s="2">
        <v>2397.21</v>
      </c>
      <c r="T596" s="2">
        <v>2397.21</v>
      </c>
      <c r="U596" s="2">
        <v>0</v>
      </c>
      <c r="V596" s="2">
        <v>0</v>
      </c>
      <c r="W596" s="2">
        <v>0</v>
      </c>
    </row>
    <row r="597" spans="1:23" outlineLevel="2" x14ac:dyDescent="0.2">
      <c r="A597" t="s">
        <v>0</v>
      </c>
      <c r="B597" t="s">
        <v>39</v>
      </c>
      <c r="C597" t="s">
        <v>58</v>
      </c>
      <c r="D597" t="s">
        <v>59</v>
      </c>
      <c r="E597" t="s">
        <v>60</v>
      </c>
      <c r="F597" t="s">
        <v>5</v>
      </c>
      <c r="G597" t="s">
        <v>6</v>
      </c>
      <c r="H597" t="s">
        <v>35</v>
      </c>
      <c r="I597" t="s">
        <v>36</v>
      </c>
      <c r="J597" t="s">
        <v>9</v>
      </c>
      <c r="K597" t="s">
        <v>251</v>
      </c>
      <c r="L597" t="s">
        <v>252</v>
      </c>
      <c r="M597" t="s">
        <v>15</v>
      </c>
      <c r="N597" s="2">
        <v>1830.06</v>
      </c>
      <c r="O597" s="2">
        <v>220</v>
      </c>
      <c r="P597" s="2">
        <v>-16.66</v>
      </c>
      <c r="Q597" s="2">
        <v>2033.4</v>
      </c>
      <c r="R597" s="2">
        <v>0</v>
      </c>
      <c r="S597" s="2">
        <v>2033.4</v>
      </c>
      <c r="T597" s="2">
        <v>2033.4</v>
      </c>
      <c r="U597" s="2">
        <v>0</v>
      </c>
      <c r="V597" s="2">
        <v>0</v>
      </c>
      <c r="W597" s="2">
        <v>0</v>
      </c>
    </row>
    <row r="598" spans="1:23" outlineLevel="2" x14ac:dyDescent="0.2">
      <c r="A598" t="s">
        <v>0</v>
      </c>
      <c r="B598" t="s">
        <v>1</v>
      </c>
      <c r="C598" t="s">
        <v>2</v>
      </c>
      <c r="D598" t="s">
        <v>20</v>
      </c>
      <c r="E598" t="s">
        <v>21</v>
      </c>
      <c r="F598" t="s">
        <v>5</v>
      </c>
      <c r="G598" t="s">
        <v>6</v>
      </c>
      <c r="H598" t="s">
        <v>35</v>
      </c>
      <c r="I598" t="s">
        <v>36</v>
      </c>
      <c r="J598" t="s">
        <v>9</v>
      </c>
      <c r="K598" t="s">
        <v>251</v>
      </c>
      <c r="L598" t="s">
        <v>253</v>
      </c>
      <c r="M598" t="s">
        <v>12</v>
      </c>
      <c r="N598" s="2">
        <v>0</v>
      </c>
      <c r="O598" s="2">
        <v>0</v>
      </c>
      <c r="P598" s="2">
        <v>11156.21</v>
      </c>
      <c r="Q598" s="2">
        <v>11156.21</v>
      </c>
      <c r="R598" s="2">
        <v>0</v>
      </c>
      <c r="S598" s="2">
        <v>2298.33</v>
      </c>
      <c r="T598" s="2">
        <v>2298.33</v>
      </c>
      <c r="U598" s="2">
        <v>8857.8799999999992</v>
      </c>
      <c r="V598" s="2">
        <v>8857.8799999999992</v>
      </c>
      <c r="W598" s="2">
        <v>8857.8799999999992</v>
      </c>
    </row>
    <row r="599" spans="1:23" outlineLevel="2" x14ac:dyDescent="0.2">
      <c r="A599" t="s">
        <v>0</v>
      </c>
      <c r="B599" t="s">
        <v>31</v>
      </c>
      <c r="C599" t="s">
        <v>32</v>
      </c>
      <c r="D599" t="s">
        <v>141</v>
      </c>
      <c r="E599" t="s">
        <v>142</v>
      </c>
      <c r="F599" t="s">
        <v>5</v>
      </c>
      <c r="G599" t="s">
        <v>6</v>
      </c>
      <c r="H599" t="s">
        <v>35</v>
      </c>
      <c r="I599" t="s">
        <v>36</v>
      </c>
      <c r="J599" t="s">
        <v>9</v>
      </c>
      <c r="K599" t="s">
        <v>251</v>
      </c>
      <c r="L599" t="s">
        <v>254</v>
      </c>
      <c r="M599" t="s">
        <v>15</v>
      </c>
      <c r="N599" s="2">
        <v>1346.71</v>
      </c>
      <c r="O599" s="2">
        <v>82.82</v>
      </c>
      <c r="P599" s="2">
        <v>-281.89</v>
      </c>
      <c r="Q599" s="2">
        <v>1147.6400000000001</v>
      </c>
      <c r="R599" s="2">
        <v>0</v>
      </c>
      <c r="S599" s="2">
        <v>1147.6400000000001</v>
      </c>
      <c r="T599" s="2">
        <v>1147.6400000000001</v>
      </c>
      <c r="U599" s="2">
        <v>0</v>
      </c>
      <c r="V599" s="2">
        <v>0</v>
      </c>
      <c r="W599" s="2">
        <v>0</v>
      </c>
    </row>
    <row r="600" spans="1:23" outlineLevel="2" x14ac:dyDescent="0.2">
      <c r="A600" t="s">
        <v>0</v>
      </c>
      <c r="B600" t="s">
        <v>1</v>
      </c>
      <c r="C600" t="s">
        <v>16</v>
      </c>
      <c r="D600" t="s">
        <v>17</v>
      </c>
      <c r="E600" t="s">
        <v>18</v>
      </c>
      <c r="F600" t="s">
        <v>5</v>
      </c>
      <c r="G600" t="s">
        <v>6</v>
      </c>
      <c r="H600" t="s">
        <v>35</v>
      </c>
      <c r="I600" t="s">
        <v>36</v>
      </c>
      <c r="J600" t="s">
        <v>9</v>
      </c>
      <c r="K600" t="s">
        <v>251</v>
      </c>
      <c r="L600" t="s">
        <v>255</v>
      </c>
      <c r="M600" t="s">
        <v>15</v>
      </c>
      <c r="N600" s="2">
        <v>5094.8599999999997</v>
      </c>
      <c r="O600" s="2">
        <v>0</v>
      </c>
      <c r="P600" s="2">
        <v>-991.27</v>
      </c>
      <c r="Q600" s="2">
        <v>4103.59</v>
      </c>
      <c r="R600" s="2">
        <v>0</v>
      </c>
      <c r="S600" s="2">
        <v>4103.59</v>
      </c>
      <c r="T600" s="2">
        <v>4103.59</v>
      </c>
      <c r="U600" s="2">
        <v>0</v>
      </c>
      <c r="V600" s="2">
        <v>0</v>
      </c>
      <c r="W600" s="2">
        <v>0</v>
      </c>
    </row>
    <row r="601" spans="1:23" outlineLevel="2" x14ac:dyDescent="0.2">
      <c r="A601" t="s">
        <v>0</v>
      </c>
      <c r="B601" t="s">
        <v>1</v>
      </c>
      <c r="C601" t="s">
        <v>16</v>
      </c>
      <c r="D601" t="s">
        <v>62</v>
      </c>
      <c r="E601" t="s">
        <v>63</v>
      </c>
      <c r="F601" t="s">
        <v>5</v>
      </c>
      <c r="G601" t="s">
        <v>6</v>
      </c>
      <c r="H601" t="s">
        <v>35</v>
      </c>
      <c r="I601" t="s">
        <v>36</v>
      </c>
      <c r="J601" t="s">
        <v>9</v>
      </c>
      <c r="K601" t="s">
        <v>251</v>
      </c>
      <c r="L601" t="s">
        <v>255</v>
      </c>
      <c r="M601" t="s">
        <v>15</v>
      </c>
      <c r="N601" s="2">
        <v>226.99</v>
      </c>
      <c r="O601" s="2">
        <v>78</v>
      </c>
      <c r="P601" s="2">
        <v>-52.79</v>
      </c>
      <c r="Q601" s="2">
        <v>252.2</v>
      </c>
      <c r="R601" s="2">
        <v>0</v>
      </c>
      <c r="S601" s="2">
        <v>252.2</v>
      </c>
      <c r="T601" s="2">
        <v>252.2</v>
      </c>
      <c r="U601" s="2">
        <v>0</v>
      </c>
      <c r="V601" s="2">
        <v>0</v>
      </c>
      <c r="W601" s="2">
        <v>0</v>
      </c>
    </row>
    <row r="602" spans="1:23" outlineLevel="2" x14ac:dyDescent="0.2">
      <c r="A602" t="s">
        <v>0</v>
      </c>
      <c r="B602" t="s">
        <v>1</v>
      </c>
      <c r="C602" t="s">
        <v>16</v>
      </c>
      <c r="D602" t="s">
        <v>62</v>
      </c>
      <c r="E602" t="s">
        <v>63</v>
      </c>
      <c r="F602" t="s">
        <v>5</v>
      </c>
      <c r="G602" t="s">
        <v>6</v>
      </c>
      <c r="H602" t="s">
        <v>35</v>
      </c>
      <c r="I602" t="s">
        <v>36</v>
      </c>
      <c r="J602" t="s">
        <v>9</v>
      </c>
      <c r="K602" t="s">
        <v>251</v>
      </c>
      <c r="L602" t="s">
        <v>255</v>
      </c>
      <c r="M602" t="s">
        <v>12</v>
      </c>
      <c r="N602" s="2">
        <v>0</v>
      </c>
      <c r="O602" s="2">
        <v>0</v>
      </c>
      <c r="P602" s="2">
        <v>52.79</v>
      </c>
      <c r="Q602" s="2">
        <v>52.79</v>
      </c>
      <c r="R602" s="2">
        <v>0</v>
      </c>
      <c r="S602" s="2">
        <v>25.22</v>
      </c>
      <c r="T602" s="2">
        <v>25.22</v>
      </c>
      <c r="U602" s="2">
        <v>27.57</v>
      </c>
      <c r="V602" s="2">
        <v>27.57</v>
      </c>
      <c r="W602" s="2">
        <v>27.57</v>
      </c>
    </row>
    <row r="603" spans="1:23" outlineLevel="2" x14ac:dyDescent="0.2">
      <c r="A603" t="s">
        <v>0</v>
      </c>
      <c r="B603" t="s">
        <v>39</v>
      </c>
      <c r="C603" t="s">
        <v>58</v>
      </c>
      <c r="D603" t="s">
        <v>147</v>
      </c>
      <c r="E603" t="s">
        <v>148</v>
      </c>
      <c r="F603" t="s">
        <v>5</v>
      </c>
      <c r="G603" t="s">
        <v>6</v>
      </c>
      <c r="H603" t="s">
        <v>35</v>
      </c>
      <c r="I603" t="s">
        <v>36</v>
      </c>
      <c r="J603" t="s">
        <v>9</v>
      </c>
      <c r="K603" t="s">
        <v>251</v>
      </c>
      <c r="L603" t="s">
        <v>252</v>
      </c>
      <c r="M603" t="s">
        <v>15</v>
      </c>
      <c r="N603" s="2">
        <v>5245.01</v>
      </c>
      <c r="O603" s="2">
        <v>1680</v>
      </c>
      <c r="P603" s="2">
        <v>-1344.31</v>
      </c>
      <c r="Q603" s="2">
        <v>5580.7</v>
      </c>
      <c r="R603" s="2">
        <v>0</v>
      </c>
      <c r="S603" s="2">
        <v>5580.7</v>
      </c>
      <c r="T603" s="2">
        <v>5580.7</v>
      </c>
      <c r="U603" s="2">
        <v>0</v>
      </c>
      <c r="V603" s="2">
        <v>0</v>
      </c>
      <c r="W603" s="2">
        <v>0</v>
      </c>
    </row>
    <row r="604" spans="1:23" outlineLevel="2" x14ac:dyDescent="0.2">
      <c r="A604" t="s">
        <v>0</v>
      </c>
      <c r="B604" t="s">
        <v>39</v>
      </c>
      <c r="C604" t="s">
        <v>58</v>
      </c>
      <c r="D604" t="s">
        <v>59</v>
      </c>
      <c r="E604" t="s">
        <v>60</v>
      </c>
      <c r="F604" t="s">
        <v>5</v>
      </c>
      <c r="G604" t="s">
        <v>6</v>
      </c>
      <c r="H604" t="s">
        <v>35</v>
      </c>
      <c r="I604" t="s">
        <v>36</v>
      </c>
      <c r="J604" t="s">
        <v>9</v>
      </c>
      <c r="K604" t="s">
        <v>251</v>
      </c>
      <c r="L604" t="s">
        <v>252</v>
      </c>
      <c r="M604" t="s">
        <v>12</v>
      </c>
      <c r="N604" s="2">
        <v>0</v>
      </c>
      <c r="O604" s="2">
        <v>0</v>
      </c>
      <c r="P604" s="2">
        <v>647.01</v>
      </c>
      <c r="Q604" s="2">
        <v>647.01</v>
      </c>
      <c r="R604" s="2">
        <v>0</v>
      </c>
      <c r="S604" s="2">
        <v>203.34</v>
      </c>
      <c r="T604" s="2">
        <v>203.34</v>
      </c>
      <c r="U604" s="2">
        <v>443.67</v>
      </c>
      <c r="V604" s="2">
        <v>443.67</v>
      </c>
      <c r="W604" s="2">
        <v>443.67</v>
      </c>
    </row>
    <row r="605" spans="1:23" outlineLevel="2" x14ac:dyDescent="0.2">
      <c r="A605" t="s">
        <v>0</v>
      </c>
      <c r="B605" t="s">
        <v>1</v>
      </c>
      <c r="C605" t="s">
        <v>99</v>
      </c>
      <c r="D605" t="s">
        <v>100</v>
      </c>
      <c r="E605" t="s">
        <v>101</v>
      </c>
      <c r="F605" t="s">
        <v>5</v>
      </c>
      <c r="G605" t="s">
        <v>6</v>
      </c>
      <c r="H605" t="s">
        <v>35</v>
      </c>
      <c r="I605" t="s">
        <v>36</v>
      </c>
      <c r="J605" t="s">
        <v>9</v>
      </c>
      <c r="K605" t="s">
        <v>251</v>
      </c>
      <c r="L605" t="s">
        <v>256</v>
      </c>
      <c r="M605" t="s">
        <v>15</v>
      </c>
      <c r="N605" s="2">
        <v>2024.46</v>
      </c>
      <c r="O605" s="2">
        <v>0</v>
      </c>
      <c r="P605" s="2">
        <v>-19.16</v>
      </c>
      <c r="Q605" s="2">
        <v>2005.3</v>
      </c>
      <c r="R605" s="2">
        <v>0</v>
      </c>
      <c r="S605" s="2">
        <v>2005.3</v>
      </c>
      <c r="T605" s="2">
        <v>2005.3</v>
      </c>
      <c r="U605" s="2">
        <v>0</v>
      </c>
      <c r="V605" s="2">
        <v>0</v>
      </c>
      <c r="W605" s="2">
        <v>0</v>
      </c>
    </row>
    <row r="606" spans="1:23" outlineLevel="2" x14ac:dyDescent="0.2">
      <c r="A606" t="s">
        <v>0</v>
      </c>
      <c r="B606" t="s">
        <v>39</v>
      </c>
      <c r="C606" t="s">
        <v>58</v>
      </c>
      <c r="D606" t="s">
        <v>147</v>
      </c>
      <c r="E606" t="s">
        <v>148</v>
      </c>
      <c r="F606" t="s">
        <v>5</v>
      </c>
      <c r="G606" t="s">
        <v>6</v>
      </c>
      <c r="H606" t="s">
        <v>35</v>
      </c>
      <c r="I606" t="s">
        <v>36</v>
      </c>
      <c r="J606" t="s">
        <v>9</v>
      </c>
      <c r="K606" t="s">
        <v>251</v>
      </c>
      <c r="L606" t="s">
        <v>252</v>
      </c>
      <c r="M606" t="s">
        <v>12</v>
      </c>
      <c r="N606" s="2">
        <v>0</v>
      </c>
      <c r="O606" s="2">
        <v>0</v>
      </c>
      <c r="P606" s="2">
        <v>2851.95</v>
      </c>
      <c r="Q606" s="2">
        <v>2851.95</v>
      </c>
      <c r="R606" s="2">
        <v>0</v>
      </c>
      <c r="S606" s="2">
        <v>558.07000000000005</v>
      </c>
      <c r="T606" s="2">
        <v>558.07000000000005</v>
      </c>
      <c r="U606" s="2">
        <v>2293.88</v>
      </c>
      <c r="V606" s="2">
        <v>2293.88</v>
      </c>
      <c r="W606" s="2">
        <v>2293.88</v>
      </c>
    </row>
    <row r="607" spans="1:23" outlineLevel="2" x14ac:dyDescent="0.2">
      <c r="A607" t="s">
        <v>0</v>
      </c>
      <c r="B607" t="s">
        <v>53</v>
      </c>
      <c r="C607" t="s">
        <v>54</v>
      </c>
      <c r="D607" t="s">
        <v>55</v>
      </c>
      <c r="E607" t="s">
        <v>56</v>
      </c>
      <c r="F607" t="s">
        <v>5</v>
      </c>
      <c r="G607" t="s">
        <v>6</v>
      </c>
      <c r="H607" t="s">
        <v>35</v>
      </c>
      <c r="I607" t="s">
        <v>36</v>
      </c>
      <c r="J607" t="s">
        <v>9</v>
      </c>
      <c r="K607" t="s">
        <v>251</v>
      </c>
      <c r="L607" t="s">
        <v>257</v>
      </c>
      <c r="M607" t="s">
        <v>15</v>
      </c>
      <c r="N607" s="2">
        <v>7644.06</v>
      </c>
      <c r="O607" s="2">
        <v>909.32</v>
      </c>
      <c r="P607" s="2">
        <v>-1513.76</v>
      </c>
      <c r="Q607" s="2">
        <v>7039.62</v>
      </c>
      <c r="R607" s="2">
        <v>0</v>
      </c>
      <c r="S607" s="2">
        <v>7039.62</v>
      </c>
      <c r="T607" s="2">
        <v>7039.62</v>
      </c>
      <c r="U607" s="2">
        <v>0</v>
      </c>
      <c r="V607" s="2">
        <v>0</v>
      </c>
      <c r="W607" s="2">
        <v>0</v>
      </c>
    </row>
    <row r="608" spans="1:23" outlineLevel="2" x14ac:dyDescent="0.2">
      <c r="A608" t="s">
        <v>0</v>
      </c>
      <c r="B608" t="s">
        <v>39</v>
      </c>
      <c r="C608" t="s">
        <v>58</v>
      </c>
      <c r="D608" t="s">
        <v>137</v>
      </c>
      <c r="E608" t="s">
        <v>138</v>
      </c>
      <c r="F608" t="s">
        <v>5</v>
      </c>
      <c r="G608" t="s">
        <v>6</v>
      </c>
      <c r="H608" t="s">
        <v>35</v>
      </c>
      <c r="I608" t="s">
        <v>36</v>
      </c>
      <c r="J608" t="s">
        <v>9</v>
      </c>
      <c r="K608" t="s">
        <v>251</v>
      </c>
      <c r="L608" t="s">
        <v>252</v>
      </c>
      <c r="M608" t="s">
        <v>15</v>
      </c>
      <c r="N608" s="2">
        <v>5319.27</v>
      </c>
      <c r="O608" s="2">
        <v>0</v>
      </c>
      <c r="P608" s="2">
        <v>-286.44</v>
      </c>
      <c r="Q608" s="2">
        <v>5032.83</v>
      </c>
      <c r="R608" s="2">
        <v>0</v>
      </c>
      <c r="S608" s="2">
        <v>5032.83</v>
      </c>
      <c r="T608" s="2">
        <v>5032.83</v>
      </c>
      <c r="U608" s="2">
        <v>0</v>
      </c>
      <c r="V608" s="2">
        <v>0</v>
      </c>
      <c r="W608" s="2">
        <v>0</v>
      </c>
    </row>
    <row r="609" spans="1:23" outlineLevel="2" x14ac:dyDescent="0.2">
      <c r="A609" t="s">
        <v>0</v>
      </c>
      <c r="B609" t="s">
        <v>31</v>
      </c>
      <c r="C609" t="s">
        <v>79</v>
      </c>
      <c r="D609" t="s">
        <v>83</v>
      </c>
      <c r="E609" t="s">
        <v>84</v>
      </c>
      <c r="F609" t="s">
        <v>5</v>
      </c>
      <c r="G609" t="s">
        <v>6</v>
      </c>
      <c r="H609" t="s">
        <v>35</v>
      </c>
      <c r="I609" t="s">
        <v>36</v>
      </c>
      <c r="J609" t="s">
        <v>9</v>
      </c>
      <c r="K609" t="s">
        <v>251</v>
      </c>
      <c r="L609" t="s">
        <v>258</v>
      </c>
      <c r="M609" t="s">
        <v>15</v>
      </c>
      <c r="N609" s="2">
        <v>6505.21</v>
      </c>
      <c r="O609" s="2">
        <v>1336</v>
      </c>
      <c r="P609" s="2">
        <v>-1258.44</v>
      </c>
      <c r="Q609" s="2">
        <v>6582.77</v>
      </c>
      <c r="R609" s="2">
        <v>0</v>
      </c>
      <c r="S609" s="2">
        <v>6582.77</v>
      </c>
      <c r="T609" s="2">
        <v>6582.77</v>
      </c>
      <c r="U609" s="2">
        <v>0</v>
      </c>
      <c r="V609" s="2">
        <v>0</v>
      </c>
      <c r="W609" s="2">
        <v>0</v>
      </c>
    </row>
    <row r="610" spans="1:23" outlineLevel="2" x14ac:dyDescent="0.2">
      <c r="A610" t="s">
        <v>0</v>
      </c>
      <c r="B610" t="s">
        <v>1</v>
      </c>
      <c r="C610" t="s">
        <v>16</v>
      </c>
      <c r="D610" t="s">
        <v>103</v>
      </c>
      <c r="E610" t="s">
        <v>104</v>
      </c>
      <c r="F610" t="s">
        <v>5</v>
      </c>
      <c r="G610" t="s">
        <v>6</v>
      </c>
      <c r="H610" t="s">
        <v>35</v>
      </c>
      <c r="I610" t="s">
        <v>36</v>
      </c>
      <c r="J610" t="s">
        <v>9</v>
      </c>
      <c r="K610" t="s">
        <v>251</v>
      </c>
      <c r="L610" t="s">
        <v>255</v>
      </c>
      <c r="M610" t="s">
        <v>15</v>
      </c>
      <c r="N610" s="2">
        <v>3077.59</v>
      </c>
      <c r="O610" s="2">
        <v>-97.48</v>
      </c>
      <c r="P610" s="2">
        <v>-690.45</v>
      </c>
      <c r="Q610" s="2">
        <v>2289.66</v>
      </c>
      <c r="R610" s="2">
        <v>0</v>
      </c>
      <c r="S610" s="2">
        <v>2289.66</v>
      </c>
      <c r="T610" s="2">
        <v>2289.66</v>
      </c>
      <c r="U610" s="2">
        <v>0</v>
      </c>
      <c r="V610" s="2">
        <v>0</v>
      </c>
      <c r="W610" s="2">
        <v>0</v>
      </c>
    </row>
    <row r="611" spans="1:23" outlineLevel="2" x14ac:dyDescent="0.2">
      <c r="A611" t="s">
        <v>0</v>
      </c>
      <c r="B611" t="s">
        <v>39</v>
      </c>
      <c r="C611" t="s">
        <v>58</v>
      </c>
      <c r="D611" t="s">
        <v>137</v>
      </c>
      <c r="E611" t="s">
        <v>138</v>
      </c>
      <c r="F611" t="s">
        <v>5</v>
      </c>
      <c r="G611" t="s">
        <v>6</v>
      </c>
      <c r="H611" t="s">
        <v>35</v>
      </c>
      <c r="I611" t="s">
        <v>36</v>
      </c>
      <c r="J611" t="s">
        <v>9</v>
      </c>
      <c r="K611" t="s">
        <v>251</v>
      </c>
      <c r="L611" t="s">
        <v>252</v>
      </c>
      <c r="M611" t="s">
        <v>12</v>
      </c>
      <c r="N611" s="2">
        <v>0</v>
      </c>
      <c r="O611" s="2">
        <v>0</v>
      </c>
      <c r="P611" s="2">
        <v>1245.77</v>
      </c>
      <c r="Q611" s="2">
        <v>1245.77</v>
      </c>
      <c r="R611" s="2">
        <v>0</v>
      </c>
      <c r="S611" s="2">
        <v>466.86</v>
      </c>
      <c r="T611" s="2">
        <v>466.86</v>
      </c>
      <c r="U611" s="2">
        <v>778.91</v>
      </c>
      <c r="V611" s="2">
        <v>778.91</v>
      </c>
      <c r="W611" s="2">
        <v>778.91</v>
      </c>
    </row>
    <row r="612" spans="1:23" outlineLevel="2" x14ac:dyDescent="0.2">
      <c r="A612" t="s">
        <v>0</v>
      </c>
      <c r="B612" t="s">
        <v>39</v>
      </c>
      <c r="C612" t="s">
        <v>58</v>
      </c>
      <c r="D612" t="s">
        <v>143</v>
      </c>
      <c r="E612" t="s">
        <v>144</v>
      </c>
      <c r="F612" t="s">
        <v>5</v>
      </c>
      <c r="G612" t="s">
        <v>6</v>
      </c>
      <c r="H612" t="s">
        <v>35</v>
      </c>
      <c r="I612" t="s">
        <v>36</v>
      </c>
      <c r="J612" t="s">
        <v>9</v>
      </c>
      <c r="K612" t="s">
        <v>251</v>
      </c>
      <c r="L612" t="s">
        <v>252</v>
      </c>
      <c r="M612" t="s">
        <v>15</v>
      </c>
      <c r="N612" s="2">
        <v>2444.5100000000002</v>
      </c>
      <c r="O612" s="2">
        <v>0</v>
      </c>
      <c r="P612" s="2">
        <v>-327.11</v>
      </c>
      <c r="Q612" s="2">
        <v>2117.4</v>
      </c>
      <c r="R612" s="2">
        <v>0</v>
      </c>
      <c r="S612" s="2">
        <v>2117.4</v>
      </c>
      <c r="T612" s="2">
        <v>2117.4</v>
      </c>
      <c r="U612" s="2">
        <v>0</v>
      </c>
      <c r="V612" s="2">
        <v>0</v>
      </c>
      <c r="W612" s="2">
        <v>0</v>
      </c>
    </row>
    <row r="613" spans="1:23" outlineLevel="2" x14ac:dyDescent="0.2">
      <c r="A613" t="s">
        <v>0</v>
      </c>
      <c r="B613" t="s">
        <v>39</v>
      </c>
      <c r="C613" t="s">
        <v>58</v>
      </c>
      <c r="D613" t="s">
        <v>149</v>
      </c>
      <c r="E613" t="s">
        <v>150</v>
      </c>
      <c r="F613" t="s">
        <v>5</v>
      </c>
      <c r="G613" t="s">
        <v>6</v>
      </c>
      <c r="H613" t="s">
        <v>35</v>
      </c>
      <c r="I613" t="s">
        <v>36</v>
      </c>
      <c r="J613" t="s">
        <v>9</v>
      </c>
      <c r="K613" t="s">
        <v>251</v>
      </c>
      <c r="L613" t="s">
        <v>252</v>
      </c>
      <c r="M613" t="s">
        <v>15</v>
      </c>
      <c r="N613" s="2">
        <v>11482.71</v>
      </c>
      <c r="O613" s="2">
        <v>0</v>
      </c>
      <c r="P613" s="2">
        <v>-3272.97</v>
      </c>
      <c r="Q613" s="2">
        <v>8209.74</v>
      </c>
      <c r="R613" s="2">
        <v>0</v>
      </c>
      <c r="S613" s="2">
        <v>8209.74</v>
      </c>
      <c r="T613" s="2">
        <v>8209.74</v>
      </c>
      <c r="U613" s="2">
        <v>0</v>
      </c>
      <c r="V613" s="2">
        <v>0</v>
      </c>
      <c r="W613" s="2">
        <v>0</v>
      </c>
    </row>
    <row r="614" spans="1:23" outlineLevel="2" x14ac:dyDescent="0.2">
      <c r="A614" t="s">
        <v>0</v>
      </c>
      <c r="B614" t="s">
        <v>39</v>
      </c>
      <c r="C614" t="s">
        <v>58</v>
      </c>
      <c r="D614" t="s">
        <v>149</v>
      </c>
      <c r="E614" t="s">
        <v>150</v>
      </c>
      <c r="F614" t="s">
        <v>5</v>
      </c>
      <c r="G614" t="s">
        <v>6</v>
      </c>
      <c r="H614" t="s">
        <v>35</v>
      </c>
      <c r="I614" t="s">
        <v>36</v>
      </c>
      <c r="J614" t="s">
        <v>9</v>
      </c>
      <c r="K614" t="s">
        <v>251</v>
      </c>
      <c r="L614" t="s">
        <v>252</v>
      </c>
      <c r="M614" t="s">
        <v>12</v>
      </c>
      <c r="N614" s="2">
        <v>0</v>
      </c>
      <c r="O614" s="2">
        <v>40</v>
      </c>
      <c r="P614" s="2">
        <v>1674.77</v>
      </c>
      <c r="Q614" s="2">
        <v>1714.77</v>
      </c>
      <c r="R614" s="2">
        <v>0</v>
      </c>
      <c r="S614" s="2">
        <v>845.47</v>
      </c>
      <c r="T614" s="2">
        <v>845.47</v>
      </c>
      <c r="U614" s="2">
        <v>869.3</v>
      </c>
      <c r="V614" s="2">
        <v>869.3</v>
      </c>
      <c r="W614" s="2">
        <v>869.3</v>
      </c>
    </row>
    <row r="615" spans="1:23" outlineLevel="2" x14ac:dyDescent="0.2">
      <c r="A615" t="s">
        <v>0</v>
      </c>
      <c r="B615" t="s">
        <v>39</v>
      </c>
      <c r="C615" t="s">
        <v>58</v>
      </c>
      <c r="D615" t="s">
        <v>139</v>
      </c>
      <c r="E615" t="s">
        <v>140</v>
      </c>
      <c r="F615" t="s">
        <v>5</v>
      </c>
      <c r="G615" t="s">
        <v>6</v>
      </c>
      <c r="H615" t="s">
        <v>35</v>
      </c>
      <c r="I615" t="s">
        <v>36</v>
      </c>
      <c r="J615" t="s">
        <v>9</v>
      </c>
      <c r="K615" t="s">
        <v>251</v>
      </c>
      <c r="L615" t="s">
        <v>252</v>
      </c>
      <c r="M615" t="s">
        <v>12</v>
      </c>
      <c r="N615" s="2">
        <v>0</v>
      </c>
      <c r="O615" s="2">
        <v>0</v>
      </c>
      <c r="P615" s="2">
        <v>1651.5</v>
      </c>
      <c r="Q615" s="2">
        <v>1651.5</v>
      </c>
      <c r="R615" s="2">
        <v>0</v>
      </c>
      <c r="S615" s="2">
        <v>364.13</v>
      </c>
      <c r="T615" s="2">
        <v>364.13</v>
      </c>
      <c r="U615" s="2">
        <v>1287.3699999999999</v>
      </c>
      <c r="V615" s="2">
        <v>1287.3699999999999</v>
      </c>
      <c r="W615" s="2">
        <v>1287.3699999999999</v>
      </c>
    </row>
    <row r="616" spans="1:23" outlineLevel="2" x14ac:dyDescent="0.2">
      <c r="A616" t="s">
        <v>0</v>
      </c>
      <c r="B616" t="s">
        <v>1</v>
      </c>
      <c r="C616" t="s">
        <v>16</v>
      </c>
      <c r="D616" t="s">
        <v>103</v>
      </c>
      <c r="E616" t="s">
        <v>104</v>
      </c>
      <c r="F616" t="s">
        <v>5</v>
      </c>
      <c r="G616" t="s">
        <v>6</v>
      </c>
      <c r="H616" t="s">
        <v>35</v>
      </c>
      <c r="I616" t="s">
        <v>36</v>
      </c>
      <c r="J616" t="s">
        <v>9</v>
      </c>
      <c r="K616" t="s">
        <v>251</v>
      </c>
      <c r="L616" t="s">
        <v>255</v>
      </c>
      <c r="M616" t="s">
        <v>12</v>
      </c>
      <c r="N616" s="2">
        <v>0</v>
      </c>
      <c r="O616" s="2">
        <v>0</v>
      </c>
      <c r="P616" s="2">
        <v>442.32</v>
      </c>
      <c r="Q616" s="2">
        <v>442.32</v>
      </c>
      <c r="R616" s="2">
        <v>0</v>
      </c>
      <c r="S616" s="2">
        <v>209.47</v>
      </c>
      <c r="T616" s="2">
        <v>209.47</v>
      </c>
      <c r="U616" s="2">
        <v>232.85</v>
      </c>
      <c r="V616" s="2">
        <v>232.85</v>
      </c>
      <c r="W616" s="2">
        <v>232.85</v>
      </c>
    </row>
    <row r="617" spans="1:23" outlineLevel="2" x14ac:dyDescent="0.2">
      <c r="A617" t="s">
        <v>0</v>
      </c>
      <c r="B617" t="s">
        <v>39</v>
      </c>
      <c r="C617" t="s">
        <v>58</v>
      </c>
      <c r="D617" t="s">
        <v>135</v>
      </c>
      <c r="E617" t="s">
        <v>136</v>
      </c>
      <c r="F617" t="s">
        <v>5</v>
      </c>
      <c r="G617" t="s">
        <v>6</v>
      </c>
      <c r="H617" t="s">
        <v>35</v>
      </c>
      <c r="I617" t="s">
        <v>36</v>
      </c>
      <c r="J617" t="s">
        <v>9</v>
      </c>
      <c r="K617" t="s">
        <v>251</v>
      </c>
      <c r="L617" t="s">
        <v>252</v>
      </c>
      <c r="M617" t="s">
        <v>15</v>
      </c>
      <c r="N617" s="2">
        <v>2829.1</v>
      </c>
      <c r="O617" s="2">
        <v>0</v>
      </c>
      <c r="P617" s="2">
        <v>-226.54</v>
      </c>
      <c r="Q617" s="2">
        <v>2602.56</v>
      </c>
      <c r="R617" s="2">
        <v>0</v>
      </c>
      <c r="S617" s="2">
        <v>2602.56</v>
      </c>
      <c r="T617" s="2">
        <v>2602.56</v>
      </c>
      <c r="U617" s="2">
        <v>0</v>
      </c>
      <c r="V617" s="2">
        <v>0</v>
      </c>
      <c r="W617" s="2">
        <v>0</v>
      </c>
    </row>
    <row r="618" spans="1:23" outlineLevel="2" x14ac:dyDescent="0.2">
      <c r="A618" t="s">
        <v>0</v>
      </c>
      <c r="B618" t="s">
        <v>39</v>
      </c>
      <c r="C618" t="s">
        <v>58</v>
      </c>
      <c r="D618" t="s">
        <v>143</v>
      </c>
      <c r="E618" t="s">
        <v>144</v>
      </c>
      <c r="F618" t="s">
        <v>5</v>
      </c>
      <c r="G618" t="s">
        <v>6</v>
      </c>
      <c r="H618" t="s">
        <v>35</v>
      </c>
      <c r="I618" t="s">
        <v>36</v>
      </c>
      <c r="J618" t="s">
        <v>9</v>
      </c>
      <c r="K618" t="s">
        <v>251</v>
      </c>
      <c r="L618" t="s">
        <v>252</v>
      </c>
      <c r="M618" t="s">
        <v>12</v>
      </c>
      <c r="N618" s="2">
        <v>0</v>
      </c>
      <c r="O618" s="2">
        <v>0</v>
      </c>
      <c r="P618" s="2">
        <v>444.65</v>
      </c>
      <c r="Q618" s="2">
        <v>444.65</v>
      </c>
      <c r="R618" s="2">
        <v>0</v>
      </c>
      <c r="S618" s="2">
        <v>211.74</v>
      </c>
      <c r="T618" s="2">
        <v>211.74</v>
      </c>
      <c r="U618" s="2">
        <v>232.91</v>
      </c>
      <c r="V618" s="2">
        <v>232.91</v>
      </c>
      <c r="W618" s="2">
        <v>232.91</v>
      </c>
    </row>
    <row r="619" spans="1:23" outlineLevel="2" x14ac:dyDescent="0.2">
      <c r="A619" t="s">
        <v>0</v>
      </c>
      <c r="B619" t="s">
        <v>39</v>
      </c>
      <c r="C619" t="s">
        <v>95</v>
      </c>
      <c r="D619" t="s">
        <v>96</v>
      </c>
      <c r="E619" t="s">
        <v>97</v>
      </c>
      <c r="F619" t="s">
        <v>5</v>
      </c>
      <c r="G619" t="s">
        <v>6</v>
      </c>
      <c r="H619" t="s">
        <v>35</v>
      </c>
      <c r="I619" t="s">
        <v>36</v>
      </c>
      <c r="J619" t="s">
        <v>9</v>
      </c>
      <c r="K619" t="s">
        <v>251</v>
      </c>
      <c r="L619" t="s">
        <v>259</v>
      </c>
      <c r="M619" t="s">
        <v>15</v>
      </c>
      <c r="N619" s="2">
        <v>851.44</v>
      </c>
      <c r="O619" s="2">
        <v>0</v>
      </c>
      <c r="P619" s="2">
        <v>-618.74</v>
      </c>
      <c r="Q619" s="2">
        <v>232.7</v>
      </c>
      <c r="R619" s="2">
        <v>0</v>
      </c>
      <c r="S619" s="2">
        <v>232.7</v>
      </c>
      <c r="T619" s="2">
        <v>232.7</v>
      </c>
      <c r="U619" s="2">
        <v>0</v>
      </c>
      <c r="V619" s="2">
        <v>0</v>
      </c>
      <c r="W619" s="2">
        <v>0</v>
      </c>
    </row>
    <row r="620" spans="1:23" outlineLevel="2" x14ac:dyDescent="0.2">
      <c r="A620" t="s">
        <v>0</v>
      </c>
      <c r="B620" t="s">
        <v>1</v>
      </c>
      <c r="C620" t="s">
        <v>99</v>
      </c>
      <c r="D620" t="s">
        <v>100</v>
      </c>
      <c r="E620" t="s">
        <v>101</v>
      </c>
      <c r="F620" t="s">
        <v>5</v>
      </c>
      <c r="G620" t="s">
        <v>6</v>
      </c>
      <c r="H620" t="s">
        <v>35</v>
      </c>
      <c r="I620" t="s">
        <v>36</v>
      </c>
      <c r="J620" t="s">
        <v>9</v>
      </c>
      <c r="K620" t="s">
        <v>251</v>
      </c>
      <c r="L620" t="s">
        <v>256</v>
      </c>
      <c r="M620" t="s">
        <v>12</v>
      </c>
      <c r="N620" s="2">
        <v>0</v>
      </c>
      <c r="O620" s="2">
        <v>0</v>
      </c>
      <c r="P620" s="2">
        <v>421.11</v>
      </c>
      <c r="Q620" s="2">
        <v>421.11</v>
      </c>
      <c r="R620" s="2">
        <v>0</v>
      </c>
      <c r="S620" s="2">
        <v>200.53</v>
      </c>
      <c r="T620" s="2">
        <v>200.53</v>
      </c>
      <c r="U620" s="2">
        <v>220.58</v>
      </c>
      <c r="V620" s="2">
        <v>220.58</v>
      </c>
      <c r="W620" s="2">
        <v>220.58</v>
      </c>
    </row>
    <row r="621" spans="1:23" outlineLevel="2" x14ac:dyDescent="0.2">
      <c r="A621" t="s">
        <v>0</v>
      </c>
      <c r="B621" t="s">
        <v>39</v>
      </c>
      <c r="C621" t="s">
        <v>58</v>
      </c>
      <c r="D621" t="s">
        <v>139</v>
      </c>
      <c r="E621" t="s">
        <v>140</v>
      </c>
      <c r="F621" t="s">
        <v>5</v>
      </c>
      <c r="G621" t="s">
        <v>6</v>
      </c>
      <c r="H621" t="s">
        <v>35</v>
      </c>
      <c r="I621" t="s">
        <v>36</v>
      </c>
      <c r="J621" t="s">
        <v>9</v>
      </c>
      <c r="K621" t="s">
        <v>251</v>
      </c>
      <c r="L621" t="s">
        <v>252</v>
      </c>
      <c r="M621" t="s">
        <v>15</v>
      </c>
      <c r="N621" s="2">
        <v>3833.02</v>
      </c>
      <c r="O621" s="2">
        <v>840</v>
      </c>
      <c r="P621" s="2">
        <v>-786.38</v>
      </c>
      <c r="Q621" s="2">
        <v>3886.64</v>
      </c>
      <c r="R621" s="2">
        <v>0</v>
      </c>
      <c r="S621" s="2">
        <v>3886.64</v>
      </c>
      <c r="T621" s="2">
        <v>3886.64</v>
      </c>
      <c r="U621" s="2">
        <v>0</v>
      </c>
      <c r="V621" s="2">
        <v>0</v>
      </c>
      <c r="W621" s="2">
        <v>0</v>
      </c>
    </row>
    <row r="622" spans="1:23" outlineLevel="2" x14ac:dyDescent="0.2">
      <c r="A622" t="s">
        <v>0</v>
      </c>
      <c r="B622" t="s">
        <v>31</v>
      </c>
      <c r="C622" t="s">
        <v>107</v>
      </c>
      <c r="D622" t="s">
        <v>108</v>
      </c>
      <c r="E622" t="s">
        <v>109</v>
      </c>
      <c r="F622" t="s">
        <v>5</v>
      </c>
      <c r="G622" t="s">
        <v>6</v>
      </c>
      <c r="H622" t="s">
        <v>35</v>
      </c>
      <c r="I622" t="s">
        <v>36</v>
      </c>
      <c r="J622" t="s">
        <v>9</v>
      </c>
      <c r="K622" t="s">
        <v>251</v>
      </c>
      <c r="L622" t="s">
        <v>260</v>
      </c>
      <c r="M622" t="s">
        <v>15</v>
      </c>
      <c r="N622" s="2">
        <v>2882.04</v>
      </c>
      <c r="O622" s="2">
        <v>650</v>
      </c>
      <c r="P622" s="2">
        <v>-494.19</v>
      </c>
      <c r="Q622" s="2">
        <v>3037.85</v>
      </c>
      <c r="R622" s="2">
        <v>0</v>
      </c>
      <c r="S622" s="2">
        <v>3037.85</v>
      </c>
      <c r="T622" s="2">
        <v>3037.85</v>
      </c>
      <c r="U622" s="2">
        <v>0</v>
      </c>
      <c r="V622" s="2">
        <v>0</v>
      </c>
      <c r="W622" s="2">
        <v>0</v>
      </c>
    </row>
    <row r="623" spans="1:23" outlineLevel="2" x14ac:dyDescent="0.2">
      <c r="A623" t="s">
        <v>0</v>
      </c>
      <c r="B623" t="s">
        <v>1</v>
      </c>
      <c r="C623" t="s">
        <v>91</v>
      </c>
      <c r="D623" t="s">
        <v>92</v>
      </c>
      <c r="E623" t="s">
        <v>93</v>
      </c>
      <c r="F623" t="s">
        <v>5</v>
      </c>
      <c r="G623" t="s">
        <v>6</v>
      </c>
      <c r="H623" t="s">
        <v>35</v>
      </c>
      <c r="I623" t="s">
        <v>36</v>
      </c>
      <c r="J623" t="s">
        <v>9</v>
      </c>
      <c r="K623" t="s">
        <v>251</v>
      </c>
      <c r="L623" t="s">
        <v>261</v>
      </c>
      <c r="M623" t="s">
        <v>12</v>
      </c>
      <c r="N623" s="2">
        <v>0</v>
      </c>
      <c r="O623" s="2">
        <v>0</v>
      </c>
      <c r="P623" s="2">
        <v>224.94</v>
      </c>
      <c r="Q623" s="2">
        <v>224.94</v>
      </c>
      <c r="R623" s="2">
        <v>0</v>
      </c>
      <c r="S623" s="2">
        <v>111.06</v>
      </c>
      <c r="T623" s="2">
        <v>111.06</v>
      </c>
      <c r="U623" s="2">
        <v>113.88</v>
      </c>
      <c r="V623" s="2">
        <v>113.88</v>
      </c>
      <c r="W623" s="2">
        <v>113.88</v>
      </c>
    </row>
    <row r="624" spans="1:23" outlineLevel="2" x14ac:dyDescent="0.2">
      <c r="A624" t="s">
        <v>0</v>
      </c>
      <c r="B624" t="s">
        <v>53</v>
      </c>
      <c r="C624" t="s">
        <v>54</v>
      </c>
      <c r="D624" t="s">
        <v>55</v>
      </c>
      <c r="E624" t="s">
        <v>56</v>
      </c>
      <c r="F624" t="s">
        <v>5</v>
      </c>
      <c r="G624" t="s">
        <v>6</v>
      </c>
      <c r="H624" t="s">
        <v>35</v>
      </c>
      <c r="I624" t="s">
        <v>36</v>
      </c>
      <c r="J624" t="s">
        <v>9</v>
      </c>
      <c r="K624" t="s">
        <v>251</v>
      </c>
      <c r="L624" t="s">
        <v>257</v>
      </c>
      <c r="M624" t="s">
        <v>12</v>
      </c>
      <c r="N624" s="2">
        <v>0</v>
      </c>
      <c r="O624" s="2">
        <v>0</v>
      </c>
      <c r="P624" s="2">
        <v>1513.76</v>
      </c>
      <c r="Q624" s="2">
        <v>1513.76</v>
      </c>
      <c r="R624" s="2">
        <v>0</v>
      </c>
      <c r="S624" s="2">
        <v>661.36</v>
      </c>
      <c r="T624" s="2">
        <v>661.36</v>
      </c>
      <c r="U624" s="2">
        <v>852.4</v>
      </c>
      <c r="V624" s="2">
        <v>852.4</v>
      </c>
      <c r="W624" s="2">
        <v>852.4</v>
      </c>
    </row>
    <row r="625" spans="1:23" outlineLevel="2" x14ac:dyDescent="0.2">
      <c r="A625" t="s">
        <v>0</v>
      </c>
      <c r="B625" t="s">
        <v>31</v>
      </c>
      <c r="C625" t="s">
        <v>79</v>
      </c>
      <c r="D625" t="s">
        <v>113</v>
      </c>
      <c r="E625" t="s">
        <v>114</v>
      </c>
      <c r="F625" t="s">
        <v>5</v>
      </c>
      <c r="G625" t="s">
        <v>6</v>
      </c>
      <c r="H625" t="s">
        <v>35</v>
      </c>
      <c r="I625" t="s">
        <v>36</v>
      </c>
      <c r="J625" t="s">
        <v>9</v>
      </c>
      <c r="K625" t="s">
        <v>251</v>
      </c>
      <c r="L625" t="s">
        <v>258</v>
      </c>
      <c r="M625" t="s">
        <v>15</v>
      </c>
      <c r="N625" s="2">
        <v>973.73</v>
      </c>
      <c r="O625" s="2">
        <v>330</v>
      </c>
      <c r="P625" s="2">
        <v>-221.83</v>
      </c>
      <c r="Q625" s="2">
        <v>1081.9000000000001</v>
      </c>
      <c r="R625" s="2">
        <v>0</v>
      </c>
      <c r="S625" s="2">
        <v>1081.9000000000001</v>
      </c>
      <c r="T625" s="2">
        <v>1081.9000000000001</v>
      </c>
      <c r="U625" s="2">
        <v>0</v>
      </c>
      <c r="V625" s="2">
        <v>0</v>
      </c>
      <c r="W625" s="2">
        <v>0</v>
      </c>
    </row>
    <row r="626" spans="1:23" outlineLevel="2" x14ac:dyDescent="0.2">
      <c r="A626" t="s">
        <v>0</v>
      </c>
      <c r="B626" t="s">
        <v>39</v>
      </c>
      <c r="C626" t="s">
        <v>58</v>
      </c>
      <c r="D626" t="s">
        <v>145</v>
      </c>
      <c r="E626" t="s">
        <v>146</v>
      </c>
      <c r="F626" t="s">
        <v>5</v>
      </c>
      <c r="G626" t="s">
        <v>6</v>
      </c>
      <c r="H626" t="s">
        <v>35</v>
      </c>
      <c r="I626" t="s">
        <v>36</v>
      </c>
      <c r="J626" t="s">
        <v>9</v>
      </c>
      <c r="K626" t="s">
        <v>251</v>
      </c>
      <c r="L626" t="s">
        <v>252</v>
      </c>
      <c r="M626" t="s">
        <v>12</v>
      </c>
      <c r="N626" s="2">
        <v>0</v>
      </c>
      <c r="O626" s="2">
        <v>0</v>
      </c>
      <c r="P626" s="2">
        <v>574.27</v>
      </c>
      <c r="Q626" s="2">
        <v>574.27</v>
      </c>
      <c r="R626" s="2">
        <v>0</v>
      </c>
      <c r="S626" s="2">
        <v>234.37</v>
      </c>
      <c r="T626" s="2">
        <v>234.37</v>
      </c>
      <c r="U626" s="2">
        <v>339.9</v>
      </c>
      <c r="V626" s="2">
        <v>339.9</v>
      </c>
      <c r="W626" s="2">
        <v>339.9</v>
      </c>
    </row>
    <row r="627" spans="1:23" outlineLevel="2" x14ac:dyDescent="0.2">
      <c r="A627" t="s">
        <v>0</v>
      </c>
      <c r="B627" t="s">
        <v>1</v>
      </c>
      <c r="C627" t="s">
        <v>44</v>
      </c>
      <c r="D627" t="s">
        <v>45</v>
      </c>
      <c r="E627" t="s">
        <v>46</v>
      </c>
      <c r="F627" t="s">
        <v>5</v>
      </c>
      <c r="G627" t="s">
        <v>6</v>
      </c>
      <c r="H627" t="s">
        <v>35</v>
      </c>
      <c r="I627" t="s">
        <v>36</v>
      </c>
      <c r="J627" t="s">
        <v>9</v>
      </c>
      <c r="K627" t="s">
        <v>251</v>
      </c>
      <c r="L627" t="s">
        <v>262</v>
      </c>
      <c r="M627" t="s">
        <v>15</v>
      </c>
      <c r="N627" s="2">
        <v>662.05</v>
      </c>
      <c r="O627" s="2">
        <v>0</v>
      </c>
      <c r="P627" s="2">
        <v>-49.85</v>
      </c>
      <c r="Q627" s="2">
        <v>612.20000000000005</v>
      </c>
      <c r="R627" s="2">
        <v>0</v>
      </c>
      <c r="S627" s="2">
        <v>612.20000000000005</v>
      </c>
      <c r="T627" s="2">
        <v>612.20000000000005</v>
      </c>
      <c r="U627" s="2">
        <v>0</v>
      </c>
      <c r="V627" s="2">
        <v>0</v>
      </c>
      <c r="W627" s="2">
        <v>0</v>
      </c>
    </row>
    <row r="628" spans="1:23" outlineLevel="2" x14ac:dyDescent="0.2">
      <c r="A628" t="s">
        <v>0</v>
      </c>
      <c r="B628" t="s">
        <v>31</v>
      </c>
      <c r="C628" t="s">
        <v>32</v>
      </c>
      <c r="D628" t="s">
        <v>75</v>
      </c>
      <c r="E628" t="s">
        <v>76</v>
      </c>
      <c r="F628" t="s">
        <v>5</v>
      </c>
      <c r="G628" t="s">
        <v>6</v>
      </c>
      <c r="H628" t="s">
        <v>35</v>
      </c>
      <c r="I628" t="s">
        <v>36</v>
      </c>
      <c r="J628" t="s">
        <v>9</v>
      </c>
      <c r="K628" t="s">
        <v>251</v>
      </c>
      <c r="L628" t="s">
        <v>254</v>
      </c>
      <c r="M628" t="s">
        <v>15</v>
      </c>
      <c r="N628" s="2">
        <v>4555.0600000000004</v>
      </c>
      <c r="O628" s="2">
        <v>-47.12</v>
      </c>
      <c r="P628" s="2">
        <v>-214.4</v>
      </c>
      <c r="Q628" s="2">
        <v>4293.54</v>
      </c>
      <c r="R628" s="2">
        <v>0</v>
      </c>
      <c r="S628" s="2">
        <v>4293.54</v>
      </c>
      <c r="T628" s="2">
        <v>4293.54</v>
      </c>
      <c r="U628" s="2">
        <v>0</v>
      </c>
      <c r="V628" s="2">
        <v>0</v>
      </c>
      <c r="W628" s="2">
        <v>0</v>
      </c>
    </row>
    <row r="629" spans="1:23" outlineLevel="2" x14ac:dyDescent="0.2">
      <c r="A629" t="s">
        <v>0</v>
      </c>
      <c r="B629" t="s">
        <v>31</v>
      </c>
      <c r="C629" t="s">
        <v>79</v>
      </c>
      <c r="D629" t="s">
        <v>115</v>
      </c>
      <c r="E629" t="s">
        <v>116</v>
      </c>
      <c r="F629" t="s">
        <v>5</v>
      </c>
      <c r="G629" t="s">
        <v>6</v>
      </c>
      <c r="H629" t="s">
        <v>35</v>
      </c>
      <c r="I629" t="s">
        <v>36</v>
      </c>
      <c r="J629" t="s">
        <v>9</v>
      </c>
      <c r="K629" t="s">
        <v>251</v>
      </c>
      <c r="L629" t="s">
        <v>258</v>
      </c>
      <c r="M629" t="s">
        <v>15</v>
      </c>
      <c r="N629" s="2">
        <v>408.55</v>
      </c>
      <c r="O629" s="2">
        <v>0</v>
      </c>
      <c r="P629" s="2">
        <v>-147.47</v>
      </c>
      <c r="Q629" s="2">
        <v>261.08</v>
      </c>
      <c r="R629" s="2">
        <v>0</v>
      </c>
      <c r="S629" s="2">
        <v>261.08</v>
      </c>
      <c r="T629" s="2">
        <v>261.08</v>
      </c>
      <c r="U629" s="2">
        <v>0</v>
      </c>
      <c r="V629" s="2">
        <v>0</v>
      </c>
      <c r="W629" s="2">
        <v>0</v>
      </c>
    </row>
    <row r="630" spans="1:23" outlineLevel="2" x14ac:dyDescent="0.2">
      <c r="A630" t="s">
        <v>0</v>
      </c>
      <c r="B630" t="s">
        <v>31</v>
      </c>
      <c r="C630" t="s">
        <v>79</v>
      </c>
      <c r="D630" t="s">
        <v>125</v>
      </c>
      <c r="E630" t="s">
        <v>126</v>
      </c>
      <c r="F630" t="s">
        <v>5</v>
      </c>
      <c r="G630" t="s">
        <v>6</v>
      </c>
      <c r="H630" t="s">
        <v>35</v>
      </c>
      <c r="I630" t="s">
        <v>36</v>
      </c>
      <c r="J630" t="s">
        <v>9</v>
      </c>
      <c r="K630" t="s">
        <v>251</v>
      </c>
      <c r="L630" t="s">
        <v>258</v>
      </c>
      <c r="M630" t="s">
        <v>12</v>
      </c>
      <c r="N630" s="2">
        <v>0</v>
      </c>
      <c r="O630" s="2">
        <v>110</v>
      </c>
      <c r="P630" s="2">
        <v>25.09</v>
      </c>
      <c r="Q630" s="2">
        <v>135.09</v>
      </c>
      <c r="R630" s="2">
        <v>0</v>
      </c>
      <c r="S630" s="2">
        <v>64.209999999999994</v>
      </c>
      <c r="T630" s="2">
        <v>64.209999999999994</v>
      </c>
      <c r="U630" s="2">
        <v>70.88</v>
      </c>
      <c r="V630" s="2">
        <v>70.88</v>
      </c>
      <c r="W630" s="2">
        <v>70.88</v>
      </c>
    </row>
    <row r="631" spans="1:23" outlineLevel="2" x14ac:dyDescent="0.2">
      <c r="A631" t="s">
        <v>0</v>
      </c>
      <c r="B631" t="s">
        <v>31</v>
      </c>
      <c r="C631" t="s">
        <v>79</v>
      </c>
      <c r="D631" t="s">
        <v>117</v>
      </c>
      <c r="E631" t="s">
        <v>118</v>
      </c>
      <c r="F631" t="s">
        <v>5</v>
      </c>
      <c r="G631" t="s">
        <v>6</v>
      </c>
      <c r="H631" t="s">
        <v>35</v>
      </c>
      <c r="I631" t="s">
        <v>36</v>
      </c>
      <c r="J631" t="s">
        <v>9</v>
      </c>
      <c r="K631" t="s">
        <v>251</v>
      </c>
      <c r="L631" t="s">
        <v>258</v>
      </c>
      <c r="M631" t="s">
        <v>12</v>
      </c>
      <c r="N631" s="2">
        <v>0</v>
      </c>
      <c r="O631" s="2">
        <v>100</v>
      </c>
      <c r="P631" s="2">
        <v>508.85</v>
      </c>
      <c r="Q631" s="2">
        <v>608.85</v>
      </c>
      <c r="R631" s="2">
        <v>0</v>
      </c>
      <c r="S631" s="2">
        <v>299.49</v>
      </c>
      <c r="T631" s="2">
        <v>299.49</v>
      </c>
      <c r="U631" s="2">
        <v>309.36</v>
      </c>
      <c r="V631" s="2">
        <v>309.36</v>
      </c>
      <c r="W631" s="2">
        <v>309.36</v>
      </c>
    </row>
    <row r="632" spans="1:23" outlineLevel="2" x14ac:dyDescent="0.2">
      <c r="A632" t="s">
        <v>0</v>
      </c>
      <c r="B632" t="s">
        <v>39</v>
      </c>
      <c r="C632" t="s">
        <v>95</v>
      </c>
      <c r="D632" t="s">
        <v>96</v>
      </c>
      <c r="E632" t="s">
        <v>97</v>
      </c>
      <c r="F632" t="s">
        <v>5</v>
      </c>
      <c r="G632" t="s">
        <v>6</v>
      </c>
      <c r="H632" t="s">
        <v>35</v>
      </c>
      <c r="I632" t="s">
        <v>36</v>
      </c>
      <c r="J632" t="s">
        <v>9</v>
      </c>
      <c r="K632" t="s">
        <v>251</v>
      </c>
      <c r="L632" t="s">
        <v>259</v>
      </c>
      <c r="M632" t="s">
        <v>12</v>
      </c>
      <c r="N632" s="2">
        <v>0</v>
      </c>
      <c r="O632" s="2">
        <v>30</v>
      </c>
      <c r="P632" s="2">
        <v>38.56</v>
      </c>
      <c r="Q632" s="2">
        <v>68.56</v>
      </c>
      <c r="R632" s="2">
        <v>0</v>
      </c>
      <c r="S632" s="2">
        <v>26.25</v>
      </c>
      <c r="T632" s="2">
        <v>26.25</v>
      </c>
      <c r="U632" s="2">
        <v>42.31</v>
      </c>
      <c r="V632" s="2">
        <v>42.31</v>
      </c>
      <c r="W632" s="2">
        <v>42.31</v>
      </c>
    </row>
    <row r="633" spans="1:23" outlineLevel="2" x14ac:dyDescent="0.2">
      <c r="A633" t="s">
        <v>0</v>
      </c>
      <c r="B633" t="s">
        <v>31</v>
      </c>
      <c r="C633" t="s">
        <v>32</v>
      </c>
      <c r="D633" t="s">
        <v>141</v>
      </c>
      <c r="E633" t="s">
        <v>142</v>
      </c>
      <c r="F633" t="s">
        <v>5</v>
      </c>
      <c r="G633" t="s">
        <v>6</v>
      </c>
      <c r="H633" t="s">
        <v>35</v>
      </c>
      <c r="I633" t="s">
        <v>36</v>
      </c>
      <c r="J633" t="s">
        <v>9</v>
      </c>
      <c r="K633" t="s">
        <v>251</v>
      </c>
      <c r="L633" t="s">
        <v>254</v>
      </c>
      <c r="M633" t="s">
        <v>12</v>
      </c>
      <c r="N633" s="2">
        <v>0</v>
      </c>
      <c r="O633" s="2">
        <v>20</v>
      </c>
      <c r="P633" s="2">
        <v>281.89</v>
      </c>
      <c r="Q633" s="2">
        <v>301.89</v>
      </c>
      <c r="R633" s="2">
        <v>0</v>
      </c>
      <c r="S633" s="2">
        <v>149.97999999999999</v>
      </c>
      <c r="T633" s="2">
        <v>149.97999999999999</v>
      </c>
      <c r="U633" s="2">
        <v>151.91</v>
      </c>
      <c r="V633" s="2">
        <v>151.91</v>
      </c>
      <c r="W633" s="2">
        <v>151.91</v>
      </c>
    </row>
    <row r="634" spans="1:23" outlineLevel="2" x14ac:dyDescent="0.2">
      <c r="A634" t="s">
        <v>0</v>
      </c>
      <c r="B634" t="s">
        <v>39</v>
      </c>
      <c r="C634" t="s">
        <v>40</v>
      </c>
      <c r="D634" t="s">
        <v>41</v>
      </c>
      <c r="E634" t="s">
        <v>42</v>
      </c>
      <c r="F634" t="s">
        <v>5</v>
      </c>
      <c r="G634" t="s">
        <v>6</v>
      </c>
      <c r="H634" t="s">
        <v>35</v>
      </c>
      <c r="I634" t="s">
        <v>36</v>
      </c>
      <c r="J634" t="s">
        <v>9</v>
      </c>
      <c r="K634" t="s">
        <v>251</v>
      </c>
      <c r="L634" t="s">
        <v>263</v>
      </c>
      <c r="M634" t="s">
        <v>12</v>
      </c>
      <c r="N634" s="2">
        <v>0</v>
      </c>
      <c r="O634" s="2">
        <v>0</v>
      </c>
      <c r="P634" s="2">
        <v>237.8</v>
      </c>
      <c r="Q634" s="2">
        <v>237.8</v>
      </c>
      <c r="R634" s="2">
        <v>0</v>
      </c>
      <c r="S634" s="2">
        <v>93.37</v>
      </c>
      <c r="T634" s="2">
        <v>93.37</v>
      </c>
      <c r="U634" s="2">
        <v>144.43</v>
      </c>
      <c r="V634" s="2">
        <v>144.43</v>
      </c>
      <c r="W634" s="2">
        <v>144.43</v>
      </c>
    </row>
    <row r="635" spans="1:23" outlineLevel="2" x14ac:dyDescent="0.2">
      <c r="A635" t="s">
        <v>0</v>
      </c>
      <c r="B635" t="s">
        <v>31</v>
      </c>
      <c r="C635" t="s">
        <v>79</v>
      </c>
      <c r="D635" t="s">
        <v>83</v>
      </c>
      <c r="E635" t="s">
        <v>84</v>
      </c>
      <c r="F635" t="s">
        <v>5</v>
      </c>
      <c r="G635" t="s">
        <v>6</v>
      </c>
      <c r="H635" t="s">
        <v>35</v>
      </c>
      <c r="I635" t="s">
        <v>36</v>
      </c>
      <c r="J635" t="s">
        <v>9</v>
      </c>
      <c r="K635" t="s">
        <v>251</v>
      </c>
      <c r="L635" t="s">
        <v>258</v>
      </c>
      <c r="M635" t="s">
        <v>12</v>
      </c>
      <c r="N635" s="2">
        <v>0</v>
      </c>
      <c r="O635" s="2">
        <v>0</v>
      </c>
      <c r="P635" s="2">
        <v>2882.72</v>
      </c>
      <c r="Q635" s="2">
        <v>2882.72</v>
      </c>
      <c r="R635" s="2">
        <v>0</v>
      </c>
      <c r="S635" s="2">
        <v>627.96</v>
      </c>
      <c r="T635" s="2">
        <v>627.96</v>
      </c>
      <c r="U635" s="2">
        <v>2254.7600000000002</v>
      </c>
      <c r="V635" s="2">
        <v>2254.7600000000002</v>
      </c>
      <c r="W635" s="2">
        <v>2254.7600000000002</v>
      </c>
    </row>
    <row r="636" spans="1:23" outlineLevel="2" x14ac:dyDescent="0.2">
      <c r="A636" t="s">
        <v>0</v>
      </c>
      <c r="B636" t="s">
        <v>31</v>
      </c>
      <c r="C636" t="s">
        <v>107</v>
      </c>
      <c r="D636" t="s">
        <v>108</v>
      </c>
      <c r="E636" t="s">
        <v>109</v>
      </c>
      <c r="F636" t="s">
        <v>5</v>
      </c>
      <c r="G636" t="s">
        <v>6</v>
      </c>
      <c r="H636" t="s">
        <v>35</v>
      </c>
      <c r="I636" t="s">
        <v>36</v>
      </c>
      <c r="J636" t="s">
        <v>9</v>
      </c>
      <c r="K636" t="s">
        <v>251</v>
      </c>
      <c r="L636" t="s">
        <v>260</v>
      </c>
      <c r="M636" t="s">
        <v>12</v>
      </c>
      <c r="N636" s="2">
        <v>0</v>
      </c>
      <c r="O636" s="2">
        <v>0</v>
      </c>
      <c r="P636" s="2">
        <v>1512.14</v>
      </c>
      <c r="Q636" s="2">
        <v>1512.14</v>
      </c>
      <c r="R636" s="2">
        <v>0</v>
      </c>
      <c r="S636" s="2">
        <v>293.58</v>
      </c>
      <c r="T636" s="2">
        <v>293.58</v>
      </c>
      <c r="U636" s="2">
        <v>1218.56</v>
      </c>
      <c r="V636" s="2">
        <v>1218.56</v>
      </c>
      <c r="W636" s="2">
        <v>1218.56</v>
      </c>
    </row>
    <row r="637" spans="1:23" outlineLevel="2" x14ac:dyDescent="0.2">
      <c r="A637" t="s">
        <v>0</v>
      </c>
      <c r="B637" t="s">
        <v>39</v>
      </c>
      <c r="C637" t="s">
        <v>70</v>
      </c>
      <c r="D637" t="s">
        <v>89</v>
      </c>
      <c r="E637" t="s">
        <v>90</v>
      </c>
      <c r="F637" t="s">
        <v>5</v>
      </c>
      <c r="G637" t="s">
        <v>6</v>
      </c>
      <c r="H637" t="s">
        <v>35</v>
      </c>
      <c r="I637" t="s">
        <v>36</v>
      </c>
      <c r="J637" t="s">
        <v>9</v>
      </c>
      <c r="K637" t="s">
        <v>251</v>
      </c>
      <c r="L637" t="s">
        <v>264</v>
      </c>
      <c r="M637" t="s">
        <v>15</v>
      </c>
      <c r="N637" s="2">
        <v>1117.68</v>
      </c>
      <c r="O637" s="2">
        <v>375</v>
      </c>
      <c r="P637" s="2">
        <v>-250.88</v>
      </c>
      <c r="Q637" s="2">
        <v>1241.8</v>
      </c>
      <c r="R637" s="2">
        <v>0</v>
      </c>
      <c r="S637" s="2">
        <v>1241.8</v>
      </c>
      <c r="T637" s="2">
        <v>1241.8</v>
      </c>
      <c r="U637" s="2">
        <v>0</v>
      </c>
      <c r="V637" s="2">
        <v>0</v>
      </c>
      <c r="W637" s="2">
        <v>0</v>
      </c>
    </row>
    <row r="638" spans="1:23" outlineLevel="2" x14ac:dyDescent="0.2">
      <c r="A638" t="s">
        <v>0</v>
      </c>
      <c r="B638" t="s">
        <v>31</v>
      </c>
      <c r="C638" t="s">
        <v>32</v>
      </c>
      <c r="D638" t="s">
        <v>33</v>
      </c>
      <c r="E638" t="s">
        <v>34</v>
      </c>
      <c r="F638" t="s">
        <v>5</v>
      </c>
      <c r="G638" t="s">
        <v>6</v>
      </c>
      <c r="H638" t="s">
        <v>35</v>
      </c>
      <c r="I638" t="s">
        <v>36</v>
      </c>
      <c r="J638" t="s">
        <v>9</v>
      </c>
      <c r="K638" t="s">
        <v>251</v>
      </c>
      <c r="L638" t="s">
        <v>254</v>
      </c>
      <c r="M638" t="s">
        <v>12</v>
      </c>
      <c r="N638" s="2">
        <v>0</v>
      </c>
      <c r="O638" s="2">
        <v>0</v>
      </c>
      <c r="P638" s="2">
        <v>2238.23</v>
      </c>
      <c r="Q638" s="2">
        <v>2238.23</v>
      </c>
      <c r="R638" s="2">
        <v>0</v>
      </c>
      <c r="S638" s="2">
        <v>461.63</v>
      </c>
      <c r="T638" s="2">
        <v>461.63</v>
      </c>
      <c r="U638" s="2">
        <v>1776.6</v>
      </c>
      <c r="V638" s="2">
        <v>1776.6</v>
      </c>
      <c r="W638" s="2">
        <v>1776.6</v>
      </c>
    </row>
    <row r="639" spans="1:23" outlineLevel="2" x14ac:dyDescent="0.2">
      <c r="A639" t="s">
        <v>0</v>
      </c>
      <c r="B639" t="s">
        <v>31</v>
      </c>
      <c r="C639" t="s">
        <v>79</v>
      </c>
      <c r="D639" t="s">
        <v>80</v>
      </c>
      <c r="E639" t="s">
        <v>81</v>
      </c>
      <c r="F639" t="s">
        <v>5</v>
      </c>
      <c r="G639" t="s">
        <v>6</v>
      </c>
      <c r="H639" t="s">
        <v>35</v>
      </c>
      <c r="I639" t="s">
        <v>36</v>
      </c>
      <c r="J639" t="s">
        <v>9</v>
      </c>
      <c r="K639" t="s">
        <v>251</v>
      </c>
      <c r="L639" t="s">
        <v>258</v>
      </c>
      <c r="M639" t="s">
        <v>12</v>
      </c>
      <c r="N639" s="2">
        <v>0</v>
      </c>
      <c r="O639" s="2">
        <v>70</v>
      </c>
      <c r="P639" s="2">
        <v>40.58</v>
      </c>
      <c r="Q639" s="2">
        <v>110.58</v>
      </c>
      <c r="R639" s="2">
        <v>0</v>
      </c>
      <c r="S639" s="2">
        <v>47.32</v>
      </c>
      <c r="T639" s="2">
        <v>47.32</v>
      </c>
      <c r="U639" s="2">
        <v>63.26</v>
      </c>
      <c r="V639" s="2">
        <v>63.26</v>
      </c>
      <c r="W639" s="2">
        <v>63.26</v>
      </c>
    </row>
    <row r="640" spans="1:23" outlineLevel="2" x14ac:dyDescent="0.2">
      <c r="A640" t="s">
        <v>0</v>
      </c>
      <c r="B640" t="s">
        <v>31</v>
      </c>
      <c r="C640" t="s">
        <v>79</v>
      </c>
      <c r="D640" t="s">
        <v>133</v>
      </c>
      <c r="E640" t="s">
        <v>134</v>
      </c>
      <c r="F640" t="s">
        <v>5</v>
      </c>
      <c r="G640" t="s">
        <v>6</v>
      </c>
      <c r="H640" t="s">
        <v>35</v>
      </c>
      <c r="I640" t="s">
        <v>36</v>
      </c>
      <c r="J640" t="s">
        <v>9</v>
      </c>
      <c r="K640" t="s">
        <v>251</v>
      </c>
      <c r="L640" t="s">
        <v>258</v>
      </c>
      <c r="M640" t="s">
        <v>12</v>
      </c>
      <c r="N640" s="2">
        <v>0</v>
      </c>
      <c r="O640" s="2">
        <v>0</v>
      </c>
      <c r="P640" s="2">
        <v>406.1</v>
      </c>
      <c r="Q640" s="2">
        <v>406.1</v>
      </c>
      <c r="R640" s="2">
        <v>0</v>
      </c>
      <c r="S640" s="2">
        <v>194.87</v>
      </c>
      <c r="T640" s="2">
        <v>194.87</v>
      </c>
      <c r="U640" s="2">
        <v>211.23</v>
      </c>
      <c r="V640" s="2">
        <v>211.23</v>
      </c>
      <c r="W640" s="2">
        <v>211.23</v>
      </c>
    </row>
    <row r="641" spans="1:23" outlineLevel="2" x14ac:dyDescent="0.2">
      <c r="A641" t="s">
        <v>0</v>
      </c>
      <c r="B641" t="s">
        <v>39</v>
      </c>
      <c r="C641" t="s">
        <v>70</v>
      </c>
      <c r="D641" t="s">
        <v>71</v>
      </c>
      <c r="E641" t="s">
        <v>72</v>
      </c>
      <c r="F641" t="s">
        <v>5</v>
      </c>
      <c r="G641" t="s">
        <v>6</v>
      </c>
      <c r="H641" t="s">
        <v>35</v>
      </c>
      <c r="I641" t="s">
        <v>36</v>
      </c>
      <c r="J641" t="s">
        <v>9</v>
      </c>
      <c r="K641" t="s">
        <v>251</v>
      </c>
      <c r="L641" t="s">
        <v>264</v>
      </c>
      <c r="M641" t="s">
        <v>15</v>
      </c>
      <c r="N641" s="2">
        <v>3632.23</v>
      </c>
      <c r="O641" s="2">
        <v>0</v>
      </c>
      <c r="P641" s="2">
        <v>-918.86</v>
      </c>
      <c r="Q641" s="2">
        <v>2713.37</v>
      </c>
      <c r="R641" s="2">
        <v>0</v>
      </c>
      <c r="S641" s="2">
        <v>2713.37</v>
      </c>
      <c r="T641" s="2">
        <v>2713.37</v>
      </c>
      <c r="U641" s="2">
        <v>0</v>
      </c>
      <c r="V641" s="2">
        <v>0</v>
      </c>
      <c r="W641" s="2">
        <v>0</v>
      </c>
    </row>
    <row r="642" spans="1:23" outlineLevel="2" x14ac:dyDescent="0.2">
      <c r="A642" t="s">
        <v>0</v>
      </c>
      <c r="B642" t="s">
        <v>31</v>
      </c>
      <c r="C642" t="s">
        <v>32</v>
      </c>
      <c r="D642" t="s">
        <v>75</v>
      </c>
      <c r="E642" t="s">
        <v>76</v>
      </c>
      <c r="F642" t="s">
        <v>5</v>
      </c>
      <c r="G642" t="s">
        <v>6</v>
      </c>
      <c r="H642" t="s">
        <v>35</v>
      </c>
      <c r="I642" t="s">
        <v>36</v>
      </c>
      <c r="J642" t="s">
        <v>9</v>
      </c>
      <c r="K642" t="s">
        <v>251</v>
      </c>
      <c r="L642" t="s">
        <v>254</v>
      </c>
      <c r="M642" t="s">
        <v>12</v>
      </c>
      <c r="N642" s="2">
        <v>0</v>
      </c>
      <c r="O642" s="2">
        <v>600</v>
      </c>
      <c r="P642" s="2">
        <v>214.4</v>
      </c>
      <c r="Q642" s="2">
        <v>814.4</v>
      </c>
      <c r="R642" s="2">
        <v>0</v>
      </c>
      <c r="S642" s="2">
        <v>380.43</v>
      </c>
      <c r="T642" s="2">
        <v>380.43</v>
      </c>
      <c r="U642" s="2">
        <v>433.97</v>
      </c>
      <c r="V642" s="2">
        <v>433.97</v>
      </c>
      <c r="W642" s="2">
        <v>433.97</v>
      </c>
    </row>
    <row r="643" spans="1:23" outlineLevel="2" x14ac:dyDescent="0.2">
      <c r="A643" t="s">
        <v>0</v>
      </c>
      <c r="B643" t="s">
        <v>31</v>
      </c>
      <c r="C643" t="s">
        <v>32</v>
      </c>
      <c r="D643" t="s">
        <v>123</v>
      </c>
      <c r="E643" t="s">
        <v>124</v>
      </c>
      <c r="F643" t="s">
        <v>5</v>
      </c>
      <c r="G643" t="s">
        <v>6</v>
      </c>
      <c r="H643" t="s">
        <v>35</v>
      </c>
      <c r="I643" t="s">
        <v>36</v>
      </c>
      <c r="J643" t="s">
        <v>9</v>
      </c>
      <c r="K643" t="s">
        <v>251</v>
      </c>
      <c r="L643" t="s">
        <v>254</v>
      </c>
      <c r="M643" t="s">
        <v>12</v>
      </c>
      <c r="N643" s="2">
        <v>0</v>
      </c>
      <c r="O643" s="2">
        <v>150</v>
      </c>
      <c r="P643" s="2">
        <v>413.37</v>
      </c>
      <c r="Q643" s="2">
        <v>563.37</v>
      </c>
      <c r="R643" s="2">
        <v>0</v>
      </c>
      <c r="S643" s="2">
        <v>277.02</v>
      </c>
      <c r="T643" s="2">
        <v>277.02</v>
      </c>
      <c r="U643" s="2">
        <v>286.35000000000002</v>
      </c>
      <c r="V643" s="2">
        <v>286.35000000000002</v>
      </c>
      <c r="W643" s="2">
        <v>286.35000000000002</v>
      </c>
    </row>
    <row r="644" spans="1:23" outlineLevel="2" x14ac:dyDescent="0.2">
      <c r="A644" t="s">
        <v>0</v>
      </c>
      <c r="B644" t="s">
        <v>31</v>
      </c>
      <c r="C644" t="s">
        <v>79</v>
      </c>
      <c r="D644" t="s">
        <v>115</v>
      </c>
      <c r="E644" t="s">
        <v>116</v>
      </c>
      <c r="F644" t="s">
        <v>5</v>
      </c>
      <c r="G644" t="s">
        <v>6</v>
      </c>
      <c r="H644" t="s">
        <v>35</v>
      </c>
      <c r="I644" t="s">
        <v>36</v>
      </c>
      <c r="J644" t="s">
        <v>9</v>
      </c>
      <c r="K644" t="s">
        <v>251</v>
      </c>
      <c r="L644" t="s">
        <v>258</v>
      </c>
      <c r="M644" t="s">
        <v>12</v>
      </c>
      <c r="N644" s="2">
        <v>0</v>
      </c>
      <c r="O644" s="2">
        <v>10</v>
      </c>
      <c r="P644" s="2">
        <v>47.95</v>
      </c>
      <c r="Q644" s="2">
        <v>57.95</v>
      </c>
      <c r="R644" s="2">
        <v>0</v>
      </c>
      <c r="S644" s="2">
        <v>28.38</v>
      </c>
      <c r="T644" s="2">
        <v>28.38</v>
      </c>
      <c r="U644" s="2">
        <v>29.57</v>
      </c>
      <c r="V644" s="2">
        <v>29.57</v>
      </c>
      <c r="W644" s="2">
        <v>29.57</v>
      </c>
    </row>
    <row r="645" spans="1:23" outlineLevel="2" x14ac:dyDescent="0.2">
      <c r="A645" t="s">
        <v>0</v>
      </c>
      <c r="B645" t="s">
        <v>31</v>
      </c>
      <c r="C645" t="s">
        <v>79</v>
      </c>
      <c r="D645" t="s">
        <v>113</v>
      </c>
      <c r="E645" t="s">
        <v>114</v>
      </c>
      <c r="F645" t="s">
        <v>5</v>
      </c>
      <c r="G645" t="s">
        <v>6</v>
      </c>
      <c r="H645" t="s">
        <v>35</v>
      </c>
      <c r="I645" t="s">
        <v>36</v>
      </c>
      <c r="J645" t="s">
        <v>9</v>
      </c>
      <c r="K645" t="s">
        <v>251</v>
      </c>
      <c r="L645" t="s">
        <v>258</v>
      </c>
      <c r="M645" t="s">
        <v>12</v>
      </c>
      <c r="N645" s="2">
        <v>0</v>
      </c>
      <c r="O645" s="2">
        <v>0</v>
      </c>
      <c r="P645" s="2">
        <v>221.83</v>
      </c>
      <c r="Q645" s="2">
        <v>221.83</v>
      </c>
      <c r="R645" s="2">
        <v>0</v>
      </c>
      <c r="S645" s="2">
        <v>108.19</v>
      </c>
      <c r="T645" s="2">
        <v>108.19</v>
      </c>
      <c r="U645" s="2">
        <v>113.64</v>
      </c>
      <c r="V645" s="2">
        <v>113.64</v>
      </c>
      <c r="W645" s="2">
        <v>113.64</v>
      </c>
    </row>
    <row r="646" spans="1:23" outlineLevel="2" x14ac:dyDescent="0.2">
      <c r="A646" t="s">
        <v>0</v>
      </c>
      <c r="B646" t="s">
        <v>31</v>
      </c>
      <c r="C646" t="s">
        <v>32</v>
      </c>
      <c r="D646" t="s">
        <v>123</v>
      </c>
      <c r="E646" t="s">
        <v>124</v>
      </c>
      <c r="F646" t="s">
        <v>5</v>
      </c>
      <c r="G646" t="s">
        <v>6</v>
      </c>
      <c r="H646" t="s">
        <v>35</v>
      </c>
      <c r="I646" t="s">
        <v>36</v>
      </c>
      <c r="J646" t="s">
        <v>9</v>
      </c>
      <c r="K646" t="s">
        <v>251</v>
      </c>
      <c r="L646" t="s">
        <v>254</v>
      </c>
      <c r="M646" t="s">
        <v>15</v>
      </c>
      <c r="N646" s="2">
        <v>3432.33</v>
      </c>
      <c r="O646" s="2">
        <v>-53.24</v>
      </c>
      <c r="P646" s="2">
        <v>-413.37</v>
      </c>
      <c r="Q646" s="2">
        <v>2965.72</v>
      </c>
      <c r="R646" s="2">
        <v>0</v>
      </c>
      <c r="S646" s="2">
        <v>2965.72</v>
      </c>
      <c r="T646" s="2">
        <v>2965.72</v>
      </c>
      <c r="U646" s="2">
        <v>0</v>
      </c>
      <c r="V646" s="2">
        <v>0</v>
      </c>
      <c r="W646" s="2">
        <v>0</v>
      </c>
    </row>
    <row r="647" spans="1:23" outlineLevel="2" x14ac:dyDescent="0.2">
      <c r="A647" t="s">
        <v>0</v>
      </c>
      <c r="B647" t="s">
        <v>31</v>
      </c>
      <c r="C647" t="s">
        <v>79</v>
      </c>
      <c r="D647" t="s">
        <v>111</v>
      </c>
      <c r="E647" t="s">
        <v>112</v>
      </c>
      <c r="F647" t="s">
        <v>5</v>
      </c>
      <c r="G647" t="s">
        <v>6</v>
      </c>
      <c r="H647" t="s">
        <v>35</v>
      </c>
      <c r="I647" t="s">
        <v>36</v>
      </c>
      <c r="J647" t="s">
        <v>9</v>
      </c>
      <c r="K647" t="s">
        <v>251</v>
      </c>
      <c r="L647" t="s">
        <v>258</v>
      </c>
      <c r="M647" t="s">
        <v>12</v>
      </c>
      <c r="N647" s="2">
        <v>0</v>
      </c>
      <c r="O647" s="2">
        <v>10</v>
      </c>
      <c r="P647" s="2">
        <v>23.98</v>
      </c>
      <c r="Q647" s="2">
        <v>33.979999999999997</v>
      </c>
      <c r="R647" s="2">
        <v>0</v>
      </c>
      <c r="S647" s="2">
        <v>14.19</v>
      </c>
      <c r="T647" s="2">
        <v>14.19</v>
      </c>
      <c r="U647" s="2">
        <v>19.79</v>
      </c>
      <c r="V647" s="2">
        <v>19.79</v>
      </c>
      <c r="W647" s="2">
        <v>19.79</v>
      </c>
    </row>
    <row r="648" spans="1:23" outlineLevel="2" x14ac:dyDescent="0.2">
      <c r="A648" t="s">
        <v>0</v>
      </c>
      <c r="B648" t="s">
        <v>31</v>
      </c>
      <c r="C648" t="s">
        <v>79</v>
      </c>
      <c r="D648" t="s">
        <v>127</v>
      </c>
      <c r="E648" t="s">
        <v>128</v>
      </c>
      <c r="F648" t="s">
        <v>5</v>
      </c>
      <c r="G648" t="s">
        <v>6</v>
      </c>
      <c r="H648" t="s">
        <v>35</v>
      </c>
      <c r="I648" t="s">
        <v>36</v>
      </c>
      <c r="J648" t="s">
        <v>9</v>
      </c>
      <c r="K648" t="s">
        <v>251</v>
      </c>
      <c r="L648" t="s">
        <v>258</v>
      </c>
      <c r="M648" t="s">
        <v>12</v>
      </c>
      <c r="N648" s="2">
        <v>0</v>
      </c>
      <c r="O648" s="2">
        <v>0</v>
      </c>
      <c r="P648" s="2">
        <v>230.12</v>
      </c>
      <c r="Q648" s="2">
        <v>230.12</v>
      </c>
      <c r="R648" s="2">
        <v>0</v>
      </c>
      <c r="S648" s="2">
        <v>81.790000000000006</v>
      </c>
      <c r="T648" s="2">
        <v>81.790000000000006</v>
      </c>
      <c r="U648" s="2">
        <v>148.33000000000001</v>
      </c>
      <c r="V648" s="2">
        <v>148.33000000000001</v>
      </c>
      <c r="W648" s="2">
        <v>148.33000000000001</v>
      </c>
    </row>
    <row r="649" spans="1:23" outlineLevel="2" x14ac:dyDescent="0.2">
      <c r="A649" t="s">
        <v>0</v>
      </c>
      <c r="B649" t="s">
        <v>31</v>
      </c>
      <c r="C649" t="s">
        <v>79</v>
      </c>
      <c r="D649" t="s">
        <v>125</v>
      </c>
      <c r="E649" t="s">
        <v>126</v>
      </c>
      <c r="F649" t="s">
        <v>5</v>
      </c>
      <c r="G649" t="s">
        <v>6</v>
      </c>
      <c r="H649" t="s">
        <v>35</v>
      </c>
      <c r="I649" t="s">
        <v>36</v>
      </c>
      <c r="J649" t="s">
        <v>9</v>
      </c>
      <c r="K649" t="s">
        <v>251</v>
      </c>
      <c r="L649" t="s">
        <v>258</v>
      </c>
      <c r="M649" t="s">
        <v>15</v>
      </c>
      <c r="N649" s="2">
        <v>667.19</v>
      </c>
      <c r="O649" s="2">
        <v>0</v>
      </c>
      <c r="P649" s="2">
        <v>-25.09</v>
      </c>
      <c r="Q649" s="2">
        <v>642.1</v>
      </c>
      <c r="R649" s="2">
        <v>0</v>
      </c>
      <c r="S649" s="2">
        <v>642.1</v>
      </c>
      <c r="T649" s="2">
        <v>642.1</v>
      </c>
      <c r="U649" s="2">
        <v>0</v>
      </c>
      <c r="V649" s="2">
        <v>0</v>
      </c>
      <c r="W649" s="2">
        <v>0</v>
      </c>
    </row>
    <row r="650" spans="1:23" outlineLevel="2" x14ac:dyDescent="0.2">
      <c r="A650" t="s">
        <v>0</v>
      </c>
      <c r="B650" t="s">
        <v>31</v>
      </c>
      <c r="C650" t="s">
        <v>79</v>
      </c>
      <c r="D650" t="s">
        <v>131</v>
      </c>
      <c r="E650" t="s">
        <v>132</v>
      </c>
      <c r="F650" t="s">
        <v>5</v>
      </c>
      <c r="G650" t="s">
        <v>6</v>
      </c>
      <c r="H650" t="s">
        <v>35</v>
      </c>
      <c r="I650" t="s">
        <v>36</v>
      </c>
      <c r="J650" t="s">
        <v>9</v>
      </c>
      <c r="K650" t="s">
        <v>251</v>
      </c>
      <c r="L650" t="s">
        <v>258</v>
      </c>
      <c r="M650" t="s">
        <v>12</v>
      </c>
      <c r="N650" s="2">
        <v>0</v>
      </c>
      <c r="O650" s="2">
        <v>0</v>
      </c>
      <c r="P650" s="2">
        <v>217.58</v>
      </c>
      <c r="Q650" s="2">
        <v>217.58</v>
      </c>
      <c r="R650" s="2">
        <v>0</v>
      </c>
      <c r="S650" s="2">
        <v>98.35</v>
      </c>
      <c r="T650" s="2">
        <v>98.35</v>
      </c>
      <c r="U650" s="2">
        <v>119.23</v>
      </c>
      <c r="V650" s="2">
        <v>119.23</v>
      </c>
      <c r="W650" s="2">
        <v>119.23</v>
      </c>
    </row>
    <row r="651" spans="1:23" outlineLevel="2" x14ac:dyDescent="0.2">
      <c r="A651" t="s">
        <v>0</v>
      </c>
      <c r="B651" t="s">
        <v>1</v>
      </c>
      <c r="C651" t="s">
        <v>44</v>
      </c>
      <c r="D651" t="s">
        <v>45</v>
      </c>
      <c r="E651" t="s">
        <v>46</v>
      </c>
      <c r="F651" t="s">
        <v>5</v>
      </c>
      <c r="G651" t="s">
        <v>6</v>
      </c>
      <c r="H651" t="s">
        <v>35</v>
      </c>
      <c r="I651" t="s">
        <v>36</v>
      </c>
      <c r="J651" t="s">
        <v>9</v>
      </c>
      <c r="K651" t="s">
        <v>251</v>
      </c>
      <c r="L651" t="s">
        <v>262</v>
      </c>
      <c r="M651" t="s">
        <v>12</v>
      </c>
      <c r="N651" s="2">
        <v>0</v>
      </c>
      <c r="O651" s="2">
        <v>0</v>
      </c>
      <c r="P651" s="2">
        <v>192.55</v>
      </c>
      <c r="Q651" s="2">
        <v>192.55</v>
      </c>
      <c r="R651" s="2">
        <v>0</v>
      </c>
      <c r="S651" s="2">
        <v>48.88</v>
      </c>
      <c r="T651" s="2">
        <v>48.88</v>
      </c>
      <c r="U651" s="2">
        <v>143.66999999999999</v>
      </c>
      <c r="V651" s="2">
        <v>143.66999999999999</v>
      </c>
      <c r="W651" s="2">
        <v>143.66999999999999</v>
      </c>
    </row>
    <row r="652" spans="1:23" outlineLevel="2" x14ac:dyDescent="0.2">
      <c r="A652" t="s">
        <v>0</v>
      </c>
      <c r="B652" t="s">
        <v>1</v>
      </c>
      <c r="C652" t="s">
        <v>16</v>
      </c>
      <c r="D652" t="s">
        <v>17</v>
      </c>
      <c r="E652" t="s">
        <v>18</v>
      </c>
      <c r="F652" t="s">
        <v>5</v>
      </c>
      <c r="G652" t="s">
        <v>6</v>
      </c>
      <c r="H652" t="s">
        <v>35</v>
      </c>
      <c r="I652" t="s">
        <v>36</v>
      </c>
      <c r="J652" t="s">
        <v>9</v>
      </c>
      <c r="K652" t="s">
        <v>251</v>
      </c>
      <c r="L652" t="s">
        <v>255</v>
      </c>
      <c r="M652" t="s">
        <v>12</v>
      </c>
      <c r="N652" s="2">
        <v>0</v>
      </c>
      <c r="O652" s="2">
        <v>0</v>
      </c>
      <c r="P652" s="2">
        <v>885.65</v>
      </c>
      <c r="Q652" s="2">
        <v>885.65</v>
      </c>
      <c r="R652" s="2">
        <v>0</v>
      </c>
      <c r="S652" s="2">
        <v>405.75</v>
      </c>
      <c r="T652" s="2">
        <v>405.75</v>
      </c>
      <c r="U652" s="2">
        <v>479.9</v>
      </c>
      <c r="V652" s="2">
        <v>479.9</v>
      </c>
      <c r="W652" s="2">
        <v>479.9</v>
      </c>
    </row>
    <row r="653" spans="1:23" outlineLevel="2" x14ac:dyDescent="0.2">
      <c r="A653" t="s">
        <v>0</v>
      </c>
      <c r="B653" t="s">
        <v>39</v>
      </c>
      <c r="C653" t="s">
        <v>70</v>
      </c>
      <c r="D653" t="s">
        <v>71</v>
      </c>
      <c r="E653" t="s">
        <v>72</v>
      </c>
      <c r="F653" t="s">
        <v>5</v>
      </c>
      <c r="G653" t="s">
        <v>6</v>
      </c>
      <c r="H653" t="s">
        <v>35</v>
      </c>
      <c r="I653" t="s">
        <v>36</v>
      </c>
      <c r="J653" t="s">
        <v>9</v>
      </c>
      <c r="K653" t="s">
        <v>251</v>
      </c>
      <c r="L653" t="s">
        <v>264</v>
      </c>
      <c r="M653" t="s">
        <v>12</v>
      </c>
      <c r="N653" s="2">
        <v>0</v>
      </c>
      <c r="O653" s="2">
        <v>0</v>
      </c>
      <c r="P653" s="2">
        <v>918.86</v>
      </c>
      <c r="Q653" s="2">
        <v>918.86</v>
      </c>
      <c r="R653" s="2">
        <v>0</v>
      </c>
      <c r="S653" s="2">
        <v>274.95999999999998</v>
      </c>
      <c r="T653" s="2">
        <v>274.95999999999998</v>
      </c>
      <c r="U653" s="2">
        <v>643.9</v>
      </c>
      <c r="V653" s="2">
        <v>643.9</v>
      </c>
      <c r="W653" s="2">
        <v>643.9</v>
      </c>
    </row>
    <row r="654" spans="1:23" outlineLevel="2" x14ac:dyDescent="0.2">
      <c r="A654" t="s">
        <v>0</v>
      </c>
      <c r="B654" t="s">
        <v>31</v>
      </c>
      <c r="C654" t="s">
        <v>79</v>
      </c>
      <c r="D654" t="s">
        <v>127</v>
      </c>
      <c r="E654" t="s">
        <v>128</v>
      </c>
      <c r="F654" t="s">
        <v>5</v>
      </c>
      <c r="G654" t="s">
        <v>6</v>
      </c>
      <c r="H654" t="s">
        <v>35</v>
      </c>
      <c r="I654" t="s">
        <v>36</v>
      </c>
      <c r="J654" t="s">
        <v>9</v>
      </c>
      <c r="K654" t="s">
        <v>251</v>
      </c>
      <c r="L654" t="s">
        <v>258</v>
      </c>
      <c r="M654" t="s">
        <v>15</v>
      </c>
      <c r="N654" s="2">
        <v>1034.32</v>
      </c>
      <c r="O654" s="2">
        <v>345</v>
      </c>
      <c r="P654" s="2">
        <v>-230.12</v>
      </c>
      <c r="Q654" s="2">
        <v>1149.2</v>
      </c>
      <c r="R654" s="2">
        <v>0</v>
      </c>
      <c r="S654" s="2">
        <v>1149.2</v>
      </c>
      <c r="T654" s="2">
        <v>1149.2</v>
      </c>
      <c r="U654" s="2">
        <v>0</v>
      </c>
      <c r="V654" s="2">
        <v>0</v>
      </c>
      <c r="W654" s="2">
        <v>0</v>
      </c>
    </row>
    <row r="655" spans="1:23" outlineLevel="2" x14ac:dyDescent="0.2">
      <c r="A655" t="s">
        <v>0</v>
      </c>
      <c r="B655" t="s">
        <v>39</v>
      </c>
      <c r="C655" t="s">
        <v>40</v>
      </c>
      <c r="D655" t="s">
        <v>41</v>
      </c>
      <c r="E655" t="s">
        <v>42</v>
      </c>
      <c r="F655" t="s">
        <v>5</v>
      </c>
      <c r="G655" t="s">
        <v>6</v>
      </c>
      <c r="H655" t="s">
        <v>35</v>
      </c>
      <c r="I655" t="s">
        <v>36</v>
      </c>
      <c r="J655" t="s">
        <v>9</v>
      </c>
      <c r="K655" t="s">
        <v>251</v>
      </c>
      <c r="L655" t="s">
        <v>263</v>
      </c>
      <c r="M655" t="s">
        <v>15</v>
      </c>
      <c r="N655" s="2">
        <v>1545.3</v>
      </c>
      <c r="O655" s="2">
        <v>0</v>
      </c>
      <c r="P655" s="2">
        <v>-466.93</v>
      </c>
      <c r="Q655" s="2">
        <v>1078.3699999999999</v>
      </c>
      <c r="R655" s="2">
        <v>0</v>
      </c>
      <c r="S655" s="2">
        <v>1078.3699999999999</v>
      </c>
      <c r="T655" s="2">
        <v>1078.3699999999999</v>
      </c>
      <c r="U655" s="2">
        <v>0</v>
      </c>
      <c r="V655" s="2">
        <v>0</v>
      </c>
      <c r="W655" s="2">
        <v>0</v>
      </c>
    </row>
    <row r="656" spans="1:23" outlineLevel="2" x14ac:dyDescent="0.2">
      <c r="A656" t="s">
        <v>0</v>
      </c>
      <c r="B656" t="s">
        <v>31</v>
      </c>
      <c r="C656" t="s">
        <v>79</v>
      </c>
      <c r="D656" t="s">
        <v>117</v>
      </c>
      <c r="E656" t="s">
        <v>118</v>
      </c>
      <c r="F656" t="s">
        <v>5</v>
      </c>
      <c r="G656" t="s">
        <v>6</v>
      </c>
      <c r="H656" t="s">
        <v>35</v>
      </c>
      <c r="I656" t="s">
        <v>36</v>
      </c>
      <c r="J656" t="s">
        <v>9</v>
      </c>
      <c r="K656" t="s">
        <v>251</v>
      </c>
      <c r="L656" t="s">
        <v>258</v>
      </c>
      <c r="M656" t="s">
        <v>15</v>
      </c>
      <c r="N656" s="2">
        <v>3669.4</v>
      </c>
      <c r="O656" s="2">
        <v>0</v>
      </c>
      <c r="P656" s="2">
        <v>-508.85</v>
      </c>
      <c r="Q656" s="2">
        <v>3160.55</v>
      </c>
      <c r="R656" s="2">
        <v>0</v>
      </c>
      <c r="S656" s="2">
        <v>3160.55</v>
      </c>
      <c r="T656" s="2">
        <v>3160.55</v>
      </c>
      <c r="U656" s="2">
        <v>0</v>
      </c>
      <c r="V656" s="2">
        <v>0</v>
      </c>
      <c r="W656" s="2">
        <v>0</v>
      </c>
    </row>
    <row r="657" spans="1:23" outlineLevel="2" x14ac:dyDescent="0.2">
      <c r="A657" t="s">
        <v>0</v>
      </c>
      <c r="B657" t="s">
        <v>53</v>
      </c>
      <c r="C657" t="s">
        <v>85</v>
      </c>
      <c r="D657" t="s">
        <v>86</v>
      </c>
      <c r="E657" t="s">
        <v>87</v>
      </c>
      <c r="F657" t="s">
        <v>5</v>
      </c>
      <c r="G657" t="s">
        <v>6</v>
      </c>
      <c r="H657" t="s">
        <v>35</v>
      </c>
      <c r="I657" t="s">
        <v>36</v>
      </c>
      <c r="J657" t="s">
        <v>9</v>
      </c>
      <c r="K657" t="s">
        <v>251</v>
      </c>
      <c r="L657" t="s">
        <v>265</v>
      </c>
      <c r="M657" t="s">
        <v>15</v>
      </c>
      <c r="N657" s="2">
        <v>450.48</v>
      </c>
      <c r="O657" s="2">
        <v>-450.48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</row>
    <row r="658" spans="1:23" outlineLevel="2" x14ac:dyDescent="0.2">
      <c r="A658" t="s">
        <v>0</v>
      </c>
      <c r="B658" t="s">
        <v>39</v>
      </c>
      <c r="C658" t="s">
        <v>58</v>
      </c>
      <c r="D658" t="s">
        <v>135</v>
      </c>
      <c r="E658" t="s">
        <v>136</v>
      </c>
      <c r="F658" t="s">
        <v>5</v>
      </c>
      <c r="G658" t="s">
        <v>6</v>
      </c>
      <c r="H658" t="s">
        <v>35</v>
      </c>
      <c r="I658" t="s">
        <v>36</v>
      </c>
      <c r="J658" t="s">
        <v>9</v>
      </c>
      <c r="K658" t="s">
        <v>251</v>
      </c>
      <c r="L658" t="s">
        <v>252</v>
      </c>
      <c r="M658" t="s">
        <v>12</v>
      </c>
      <c r="N658" s="2">
        <v>0</v>
      </c>
      <c r="O658" s="2">
        <v>0</v>
      </c>
      <c r="P658" s="2">
        <v>607.97</v>
      </c>
      <c r="Q658" s="2">
        <v>607.97</v>
      </c>
      <c r="R658" s="2">
        <v>0</v>
      </c>
      <c r="S658" s="2">
        <v>249.98</v>
      </c>
      <c r="T658" s="2">
        <v>249.98</v>
      </c>
      <c r="U658" s="2">
        <v>357.99</v>
      </c>
      <c r="V658" s="2">
        <v>357.99</v>
      </c>
      <c r="W658" s="2">
        <v>357.99</v>
      </c>
    </row>
    <row r="659" spans="1:23" outlineLevel="2" x14ac:dyDescent="0.2">
      <c r="A659" t="s">
        <v>0</v>
      </c>
      <c r="B659" t="s">
        <v>31</v>
      </c>
      <c r="C659" t="s">
        <v>79</v>
      </c>
      <c r="D659" t="s">
        <v>131</v>
      </c>
      <c r="E659" t="s">
        <v>132</v>
      </c>
      <c r="F659" t="s">
        <v>5</v>
      </c>
      <c r="G659" t="s">
        <v>6</v>
      </c>
      <c r="H659" t="s">
        <v>35</v>
      </c>
      <c r="I659" t="s">
        <v>36</v>
      </c>
      <c r="J659" t="s">
        <v>9</v>
      </c>
      <c r="K659" t="s">
        <v>251</v>
      </c>
      <c r="L659" t="s">
        <v>258</v>
      </c>
      <c r="M659" t="s">
        <v>15</v>
      </c>
      <c r="N659" s="2">
        <v>885.08</v>
      </c>
      <c r="O659" s="2">
        <v>316</v>
      </c>
      <c r="P659" s="2">
        <v>-217.58</v>
      </c>
      <c r="Q659" s="2">
        <v>983.5</v>
      </c>
      <c r="R659" s="2">
        <v>0</v>
      </c>
      <c r="S659" s="2">
        <v>983.5</v>
      </c>
      <c r="T659" s="2">
        <v>983.5</v>
      </c>
      <c r="U659" s="2">
        <v>0</v>
      </c>
      <c r="V659" s="2">
        <v>0</v>
      </c>
      <c r="W659" s="2">
        <v>0</v>
      </c>
    </row>
    <row r="660" spans="1:23" outlineLevel="2" x14ac:dyDescent="0.2">
      <c r="A660" t="s">
        <v>0</v>
      </c>
      <c r="B660" t="s">
        <v>39</v>
      </c>
      <c r="C660" t="s">
        <v>70</v>
      </c>
      <c r="D660" t="s">
        <v>89</v>
      </c>
      <c r="E660" t="s">
        <v>90</v>
      </c>
      <c r="F660" t="s">
        <v>5</v>
      </c>
      <c r="G660" t="s">
        <v>6</v>
      </c>
      <c r="H660" t="s">
        <v>35</v>
      </c>
      <c r="I660" t="s">
        <v>36</v>
      </c>
      <c r="J660" t="s">
        <v>9</v>
      </c>
      <c r="K660" t="s">
        <v>251</v>
      </c>
      <c r="L660" t="s">
        <v>264</v>
      </c>
      <c r="M660" t="s">
        <v>12</v>
      </c>
      <c r="N660" s="2">
        <v>0</v>
      </c>
      <c r="O660" s="2">
        <v>0</v>
      </c>
      <c r="P660" s="2">
        <v>250.88</v>
      </c>
      <c r="Q660" s="2">
        <v>250.88</v>
      </c>
      <c r="R660" s="2">
        <v>0</v>
      </c>
      <c r="S660" s="2">
        <v>124.18</v>
      </c>
      <c r="T660" s="2">
        <v>124.18</v>
      </c>
      <c r="U660" s="2">
        <v>126.7</v>
      </c>
      <c r="V660" s="2">
        <v>126.7</v>
      </c>
      <c r="W660" s="2">
        <v>126.7</v>
      </c>
    </row>
    <row r="661" spans="1:23" outlineLevel="2" x14ac:dyDescent="0.2">
      <c r="A661" t="s">
        <v>0</v>
      </c>
      <c r="B661" t="s">
        <v>39</v>
      </c>
      <c r="C661" t="s">
        <v>66</v>
      </c>
      <c r="D661" t="s">
        <v>121</v>
      </c>
      <c r="E661" t="s">
        <v>122</v>
      </c>
      <c r="F661" t="s">
        <v>5</v>
      </c>
      <c r="G661" t="s">
        <v>6</v>
      </c>
      <c r="H661" t="s">
        <v>35</v>
      </c>
      <c r="I661" t="s">
        <v>36</v>
      </c>
      <c r="J661" t="s">
        <v>9</v>
      </c>
      <c r="K661" t="s">
        <v>251</v>
      </c>
      <c r="L661" t="s">
        <v>266</v>
      </c>
      <c r="M661" t="s">
        <v>12</v>
      </c>
      <c r="N661" s="2">
        <v>0</v>
      </c>
      <c r="O661" s="2">
        <v>0</v>
      </c>
      <c r="P661" s="2">
        <v>51.88</v>
      </c>
      <c r="Q661" s="2">
        <v>51.88</v>
      </c>
      <c r="R661" s="2">
        <v>0</v>
      </c>
      <c r="S661" s="2">
        <v>24.11</v>
      </c>
      <c r="T661" s="2">
        <v>24.11</v>
      </c>
      <c r="U661" s="2">
        <v>27.77</v>
      </c>
      <c r="V661" s="2">
        <v>27.77</v>
      </c>
      <c r="W661" s="2">
        <v>27.77</v>
      </c>
    </row>
    <row r="662" spans="1:23" outlineLevel="2" x14ac:dyDescent="0.2">
      <c r="A662" t="s">
        <v>0</v>
      </c>
      <c r="B662" t="s">
        <v>1</v>
      </c>
      <c r="C662" t="s">
        <v>91</v>
      </c>
      <c r="D662" t="s">
        <v>92</v>
      </c>
      <c r="E662" t="s">
        <v>93</v>
      </c>
      <c r="F662" t="s">
        <v>5</v>
      </c>
      <c r="G662" t="s">
        <v>6</v>
      </c>
      <c r="H662" t="s">
        <v>35</v>
      </c>
      <c r="I662" t="s">
        <v>36</v>
      </c>
      <c r="J662" t="s">
        <v>9</v>
      </c>
      <c r="K662" t="s">
        <v>251</v>
      </c>
      <c r="L662" t="s">
        <v>261</v>
      </c>
      <c r="M662" t="s">
        <v>15</v>
      </c>
      <c r="N662" s="2">
        <v>1108.3900000000001</v>
      </c>
      <c r="O662" s="2">
        <v>227.15</v>
      </c>
      <c r="P662" s="2">
        <v>-224.94</v>
      </c>
      <c r="Q662" s="2">
        <v>1110.5999999999999</v>
      </c>
      <c r="R662" s="2">
        <v>0</v>
      </c>
      <c r="S662" s="2">
        <v>1110.5999999999999</v>
      </c>
      <c r="T662" s="2">
        <v>1110.5999999999999</v>
      </c>
      <c r="U662" s="2">
        <v>0</v>
      </c>
      <c r="V662" s="2">
        <v>0</v>
      </c>
      <c r="W662" s="2">
        <v>0</v>
      </c>
    </row>
    <row r="663" spans="1:23" outlineLevel="2" x14ac:dyDescent="0.2">
      <c r="A663" t="s">
        <v>0</v>
      </c>
      <c r="B663" t="s">
        <v>39</v>
      </c>
      <c r="C663" t="s">
        <v>40</v>
      </c>
      <c r="D663" t="s">
        <v>77</v>
      </c>
      <c r="E663" t="s">
        <v>78</v>
      </c>
      <c r="F663" t="s">
        <v>5</v>
      </c>
      <c r="G663" t="s">
        <v>6</v>
      </c>
      <c r="H663" t="s">
        <v>35</v>
      </c>
      <c r="I663" t="s">
        <v>36</v>
      </c>
      <c r="J663" t="s">
        <v>9</v>
      </c>
      <c r="K663" t="s">
        <v>251</v>
      </c>
      <c r="L663" t="s">
        <v>263</v>
      </c>
      <c r="M663" t="s">
        <v>15</v>
      </c>
      <c r="N663" s="2">
        <v>435.48</v>
      </c>
      <c r="O663" s="2">
        <v>20</v>
      </c>
      <c r="P663" s="2">
        <v>-262</v>
      </c>
      <c r="Q663" s="2">
        <v>193.48</v>
      </c>
      <c r="R663" s="2">
        <v>0</v>
      </c>
      <c r="S663" s="2">
        <v>193.48</v>
      </c>
      <c r="T663" s="2">
        <v>193.48</v>
      </c>
      <c r="U663" s="2">
        <v>0</v>
      </c>
      <c r="V663" s="2">
        <v>0</v>
      </c>
      <c r="W663" s="2">
        <v>0</v>
      </c>
    </row>
    <row r="664" spans="1:23" outlineLevel="2" x14ac:dyDescent="0.2">
      <c r="A664" t="s">
        <v>0</v>
      </c>
      <c r="B664" t="s">
        <v>1</v>
      </c>
      <c r="C664" t="s">
        <v>2</v>
      </c>
      <c r="D664" t="s">
        <v>20</v>
      </c>
      <c r="E664" t="s">
        <v>21</v>
      </c>
      <c r="F664" t="s">
        <v>5</v>
      </c>
      <c r="G664" t="s">
        <v>6</v>
      </c>
      <c r="H664" t="s">
        <v>35</v>
      </c>
      <c r="I664" t="s">
        <v>36</v>
      </c>
      <c r="J664" t="s">
        <v>9</v>
      </c>
      <c r="K664" t="s">
        <v>251</v>
      </c>
      <c r="L664" t="s">
        <v>253</v>
      </c>
      <c r="M664" t="s">
        <v>15</v>
      </c>
      <c r="N664" s="2">
        <v>22870.53</v>
      </c>
      <c r="O664" s="2">
        <v>5897.48</v>
      </c>
      <c r="P664" s="2">
        <v>-4790.24</v>
      </c>
      <c r="Q664" s="2">
        <v>23977.77</v>
      </c>
      <c r="R664" s="2">
        <v>0</v>
      </c>
      <c r="S664" s="2">
        <v>23977.77</v>
      </c>
      <c r="T664" s="2">
        <v>23977.77</v>
      </c>
      <c r="U664" s="2">
        <v>0</v>
      </c>
      <c r="V664" s="2">
        <v>0</v>
      </c>
      <c r="W664" s="2">
        <v>0</v>
      </c>
    </row>
    <row r="665" spans="1:23" outlineLevel="2" x14ac:dyDescent="0.2">
      <c r="A665" t="s">
        <v>0</v>
      </c>
      <c r="B665" t="s">
        <v>31</v>
      </c>
      <c r="C665" t="s">
        <v>79</v>
      </c>
      <c r="D665" t="s">
        <v>133</v>
      </c>
      <c r="E665" t="s">
        <v>134</v>
      </c>
      <c r="F665" t="s">
        <v>5</v>
      </c>
      <c r="G665" t="s">
        <v>6</v>
      </c>
      <c r="H665" t="s">
        <v>35</v>
      </c>
      <c r="I665" t="s">
        <v>36</v>
      </c>
      <c r="J665" t="s">
        <v>9</v>
      </c>
      <c r="K665" t="s">
        <v>251</v>
      </c>
      <c r="L665" t="s">
        <v>258</v>
      </c>
      <c r="M665" t="s">
        <v>15</v>
      </c>
      <c r="N665" s="2">
        <v>1753.8</v>
      </c>
      <c r="O665" s="2">
        <v>601</v>
      </c>
      <c r="P665" s="2">
        <v>-406.1</v>
      </c>
      <c r="Q665" s="2">
        <v>1948.7</v>
      </c>
      <c r="R665" s="2">
        <v>0</v>
      </c>
      <c r="S665" s="2">
        <v>1948.7</v>
      </c>
      <c r="T665" s="2">
        <v>1948.7</v>
      </c>
      <c r="U665" s="2">
        <v>0</v>
      </c>
      <c r="V665" s="2">
        <v>0</v>
      </c>
      <c r="W665" s="2">
        <v>0</v>
      </c>
    </row>
    <row r="666" spans="1:23" outlineLevel="2" x14ac:dyDescent="0.2">
      <c r="A666" t="s">
        <v>0</v>
      </c>
      <c r="B666" t="s">
        <v>31</v>
      </c>
      <c r="C666" t="s">
        <v>32</v>
      </c>
      <c r="D666" t="s">
        <v>33</v>
      </c>
      <c r="E666" t="s">
        <v>34</v>
      </c>
      <c r="F666" t="s">
        <v>5</v>
      </c>
      <c r="G666" t="s">
        <v>6</v>
      </c>
      <c r="H666" t="s">
        <v>35</v>
      </c>
      <c r="I666" t="s">
        <v>36</v>
      </c>
      <c r="J666" t="s">
        <v>9</v>
      </c>
      <c r="K666" t="s">
        <v>251</v>
      </c>
      <c r="L666" t="s">
        <v>254</v>
      </c>
      <c r="M666" t="s">
        <v>15</v>
      </c>
      <c r="N666" s="2">
        <v>4746.79</v>
      </c>
      <c r="O666" s="2">
        <v>1186.48</v>
      </c>
      <c r="P666" s="2">
        <v>-1000.75</v>
      </c>
      <c r="Q666" s="2">
        <v>4932.5200000000004</v>
      </c>
      <c r="R666" s="2">
        <v>0</v>
      </c>
      <c r="S666" s="2">
        <v>4932.5200000000004</v>
      </c>
      <c r="T666" s="2">
        <v>4932.5200000000004</v>
      </c>
      <c r="U666" s="2">
        <v>0</v>
      </c>
      <c r="V666" s="2">
        <v>0</v>
      </c>
      <c r="W666" s="2">
        <v>0</v>
      </c>
    </row>
    <row r="667" spans="1:23" outlineLevel="2" x14ac:dyDescent="0.2">
      <c r="A667" t="s">
        <v>0</v>
      </c>
      <c r="B667" t="s">
        <v>39</v>
      </c>
      <c r="C667" t="s">
        <v>40</v>
      </c>
      <c r="D667" t="s">
        <v>77</v>
      </c>
      <c r="E667" t="s">
        <v>78</v>
      </c>
      <c r="F667" t="s">
        <v>5</v>
      </c>
      <c r="G667" t="s">
        <v>6</v>
      </c>
      <c r="H667" t="s">
        <v>35</v>
      </c>
      <c r="I667" t="s">
        <v>36</v>
      </c>
      <c r="J667" t="s">
        <v>9</v>
      </c>
      <c r="K667" t="s">
        <v>251</v>
      </c>
      <c r="L667" t="s">
        <v>263</v>
      </c>
      <c r="M667" t="s">
        <v>12</v>
      </c>
      <c r="N667" s="2">
        <v>0</v>
      </c>
      <c r="O667" s="2">
        <v>0</v>
      </c>
      <c r="P667" s="2">
        <v>51.23</v>
      </c>
      <c r="Q667" s="2">
        <v>51.23</v>
      </c>
      <c r="R667" s="2">
        <v>0</v>
      </c>
      <c r="S667" s="2">
        <v>21.16</v>
      </c>
      <c r="T667" s="2">
        <v>21.16</v>
      </c>
      <c r="U667" s="2">
        <v>30.07</v>
      </c>
      <c r="V667" s="2">
        <v>30.07</v>
      </c>
      <c r="W667" s="2">
        <v>30.07</v>
      </c>
    </row>
    <row r="668" spans="1:23" outlineLevel="2" x14ac:dyDescent="0.2">
      <c r="A668" t="s">
        <v>0</v>
      </c>
      <c r="B668" t="s">
        <v>39</v>
      </c>
      <c r="C668" t="s">
        <v>66</v>
      </c>
      <c r="D668" t="s">
        <v>121</v>
      </c>
      <c r="E668" t="s">
        <v>122</v>
      </c>
      <c r="F668" t="s">
        <v>5</v>
      </c>
      <c r="G668" t="s">
        <v>6</v>
      </c>
      <c r="H668" t="s">
        <v>35</v>
      </c>
      <c r="I668" t="s">
        <v>36</v>
      </c>
      <c r="J668" t="s">
        <v>9</v>
      </c>
      <c r="K668" t="s">
        <v>251</v>
      </c>
      <c r="L668" t="s">
        <v>266</v>
      </c>
      <c r="M668" t="s">
        <v>15</v>
      </c>
      <c r="N668" s="2">
        <v>216.98</v>
      </c>
      <c r="O668" s="2">
        <v>76</v>
      </c>
      <c r="P668" s="2">
        <v>-51.88</v>
      </c>
      <c r="Q668" s="2">
        <v>241.1</v>
      </c>
      <c r="R668" s="2">
        <v>0</v>
      </c>
      <c r="S668" s="2">
        <v>241.1</v>
      </c>
      <c r="T668" s="2">
        <v>241.1</v>
      </c>
      <c r="U668" s="2">
        <v>0</v>
      </c>
      <c r="V668" s="2">
        <v>0</v>
      </c>
      <c r="W668" s="2">
        <v>0</v>
      </c>
    </row>
    <row r="669" spans="1:23" outlineLevel="2" x14ac:dyDescent="0.2">
      <c r="A669" t="s">
        <v>0</v>
      </c>
      <c r="B669" t="s">
        <v>31</v>
      </c>
      <c r="C669" t="s">
        <v>79</v>
      </c>
      <c r="D669" t="s">
        <v>80</v>
      </c>
      <c r="E669" t="s">
        <v>81</v>
      </c>
      <c r="F669" t="s">
        <v>5</v>
      </c>
      <c r="G669" t="s">
        <v>6</v>
      </c>
      <c r="H669" t="s">
        <v>35</v>
      </c>
      <c r="I669" t="s">
        <v>36</v>
      </c>
      <c r="J669" t="s">
        <v>9</v>
      </c>
      <c r="K669" t="s">
        <v>251</v>
      </c>
      <c r="L669" t="s">
        <v>258</v>
      </c>
      <c r="M669" t="s">
        <v>15</v>
      </c>
      <c r="N669" s="2">
        <v>502.42</v>
      </c>
      <c r="O669" s="2">
        <v>0</v>
      </c>
      <c r="P669" s="2">
        <v>-40.58</v>
      </c>
      <c r="Q669" s="2">
        <v>461.84</v>
      </c>
      <c r="R669" s="2">
        <v>0</v>
      </c>
      <c r="S669" s="2">
        <v>461.84</v>
      </c>
      <c r="T669" s="2">
        <v>461.84</v>
      </c>
      <c r="U669" s="2">
        <v>0</v>
      </c>
      <c r="V669" s="2">
        <v>0</v>
      </c>
      <c r="W669" s="2">
        <v>0</v>
      </c>
    </row>
    <row r="670" spans="1:23" outlineLevel="2" x14ac:dyDescent="0.2">
      <c r="A670" t="s">
        <v>0</v>
      </c>
      <c r="B670" t="s">
        <v>31</v>
      </c>
      <c r="C670" t="s">
        <v>79</v>
      </c>
      <c r="D670" t="s">
        <v>111</v>
      </c>
      <c r="E670" t="s">
        <v>112</v>
      </c>
      <c r="F670" t="s">
        <v>5</v>
      </c>
      <c r="G670" t="s">
        <v>6</v>
      </c>
      <c r="H670" t="s">
        <v>35</v>
      </c>
      <c r="I670" t="s">
        <v>36</v>
      </c>
      <c r="J670" t="s">
        <v>9</v>
      </c>
      <c r="K670" t="s">
        <v>251</v>
      </c>
      <c r="L670" t="s">
        <v>258</v>
      </c>
      <c r="M670" t="s">
        <v>15</v>
      </c>
      <c r="N670" s="2">
        <v>204.27</v>
      </c>
      <c r="O670" s="2">
        <v>0</v>
      </c>
      <c r="P670" s="2">
        <v>-73.73</v>
      </c>
      <c r="Q670" s="2">
        <v>130.54</v>
      </c>
      <c r="R670" s="2">
        <v>0</v>
      </c>
      <c r="S670" s="2">
        <v>130.54</v>
      </c>
      <c r="T670" s="2">
        <v>130.54</v>
      </c>
      <c r="U670" s="2">
        <v>0</v>
      </c>
      <c r="V670" s="2">
        <v>0</v>
      </c>
      <c r="W670" s="2">
        <v>0</v>
      </c>
    </row>
    <row r="671" spans="1:23" outlineLevel="2" x14ac:dyDescent="0.2">
      <c r="A671" t="s">
        <v>0</v>
      </c>
      <c r="B671" t="s">
        <v>39</v>
      </c>
      <c r="C671" t="s">
        <v>66</v>
      </c>
      <c r="D671" t="s">
        <v>67</v>
      </c>
      <c r="E671" t="s">
        <v>68</v>
      </c>
      <c r="F671" t="s">
        <v>5</v>
      </c>
      <c r="G671" t="s">
        <v>6</v>
      </c>
      <c r="H671" t="s">
        <v>35</v>
      </c>
      <c r="I671" t="s">
        <v>36</v>
      </c>
      <c r="J671" t="s">
        <v>9</v>
      </c>
      <c r="K671" t="s">
        <v>267</v>
      </c>
      <c r="L671" t="s">
        <v>268</v>
      </c>
      <c r="M671" t="s">
        <v>15</v>
      </c>
      <c r="N671" s="2">
        <v>3661.27</v>
      </c>
      <c r="O671" s="2">
        <v>-1830.63</v>
      </c>
      <c r="P671" s="2">
        <v>-1830.64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</row>
    <row r="672" spans="1:23" outlineLevel="2" x14ac:dyDescent="0.2">
      <c r="A672" t="s">
        <v>0</v>
      </c>
      <c r="B672" t="s">
        <v>39</v>
      </c>
      <c r="C672" t="s">
        <v>58</v>
      </c>
      <c r="D672" t="s">
        <v>59</v>
      </c>
      <c r="E672" t="s">
        <v>60</v>
      </c>
      <c r="F672" t="s">
        <v>5</v>
      </c>
      <c r="G672" t="s">
        <v>6</v>
      </c>
      <c r="H672" t="s">
        <v>35</v>
      </c>
      <c r="I672" t="s">
        <v>36</v>
      </c>
      <c r="J672" t="s">
        <v>9</v>
      </c>
      <c r="K672" t="s">
        <v>267</v>
      </c>
      <c r="L672" t="s">
        <v>269</v>
      </c>
      <c r="M672" t="s">
        <v>15</v>
      </c>
      <c r="N672" s="2">
        <v>6160.25</v>
      </c>
      <c r="O672" s="2">
        <v>4424.74</v>
      </c>
      <c r="P672" s="2">
        <v>0</v>
      </c>
      <c r="Q672" s="2">
        <v>10584.99</v>
      </c>
      <c r="R672" s="2">
        <v>0</v>
      </c>
      <c r="S672" s="2">
        <v>10584.99</v>
      </c>
      <c r="T672" s="2">
        <v>10584.99</v>
      </c>
      <c r="U672" s="2">
        <v>0</v>
      </c>
      <c r="V672" s="2">
        <v>0</v>
      </c>
      <c r="W672" s="2">
        <v>0</v>
      </c>
    </row>
    <row r="673" spans="1:23" outlineLevel="2" x14ac:dyDescent="0.2">
      <c r="A673" t="s">
        <v>0</v>
      </c>
      <c r="B673" t="s">
        <v>39</v>
      </c>
      <c r="C673" t="s">
        <v>58</v>
      </c>
      <c r="D673" t="s">
        <v>119</v>
      </c>
      <c r="E673" t="s">
        <v>120</v>
      </c>
      <c r="F673" t="s">
        <v>5</v>
      </c>
      <c r="G673" t="s">
        <v>6</v>
      </c>
      <c r="H673" t="s">
        <v>35</v>
      </c>
      <c r="I673" t="s">
        <v>36</v>
      </c>
      <c r="J673" t="s">
        <v>9</v>
      </c>
      <c r="K673" t="s">
        <v>267</v>
      </c>
      <c r="L673" t="s">
        <v>269</v>
      </c>
      <c r="M673" t="s">
        <v>15</v>
      </c>
      <c r="N673" s="2">
        <v>3782.44</v>
      </c>
      <c r="O673" s="2">
        <v>1700</v>
      </c>
      <c r="P673" s="2">
        <v>-15.78</v>
      </c>
      <c r="Q673" s="2">
        <v>5466.66</v>
      </c>
      <c r="R673" s="2">
        <v>0</v>
      </c>
      <c r="S673" s="2">
        <v>5466.66</v>
      </c>
      <c r="T673" s="2">
        <v>5466.66</v>
      </c>
      <c r="U673" s="2">
        <v>0</v>
      </c>
      <c r="V673" s="2">
        <v>0</v>
      </c>
      <c r="W673" s="2">
        <v>0</v>
      </c>
    </row>
    <row r="674" spans="1:23" outlineLevel="2" x14ac:dyDescent="0.2">
      <c r="A674" t="s">
        <v>0</v>
      </c>
      <c r="B674" t="s">
        <v>39</v>
      </c>
      <c r="C674" t="s">
        <v>40</v>
      </c>
      <c r="D674" t="s">
        <v>77</v>
      </c>
      <c r="E674" t="s">
        <v>78</v>
      </c>
      <c r="F674" t="s">
        <v>5</v>
      </c>
      <c r="G674" t="s">
        <v>6</v>
      </c>
      <c r="H674" t="s">
        <v>35</v>
      </c>
      <c r="I674" t="s">
        <v>36</v>
      </c>
      <c r="J674" t="s">
        <v>9</v>
      </c>
      <c r="K674" t="s">
        <v>267</v>
      </c>
      <c r="L674" t="s">
        <v>270</v>
      </c>
      <c r="M674" t="s">
        <v>15</v>
      </c>
      <c r="N674" s="2">
        <v>257002</v>
      </c>
      <c r="O674" s="2">
        <v>0</v>
      </c>
      <c r="P674" s="2">
        <v>-208543.44</v>
      </c>
      <c r="Q674" s="2">
        <v>48458.559999999998</v>
      </c>
      <c r="R674" s="2">
        <v>0</v>
      </c>
      <c r="S674" s="2">
        <v>48458.559999999998</v>
      </c>
      <c r="T674" s="2">
        <v>48458.559999999998</v>
      </c>
      <c r="U674" s="2">
        <v>0</v>
      </c>
      <c r="V674" s="2">
        <v>0</v>
      </c>
      <c r="W674" s="2">
        <v>0</v>
      </c>
    </row>
    <row r="675" spans="1:23" outlineLevel="2" x14ac:dyDescent="0.2">
      <c r="A675" t="s">
        <v>0</v>
      </c>
      <c r="B675" t="s">
        <v>1</v>
      </c>
      <c r="C675" t="s">
        <v>16</v>
      </c>
      <c r="D675" t="s">
        <v>62</v>
      </c>
      <c r="E675" t="s">
        <v>63</v>
      </c>
      <c r="F675" t="s">
        <v>5</v>
      </c>
      <c r="G675" t="s">
        <v>6</v>
      </c>
      <c r="H675" t="s">
        <v>35</v>
      </c>
      <c r="I675" t="s">
        <v>36</v>
      </c>
      <c r="J675" t="s">
        <v>9</v>
      </c>
      <c r="K675" t="s">
        <v>267</v>
      </c>
      <c r="L675" t="s">
        <v>271</v>
      </c>
      <c r="M675" t="s">
        <v>15</v>
      </c>
      <c r="N675" s="2">
        <v>1077.17</v>
      </c>
      <c r="O675" s="2">
        <v>0</v>
      </c>
      <c r="P675" s="2">
        <v>-674.77</v>
      </c>
      <c r="Q675" s="2">
        <v>402.4</v>
      </c>
      <c r="R675" s="2">
        <v>0</v>
      </c>
      <c r="S675" s="2">
        <v>402.4</v>
      </c>
      <c r="T675" s="2">
        <v>402.4</v>
      </c>
      <c r="U675" s="2">
        <v>0</v>
      </c>
      <c r="V675" s="2">
        <v>0</v>
      </c>
      <c r="W675" s="2">
        <v>0</v>
      </c>
    </row>
    <row r="676" spans="1:23" outlineLevel="2" x14ac:dyDescent="0.2">
      <c r="A676" t="s">
        <v>0</v>
      </c>
      <c r="B676" t="s">
        <v>39</v>
      </c>
      <c r="C676" t="s">
        <v>58</v>
      </c>
      <c r="D676" t="s">
        <v>145</v>
      </c>
      <c r="E676" t="s">
        <v>146</v>
      </c>
      <c r="F676" t="s">
        <v>5</v>
      </c>
      <c r="G676" t="s">
        <v>6</v>
      </c>
      <c r="H676" t="s">
        <v>35</v>
      </c>
      <c r="I676" t="s">
        <v>36</v>
      </c>
      <c r="J676" t="s">
        <v>9</v>
      </c>
      <c r="K676" t="s">
        <v>267</v>
      </c>
      <c r="L676" t="s">
        <v>269</v>
      </c>
      <c r="M676" t="s">
        <v>15</v>
      </c>
      <c r="N676" s="2">
        <v>3791.81</v>
      </c>
      <c r="O676" s="2">
        <v>3510</v>
      </c>
      <c r="P676" s="2">
        <v>-637.61</v>
      </c>
      <c r="Q676" s="2">
        <v>6664.2</v>
      </c>
      <c r="R676" s="2">
        <v>0</v>
      </c>
      <c r="S676" s="2">
        <v>6664.2</v>
      </c>
      <c r="T676" s="2">
        <v>6664.2</v>
      </c>
      <c r="U676" s="2">
        <v>0</v>
      </c>
      <c r="V676" s="2">
        <v>0</v>
      </c>
      <c r="W676" s="2">
        <v>0</v>
      </c>
    </row>
    <row r="677" spans="1:23" outlineLevel="2" x14ac:dyDescent="0.2">
      <c r="A677" t="s">
        <v>0</v>
      </c>
      <c r="B677" t="s">
        <v>1</v>
      </c>
      <c r="C677" t="s">
        <v>2</v>
      </c>
      <c r="D677" t="s">
        <v>3</v>
      </c>
      <c r="E677" t="s">
        <v>4</v>
      </c>
      <c r="F677" t="s">
        <v>5</v>
      </c>
      <c r="G677" t="s">
        <v>6</v>
      </c>
      <c r="H677" t="s">
        <v>35</v>
      </c>
      <c r="I677" t="s">
        <v>36</v>
      </c>
      <c r="J677" t="s">
        <v>9</v>
      </c>
      <c r="K677" t="s">
        <v>267</v>
      </c>
      <c r="L677" t="s">
        <v>272</v>
      </c>
      <c r="M677" t="s">
        <v>15</v>
      </c>
      <c r="N677" s="2">
        <v>18457.03</v>
      </c>
      <c r="O677" s="2">
        <v>0</v>
      </c>
      <c r="P677" s="2">
        <v>-3714.44</v>
      </c>
      <c r="Q677" s="2">
        <v>14742.59</v>
      </c>
      <c r="R677" s="2">
        <v>0</v>
      </c>
      <c r="S677" s="2">
        <v>14742.59</v>
      </c>
      <c r="T677" s="2">
        <v>14742.59</v>
      </c>
      <c r="U677" s="2">
        <v>0</v>
      </c>
      <c r="V677" s="2">
        <v>0</v>
      </c>
      <c r="W677" s="2">
        <v>0</v>
      </c>
    </row>
    <row r="678" spans="1:23" outlineLevel="2" x14ac:dyDescent="0.2">
      <c r="A678" t="s">
        <v>0</v>
      </c>
      <c r="B678" t="s">
        <v>1</v>
      </c>
      <c r="C678" t="s">
        <v>16</v>
      </c>
      <c r="D678" t="s">
        <v>17</v>
      </c>
      <c r="E678" t="s">
        <v>18</v>
      </c>
      <c r="F678" t="s">
        <v>5</v>
      </c>
      <c r="G678" t="s">
        <v>6</v>
      </c>
      <c r="H678" t="s">
        <v>35</v>
      </c>
      <c r="I678" t="s">
        <v>36</v>
      </c>
      <c r="J678" t="s">
        <v>9</v>
      </c>
      <c r="K678" t="s">
        <v>267</v>
      </c>
      <c r="L678" t="s">
        <v>271</v>
      </c>
      <c r="M678" t="s">
        <v>15</v>
      </c>
      <c r="N678" s="2">
        <v>22033.47</v>
      </c>
      <c r="O678" s="2">
        <v>5407.76</v>
      </c>
      <c r="P678" s="2">
        <v>0</v>
      </c>
      <c r="Q678" s="2">
        <v>27441.23</v>
      </c>
      <c r="R678" s="2">
        <v>0</v>
      </c>
      <c r="S678" s="2">
        <v>27441.23</v>
      </c>
      <c r="T678" s="2">
        <v>27441.23</v>
      </c>
      <c r="U678" s="2">
        <v>0</v>
      </c>
      <c r="V678" s="2">
        <v>0</v>
      </c>
      <c r="W678" s="2">
        <v>0</v>
      </c>
    </row>
    <row r="679" spans="1:23" outlineLevel="2" x14ac:dyDescent="0.2">
      <c r="A679" t="s">
        <v>0</v>
      </c>
      <c r="B679" t="s">
        <v>1</v>
      </c>
      <c r="C679" t="s">
        <v>16</v>
      </c>
      <c r="D679" t="s">
        <v>64</v>
      </c>
      <c r="E679" t="s">
        <v>65</v>
      </c>
      <c r="F679" t="s">
        <v>5</v>
      </c>
      <c r="G679" t="s">
        <v>6</v>
      </c>
      <c r="H679" t="s">
        <v>35</v>
      </c>
      <c r="I679" t="s">
        <v>36</v>
      </c>
      <c r="J679" t="s">
        <v>9</v>
      </c>
      <c r="K679" t="s">
        <v>267</v>
      </c>
      <c r="L679" t="s">
        <v>271</v>
      </c>
      <c r="M679" t="s">
        <v>15</v>
      </c>
      <c r="N679" s="2">
        <v>1390.79</v>
      </c>
      <c r="O679" s="2">
        <v>3125</v>
      </c>
      <c r="P679" s="2">
        <v>-24.12</v>
      </c>
      <c r="Q679" s="2">
        <v>4491.67</v>
      </c>
      <c r="R679" s="2">
        <v>0</v>
      </c>
      <c r="S679" s="2">
        <v>4491.67</v>
      </c>
      <c r="T679" s="2">
        <v>4491.67</v>
      </c>
      <c r="U679" s="2">
        <v>0</v>
      </c>
      <c r="V679" s="2">
        <v>0</v>
      </c>
      <c r="W679" s="2">
        <v>0</v>
      </c>
    </row>
    <row r="680" spans="1:23" outlineLevel="2" x14ac:dyDescent="0.2">
      <c r="A680" t="s">
        <v>0</v>
      </c>
      <c r="B680" t="s">
        <v>53</v>
      </c>
      <c r="C680" t="s">
        <v>54</v>
      </c>
      <c r="D680" t="s">
        <v>55</v>
      </c>
      <c r="E680" t="s">
        <v>56</v>
      </c>
      <c r="F680" t="s">
        <v>5</v>
      </c>
      <c r="G680" t="s">
        <v>6</v>
      </c>
      <c r="H680" t="s">
        <v>35</v>
      </c>
      <c r="I680" t="s">
        <v>36</v>
      </c>
      <c r="J680" t="s">
        <v>9</v>
      </c>
      <c r="K680" t="s">
        <v>267</v>
      </c>
      <c r="L680" t="s">
        <v>273</v>
      </c>
      <c r="M680" t="s">
        <v>12</v>
      </c>
      <c r="N680" s="2">
        <v>0</v>
      </c>
      <c r="O680" s="2">
        <v>0</v>
      </c>
      <c r="P680" s="2">
        <v>5122.46</v>
      </c>
      <c r="Q680" s="2">
        <v>5122.46</v>
      </c>
      <c r="R680" s="2">
        <v>0</v>
      </c>
      <c r="S680" s="2">
        <v>0</v>
      </c>
      <c r="T680" s="2">
        <v>0</v>
      </c>
      <c r="U680" s="2">
        <v>5122.46</v>
      </c>
      <c r="V680" s="2">
        <v>5122.46</v>
      </c>
      <c r="W680" s="2">
        <v>5122.46</v>
      </c>
    </row>
    <row r="681" spans="1:23" outlineLevel="2" x14ac:dyDescent="0.2">
      <c r="A681" t="s">
        <v>0</v>
      </c>
      <c r="B681" t="s">
        <v>39</v>
      </c>
      <c r="C681" t="s">
        <v>58</v>
      </c>
      <c r="D681" t="s">
        <v>143</v>
      </c>
      <c r="E681" t="s">
        <v>144</v>
      </c>
      <c r="F681" t="s">
        <v>5</v>
      </c>
      <c r="G681" t="s">
        <v>6</v>
      </c>
      <c r="H681" t="s">
        <v>35</v>
      </c>
      <c r="I681" t="s">
        <v>36</v>
      </c>
      <c r="J681" t="s">
        <v>9</v>
      </c>
      <c r="K681" t="s">
        <v>267</v>
      </c>
      <c r="L681" t="s">
        <v>269</v>
      </c>
      <c r="M681" t="s">
        <v>15</v>
      </c>
      <c r="N681" s="2">
        <v>10035.540000000001</v>
      </c>
      <c r="O681" s="2">
        <v>0</v>
      </c>
      <c r="P681" s="2">
        <v>-4729.1000000000004</v>
      </c>
      <c r="Q681" s="2">
        <v>5306.44</v>
      </c>
      <c r="R681" s="2">
        <v>0</v>
      </c>
      <c r="S681" s="2">
        <v>5306.44</v>
      </c>
      <c r="T681" s="2">
        <v>5306.44</v>
      </c>
      <c r="U681" s="2">
        <v>0</v>
      </c>
      <c r="V681" s="2">
        <v>0</v>
      </c>
      <c r="W681" s="2">
        <v>0</v>
      </c>
    </row>
    <row r="682" spans="1:23" outlineLevel="2" x14ac:dyDescent="0.2">
      <c r="A682" t="s">
        <v>0</v>
      </c>
      <c r="B682" t="s">
        <v>31</v>
      </c>
      <c r="C682" t="s">
        <v>79</v>
      </c>
      <c r="D682" t="s">
        <v>111</v>
      </c>
      <c r="E682" t="s">
        <v>112</v>
      </c>
      <c r="F682" t="s">
        <v>5</v>
      </c>
      <c r="G682" t="s">
        <v>6</v>
      </c>
      <c r="H682" t="s">
        <v>35</v>
      </c>
      <c r="I682" t="s">
        <v>36</v>
      </c>
      <c r="J682" t="s">
        <v>9</v>
      </c>
      <c r="K682" t="s">
        <v>267</v>
      </c>
      <c r="L682" t="s">
        <v>274</v>
      </c>
      <c r="M682" t="s">
        <v>15</v>
      </c>
      <c r="N682" s="2">
        <v>3932.26</v>
      </c>
      <c r="O682" s="2">
        <v>0</v>
      </c>
      <c r="P682" s="2">
        <v>-3932.26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</row>
    <row r="683" spans="1:23" outlineLevel="2" x14ac:dyDescent="0.2">
      <c r="A683" t="s">
        <v>0</v>
      </c>
      <c r="B683" t="s">
        <v>39</v>
      </c>
      <c r="C683" t="s">
        <v>40</v>
      </c>
      <c r="D683" t="s">
        <v>41</v>
      </c>
      <c r="E683" t="s">
        <v>42</v>
      </c>
      <c r="F683" t="s">
        <v>5</v>
      </c>
      <c r="G683" t="s">
        <v>6</v>
      </c>
      <c r="H683" t="s">
        <v>35</v>
      </c>
      <c r="I683" t="s">
        <v>36</v>
      </c>
      <c r="J683" t="s">
        <v>9</v>
      </c>
      <c r="K683" t="s">
        <v>267</v>
      </c>
      <c r="L683" t="s">
        <v>270</v>
      </c>
      <c r="M683" t="s">
        <v>15</v>
      </c>
      <c r="N683" s="2">
        <v>6094.01</v>
      </c>
      <c r="O683" s="2">
        <v>0</v>
      </c>
      <c r="P683" s="2">
        <v>-3737.21</v>
      </c>
      <c r="Q683" s="2">
        <v>2356.8000000000002</v>
      </c>
      <c r="R683" s="2">
        <v>0</v>
      </c>
      <c r="S683" s="2">
        <v>2356.8000000000002</v>
      </c>
      <c r="T683" s="2">
        <v>2356.8000000000002</v>
      </c>
      <c r="U683" s="2">
        <v>0</v>
      </c>
      <c r="V683" s="2">
        <v>0</v>
      </c>
      <c r="W683" s="2">
        <v>0</v>
      </c>
    </row>
    <row r="684" spans="1:23" outlineLevel="2" x14ac:dyDescent="0.2">
      <c r="A684" t="s">
        <v>0</v>
      </c>
      <c r="B684" t="s">
        <v>39</v>
      </c>
      <c r="C684" t="s">
        <v>58</v>
      </c>
      <c r="D684" t="s">
        <v>149</v>
      </c>
      <c r="E684" t="s">
        <v>150</v>
      </c>
      <c r="F684" t="s">
        <v>5</v>
      </c>
      <c r="G684" t="s">
        <v>6</v>
      </c>
      <c r="H684" t="s">
        <v>35</v>
      </c>
      <c r="I684" t="s">
        <v>36</v>
      </c>
      <c r="J684" t="s">
        <v>9</v>
      </c>
      <c r="K684" t="s">
        <v>267</v>
      </c>
      <c r="L684" t="s">
        <v>269</v>
      </c>
      <c r="M684" t="s">
        <v>15</v>
      </c>
      <c r="N684" s="2">
        <v>5618.63</v>
      </c>
      <c r="O684" s="2">
        <v>9321.16</v>
      </c>
      <c r="P684" s="2">
        <v>0</v>
      </c>
      <c r="Q684" s="2">
        <v>14939.79</v>
      </c>
      <c r="R684" s="2">
        <v>0</v>
      </c>
      <c r="S684" s="2">
        <v>14939.79</v>
      </c>
      <c r="T684" s="2">
        <v>14939.79</v>
      </c>
      <c r="U684" s="2">
        <v>0</v>
      </c>
      <c r="V684" s="2">
        <v>0</v>
      </c>
      <c r="W684" s="2">
        <v>0</v>
      </c>
    </row>
    <row r="685" spans="1:23" outlineLevel="2" x14ac:dyDescent="0.2">
      <c r="A685" t="s">
        <v>0</v>
      </c>
      <c r="B685" t="s">
        <v>1</v>
      </c>
      <c r="C685" t="s">
        <v>2</v>
      </c>
      <c r="D685" t="s">
        <v>20</v>
      </c>
      <c r="E685" t="s">
        <v>21</v>
      </c>
      <c r="F685" t="s">
        <v>5</v>
      </c>
      <c r="G685" t="s">
        <v>6</v>
      </c>
      <c r="H685" t="s">
        <v>35</v>
      </c>
      <c r="I685" t="s">
        <v>36</v>
      </c>
      <c r="J685" t="s">
        <v>9</v>
      </c>
      <c r="K685" t="s">
        <v>267</v>
      </c>
      <c r="L685" t="s">
        <v>272</v>
      </c>
      <c r="M685" t="s">
        <v>15</v>
      </c>
      <c r="N685" s="2">
        <v>44364.78</v>
      </c>
      <c r="O685" s="2">
        <v>14872.37</v>
      </c>
      <c r="P685" s="2">
        <v>-0.43</v>
      </c>
      <c r="Q685" s="2">
        <v>59236.72</v>
      </c>
      <c r="R685" s="2">
        <v>0</v>
      </c>
      <c r="S685" s="2">
        <v>59236.72</v>
      </c>
      <c r="T685" s="2">
        <v>59236.72</v>
      </c>
      <c r="U685" s="2">
        <v>0</v>
      </c>
      <c r="V685" s="2">
        <v>0</v>
      </c>
      <c r="W685" s="2">
        <v>0</v>
      </c>
    </row>
    <row r="686" spans="1:23" outlineLevel="2" x14ac:dyDescent="0.2">
      <c r="A686" t="s">
        <v>0</v>
      </c>
      <c r="B686" t="s">
        <v>1</v>
      </c>
      <c r="C686" t="s">
        <v>99</v>
      </c>
      <c r="D686" t="s">
        <v>100</v>
      </c>
      <c r="E686" t="s">
        <v>101</v>
      </c>
      <c r="F686" t="s">
        <v>5</v>
      </c>
      <c r="G686" t="s">
        <v>6</v>
      </c>
      <c r="H686" t="s">
        <v>35</v>
      </c>
      <c r="I686" t="s">
        <v>36</v>
      </c>
      <c r="J686" t="s">
        <v>9</v>
      </c>
      <c r="K686" t="s">
        <v>267</v>
      </c>
      <c r="L686" t="s">
        <v>275</v>
      </c>
      <c r="M686" t="s">
        <v>15</v>
      </c>
      <c r="N686" s="2">
        <v>5784.98</v>
      </c>
      <c r="O686" s="2">
        <v>11044.95</v>
      </c>
      <c r="P686" s="2">
        <v>-1.66</v>
      </c>
      <c r="Q686" s="2">
        <v>16828.27</v>
      </c>
      <c r="R686" s="2">
        <v>0</v>
      </c>
      <c r="S686" s="2">
        <v>16828.27</v>
      </c>
      <c r="T686" s="2">
        <v>16828.27</v>
      </c>
      <c r="U686" s="2">
        <v>0</v>
      </c>
      <c r="V686" s="2">
        <v>0</v>
      </c>
      <c r="W686" s="2">
        <v>0</v>
      </c>
    </row>
    <row r="687" spans="1:23" outlineLevel="2" x14ac:dyDescent="0.2">
      <c r="A687" t="s">
        <v>0</v>
      </c>
      <c r="B687" t="s">
        <v>31</v>
      </c>
      <c r="C687" t="s">
        <v>79</v>
      </c>
      <c r="D687" t="s">
        <v>80</v>
      </c>
      <c r="E687" t="s">
        <v>81</v>
      </c>
      <c r="F687" t="s">
        <v>5</v>
      </c>
      <c r="G687" t="s">
        <v>6</v>
      </c>
      <c r="H687" t="s">
        <v>35</v>
      </c>
      <c r="I687" t="s">
        <v>36</v>
      </c>
      <c r="J687" t="s">
        <v>9</v>
      </c>
      <c r="K687" t="s">
        <v>267</v>
      </c>
      <c r="L687" t="s">
        <v>274</v>
      </c>
      <c r="M687" t="s">
        <v>15</v>
      </c>
      <c r="N687" s="2">
        <v>2574.8200000000002</v>
      </c>
      <c r="O687" s="2">
        <v>0</v>
      </c>
      <c r="P687" s="2">
        <v>-2574.8200000000002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</row>
    <row r="688" spans="1:23" outlineLevel="2" x14ac:dyDescent="0.2">
      <c r="A688" t="s">
        <v>0</v>
      </c>
      <c r="B688" t="s">
        <v>53</v>
      </c>
      <c r="C688" t="s">
        <v>85</v>
      </c>
      <c r="D688" t="s">
        <v>86</v>
      </c>
      <c r="E688" t="s">
        <v>87</v>
      </c>
      <c r="F688" t="s">
        <v>5</v>
      </c>
      <c r="G688" t="s">
        <v>6</v>
      </c>
      <c r="H688" t="s">
        <v>35</v>
      </c>
      <c r="I688" t="s">
        <v>36</v>
      </c>
      <c r="J688" t="s">
        <v>9</v>
      </c>
      <c r="K688" t="s">
        <v>267</v>
      </c>
      <c r="L688" t="s">
        <v>276</v>
      </c>
      <c r="M688" t="s">
        <v>15</v>
      </c>
      <c r="N688" s="2">
        <v>8804.9500000000007</v>
      </c>
      <c r="O688" s="2">
        <v>-5204.95</v>
      </c>
      <c r="P688" s="2">
        <v>0</v>
      </c>
      <c r="Q688" s="2">
        <v>3600</v>
      </c>
      <c r="R688" s="2">
        <v>0</v>
      </c>
      <c r="S688" s="2">
        <v>3600</v>
      </c>
      <c r="T688" s="2">
        <v>3600</v>
      </c>
      <c r="U688" s="2">
        <v>0</v>
      </c>
      <c r="V688" s="2">
        <v>0</v>
      </c>
      <c r="W688" s="2">
        <v>0</v>
      </c>
    </row>
    <row r="689" spans="1:23" outlineLevel="2" x14ac:dyDescent="0.2">
      <c r="A689" t="s">
        <v>0</v>
      </c>
      <c r="B689" t="s">
        <v>1</v>
      </c>
      <c r="C689" t="s">
        <v>44</v>
      </c>
      <c r="D689" t="s">
        <v>45</v>
      </c>
      <c r="E689" t="s">
        <v>46</v>
      </c>
      <c r="F689" t="s">
        <v>5</v>
      </c>
      <c r="G689" t="s">
        <v>6</v>
      </c>
      <c r="H689" t="s">
        <v>35</v>
      </c>
      <c r="I689" t="s">
        <v>36</v>
      </c>
      <c r="J689" t="s">
        <v>9</v>
      </c>
      <c r="K689" t="s">
        <v>267</v>
      </c>
      <c r="L689" t="s">
        <v>277</v>
      </c>
      <c r="M689" t="s">
        <v>15</v>
      </c>
      <c r="N689" s="2">
        <v>2154.48</v>
      </c>
      <c r="O689" s="2">
        <v>11007.57</v>
      </c>
      <c r="P689" s="2">
        <v>0</v>
      </c>
      <c r="Q689" s="2">
        <v>13162.05</v>
      </c>
      <c r="R689" s="2">
        <v>0</v>
      </c>
      <c r="S689" s="2">
        <v>13162.05</v>
      </c>
      <c r="T689" s="2">
        <v>13162.05</v>
      </c>
      <c r="U689" s="2">
        <v>0</v>
      </c>
      <c r="V689" s="2">
        <v>0</v>
      </c>
      <c r="W689" s="2">
        <v>0</v>
      </c>
    </row>
    <row r="690" spans="1:23" outlineLevel="2" x14ac:dyDescent="0.2">
      <c r="A690" t="s">
        <v>0</v>
      </c>
      <c r="B690" t="s">
        <v>39</v>
      </c>
      <c r="C690" t="s">
        <v>66</v>
      </c>
      <c r="D690" t="s">
        <v>121</v>
      </c>
      <c r="E690" t="s">
        <v>122</v>
      </c>
      <c r="F690" t="s">
        <v>5</v>
      </c>
      <c r="G690" t="s">
        <v>6</v>
      </c>
      <c r="H690" t="s">
        <v>35</v>
      </c>
      <c r="I690" t="s">
        <v>36</v>
      </c>
      <c r="J690" t="s">
        <v>9</v>
      </c>
      <c r="K690" t="s">
        <v>267</v>
      </c>
      <c r="L690" t="s">
        <v>268</v>
      </c>
      <c r="M690" t="s">
        <v>15</v>
      </c>
      <c r="N690" s="2">
        <v>8806.02</v>
      </c>
      <c r="O690" s="2">
        <v>0</v>
      </c>
      <c r="P690" s="2">
        <v>-1705.59</v>
      </c>
      <c r="Q690" s="2">
        <v>7100.43</v>
      </c>
      <c r="R690" s="2">
        <v>0</v>
      </c>
      <c r="S690" s="2">
        <v>7100.43</v>
      </c>
      <c r="T690" s="2">
        <v>7100.43</v>
      </c>
      <c r="U690" s="2">
        <v>0</v>
      </c>
      <c r="V690" s="2">
        <v>0</v>
      </c>
      <c r="W690" s="2">
        <v>0</v>
      </c>
    </row>
    <row r="691" spans="1:23" outlineLevel="2" x14ac:dyDescent="0.2">
      <c r="A691" t="s">
        <v>0</v>
      </c>
      <c r="B691" t="s">
        <v>31</v>
      </c>
      <c r="C691" t="s">
        <v>32</v>
      </c>
      <c r="D691" t="s">
        <v>33</v>
      </c>
      <c r="E691" t="s">
        <v>34</v>
      </c>
      <c r="F691" t="s">
        <v>5</v>
      </c>
      <c r="G691" t="s">
        <v>6</v>
      </c>
      <c r="H691" t="s">
        <v>35</v>
      </c>
      <c r="I691" t="s">
        <v>36</v>
      </c>
      <c r="J691" t="s">
        <v>9</v>
      </c>
      <c r="K691" t="s">
        <v>267</v>
      </c>
      <c r="L691" t="s">
        <v>278</v>
      </c>
      <c r="M691" t="s">
        <v>12</v>
      </c>
      <c r="N691" s="2">
        <v>0</v>
      </c>
      <c r="O691" s="2">
        <v>0</v>
      </c>
      <c r="P691" s="2">
        <v>3733.21</v>
      </c>
      <c r="Q691" s="2">
        <v>3733.21</v>
      </c>
      <c r="R691" s="2">
        <v>0</v>
      </c>
      <c r="S691" s="2">
        <v>0</v>
      </c>
      <c r="T691" s="2">
        <v>0</v>
      </c>
      <c r="U691" s="2">
        <v>3733.21</v>
      </c>
      <c r="V691" s="2">
        <v>3733.21</v>
      </c>
      <c r="W691" s="2">
        <v>3733.21</v>
      </c>
    </row>
    <row r="692" spans="1:23" outlineLevel="2" x14ac:dyDescent="0.2">
      <c r="A692" t="s">
        <v>0</v>
      </c>
      <c r="B692" t="s">
        <v>39</v>
      </c>
      <c r="C692" t="s">
        <v>58</v>
      </c>
      <c r="D692" t="s">
        <v>139</v>
      </c>
      <c r="E692" t="s">
        <v>140</v>
      </c>
      <c r="F692" t="s">
        <v>5</v>
      </c>
      <c r="G692" t="s">
        <v>6</v>
      </c>
      <c r="H692" t="s">
        <v>35</v>
      </c>
      <c r="I692" t="s">
        <v>36</v>
      </c>
      <c r="J692" t="s">
        <v>9</v>
      </c>
      <c r="K692" t="s">
        <v>267</v>
      </c>
      <c r="L692" t="s">
        <v>269</v>
      </c>
      <c r="M692" t="s">
        <v>15</v>
      </c>
      <c r="N692" s="2">
        <v>15161.78</v>
      </c>
      <c r="O692" s="2">
        <v>0</v>
      </c>
      <c r="P692" s="2">
        <v>-11811.78</v>
      </c>
      <c r="Q692" s="2">
        <v>3350</v>
      </c>
      <c r="R692" s="2">
        <v>0</v>
      </c>
      <c r="S692" s="2">
        <v>3350</v>
      </c>
      <c r="T692" s="2">
        <v>3350</v>
      </c>
      <c r="U692" s="2">
        <v>0</v>
      </c>
      <c r="V692" s="2">
        <v>0</v>
      </c>
      <c r="W692" s="2">
        <v>0</v>
      </c>
    </row>
    <row r="693" spans="1:23" outlineLevel="2" x14ac:dyDescent="0.2">
      <c r="A693" t="s">
        <v>0</v>
      </c>
      <c r="B693" t="s">
        <v>1</v>
      </c>
      <c r="C693" t="s">
        <v>91</v>
      </c>
      <c r="D693" t="s">
        <v>92</v>
      </c>
      <c r="E693" t="s">
        <v>93</v>
      </c>
      <c r="F693" t="s">
        <v>5</v>
      </c>
      <c r="G693" t="s">
        <v>6</v>
      </c>
      <c r="H693" t="s">
        <v>35</v>
      </c>
      <c r="I693" t="s">
        <v>36</v>
      </c>
      <c r="J693" t="s">
        <v>9</v>
      </c>
      <c r="K693" t="s">
        <v>267</v>
      </c>
      <c r="L693" t="s">
        <v>279</v>
      </c>
      <c r="M693" t="s">
        <v>15</v>
      </c>
      <c r="N693" s="2">
        <v>10426.629999999999</v>
      </c>
      <c r="O693" s="2">
        <v>33627.35</v>
      </c>
      <c r="P693" s="2">
        <v>-23220.92</v>
      </c>
      <c r="Q693" s="2">
        <v>20833.060000000001</v>
      </c>
      <c r="R693" s="2">
        <v>0</v>
      </c>
      <c r="S693" s="2">
        <v>20833.060000000001</v>
      </c>
      <c r="T693" s="2">
        <v>20833.060000000001</v>
      </c>
      <c r="U693" s="2">
        <v>0</v>
      </c>
      <c r="V693" s="2">
        <v>0</v>
      </c>
      <c r="W693" s="2">
        <v>0</v>
      </c>
    </row>
    <row r="694" spans="1:23" outlineLevel="2" x14ac:dyDescent="0.2">
      <c r="A694" t="s">
        <v>0</v>
      </c>
      <c r="B694" t="s">
        <v>39</v>
      </c>
      <c r="C694" t="s">
        <v>40</v>
      </c>
      <c r="D694" t="s">
        <v>41</v>
      </c>
      <c r="E694" t="s">
        <v>42</v>
      </c>
      <c r="F694" t="s">
        <v>5</v>
      </c>
      <c r="G694" t="s">
        <v>6</v>
      </c>
      <c r="H694" t="s">
        <v>35</v>
      </c>
      <c r="I694" t="s">
        <v>36</v>
      </c>
      <c r="J694" t="s">
        <v>9</v>
      </c>
      <c r="K694" t="s">
        <v>267</v>
      </c>
      <c r="L694" t="s">
        <v>270</v>
      </c>
      <c r="M694" t="s">
        <v>12</v>
      </c>
      <c r="N694" s="2">
        <v>0</v>
      </c>
      <c r="O694" s="2">
        <v>0</v>
      </c>
      <c r="P694" s="2">
        <v>1440.2</v>
      </c>
      <c r="Q694" s="2">
        <v>1440.2</v>
      </c>
      <c r="R694" s="2">
        <v>0</v>
      </c>
      <c r="S694" s="2">
        <v>0</v>
      </c>
      <c r="T694" s="2">
        <v>0</v>
      </c>
      <c r="U694" s="2">
        <v>1440.2</v>
      </c>
      <c r="V694" s="2">
        <v>1440.2</v>
      </c>
      <c r="W694" s="2">
        <v>1440.2</v>
      </c>
    </row>
    <row r="695" spans="1:23" outlineLevel="2" x14ac:dyDescent="0.2">
      <c r="A695" t="s">
        <v>0</v>
      </c>
      <c r="B695" t="s">
        <v>31</v>
      </c>
      <c r="C695" t="s">
        <v>49</v>
      </c>
      <c r="D695" t="s">
        <v>50</v>
      </c>
      <c r="E695" t="s">
        <v>51</v>
      </c>
      <c r="F695" t="s">
        <v>5</v>
      </c>
      <c r="G695" t="s">
        <v>6</v>
      </c>
      <c r="H695" t="s">
        <v>35</v>
      </c>
      <c r="I695" t="s">
        <v>36</v>
      </c>
      <c r="J695" t="s">
        <v>9</v>
      </c>
      <c r="K695" t="s">
        <v>267</v>
      </c>
      <c r="L695" t="s">
        <v>280</v>
      </c>
      <c r="M695" t="s">
        <v>12</v>
      </c>
      <c r="N695" s="2">
        <v>0</v>
      </c>
      <c r="O695" s="2">
        <v>0</v>
      </c>
      <c r="P695" s="2">
        <v>2808.93</v>
      </c>
      <c r="Q695" s="2">
        <v>2808.93</v>
      </c>
      <c r="R695" s="2">
        <v>0</v>
      </c>
      <c r="S695" s="2">
        <v>0</v>
      </c>
      <c r="T695" s="2">
        <v>0</v>
      </c>
      <c r="U695" s="2">
        <v>2808.93</v>
      </c>
      <c r="V695" s="2">
        <v>2808.93</v>
      </c>
      <c r="W695" s="2">
        <v>2808.93</v>
      </c>
    </row>
    <row r="696" spans="1:23" outlineLevel="2" x14ac:dyDescent="0.2">
      <c r="A696" t="s">
        <v>0</v>
      </c>
      <c r="B696" t="s">
        <v>31</v>
      </c>
      <c r="C696" t="s">
        <v>79</v>
      </c>
      <c r="D696" t="s">
        <v>83</v>
      </c>
      <c r="E696" t="s">
        <v>84</v>
      </c>
      <c r="F696" t="s">
        <v>5</v>
      </c>
      <c r="G696" t="s">
        <v>6</v>
      </c>
      <c r="H696" t="s">
        <v>35</v>
      </c>
      <c r="I696" t="s">
        <v>36</v>
      </c>
      <c r="J696" t="s">
        <v>9</v>
      </c>
      <c r="K696" t="s">
        <v>267</v>
      </c>
      <c r="L696" t="s">
        <v>274</v>
      </c>
      <c r="M696" t="s">
        <v>12</v>
      </c>
      <c r="N696" s="2">
        <v>0</v>
      </c>
      <c r="O696" s="2">
        <v>0</v>
      </c>
      <c r="P696" s="2">
        <v>28171.63</v>
      </c>
      <c r="Q696" s="2">
        <v>28171.63</v>
      </c>
      <c r="R696" s="2">
        <v>0</v>
      </c>
      <c r="S696" s="2">
        <v>0</v>
      </c>
      <c r="T696" s="2">
        <v>0</v>
      </c>
      <c r="U696" s="2">
        <v>28171.63</v>
      </c>
      <c r="V696" s="2">
        <v>28171.63</v>
      </c>
      <c r="W696" s="2">
        <v>28171.63</v>
      </c>
    </row>
    <row r="697" spans="1:23" outlineLevel="2" x14ac:dyDescent="0.2">
      <c r="A697" t="s">
        <v>0</v>
      </c>
      <c r="B697" t="s">
        <v>31</v>
      </c>
      <c r="C697" t="s">
        <v>107</v>
      </c>
      <c r="D697" t="s">
        <v>108</v>
      </c>
      <c r="E697" t="s">
        <v>109</v>
      </c>
      <c r="F697" t="s">
        <v>5</v>
      </c>
      <c r="G697" t="s">
        <v>6</v>
      </c>
      <c r="H697" t="s">
        <v>35</v>
      </c>
      <c r="I697" t="s">
        <v>36</v>
      </c>
      <c r="J697" t="s">
        <v>9</v>
      </c>
      <c r="K697" t="s">
        <v>267</v>
      </c>
      <c r="L697" t="s">
        <v>281</v>
      </c>
      <c r="M697" t="s">
        <v>12</v>
      </c>
      <c r="N697" s="2">
        <v>0</v>
      </c>
      <c r="O697" s="2">
        <v>-5649.65</v>
      </c>
      <c r="P697" s="2">
        <v>5649.65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</row>
    <row r="698" spans="1:23" outlineLevel="2" x14ac:dyDescent="0.2">
      <c r="A698" t="s">
        <v>0</v>
      </c>
      <c r="B698" t="s">
        <v>39</v>
      </c>
      <c r="C698" t="s">
        <v>58</v>
      </c>
      <c r="D698" t="s">
        <v>105</v>
      </c>
      <c r="E698" t="s">
        <v>106</v>
      </c>
      <c r="F698" t="s">
        <v>5</v>
      </c>
      <c r="G698" t="s">
        <v>6</v>
      </c>
      <c r="H698" t="s">
        <v>35</v>
      </c>
      <c r="I698" t="s">
        <v>36</v>
      </c>
      <c r="J698" t="s">
        <v>9</v>
      </c>
      <c r="K698" t="s">
        <v>267</v>
      </c>
      <c r="L698" t="s">
        <v>269</v>
      </c>
      <c r="M698" t="s">
        <v>12</v>
      </c>
      <c r="N698" s="2">
        <v>0</v>
      </c>
      <c r="O698" s="2">
        <v>0</v>
      </c>
      <c r="P698" s="2">
        <v>13007.85</v>
      </c>
      <c r="Q698" s="2">
        <v>13007.85</v>
      </c>
      <c r="R698" s="2">
        <v>0</v>
      </c>
      <c r="S698" s="2">
        <v>0</v>
      </c>
      <c r="T698" s="2">
        <v>0</v>
      </c>
      <c r="U698" s="2">
        <v>13007.85</v>
      </c>
      <c r="V698" s="2">
        <v>13007.85</v>
      </c>
      <c r="W698" s="2">
        <v>13007.85</v>
      </c>
    </row>
    <row r="699" spans="1:23" outlineLevel="2" x14ac:dyDescent="0.2">
      <c r="A699" t="s">
        <v>0</v>
      </c>
      <c r="B699" t="s">
        <v>1</v>
      </c>
      <c r="C699" t="s">
        <v>99</v>
      </c>
      <c r="D699" t="s">
        <v>100</v>
      </c>
      <c r="E699" t="s">
        <v>101</v>
      </c>
      <c r="F699" t="s">
        <v>5</v>
      </c>
      <c r="G699" t="s">
        <v>6</v>
      </c>
      <c r="H699" t="s">
        <v>35</v>
      </c>
      <c r="I699" t="s">
        <v>36</v>
      </c>
      <c r="J699" t="s">
        <v>9</v>
      </c>
      <c r="K699" t="s">
        <v>267</v>
      </c>
      <c r="L699" t="s">
        <v>275</v>
      </c>
      <c r="M699" t="s">
        <v>12</v>
      </c>
      <c r="N699" s="2">
        <v>0</v>
      </c>
      <c r="O699" s="2">
        <v>0</v>
      </c>
      <c r="P699" s="2">
        <v>5279.63</v>
      </c>
      <c r="Q699" s="2">
        <v>5279.63</v>
      </c>
      <c r="R699" s="2">
        <v>0</v>
      </c>
      <c r="S699" s="2">
        <v>0</v>
      </c>
      <c r="T699" s="2">
        <v>0</v>
      </c>
      <c r="U699" s="2">
        <v>5279.63</v>
      </c>
      <c r="V699" s="2">
        <v>5279.63</v>
      </c>
      <c r="W699" s="2">
        <v>5279.63</v>
      </c>
    </row>
    <row r="700" spans="1:23" outlineLevel="2" x14ac:dyDescent="0.2">
      <c r="A700" t="s">
        <v>0</v>
      </c>
      <c r="B700" t="s">
        <v>39</v>
      </c>
      <c r="C700" t="s">
        <v>95</v>
      </c>
      <c r="D700" t="s">
        <v>96</v>
      </c>
      <c r="E700" t="s">
        <v>97</v>
      </c>
      <c r="F700" t="s">
        <v>5</v>
      </c>
      <c r="G700" t="s">
        <v>6</v>
      </c>
      <c r="H700" t="s">
        <v>35</v>
      </c>
      <c r="I700" t="s">
        <v>36</v>
      </c>
      <c r="J700" t="s">
        <v>9</v>
      </c>
      <c r="K700" t="s">
        <v>267</v>
      </c>
      <c r="L700" t="s">
        <v>282</v>
      </c>
      <c r="M700" t="s">
        <v>12</v>
      </c>
      <c r="N700" s="2">
        <v>0</v>
      </c>
      <c r="O700" s="2">
        <v>0</v>
      </c>
      <c r="P700" s="2">
        <v>4875.8900000000003</v>
      </c>
      <c r="Q700" s="2">
        <v>4875.8900000000003</v>
      </c>
      <c r="R700" s="2">
        <v>0</v>
      </c>
      <c r="S700" s="2">
        <v>0</v>
      </c>
      <c r="T700" s="2">
        <v>0</v>
      </c>
      <c r="U700" s="2">
        <v>4875.8900000000003</v>
      </c>
      <c r="V700" s="2">
        <v>4875.8900000000003</v>
      </c>
      <c r="W700" s="2">
        <v>4875.8900000000003</v>
      </c>
    </row>
    <row r="701" spans="1:23" outlineLevel="2" x14ac:dyDescent="0.2">
      <c r="A701" t="s">
        <v>0</v>
      </c>
      <c r="B701" t="s">
        <v>39</v>
      </c>
      <c r="C701" t="s">
        <v>70</v>
      </c>
      <c r="D701" t="s">
        <v>89</v>
      </c>
      <c r="E701" t="s">
        <v>90</v>
      </c>
      <c r="F701" t="s">
        <v>5</v>
      </c>
      <c r="G701" t="s">
        <v>6</v>
      </c>
      <c r="H701" t="s">
        <v>35</v>
      </c>
      <c r="I701" t="s">
        <v>36</v>
      </c>
      <c r="J701" t="s">
        <v>9</v>
      </c>
      <c r="K701" t="s">
        <v>267</v>
      </c>
      <c r="L701" t="s">
        <v>283</v>
      </c>
      <c r="M701" t="s">
        <v>15</v>
      </c>
      <c r="N701" s="2">
        <v>34227.129999999997</v>
      </c>
      <c r="O701" s="2">
        <v>0</v>
      </c>
      <c r="P701" s="2">
        <v>-27288.92</v>
      </c>
      <c r="Q701" s="2">
        <v>6938.21</v>
      </c>
      <c r="R701" s="2">
        <v>0</v>
      </c>
      <c r="S701" s="2">
        <v>6938.21</v>
      </c>
      <c r="T701" s="2">
        <v>6938.21</v>
      </c>
      <c r="U701" s="2">
        <v>0</v>
      </c>
      <c r="V701" s="2">
        <v>0</v>
      </c>
      <c r="W701" s="2">
        <v>0</v>
      </c>
    </row>
    <row r="702" spans="1:23" outlineLevel="2" x14ac:dyDescent="0.2">
      <c r="A702" t="s">
        <v>0</v>
      </c>
      <c r="B702" t="s">
        <v>31</v>
      </c>
      <c r="C702" t="s">
        <v>79</v>
      </c>
      <c r="D702" t="s">
        <v>115</v>
      </c>
      <c r="E702" t="s">
        <v>116</v>
      </c>
      <c r="F702" t="s">
        <v>5</v>
      </c>
      <c r="G702" t="s">
        <v>6</v>
      </c>
      <c r="H702" t="s">
        <v>35</v>
      </c>
      <c r="I702" t="s">
        <v>36</v>
      </c>
      <c r="J702" t="s">
        <v>9</v>
      </c>
      <c r="K702" t="s">
        <v>267</v>
      </c>
      <c r="L702" t="s">
        <v>274</v>
      </c>
      <c r="M702" t="s">
        <v>15</v>
      </c>
      <c r="N702" s="2">
        <v>1556.93</v>
      </c>
      <c r="O702" s="2">
        <v>2535</v>
      </c>
      <c r="P702" s="2">
        <v>-1559.23</v>
      </c>
      <c r="Q702" s="2">
        <v>2532.6999999999998</v>
      </c>
      <c r="R702" s="2">
        <v>0</v>
      </c>
      <c r="S702" s="2">
        <v>2532.6999999999998</v>
      </c>
      <c r="T702" s="2">
        <v>2532.6999999999998</v>
      </c>
      <c r="U702" s="2">
        <v>0</v>
      </c>
      <c r="V702" s="2">
        <v>0</v>
      </c>
      <c r="W702" s="2">
        <v>0</v>
      </c>
    </row>
    <row r="703" spans="1:23" outlineLevel="2" x14ac:dyDescent="0.2">
      <c r="A703" t="s">
        <v>0</v>
      </c>
      <c r="B703" t="s">
        <v>1</v>
      </c>
      <c r="C703" t="s">
        <v>16</v>
      </c>
      <c r="D703" t="s">
        <v>17</v>
      </c>
      <c r="E703" t="s">
        <v>18</v>
      </c>
      <c r="F703" t="s">
        <v>5</v>
      </c>
      <c r="G703" t="s">
        <v>6</v>
      </c>
      <c r="H703" t="s">
        <v>35</v>
      </c>
      <c r="I703" t="s">
        <v>36</v>
      </c>
      <c r="J703" t="s">
        <v>9</v>
      </c>
      <c r="K703" t="s">
        <v>267</v>
      </c>
      <c r="L703" t="s">
        <v>271</v>
      </c>
      <c r="M703" t="s">
        <v>12</v>
      </c>
      <c r="N703" s="2">
        <v>0</v>
      </c>
      <c r="O703" s="2">
        <v>0</v>
      </c>
      <c r="P703" s="2">
        <v>14224.69</v>
      </c>
      <c r="Q703" s="2">
        <v>14224.69</v>
      </c>
      <c r="R703" s="2">
        <v>0</v>
      </c>
      <c r="S703" s="2">
        <v>0</v>
      </c>
      <c r="T703" s="2">
        <v>0</v>
      </c>
      <c r="U703" s="2">
        <v>14224.69</v>
      </c>
      <c r="V703" s="2">
        <v>14224.69</v>
      </c>
      <c r="W703" s="2">
        <v>14224.69</v>
      </c>
    </row>
    <row r="704" spans="1:23" outlineLevel="2" x14ac:dyDescent="0.2">
      <c r="A704" t="s">
        <v>0</v>
      </c>
      <c r="B704" t="s">
        <v>1</v>
      </c>
      <c r="C704" t="s">
        <v>16</v>
      </c>
      <c r="D704" t="s">
        <v>64</v>
      </c>
      <c r="E704" t="s">
        <v>65</v>
      </c>
      <c r="F704" t="s">
        <v>5</v>
      </c>
      <c r="G704" t="s">
        <v>6</v>
      </c>
      <c r="H704" t="s">
        <v>35</v>
      </c>
      <c r="I704" t="s">
        <v>36</v>
      </c>
      <c r="J704" t="s">
        <v>9</v>
      </c>
      <c r="K704" t="s">
        <v>267</v>
      </c>
      <c r="L704" t="s">
        <v>271</v>
      </c>
      <c r="M704" t="s">
        <v>12</v>
      </c>
      <c r="N704" s="2">
        <v>0</v>
      </c>
      <c r="O704" s="2">
        <v>0</v>
      </c>
      <c r="P704" s="2">
        <v>1088.69</v>
      </c>
      <c r="Q704" s="2">
        <v>1088.69</v>
      </c>
      <c r="R704" s="2">
        <v>0</v>
      </c>
      <c r="S704" s="2">
        <v>0</v>
      </c>
      <c r="T704" s="2">
        <v>0</v>
      </c>
      <c r="U704" s="2">
        <v>1088.69</v>
      </c>
      <c r="V704" s="2">
        <v>1088.69</v>
      </c>
      <c r="W704" s="2">
        <v>1088.69</v>
      </c>
    </row>
    <row r="705" spans="1:23" outlineLevel="2" x14ac:dyDescent="0.2">
      <c r="A705" t="s">
        <v>0</v>
      </c>
      <c r="B705" t="s">
        <v>31</v>
      </c>
      <c r="C705" t="s">
        <v>79</v>
      </c>
      <c r="D705" t="s">
        <v>113</v>
      </c>
      <c r="E705" t="s">
        <v>114</v>
      </c>
      <c r="F705" t="s">
        <v>5</v>
      </c>
      <c r="G705" t="s">
        <v>6</v>
      </c>
      <c r="H705" t="s">
        <v>35</v>
      </c>
      <c r="I705" t="s">
        <v>36</v>
      </c>
      <c r="J705" t="s">
        <v>9</v>
      </c>
      <c r="K705" t="s">
        <v>267</v>
      </c>
      <c r="L705" t="s">
        <v>274</v>
      </c>
      <c r="M705" t="s">
        <v>15</v>
      </c>
      <c r="N705" s="2">
        <v>3824.9</v>
      </c>
      <c r="O705" s="2">
        <v>0</v>
      </c>
      <c r="P705" s="2">
        <v>-2136.4299999999998</v>
      </c>
      <c r="Q705" s="2">
        <v>1688.47</v>
      </c>
      <c r="R705" s="2">
        <v>0</v>
      </c>
      <c r="S705" s="2">
        <v>1688.47</v>
      </c>
      <c r="T705" s="2">
        <v>1688.47</v>
      </c>
      <c r="U705" s="2">
        <v>0</v>
      </c>
      <c r="V705" s="2">
        <v>0</v>
      </c>
      <c r="W705" s="2">
        <v>0</v>
      </c>
    </row>
    <row r="706" spans="1:23" outlineLevel="2" x14ac:dyDescent="0.2">
      <c r="A706" t="s">
        <v>0</v>
      </c>
      <c r="B706" t="s">
        <v>1</v>
      </c>
      <c r="C706" t="s">
        <v>16</v>
      </c>
      <c r="D706" t="s">
        <v>62</v>
      </c>
      <c r="E706" t="s">
        <v>63</v>
      </c>
      <c r="F706" t="s">
        <v>5</v>
      </c>
      <c r="G706" t="s">
        <v>6</v>
      </c>
      <c r="H706" t="s">
        <v>35</v>
      </c>
      <c r="I706" t="s">
        <v>36</v>
      </c>
      <c r="J706" t="s">
        <v>9</v>
      </c>
      <c r="K706" t="s">
        <v>267</v>
      </c>
      <c r="L706" t="s">
        <v>271</v>
      </c>
      <c r="M706" t="s">
        <v>12</v>
      </c>
      <c r="N706" s="2">
        <v>0</v>
      </c>
      <c r="O706" s="2">
        <v>0</v>
      </c>
      <c r="P706" s="2">
        <v>674.77</v>
      </c>
      <c r="Q706" s="2">
        <v>674.77</v>
      </c>
      <c r="R706" s="2">
        <v>0</v>
      </c>
      <c r="S706" s="2">
        <v>0</v>
      </c>
      <c r="T706" s="2">
        <v>0</v>
      </c>
      <c r="U706" s="2">
        <v>674.77</v>
      </c>
      <c r="V706" s="2">
        <v>674.77</v>
      </c>
      <c r="W706" s="2">
        <v>674.77</v>
      </c>
    </row>
    <row r="707" spans="1:23" outlineLevel="2" x14ac:dyDescent="0.2">
      <c r="A707" t="s">
        <v>0</v>
      </c>
      <c r="B707" t="s">
        <v>31</v>
      </c>
      <c r="C707" t="s">
        <v>79</v>
      </c>
      <c r="D707" t="s">
        <v>127</v>
      </c>
      <c r="E707" t="s">
        <v>128</v>
      </c>
      <c r="F707" t="s">
        <v>5</v>
      </c>
      <c r="G707" t="s">
        <v>6</v>
      </c>
      <c r="H707" t="s">
        <v>35</v>
      </c>
      <c r="I707" t="s">
        <v>36</v>
      </c>
      <c r="J707" t="s">
        <v>9</v>
      </c>
      <c r="K707" t="s">
        <v>267</v>
      </c>
      <c r="L707" t="s">
        <v>274</v>
      </c>
      <c r="M707" t="s">
        <v>15</v>
      </c>
      <c r="N707" s="2">
        <v>2796.77</v>
      </c>
      <c r="O707" s="2">
        <v>0</v>
      </c>
      <c r="P707" s="2">
        <v>-2197.64</v>
      </c>
      <c r="Q707" s="2">
        <v>599.13</v>
      </c>
      <c r="R707" s="2">
        <v>0</v>
      </c>
      <c r="S707" s="2">
        <v>599.13</v>
      </c>
      <c r="T707" s="2">
        <v>599.13</v>
      </c>
      <c r="U707" s="2">
        <v>0</v>
      </c>
      <c r="V707" s="2">
        <v>0</v>
      </c>
      <c r="W707" s="2">
        <v>0</v>
      </c>
    </row>
    <row r="708" spans="1:23" outlineLevel="2" x14ac:dyDescent="0.2">
      <c r="A708" t="s">
        <v>0</v>
      </c>
      <c r="B708" t="s">
        <v>1</v>
      </c>
      <c r="C708" t="s">
        <v>16</v>
      </c>
      <c r="D708" t="s">
        <v>103</v>
      </c>
      <c r="E708" t="s">
        <v>104</v>
      </c>
      <c r="F708" t="s">
        <v>5</v>
      </c>
      <c r="G708" t="s">
        <v>6</v>
      </c>
      <c r="H708" t="s">
        <v>35</v>
      </c>
      <c r="I708" t="s">
        <v>36</v>
      </c>
      <c r="J708" t="s">
        <v>9</v>
      </c>
      <c r="K708" t="s">
        <v>267</v>
      </c>
      <c r="L708" t="s">
        <v>271</v>
      </c>
      <c r="M708" t="s">
        <v>12</v>
      </c>
      <c r="N708" s="2">
        <v>0</v>
      </c>
      <c r="O708" s="2">
        <v>0</v>
      </c>
      <c r="P708" s="2">
        <v>8411.56</v>
      </c>
      <c r="Q708" s="2">
        <v>8411.56</v>
      </c>
      <c r="R708" s="2">
        <v>0</v>
      </c>
      <c r="S708" s="2">
        <v>0</v>
      </c>
      <c r="T708" s="2">
        <v>0</v>
      </c>
      <c r="U708" s="2">
        <v>8411.56</v>
      </c>
      <c r="V708" s="2">
        <v>8411.56</v>
      </c>
      <c r="W708" s="2">
        <v>8411.56</v>
      </c>
    </row>
    <row r="709" spans="1:23" outlineLevel="2" x14ac:dyDescent="0.2">
      <c r="A709" t="s">
        <v>0</v>
      </c>
      <c r="B709" t="s">
        <v>31</v>
      </c>
      <c r="C709" t="s">
        <v>79</v>
      </c>
      <c r="D709" t="s">
        <v>117</v>
      </c>
      <c r="E709" t="s">
        <v>118</v>
      </c>
      <c r="F709" t="s">
        <v>5</v>
      </c>
      <c r="G709" t="s">
        <v>6</v>
      </c>
      <c r="H709" t="s">
        <v>35</v>
      </c>
      <c r="I709" t="s">
        <v>36</v>
      </c>
      <c r="J709" t="s">
        <v>9</v>
      </c>
      <c r="K709" t="s">
        <v>267</v>
      </c>
      <c r="L709" t="s">
        <v>274</v>
      </c>
      <c r="M709" t="s">
        <v>15</v>
      </c>
      <c r="N709" s="2">
        <v>6639.29</v>
      </c>
      <c r="O709" s="2">
        <v>0</v>
      </c>
      <c r="P709" s="2">
        <v>-4896.3599999999997</v>
      </c>
      <c r="Q709" s="2">
        <v>1742.93</v>
      </c>
      <c r="R709" s="2">
        <v>0</v>
      </c>
      <c r="S709" s="2">
        <v>1742.93</v>
      </c>
      <c r="T709" s="2">
        <v>1742.93</v>
      </c>
      <c r="U709" s="2">
        <v>0</v>
      </c>
      <c r="V709" s="2">
        <v>0</v>
      </c>
      <c r="W709" s="2">
        <v>0</v>
      </c>
    </row>
    <row r="710" spans="1:23" outlineLevel="2" x14ac:dyDescent="0.2">
      <c r="A710" t="s">
        <v>0</v>
      </c>
      <c r="B710" t="s">
        <v>1</v>
      </c>
      <c r="C710" t="s">
        <v>2</v>
      </c>
      <c r="D710" t="s">
        <v>20</v>
      </c>
      <c r="E710" t="s">
        <v>21</v>
      </c>
      <c r="F710" t="s">
        <v>5</v>
      </c>
      <c r="G710" t="s">
        <v>6</v>
      </c>
      <c r="H710" t="s">
        <v>35</v>
      </c>
      <c r="I710" t="s">
        <v>36</v>
      </c>
      <c r="J710" t="s">
        <v>9</v>
      </c>
      <c r="K710" t="s">
        <v>267</v>
      </c>
      <c r="L710" t="s">
        <v>272</v>
      </c>
      <c r="M710" t="s">
        <v>12</v>
      </c>
      <c r="N710" s="2">
        <v>0</v>
      </c>
      <c r="O710" s="2">
        <v>0</v>
      </c>
      <c r="P710" s="2">
        <v>32921.040000000001</v>
      </c>
      <c r="Q710" s="2">
        <v>32921.040000000001</v>
      </c>
      <c r="R710" s="2">
        <v>0</v>
      </c>
      <c r="S710" s="2">
        <v>0</v>
      </c>
      <c r="T710" s="2">
        <v>0</v>
      </c>
      <c r="U710" s="2">
        <v>32921.040000000001</v>
      </c>
      <c r="V710" s="2">
        <v>32921.040000000001</v>
      </c>
      <c r="W710" s="2">
        <v>32921.040000000001</v>
      </c>
    </row>
    <row r="711" spans="1:23" outlineLevel="2" x14ac:dyDescent="0.2">
      <c r="A711" t="s">
        <v>0</v>
      </c>
      <c r="B711" t="s">
        <v>31</v>
      </c>
      <c r="C711" t="s">
        <v>32</v>
      </c>
      <c r="D711" t="s">
        <v>75</v>
      </c>
      <c r="E711" t="s">
        <v>76</v>
      </c>
      <c r="F711" t="s">
        <v>5</v>
      </c>
      <c r="G711" t="s">
        <v>6</v>
      </c>
      <c r="H711" t="s">
        <v>35</v>
      </c>
      <c r="I711" t="s">
        <v>36</v>
      </c>
      <c r="J711" t="s">
        <v>9</v>
      </c>
      <c r="K711" t="s">
        <v>267</v>
      </c>
      <c r="L711" t="s">
        <v>278</v>
      </c>
      <c r="M711" t="s">
        <v>12</v>
      </c>
      <c r="N711" s="2">
        <v>0</v>
      </c>
      <c r="O711" s="2">
        <v>0</v>
      </c>
      <c r="P711" s="2">
        <v>1470.67</v>
      </c>
      <c r="Q711" s="2">
        <v>1470.67</v>
      </c>
      <c r="R711" s="2">
        <v>0</v>
      </c>
      <c r="S711" s="2">
        <v>0</v>
      </c>
      <c r="T711" s="2">
        <v>0</v>
      </c>
      <c r="U711" s="2">
        <v>1470.67</v>
      </c>
      <c r="V711" s="2">
        <v>1470.67</v>
      </c>
      <c r="W711" s="2">
        <v>1470.67</v>
      </c>
    </row>
    <row r="712" spans="1:23" outlineLevel="2" x14ac:dyDescent="0.2">
      <c r="A712" t="s">
        <v>0</v>
      </c>
      <c r="B712" t="s">
        <v>31</v>
      </c>
      <c r="C712" t="s">
        <v>79</v>
      </c>
      <c r="D712" t="s">
        <v>131</v>
      </c>
      <c r="E712" t="s">
        <v>132</v>
      </c>
      <c r="F712" t="s">
        <v>5</v>
      </c>
      <c r="G712" t="s">
        <v>6</v>
      </c>
      <c r="H712" t="s">
        <v>35</v>
      </c>
      <c r="I712" t="s">
        <v>36</v>
      </c>
      <c r="J712" t="s">
        <v>9</v>
      </c>
      <c r="K712" t="s">
        <v>267</v>
      </c>
      <c r="L712" t="s">
        <v>274</v>
      </c>
      <c r="M712" t="s">
        <v>15</v>
      </c>
      <c r="N712" s="2">
        <v>2932.17</v>
      </c>
      <c r="O712" s="2">
        <v>2210</v>
      </c>
      <c r="P712" s="2">
        <v>-2936.27</v>
      </c>
      <c r="Q712" s="2">
        <v>2205.9</v>
      </c>
      <c r="R712" s="2">
        <v>0</v>
      </c>
      <c r="S712" s="2">
        <v>2205.9</v>
      </c>
      <c r="T712" s="2">
        <v>2205.9</v>
      </c>
      <c r="U712" s="2">
        <v>0</v>
      </c>
      <c r="V712" s="2">
        <v>0</v>
      </c>
      <c r="W712" s="2">
        <v>0</v>
      </c>
    </row>
    <row r="713" spans="1:23" outlineLevel="2" x14ac:dyDescent="0.2">
      <c r="A713" t="s">
        <v>0</v>
      </c>
      <c r="B713" t="s">
        <v>31</v>
      </c>
      <c r="C713" t="s">
        <v>32</v>
      </c>
      <c r="D713" t="s">
        <v>123</v>
      </c>
      <c r="E713" t="s">
        <v>124</v>
      </c>
      <c r="F713" t="s">
        <v>5</v>
      </c>
      <c r="G713" t="s">
        <v>6</v>
      </c>
      <c r="H713" t="s">
        <v>35</v>
      </c>
      <c r="I713" t="s">
        <v>36</v>
      </c>
      <c r="J713" t="s">
        <v>9</v>
      </c>
      <c r="K713" t="s">
        <v>267</v>
      </c>
      <c r="L713" t="s">
        <v>278</v>
      </c>
      <c r="M713" t="s">
        <v>12</v>
      </c>
      <c r="N713" s="2">
        <v>0</v>
      </c>
      <c r="O713" s="2">
        <v>-2500</v>
      </c>
      <c r="P713" s="2">
        <v>4125.07</v>
      </c>
      <c r="Q713" s="2">
        <v>1625.07</v>
      </c>
      <c r="R713" s="2">
        <v>0</v>
      </c>
      <c r="S713" s="2">
        <v>0</v>
      </c>
      <c r="T713" s="2">
        <v>0</v>
      </c>
      <c r="U713" s="2">
        <v>1625.07</v>
      </c>
      <c r="V713" s="2">
        <v>1625.07</v>
      </c>
      <c r="W713" s="2">
        <v>1625.07</v>
      </c>
    </row>
    <row r="714" spans="1:23" outlineLevel="2" x14ac:dyDescent="0.2">
      <c r="A714" t="s">
        <v>0</v>
      </c>
      <c r="B714" t="s">
        <v>31</v>
      </c>
      <c r="C714" t="s">
        <v>79</v>
      </c>
      <c r="D714" t="s">
        <v>133</v>
      </c>
      <c r="E714" t="s">
        <v>134</v>
      </c>
      <c r="F714" t="s">
        <v>5</v>
      </c>
      <c r="G714" t="s">
        <v>6</v>
      </c>
      <c r="H714" t="s">
        <v>35</v>
      </c>
      <c r="I714" t="s">
        <v>36</v>
      </c>
      <c r="J714" t="s">
        <v>9</v>
      </c>
      <c r="K714" t="s">
        <v>267</v>
      </c>
      <c r="L714" t="s">
        <v>274</v>
      </c>
      <c r="M714" t="s">
        <v>15</v>
      </c>
      <c r="N714" s="2">
        <v>5259.63</v>
      </c>
      <c r="O714" s="2">
        <v>0</v>
      </c>
      <c r="P714" s="2">
        <v>-2481.8200000000002</v>
      </c>
      <c r="Q714" s="2">
        <v>2777.81</v>
      </c>
      <c r="R714" s="2">
        <v>0</v>
      </c>
      <c r="S714" s="2">
        <v>2777.81</v>
      </c>
      <c r="T714" s="2">
        <v>2777.81</v>
      </c>
      <c r="U714" s="2">
        <v>0</v>
      </c>
      <c r="V714" s="2">
        <v>0</v>
      </c>
      <c r="W714" s="2">
        <v>0</v>
      </c>
    </row>
    <row r="715" spans="1:23" outlineLevel="2" x14ac:dyDescent="0.2">
      <c r="A715" t="s">
        <v>0</v>
      </c>
      <c r="B715" t="s">
        <v>39</v>
      </c>
      <c r="C715" t="s">
        <v>58</v>
      </c>
      <c r="D715" t="s">
        <v>129</v>
      </c>
      <c r="E715" t="s">
        <v>130</v>
      </c>
      <c r="F715" t="s">
        <v>5</v>
      </c>
      <c r="G715" t="s">
        <v>6</v>
      </c>
      <c r="H715" t="s">
        <v>35</v>
      </c>
      <c r="I715" t="s">
        <v>36</v>
      </c>
      <c r="J715" t="s">
        <v>9</v>
      </c>
      <c r="K715" t="s">
        <v>267</v>
      </c>
      <c r="L715" t="s">
        <v>269</v>
      </c>
      <c r="M715" t="s">
        <v>12</v>
      </c>
      <c r="N715" s="2">
        <v>0</v>
      </c>
      <c r="O715" s="2">
        <v>-20</v>
      </c>
      <c r="P715" s="2">
        <v>1790.83</v>
      </c>
      <c r="Q715" s="2">
        <v>1770.83</v>
      </c>
      <c r="R715" s="2">
        <v>0</v>
      </c>
      <c r="S715" s="2">
        <v>0</v>
      </c>
      <c r="T715" s="2">
        <v>0</v>
      </c>
      <c r="U715" s="2">
        <v>1770.83</v>
      </c>
      <c r="V715" s="2">
        <v>1770.83</v>
      </c>
      <c r="W715" s="2">
        <v>1770.83</v>
      </c>
    </row>
    <row r="716" spans="1:23" outlineLevel="2" x14ac:dyDescent="0.2">
      <c r="A716" t="s">
        <v>0</v>
      </c>
      <c r="B716" t="s">
        <v>31</v>
      </c>
      <c r="C716" t="s">
        <v>79</v>
      </c>
      <c r="D716" t="s">
        <v>125</v>
      </c>
      <c r="E716" t="s">
        <v>126</v>
      </c>
      <c r="F716" t="s">
        <v>5</v>
      </c>
      <c r="G716" t="s">
        <v>6</v>
      </c>
      <c r="H716" t="s">
        <v>35</v>
      </c>
      <c r="I716" t="s">
        <v>36</v>
      </c>
      <c r="J716" t="s">
        <v>9</v>
      </c>
      <c r="K716" t="s">
        <v>267</v>
      </c>
      <c r="L716" t="s">
        <v>274</v>
      </c>
      <c r="M716" t="s">
        <v>12</v>
      </c>
      <c r="N716" s="2">
        <v>0</v>
      </c>
      <c r="O716" s="2">
        <v>0</v>
      </c>
      <c r="P716" s="2">
        <v>59.33</v>
      </c>
      <c r="Q716" s="2">
        <v>59.33</v>
      </c>
      <c r="R716" s="2">
        <v>0</v>
      </c>
      <c r="S716" s="2">
        <v>0</v>
      </c>
      <c r="T716" s="2">
        <v>0</v>
      </c>
      <c r="U716" s="2">
        <v>59.33</v>
      </c>
      <c r="V716" s="2">
        <v>59.33</v>
      </c>
      <c r="W716" s="2">
        <v>59.33</v>
      </c>
    </row>
    <row r="717" spans="1:23" outlineLevel="2" x14ac:dyDescent="0.2">
      <c r="A717" t="s">
        <v>0</v>
      </c>
      <c r="B717" t="s">
        <v>31</v>
      </c>
      <c r="C717" t="s">
        <v>49</v>
      </c>
      <c r="D717" t="s">
        <v>50</v>
      </c>
      <c r="E717" t="s">
        <v>51</v>
      </c>
      <c r="F717" t="s">
        <v>5</v>
      </c>
      <c r="G717" t="s">
        <v>6</v>
      </c>
      <c r="H717" t="s">
        <v>35</v>
      </c>
      <c r="I717" t="s">
        <v>36</v>
      </c>
      <c r="J717" t="s">
        <v>9</v>
      </c>
      <c r="K717" t="s">
        <v>267</v>
      </c>
      <c r="L717" t="s">
        <v>280</v>
      </c>
      <c r="M717" t="s">
        <v>15</v>
      </c>
      <c r="N717" s="2">
        <v>3825.77</v>
      </c>
      <c r="O717" s="2">
        <v>0</v>
      </c>
      <c r="P717" s="2">
        <v>-250.77</v>
      </c>
      <c r="Q717" s="2">
        <v>3575</v>
      </c>
      <c r="R717" s="2">
        <v>0</v>
      </c>
      <c r="S717" s="2">
        <v>3575</v>
      </c>
      <c r="T717" s="2">
        <v>3575</v>
      </c>
      <c r="U717" s="2">
        <v>0</v>
      </c>
      <c r="V717" s="2">
        <v>0</v>
      </c>
      <c r="W717" s="2">
        <v>0</v>
      </c>
    </row>
    <row r="718" spans="1:23" outlineLevel="2" x14ac:dyDescent="0.2">
      <c r="A718" t="s">
        <v>0</v>
      </c>
      <c r="B718" t="s">
        <v>31</v>
      </c>
      <c r="C718" t="s">
        <v>79</v>
      </c>
      <c r="D718" t="s">
        <v>83</v>
      </c>
      <c r="E718" t="s">
        <v>84</v>
      </c>
      <c r="F718" t="s">
        <v>5</v>
      </c>
      <c r="G718" t="s">
        <v>6</v>
      </c>
      <c r="H718" t="s">
        <v>35</v>
      </c>
      <c r="I718" t="s">
        <v>36</v>
      </c>
      <c r="J718" t="s">
        <v>9</v>
      </c>
      <c r="K718" t="s">
        <v>267</v>
      </c>
      <c r="L718" t="s">
        <v>274</v>
      </c>
      <c r="M718" t="s">
        <v>15</v>
      </c>
      <c r="N718" s="2">
        <v>17426.21</v>
      </c>
      <c r="O718" s="2">
        <v>32667.33</v>
      </c>
      <c r="P718" s="2">
        <v>-1.56</v>
      </c>
      <c r="Q718" s="2">
        <v>50091.98</v>
      </c>
      <c r="R718" s="2">
        <v>0</v>
      </c>
      <c r="S718" s="2">
        <v>50091.98</v>
      </c>
      <c r="T718" s="2">
        <v>50091.98</v>
      </c>
      <c r="U718" s="2">
        <v>0</v>
      </c>
      <c r="V718" s="2">
        <v>0</v>
      </c>
      <c r="W718" s="2">
        <v>0</v>
      </c>
    </row>
    <row r="719" spans="1:23" outlineLevel="2" x14ac:dyDescent="0.2">
      <c r="A719" t="s">
        <v>0</v>
      </c>
      <c r="B719" t="s">
        <v>31</v>
      </c>
      <c r="C719" t="s">
        <v>32</v>
      </c>
      <c r="D719" t="s">
        <v>141</v>
      </c>
      <c r="E719" t="s">
        <v>142</v>
      </c>
      <c r="F719" t="s">
        <v>5</v>
      </c>
      <c r="G719" t="s">
        <v>6</v>
      </c>
      <c r="H719" t="s">
        <v>35</v>
      </c>
      <c r="I719" t="s">
        <v>36</v>
      </c>
      <c r="J719" t="s">
        <v>9</v>
      </c>
      <c r="K719" t="s">
        <v>267</v>
      </c>
      <c r="L719" t="s">
        <v>278</v>
      </c>
      <c r="M719" t="s">
        <v>15</v>
      </c>
      <c r="N719" s="2">
        <v>4835.6899999999996</v>
      </c>
      <c r="O719" s="2">
        <v>23764.14</v>
      </c>
      <c r="P719" s="2">
        <v>-1.67</v>
      </c>
      <c r="Q719" s="2">
        <v>28598.16</v>
      </c>
      <c r="R719" s="2">
        <v>0</v>
      </c>
      <c r="S719" s="2">
        <v>28598.16</v>
      </c>
      <c r="T719" s="2">
        <v>28598.16</v>
      </c>
      <c r="U719" s="2">
        <v>0</v>
      </c>
      <c r="V719" s="2">
        <v>0</v>
      </c>
      <c r="W719" s="2">
        <v>0</v>
      </c>
    </row>
    <row r="720" spans="1:23" outlineLevel="2" x14ac:dyDescent="0.2">
      <c r="A720" t="s">
        <v>0</v>
      </c>
      <c r="B720" t="s">
        <v>1</v>
      </c>
      <c r="C720" t="s">
        <v>2</v>
      </c>
      <c r="D720" t="s">
        <v>3</v>
      </c>
      <c r="E720" t="s">
        <v>4</v>
      </c>
      <c r="F720" t="s">
        <v>5</v>
      </c>
      <c r="G720" t="s">
        <v>6</v>
      </c>
      <c r="H720" t="s">
        <v>35</v>
      </c>
      <c r="I720" t="s">
        <v>36</v>
      </c>
      <c r="J720" t="s">
        <v>9</v>
      </c>
      <c r="K720" t="s">
        <v>267</v>
      </c>
      <c r="L720" t="s">
        <v>272</v>
      </c>
      <c r="M720" t="s">
        <v>12</v>
      </c>
      <c r="N720" s="2">
        <v>0</v>
      </c>
      <c r="O720" s="2">
        <v>0</v>
      </c>
      <c r="P720" s="2">
        <v>3714.44</v>
      </c>
      <c r="Q720" s="2">
        <v>3714.44</v>
      </c>
      <c r="R720" s="2">
        <v>0</v>
      </c>
      <c r="S720" s="2">
        <v>0</v>
      </c>
      <c r="T720" s="2">
        <v>0</v>
      </c>
      <c r="U720" s="2">
        <v>3714.44</v>
      </c>
      <c r="V720" s="2">
        <v>3714.44</v>
      </c>
      <c r="W720" s="2">
        <v>3714.44</v>
      </c>
    </row>
    <row r="721" spans="1:23" outlineLevel="2" x14ac:dyDescent="0.2">
      <c r="A721" t="s">
        <v>0</v>
      </c>
      <c r="B721" t="s">
        <v>31</v>
      </c>
      <c r="C721" t="s">
        <v>107</v>
      </c>
      <c r="D721" t="s">
        <v>108</v>
      </c>
      <c r="E721" t="s">
        <v>109</v>
      </c>
      <c r="F721" t="s">
        <v>5</v>
      </c>
      <c r="G721" t="s">
        <v>6</v>
      </c>
      <c r="H721" t="s">
        <v>35</v>
      </c>
      <c r="I721" t="s">
        <v>36</v>
      </c>
      <c r="J721" t="s">
        <v>9</v>
      </c>
      <c r="K721" t="s">
        <v>267</v>
      </c>
      <c r="L721" t="s">
        <v>281</v>
      </c>
      <c r="M721" t="s">
        <v>15</v>
      </c>
      <c r="N721" s="2">
        <v>17424.580000000002</v>
      </c>
      <c r="O721" s="2">
        <v>0</v>
      </c>
      <c r="P721" s="2">
        <v>-11299.31</v>
      </c>
      <c r="Q721" s="2">
        <v>6125.27</v>
      </c>
      <c r="R721" s="2">
        <v>0</v>
      </c>
      <c r="S721" s="2">
        <v>6125.27</v>
      </c>
      <c r="T721" s="2">
        <v>6125.27</v>
      </c>
      <c r="U721" s="2">
        <v>0</v>
      </c>
      <c r="V721" s="2">
        <v>0</v>
      </c>
      <c r="W721" s="2">
        <v>0</v>
      </c>
    </row>
    <row r="722" spans="1:23" outlineLevel="2" x14ac:dyDescent="0.2">
      <c r="A722" t="s">
        <v>0</v>
      </c>
      <c r="B722" t="s">
        <v>39</v>
      </c>
      <c r="C722" t="s">
        <v>58</v>
      </c>
      <c r="D722" t="s">
        <v>135</v>
      </c>
      <c r="E722" t="s">
        <v>136</v>
      </c>
      <c r="F722" t="s">
        <v>5</v>
      </c>
      <c r="G722" t="s">
        <v>6</v>
      </c>
      <c r="H722" t="s">
        <v>35</v>
      </c>
      <c r="I722" t="s">
        <v>36</v>
      </c>
      <c r="J722" t="s">
        <v>9</v>
      </c>
      <c r="K722" t="s">
        <v>267</v>
      </c>
      <c r="L722" t="s">
        <v>269</v>
      </c>
      <c r="M722" t="s">
        <v>12</v>
      </c>
      <c r="N722" s="2">
        <v>0</v>
      </c>
      <c r="O722" s="2">
        <v>0</v>
      </c>
      <c r="P722" s="2">
        <v>3162.94</v>
      </c>
      <c r="Q722" s="2">
        <v>3162.94</v>
      </c>
      <c r="R722" s="2">
        <v>0</v>
      </c>
      <c r="S722" s="2">
        <v>0</v>
      </c>
      <c r="T722" s="2">
        <v>0</v>
      </c>
      <c r="U722" s="2">
        <v>3162.94</v>
      </c>
      <c r="V722" s="2">
        <v>3162.94</v>
      </c>
      <c r="W722" s="2">
        <v>3162.94</v>
      </c>
    </row>
    <row r="723" spans="1:23" outlineLevel="2" x14ac:dyDescent="0.2">
      <c r="A723" t="s">
        <v>0</v>
      </c>
      <c r="B723" t="s">
        <v>39</v>
      </c>
      <c r="C723" t="s">
        <v>70</v>
      </c>
      <c r="D723" t="s">
        <v>71</v>
      </c>
      <c r="E723" t="s">
        <v>72</v>
      </c>
      <c r="F723" t="s">
        <v>5</v>
      </c>
      <c r="G723" t="s">
        <v>6</v>
      </c>
      <c r="H723" t="s">
        <v>35</v>
      </c>
      <c r="I723" t="s">
        <v>36</v>
      </c>
      <c r="J723" t="s">
        <v>9</v>
      </c>
      <c r="K723" t="s">
        <v>267</v>
      </c>
      <c r="L723" t="s">
        <v>283</v>
      </c>
      <c r="M723" t="s">
        <v>15</v>
      </c>
      <c r="N723" s="2">
        <v>37975.72</v>
      </c>
      <c r="O723" s="2">
        <v>5130</v>
      </c>
      <c r="P723" s="2">
        <v>-0.8</v>
      </c>
      <c r="Q723" s="2">
        <v>43104.92</v>
      </c>
      <c r="R723" s="2">
        <v>0</v>
      </c>
      <c r="S723" s="2">
        <v>43104.92</v>
      </c>
      <c r="T723" s="2">
        <v>43104.92</v>
      </c>
      <c r="U723" s="2">
        <v>0</v>
      </c>
      <c r="V723" s="2">
        <v>0</v>
      </c>
      <c r="W723" s="2">
        <v>0</v>
      </c>
    </row>
    <row r="724" spans="1:23" outlineLevel="2" x14ac:dyDescent="0.2">
      <c r="A724" t="s">
        <v>0</v>
      </c>
      <c r="B724" t="s">
        <v>31</v>
      </c>
      <c r="C724" t="s">
        <v>32</v>
      </c>
      <c r="D724" t="s">
        <v>33</v>
      </c>
      <c r="E724" t="s">
        <v>34</v>
      </c>
      <c r="F724" t="s">
        <v>5</v>
      </c>
      <c r="G724" t="s">
        <v>6</v>
      </c>
      <c r="H724" t="s">
        <v>35</v>
      </c>
      <c r="I724" t="s">
        <v>36</v>
      </c>
      <c r="J724" t="s">
        <v>9</v>
      </c>
      <c r="K724" t="s">
        <v>267</v>
      </c>
      <c r="L724" t="s">
        <v>278</v>
      </c>
      <c r="M724" t="s">
        <v>15</v>
      </c>
      <c r="N724" s="2">
        <v>12516.01</v>
      </c>
      <c r="O724" s="2">
        <v>0</v>
      </c>
      <c r="P724" s="2">
        <v>-3733.21</v>
      </c>
      <c r="Q724" s="2">
        <v>8782.7999999999993</v>
      </c>
      <c r="R724" s="2">
        <v>0</v>
      </c>
      <c r="S724" s="2">
        <v>8782.7999999999993</v>
      </c>
      <c r="T724" s="2">
        <v>8782.7999999999993</v>
      </c>
      <c r="U724" s="2">
        <v>0</v>
      </c>
      <c r="V724" s="2">
        <v>0</v>
      </c>
      <c r="W724" s="2">
        <v>0</v>
      </c>
    </row>
    <row r="725" spans="1:23" outlineLevel="2" x14ac:dyDescent="0.2">
      <c r="A725" t="s">
        <v>0</v>
      </c>
      <c r="B725" t="s">
        <v>39</v>
      </c>
      <c r="C725" t="s">
        <v>58</v>
      </c>
      <c r="D725" t="s">
        <v>137</v>
      </c>
      <c r="E725" t="s">
        <v>138</v>
      </c>
      <c r="F725" t="s">
        <v>5</v>
      </c>
      <c r="G725" t="s">
        <v>6</v>
      </c>
      <c r="H725" t="s">
        <v>35</v>
      </c>
      <c r="I725" t="s">
        <v>36</v>
      </c>
      <c r="J725" t="s">
        <v>9</v>
      </c>
      <c r="K725" t="s">
        <v>267</v>
      </c>
      <c r="L725" t="s">
        <v>269</v>
      </c>
      <c r="M725" t="s">
        <v>12</v>
      </c>
      <c r="N725" s="2">
        <v>0</v>
      </c>
      <c r="O725" s="2">
        <v>0</v>
      </c>
      <c r="P725" s="2">
        <v>3984.88</v>
      </c>
      <c r="Q725" s="2">
        <v>3984.88</v>
      </c>
      <c r="R725" s="2">
        <v>0</v>
      </c>
      <c r="S725" s="2">
        <v>0</v>
      </c>
      <c r="T725" s="2">
        <v>0</v>
      </c>
      <c r="U725" s="2">
        <v>3984.88</v>
      </c>
      <c r="V725" s="2">
        <v>3984.88</v>
      </c>
      <c r="W725" s="2">
        <v>3984.88</v>
      </c>
    </row>
    <row r="726" spans="1:23" outlineLevel="2" x14ac:dyDescent="0.2">
      <c r="A726" t="s">
        <v>0</v>
      </c>
      <c r="B726" t="s">
        <v>39</v>
      </c>
      <c r="C726" t="s">
        <v>40</v>
      </c>
      <c r="D726" t="s">
        <v>77</v>
      </c>
      <c r="E726" t="s">
        <v>78</v>
      </c>
      <c r="F726" t="s">
        <v>5</v>
      </c>
      <c r="G726" t="s">
        <v>6</v>
      </c>
      <c r="H726" t="s">
        <v>35</v>
      </c>
      <c r="I726" t="s">
        <v>36</v>
      </c>
      <c r="J726" t="s">
        <v>9</v>
      </c>
      <c r="K726" t="s">
        <v>267</v>
      </c>
      <c r="L726" t="s">
        <v>270</v>
      </c>
      <c r="M726" t="s">
        <v>12</v>
      </c>
      <c r="N726" s="2">
        <v>0</v>
      </c>
      <c r="O726" s="2">
        <v>0</v>
      </c>
      <c r="P726" s="2">
        <v>100285.08</v>
      </c>
      <c r="Q726" s="2">
        <v>100285.08</v>
      </c>
      <c r="R726" s="2">
        <v>0</v>
      </c>
      <c r="S726" s="2">
        <v>0</v>
      </c>
      <c r="T726" s="2">
        <v>0</v>
      </c>
      <c r="U726" s="2">
        <v>100285.08</v>
      </c>
      <c r="V726" s="2">
        <v>100285.08</v>
      </c>
      <c r="W726" s="2">
        <v>100285.08</v>
      </c>
    </row>
    <row r="727" spans="1:23" outlineLevel="2" x14ac:dyDescent="0.2">
      <c r="A727" t="s">
        <v>0</v>
      </c>
      <c r="B727" t="s">
        <v>39</v>
      </c>
      <c r="C727" t="s">
        <v>58</v>
      </c>
      <c r="D727" t="s">
        <v>147</v>
      </c>
      <c r="E727" t="s">
        <v>148</v>
      </c>
      <c r="F727" t="s">
        <v>5</v>
      </c>
      <c r="G727" t="s">
        <v>6</v>
      </c>
      <c r="H727" t="s">
        <v>35</v>
      </c>
      <c r="I727" t="s">
        <v>36</v>
      </c>
      <c r="J727" t="s">
        <v>9</v>
      </c>
      <c r="K727" t="s">
        <v>267</v>
      </c>
      <c r="L727" t="s">
        <v>269</v>
      </c>
      <c r="M727" t="s">
        <v>12</v>
      </c>
      <c r="N727" s="2">
        <v>0</v>
      </c>
      <c r="O727" s="2">
        <v>0</v>
      </c>
      <c r="P727" s="2">
        <v>2009.85</v>
      </c>
      <c r="Q727" s="2">
        <v>2009.85</v>
      </c>
      <c r="R727" s="2">
        <v>0</v>
      </c>
      <c r="S727" s="2">
        <v>0</v>
      </c>
      <c r="T727" s="2">
        <v>0</v>
      </c>
      <c r="U727" s="2">
        <v>2009.85</v>
      </c>
      <c r="V727" s="2">
        <v>2009.85</v>
      </c>
      <c r="W727" s="2">
        <v>2009.85</v>
      </c>
    </row>
    <row r="728" spans="1:23" outlineLevel="2" x14ac:dyDescent="0.2">
      <c r="A728" t="s">
        <v>0</v>
      </c>
      <c r="B728" t="s">
        <v>39</v>
      </c>
      <c r="C728" t="s">
        <v>58</v>
      </c>
      <c r="D728" t="s">
        <v>145</v>
      </c>
      <c r="E728" t="s">
        <v>146</v>
      </c>
      <c r="F728" t="s">
        <v>5</v>
      </c>
      <c r="G728" t="s">
        <v>6</v>
      </c>
      <c r="H728" t="s">
        <v>35</v>
      </c>
      <c r="I728" t="s">
        <v>36</v>
      </c>
      <c r="J728" t="s">
        <v>9</v>
      </c>
      <c r="K728" t="s">
        <v>267</v>
      </c>
      <c r="L728" t="s">
        <v>269</v>
      </c>
      <c r="M728" t="s">
        <v>12</v>
      </c>
      <c r="N728" s="2">
        <v>0</v>
      </c>
      <c r="O728" s="2">
        <v>-5236.16</v>
      </c>
      <c r="P728" s="2">
        <v>5236.16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</row>
    <row r="729" spans="1:23" outlineLevel="2" x14ac:dyDescent="0.2">
      <c r="A729" t="s">
        <v>0</v>
      </c>
      <c r="B729" t="s">
        <v>39</v>
      </c>
      <c r="C729" t="s">
        <v>58</v>
      </c>
      <c r="D729" t="s">
        <v>143</v>
      </c>
      <c r="E729" t="s">
        <v>144</v>
      </c>
      <c r="F729" t="s">
        <v>5</v>
      </c>
      <c r="G729" t="s">
        <v>6</v>
      </c>
      <c r="H729" t="s">
        <v>35</v>
      </c>
      <c r="I729" t="s">
        <v>36</v>
      </c>
      <c r="J729" t="s">
        <v>9</v>
      </c>
      <c r="K729" t="s">
        <v>267</v>
      </c>
      <c r="L729" t="s">
        <v>269</v>
      </c>
      <c r="M729" t="s">
        <v>12</v>
      </c>
      <c r="N729" s="2">
        <v>0</v>
      </c>
      <c r="O729" s="2">
        <v>0</v>
      </c>
      <c r="P729" s="2">
        <v>4729.1000000000004</v>
      </c>
      <c r="Q729" s="2">
        <v>4729.1000000000004</v>
      </c>
      <c r="R729" s="2">
        <v>0</v>
      </c>
      <c r="S729" s="2">
        <v>0</v>
      </c>
      <c r="T729" s="2">
        <v>0</v>
      </c>
      <c r="U729" s="2">
        <v>4729.1000000000004</v>
      </c>
      <c r="V729" s="2">
        <v>4729.1000000000004</v>
      </c>
      <c r="W729" s="2">
        <v>4729.1000000000004</v>
      </c>
    </row>
    <row r="730" spans="1:23" outlineLevel="2" x14ac:dyDescent="0.2">
      <c r="A730" t="s">
        <v>0</v>
      </c>
      <c r="B730" t="s">
        <v>39</v>
      </c>
      <c r="C730" t="s">
        <v>58</v>
      </c>
      <c r="D730" t="s">
        <v>149</v>
      </c>
      <c r="E730" t="s">
        <v>150</v>
      </c>
      <c r="F730" t="s">
        <v>5</v>
      </c>
      <c r="G730" t="s">
        <v>6</v>
      </c>
      <c r="H730" t="s">
        <v>35</v>
      </c>
      <c r="I730" t="s">
        <v>36</v>
      </c>
      <c r="J730" t="s">
        <v>9</v>
      </c>
      <c r="K730" t="s">
        <v>267</v>
      </c>
      <c r="L730" t="s">
        <v>269</v>
      </c>
      <c r="M730" t="s">
        <v>12</v>
      </c>
      <c r="N730" s="2">
        <v>0</v>
      </c>
      <c r="O730" s="2">
        <v>0</v>
      </c>
      <c r="P730" s="2">
        <v>8945.99</v>
      </c>
      <c r="Q730" s="2">
        <v>8945.99</v>
      </c>
      <c r="R730" s="2">
        <v>0</v>
      </c>
      <c r="S730" s="2">
        <v>0</v>
      </c>
      <c r="T730" s="2">
        <v>0</v>
      </c>
      <c r="U730" s="2">
        <v>8945.99</v>
      </c>
      <c r="V730" s="2">
        <v>8945.99</v>
      </c>
      <c r="W730" s="2">
        <v>8945.99</v>
      </c>
    </row>
    <row r="731" spans="1:23" outlineLevel="2" x14ac:dyDescent="0.2">
      <c r="A731" t="s">
        <v>0</v>
      </c>
      <c r="B731" t="s">
        <v>39</v>
      </c>
      <c r="C731" t="s">
        <v>58</v>
      </c>
      <c r="D731" t="s">
        <v>59</v>
      </c>
      <c r="E731" t="s">
        <v>60</v>
      </c>
      <c r="F731" t="s">
        <v>5</v>
      </c>
      <c r="G731" t="s">
        <v>6</v>
      </c>
      <c r="H731" t="s">
        <v>35</v>
      </c>
      <c r="I731" t="s">
        <v>36</v>
      </c>
      <c r="J731" t="s">
        <v>9</v>
      </c>
      <c r="K731" t="s">
        <v>267</v>
      </c>
      <c r="L731" t="s">
        <v>269</v>
      </c>
      <c r="M731" t="s">
        <v>12</v>
      </c>
      <c r="N731" s="2">
        <v>0</v>
      </c>
      <c r="O731" s="2">
        <v>-70</v>
      </c>
      <c r="P731" s="2">
        <v>6306.07</v>
      </c>
      <c r="Q731" s="2">
        <v>6236.07</v>
      </c>
      <c r="R731" s="2">
        <v>0</v>
      </c>
      <c r="S731" s="2">
        <v>0</v>
      </c>
      <c r="T731" s="2">
        <v>0</v>
      </c>
      <c r="U731" s="2">
        <v>6236.07</v>
      </c>
      <c r="V731" s="2">
        <v>6236.07</v>
      </c>
      <c r="W731" s="2">
        <v>6236.07</v>
      </c>
    </row>
    <row r="732" spans="1:23" outlineLevel="2" x14ac:dyDescent="0.2">
      <c r="A732" t="s">
        <v>0</v>
      </c>
      <c r="B732" t="s">
        <v>39</v>
      </c>
      <c r="C732" t="s">
        <v>58</v>
      </c>
      <c r="D732" t="s">
        <v>139</v>
      </c>
      <c r="E732" t="s">
        <v>140</v>
      </c>
      <c r="F732" t="s">
        <v>5</v>
      </c>
      <c r="G732" t="s">
        <v>6</v>
      </c>
      <c r="H732" t="s">
        <v>35</v>
      </c>
      <c r="I732" t="s">
        <v>36</v>
      </c>
      <c r="J732" t="s">
        <v>9</v>
      </c>
      <c r="K732" t="s">
        <v>267</v>
      </c>
      <c r="L732" t="s">
        <v>269</v>
      </c>
      <c r="M732" t="s">
        <v>12</v>
      </c>
      <c r="N732" s="2">
        <v>0</v>
      </c>
      <c r="O732" s="2">
        <v>0</v>
      </c>
      <c r="P732" s="2">
        <v>5905.89</v>
      </c>
      <c r="Q732" s="2">
        <v>5905.89</v>
      </c>
      <c r="R732" s="2">
        <v>0</v>
      </c>
      <c r="S732" s="2">
        <v>0</v>
      </c>
      <c r="T732" s="2">
        <v>0</v>
      </c>
      <c r="U732" s="2">
        <v>5905.89</v>
      </c>
      <c r="V732" s="2">
        <v>5905.89</v>
      </c>
      <c r="W732" s="2">
        <v>5905.89</v>
      </c>
    </row>
    <row r="733" spans="1:23" outlineLevel="2" x14ac:dyDescent="0.2">
      <c r="A733" t="s">
        <v>0</v>
      </c>
      <c r="B733" t="s">
        <v>31</v>
      </c>
      <c r="C733" t="s">
        <v>32</v>
      </c>
      <c r="D733" t="s">
        <v>75</v>
      </c>
      <c r="E733" t="s">
        <v>76</v>
      </c>
      <c r="F733" t="s">
        <v>5</v>
      </c>
      <c r="G733" t="s">
        <v>6</v>
      </c>
      <c r="H733" t="s">
        <v>35</v>
      </c>
      <c r="I733" t="s">
        <v>36</v>
      </c>
      <c r="J733" t="s">
        <v>9</v>
      </c>
      <c r="K733" t="s">
        <v>267</v>
      </c>
      <c r="L733" t="s">
        <v>278</v>
      </c>
      <c r="M733" t="s">
        <v>15</v>
      </c>
      <c r="N733" s="2">
        <v>8977.4599999999991</v>
      </c>
      <c r="O733" s="2">
        <v>2234.0700000000002</v>
      </c>
      <c r="P733" s="2">
        <v>-0.4</v>
      </c>
      <c r="Q733" s="2">
        <v>11211.13</v>
      </c>
      <c r="R733" s="2">
        <v>0</v>
      </c>
      <c r="S733" s="2">
        <v>11211.13</v>
      </c>
      <c r="T733" s="2">
        <v>11211.13</v>
      </c>
      <c r="U733" s="2">
        <v>0</v>
      </c>
      <c r="V733" s="2">
        <v>0</v>
      </c>
      <c r="W733" s="2">
        <v>0</v>
      </c>
    </row>
    <row r="734" spans="1:23" outlineLevel="2" x14ac:dyDescent="0.2">
      <c r="A734" t="s">
        <v>0</v>
      </c>
      <c r="B734" t="s">
        <v>39</v>
      </c>
      <c r="C734" t="s">
        <v>66</v>
      </c>
      <c r="D734" t="s">
        <v>121</v>
      </c>
      <c r="E734" t="s">
        <v>122</v>
      </c>
      <c r="F734" t="s">
        <v>5</v>
      </c>
      <c r="G734" t="s">
        <v>6</v>
      </c>
      <c r="H734" t="s">
        <v>35</v>
      </c>
      <c r="I734" t="s">
        <v>36</v>
      </c>
      <c r="J734" t="s">
        <v>9</v>
      </c>
      <c r="K734" t="s">
        <v>267</v>
      </c>
      <c r="L734" t="s">
        <v>268</v>
      </c>
      <c r="M734" t="s">
        <v>12</v>
      </c>
      <c r="N734" s="2">
        <v>0</v>
      </c>
      <c r="O734" s="2">
        <v>0</v>
      </c>
      <c r="P734" s="2">
        <v>1705.59</v>
      </c>
      <c r="Q734" s="2">
        <v>1705.59</v>
      </c>
      <c r="R734" s="2">
        <v>0</v>
      </c>
      <c r="S734" s="2">
        <v>0</v>
      </c>
      <c r="T734" s="2">
        <v>0</v>
      </c>
      <c r="U734" s="2">
        <v>1705.59</v>
      </c>
      <c r="V734" s="2">
        <v>1705.59</v>
      </c>
      <c r="W734" s="2">
        <v>1705.59</v>
      </c>
    </row>
    <row r="735" spans="1:23" outlineLevel="2" x14ac:dyDescent="0.2">
      <c r="A735" t="s">
        <v>0</v>
      </c>
      <c r="B735" t="s">
        <v>39</v>
      </c>
      <c r="C735" t="s">
        <v>70</v>
      </c>
      <c r="D735" t="s">
        <v>71</v>
      </c>
      <c r="E735" t="s">
        <v>72</v>
      </c>
      <c r="F735" t="s">
        <v>5</v>
      </c>
      <c r="G735" t="s">
        <v>6</v>
      </c>
      <c r="H735" t="s">
        <v>35</v>
      </c>
      <c r="I735" t="s">
        <v>36</v>
      </c>
      <c r="J735" t="s">
        <v>9</v>
      </c>
      <c r="K735" t="s">
        <v>267</v>
      </c>
      <c r="L735" t="s">
        <v>283</v>
      </c>
      <c r="M735" t="s">
        <v>12</v>
      </c>
      <c r="N735" s="2">
        <v>0</v>
      </c>
      <c r="O735" s="2">
        <v>0</v>
      </c>
      <c r="P735" s="2">
        <v>33868.15</v>
      </c>
      <c r="Q735" s="2">
        <v>33868.15</v>
      </c>
      <c r="R735" s="2">
        <v>0</v>
      </c>
      <c r="S735" s="2">
        <v>0</v>
      </c>
      <c r="T735" s="2">
        <v>0</v>
      </c>
      <c r="U735" s="2">
        <v>33868.15</v>
      </c>
      <c r="V735" s="2">
        <v>33868.15</v>
      </c>
      <c r="W735" s="2">
        <v>33868.15</v>
      </c>
    </row>
    <row r="736" spans="1:23" outlineLevel="2" x14ac:dyDescent="0.2">
      <c r="A736" t="s">
        <v>0</v>
      </c>
      <c r="B736" t="s">
        <v>31</v>
      </c>
      <c r="C736" t="s">
        <v>32</v>
      </c>
      <c r="D736" t="s">
        <v>123</v>
      </c>
      <c r="E736" t="s">
        <v>124</v>
      </c>
      <c r="F736" t="s">
        <v>5</v>
      </c>
      <c r="G736" t="s">
        <v>6</v>
      </c>
      <c r="H736" t="s">
        <v>35</v>
      </c>
      <c r="I736" t="s">
        <v>36</v>
      </c>
      <c r="J736" t="s">
        <v>9</v>
      </c>
      <c r="K736" t="s">
        <v>267</v>
      </c>
      <c r="L736" t="s">
        <v>278</v>
      </c>
      <c r="M736" t="s">
        <v>15</v>
      </c>
      <c r="N736" s="2">
        <v>12543.73</v>
      </c>
      <c r="O736" s="2">
        <v>0</v>
      </c>
      <c r="P736" s="2">
        <v>-4125.07</v>
      </c>
      <c r="Q736" s="2">
        <v>8418.66</v>
      </c>
      <c r="R736" s="2">
        <v>0</v>
      </c>
      <c r="S736" s="2">
        <v>8418.66</v>
      </c>
      <c r="T736" s="2">
        <v>8418.66</v>
      </c>
      <c r="U736" s="2">
        <v>0</v>
      </c>
      <c r="V736" s="2">
        <v>0</v>
      </c>
      <c r="W736" s="2">
        <v>0</v>
      </c>
    </row>
    <row r="737" spans="1:23" outlineLevel="2" x14ac:dyDescent="0.2">
      <c r="A737" t="s">
        <v>0</v>
      </c>
      <c r="B737" t="s">
        <v>31</v>
      </c>
      <c r="C737" t="s">
        <v>32</v>
      </c>
      <c r="D737" t="s">
        <v>141</v>
      </c>
      <c r="E737" t="s">
        <v>142</v>
      </c>
      <c r="F737" t="s">
        <v>5</v>
      </c>
      <c r="G737" t="s">
        <v>6</v>
      </c>
      <c r="H737" t="s">
        <v>35</v>
      </c>
      <c r="I737" t="s">
        <v>36</v>
      </c>
      <c r="J737" t="s">
        <v>9</v>
      </c>
      <c r="K737" t="s">
        <v>267</v>
      </c>
      <c r="L737" t="s">
        <v>278</v>
      </c>
      <c r="M737" t="s">
        <v>12</v>
      </c>
      <c r="N737" s="2">
        <v>0</v>
      </c>
      <c r="O737" s="2">
        <v>0</v>
      </c>
      <c r="P737" s="2">
        <v>16953.3</v>
      </c>
      <c r="Q737" s="2">
        <v>16953.3</v>
      </c>
      <c r="R737" s="2">
        <v>0</v>
      </c>
      <c r="S737" s="2">
        <v>0</v>
      </c>
      <c r="T737" s="2">
        <v>0</v>
      </c>
      <c r="U737" s="2">
        <v>16953.3</v>
      </c>
      <c r="V737" s="2">
        <v>16953.3</v>
      </c>
      <c r="W737" s="2">
        <v>16953.3</v>
      </c>
    </row>
    <row r="738" spans="1:23" outlineLevel="2" x14ac:dyDescent="0.2">
      <c r="A738" t="s">
        <v>0</v>
      </c>
      <c r="B738" t="s">
        <v>31</v>
      </c>
      <c r="C738" t="s">
        <v>79</v>
      </c>
      <c r="D738" t="s">
        <v>125</v>
      </c>
      <c r="E738" t="s">
        <v>126</v>
      </c>
      <c r="F738" t="s">
        <v>5</v>
      </c>
      <c r="G738" t="s">
        <v>6</v>
      </c>
      <c r="H738" t="s">
        <v>35</v>
      </c>
      <c r="I738" t="s">
        <v>36</v>
      </c>
      <c r="J738" t="s">
        <v>9</v>
      </c>
      <c r="K738" t="s">
        <v>267</v>
      </c>
      <c r="L738" t="s">
        <v>274</v>
      </c>
      <c r="M738" t="s">
        <v>15</v>
      </c>
      <c r="N738" s="2">
        <v>2297.33</v>
      </c>
      <c r="O738" s="2">
        <v>0</v>
      </c>
      <c r="P738" s="2">
        <v>-1208</v>
      </c>
      <c r="Q738" s="2">
        <v>1089.33</v>
      </c>
      <c r="R738" s="2">
        <v>0</v>
      </c>
      <c r="S738" s="2">
        <v>1089.33</v>
      </c>
      <c r="T738" s="2">
        <v>1089.33</v>
      </c>
      <c r="U738" s="2">
        <v>0</v>
      </c>
      <c r="V738" s="2">
        <v>0</v>
      </c>
      <c r="W738" s="2">
        <v>0</v>
      </c>
    </row>
    <row r="739" spans="1:23" outlineLevel="2" x14ac:dyDescent="0.2">
      <c r="A739" t="s">
        <v>0</v>
      </c>
      <c r="B739" t="s">
        <v>1</v>
      </c>
      <c r="C739" t="s">
        <v>44</v>
      </c>
      <c r="D739" t="s">
        <v>45</v>
      </c>
      <c r="E739" t="s">
        <v>46</v>
      </c>
      <c r="F739" t="s">
        <v>5</v>
      </c>
      <c r="G739" t="s">
        <v>6</v>
      </c>
      <c r="H739" t="s">
        <v>35</v>
      </c>
      <c r="I739" t="s">
        <v>36</v>
      </c>
      <c r="J739" t="s">
        <v>9</v>
      </c>
      <c r="K739" t="s">
        <v>267</v>
      </c>
      <c r="L739" t="s">
        <v>277</v>
      </c>
      <c r="M739" t="s">
        <v>12</v>
      </c>
      <c r="N739" s="2">
        <v>0</v>
      </c>
      <c r="O739" s="2">
        <v>0</v>
      </c>
      <c r="P739" s="2">
        <v>8863.01</v>
      </c>
      <c r="Q739" s="2">
        <v>8863.01</v>
      </c>
      <c r="R739" s="2">
        <v>0</v>
      </c>
      <c r="S739" s="2">
        <v>0</v>
      </c>
      <c r="T739" s="2">
        <v>0</v>
      </c>
      <c r="U739" s="2">
        <v>8863.01</v>
      </c>
      <c r="V739" s="2">
        <v>8863.01</v>
      </c>
      <c r="W739" s="2">
        <v>8863.01</v>
      </c>
    </row>
    <row r="740" spans="1:23" outlineLevel="2" x14ac:dyDescent="0.2">
      <c r="A740" t="s">
        <v>0</v>
      </c>
      <c r="B740" t="s">
        <v>39</v>
      </c>
      <c r="C740" t="s">
        <v>58</v>
      </c>
      <c r="D740" t="s">
        <v>119</v>
      </c>
      <c r="E740" t="s">
        <v>120</v>
      </c>
      <c r="F740" t="s">
        <v>5</v>
      </c>
      <c r="G740" t="s">
        <v>6</v>
      </c>
      <c r="H740" t="s">
        <v>35</v>
      </c>
      <c r="I740" t="s">
        <v>36</v>
      </c>
      <c r="J740" t="s">
        <v>9</v>
      </c>
      <c r="K740" t="s">
        <v>267</v>
      </c>
      <c r="L740" t="s">
        <v>269</v>
      </c>
      <c r="M740" t="s">
        <v>12</v>
      </c>
      <c r="N740" s="2">
        <v>0</v>
      </c>
      <c r="O740" s="2">
        <v>0</v>
      </c>
      <c r="P740" s="2">
        <v>3666.66</v>
      </c>
      <c r="Q740" s="2">
        <v>3666.66</v>
      </c>
      <c r="R740" s="2">
        <v>0</v>
      </c>
      <c r="S740" s="2">
        <v>0</v>
      </c>
      <c r="T740" s="2">
        <v>0</v>
      </c>
      <c r="U740" s="2">
        <v>3666.66</v>
      </c>
      <c r="V740" s="2">
        <v>3666.66</v>
      </c>
      <c r="W740" s="2">
        <v>3666.66</v>
      </c>
    </row>
    <row r="741" spans="1:23" outlineLevel="2" x14ac:dyDescent="0.2">
      <c r="A741" t="s">
        <v>0</v>
      </c>
      <c r="B741" t="s">
        <v>39</v>
      </c>
      <c r="C741" t="s">
        <v>58</v>
      </c>
      <c r="D741" t="s">
        <v>147</v>
      </c>
      <c r="E741" t="s">
        <v>148</v>
      </c>
      <c r="F741" t="s">
        <v>5</v>
      </c>
      <c r="G741" t="s">
        <v>6</v>
      </c>
      <c r="H741" t="s">
        <v>35</v>
      </c>
      <c r="I741" t="s">
        <v>36</v>
      </c>
      <c r="J741" t="s">
        <v>9</v>
      </c>
      <c r="K741" t="s">
        <v>267</v>
      </c>
      <c r="L741" t="s">
        <v>269</v>
      </c>
      <c r="M741" t="s">
        <v>15</v>
      </c>
      <c r="N741" s="2">
        <v>4000.9</v>
      </c>
      <c r="O741" s="2">
        <v>0</v>
      </c>
      <c r="P741" s="2">
        <v>-390.7</v>
      </c>
      <c r="Q741" s="2">
        <v>3610.2</v>
      </c>
      <c r="R741" s="2">
        <v>0</v>
      </c>
      <c r="S741" s="2">
        <v>3610.2</v>
      </c>
      <c r="T741" s="2">
        <v>3610.2</v>
      </c>
      <c r="U741" s="2">
        <v>0</v>
      </c>
      <c r="V741" s="2">
        <v>0</v>
      </c>
      <c r="W741" s="2">
        <v>0</v>
      </c>
    </row>
    <row r="742" spans="1:23" outlineLevel="2" x14ac:dyDescent="0.2">
      <c r="A742" t="s">
        <v>0</v>
      </c>
      <c r="B742" t="s">
        <v>31</v>
      </c>
      <c r="C742" t="s">
        <v>79</v>
      </c>
      <c r="D742" t="s">
        <v>80</v>
      </c>
      <c r="E742" t="s">
        <v>81</v>
      </c>
      <c r="F742" t="s">
        <v>5</v>
      </c>
      <c r="G742" t="s">
        <v>6</v>
      </c>
      <c r="H742" t="s">
        <v>35</v>
      </c>
      <c r="I742" t="s">
        <v>36</v>
      </c>
      <c r="J742" t="s">
        <v>9</v>
      </c>
      <c r="K742" t="s">
        <v>267</v>
      </c>
      <c r="L742" t="s">
        <v>274</v>
      </c>
      <c r="M742" t="s">
        <v>12</v>
      </c>
      <c r="N742" s="2">
        <v>0</v>
      </c>
      <c r="O742" s="2">
        <v>0</v>
      </c>
      <c r="P742" s="2">
        <v>1287.4100000000001</v>
      </c>
      <c r="Q742" s="2">
        <v>1287.4100000000001</v>
      </c>
      <c r="R742" s="2">
        <v>0</v>
      </c>
      <c r="S742" s="2">
        <v>0</v>
      </c>
      <c r="T742" s="2">
        <v>0</v>
      </c>
      <c r="U742" s="2">
        <v>1287.4100000000001</v>
      </c>
      <c r="V742" s="2">
        <v>1287.4100000000001</v>
      </c>
      <c r="W742" s="2">
        <v>1287.4100000000001</v>
      </c>
    </row>
    <row r="743" spans="1:23" outlineLevel="2" x14ac:dyDescent="0.2">
      <c r="A743" t="s">
        <v>0</v>
      </c>
      <c r="B743" t="s">
        <v>31</v>
      </c>
      <c r="C743" t="s">
        <v>79</v>
      </c>
      <c r="D743" t="s">
        <v>133</v>
      </c>
      <c r="E743" t="s">
        <v>134</v>
      </c>
      <c r="F743" t="s">
        <v>5</v>
      </c>
      <c r="G743" t="s">
        <v>6</v>
      </c>
      <c r="H743" t="s">
        <v>35</v>
      </c>
      <c r="I743" t="s">
        <v>36</v>
      </c>
      <c r="J743" t="s">
        <v>9</v>
      </c>
      <c r="K743" t="s">
        <v>267</v>
      </c>
      <c r="L743" t="s">
        <v>274</v>
      </c>
      <c r="M743" t="s">
        <v>12</v>
      </c>
      <c r="N743" s="2">
        <v>0</v>
      </c>
      <c r="O743" s="2">
        <v>0</v>
      </c>
      <c r="P743" s="2">
        <v>137.94999999999999</v>
      </c>
      <c r="Q743" s="2">
        <v>137.94999999999999</v>
      </c>
      <c r="R743" s="2">
        <v>0</v>
      </c>
      <c r="S743" s="2">
        <v>0</v>
      </c>
      <c r="T743" s="2">
        <v>0</v>
      </c>
      <c r="U743" s="2">
        <v>137.94999999999999</v>
      </c>
      <c r="V743" s="2">
        <v>137.94999999999999</v>
      </c>
      <c r="W743" s="2">
        <v>137.94999999999999</v>
      </c>
    </row>
    <row r="744" spans="1:23" outlineLevel="2" x14ac:dyDescent="0.2">
      <c r="A744" t="s">
        <v>0</v>
      </c>
      <c r="B744" t="s">
        <v>31</v>
      </c>
      <c r="C744" t="s">
        <v>79</v>
      </c>
      <c r="D744" t="s">
        <v>131</v>
      </c>
      <c r="E744" t="s">
        <v>132</v>
      </c>
      <c r="F744" t="s">
        <v>5</v>
      </c>
      <c r="G744" t="s">
        <v>6</v>
      </c>
      <c r="H744" t="s">
        <v>35</v>
      </c>
      <c r="I744" t="s">
        <v>36</v>
      </c>
      <c r="J744" t="s">
        <v>9</v>
      </c>
      <c r="K744" t="s">
        <v>267</v>
      </c>
      <c r="L744" t="s">
        <v>274</v>
      </c>
      <c r="M744" t="s">
        <v>12</v>
      </c>
      <c r="N744" s="2">
        <v>0</v>
      </c>
      <c r="O744" s="2">
        <v>0</v>
      </c>
      <c r="P744" s="2">
        <v>1470.18</v>
      </c>
      <c r="Q744" s="2">
        <v>1470.18</v>
      </c>
      <c r="R744" s="2">
        <v>0</v>
      </c>
      <c r="S744" s="2">
        <v>0</v>
      </c>
      <c r="T744" s="2">
        <v>0</v>
      </c>
      <c r="U744" s="2">
        <v>1470.18</v>
      </c>
      <c r="V744" s="2">
        <v>1470.18</v>
      </c>
      <c r="W744" s="2">
        <v>1470.18</v>
      </c>
    </row>
    <row r="745" spans="1:23" outlineLevel="2" x14ac:dyDescent="0.2">
      <c r="A745" t="s">
        <v>0</v>
      </c>
      <c r="B745" t="s">
        <v>39</v>
      </c>
      <c r="C745" t="s">
        <v>58</v>
      </c>
      <c r="D745" t="s">
        <v>137</v>
      </c>
      <c r="E745" t="s">
        <v>138</v>
      </c>
      <c r="F745" t="s">
        <v>5</v>
      </c>
      <c r="G745" t="s">
        <v>6</v>
      </c>
      <c r="H745" t="s">
        <v>35</v>
      </c>
      <c r="I745" t="s">
        <v>36</v>
      </c>
      <c r="J745" t="s">
        <v>9</v>
      </c>
      <c r="K745" t="s">
        <v>267</v>
      </c>
      <c r="L745" t="s">
        <v>269</v>
      </c>
      <c r="M745" t="s">
        <v>15</v>
      </c>
      <c r="N745" s="2">
        <v>5936.71</v>
      </c>
      <c r="O745" s="2">
        <v>0</v>
      </c>
      <c r="P745" s="2">
        <v>-865.04</v>
      </c>
      <c r="Q745" s="2">
        <v>5071.67</v>
      </c>
      <c r="R745" s="2">
        <v>0</v>
      </c>
      <c r="S745" s="2">
        <v>5071.67</v>
      </c>
      <c r="T745" s="2">
        <v>5071.67</v>
      </c>
      <c r="U745" s="2">
        <v>0</v>
      </c>
      <c r="V745" s="2">
        <v>0</v>
      </c>
      <c r="W745" s="2">
        <v>0</v>
      </c>
    </row>
    <row r="746" spans="1:23" outlineLevel="2" x14ac:dyDescent="0.2">
      <c r="A746" t="s">
        <v>0</v>
      </c>
      <c r="B746" t="s">
        <v>31</v>
      </c>
      <c r="C746" t="s">
        <v>79</v>
      </c>
      <c r="D746" t="s">
        <v>127</v>
      </c>
      <c r="E746" t="s">
        <v>128</v>
      </c>
      <c r="F746" t="s">
        <v>5</v>
      </c>
      <c r="G746" t="s">
        <v>6</v>
      </c>
      <c r="H746" t="s">
        <v>35</v>
      </c>
      <c r="I746" t="s">
        <v>36</v>
      </c>
      <c r="J746" t="s">
        <v>9</v>
      </c>
      <c r="K746" t="s">
        <v>267</v>
      </c>
      <c r="L746" t="s">
        <v>274</v>
      </c>
      <c r="M746" t="s">
        <v>12</v>
      </c>
      <c r="N746" s="2">
        <v>0</v>
      </c>
      <c r="O746" s="2">
        <v>0</v>
      </c>
      <c r="P746" s="2">
        <v>799.25</v>
      </c>
      <c r="Q746" s="2">
        <v>799.25</v>
      </c>
      <c r="R746" s="2">
        <v>0</v>
      </c>
      <c r="S746" s="2">
        <v>0</v>
      </c>
      <c r="T746" s="2">
        <v>0</v>
      </c>
      <c r="U746" s="2">
        <v>799.25</v>
      </c>
      <c r="V746" s="2">
        <v>799.25</v>
      </c>
      <c r="W746" s="2">
        <v>799.25</v>
      </c>
    </row>
    <row r="747" spans="1:23" outlineLevel="2" x14ac:dyDescent="0.2">
      <c r="A747" t="s">
        <v>0</v>
      </c>
      <c r="B747" t="s">
        <v>31</v>
      </c>
      <c r="C747" t="s">
        <v>79</v>
      </c>
      <c r="D747" t="s">
        <v>117</v>
      </c>
      <c r="E747" t="s">
        <v>118</v>
      </c>
      <c r="F747" t="s">
        <v>5</v>
      </c>
      <c r="G747" t="s">
        <v>6</v>
      </c>
      <c r="H747" t="s">
        <v>35</v>
      </c>
      <c r="I747" t="s">
        <v>36</v>
      </c>
      <c r="J747" t="s">
        <v>9</v>
      </c>
      <c r="K747" t="s">
        <v>267</v>
      </c>
      <c r="L747" t="s">
        <v>274</v>
      </c>
      <c r="M747" t="s">
        <v>12</v>
      </c>
      <c r="N747" s="2">
        <v>0</v>
      </c>
      <c r="O747" s="2">
        <v>0</v>
      </c>
      <c r="P747" s="2">
        <v>1876.28</v>
      </c>
      <c r="Q747" s="2">
        <v>1876.28</v>
      </c>
      <c r="R747" s="2">
        <v>0</v>
      </c>
      <c r="S747" s="2">
        <v>0</v>
      </c>
      <c r="T747" s="2">
        <v>0</v>
      </c>
      <c r="U747" s="2">
        <v>1876.28</v>
      </c>
      <c r="V747" s="2">
        <v>1876.28</v>
      </c>
      <c r="W747" s="2">
        <v>1876.28</v>
      </c>
    </row>
    <row r="748" spans="1:23" outlineLevel="2" x14ac:dyDescent="0.2">
      <c r="A748" t="s">
        <v>0</v>
      </c>
      <c r="B748" t="s">
        <v>39</v>
      </c>
      <c r="C748" t="s">
        <v>58</v>
      </c>
      <c r="D748" t="s">
        <v>135</v>
      </c>
      <c r="E748" t="s">
        <v>136</v>
      </c>
      <c r="F748" t="s">
        <v>5</v>
      </c>
      <c r="G748" t="s">
        <v>6</v>
      </c>
      <c r="H748" t="s">
        <v>35</v>
      </c>
      <c r="I748" t="s">
        <v>36</v>
      </c>
      <c r="J748" t="s">
        <v>9</v>
      </c>
      <c r="K748" t="s">
        <v>267</v>
      </c>
      <c r="L748" t="s">
        <v>269</v>
      </c>
      <c r="M748" t="s">
        <v>15</v>
      </c>
      <c r="N748" s="2">
        <v>4962.9399999999996</v>
      </c>
      <c r="O748" s="2">
        <v>0</v>
      </c>
      <c r="P748" s="2">
        <v>-3162.94</v>
      </c>
      <c r="Q748" s="2">
        <v>1800</v>
      </c>
      <c r="R748" s="2">
        <v>0</v>
      </c>
      <c r="S748" s="2">
        <v>1800</v>
      </c>
      <c r="T748" s="2">
        <v>1800</v>
      </c>
      <c r="U748" s="2">
        <v>0</v>
      </c>
      <c r="V748" s="2">
        <v>0</v>
      </c>
      <c r="W748" s="2">
        <v>0</v>
      </c>
    </row>
    <row r="749" spans="1:23" outlineLevel="2" x14ac:dyDescent="0.2">
      <c r="A749" t="s">
        <v>0</v>
      </c>
      <c r="B749" t="s">
        <v>1</v>
      </c>
      <c r="C749" t="s">
        <v>91</v>
      </c>
      <c r="D749" t="s">
        <v>92</v>
      </c>
      <c r="E749" t="s">
        <v>93</v>
      </c>
      <c r="F749" t="s">
        <v>5</v>
      </c>
      <c r="G749" t="s">
        <v>6</v>
      </c>
      <c r="H749" t="s">
        <v>35</v>
      </c>
      <c r="I749" t="s">
        <v>36</v>
      </c>
      <c r="J749" t="s">
        <v>9</v>
      </c>
      <c r="K749" t="s">
        <v>267</v>
      </c>
      <c r="L749" t="s">
        <v>279</v>
      </c>
      <c r="M749" t="s">
        <v>12</v>
      </c>
      <c r="N749" s="2">
        <v>0</v>
      </c>
      <c r="O749" s="2">
        <v>0</v>
      </c>
      <c r="P749" s="2">
        <v>23220.92</v>
      </c>
      <c r="Q749" s="2">
        <v>23220.92</v>
      </c>
      <c r="R749" s="2">
        <v>0</v>
      </c>
      <c r="S749" s="2">
        <v>0</v>
      </c>
      <c r="T749" s="2">
        <v>0</v>
      </c>
      <c r="U749" s="2">
        <v>23220.92</v>
      </c>
      <c r="V749" s="2">
        <v>23220.92</v>
      </c>
      <c r="W749" s="2">
        <v>23220.92</v>
      </c>
    </row>
    <row r="750" spans="1:23" outlineLevel="2" x14ac:dyDescent="0.2">
      <c r="A750" t="s">
        <v>0</v>
      </c>
      <c r="B750" t="s">
        <v>31</v>
      </c>
      <c r="C750" t="s">
        <v>79</v>
      </c>
      <c r="D750" t="s">
        <v>111</v>
      </c>
      <c r="E750" t="s">
        <v>112</v>
      </c>
      <c r="F750" t="s">
        <v>5</v>
      </c>
      <c r="G750" t="s">
        <v>6</v>
      </c>
      <c r="H750" t="s">
        <v>35</v>
      </c>
      <c r="I750" t="s">
        <v>36</v>
      </c>
      <c r="J750" t="s">
        <v>9</v>
      </c>
      <c r="K750" t="s">
        <v>267</v>
      </c>
      <c r="L750" t="s">
        <v>274</v>
      </c>
      <c r="M750" t="s">
        <v>12</v>
      </c>
      <c r="N750" s="2">
        <v>0</v>
      </c>
      <c r="O750" s="2">
        <v>0</v>
      </c>
      <c r="P750" s="2">
        <v>1966.13</v>
      </c>
      <c r="Q750" s="2">
        <v>1966.13</v>
      </c>
      <c r="R750" s="2">
        <v>0</v>
      </c>
      <c r="S750" s="2">
        <v>0</v>
      </c>
      <c r="T750" s="2">
        <v>0</v>
      </c>
      <c r="U750" s="2">
        <v>1966.13</v>
      </c>
      <c r="V750" s="2">
        <v>1966.13</v>
      </c>
      <c r="W750" s="2">
        <v>1966.13</v>
      </c>
    </row>
    <row r="751" spans="1:23" outlineLevel="2" x14ac:dyDescent="0.2">
      <c r="A751" t="s">
        <v>0</v>
      </c>
      <c r="B751" t="s">
        <v>1</v>
      </c>
      <c r="C751" t="s">
        <v>16</v>
      </c>
      <c r="D751" t="s">
        <v>103</v>
      </c>
      <c r="E751" t="s">
        <v>104</v>
      </c>
      <c r="F751" t="s">
        <v>5</v>
      </c>
      <c r="G751" t="s">
        <v>6</v>
      </c>
      <c r="H751" t="s">
        <v>35</v>
      </c>
      <c r="I751" t="s">
        <v>36</v>
      </c>
      <c r="J751" t="s">
        <v>9</v>
      </c>
      <c r="K751" t="s">
        <v>267</v>
      </c>
      <c r="L751" t="s">
        <v>271</v>
      </c>
      <c r="M751" t="s">
        <v>15</v>
      </c>
      <c r="N751" s="2">
        <v>15104.24</v>
      </c>
      <c r="O751" s="2">
        <v>2706</v>
      </c>
      <c r="P751" s="2">
        <v>-2224.37</v>
      </c>
      <c r="Q751" s="2">
        <v>15585.87</v>
      </c>
      <c r="R751" s="2">
        <v>0</v>
      </c>
      <c r="S751" s="2">
        <v>15585.87</v>
      </c>
      <c r="T751" s="2">
        <v>15585.87</v>
      </c>
      <c r="U751" s="2">
        <v>0</v>
      </c>
      <c r="V751" s="2">
        <v>0</v>
      </c>
      <c r="W751" s="2">
        <v>0</v>
      </c>
    </row>
    <row r="752" spans="1:23" outlineLevel="2" x14ac:dyDescent="0.2">
      <c r="A752" t="s">
        <v>0</v>
      </c>
      <c r="B752" t="s">
        <v>31</v>
      </c>
      <c r="C752" t="s">
        <v>79</v>
      </c>
      <c r="D752" t="s">
        <v>113</v>
      </c>
      <c r="E752" t="s">
        <v>114</v>
      </c>
      <c r="F752" t="s">
        <v>5</v>
      </c>
      <c r="G752" t="s">
        <v>6</v>
      </c>
      <c r="H752" t="s">
        <v>35</v>
      </c>
      <c r="I752" t="s">
        <v>36</v>
      </c>
      <c r="J752" t="s">
        <v>9</v>
      </c>
      <c r="K752" t="s">
        <v>267</v>
      </c>
      <c r="L752" t="s">
        <v>274</v>
      </c>
      <c r="M752" t="s">
        <v>12</v>
      </c>
      <c r="N752" s="2">
        <v>0</v>
      </c>
      <c r="O752" s="2">
        <v>0</v>
      </c>
      <c r="P752" s="2">
        <v>223.98</v>
      </c>
      <c r="Q752" s="2">
        <v>223.98</v>
      </c>
      <c r="R752" s="2">
        <v>0</v>
      </c>
      <c r="S752" s="2">
        <v>0</v>
      </c>
      <c r="T752" s="2">
        <v>0</v>
      </c>
      <c r="U752" s="2">
        <v>223.98</v>
      </c>
      <c r="V752" s="2">
        <v>223.98</v>
      </c>
      <c r="W752" s="2">
        <v>223.98</v>
      </c>
    </row>
    <row r="753" spans="1:23" outlineLevel="2" x14ac:dyDescent="0.2">
      <c r="A753" t="s">
        <v>0</v>
      </c>
      <c r="B753" t="s">
        <v>39</v>
      </c>
      <c r="C753" t="s">
        <v>95</v>
      </c>
      <c r="D753" t="s">
        <v>96</v>
      </c>
      <c r="E753" t="s">
        <v>97</v>
      </c>
      <c r="F753" t="s">
        <v>5</v>
      </c>
      <c r="G753" t="s">
        <v>6</v>
      </c>
      <c r="H753" t="s">
        <v>35</v>
      </c>
      <c r="I753" t="s">
        <v>36</v>
      </c>
      <c r="J753" t="s">
        <v>9</v>
      </c>
      <c r="K753" t="s">
        <v>267</v>
      </c>
      <c r="L753" t="s">
        <v>282</v>
      </c>
      <c r="M753" t="s">
        <v>15</v>
      </c>
      <c r="N753" s="2">
        <v>9832.32</v>
      </c>
      <c r="O753" s="2">
        <v>0</v>
      </c>
      <c r="P753" s="2">
        <v>-1552.78</v>
      </c>
      <c r="Q753" s="2">
        <v>8279.5400000000009</v>
      </c>
      <c r="R753" s="2">
        <v>0</v>
      </c>
      <c r="S753" s="2">
        <v>8279.5400000000009</v>
      </c>
      <c r="T753" s="2">
        <v>8279.5400000000009</v>
      </c>
      <c r="U753" s="2">
        <v>0</v>
      </c>
      <c r="V753" s="2">
        <v>0</v>
      </c>
      <c r="W753" s="2">
        <v>0</v>
      </c>
    </row>
    <row r="754" spans="1:23" outlineLevel="2" x14ac:dyDescent="0.2">
      <c r="A754" t="s">
        <v>0</v>
      </c>
      <c r="B754" t="s">
        <v>39</v>
      </c>
      <c r="C754" t="s">
        <v>58</v>
      </c>
      <c r="D754" t="s">
        <v>105</v>
      </c>
      <c r="E754" t="s">
        <v>106</v>
      </c>
      <c r="F754" t="s">
        <v>5</v>
      </c>
      <c r="G754" t="s">
        <v>6</v>
      </c>
      <c r="H754" t="s">
        <v>35</v>
      </c>
      <c r="I754" t="s">
        <v>36</v>
      </c>
      <c r="J754" t="s">
        <v>9</v>
      </c>
      <c r="K754" t="s">
        <v>267</v>
      </c>
      <c r="L754" t="s">
        <v>269</v>
      </c>
      <c r="M754" t="s">
        <v>15</v>
      </c>
      <c r="N754" s="2">
        <v>3057.43</v>
      </c>
      <c r="O754" s="2">
        <v>16949.580000000002</v>
      </c>
      <c r="P754" s="2">
        <v>-0.34</v>
      </c>
      <c r="Q754" s="2">
        <v>20006.669999999998</v>
      </c>
      <c r="R754" s="2">
        <v>0</v>
      </c>
      <c r="S754" s="2">
        <v>20006.669999999998</v>
      </c>
      <c r="T754" s="2">
        <v>20006.669999999998</v>
      </c>
      <c r="U754" s="2">
        <v>0</v>
      </c>
      <c r="V754" s="2">
        <v>0</v>
      </c>
      <c r="W754" s="2">
        <v>0</v>
      </c>
    </row>
    <row r="755" spans="1:23" outlineLevel="2" x14ac:dyDescent="0.2">
      <c r="A755" t="s">
        <v>0</v>
      </c>
      <c r="B755" t="s">
        <v>31</v>
      </c>
      <c r="C755" t="s">
        <v>79</v>
      </c>
      <c r="D755" t="s">
        <v>115</v>
      </c>
      <c r="E755" t="s">
        <v>116</v>
      </c>
      <c r="F755" t="s">
        <v>5</v>
      </c>
      <c r="G755" t="s">
        <v>6</v>
      </c>
      <c r="H755" t="s">
        <v>35</v>
      </c>
      <c r="I755" t="s">
        <v>36</v>
      </c>
      <c r="J755" t="s">
        <v>9</v>
      </c>
      <c r="K755" t="s">
        <v>267</v>
      </c>
      <c r="L755" t="s">
        <v>274</v>
      </c>
      <c r="M755" t="s">
        <v>12</v>
      </c>
      <c r="N755" s="2">
        <v>0</v>
      </c>
      <c r="O755" s="2">
        <v>0</v>
      </c>
      <c r="P755" s="2">
        <v>780.76</v>
      </c>
      <c r="Q755" s="2">
        <v>780.76</v>
      </c>
      <c r="R755" s="2">
        <v>0</v>
      </c>
      <c r="S755" s="2">
        <v>0</v>
      </c>
      <c r="T755" s="2">
        <v>0</v>
      </c>
      <c r="U755" s="2">
        <v>780.76</v>
      </c>
      <c r="V755" s="2">
        <v>780.76</v>
      </c>
      <c r="W755" s="2">
        <v>780.76</v>
      </c>
    </row>
    <row r="756" spans="1:23" outlineLevel="2" x14ac:dyDescent="0.2">
      <c r="A756" t="s">
        <v>0</v>
      </c>
      <c r="B756" t="s">
        <v>53</v>
      </c>
      <c r="C756" t="s">
        <v>54</v>
      </c>
      <c r="D756" t="s">
        <v>55</v>
      </c>
      <c r="E756" t="s">
        <v>56</v>
      </c>
      <c r="F756" t="s">
        <v>5</v>
      </c>
      <c r="G756" t="s">
        <v>6</v>
      </c>
      <c r="H756" t="s">
        <v>35</v>
      </c>
      <c r="I756" t="s">
        <v>36</v>
      </c>
      <c r="J756" t="s">
        <v>9</v>
      </c>
      <c r="K756" t="s">
        <v>267</v>
      </c>
      <c r="L756" t="s">
        <v>273</v>
      </c>
      <c r="M756" t="s">
        <v>15</v>
      </c>
      <c r="N756" s="2">
        <v>10426.629999999999</v>
      </c>
      <c r="O756" s="2">
        <v>28600</v>
      </c>
      <c r="P756" s="2">
        <v>-5122.46</v>
      </c>
      <c r="Q756" s="2">
        <v>33904.17</v>
      </c>
      <c r="R756" s="2">
        <v>0</v>
      </c>
      <c r="S756" s="2">
        <v>33904.17</v>
      </c>
      <c r="T756" s="2">
        <v>33904.17</v>
      </c>
      <c r="U756" s="2">
        <v>0</v>
      </c>
      <c r="V756" s="2">
        <v>0</v>
      </c>
      <c r="W756" s="2">
        <v>0</v>
      </c>
    </row>
    <row r="757" spans="1:23" outlineLevel="2" x14ac:dyDescent="0.2">
      <c r="A757" t="s">
        <v>0</v>
      </c>
      <c r="B757" t="s">
        <v>39</v>
      </c>
      <c r="C757" t="s">
        <v>70</v>
      </c>
      <c r="D757" t="s">
        <v>89</v>
      </c>
      <c r="E757" t="s">
        <v>90</v>
      </c>
      <c r="F757" t="s">
        <v>5</v>
      </c>
      <c r="G757" t="s">
        <v>6</v>
      </c>
      <c r="H757" t="s">
        <v>35</v>
      </c>
      <c r="I757" t="s">
        <v>36</v>
      </c>
      <c r="J757" t="s">
        <v>9</v>
      </c>
      <c r="K757" t="s">
        <v>267</v>
      </c>
      <c r="L757" t="s">
        <v>283</v>
      </c>
      <c r="M757" t="s">
        <v>12</v>
      </c>
      <c r="N757" s="2">
        <v>0</v>
      </c>
      <c r="O757" s="2">
        <v>0</v>
      </c>
      <c r="P757" s="2">
        <v>13644.46</v>
      </c>
      <c r="Q757" s="2">
        <v>13644.46</v>
      </c>
      <c r="R757" s="2">
        <v>0</v>
      </c>
      <c r="S757" s="2">
        <v>0</v>
      </c>
      <c r="T757" s="2">
        <v>0</v>
      </c>
      <c r="U757" s="2">
        <v>13644.46</v>
      </c>
      <c r="V757" s="2">
        <v>13644.46</v>
      </c>
      <c r="W757" s="2">
        <v>13644.46</v>
      </c>
    </row>
    <row r="758" spans="1:23" outlineLevel="2" x14ac:dyDescent="0.2">
      <c r="A758" t="s">
        <v>0</v>
      </c>
      <c r="B758" t="s">
        <v>39</v>
      </c>
      <c r="C758" t="s">
        <v>58</v>
      </c>
      <c r="D758" t="s">
        <v>129</v>
      </c>
      <c r="E758" t="s">
        <v>130</v>
      </c>
      <c r="F758" t="s">
        <v>5</v>
      </c>
      <c r="G758" t="s">
        <v>6</v>
      </c>
      <c r="H758" t="s">
        <v>35</v>
      </c>
      <c r="I758" t="s">
        <v>36</v>
      </c>
      <c r="J758" t="s">
        <v>9</v>
      </c>
      <c r="K758" t="s">
        <v>267</v>
      </c>
      <c r="L758" t="s">
        <v>269</v>
      </c>
      <c r="M758" t="s">
        <v>15</v>
      </c>
      <c r="N758" s="2">
        <v>2843.71</v>
      </c>
      <c r="O758" s="2">
        <v>750</v>
      </c>
      <c r="P758" s="2">
        <v>-563.71</v>
      </c>
      <c r="Q758" s="2">
        <v>3030</v>
      </c>
      <c r="R758" s="2">
        <v>0</v>
      </c>
      <c r="S758" s="2">
        <v>3030</v>
      </c>
      <c r="T758" s="2">
        <v>3030</v>
      </c>
      <c r="U758" s="2">
        <v>0</v>
      </c>
      <c r="V758" s="2">
        <v>0</v>
      </c>
      <c r="W758" s="2">
        <v>0</v>
      </c>
    </row>
    <row r="759" spans="1:23" outlineLevel="2" x14ac:dyDescent="0.2">
      <c r="A759" t="s">
        <v>0</v>
      </c>
      <c r="B759" t="s">
        <v>1</v>
      </c>
      <c r="C759" t="s">
        <v>2</v>
      </c>
      <c r="D759" t="s">
        <v>3</v>
      </c>
      <c r="E759" t="s">
        <v>4</v>
      </c>
      <c r="F759" t="s">
        <v>5</v>
      </c>
      <c r="G759" t="s">
        <v>6</v>
      </c>
      <c r="H759" t="s">
        <v>35</v>
      </c>
      <c r="I759" t="s">
        <v>36</v>
      </c>
      <c r="J759" t="s">
        <v>9</v>
      </c>
      <c r="K759" t="s">
        <v>284</v>
      </c>
      <c r="L759" t="s">
        <v>285</v>
      </c>
      <c r="M759" t="s">
        <v>15</v>
      </c>
      <c r="N759" s="2">
        <v>10243.32</v>
      </c>
      <c r="O759" s="2">
        <v>24102.080000000002</v>
      </c>
      <c r="P759" s="2">
        <v>-1003.18</v>
      </c>
      <c r="Q759" s="2">
        <v>33342.22</v>
      </c>
      <c r="R759" s="2">
        <v>0</v>
      </c>
      <c r="S759" s="2">
        <v>33342.22</v>
      </c>
      <c r="T759" s="2">
        <v>33342.22</v>
      </c>
      <c r="U759" s="2">
        <v>0</v>
      </c>
      <c r="V759" s="2">
        <v>0</v>
      </c>
      <c r="W759" s="2">
        <v>0</v>
      </c>
    </row>
    <row r="760" spans="1:23" outlineLevel="2" x14ac:dyDescent="0.2">
      <c r="A760" t="s">
        <v>0</v>
      </c>
      <c r="B760" t="s">
        <v>1</v>
      </c>
      <c r="C760" t="s">
        <v>16</v>
      </c>
      <c r="D760" t="s">
        <v>62</v>
      </c>
      <c r="E760" t="s">
        <v>63</v>
      </c>
      <c r="F760" t="s">
        <v>5</v>
      </c>
      <c r="G760" t="s">
        <v>6</v>
      </c>
      <c r="H760" t="s">
        <v>35</v>
      </c>
      <c r="I760" t="s">
        <v>36</v>
      </c>
      <c r="J760" t="s">
        <v>9</v>
      </c>
      <c r="K760" t="s">
        <v>284</v>
      </c>
      <c r="L760" t="s">
        <v>286</v>
      </c>
      <c r="M760" t="s">
        <v>15</v>
      </c>
      <c r="N760" s="2">
        <v>758.71</v>
      </c>
      <c r="O760" s="2">
        <v>0</v>
      </c>
      <c r="P760" s="2">
        <v>-389.84</v>
      </c>
      <c r="Q760" s="2">
        <v>368.87</v>
      </c>
      <c r="R760" s="2">
        <v>0</v>
      </c>
      <c r="S760" s="2">
        <v>368.87</v>
      </c>
      <c r="T760" s="2">
        <v>368.87</v>
      </c>
      <c r="U760" s="2">
        <v>0</v>
      </c>
      <c r="V760" s="2">
        <v>0</v>
      </c>
      <c r="W760" s="2">
        <v>0</v>
      </c>
    </row>
    <row r="761" spans="1:23" outlineLevel="2" x14ac:dyDescent="0.2">
      <c r="A761" t="s">
        <v>0</v>
      </c>
      <c r="B761" t="s">
        <v>1</v>
      </c>
      <c r="C761" t="s">
        <v>44</v>
      </c>
      <c r="D761" t="s">
        <v>45</v>
      </c>
      <c r="E761" t="s">
        <v>46</v>
      </c>
      <c r="F761" t="s">
        <v>5</v>
      </c>
      <c r="G761" t="s">
        <v>6</v>
      </c>
      <c r="H761" t="s">
        <v>35</v>
      </c>
      <c r="I761" t="s">
        <v>36</v>
      </c>
      <c r="J761" t="s">
        <v>9</v>
      </c>
      <c r="K761" t="s">
        <v>284</v>
      </c>
      <c r="L761" t="s">
        <v>287</v>
      </c>
      <c r="M761" t="s">
        <v>12</v>
      </c>
      <c r="N761" s="2">
        <v>0</v>
      </c>
      <c r="O761" s="2">
        <v>0</v>
      </c>
      <c r="P761" s="2">
        <v>773.01</v>
      </c>
      <c r="Q761" s="2">
        <v>773.01</v>
      </c>
      <c r="R761" s="2">
        <v>0</v>
      </c>
      <c r="S761" s="2">
        <v>0</v>
      </c>
      <c r="T761" s="2">
        <v>0</v>
      </c>
      <c r="U761" s="2">
        <v>773.01</v>
      </c>
      <c r="V761" s="2">
        <v>773.01</v>
      </c>
      <c r="W761" s="2">
        <v>773.01</v>
      </c>
    </row>
    <row r="762" spans="1:23" outlineLevel="2" x14ac:dyDescent="0.2">
      <c r="A762" t="s">
        <v>0</v>
      </c>
      <c r="B762" t="s">
        <v>1</v>
      </c>
      <c r="C762" t="s">
        <v>99</v>
      </c>
      <c r="D762" t="s">
        <v>100</v>
      </c>
      <c r="E762" t="s">
        <v>101</v>
      </c>
      <c r="F762" t="s">
        <v>5</v>
      </c>
      <c r="G762" t="s">
        <v>6</v>
      </c>
      <c r="H762" t="s">
        <v>35</v>
      </c>
      <c r="I762" t="s">
        <v>36</v>
      </c>
      <c r="J762" t="s">
        <v>9</v>
      </c>
      <c r="K762" t="s">
        <v>284</v>
      </c>
      <c r="L762" t="s">
        <v>288</v>
      </c>
      <c r="M762" t="s">
        <v>15</v>
      </c>
      <c r="N762" s="2">
        <v>88535.360000000001</v>
      </c>
      <c r="O762" s="2">
        <v>0</v>
      </c>
      <c r="P762" s="2">
        <v>-37826.81</v>
      </c>
      <c r="Q762" s="2">
        <v>50708.55</v>
      </c>
      <c r="R762" s="2">
        <v>0</v>
      </c>
      <c r="S762" s="2">
        <v>50708.55</v>
      </c>
      <c r="T762" s="2">
        <v>50708.55</v>
      </c>
      <c r="U762" s="2">
        <v>0</v>
      </c>
      <c r="V762" s="2">
        <v>0</v>
      </c>
      <c r="W762" s="2">
        <v>0</v>
      </c>
    </row>
    <row r="763" spans="1:23" outlineLevel="2" x14ac:dyDescent="0.2">
      <c r="A763" t="s">
        <v>0</v>
      </c>
      <c r="B763" t="s">
        <v>39</v>
      </c>
      <c r="C763" t="s">
        <v>58</v>
      </c>
      <c r="D763" t="s">
        <v>149</v>
      </c>
      <c r="E763" t="s">
        <v>150</v>
      </c>
      <c r="F763" t="s">
        <v>5</v>
      </c>
      <c r="G763" t="s">
        <v>6</v>
      </c>
      <c r="H763" t="s">
        <v>35</v>
      </c>
      <c r="I763" t="s">
        <v>36</v>
      </c>
      <c r="J763" t="s">
        <v>9</v>
      </c>
      <c r="K763" t="s">
        <v>284</v>
      </c>
      <c r="L763" t="s">
        <v>289</v>
      </c>
      <c r="M763" t="s">
        <v>15</v>
      </c>
      <c r="N763" s="2">
        <v>18437.34</v>
      </c>
      <c r="O763" s="2">
        <v>0</v>
      </c>
      <c r="P763" s="2">
        <v>-10051.1</v>
      </c>
      <c r="Q763" s="2">
        <v>8386.24</v>
      </c>
      <c r="R763" s="2">
        <v>0</v>
      </c>
      <c r="S763" s="2">
        <v>8386.24</v>
      </c>
      <c r="T763" s="2">
        <v>8386.24</v>
      </c>
      <c r="U763" s="2">
        <v>0</v>
      </c>
      <c r="V763" s="2">
        <v>0</v>
      </c>
      <c r="W763" s="2">
        <v>0</v>
      </c>
    </row>
    <row r="764" spans="1:23" outlineLevel="2" x14ac:dyDescent="0.2">
      <c r="A764" t="s">
        <v>0</v>
      </c>
      <c r="B764" t="s">
        <v>31</v>
      </c>
      <c r="C764" t="s">
        <v>79</v>
      </c>
      <c r="D764" t="s">
        <v>127</v>
      </c>
      <c r="E764" t="s">
        <v>128</v>
      </c>
      <c r="F764" t="s">
        <v>5</v>
      </c>
      <c r="G764" t="s">
        <v>6</v>
      </c>
      <c r="H764" t="s">
        <v>35</v>
      </c>
      <c r="I764" t="s">
        <v>36</v>
      </c>
      <c r="J764" t="s">
        <v>9</v>
      </c>
      <c r="K764" t="s">
        <v>284</v>
      </c>
      <c r="L764" t="s">
        <v>290</v>
      </c>
      <c r="M764" t="s">
        <v>12</v>
      </c>
      <c r="N764" s="2">
        <v>0</v>
      </c>
      <c r="O764" s="2">
        <v>0</v>
      </c>
      <c r="P764" s="2">
        <v>157.78</v>
      </c>
      <c r="Q764" s="2">
        <v>157.78</v>
      </c>
      <c r="R764" s="2">
        <v>0</v>
      </c>
      <c r="S764" s="2">
        <v>0</v>
      </c>
      <c r="T764" s="2">
        <v>0</v>
      </c>
      <c r="U764" s="2">
        <v>157.78</v>
      </c>
      <c r="V764" s="2">
        <v>157.78</v>
      </c>
      <c r="W764" s="2">
        <v>157.78</v>
      </c>
    </row>
    <row r="765" spans="1:23" outlineLevel="2" x14ac:dyDescent="0.2">
      <c r="A765" t="s">
        <v>0</v>
      </c>
      <c r="B765" t="s">
        <v>31</v>
      </c>
      <c r="C765" t="s">
        <v>79</v>
      </c>
      <c r="D765" t="s">
        <v>133</v>
      </c>
      <c r="E765" t="s">
        <v>134</v>
      </c>
      <c r="F765" t="s">
        <v>5</v>
      </c>
      <c r="G765" t="s">
        <v>6</v>
      </c>
      <c r="H765" t="s">
        <v>35</v>
      </c>
      <c r="I765" t="s">
        <v>36</v>
      </c>
      <c r="J765" t="s">
        <v>9</v>
      </c>
      <c r="K765" t="s">
        <v>284</v>
      </c>
      <c r="L765" t="s">
        <v>290</v>
      </c>
      <c r="M765" t="s">
        <v>15</v>
      </c>
      <c r="N765" s="2">
        <v>1105.57</v>
      </c>
      <c r="O765" s="2">
        <v>0</v>
      </c>
      <c r="P765" s="2">
        <v>-588.54</v>
      </c>
      <c r="Q765" s="2">
        <v>517.03</v>
      </c>
      <c r="R765" s="2">
        <v>0</v>
      </c>
      <c r="S765" s="2">
        <v>517.03</v>
      </c>
      <c r="T765" s="2">
        <v>517.03</v>
      </c>
      <c r="U765" s="2">
        <v>0</v>
      </c>
      <c r="V765" s="2">
        <v>0</v>
      </c>
      <c r="W765" s="2">
        <v>0</v>
      </c>
    </row>
    <row r="766" spans="1:23" outlineLevel="2" x14ac:dyDescent="0.2">
      <c r="A766" t="s">
        <v>0</v>
      </c>
      <c r="B766" t="s">
        <v>39</v>
      </c>
      <c r="C766" t="s">
        <v>66</v>
      </c>
      <c r="D766" t="s">
        <v>121</v>
      </c>
      <c r="E766" t="s">
        <v>122</v>
      </c>
      <c r="F766" t="s">
        <v>5</v>
      </c>
      <c r="G766" t="s">
        <v>6</v>
      </c>
      <c r="H766" t="s">
        <v>35</v>
      </c>
      <c r="I766" t="s">
        <v>36</v>
      </c>
      <c r="J766" t="s">
        <v>9</v>
      </c>
      <c r="K766" t="s">
        <v>284</v>
      </c>
      <c r="L766" t="s">
        <v>291</v>
      </c>
      <c r="M766" t="s">
        <v>12</v>
      </c>
      <c r="N766" s="2">
        <v>0</v>
      </c>
      <c r="O766" s="2">
        <v>0</v>
      </c>
      <c r="P766" s="2">
        <v>1416.5</v>
      </c>
      <c r="Q766" s="2">
        <v>1416.5</v>
      </c>
      <c r="R766" s="2">
        <v>0</v>
      </c>
      <c r="S766" s="2">
        <v>0</v>
      </c>
      <c r="T766" s="2">
        <v>0</v>
      </c>
      <c r="U766" s="2">
        <v>1416.5</v>
      </c>
      <c r="V766" s="2">
        <v>1416.5</v>
      </c>
      <c r="W766" s="2">
        <v>1416.5</v>
      </c>
    </row>
    <row r="767" spans="1:23" outlineLevel="2" x14ac:dyDescent="0.2">
      <c r="A767" t="s">
        <v>0</v>
      </c>
      <c r="B767" t="s">
        <v>1</v>
      </c>
      <c r="C767" t="s">
        <v>2</v>
      </c>
      <c r="D767" t="s">
        <v>3</v>
      </c>
      <c r="E767" t="s">
        <v>4</v>
      </c>
      <c r="F767" t="s">
        <v>5</v>
      </c>
      <c r="G767" t="s">
        <v>6</v>
      </c>
      <c r="H767" t="s">
        <v>35</v>
      </c>
      <c r="I767" t="s">
        <v>36</v>
      </c>
      <c r="J767" t="s">
        <v>9</v>
      </c>
      <c r="K767" t="s">
        <v>284</v>
      </c>
      <c r="L767" t="s">
        <v>285</v>
      </c>
      <c r="M767" t="s">
        <v>12</v>
      </c>
      <c r="N767" s="2">
        <v>0</v>
      </c>
      <c r="O767" s="2">
        <v>0</v>
      </c>
      <c r="P767" s="2">
        <v>13600.32</v>
      </c>
      <c r="Q767" s="2">
        <v>13600.32</v>
      </c>
      <c r="R767" s="2">
        <v>0</v>
      </c>
      <c r="S767" s="2">
        <v>939.22</v>
      </c>
      <c r="T767" s="2">
        <v>939.22</v>
      </c>
      <c r="U767" s="2">
        <v>12661.1</v>
      </c>
      <c r="V767" s="2">
        <v>12661.1</v>
      </c>
      <c r="W767" s="2">
        <v>12661.1</v>
      </c>
    </row>
    <row r="768" spans="1:23" outlineLevel="2" x14ac:dyDescent="0.2">
      <c r="A768" t="s">
        <v>0</v>
      </c>
      <c r="B768" t="s">
        <v>39</v>
      </c>
      <c r="C768" t="s">
        <v>58</v>
      </c>
      <c r="D768" t="s">
        <v>145</v>
      </c>
      <c r="E768" t="s">
        <v>146</v>
      </c>
      <c r="F768" t="s">
        <v>5</v>
      </c>
      <c r="G768" t="s">
        <v>6</v>
      </c>
      <c r="H768" t="s">
        <v>35</v>
      </c>
      <c r="I768" t="s">
        <v>36</v>
      </c>
      <c r="J768" t="s">
        <v>9</v>
      </c>
      <c r="K768" t="s">
        <v>284</v>
      </c>
      <c r="L768" t="s">
        <v>289</v>
      </c>
      <c r="M768" t="s">
        <v>12</v>
      </c>
      <c r="N768" s="2">
        <v>0</v>
      </c>
      <c r="O768" s="2">
        <v>-663.84</v>
      </c>
      <c r="P768" s="2">
        <v>3249.68</v>
      </c>
      <c r="Q768" s="2">
        <v>2585.84</v>
      </c>
      <c r="R768" s="2">
        <v>0</v>
      </c>
      <c r="S768" s="2">
        <v>1112.8499999999999</v>
      </c>
      <c r="T768" s="2">
        <v>1112.8499999999999</v>
      </c>
      <c r="U768" s="2">
        <v>1472.99</v>
      </c>
      <c r="V768" s="2">
        <v>1472.99</v>
      </c>
      <c r="W768" s="2">
        <v>1472.99</v>
      </c>
    </row>
    <row r="769" spans="1:23" outlineLevel="2" x14ac:dyDescent="0.2">
      <c r="A769" t="s">
        <v>0</v>
      </c>
      <c r="B769" t="s">
        <v>31</v>
      </c>
      <c r="C769" t="s">
        <v>32</v>
      </c>
      <c r="D769" t="s">
        <v>75</v>
      </c>
      <c r="E769" t="s">
        <v>76</v>
      </c>
      <c r="F769" t="s">
        <v>5</v>
      </c>
      <c r="G769" t="s">
        <v>6</v>
      </c>
      <c r="H769" t="s">
        <v>35</v>
      </c>
      <c r="I769" t="s">
        <v>36</v>
      </c>
      <c r="J769" t="s">
        <v>9</v>
      </c>
      <c r="K769" t="s">
        <v>284</v>
      </c>
      <c r="L769" t="s">
        <v>292</v>
      </c>
      <c r="M769" t="s">
        <v>15</v>
      </c>
      <c r="N769" s="2">
        <v>1840.7</v>
      </c>
      <c r="O769" s="2">
        <v>0</v>
      </c>
      <c r="P769" s="2">
        <v>-219.72</v>
      </c>
      <c r="Q769" s="2">
        <v>1620.98</v>
      </c>
      <c r="R769" s="2">
        <v>0</v>
      </c>
      <c r="S769" s="2">
        <v>1620.98</v>
      </c>
      <c r="T769" s="2">
        <v>1620.98</v>
      </c>
      <c r="U769" s="2">
        <v>0</v>
      </c>
      <c r="V769" s="2">
        <v>0</v>
      </c>
      <c r="W769" s="2">
        <v>0</v>
      </c>
    </row>
    <row r="770" spans="1:23" outlineLevel="2" x14ac:dyDescent="0.2">
      <c r="A770" t="s">
        <v>0</v>
      </c>
      <c r="B770" t="s">
        <v>31</v>
      </c>
      <c r="C770" t="s">
        <v>32</v>
      </c>
      <c r="D770" t="s">
        <v>123</v>
      </c>
      <c r="E770" t="s">
        <v>124</v>
      </c>
      <c r="F770" t="s">
        <v>5</v>
      </c>
      <c r="G770" t="s">
        <v>6</v>
      </c>
      <c r="H770" t="s">
        <v>35</v>
      </c>
      <c r="I770" t="s">
        <v>36</v>
      </c>
      <c r="J770" t="s">
        <v>9</v>
      </c>
      <c r="K770" t="s">
        <v>284</v>
      </c>
      <c r="L770" t="s">
        <v>292</v>
      </c>
      <c r="M770" t="s">
        <v>12</v>
      </c>
      <c r="N770" s="2">
        <v>0</v>
      </c>
      <c r="O770" s="2">
        <v>0</v>
      </c>
      <c r="P770" s="2">
        <v>645.41999999999996</v>
      </c>
      <c r="Q770" s="2">
        <v>645.41999999999996</v>
      </c>
      <c r="R770" s="2">
        <v>0</v>
      </c>
      <c r="S770" s="2">
        <v>0</v>
      </c>
      <c r="T770" s="2">
        <v>0</v>
      </c>
      <c r="U770" s="2">
        <v>645.41999999999996</v>
      </c>
      <c r="V770" s="2">
        <v>645.41999999999996</v>
      </c>
      <c r="W770" s="2">
        <v>645.41999999999996</v>
      </c>
    </row>
    <row r="771" spans="1:23" outlineLevel="2" x14ac:dyDescent="0.2">
      <c r="A771" t="s">
        <v>0</v>
      </c>
      <c r="B771" t="s">
        <v>39</v>
      </c>
      <c r="C771" t="s">
        <v>58</v>
      </c>
      <c r="D771" t="s">
        <v>129</v>
      </c>
      <c r="E771" t="s">
        <v>130</v>
      </c>
      <c r="F771" t="s">
        <v>5</v>
      </c>
      <c r="G771" t="s">
        <v>6</v>
      </c>
      <c r="H771" t="s">
        <v>35</v>
      </c>
      <c r="I771" t="s">
        <v>36</v>
      </c>
      <c r="J771" t="s">
        <v>9</v>
      </c>
      <c r="K771" t="s">
        <v>284</v>
      </c>
      <c r="L771" t="s">
        <v>289</v>
      </c>
      <c r="M771" t="s">
        <v>15</v>
      </c>
      <c r="N771" s="2">
        <v>6964.56</v>
      </c>
      <c r="O771" s="2">
        <v>0</v>
      </c>
      <c r="P771" s="2">
        <v>-1277.73</v>
      </c>
      <c r="Q771" s="2">
        <v>5686.83</v>
      </c>
      <c r="R771" s="2">
        <v>0</v>
      </c>
      <c r="S771" s="2">
        <v>5686.83</v>
      </c>
      <c r="T771" s="2">
        <v>5686.83</v>
      </c>
      <c r="U771" s="2">
        <v>0</v>
      </c>
      <c r="V771" s="2">
        <v>0</v>
      </c>
      <c r="W771" s="2">
        <v>0</v>
      </c>
    </row>
    <row r="772" spans="1:23" outlineLevel="2" x14ac:dyDescent="0.2">
      <c r="A772" t="s">
        <v>0</v>
      </c>
      <c r="B772" t="s">
        <v>39</v>
      </c>
      <c r="C772" t="s">
        <v>40</v>
      </c>
      <c r="D772" t="s">
        <v>41</v>
      </c>
      <c r="E772" t="s">
        <v>42</v>
      </c>
      <c r="F772" t="s">
        <v>5</v>
      </c>
      <c r="G772" t="s">
        <v>6</v>
      </c>
      <c r="H772" t="s">
        <v>35</v>
      </c>
      <c r="I772" t="s">
        <v>36</v>
      </c>
      <c r="J772" t="s">
        <v>9</v>
      </c>
      <c r="K772" t="s">
        <v>284</v>
      </c>
      <c r="L772" t="s">
        <v>293</v>
      </c>
      <c r="M772" t="s">
        <v>15</v>
      </c>
      <c r="N772" s="2">
        <v>86531.43</v>
      </c>
      <c r="O772" s="2">
        <v>0</v>
      </c>
      <c r="P772" s="2">
        <v>-82641.62</v>
      </c>
      <c r="Q772" s="2">
        <v>3889.81</v>
      </c>
      <c r="R772" s="2">
        <v>0</v>
      </c>
      <c r="S772" s="2">
        <v>3889.81</v>
      </c>
      <c r="T772" s="2">
        <v>3889.81</v>
      </c>
      <c r="U772" s="2">
        <v>0</v>
      </c>
      <c r="V772" s="2">
        <v>0</v>
      </c>
      <c r="W772" s="2">
        <v>0</v>
      </c>
    </row>
    <row r="773" spans="1:23" outlineLevel="2" x14ac:dyDescent="0.2">
      <c r="A773" t="s">
        <v>0</v>
      </c>
      <c r="B773" t="s">
        <v>31</v>
      </c>
      <c r="C773" t="s">
        <v>79</v>
      </c>
      <c r="D773" t="s">
        <v>80</v>
      </c>
      <c r="E773" t="s">
        <v>81</v>
      </c>
      <c r="F773" t="s">
        <v>5</v>
      </c>
      <c r="G773" t="s">
        <v>6</v>
      </c>
      <c r="H773" t="s">
        <v>35</v>
      </c>
      <c r="I773" t="s">
        <v>36</v>
      </c>
      <c r="J773" t="s">
        <v>9</v>
      </c>
      <c r="K773" t="s">
        <v>284</v>
      </c>
      <c r="L773" t="s">
        <v>290</v>
      </c>
      <c r="M773" t="s">
        <v>12</v>
      </c>
      <c r="N773" s="2">
        <v>0</v>
      </c>
      <c r="O773" s="2">
        <v>0</v>
      </c>
      <c r="P773" s="2">
        <v>136.75</v>
      </c>
      <c r="Q773" s="2">
        <v>136.75</v>
      </c>
      <c r="R773" s="2">
        <v>0</v>
      </c>
      <c r="S773" s="2">
        <v>0</v>
      </c>
      <c r="T773" s="2">
        <v>0</v>
      </c>
      <c r="U773" s="2">
        <v>136.75</v>
      </c>
      <c r="V773" s="2">
        <v>136.75</v>
      </c>
      <c r="W773" s="2">
        <v>136.75</v>
      </c>
    </row>
    <row r="774" spans="1:23" outlineLevel="2" x14ac:dyDescent="0.2">
      <c r="A774" t="s">
        <v>0</v>
      </c>
      <c r="B774" t="s">
        <v>1</v>
      </c>
      <c r="C774" t="s">
        <v>16</v>
      </c>
      <c r="D774" t="s">
        <v>17</v>
      </c>
      <c r="E774" t="s">
        <v>18</v>
      </c>
      <c r="F774" t="s">
        <v>5</v>
      </c>
      <c r="G774" t="s">
        <v>6</v>
      </c>
      <c r="H774" t="s">
        <v>35</v>
      </c>
      <c r="I774" t="s">
        <v>36</v>
      </c>
      <c r="J774" t="s">
        <v>9</v>
      </c>
      <c r="K774" t="s">
        <v>284</v>
      </c>
      <c r="L774" t="s">
        <v>286</v>
      </c>
      <c r="M774" t="s">
        <v>12</v>
      </c>
      <c r="N774" s="2">
        <v>0</v>
      </c>
      <c r="O774" s="2">
        <v>0</v>
      </c>
      <c r="P774" s="2">
        <v>47215.1</v>
      </c>
      <c r="Q774" s="2">
        <v>47215.1</v>
      </c>
      <c r="R774" s="2">
        <v>0</v>
      </c>
      <c r="S774" s="2">
        <v>517.52</v>
      </c>
      <c r="T774" s="2">
        <v>517.52</v>
      </c>
      <c r="U774" s="2">
        <v>46697.58</v>
      </c>
      <c r="V774" s="2">
        <v>46697.58</v>
      </c>
      <c r="W774" s="2">
        <v>46697.58</v>
      </c>
    </row>
    <row r="775" spans="1:23" outlineLevel="2" x14ac:dyDescent="0.2">
      <c r="A775" t="s">
        <v>0</v>
      </c>
      <c r="B775" t="s">
        <v>1</v>
      </c>
      <c r="C775" t="s">
        <v>2</v>
      </c>
      <c r="D775" t="s">
        <v>20</v>
      </c>
      <c r="E775" t="s">
        <v>21</v>
      </c>
      <c r="F775" t="s">
        <v>5</v>
      </c>
      <c r="G775" t="s">
        <v>6</v>
      </c>
      <c r="H775" t="s">
        <v>35</v>
      </c>
      <c r="I775" t="s">
        <v>36</v>
      </c>
      <c r="J775" t="s">
        <v>9</v>
      </c>
      <c r="K775" t="s">
        <v>284</v>
      </c>
      <c r="L775" t="s">
        <v>285</v>
      </c>
      <c r="M775" t="s">
        <v>12</v>
      </c>
      <c r="N775" s="2">
        <v>0</v>
      </c>
      <c r="O775" s="2">
        <v>0</v>
      </c>
      <c r="P775" s="2">
        <v>72992.23</v>
      </c>
      <c r="Q775" s="2">
        <v>72992.23</v>
      </c>
      <c r="R775" s="2">
        <v>0</v>
      </c>
      <c r="S775" s="2">
        <v>5156.25</v>
      </c>
      <c r="T775" s="2">
        <v>5156.25</v>
      </c>
      <c r="U775" s="2">
        <v>67835.98</v>
      </c>
      <c r="V775" s="2">
        <v>67835.98</v>
      </c>
      <c r="W775" s="2">
        <v>67835.98</v>
      </c>
    </row>
    <row r="776" spans="1:23" outlineLevel="2" x14ac:dyDescent="0.2">
      <c r="A776" t="s">
        <v>0</v>
      </c>
      <c r="B776" t="s">
        <v>31</v>
      </c>
      <c r="C776" t="s">
        <v>32</v>
      </c>
      <c r="D776" t="s">
        <v>33</v>
      </c>
      <c r="E776" t="s">
        <v>34</v>
      </c>
      <c r="F776" t="s">
        <v>5</v>
      </c>
      <c r="G776" t="s">
        <v>6</v>
      </c>
      <c r="H776" t="s">
        <v>35</v>
      </c>
      <c r="I776" t="s">
        <v>36</v>
      </c>
      <c r="J776" t="s">
        <v>9</v>
      </c>
      <c r="K776" t="s">
        <v>284</v>
      </c>
      <c r="L776" t="s">
        <v>292</v>
      </c>
      <c r="M776" t="s">
        <v>15</v>
      </c>
      <c r="N776" s="2">
        <v>14033.49</v>
      </c>
      <c r="O776" s="2">
        <v>0</v>
      </c>
      <c r="P776" s="2">
        <v>-2537.11</v>
      </c>
      <c r="Q776" s="2">
        <v>11496.38</v>
      </c>
      <c r="R776" s="2">
        <v>0</v>
      </c>
      <c r="S776" s="2">
        <v>11496.38</v>
      </c>
      <c r="T776" s="2">
        <v>11496.38</v>
      </c>
      <c r="U776" s="2">
        <v>0</v>
      </c>
      <c r="V776" s="2">
        <v>0</v>
      </c>
      <c r="W776" s="2">
        <v>0</v>
      </c>
    </row>
    <row r="777" spans="1:23" outlineLevel="2" x14ac:dyDescent="0.2">
      <c r="A777" t="s">
        <v>0</v>
      </c>
      <c r="B777" t="s">
        <v>39</v>
      </c>
      <c r="C777" t="s">
        <v>58</v>
      </c>
      <c r="D777" t="s">
        <v>137</v>
      </c>
      <c r="E777" t="s">
        <v>138</v>
      </c>
      <c r="F777" t="s">
        <v>5</v>
      </c>
      <c r="G777" t="s">
        <v>6</v>
      </c>
      <c r="H777" t="s">
        <v>35</v>
      </c>
      <c r="I777" t="s">
        <v>36</v>
      </c>
      <c r="J777" t="s">
        <v>9</v>
      </c>
      <c r="K777" t="s">
        <v>284</v>
      </c>
      <c r="L777" t="s">
        <v>289</v>
      </c>
      <c r="M777" t="s">
        <v>15</v>
      </c>
      <c r="N777" s="2">
        <v>27525.55</v>
      </c>
      <c r="O777" s="2">
        <v>0</v>
      </c>
      <c r="P777" s="2">
        <v>-15192.75</v>
      </c>
      <c r="Q777" s="2">
        <v>12332.8</v>
      </c>
      <c r="R777" s="2">
        <v>0</v>
      </c>
      <c r="S777" s="2">
        <v>12332.8</v>
      </c>
      <c r="T777" s="2">
        <v>12332.8</v>
      </c>
      <c r="U777" s="2">
        <v>0</v>
      </c>
      <c r="V777" s="2">
        <v>0</v>
      </c>
      <c r="W777" s="2">
        <v>0</v>
      </c>
    </row>
    <row r="778" spans="1:23" outlineLevel="2" x14ac:dyDescent="0.2">
      <c r="A778" t="s">
        <v>0</v>
      </c>
      <c r="B778" t="s">
        <v>39</v>
      </c>
      <c r="C778" t="s">
        <v>58</v>
      </c>
      <c r="D778" t="s">
        <v>145</v>
      </c>
      <c r="E778" t="s">
        <v>146</v>
      </c>
      <c r="F778" t="s">
        <v>5</v>
      </c>
      <c r="G778" t="s">
        <v>6</v>
      </c>
      <c r="H778" t="s">
        <v>35</v>
      </c>
      <c r="I778" t="s">
        <v>36</v>
      </c>
      <c r="J778" t="s">
        <v>9</v>
      </c>
      <c r="K778" t="s">
        <v>284</v>
      </c>
      <c r="L778" t="s">
        <v>289</v>
      </c>
      <c r="M778" t="s">
        <v>15</v>
      </c>
      <c r="N778" s="2">
        <v>17767.060000000001</v>
      </c>
      <c r="O778" s="2">
        <v>0</v>
      </c>
      <c r="P778" s="2">
        <v>-7352.99</v>
      </c>
      <c r="Q778" s="2">
        <v>10414.07</v>
      </c>
      <c r="R778" s="2">
        <v>0</v>
      </c>
      <c r="S778" s="2">
        <v>10414.07</v>
      </c>
      <c r="T778" s="2">
        <v>10414.07</v>
      </c>
      <c r="U778" s="2">
        <v>0</v>
      </c>
      <c r="V778" s="2">
        <v>0</v>
      </c>
      <c r="W778" s="2">
        <v>0</v>
      </c>
    </row>
    <row r="779" spans="1:23" outlineLevel="2" x14ac:dyDescent="0.2">
      <c r="A779" t="s">
        <v>0</v>
      </c>
      <c r="B779" t="s">
        <v>39</v>
      </c>
      <c r="C779" t="s">
        <v>58</v>
      </c>
      <c r="D779" t="s">
        <v>139</v>
      </c>
      <c r="E779" t="s">
        <v>140</v>
      </c>
      <c r="F779" t="s">
        <v>5</v>
      </c>
      <c r="G779" t="s">
        <v>6</v>
      </c>
      <c r="H779" t="s">
        <v>35</v>
      </c>
      <c r="I779" t="s">
        <v>36</v>
      </c>
      <c r="J779" t="s">
        <v>9</v>
      </c>
      <c r="K779" t="s">
        <v>284</v>
      </c>
      <c r="L779" t="s">
        <v>289</v>
      </c>
      <c r="M779" t="s">
        <v>15</v>
      </c>
      <c r="N779" s="2">
        <v>32163.01</v>
      </c>
      <c r="O779" s="2">
        <v>0</v>
      </c>
      <c r="P779" s="2">
        <v>-7400.71</v>
      </c>
      <c r="Q779" s="2">
        <v>24762.3</v>
      </c>
      <c r="R779" s="2">
        <v>0</v>
      </c>
      <c r="S779" s="2">
        <v>24762.3</v>
      </c>
      <c r="T779" s="2">
        <v>24762.3</v>
      </c>
      <c r="U779" s="2">
        <v>0</v>
      </c>
      <c r="V779" s="2">
        <v>0</v>
      </c>
      <c r="W779" s="2">
        <v>0</v>
      </c>
    </row>
    <row r="780" spans="1:23" outlineLevel="2" x14ac:dyDescent="0.2">
      <c r="A780" t="s">
        <v>0</v>
      </c>
      <c r="B780" t="s">
        <v>39</v>
      </c>
      <c r="C780" t="s">
        <v>58</v>
      </c>
      <c r="D780" t="s">
        <v>135</v>
      </c>
      <c r="E780" t="s">
        <v>136</v>
      </c>
      <c r="F780" t="s">
        <v>5</v>
      </c>
      <c r="G780" t="s">
        <v>6</v>
      </c>
      <c r="H780" t="s">
        <v>35</v>
      </c>
      <c r="I780" t="s">
        <v>36</v>
      </c>
      <c r="J780" t="s">
        <v>9</v>
      </c>
      <c r="K780" t="s">
        <v>284</v>
      </c>
      <c r="L780" t="s">
        <v>289</v>
      </c>
      <c r="M780" t="s">
        <v>12</v>
      </c>
      <c r="N780" s="2">
        <v>0</v>
      </c>
      <c r="O780" s="2">
        <v>0</v>
      </c>
      <c r="P780" s="2">
        <v>4719.8</v>
      </c>
      <c r="Q780" s="2">
        <v>4719.8</v>
      </c>
      <c r="R780" s="2">
        <v>0</v>
      </c>
      <c r="S780" s="2">
        <v>1077.57</v>
      </c>
      <c r="T780" s="2">
        <v>1077.57</v>
      </c>
      <c r="U780" s="2">
        <v>3642.23</v>
      </c>
      <c r="V780" s="2">
        <v>3642.23</v>
      </c>
      <c r="W780" s="2">
        <v>3642.23</v>
      </c>
    </row>
    <row r="781" spans="1:23" outlineLevel="2" x14ac:dyDescent="0.2">
      <c r="A781" t="s">
        <v>0</v>
      </c>
      <c r="B781" t="s">
        <v>1</v>
      </c>
      <c r="C781" t="s">
        <v>16</v>
      </c>
      <c r="D781" t="s">
        <v>17</v>
      </c>
      <c r="E781" t="s">
        <v>18</v>
      </c>
      <c r="F781" t="s">
        <v>5</v>
      </c>
      <c r="G781" t="s">
        <v>6</v>
      </c>
      <c r="H781" t="s">
        <v>35</v>
      </c>
      <c r="I781" t="s">
        <v>36</v>
      </c>
      <c r="J781" t="s">
        <v>9</v>
      </c>
      <c r="K781" t="s">
        <v>284</v>
      </c>
      <c r="L781" t="s">
        <v>286</v>
      </c>
      <c r="M781" t="s">
        <v>15</v>
      </c>
      <c r="N781" s="2">
        <v>130278.49</v>
      </c>
      <c r="O781" s="2">
        <v>0</v>
      </c>
      <c r="P781" s="2">
        <v>-95912.55</v>
      </c>
      <c r="Q781" s="2">
        <v>34365.94</v>
      </c>
      <c r="R781" s="2">
        <v>0</v>
      </c>
      <c r="S781" s="2">
        <v>34365.94</v>
      </c>
      <c r="T781" s="2">
        <v>34365.94</v>
      </c>
      <c r="U781" s="2">
        <v>0</v>
      </c>
      <c r="V781" s="2">
        <v>0</v>
      </c>
      <c r="W781" s="2">
        <v>0</v>
      </c>
    </row>
    <row r="782" spans="1:23" outlineLevel="2" x14ac:dyDescent="0.2">
      <c r="A782" t="s">
        <v>0</v>
      </c>
      <c r="B782" t="s">
        <v>39</v>
      </c>
      <c r="C782" t="s">
        <v>58</v>
      </c>
      <c r="D782" t="s">
        <v>137</v>
      </c>
      <c r="E782" t="s">
        <v>138</v>
      </c>
      <c r="F782" t="s">
        <v>5</v>
      </c>
      <c r="G782" t="s">
        <v>6</v>
      </c>
      <c r="H782" t="s">
        <v>35</v>
      </c>
      <c r="I782" t="s">
        <v>36</v>
      </c>
      <c r="J782" t="s">
        <v>9</v>
      </c>
      <c r="K782" t="s">
        <v>284</v>
      </c>
      <c r="L782" t="s">
        <v>289</v>
      </c>
      <c r="M782" t="s">
        <v>12</v>
      </c>
      <c r="N782" s="2">
        <v>0</v>
      </c>
      <c r="O782" s="2">
        <v>0</v>
      </c>
      <c r="P782" s="2">
        <v>8507.07</v>
      </c>
      <c r="Q782" s="2">
        <v>8507.07</v>
      </c>
      <c r="R782" s="2">
        <v>0</v>
      </c>
      <c r="S782" s="2">
        <v>0</v>
      </c>
      <c r="T782" s="2">
        <v>0</v>
      </c>
      <c r="U782" s="2">
        <v>8507.07</v>
      </c>
      <c r="V782" s="2">
        <v>8507.07</v>
      </c>
      <c r="W782" s="2">
        <v>8507.07</v>
      </c>
    </row>
    <row r="783" spans="1:23" outlineLevel="2" x14ac:dyDescent="0.2">
      <c r="A783" t="s">
        <v>0</v>
      </c>
      <c r="B783" t="s">
        <v>31</v>
      </c>
      <c r="C783" t="s">
        <v>49</v>
      </c>
      <c r="D783" t="s">
        <v>50</v>
      </c>
      <c r="E783" t="s">
        <v>51</v>
      </c>
      <c r="F783" t="s">
        <v>5</v>
      </c>
      <c r="G783" t="s">
        <v>6</v>
      </c>
      <c r="H783" t="s">
        <v>35</v>
      </c>
      <c r="I783" t="s">
        <v>36</v>
      </c>
      <c r="J783" t="s">
        <v>9</v>
      </c>
      <c r="K783" t="s">
        <v>284</v>
      </c>
      <c r="L783" t="s">
        <v>294</v>
      </c>
      <c r="M783" t="s">
        <v>15</v>
      </c>
      <c r="N783" s="2">
        <v>9165.7900000000009</v>
      </c>
      <c r="O783" s="2">
        <v>0</v>
      </c>
      <c r="P783" s="2">
        <v>-9165.7900000000009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</row>
    <row r="784" spans="1:23" outlineLevel="2" x14ac:dyDescent="0.2">
      <c r="A784" t="s">
        <v>0</v>
      </c>
      <c r="B784" t="s">
        <v>31</v>
      </c>
      <c r="C784" t="s">
        <v>107</v>
      </c>
      <c r="D784" t="s">
        <v>108</v>
      </c>
      <c r="E784" t="s">
        <v>109</v>
      </c>
      <c r="F784" t="s">
        <v>5</v>
      </c>
      <c r="G784" t="s">
        <v>6</v>
      </c>
      <c r="H784" t="s">
        <v>35</v>
      </c>
      <c r="I784" t="s">
        <v>36</v>
      </c>
      <c r="J784" t="s">
        <v>9</v>
      </c>
      <c r="K784" t="s">
        <v>284</v>
      </c>
      <c r="L784" t="s">
        <v>295</v>
      </c>
      <c r="M784" t="s">
        <v>15</v>
      </c>
      <c r="N784" s="2">
        <v>73869.960000000006</v>
      </c>
      <c r="O784" s="2">
        <v>0</v>
      </c>
      <c r="P784" s="2">
        <v>-35227.120000000003</v>
      </c>
      <c r="Q784" s="2">
        <v>38642.839999999997</v>
      </c>
      <c r="R784" s="2">
        <v>0</v>
      </c>
      <c r="S784" s="2">
        <v>38642.839999999997</v>
      </c>
      <c r="T784" s="2">
        <v>38642.839999999997</v>
      </c>
      <c r="U784" s="2">
        <v>0</v>
      </c>
      <c r="V784" s="2">
        <v>0</v>
      </c>
      <c r="W784" s="2">
        <v>0</v>
      </c>
    </row>
    <row r="785" spans="1:23" outlineLevel="2" x14ac:dyDescent="0.2">
      <c r="A785" t="s">
        <v>0</v>
      </c>
      <c r="B785" t="s">
        <v>1</v>
      </c>
      <c r="C785" t="s">
        <v>91</v>
      </c>
      <c r="D785" t="s">
        <v>92</v>
      </c>
      <c r="E785" t="s">
        <v>93</v>
      </c>
      <c r="F785" t="s">
        <v>5</v>
      </c>
      <c r="G785" t="s">
        <v>6</v>
      </c>
      <c r="H785" t="s">
        <v>35</v>
      </c>
      <c r="I785" t="s">
        <v>36</v>
      </c>
      <c r="J785" t="s">
        <v>9</v>
      </c>
      <c r="K785" t="s">
        <v>284</v>
      </c>
      <c r="L785" t="s">
        <v>296</v>
      </c>
      <c r="M785" t="s">
        <v>15</v>
      </c>
      <c r="N785" s="2">
        <v>2895.84</v>
      </c>
      <c r="O785" s="2">
        <v>44816.79</v>
      </c>
      <c r="P785" s="2">
        <v>-7325.13</v>
      </c>
      <c r="Q785" s="2">
        <v>40387.5</v>
      </c>
      <c r="R785" s="2">
        <v>0</v>
      </c>
      <c r="S785" s="2">
        <v>40387.5</v>
      </c>
      <c r="T785" s="2">
        <v>40387.5</v>
      </c>
      <c r="U785" s="2">
        <v>0</v>
      </c>
      <c r="V785" s="2">
        <v>0</v>
      </c>
      <c r="W785" s="2">
        <v>0</v>
      </c>
    </row>
    <row r="786" spans="1:23" outlineLevel="2" x14ac:dyDescent="0.2">
      <c r="A786" t="s">
        <v>0</v>
      </c>
      <c r="B786" t="s">
        <v>39</v>
      </c>
      <c r="C786" t="s">
        <v>58</v>
      </c>
      <c r="D786" t="s">
        <v>143</v>
      </c>
      <c r="E786" t="s">
        <v>144</v>
      </c>
      <c r="F786" t="s">
        <v>5</v>
      </c>
      <c r="G786" t="s">
        <v>6</v>
      </c>
      <c r="H786" t="s">
        <v>35</v>
      </c>
      <c r="I786" t="s">
        <v>36</v>
      </c>
      <c r="J786" t="s">
        <v>9</v>
      </c>
      <c r="K786" t="s">
        <v>284</v>
      </c>
      <c r="L786" t="s">
        <v>289</v>
      </c>
      <c r="M786" t="s">
        <v>12</v>
      </c>
      <c r="N786" s="2">
        <v>0</v>
      </c>
      <c r="O786" s="2">
        <v>0</v>
      </c>
      <c r="P786" s="2">
        <v>2563.41</v>
      </c>
      <c r="Q786" s="2">
        <v>2563.41</v>
      </c>
      <c r="R786" s="2">
        <v>0</v>
      </c>
      <c r="S786" s="2">
        <v>769.07</v>
      </c>
      <c r="T786" s="2">
        <v>769.07</v>
      </c>
      <c r="U786" s="2">
        <v>1794.34</v>
      </c>
      <c r="V786" s="2">
        <v>1794.34</v>
      </c>
      <c r="W786" s="2">
        <v>1794.34</v>
      </c>
    </row>
    <row r="787" spans="1:23" outlineLevel="2" x14ac:dyDescent="0.2">
      <c r="A787" t="s">
        <v>0</v>
      </c>
      <c r="B787" t="s">
        <v>39</v>
      </c>
      <c r="C787" t="s">
        <v>58</v>
      </c>
      <c r="D787" t="s">
        <v>147</v>
      </c>
      <c r="E787" t="s">
        <v>148</v>
      </c>
      <c r="F787" t="s">
        <v>5</v>
      </c>
      <c r="G787" t="s">
        <v>6</v>
      </c>
      <c r="H787" t="s">
        <v>35</v>
      </c>
      <c r="I787" t="s">
        <v>36</v>
      </c>
      <c r="J787" t="s">
        <v>9</v>
      </c>
      <c r="K787" t="s">
        <v>284</v>
      </c>
      <c r="L787" t="s">
        <v>289</v>
      </c>
      <c r="M787" t="s">
        <v>12</v>
      </c>
      <c r="N787" s="2">
        <v>0</v>
      </c>
      <c r="O787" s="2">
        <v>0</v>
      </c>
      <c r="P787" s="2">
        <v>8240.65</v>
      </c>
      <c r="Q787" s="2">
        <v>8240.65</v>
      </c>
      <c r="R787" s="2">
        <v>0</v>
      </c>
      <c r="S787" s="2">
        <v>366.7</v>
      </c>
      <c r="T787" s="2">
        <v>366.7</v>
      </c>
      <c r="U787" s="2">
        <v>7873.95</v>
      </c>
      <c r="V787" s="2">
        <v>7873.95</v>
      </c>
      <c r="W787" s="2">
        <v>7873.95</v>
      </c>
    </row>
    <row r="788" spans="1:23" outlineLevel="2" x14ac:dyDescent="0.2">
      <c r="A788" t="s">
        <v>0</v>
      </c>
      <c r="B788" t="s">
        <v>39</v>
      </c>
      <c r="C788" t="s">
        <v>70</v>
      </c>
      <c r="D788" t="s">
        <v>71</v>
      </c>
      <c r="E788" t="s">
        <v>72</v>
      </c>
      <c r="F788" t="s">
        <v>5</v>
      </c>
      <c r="G788" t="s">
        <v>6</v>
      </c>
      <c r="H788" t="s">
        <v>35</v>
      </c>
      <c r="I788" t="s">
        <v>36</v>
      </c>
      <c r="J788" t="s">
        <v>9</v>
      </c>
      <c r="K788" t="s">
        <v>284</v>
      </c>
      <c r="L788" t="s">
        <v>297</v>
      </c>
      <c r="M788" t="s">
        <v>15</v>
      </c>
      <c r="N788" s="2">
        <v>70078.179999999993</v>
      </c>
      <c r="O788" s="2">
        <v>0</v>
      </c>
      <c r="P788" s="2">
        <v>-974.7</v>
      </c>
      <c r="Q788" s="2">
        <v>69103.48</v>
      </c>
      <c r="R788" s="2">
        <v>0</v>
      </c>
      <c r="S788" s="2">
        <v>69103.48</v>
      </c>
      <c r="T788" s="2">
        <v>69103.48</v>
      </c>
      <c r="U788" s="2">
        <v>0</v>
      </c>
      <c r="V788" s="2">
        <v>0</v>
      </c>
      <c r="W788" s="2">
        <v>0</v>
      </c>
    </row>
    <row r="789" spans="1:23" outlineLevel="2" x14ac:dyDescent="0.2">
      <c r="A789" t="s">
        <v>0</v>
      </c>
      <c r="B789" t="s">
        <v>39</v>
      </c>
      <c r="C789" t="s">
        <v>58</v>
      </c>
      <c r="D789" t="s">
        <v>149</v>
      </c>
      <c r="E789" t="s">
        <v>150</v>
      </c>
      <c r="F789" t="s">
        <v>5</v>
      </c>
      <c r="G789" t="s">
        <v>6</v>
      </c>
      <c r="H789" t="s">
        <v>35</v>
      </c>
      <c r="I789" t="s">
        <v>36</v>
      </c>
      <c r="J789" t="s">
        <v>9</v>
      </c>
      <c r="K789" t="s">
        <v>284</v>
      </c>
      <c r="L789" t="s">
        <v>289</v>
      </c>
      <c r="M789" t="s">
        <v>12</v>
      </c>
      <c r="N789" s="2">
        <v>0</v>
      </c>
      <c r="O789" s="2">
        <v>0</v>
      </c>
      <c r="P789" s="2">
        <v>3613.69</v>
      </c>
      <c r="Q789" s="2">
        <v>3613.69</v>
      </c>
      <c r="R789" s="2">
        <v>0</v>
      </c>
      <c r="S789" s="2">
        <v>654.47</v>
      </c>
      <c r="T789" s="2">
        <v>654.47</v>
      </c>
      <c r="U789" s="2">
        <v>2959.22</v>
      </c>
      <c r="V789" s="2">
        <v>2959.22</v>
      </c>
      <c r="W789" s="2">
        <v>2959.22</v>
      </c>
    </row>
    <row r="790" spans="1:23" outlineLevel="2" x14ac:dyDescent="0.2">
      <c r="A790" t="s">
        <v>0</v>
      </c>
      <c r="B790" t="s">
        <v>39</v>
      </c>
      <c r="C790" t="s">
        <v>58</v>
      </c>
      <c r="D790" t="s">
        <v>139</v>
      </c>
      <c r="E790" t="s">
        <v>140</v>
      </c>
      <c r="F790" t="s">
        <v>5</v>
      </c>
      <c r="G790" t="s">
        <v>6</v>
      </c>
      <c r="H790" t="s">
        <v>35</v>
      </c>
      <c r="I790" t="s">
        <v>36</v>
      </c>
      <c r="J790" t="s">
        <v>9</v>
      </c>
      <c r="K790" t="s">
        <v>284</v>
      </c>
      <c r="L790" t="s">
        <v>289</v>
      </c>
      <c r="M790" t="s">
        <v>12</v>
      </c>
      <c r="N790" s="2">
        <v>0</v>
      </c>
      <c r="O790" s="2">
        <v>2600</v>
      </c>
      <c r="P790" s="2">
        <v>3374.07</v>
      </c>
      <c r="Q790" s="2">
        <v>5974.07</v>
      </c>
      <c r="R790" s="2">
        <v>0</v>
      </c>
      <c r="S790" s="2">
        <v>2923.36</v>
      </c>
      <c r="T790" s="2">
        <v>2923.36</v>
      </c>
      <c r="U790" s="2">
        <v>3050.71</v>
      </c>
      <c r="V790" s="2">
        <v>3050.71</v>
      </c>
      <c r="W790" s="2">
        <v>3050.71</v>
      </c>
    </row>
    <row r="791" spans="1:23" outlineLevel="2" x14ac:dyDescent="0.2">
      <c r="A791" t="s">
        <v>0</v>
      </c>
      <c r="B791" t="s">
        <v>1</v>
      </c>
      <c r="C791" t="s">
        <v>2</v>
      </c>
      <c r="D791" t="s">
        <v>20</v>
      </c>
      <c r="E791" t="s">
        <v>21</v>
      </c>
      <c r="F791" t="s">
        <v>5</v>
      </c>
      <c r="G791" t="s">
        <v>6</v>
      </c>
      <c r="H791" t="s">
        <v>35</v>
      </c>
      <c r="I791" t="s">
        <v>36</v>
      </c>
      <c r="J791" t="s">
        <v>9</v>
      </c>
      <c r="K791" t="s">
        <v>284</v>
      </c>
      <c r="L791" t="s">
        <v>285</v>
      </c>
      <c r="M791" t="s">
        <v>15</v>
      </c>
      <c r="N791" s="2">
        <v>216182.93</v>
      </c>
      <c r="O791" s="2">
        <v>0</v>
      </c>
      <c r="P791" s="2">
        <v>-80921.5</v>
      </c>
      <c r="Q791" s="2">
        <v>135261.43</v>
      </c>
      <c r="R791" s="2">
        <v>0</v>
      </c>
      <c r="S791" s="2">
        <v>135261.43</v>
      </c>
      <c r="T791" s="2">
        <v>135261.43</v>
      </c>
      <c r="U791" s="2">
        <v>0</v>
      </c>
      <c r="V791" s="2">
        <v>0</v>
      </c>
      <c r="W791" s="2">
        <v>0</v>
      </c>
    </row>
    <row r="792" spans="1:23" outlineLevel="2" x14ac:dyDescent="0.2">
      <c r="A792" t="s">
        <v>0</v>
      </c>
      <c r="B792" t="s">
        <v>31</v>
      </c>
      <c r="C792" t="s">
        <v>32</v>
      </c>
      <c r="D792" t="s">
        <v>141</v>
      </c>
      <c r="E792" t="s">
        <v>142</v>
      </c>
      <c r="F792" t="s">
        <v>5</v>
      </c>
      <c r="G792" t="s">
        <v>6</v>
      </c>
      <c r="H792" t="s">
        <v>35</v>
      </c>
      <c r="I792" t="s">
        <v>36</v>
      </c>
      <c r="J792" t="s">
        <v>9</v>
      </c>
      <c r="K792" t="s">
        <v>284</v>
      </c>
      <c r="L792" t="s">
        <v>292</v>
      </c>
      <c r="M792" t="s">
        <v>15</v>
      </c>
      <c r="N792" s="2">
        <v>1997.44</v>
      </c>
      <c r="O792" s="2">
        <v>1719.54</v>
      </c>
      <c r="P792" s="2">
        <v>-5.3</v>
      </c>
      <c r="Q792" s="2">
        <v>3711.68</v>
      </c>
      <c r="R792" s="2">
        <v>0</v>
      </c>
      <c r="S792" s="2">
        <v>3711.68</v>
      </c>
      <c r="T792" s="2">
        <v>3711.68</v>
      </c>
      <c r="U792" s="2">
        <v>0</v>
      </c>
      <c r="V792" s="2">
        <v>0</v>
      </c>
      <c r="W792" s="2">
        <v>0</v>
      </c>
    </row>
    <row r="793" spans="1:23" outlineLevel="2" x14ac:dyDescent="0.2">
      <c r="A793" t="s">
        <v>0</v>
      </c>
      <c r="B793" t="s">
        <v>39</v>
      </c>
      <c r="C793" t="s">
        <v>40</v>
      </c>
      <c r="D793" t="s">
        <v>77</v>
      </c>
      <c r="E793" t="s">
        <v>78</v>
      </c>
      <c r="F793" t="s">
        <v>5</v>
      </c>
      <c r="G793" t="s">
        <v>6</v>
      </c>
      <c r="H793" t="s">
        <v>35</v>
      </c>
      <c r="I793" t="s">
        <v>36</v>
      </c>
      <c r="J793" t="s">
        <v>9</v>
      </c>
      <c r="K793" t="s">
        <v>284</v>
      </c>
      <c r="L793" t="s">
        <v>293</v>
      </c>
      <c r="M793" t="s">
        <v>15</v>
      </c>
      <c r="N793" s="2">
        <v>227902.93</v>
      </c>
      <c r="O793" s="2">
        <v>-75070</v>
      </c>
      <c r="P793" s="2">
        <v>-15837.59</v>
      </c>
      <c r="Q793" s="2">
        <v>136995.34</v>
      </c>
      <c r="R793" s="2">
        <v>0</v>
      </c>
      <c r="S793" s="2">
        <v>136995.34</v>
      </c>
      <c r="T793" s="2">
        <v>136995.34</v>
      </c>
      <c r="U793" s="2">
        <v>0</v>
      </c>
      <c r="V793" s="2">
        <v>0</v>
      </c>
      <c r="W793" s="2">
        <v>0</v>
      </c>
    </row>
    <row r="794" spans="1:23" outlineLevel="2" x14ac:dyDescent="0.2">
      <c r="A794" t="s">
        <v>0</v>
      </c>
      <c r="B794" t="s">
        <v>39</v>
      </c>
      <c r="C794" t="s">
        <v>58</v>
      </c>
      <c r="D794" t="s">
        <v>147</v>
      </c>
      <c r="E794" t="s">
        <v>148</v>
      </c>
      <c r="F794" t="s">
        <v>5</v>
      </c>
      <c r="G794" t="s">
        <v>6</v>
      </c>
      <c r="H794" t="s">
        <v>35</v>
      </c>
      <c r="I794" t="s">
        <v>36</v>
      </c>
      <c r="J794" t="s">
        <v>9</v>
      </c>
      <c r="K794" t="s">
        <v>284</v>
      </c>
      <c r="L794" t="s">
        <v>289</v>
      </c>
      <c r="M794" t="s">
        <v>15</v>
      </c>
      <c r="N794" s="2">
        <v>42312.45</v>
      </c>
      <c r="O794" s="2">
        <v>0</v>
      </c>
      <c r="P794" s="2">
        <v>-27403.51</v>
      </c>
      <c r="Q794" s="2">
        <v>14908.94</v>
      </c>
      <c r="R794" s="2">
        <v>0</v>
      </c>
      <c r="S794" s="2">
        <v>14908.94</v>
      </c>
      <c r="T794" s="2">
        <v>14908.94</v>
      </c>
      <c r="U794" s="2">
        <v>0</v>
      </c>
      <c r="V794" s="2">
        <v>0</v>
      </c>
      <c r="W794" s="2">
        <v>0</v>
      </c>
    </row>
    <row r="795" spans="1:23" outlineLevel="2" x14ac:dyDescent="0.2">
      <c r="A795" t="s">
        <v>0</v>
      </c>
      <c r="B795" t="s">
        <v>31</v>
      </c>
      <c r="C795" t="s">
        <v>79</v>
      </c>
      <c r="D795" t="s">
        <v>83</v>
      </c>
      <c r="E795" t="s">
        <v>84</v>
      </c>
      <c r="F795" t="s">
        <v>5</v>
      </c>
      <c r="G795" t="s">
        <v>6</v>
      </c>
      <c r="H795" t="s">
        <v>35</v>
      </c>
      <c r="I795" t="s">
        <v>36</v>
      </c>
      <c r="J795" t="s">
        <v>9</v>
      </c>
      <c r="K795" t="s">
        <v>284</v>
      </c>
      <c r="L795" t="s">
        <v>290</v>
      </c>
      <c r="M795" t="s">
        <v>15</v>
      </c>
      <c r="N795" s="2">
        <v>16304.03</v>
      </c>
      <c r="O795" s="2">
        <v>0</v>
      </c>
      <c r="P795" s="2">
        <v>-9897.9500000000007</v>
      </c>
      <c r="Q795" s="2">
        <v>6406.08</v>
      </c>
      <c r="R795" s="2">
        <v>0</v>
      </c>
      <c r="S795" s="2">
        <v>6406.08</v>
      </c>
      <c r="T795" s="2">
        <v>6406.08</v>
      </c>
      <c r="U795" s="2">
        <v>0</v>
      </c>
      <c r="V795" s="2">
        <v>0</v>
      </c>
      <c r="W795" s="2">
        <v>0</v>
      </c>
    </row>
    <row r="796" spans="1:23" outlineLevel="2" x14ac:dyDescent="0.2">
      <c r="A796" t="s">
        <v>0</v>
      </c>
      <c r="B796" t="s">
        <v>31</v>
      </c>
      <c r="C796" t="s">
        <v>32</v>
      </c>
      <c r="D796" t="s">
        <v>123</v>
      </c>
      <c r="E796" t="s">
        <v>124</v>
      </c>
      <c r="F796" t="s">
        <v>5</v>
      </c>
      <c r="G796" t="s">
        <v>6</v>
      </c>
      <c r="H796" t="s">
        <v>35</v>
      </c>
      <c r="I796" t="s">
        <v>36</v>
      </c>
      <c r="J796" t="s">
        <v>9</v>
      </c>
      <c r="K796" t="s">
        <v>284</v>
      </c>
      <c r="L796" t="s">
        <v>292</v>
      </c>
      <c r="M796" t="s">
        <v>15</v>
      </c>
      <c r="N796" s="2">
        <v>1290.8499999999999</v>
      </c>
      <c r="O796" s="2">
        <v>0</v>
      </c>
      <c r="P796" s="2">
        <v>-1290.8499999999999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</row>
    <row r="797" spans="1:23" outlineLevel="2" x14ac:dyDescent="0.2">
      <c r="A797" t="s">
        <v>0</v>
      </c>
      <c r="B797" t="s">
        <v>31</v>
      </c>
      <c r="C797" t="s">
        <v>79</v>
      </c>
      <c r="D797" t="s">
        <v>117</v>
      </c>
      <c r="E797" t="s">
        <v>118</v>
      </c>
      <c r="F797" t="s">
        <v>5</v>
      </c>
      <c r="G797" t="s">
        <v>6</v>
      </c>
      <c r="H797" t="s">
        <v>35</v>
      </c>
      <c r="I797" t="s">
        <v>36</v>
      </c>
      <c r="J797" t="s">
        <v>9</v>
      </c>
      <c r="K797" t="s">
        <v>284</v>
      </c>
      <c r="L797" t="s">
        <v>290</v>
      </c>
      <c r="M797" t="s">
        <v>12</v>
      </c>
      <c r="N797" s="2">
        <v>0</v>
      </c>
      <c r="O797" s="2">
        <v>0</v>
      </c>
      <c r="P797" s="2">
        <v>734.62</v>
      </c>
      <c r="Q797" s="2">
        <v>734.62</v>
      </c>
      <c r="R797" s="2">
        <v>0</v>
      </c>
      <c r="S797" s="2">
        <v>0</v>
      </c>
      <c r="T797" s="2">
        <v>0</v>
      </c>
      <c r="U797" s="2">
        <v>734.62</v>
      </c>
      <c r="V797" s="2">
        <v>734.62</v>
      </c>
      <c r="W797" s="2">
        <v>734.62</v>
      </c>
    </row>
    <row r="798" spans="1:23" outlineLevel="2" x14ac:dyDescent="0.2">
      <c r="A798" t="s">
        <v>0</v>
      </c>
      <c r="B798" t="s">
        <v>39</v>
      </c>
      <c r="C798" t="s">
        <v>66</v>
      </c>
      <c r="D798" t="s">
        <v>121</v>
      </c>
      <c r="E798" t="s">
        <v>122</v>
      </c>
      <c r="F798" t="s">
        <v>5</v>
      </c>
      <c r="G798" t="s">
        <v>6</v>
      </c>
      <c r="H798" t="s">
        <v>35</v>
      </c>
      <c r="I798" t="s">
        <v>36</v>
      </c>
      <c r="J798" t="s">
        <v>9</v>
      </c>
      <c r="K798" t="s">
        <v>284</v>
      </c>
      <c r="L798" t="s">
        <v>291</v>
      </c>
      <c r="M798" t="s">
        <v>15</v>
      </c>
      <c r="N798" s="2">
        <v>2833</v>
      </c>
      <c r="O798" s="2">
        <v>0</v>
      </c>
      <c r="P798" s="2">
        <v>-2833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</row>
    <row r="799" spans="1:23" outlineLevel="2" x14ac:dyDescent="0.2">
      <c r="A799" t="s">
        <v>0</v>
      </c>
      <c r="B799" t="s">
        <v>39</v>
      </c>
      <c r="C799" t="s">
        <v>58</v>
      </c>
      <c r="D799" t="s">
        <v>59</v>
      </c>
      <c r="E799" t="s">
        <v>60</v>
      </c>
      <c r="F799" t="s">
        <v>5</v>
      </c>
      <c r="G799" t="s">
        <v>6</v>
      </c>
      <c r="H799" t="s">
        <v>35</v>
      </c>
      <c r="I799" t="s">
        <v>36</v>
      </c>
      <c r="J799" t="s">
        <v>9</v>
      </c>
      <c r="K799" t="s">
        <v>284</v>
      </c>
      <c r="L799" t="s">
        <v>289</v>
      </c>
      <c r="M799" t="s">
        <v>12</v>
      </c>
      <c r="N799" s="2">
        <v>0</v>
      </c>
      <c r="O799" s="2">
        <v>0</v>
      </c>
      <c r="P799" s="2">
        <v>4542.82</v>
      </c>
      <c r="Q799" s="2">
        <v>4542.82</v>
      </c>
      <c r="R799" s="2">
        <v>0</v>
      </c>
      <c r="S799" s="2">
        <v>755</v>
      </c>
      <c r="T799" s="2">
        <v>755</v>
      </c>
      <c r="U799" s="2">
        <v>3787.82</v>
      </c>
      <c r="V799" s="2">
        <v>3787.82</v>
      </c>
      <c r="W799" s="2">
        <v>3787.82</v>
      </c>
    </row>
    <row r="800" spans="1:23" outlineLevel="2" x14ac:dyDescent="0.2">
      <c r="A800" t="s">
        <v>0</v>
      </c>
      <c r="B800" t="s">
        <v>1</v>
      </c>
      <c r="C800" t="s">
        <v>16</v>
      </c>
      <c r="D800" t="s">
        <v>64</v>
      </c>
      <c r="E800" t="s">
        <v>65</v>
      </c>
      <c r="F800" t="s">
        <v>5</v>
      </c>
      <c r="G800" t="s">
        <v>6</v>
      </c>
      <c r="H800" t="s">
        <v>35</v>
      </c>
      <c r="I800" t="s">
        <v>36</v>
      </c>
      <c r="J800" t="s">
        <v>9</v>
      </c>
      <c r="K800" t="s">
        <v>284</v>
      </c>
      <c r="L800" t="s">
        <v>286</v>
      </c>
      <c r="M800" t="s">
        <v>15</v>
      </c>
      <c r="N800" s="2">
        <v>3815.88</v>
      </c>
      <c r="O800" s="2">
        <v>0</v>
      </c>
      <c r="P800" s="2">
        <v>-3815.88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</row>
    <row r="801" spans="1:23" outlineLevel="2" x14ac:dyDescent="0.2">
      <c r="A801" t="s">
        <v>0</v>
      </c>
      <c r="B801" t="s">
        <v>39</v>
      </c>
      <c r="C801" t="s">
        <v>66</v>
      </c>
      <c r="D801" t="s">
        <v>67</v>
      </c>
      <c r="E801" t="s">
        <v>68</v>
      </c>
      <c r="F801" t="s">
        <v>5</v>
      </c>
      <c r="G801" t="s">
        <v>6</v>
      </c>
      <c r="H801" t="s">
        <v>35</v>
      </c>
      <c r="I801" t="s">
        <v>36</v>
      </c>
      <c r="J801" t="s">
        <v>9</v>
      </c>
      <c r="K801" t="s">
        <v>284</v>
      </c>
      <c r="L801" t="s">
        <v>291</v>
      </c>
      <c r="M801" t="s">
        <v>15</v>
      </c>
      <c r="N801" s="2">
        <v>13297.33</v>
      </c>
      <c r="O801" s="2">
        <v>-5698.03</v>
      </c>
      <c r="P801" s="2">
        <v>-5698.03</v>
      </c>
      <c r="Q801" s="2">
        <v>1901.27</v>
      </c>
      <c r="R801" s="2">
        <v>0</v>
      </c>
      <c r="S801" s="2">
        <v>1901.27</v>
      </c>
      <c r="T801" s="2">
        <v>1901.27</v>
      </c>
      <c r="U801" s="2">
        <v>0</v>
      </c>
      <c r="V801" s="2">
        <v>0</v>
      </c>
      <c r="W801" s="2">
        <v>0</v>
      </c>
    </row>
    <row r="802" spans="1:23" outlineLevel="2" x14ac:dyDescent="0.2">
      <c r="A802" t="s">
        <v>0</v>
      </c>
      <c r="B802" t="s">
        <v>1</v>
      </c>
      <c r="C802" t="s">
        <v>16</v>
      </c>
      <c r="D802" t="s">
        <v>103</v>
      </c>
      <c r="E802" t="s">
        <v>104</v>
      </c>
      <c r="F802" t="s">
        <v>5</v>
      </c>
      <c r="G802" t="s">
        <v>6</v>
      </c>
      <c r="H802" t="s">
        <v>35</v>
      </c>
      <c r="I802" t="s">
        <v>36</v>
      </c>
      <c r="J802" t="s">
        <v>9</v>
      </c>
      <c r="K802" t="s">
        <v>284</v>
      </c>
      <c r="L802" t="s">
        <v>286</v>
      </c>
      <c r="M802" t="s">
        <v>12</v>
      </c>
      <c r="N802" s="2">
        <v>0</v>
      </c>
      <c r="O802" s="2">
        <v>0</v>
      </c>
      <c r="P802" s="2">
        <v>11323.51</v>
      </c>
      <c r="Q802" s="2">
        <v>11323.51</v>
      </c>
      <c r="R802" s="2">
        <v>0</v>
      </c>
      <c r="S802" s="2">
        <v>0</v>
      </c>
      <c r="T802" s="2">
        <v>0</v>
      </c>
      <c r="U802" s="2">
        <v>11323.51</v>
      </c>
      <c r="V802" s="2">
        <v>11323.51</v>
      </c>
      <c r="W802" s="2">
        <v>11323.51</v>
      </c>
    </row>
    <row r="803" spans="1:23" outlineLevel="2" x14ac:dyDescent="0.2">
      <c r="A803" t="s">
        <v>0</v>
      </c>
      <c r="B803" t="s">
        <v>31</v>
      </c>
      <c r="C803" t="s">
        <v>32</v>
      </c>
      <c r="D803" t="s">
        <v>141</v>
      </c>
      <c r="E803" t="s">
        <v>142</v>
      </c>
      <c r="F803" t="s">
        <v>5</v>
      </c>
      <c r="G803" t="s">
        <v>6</v>
      </c>
      <c r="H803" t="s">
        <v>35</v>
      </c>
      <c r="I803" t="s">
        <v>36</v>
      </c>
      <c r="J803" t="s">
        <v>9</v>
      </c>
      <c r="K803" t="s">
        <v>284</v>
      </c>
      <c r="L803" t="s">
        <v>292</v>
      </c>
      <c r="M803" t="s">
        <v>12</v>
      </c>
      <c r="N803" s="2">
        <v>0</v>
      </c>
      <c r="O803" s="2">
        <v>0</v>
      </c>
      <c r="P803" s="2">
        <v>2072.96</v>
      </c>
      <c r="Q803" s="2">
        <v>2072.96</v>
      </c>
      <c r="R803" s="2">
        <v>0</v>
      </c>
      <c r="S803" s="2">
        <v>133.82</v>
      </c>
      <c r="T803" s="2">
        <v>133.82</v>
      </c>
      <c r="U803" s="2">
        <v>1939.14</v>
      </c>
      <c r="V803" s="2">
        <v>1939.14</v>
      </c>
      <c r="W803" s="2">
        <v>1939.14</v>
      </c>
    </row>
    <row r="804" spans="1:23" outlineLevel="2" x14ac:dyDescent="0.2">
      <c r="A804" t="s">
        <v>0</v>
      </c>
      <c r="B804" t="s">
        <v>31</v>
      </c>
      <c r="C804" t="s">
        <v>79</v>
      </c>
      <c r="D804" t="s">
        <v>117</v>
      </c>
      <c r="E804" t="s">
        <v>118</v>
      </c>
      <c r="F804" t="s">
        <v>5</v>
      </c>
      <c r="G804" t="s">
        <v>6</v>
      </c>
      <c r="H804" t="s">
        <v>35</v>
      </c>
      <c r="I804" t="s">
        <v>36</v>
      </c>
      <c r="J804" t="s">
        <v>9</v>
      </c>
      <c r="K804" t="s">
        <v>284</v>
      </c>
      <c r="L804" t="s">
        <v>290</v>
      </c>
      <c r="M804" t="s">
        <v>15</v>
      </c>
      <c r="N804" s="2">
        <v>1663.77</v>
      </c>
      <c r="O804" s="2">
        <v>0</v>
      </c>
      <c r="P804" s="2">
        <v>-1469.24</v>
      </c>
      <c r="Q804" s="2">
        <v>194.53</v>
      </c>
      <c r="R804" s="2">
        <v>0</v>
      </c>
      <c r="S804" s="2">
        <v>194.53</v>
      </c>
      <c r="T804" s="2">
        <v>194.53</v>
      </c>
      <c r="U804" s="2">
        <v>0</v>
      </c>
      <c r="V804" s="2">
        <v>0</v>
      </c>
      <c r="W804" s="2">
        <v>0</v>
      </c>
    </row>
    <row r="805" spans="1:23" outlineLevel="2" x14ac:dyDescent="0.2">
      <c r="A805" t="s">
        <v>0</v>
      </c>
      <c r="B805" t="s">
        <v>39</v>
      </c>
      <c r="C805" t="s">
        <v>70</v>
      </c>
      <c r="D805" t="s">
        <v>89</v>
      </c>
      <c r="E805" t="s">
        <v>90</v>
      </c>
      <c r="F805" t="s">
        <v>5</v>
      </c>
      <c r="G805" t="s">
        <v>6</v>
      </c>
      <c r="H805" t="s">
        <v>35</v>
      </c>
      <c r="I805" t="s">
        <v>36</v>
      </c>
      <c r="J805" t="s">
        <v>9</v>
      </c>
      <c r="K805" t="s">
        <v>284</v>
      </c>
      <c r="L805" t="s">
        <v>297</v>
      </c>
      <c r="M805" t="s">
        <v>12</v>
      </c>
      <c r="N805" s="2">
        <v>0</v>
      </c>
      <c r="O805" s="2">
        <v>0</v>
      </c>
      <c r="P805" s="2">
        <v>86003.05</v>
      </c>
      <c r="Q805" s="2">
        <v>86003.05</v>
      </c>
      <c r="R805" s="2">
        <v>0</v>
      </c>
      <c r="S805" s="2">
        <v>7642.84</v>
      </c>
      <c r="T805" s="2">
        <v>7642.84</v>
      </c>
      <c r="U805" s="2">
        <v>78360.210000000006</v>
      </c>
      <c r="V805" s="2">
        <v>78360.210000000006</v>
      </c>
      <c r="W805" s="2">
        <v>78360.210000000006</v>
      </c>
    </row>
    <row r="806" spans="1:23" outlineLevel="2" x14ac:dyDescent="0.2">
      <c r="A806" t="s">
        <v>0</v>
      </c>
      <c r="B806" t="s">
        <v>31</v>
      </c>
      <c r="C806" t="s">
        <v>32</v>
      </c>
      <c r="D806" t="s">
        <v>75</v>
      </c>
      <c r="E806" t="s">
        <v>76</v>
      </c>
      <c r="F806" t="s">
        <v>5</v>
      </c>
      <c r="G806" t="s">
        <v>6</v>
      </c>
      <c r="H806" t="s">
        <v>35</v>
      </c>
      <c r="I806" t="s">
        <v>36</v>
      </c>
      <c r="J806" t="s">
        <v>9</v>
      </c>
      <c r="K806" t="s">
        <v>284</v>
      </c>
      <c r="L806" t="s">
        <v>292</v>
      </c>
      <c r="M806" t="s">
        <v>12</v>
      </c>
      <c r="N806" s="2">
        <v>0</v>
      </c>
      <c r="O806" s="2">
        <v>0</v>
      </c>
      <c r="P806" s="2">
        <v>1006.79</v>
      </c>
      <c r="Q806" s="2">
        <v>1006.79</v>
      </c>
      <c r="R806" s="2">
        <v>0</v>
      </c>
      <c r="S806" s="2">
        <v>0</v>
      </c>
      <c r="T806" s="2">
        <v>0</v>
      </c>
      <c r="U806" s="2">
        <v>1006.79</v>
      </c>
      <c r="V806" s="2">
        <v>1006.79</v>
      </c>
      <c r="W806" s="2">
        <v>1006.79</v>
      </c>
    </row>
    <row r="807" spans="1:23" outlineLevel="2" x14ac:dyDescent="0.2">
      <c r="A807" t="s">
        <v>0</v>
      </c>
      <c r="B807" t="s">
        <v>1</v>
      </c>
      <c r="C807" t="s">
        <v>16</v>
      </c>
      <c r="D807" t="s">
        <v>62</v>
      </c>
      <c r="E807" t="s">
        <v>63</v>
      </c>
      <c r="F807" t="s">
        <v>5</v>
      </c>
      <c r="G807" t="s">
        <v>6</v>
      </c>
      <c r="H807" t="s">
        <v>35</v>
      </c>
      <c r="I807" t="s">
        <v>36</v>
      </c>
      <c r="J807" t="s">
        <v>9</v>
      </c>
      <c r="K807" t="s">
        <v>284</v>
      </c>
      <c r="L807" t="s">
        <v>286</v>
      </c>
      <c r="M807" t="s">
        <v>12</v>
      </c>
      <c r="N807" s="2">
        <v>0</v>
      </c>
      <c r="O807" s="2">
        <v>0</v>
      </c>
      <c r="P807" s="2">
        <v>389.84</v>
      </c>
      <c r="Q807" s="2">
        <v>389.84</v>
      </c>
      <c r="R807" s="2">
        <v>0</v>
      </c>
      <c r="S807" s="2">
        <v>0</v>
      </c>
      <c r="T807" s="2">
        <v>0</v>
      </c>
      <c r="U807" s="2">
        <v>389.84</v>
      </c>
      <c r="V807" s="2">
        <v>389.84</v>
      </c>
      <c r="W807" s="2">
        <v>389.84</v>
      </c>
    </row>
    <row r="808" spans="1:23" outlineLevel="2" x14ac:dyDescent="0.2">
      <c r="A808" t="s">
        <v>0</v>
      </c>
      <c r="B808" t="s">
        <v>1</v>
      </c>
      <c r="C808" t="s">
        <v>16</v>
      </c>
      <c r="D808" t="s">
        <v>103</v>
      </c>
      <c r="E808" t="s">
        <v>104</v>
      </c>
      <c r="F808" t="s">
        <v>5</v>
      </c>
      <c r="G808" t="s">
        <v>6</v>
      </c>
      <c r="H808" t="s">
        <v>35</v>
      </c>
      <c r="I808" t="s">
        <v>36</v>
      </c>
      <c r="J808" t="s">
        <v>9</v>
      </c>
      <c r="K808" t="s">
        <v>284</v>
      </c>
      <c r="L808" t="s">
        <v>286</v>
      </c>
      <c r="M808" t="s">
        <v>15</v>
      </c>
      <c r="N808" s="2">
        <v>28282.68</v>
      </c>
      <c r="O808" s="2">
        <v>0</v>
      </c>
      <c r="P808" s="2">
        <v>-22647.02</v>
      </c>
      <c r="Q808" s="2">
        <v>5635.66</v>
      </c>
      <c r="R808" s="2">
        <v>0</v>
      </c>
      <c r="S808" s="2">
        <v>5635.66</v>
      </c>
      <c r="T808" s="2">
        <v>5635.66</v>
      </c>
      <c r="U808" s="2">
        <v>0</v>
      </c>
      <c r="V808" s="2">
        <v>0</v>
      </c>
      <c r="W808" s="2">
        <v>0</v>
      </c>
    </row>
    <row r="809" spans="1:23" outlineLevel="2" x14ac:dyDescent="0.2">
      <c r="A809" t="s">
        <v>0</v>
      </c>
      <c r="B809" t="s">
        <v>39</v>
      </c>
      <c r="C809" t="s">
        <v>70</v>
      </c>
      <c r="D809" t="s">
        <v>71</v>
      </c>
      <c r="E809" t="s">
        <v>72</v>
      </c>
      <c r="F809" t="s">
        <v>5</v>
      </c>
      <c r="G809" t="s">
        <v>6</v>
      </c>
      <c r="H809" t="s">
        <v>35</v>
      </c>
      <c r="I809" t="s">
        <v>36</v>
      </c>
      <c r="J809" t="s">
        <v>9</v>
      </c>
      <c r="K809" t="s">
        <v>284</v>
      </c>
      <c r="L809" t="s">
        <v>297</v>
      </c>
      <c r="M809" t="s">
        <v>12</v>
      </c>
      <c r="N809" s="2">
        <v>0</v>
      </c>
      <c r="O809" s="2">
        <v>0</v>
      </c>
      <c r="P809" s="2">
        <v>18778.669999999998</v>
      </c>
      <c r="Q809" s="2">
        <v>18778.669999999998</v>
      </c>
      <c r="R809" s="2">
        <v>0</v>
      </c>
      <c r="S809" s="2">
        <v>4159.8100000000004</v>
      </c>
      <c r="T809" s="2">
        <v>4159.8100000000004</v>
      </c>
      <c r="U809" s="2">
        <v>14618.86</v>
      </c>
      <c r="V809" s="2">
        <v>14618.86</v>
      </c>
      <c r="W809" s="2">
        <v>14618.86</v>
      </c>
    </row>
    <row r="810" spans="1:23" outlineLevel="2" x14ac:dyDescent="0.2">
      <c r="A810" t="s">
        <v>0</v>
      </c>
      <c r="B810" t="s">
        <v>1</v>
      </c>
      <c r="C810" t="s">
        <v>99</v>
      </c>
      <c r="D810" t="s">
        <v>100</v>
      </c>
      <c r="E810" t="s">
        <v>101</v>
      </c>
      <c r="F810" t="s">
        <v>5</v>
      </c>
      <c r="G810" t="s">
        <v>6</v>
      </c>
      <c r="H810" t="s">
        <v>35</v>
      </c>
      <c r="I810" t="s">
        <v>36</v>
      </c>
      <c r="J810" t="s">
        <v>9</v>
      </c>
      <c r="K810" t="s">
        <v>284</v>
      </c>
      <c r="L810" t="s">
        <v>288</v>
      </c>
      <c r="M810" t="s">
        <v>12</v>
      </c>
      <c r="N810" s="2">
        <v>0</v>
      </c>
      <c r="O810" s="2">
        <v>200</v>
      </c>
      <c r="P810" s="2">
        <v>32150.93</v>
      </c>
      <c r="Q810" s="2">
        <v>32350.93</v>
      </c>
      <c r="R810" s="2">
        <v>0</v>
      </c>
      <c r="S810" s="2">
        <v>3519.43</v>
      </c>
      <c r="T810" s="2">
        <v>3519.43</v>
      </c>
      <c r="U810" s="2">
        <v>28831.5</v>
      </c>
      <c r="V810" s="2">
        <v>28831.5</v>
      </c>
      <c r="W810" s="2">
        <v>28831.5</v>
      </c>
    </row>
    <row r="811" spans="1:23" outlineLevel="2" x14ac:dyDescent="0.2">
      <c r="A811" t="s">
        <v>0</v>
      </c>
      <c r="B811" t="s">
        <v>39</v>
      </c>
      <c r="C811" t="s">
        <v>40</v>
      </c>
      <c r="D811" t="s">
        <v>77</v>
      </c>
      <c r="E811" t="s">
        <v>78</v>
      </c>
      <c r="F811" t="s">
        <v>5</v>
      </c>
      <c r="G811" t="s">
        <v>6</v>
      </c>
      <c r="H811" t="s">
        <v>35</v>
      </c>
      <c r="I811" t="s">
        <v>36</v>
      </c>
      <c r="J811" t="s">
        <v>9</v>
      </c>
      <c r="K811" t="s">
        <v>284</v>
      </c>
      <c r="L811" t="s">
        <v>293</v>
      </c>
      <c r="M811" t="s">
        <v>12</v>
      </c>
      <c r="N811" s="2">
        <v>0</v>
      </c>
      <c r="O811" s="2">
        <v>0</v>
      </c>
      <c r="P811" s="2">
        <v>22593.97</v>
      </c>
      <c r="Q811" s="2">
        <v>22593.97</v>
      </c>
      <c r="R811" s="2">
        <v>0</v>
      </c>
      <c r="S811" s="2">
        <v>675.21</v>
      </c>
      <c r="T811" s="2">
        <v>675.21</v>
      </c>
      <c r="U811" s="2">
        <v>21918.76</v>
      </c>
      <c r="V811" s="2">
        <v>21918.76</v>
      </c>
      <c r="W811" s="2">
        <v>21918.76</v>
      </c>
    </row>
    <row r="812" spans="1:23" outlineLevel="2" x14ac:dyDescent="0.2">
      <c r="A812" t="s">
        <v>0</v>
      </c>
      <c r="B812" t="s">
        <v>1</v>
      </c>
      <c r="C812" t="s">
        <v>44</v>
      </c>
      <c r="D812" t="s">
        <v>45</v>
      </c>
      <c r="E812" t="s">
        <v>46</v>
      </c>
      <c r="F812" t="s">
        <v>5</v>
      </c>
      <c r="G812" t="s">
        <v>6</v>
      </c>
      <c r="H812" t="s">
        <v>35</v>
      </c>
      <c r="I812" t="s">
        <v>36</v>
      </c>
      <c r="J812" t="s">
        <v>9</v>
      </c>
      <c r="K812" t="s">
        <v>284</v>
      </c>
      <c r="L812" t="s">
        <v>287</v>
      </c>
      <c r="M812" t="s">
        <v>15</v>
      </c>
      <c r="N812" s="2">
        <v>946.53</v>
      </c>
      <c r="O812" s="2">
        <v>0</v>
      </c>
      <c r="P812" s="2">
        <v>-773.01</v>
      </c>
      <c r="Q812" s="2">
        <v>173.52</v>
      </c>
      <c r="R812" s="2">
        <v>0</v>
      </c>
      <c r="S812" s="2">
        <v>173.52</v>
      </c>
      <c r="T812" s="2">
        <v>173.52</v>
      </c>
      <c r="U812" s="2">
        <v>0</v>
      </c>
      <c r="V812" s="2">
        <v>0</v>
      </c>
      <c r="W812" s="2">
        <v>0</v>
      </c>
    </row>
    <row r="813" spans="1:23" outlineLevel="2" x14ac:dyDescent="0.2">
      <c r="A813" t="s">
        <v>0</v>
      </c>
      <c r="B813" t="s">
        <v>1</v>
      </c>
      <c r="C813" t="s">
        <v>91</v>
      </c>
      <c r="D813" t="s">
        <v>92</v>
      </c>
      <c r="E813" t="s">
        <v>93</v>
      </c>
      <c r="F813" t="s">
        <v>5</v>
      </c>
      <c r="G813" t="s">
        <v>6</v>
      </c>
      <c r="H813" t="s">
        <v>35</v>
      </c>
      <c r="I813" t="s">
        <v>36</v>
      </c>
      <c r="J813" t="s">
        <v>9</v>
      </c>
      <c r="K813" t="s">
        <v>284</v>
      </c>
      <c r="L813" t="s">
        <v>296</v>
      </c>
      <c r="M813" t="s">
        <v>12</v>
      </c>
      <c r="N813" s="2">
        <v>0</v>
      </c>
      <c r="O813" s="2">
        <v>0</v>
      </c>
      <c r="P813" s="2">
        <v>7325.13</v>
      </c>
      <c r="Q813" s="2">
        <v>7325.13</v>
      </c>
      <c r="R813" s="2">
        <v>0</v>
      </c>
      <c r="S813" s="2">
        <v>1856.84</v>
      </c>
      <c r="T813" s="2">
        <v>1856.84</v>
      </c>
      <c r="U813" s="2">
        <v>5468.29</v>
      </c>
      <c r="V813" s="2">
        <v>5468.29</v>
      </c>
      <c r="W813" s="2">
        <v>5468.29</v>
      </c>
    </row>
    <row r="814" spans="1:23" outlineLevel="2" x14ac:dyDescent="0.2">
      <c r="A814" t="s">
        <v>0</v>
      </c>
      <c r="B814" t="s">
        <v>31</v>
      </c>
      <c r="C814" t="s">
        <v>107</v>
      </c>
      <c r="D814" t="s">
        <v>108</v>
      </c>
      <c r="E814" t="s">
        <v>109</v>
      </c>
      <c r="F814" t="s">
        <v>5</v>
      </c>
      <c r="G814" t="s">
        <v>6</v>
      </c>
      <c r="H814" t="s">
        <v>35</v>
      </c>
      <c r="I814" t="s">
        <v>36</v>
      </c>
      <c r="J814" t="s">
        <v>9</v>
      </c>
      <c r="K814" t="s">
        <v>284</v>
      </c>
      <c r="L814" t="s">
        <v>295</v>
      </c>
      <c r="M814" t="s">
        <v>12</v>
      </c>
      <c r="N814" s="2">
        <v>0</v>
      </c>
      <c r="O814" s="2">
        <v>0</v>
      </c>
      <c r="P814" s="2">
        <v>30362.23</v>
      </c>
      <c r="Q814" s="2">
        <v>30362.23</v>
      </c>
      <c r="R814" s="2">
        <v>0</v>
      </c>
      <c r="S814" s="2">
        <v>2341.2399999999998</v>
      </c>
      <c r="T814" s="2">
        <v>2341.2399999999998</v>
      </c>
      <c r="U814" s="2">
        <v>28020.99</v>
      </c>
      <c r="V814" s="2">
        <v>28020.99</v>
      </c>
      <c r="W814" s="2">
        <v>28020.99</v>
      </c>
    </row>
    <row r="815" spans="1:23" outlineLevel="2" x14ac:dyDescent="0.2">
      <c r="A815" t="s">
        <v>0</v>
      </c>
      <c r="B815" t="s">
        <v>1</v>
      </c>
      <c r="C815" t="s">
        <v>16</v>
      </c>
      <c r="D815" t="s">
        <v>64</v>
      </c>
      <c r="E815" t="s">
        <v>65</v>
      </c>
      <c r="F815" t="s">
        <v>5</v>
      </c>
      <c r="G815" t="s">
        <v>6</v>
      </c>
      <c r="H815" t="s">
        <v>35</v>
      </c>
      <c r="I815" t="s">
        <v>36</v>
      </c>
      <c r="J815" t="s">
        <v>9</v>
      </c>
      <c r="K815" t="s">
        <v>284</v>
      </c>
      <c r="L815" t="s">
        <v>286</v>
      </c>
      <c r="M815" t="s">
        <v>12</v>
      </c>
      <c r="N815" s="2">
        <v>0</v>
      </c>
      <c r="O815" s="2">
        <v>0</v>
      </c>
      <c r="P815" s="2">
        <v>1907.94</v>
      </c>
      <c r="Q815" s="2">
        <v>1907.94</v>
      </c>
      <c r="R815" s="2">
        <v>0</v>
      </c>
      <c r="S815" s="2">
        <v>0</v>
      </c>
      <c r="T815" s="2">
        <v>0</v>
      </c>
      <c r="U815" s="2">
        <v>1907.94</v>
      </c>
      <c r="V815" s="2">
        <v>1907.94</v>
      </c>
      <c r="W815" s="2">
        <v>1907.94</v>
      </c>
    </row>
    <row r="816" spans="1:23" outlineLevel="2" x14ac:dyDescent="0.2">
      <c r="A816" t="s">
        <v>0</v>
      </c>
      <c r="B816" t="s">
        <v>39</v>
      </c>
      <c r="C816" t="s">
        <v>95</v>
      </c>
      <c r="D816" t="s">
        <v>96</v>
      </c>
      <c r="E816" t="s">
        <v>97</v>
      </c>
      <c r="F816" t="s">
        <v>5</v>
      </c>
      <c r="G816" t="s">
        <v>6</v>
      </c>
      <c r="H816" t="s">
        <v>35</v>
      </c>
      <c r="I816" t="s">
        <v>36</v>
      </c>
      <c r="J816" t="s">
        <v>9</v>
      </c>
      <c r="K816" t="s">
        <v>284</v>
      </c>
      <c r="L816" t="s">
        <v>298</v>
      </c>
      <c r="M816" t="s">
        <v>15</v>
      </c>
      <c r="N816" s="2">
        <v>7213.01</v>
      </c>
      <c r="O816" s="2">
        <v>0</v>
      </c>
      <c r="P816" s="2">
        <v>-7026.76</v>
      </c>
      <c r="Q816" s="2">
        <v>186.25</v>
      </c>
      <c r="R816" s="2">
        <v>0</v>
      </c>
      <c r="S816" s="2">
        <v>186.25</v>
      </c>
      <c r="T816" s="2">
        <v>186.25</v>
      </c>
      <c r="U816" s="2">
        <v>0</v>
      </c>
      <c r="V816" s="2">
        <v>0</v>
      </c>
      <c r="W816" s="2">
        <v>0</v>
      </c>
    </row>
    <row r="817" spans="1:23" outlineLevel="2" x14ac:dyDescent="0.2">
      <c r="A817" t="s">
        <v>0</v>
      </c>
      <c r="B817" t="s">
        <v>31</v>
      </c>
      <c r="C817" t="s">
        <v>79</v>
      </c>
      <c r="D817" t="s">
        <v>127</v>
      </c>
      <c r="E817" t="s">
        <v>128</v>
      </c>
      <c r="F817" t="s">
        <v>5</v>
      </c>
      <c r="G817" t="s">
        <v>6</v>
      </c>
      <c r="H817" t="s">
        <v>35</v>
      </c>
      <c r="I817" t="s">
        <v>36</v>
      </c>
      <c r="J817" t="s">
        <v>9</v>
      </c>
      <c r="K817" t="s">
        <v>284</v>
      </c>
      <c r="L817" t="s">
        <v>290</v>
      </c>
      <c r="M817" t="s">
        <v>15</v>
      </c>
      <c r="N817" s="2">
        <v>0</v>
      </c>
      <c r="O817" s="2">
        <v>201</v>
      </c>
      <c r="P817" s="2">
        <v>-0.19</v>
      </c>
      <c r="Q817" s="2">
        <v>200.81</v>
      </c>
      <c r="R817" s="2">
        <v>0</v>
      </c>
      <c r="S817" s="2">
        <v>200.81</v>
      </c>
      <c r="T817" s="2">
        <v>200.81</v>
      </c>
      <c r="U817" s="2">
        <v>0</v>
      </c>
      <c r="V817" s="2">
        <v>0</v>
      </c>
      <c r="W817" s="2">
        <v>0</v>
      </c>
    </row>
    <row r="818" spans="1:23" outlineLevel="2" x14ac:dyDescent="0.2">
      <c r="A818" t="s">
        <v>0</v>
      </c>
      <c r="B818" t="s">
        <v>31</v>
      </c>
      <c r="C818" t="s">
        <v>79</v>
      </c>
      <c r="D818" t="s">
        <v>80</v>
      </c>
      <c r="E818" t="s">
        <v>81</v>
      </c>
      <c r="F818" t="s">
        <v>5</v>
      </c>
      <c r="G818" t="s">
        <v>6</v>
      </c>
      <c r="H818" t="s">
        <v>35</v>
      </c>
      <c r="I818" t="s">
        <v>36</v>
      </c>
      <c r="J818" t="s">
        <v>9</v>
      </c>
      <c r="K818" t="s">
        <v>284</v>
      </c>
      <c r="L818" t="s">
        <v>290</v>
      </c>
      <c r="M818" t="s">
        <v>15</v>
      </c>
      <c r="N818" s="2">
        <v>0</v>
      </c>
      <c r="O818" s="2">
        <v>175</v>
      </c>
      <c r="P818" s="2">
        <v>-0.96</v>
      </c>
      <c r="Q818" s="2">
        <v>174.04</v>
      </c>
      <c r="R818" s="2">
        <v>0</v>
      </c>
      <c r="S818" s="2">
        <v>174.04</v>
      </c>
      <c r="T818" s="2">
        <v>174.04</v>
      </c>
      <c r="U818" s="2">
        <v>0</v>
      </c>
      <c r="V818" s="2">
        <v>0</v>
      </c>
      <c r="W818" s="2">
        <v>0</v>
      </c>
    </row>
    <row r="819" spans="1:23" outlineLevel="2" x14ac:dyDescent="0.2">
      <c r="A819" t="s">
        <v>0</v>
      </c>
      <c r="B819" t="s">
        <v>39</v>
      </c>
      <c r="C819" t="s">
        <v>58</v>
      </c>
      <c r="D819" t="s">
        <v>143</v>
      </c>
      <c r="E819" t="s">
        <v>144</v>
      </c>
      <c r="F819" t="s">
        <v>5</v>
      </c>
      <c r="G819" t="s">
        <v>6</v>
      </c>
      <c r="H819" t="s">
        <v>35</v>
      </c>
      <c r="I819" t="s">
        <v>36</v>
      </c>
      <c r="J819" t="s">
        <v>9</v>
      </c>
      <c r="K819" t="s">
        <v>284</v>
      </c>
      <c r="L819" t="s">
        <v>289</v>
      </c>
      <c r="M819" t="s">
        <v>15</v>
      </c>
      <c r="N819" s="2">
        <v>8831</v>
      </c>
      <c r="O819" s="2">
        <v>0</v>
      </c>
      <c r="P819" s="2">
        <v>-204.07</v>
      </c>
      <c r="Q819" s="2">
        <v>8626.93</v>
      </c>
      <c r="R819" s="2">
        <v>0</v>
      </c>
      <c r="S819" s="2">
        <v>8626.93</v>
      </c>
      <c r="T819" s="2">
        <v>8626.93</v>
      </c>
      <c r="U819" s="2">
        <v>0</v>
      </c>
      <c r="V819" s="2">
        <v>0</v>
      </c>
      <c r="W819" s="2">
        <v>0</v>
      </c>
    </row>
    <row r="820" spans="1:23" outlineLevel="2" x14ac:dyDescent="0.2">
      <c r="A820" t="s">
        <v>0</v>
      </c>
      <c r="B820" t="s">
        <v>53</v>
      </c>
      <c r="C820" t="s">
        <v>54</v>
      </c>
      <c r="D820" t="s">
        <v>55</v>
      </c>
      <c r="E820" t="s">
        <v>56</v>
      </c>
      <c r="F820" t="s">
        <v>5</v>
      </c>
      <c r="G820" t="s">
        <v>6</v>
      </c>
      <c r="H820" t="s">
        <v>35</v>
      </c>
      <c r="I820" t="s">
        <v>36</v>
      </c>
      <c r="J820" t="s">
        <v>9</v>
      </c>
      <c r="K820" t="s">
        <v>284</v>
      </c>
      <c r="L820" t="s">
        <v>299</v>
      </c>
      <c r="M820" t="s">
        <v>15</v>
      </c>
      <c r="N820" s="2">
        <v>2895.84</v>
      </c>
      <c r="O820" s="2">
        <v>-2895.84</v>
      </c>
      <c r="P820" s="2">
        <v>0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</row>
    <row r="821" spans="1:23" outlineLevel="2" x14ac:dyDescent="0.2">
      <c r="A821" t="s">
        <v>0</v>
      </c>
      <c r="B821" t="s">
        <v>39</v>
      </c>
      <c r="C821" t="s">
        <v>95</v>
      </c>
      <c r="D821" t="s">
        <v>96</v>
      </c>
      <c r="E821" t="s">
        <v>97</v>
      </c>
      <c r="F821" t="s">
        <v>5</v>
      </c>
      <c r="G821" t="s">
        <v>6</v>
      </c>
      <c r="H821" t="s">
        <v>35</v>
      </c>
      <c r="I821" t="s">
        <v>36</v>
      </c>
      <c r="J821" t="s">
        <v>9</v>
      </c>
      <c r="K821" t="s">
        <v>284</v>
      </c>
      <c r="L821" t="s">
        <v>298</v>
      </c>
      <c r="M821" t="s">
        <v>12</v>
      </c>
      <c r="N821" s="2">
        <v>0</v>
      </c>
      <c r="O821" s="2">
        <v>0</v>
      </c>
      <c r="P821" s="2">
        <v>3457.5</v>
      </c>
      <c r="Q821" s="2">
        <v>3457.5</v>
      </c>
      <c r="R821" s="2">
        <v>0</v>
      </c>
      <c r="S821" s="2">
        <v>0</v>
      </c>
      <c r="T821" s="2">
        <v>0</v>
      </c>
      <c r="U821" s="2">
        <v>3457.5</v>
      </c>
      <c r="V821" s="2">
        <v>3457.5</v>
      </c>
      <c r="W821" s="2">
        <v>3457.5</v>
      </c>
    </row>
    <row r="822" spans="1:23" outlineLevel="2" x14ac:dyDescent="0.2">
      <c r="A822" t="s">
        <v>0</v>
      </c>
      <c r="B822" t="s">
        <v>53</v>
      </c>
      <c r="C822" t="s">
        <v>85</v>
      </c>
      <c r="D822" t="s">
        <v>86</v>
      </c>
      <c r="E822" t="s">
        <v>87</v>
      </c>
      <c r="F822" t="s">
        <v>5</v>
      </c>
      <c r="G822" t="s">
        <v>6</v>
      </c>
      <c r="H822" t="s">
        <v>35</v>
      </c>
      <c r="I822" t="s">
        <v>36</v>
      </c>
      <c r="J822" t="s">
        <v>9</v>
      </c>
      <c r="K822" t="s">
        <v>284</v>
      </c>
      <c r="L822" t="s">
        <v>300</v>
      </c>
      <c r="M822" t="s">
        <v>15</v>
      </c>
      <c r="N822" s="2">
        <v>1369.54</v>
      </c>
      <c r="O822" s="2">
        <v>-1369.54</v>
      </c>
      <c r="P822" s="2">
        <v>0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</row>
    <row r="823" spans="1:23" outlineLevel="2" x14ac:dyDescent="0.2">
      <c r="A823" t="s">
        <v>0</v>
      </c>
      <c r="B823" t="s">
        <v>39</v>
      </c>
      <c r="C823" t="s">
        <v>58</v>
      </c>
      <c r="D823" t="s">
        <v>105</v>
      </c>
      <c r="E823" t="s">
        <v>106</v>
      </c>
      <c r="F823" t="s">
        <v>5</v>
      </c>
      <c r="G823" t="s">
        <v>6</v>
      </c>
      <c r="H823" t="s">
        <v>35</v>
      </c>
      <c r="I823" t="s">
        <v>36</v>
      </c>
      <c r="J823" t="s">
        <v>9</v>
      </c>
      <c r="K823" t="s">
        <v>284</v>
      </c>
      <c r="L823" t="s">
        <v>289</v>
      </c>
      <c r="M823" t="s">
        <v>15</v>
      </c>
      <c r="N823" s="2">
        <v>4021.74</v>
      </c>
      <c r="O823" s="2">
        <v>0</v>
      </c>
      <c r="P823" s="2">
        <v>-4021.74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</row>
    <row r="824" spans="1:23" outlineLevel="2" x14ac:dyDescent="0.2">
      <c r="A824" t="s">
        <v>0</v>
      </c>
      <c r="B824" t="s">
        <v>39</v>
      </c>
      <c r="C824" t="s">
        <v>40</v>
      </c>
      <c r="D824" t="s">
        <v>41</v>
      </c>
      <c r="E824" t="s">
        <v>42</v>
      </c>
      <c r="F824" t="s">
        <v>5</v>
      </c>
      <c r="G824" t="s">
        <v>6</v>
      </c>
      <c r="H824" t="s">
        <v>35</v>
      </c>
      <c r="I824" t="s">
        <v>36</v>
      </c>
      <c r="J824" t="s">
        <v>9</v>
      </c>
      <c r="K824" t="s">
        <v>284</v>
      </c>
      <c r="L824" t="s">
        <v>293</v>
      </c>
      <c r="M824" t="s">
        <v>12</v>
      </c>
      <c r="N824" s="2">
        <v>0</v>
      </c>
      <c r="O824" s="2">
        <v>0</v>
      </c>
      <c r="P824" s="2">
        <v>2480.2600000000002</v>
      </c>
      <c r="Q824" s="2">
        <v>2480.2600000000002</v>
      </c>
      <c r="R824" s="2">
        <v>0</v>
      </c>
      <c r="S824" s="2">
        <v>0</v>
      </c>
      <c r="T824" s="2">
        <v>0</v>
      </c>
      <c r="U824" s="2">
        <v>2480.2600000000002</v>
      </c>
      <c r="V824" s="2">
        <v>2480.2600000000002</v>
      </c>
      <c r="W824" s="2">
        <v>2480.2600000000002</v>
      </c>
    </row>
    <row r="825" spans="1:23" outlineLevel="2" x14ac:dyDescent="0.2">
      <c r="A825" t="s">
        <v>0</v>
      </c>
      <c r="B825" t="s">
        <v>39</v>
      </c>
      <c r="C825" t="s">
        <v>70</v>
      </c>
      <c r="D825" t="s">
        <v>89</v>
      </c>
      <c r="E825" t="s">
        <v>90</v>
      </c>
      <c r="F825" t="s">
        <v>5</v>
      </c>
      <c r="G825" t="s">
        <v>6</v>
      </c>
      <c r="H825" t="s">
        <v>35</v>
      </c>
      <c r="I825" t="s">
        <v>36</v>
      </c>
      <c r="J825" t="s">
        <v>9</v>
      </c>
      <c r="K825" t="s">
        <v>284</v>
      </c>
      <c r="L825" t="s">
        <v>297</v>
      </c>
      <c r="M825" t="s">
        <v>15</v>
      </c>
      <c r="N825" s="2">
        <v>245070.02</v>
      </c>
      <c r="O825" s="2">
        <v>0</v>
      </c>
      <c r="P825" s="2">
        <v>-25070.49</v>
      </c>
      <c r="Q825" s="2">
        <v>219999.53</v>
      </c>
      <c r="R825" s="2">
        <v>0</v>
      </c>
      <c r="S825" s="2">
        <v>219999.53</v>
      </c>
      <c r="T825" s="2">
        <v>219999.53</v>
      </c>
      <c r="U825" s="2">
        <v>0</v>
      </c>
      <c r="V825" s="2">
        <v>0</v>
      </c>
      <c r="W825" s="2">
        <v>0</v>
      </c>
    </row>
    <row r="826" spans="1:23" outlineLevel="2" x14ac:dyDescent="0.2">
      <c r="A826" t="s">
        <v>0</v>
      </c>
      <c r="B826" t="s">
        <v>31</v>
      </c>
      <c r="C826" t="s">
        <v>79</v>
      </c>
      <c r="D826" t="s">
        <v>133</v>
      </c>
      <c r="E826" t="s">
        <v>134</v>
      </c>
      <c r="F826" t="s">
        <v>5</v>
      </c>
      <c r="G826" t="s">
        <v>6</v>
      </c>
      <c r="H826" t="s">
        <v>35</v>
      </c>
      <c r="I826" t="s">
        <v>36</v>
      </c>
      <c r="J826" t="s">
        <v>9</v>
      </c>
      <c r="K826" t="s">
        <v>284</v>
      </c>
      <c r="L826" t="s">
        <v>290</v>
      </c>
      <c r="M826" t="s">
        <v>12</v>
      </c>
      <c r="N826" s="2">
        <v>0</v>
      </c>
      <c r="O826" s="2">
        <v>0</v>
      </c>
      <c r="P826" s="2">
        <v>588.54</v>
      </c>
      <c r="Q826" s="2">
        <v>588.54</v>
      </c>
      <c r="R826" s="2">
        <v>0</v>
      </c>
      <c r="S826" s="2">
        <v>0</v>
      </c>
      <c r="T826" s="2">
        <v>0</v>
      </c>
      <c r="U826" s="2">
        <v>588.54</v>
      </c>
      <c r="V826" s="2">
        <v>588.54</v>
      </c>
      <c r="W826" s="2">
        <v>588.54</v>
      </c>
    </row>
    <row r="827" spans="1:23" outlineLevel="2" x14ac:dyDescent="0.2">
      <c r="A827" t="s">
        <v>0</v>
      </c>
      <c r="B827" t="s">
        <v>31</v>
      </c>
      <c r="C827" t="s">
        <v>49</v>
      </c>
      <c r="D827" t="s">
        <v>50</v>
      </c>
      <c r="E827" t="s">
        <v>51</v>
      </c>
      <c r="F827" t="s">
        <v>5</v>
      </c>
      <c r="G827" t="s">
        <v>6</v>
      </c>
      <c r="H827" t="s">
        <v>35</v>
      </c>
      <c r="I827" t="s">
        <v>36</v>
      </c>
      <c r="J827" t="s">
        <v>9</v>
      </c>
      <c r="K827" t="s">
        <v>284</v>
      </c>
      <c r="L827" t="s">
        <v>294</v>
      </c>
      <c r="M827" t="s">
        <v>12</v>
      </c>
      <c r="N827" s="2">
        <v>0</v>
      </c>
      <c r="O827" s="2">
        <v>0</v>
      </c>
      <c r="P827" s="2">
        <v>4582.8900000000003</v>
      </c>
      <c r="Q827" s="2">
        <v>4582.8900000000003</v>
      </c>
      <c r="R827" s="2">
        <v>0</v>
      </c>
      <c r="S827" s="2">
        <v>0</v>
      </c>
      <c r="T827" s="2">
        <v>0</v>
      </c>
      <c r="U827" s="2">
        <v>4582.8900000000003</v>
      </c>
      <c r="V827" s="2">
        <v>4582.8900000000003</v>
      </c>
      <c r="W827" s="2">
        <v>4582.8900000000003</v>
      </c>
    </row>
    <row r="828" spans="1:23" outlineLevel="2" x14ac:dyDescent="0.2">
      <c r="A828" t="s">
        <v>0</v>
      </c>
      <c r="B828" t="s">
        <v>39</v>
      </c>
      <c r="C828" t="s">
        <v>58</v>
      </c>
      <c r="D828" t="s">
        <v>135</v>
      </c>
      <c r="E828" t="s">
        <v>136</v>
      </c>
      <c r="F828" t="s">
        <v>5</v>
      </c>
      <c r="G828" t="s">
        <v>6</v>
      </c>
      <c r="H828" t="s">
        <v>35</v>
      </c>
      <c r="I828" t="s">
        <v>36</v>
      </c>
      <c r="J828" t="s">
        <v>9</v>
      </c>
      <c r="K828" t="s">
        <v>284</v>
      </c>
      <c r="L828" t="s">
        <v>289</v>
      </c>
      <c r="M828" t="s">
        <v>15</v>
      </c>
      <c r="N828" s="2">
        <v>20856</v>
      </c>
      <c r="O828" s="2">
        <v>0</v>
      </c>
      <c r="P828" s="2">
        <v>-9275.34</v>
      </c>
      <c r="Q828" s="2">
        <v>11580.66</v>
      </c>
      <c r="R828" s="2">
        <v>0</v>
      </c>
      <c r="S828" s="2">
        <v>11580.66</v>
      </c>
      <c r="T828" s="2">
        <v>11580.66</v>
      </c>
      <c r="U828" s="2">
        <v>0</v>
      </c>
      <c r="V828" s="2">
        <v>0</v>
      </c>
      <c r="W828" s="2">
        <v>0</v>
      </c>
    </row>
    <row r="829" spans="1:23" outlineLevel="2" x14ac:dyDescent="0.2">
      <c r="A829" t="s">
        <v>0</v>
      </c>
      <c r="B829" t="s">
        <v>31</v>
      </c>
      <c r="C829" t="s">
        <v>79</v>
      </c>
      <c r="D829" t="s">
        <v>83</v>
      </c>
      <c r="E829" t="s">
        <v>84</v>
      </c>
      <c r="F829" t="s">
        <v>5</v>
      </c>
      <c r="G829" t="s">
        <v>6</v>
      </c>
      <c r="H829" t="s">
        <v>35</v>
      </c>
      <c r="I829" t="s">
        <v>36</v>
      </c>
      <c r="J829" t="s">
        <v>9</v>
      </c>
      <c r="K829" t="s">
        <v>284</v>
      </c>
      <c r="L829" t="s">
        <v>290</v>
      </c>
      <c r="M829" t="s">
        <v>12</v>
      </c>
      <c r="N829" s="2">
        <v>0</v>
      </c>
      <c r="O829" s="2">
        <v>0</v>
      </c>
      <c r="P829" s="2">
        <v>3803.76</v>
      </c>
      <c r="Q829" s="2">
        <v>3803.76</v>
      </c>
      <c r="R829" s="2">
        <v>0</v>
      </c>
      <c r="S829" s="2">
        <v>0</v>
      </c>
      <c r="T829" s="2">
        <v>0</v>
      </c>
      <c r="U829" s="2">
        <v>3803.76</v>
      </c>
      <c r="V829" s="2">
        <v>3803.76</v>
      </c>
      <c r="W829" s="2">
        <v>3803.76</v>
      </c>
    </row>
    <row r="830" spans="1:23" outlineLevel="2" x14ac:dyDescent="0.2">
      <c r="A830" t="s">
        <v>0</v>
      </c>
      <c r="B830" t="s">
        <v>39</v>
      </c>
      <c r="C830" t="s">
        <v>58</v>
      </c>
      <c r="D830" t="s">
        <v>59</v>
      </c>
      <c r="E830" t="s">
        <v>60</v>
      </c>
      <c r="F830" t="s">
        <v>5</v>
      </c>
      <c r="G830" t="s">
        <v>6</v>
      </c>
      <c r="H830" t="s">
        <v>35</v>
      </c>
      <c r="I830" t="s">
        <v>36</v>
      </c>
      <c r="J830" t="s">
        <v>9</v>
      </c>
      <c r="K830" t="s">
        <v>284</v>
      </c>
      <c r="L830" t="s">
        <v>289</v>
      </c>
      <c r="M830" t="s">
        <v>15</v>
      </c>
      <c r="N830" s="2">
        <v>10800.01</v>
      </c>
      <c r="O830" s="2">
        <v>0</v>
      </c>
      <c r="P830" s="2">
        <v>-4542.82</v>
      </c>
      <c r="Q830" s="2">
        <v>6257.19</v>
      </c>
      <c r="R830" s="2">
        <v>0</v>
      </c>
      <c r="S830" s="2">
        <v>6257.19</v>
      </c>
      <c r="T830" s="2">
        <v>6257.19</v>
      </c>
      <c r="U830" s="2">
        <v>0</v>
      </c>
      <c r="V830" s="2">
        <v>0</v>
      </c>
      <c r="W830" s="2">
        <v>0</v>
      </c>
    </row>
    <row r="831" spans="1:23" outlineLevel="2" x14ac:dyDescent="0.2">
      <c r="A831" t="s">
        <v>0</v>
      </c>
      <c r="B831" t="s">
        <v>31</v>
      </c>
      <c r="C831" t="s">
        <v>32</v>
      </c>
      <c r="D831" t="s">
        <v>33</v>
      </c>
      <c r="E831" t="s">
        <v>34</v>
      </c>
      <c r="F831" t="s">
        <v>5</v>
      </c>
      <c r="G831" t="s">
        <v>6</v>
      </c>
      <c r="H831" t="s">
        <v>35</v>
      </c>
      <c r="I831" t="s">
        <v>36</v>
      </c>
      <c r="J831" t="s">
        <v>9</v>
      </c>
      <c r="K831" t="s">
        <v>284</v>
      </c>
      <c r="L831" t="s">
        <v>292</v>
      </c>
      <c r="M831" t="s">
        <v>12</v>
      </c>
      <c r="N831" s="2">
        <v>0</v>
      </c>
      <c r="O831" s="2">
        <v>2500</v>
      </c>
      <c r="P831" s="2">
        <v>2537.11</v>
      </c>
      <c r="Q831" s="2">
        <v>5037.1099999999997</v>
      </c>
      <c r="R831" s="2">
        <v>0</v>
      </c>
      <c r="S831" s="2">
        <v>2484.77</v>
      </c>
      <c r="T831" s="2">
        <v>2484.77</v>
      </c>
      <c r="U831" s="2">
        <v>2552.34</v>
      </c>
      <c r="V831" s="2">
        <v>2552.34</v>
      </c>
      <c r="W831" s="2">
        <v>2552.34</v>
      </c>
    </row>
    <row r="832" spans="1:23" outlineLevel="2" x14ac:dyDescent="0.2">
      <c r="A832" t="s">
        <v>0</v>
      </c>
      <c r="B832" t="s">
        <v>39</v>
      </c>
      <c r="C832" t="s">
        <v>58</v>
      </c>
      <c r="D832" t="s">
        <v>105</v>
      </c>
      <c r="E832" t="s">
        <v>106</v>
      </c>
      <c r="F832" t="s">
        <v>5</v>
      </c>
      <c r="G832" t="s">
        <v>6</v>
      </c>
      <c r="H832" t="s">
        <v>35</v>
      </c>
      <c r="I832" t="s">
        <v>36</v>
      </c>
      <c r="J832" t="s">
        <v>9</v>
      </c>
      <c r="K832" t="s">
        <v>284</v>
      </c>
      <c r="L832" t="s">
        <v>289</v>
      </c>
      <c r="M832" t="s">
        <v>12</v>
      </c>
      <c r="N832" s="2">
        <v>0</v>
      </c>
      <c r="O832" s="2">
        <v>0</v>
      </c>
      <c r="P832" s="2">
        <v>2010.87</v>
      </c>
      <c r="Q832" s="2">
        <v>2010.87</v>
      </c>
      <c r="R832" s="2">
        <v>0</v>
      </c>
      <c r="S832" s="2">
        <v>0</v>
      </c>
      <c r="T832" s="2">
        <v>0</v>
      </c>
      <c r="U832" s="2">
        <v>2010.87</v>
      </c>
      <c r="V832" s="2">
        <v>2010.87</v>
      </c>
      <c r="W832" s="2">
        <v>2010.87</v>
      </c>
    </row>
    <row r="833" spans="1:23" outlineLevel="2" x14ac:dyDescent="0.2">
      <c r="A833" t="s">
        <v>0</v>
      </c>
      <c r="B833" t="s">
        <v>39</v>
      </c>
      <c r="C833" t="s">
        <v>58</v>
      </c>
      <c r="D833" t="s">
        <v>129</v>
      </c>
      <c r="E833" t="s">
        <v>130</v>
      </c>
      <c r="F833" t="s">
        <v>5</v>
      </c>
      <c r="G833" t="s">
        <v>6</v>
      </c>
      <c r="H833" t="s">
        <v>35</v>
      </c>
      <c r="I833" t="s">
        <v>36</v>
      </c>
      <c r="J833" t="s">
        <v>9</v>
      </c>
      <c r="K833" t="s">
        <v>284</v>
      </c>
      <c r="L833" t="s">
        <v>289</v>
      </c>
      <c r="M833" t="s">
        <v>12</v>
      </c>
      <c r="N833" s="2">
        <v>0</v>
      </c>
      <c r="O833" s="2">
        <v>0</v>
      </c>
      <c r="P833" s="2">
        <v>1277.73</v>
      </c>
      <c r="Q833" s="2">
        <v>1277.73</v>
      </c>
      <c r="R833" s="2">
        <v>0</v>
      </c>
      <c r="S833" s="2">
        <v>0</v>
      </c>
      <c r="T833" s="2">
        <v>0</v>
      </c>
      <c r="U833" s="2">
        <v>1277.73</v>
      </c>
      <c r="V833" s="2">
        <v>1277.73</v>
      </c>
      <c r="W833" s="2">
        <v>1277.73</v>
      </c>
    </row>
    <row r="834" spans="1:23" outlineLevel="2" x14ac:dyDescent="0.2">
      <c r="A834" t="s">
        <v>0</v>
      </c>
      <c r="B834" t="s">
        <v>39</v>
      </c>
      <c r="C834" t="s">
        <v>95</v>
      </c>
      <c r="D834" t="s">
        <v>96</v>
      </c>
      <c r="E834" t="s">
        <v>97</v>
      </c>
      <c r="F834" t="s">
        <v>5</v>
      </c>
      <c r="G834" t="s">
        <v>6</v>
      </c>
      <c r="H834" t="s">
        <v>35</v>
      </c>
      <c r="I834" t="s">
        <v>36</v>
      </c>
      <c r="J834" t="s">
        <v>9</v>
      </c>
      <c r="K834" t="s">
        <v>301</v>
      </c>
      <c r="L834" t="s">
        <v>302</v>
      </c>
      <c r="M834" t="s">
        <v>15</v>
      </c>
      <c r="N834" s="2">
        <v>0</v>
      </c>
      <c r="O834" s="2">
        <v>8556</v>
      </c>
      <c r="P834" s="2">
        <v>0</v>
      </c>
      <c r="Q834" s="2">
        <v>8556</v>
      </c>
      <c r="R834" s="2">
        <v>1972.63</v>
      </c>
      <c r="S834" s="2">
        <v>6583.37</v>
      </c>
      <c r="T834" s="2">
        <v>6583.37</v>
      </c>
      <c r="U834" s="2">
        <v>1972.63</v>
      </c>
      <c r="V834" s="2">
        <v>1972.63</v>
      </c>
      <c r="W834" s="2">
        <v>0</v>
      </c>
    </row>
    <row r="835" spans="1:23" outlineLevel="2" x14ac:dyDescent="0.2">
      <c r="A835" t="s">
        <v>0</v>
      </c>
      <c r="B835" t="s">
        <v>39</v>
      </c>
      <c r="C835" t="s">
        <v>70</v>
      </c>
      <c r="D835" t="s">
        <v>71</v>
      </c>
      <c r="E835" t="s">
        <v>72</v>
      </c>
      <c r="F835" t="s">
        <v>5</v>
      </c>
      <c r="G835" t="s">
        <v>6</v>
      </c>
      <c r="H835" t="s">
        <v>35</v>
      </c>
      <c r="I835" t="s">
        <v>36</v>
      </c>
      <c r="J835" t="s">
        <v>9</v>
      </c>
      <c r="K835" t="s">
        <v>301</v>
      </c>
      <c r="L835" t="s">
        <v>303</v>
      </c>
      <c r="M835" t="s">
        <v>15</v>
      </c>
      <c r="N835" s="2">
        <v>435000</v>
      </c>
      <c r="O835" s="2">
        <v>-18750</v>
      </c>
      <c r="P835" s="2">
        <v>0</v>
      </c>
      <c r="Q835" s="2">
        <v>416250</v>
      </c>
      <c r="R835" s="2">
        <v>50351.66</v>
      </c>
      <c r="S835" s="2">
        <v>365898.34</v>
      </c>
      <c r="T835" s="2">
        <v>365898.34</v>
      </c>
      <c r="U835" s="2">
        <v>50351.66</v>
      </c>
      <c r="V835" s="2">
        <v>50351.66</v>
      </c>
      <c r="W835" s="2">
        <v>0</v>
      </c>
    </row>
    <row r="836" spans="1:23" outlineLevel="2" x14ac:dyDescent="0.2">
      <c r="A836" t="s">
        <v>0</v>
      </c>
      <c r="B836" t="s">
        <v>31</v>
      </c>
      <c r="C836" t="s">
        <v>49</v>
      </c>
      <c r="D836" t="s">
        <v>50</v>
      </c>
      <c r="E836" t="s">
        <v>51</v>
      </c>
      <c r="F836" t="s">
        <v>5</v>
      </c>
      <c r="G836" t="s">
        <v>6</v>
      </c>
      <c r="H836" t="s">
        <v>35</v>
      </c>
      <c r="I836" t="s">
        <v>36</v>
      </c>
      <c r="J836" t="s">
        <v>9</v>
      </c>
      <c r="K836" t="s">
        <v>301</v>
      </c>
      <c r="L836" t="s">
        <v>304</v>
      </c>
      <c r="M836" t="s">
        <v>15</v>
      </c>
      <c r="N836" s="2">
        <v>54600</v>
      </c>
      <c r="O836" s="2">
        <v>18750</v>
      </c>
      <c r="P836" s="2">
        <v>0</v>
      </c>
      <c r="Q836" s="2">
        <v>73350</v>
      </c>
      <c r="R836" s="2">
        <v>31875</v>
      </c>
      <c r="S836" s="2">
        <v>41475</v>
      </c>
      <c r="T836" s="2">
        <v>41475</v>
      </c>
      <c r="U836" s="2">
        <v>31875</v>
      </c>
      <c r="V836" s="2">
        <v>31875</v>
      </c>
      <c r="W836" s="2">
        <v>0</v>
      </c>
    </row>
    <row r="837" spans="1:23" outlineLevel="2" x14ac:dyDescent="0.2">
      <c r="A837" t="s">
        <v>0</v>
      </c>
      <c r="B837" t="s">
        <v>31</v>
      </c>
      <c r="C837" t="s">
        <v>32</v>
      </c>
      <c r="D837" t="s">
        <v>141</v>
      </c>
      <c r="E837" t="s">
        <v>142</v>
      </c>
      <c r="F837" t="s">
        <v>5</v>
      </c>
      <c r="G837" t="s">
        <v>6</v>
      </c>
      <c r="H837" t="s">
        <v>35</v>
      </c>
      <c r="I837" t="s">
        <v>36</v>
      </c>
      <c r="J837" t="s">
        <v>9</v>
      </c>
      <c r="K837" t="s">
        <v>301</v>
      </c>
      <c r="L837" t="s">
        <v>305</v>
      </c>
      <c r="M837" t="s">
        <v>15</v>
      </c>
      <c r="N837" s="2">
        <v>668928</v>
      </c>
      <c r="O837" s="2">
        <v>-137760</v>
      </c>
      <c r="P837" s="2">
        <v>0</v>
      </c>
      <c r="Q837" s="2">
        <v>531168</v>
      </c>
      <c r="R837" s="2">
        <v>186143.5</v>
      </c>
      <c r="S837" s="2">
        <v>345024.5</v>
      </c>
      <c r="T837" s="2">
        <v>345024.5</v>
      </c>
      <c r="U837" s="2">
        <v>186143.5</v>
      </c>
      <c r="V837" s="2">
        <v>186143.5</v>
      </c>
      <c r="W837" s="2">
        <v>0</v>
      </c>
    </row>
    <row r="838" spans="1:23" outlineLevel="2" x14ac:dyDescent="0.2">
      <c r="A838" t="s">
        <v>0</v>
      </c>
      <c r="B838" t="s">
        <v>39</v>
      </c>
      <c r="C838" t="s">
        <v>58</v>
      </c>
      <c r="D838" t="s">
        <v>137</v>
      </c>
      <c r="E838" t="s">
        <v>138</v>
      </c>
      <c r="F838" t="s">
        <v>5</v>
      </c>
      <c r="G838" t="s">
        <v>6</v>
      </c>
      <c r="H838" t="s">
        <v>35</v>
      </c>
      <c r="I838" t="s">
        <v>36</v>
      </c>
      <c r="J838" t="s">
        <v>9</v>
      </c>
      <c r="K838" t="s">
        <v>301</v>
      </c>
      <c r="L838" t="s">
        <v>306</v>
      </c>
      <c r="M838" t="s">
        <v>15</v>
      </c>
      <c r="N838" s="2">
        <v>6516</v>
      </c>
      <c r="O838" s="2">
        <v>10992</v>
      </c>
      <c r="P838" s="2">
        <v>-6516</v>
      </c>
      <c r="Q838" s="2">
        <v>10992</v>
      </c>
      <c r="R838" s="2">
        <v>6689.8</v>
      </c>
      <c r="S838" s="2">
        <v>4302.2</v>
      </c>
      <c r="T838" s="2">
        <v>4302.2</v>
      </c>
      <c r="U838" s="2">
        <v>6689.8</v>
      </c>
      <c r="V838" s="2">
        <v>6689.8</v>
      </c>
      <c r="W838" s="2">
        <v>0</v>
      </c>
    </row>
    <row r="839" spans="1:23" outlineLevel="2" x14ac:dyDescent="0.2">
      <c r="A839" t="s">
        <v>0</v>
      </c>
      <c r="B839" t="s">
        <v>39</v>
      </c>
      <c r="C839" t="s">
        <v>40</v>
      </c>
      <c r="D839" t="s">
        <v>77</v>
      </c>
      <c r="E839" t="s">
        <v>78</v>
      </c>
      <c r="F839" t="s">
        <v>5</v>
      </c>
      <c r="G839" t="s">
        <v>6</v>
      </c>
      <c r="H839" t="s">
        <v>35</v>
      </c>
      <c r="I839" t="s">
        <v>36</v>
      </c>
      <c r="J839" t="s">
        <v>9</v>
      </c>
      <c r="K839" t="s">
        <v>301</v>
      </c>
      <c r="L839" t="s">
        <v>307</v>
      </c>
      <c r="M839" t="s">
        <v>12</v>
      </c>
      <c r="N839" s="2">
        <v>0</v>
      </c>
      <c r="O839" s="2">
        <v>0</v>
      </c>
      <c r="P839" s="2">
        <v>127408.53</v>
      </c>
      <c r="Q839" s="2">
        <v>127408.53</v>
      </c>
      <c r="R839" s="2">
        <v>0</v>
      </c>
      <c r="S839" s="2">
        <v>142.6</v>
      </c>
      <c r="T839" s="2">
        <v>0</v>
      </c>
      <c r="U839" s="2">
        <v>127265.93</v>
      </c>
      <c r="V839" s="2">
        <v>127408.53</v>
      </c>
      <c r="W839" s="2">
        <v>127265.93</v>
      </c>
    </row>
    <row r="840" spans="1:23" outlineLevel="2" x14ac:dyDescent="0.2">
      <c r="A840" t="s">
        <v>0</v>
      </c>
      <c r="B840" t="s">
        <v>31</v>
      </c>
      <c r="C840" t="s">
        <v>79</v>
      </c>
      <c r="D840" t="s">
        <v>80</v>
      </c>
      <c r="E840" t="s">
        <v>81</v>
      </c>
      <c r="F840" t="s">
        <v>5</v>
      </c>
      <c r="G840" t="s">
        <v>6</v>
      </c>
      <c r="H840" t="s">
        <v>35</v>
      </c>
      <c r="I840" t="s">
        <v>36</v>
      </c>
      <c r="J840" t="s">
        <v>9</v>
      </c>
      <c r="K840" t="s">
        <v>301</v>
      </c>
      <c r="L840" t="s">
        <v>308</v>
      </c>
      <c r="M840" t="s">
        <v>12</v>
      </c>
      <c r="N840" s="2">
        <v>0</v>
      </c>
      <c r="O840" s="2">
        <v>19608</v>
      </c>
      <c r="P840" s="2">
        <v>0</v>
      </c>
      <c r="Q840" s="2">
        <v>19608</v>
      </c>
      <c r="R840" s="2">
        <v>11329.07</v>
      </c>
      <c r="S840" s="2">
        <v>8278.93</v>
      </c>
      <c r="T840" s="2">
        <v>8278.93</v>
      </c>
      <c r="U840" s="2">
        <v>11329.07</v>
      </c>
      <c r="V840" s="2">
        <v>11329.07</v>
      </c>
      <c r="W840" s="2">
        <v>0</v>
      </c>
    </row>
    <row r="841" spans="1:23" outlineLevel="2" x14ac:dyDescent="0.2">
      <c r="A841" t="s">
        <v>0</v>
      </c>
      <c r="B841" t="s">
        <v>39</v>
      </c>
      <c r="C841" t="s">
        <v>58</v>
      </c>
      <c r="D841" t="s">
        <v>149</v>
      </c>
      <c r="E841" t="s">
        <v>150</v>
      </c>
      <c r="F841" t="s">
        <v>5</v>
      </c>
      <c r="G841" t="s">
        <v>6</v>
      </c>
      <c r="H841" t="s">
        <v>35</v>
      </c>
      <c r="I841" t="s">
        <v>36</v>
      </c>
      <c r="J841" t="s">
        <v>9</v>
      </c>
      <c r="K841" t="s">
        <v>301</v>
      </c>
      <c r="L841" t="s">
        <v>306</v>
      </c>
      <c r="M841" t="s">
        <v>15</v>
      </c>
      <c r="N841" s="2">
        <v>0</v>
      </c>
      <c r="O841" s="2">
        <v>23259</v>
      </c>
      <c r="P841" s="2">
        <v>0</v>
      </c>
      <c r="Q841" s="2">
        <v>23259</v>
      </c>
      <c r="R841" s="2">
        <v>13696.5</v>
      </c>
      <c r="S841" s="2">
        <v>9562.5</v>
      </c>
      <c r="T841" s="2">
        <v>9562.5</v>
      </c>
      <c r="U841" s="2">
        <v>13696.5</v>
      </c>
      <c r="V841" s="2">
        <v>13696.5</v>
      </c>
      <c r="W841" s="2">
        <v>0</v>
      </c>
    </row>
    <row r="842" spans="1:23" outlineLevel="2" x14ac:dyDescent="0.2">
      <c r="A842" t="s">
        <v>0</v>
      </c>
      <c r="B842" t="s">
        <v>31</v>
      </c>
      <c r="C842" t="s">
        <v>79</v>
      </c>
      <c r="D842" t="s">
        <v>133</v>
      </c>
      <c r="E842" t="s">
        <v>134</v>
      </c>
      <c r="F842" t="s">
        <v>5</v>
      </c>
      <c r="G842" t="s">
        <v>6</v>
      </c>
      <c r="H842" t="s">
        <v>35</v>
      </c>
      <c r="I842" t="s">
        <v>36</v>
      </c>
      <c r="J842" t="s">
        <v>9</v>
      </c>
      <c r="K842" t="s">
        <v>301</v>
      </c>
      <c r="L842" t="s">
        <v>308</v>
      </c>
      <c r="M842" t="s">
        <v>12</v>
      </c>
      <c r="N842" s="2">
        <v>0</v>
      </c>
      <c r="O842" s="2">
        <v>9804</v>
      </c>
      <c r="P842" s="2">
        <v>0</v>
      </c>
      <c r="Q842" s="2">
        <v>9804</v>
      </c>
      <c r="R842" s="2">
        <v>4902</v>
      </c>
      <c r="S842" s="2">
        <v>4902</v>
      </c>
      <c r="T842" s="2">
        <v>4902</v>
      </c>
      <c r="U842" s="2">
        <v>4902</v>
      </c>
      <c r="V842" s="2">
        <v>4902</v>
      </c>
      <c r="W842" s="2">
        <v>0</v>
      </c>
    </row>
    <row r="843" spans="1:23" outlineLevel="2" x14ac:dyDescent="0.2">
      <c r="A843" t="s">
        <v>0</v>
      </c>
      <c r="B843" t="s">
        <v>53</v>
      </c>
      <c r="C843" t="s">
        <v>54</v>
      </c>
      <c r="D843" t="s">
        <v>55</v>
      </c>
      <c r="E843" t="s">
        <v>56</v>
      </c>
      <c r="F843" t="s">
        <v>5</v>
      </c>
      <c r="G843" t="s">
        <v>6</v>
      </c>
      <c r="H843" t="s">
        <v>35</v>
      </c>
      <c r="I843" t="s">
        <v>36</v>
      </c>
      <c r="J843" t="s">
        <v>9</v>
      </c>
      <c r="K843" t="s">
        <v>301</v>
      </c>
      <c r="L843" t="s">
        <v>309</v>
      </c>
      <c r="M843" t="s">
        <v>15</v>
      </c>
      <c r="N843" s="2">
        <v>45600</v>
      </c>
      <c r="O843" s="2">
        <v>0</v>
      </c>
      <c r="P843" s="2">
        <v>0</v>
      </c>
      <c r="Q843" s="2">
        <v>45600</v>
      </c>
      <c r="R843" s="2">
        <v>15370</v>
      </c>
      <c r="S843" s="2">
        <v>30230</v>
      </c>
      <c r="T843" s="2">
        <v>30230</v>
      </c>
      <c r="U843" s="2">
        <v>15370</v>
      </c>
      <c r="V843" s="2">
        <v>15370</v>
      </c>
      <c r="W843" s="2">
        <v>0</v>
      </c>
    </row>
    <row r="844" spans="1:23" outlineLevel="2" x14ac:dyDescent="0.2">
      <c r="A844" t="s">
        <v>0</v>
      </c>
      <c r="B844" t="s">
        <v>39</v>
      </c>
      <c r="C844" t="s">
        <v>58</v>
      </c>
      <c r="D844" t="s">
        <v>119</v>
      </c>
      <c r="E844" t="s">
        <v>120</v>
      </c>
      <c r="F844" t="s">
        <v>5</v>
      </c>
      <c r="G844" t="s">
        <v>6</v>
      </c>
      <c r="H844" t="s">
        <v>35</v>
      </c>
      <c r="I844" t="s">
        <v>36</v>
      </c>
      <c r="J844" t="s">
        <v>9</v>
      </c>
      <c r="K844" t="s">
        <v>301</v>
      </c>
      <c r="L844" t="s">
        <v>306</v>
      </c>
      <c r="M844" t="s">
        <v>15</v>
      </c>
      <c r="N844" s="2">
        <v>30000</v>
      </c>
      <c r="O844" s="2">
        <v>0</v>
      </c>
      <c r="P844" s="2">
        <v>0</v>
      </c>
      <c r="Q844" s="2">
        <v>30000</v>
      </c>
      <c r="R844" s="2">
        <v>2500</v>
      </c>
      <c r="S844" s="2">
        <v>27500</v>
      </c>
      <c r="T844" s="2">
        <v>27500</v>
      </c>
      <c r="U844" s="2">
        <v>2500</v>
      </c>
      <c r="V844" s="2">
        <v>2500</v>
      </c>
      <c r="W844" s="2">
        <v>0</v>
      </c>
    </row>
    <row r="845" spans="1:23" outlineLevel="2" x14ac:dyDescent="0.2">
      <c r="A845" t="s">
        <v>0</v>
      </c>
      <c r="B845" t="s">
        <v>31</v>
      </c>
      <c r="C845" t="s">
        <v>79</v>
      </c>
      <c r="D845" t="s">
        <v>83</v>
      </c>
      <c r="E845" t="s">
        <v>84</v>
      </c>
      <c r="F845" t="s">
        <v>5</v>
      </c>
      <c r="G845" t="s">
        <v>6</v>
      </c>
      <c r="H845" t="s">
        <v>35</v>
      </c>
      <c r="I845" t="s">
        <v>36</v>
      </c>
      <c r="J845" t="s">
        <v>9</v>
      </c>
      <c r="K845" t="s">
        <v>301</v>
      </c>
      <c r="L845" t="s">
        <v>308</v>
      </c>
      <c r="M845" t="s">
        <v>12</v>
      </c>
      <c r="N845" s="2">
        <v>0</v>
      </c>
      <c r="O845" s="2">
        <v>93138</v>
      </c>
      <c r="P845" s="2">
        <v>150</v>
      </c>
      <c r="Q845" s="2">
        <v>93288</v>
      </c>
      <c r="R845" s="2">
        <v>86002.87</v>
      </c>
      <c r="S845" s="2">
        <v>7135.13</v>
      </c>
      <c r="T845" s="2">
        <v>7135.13</v>
      </c>
      <c r="U845" s="2">
        <v>86152.87</v>
      </c>
      <c r="V845" s="2">
        <v>86152.87</v>
      </c>
      <c r="W845" s="2">
        <v>150</v>
      </c>
    </row>
    <row r="846" spans="1:23" outlineLevel="2" x14ac:dyDescent="0.2">
      <c r="A846" t="s">
        <v>0</v>
      </c>
      <c r="B846" t="s">
        <v>31</v>
      </c>
      <c r="C846" t="s">
        <v>32</v>
      </c>
      <c r="D846" t="s">
        <v>123</v>
      </c>
      <c r="E846" t="s">
        <v>124</v>
      </c>
      <c r="F846" t="s">
        <v>5</v>
      </c>
      <c r="G846" t="s">
        <v>6</v>
      </c>
      <c r="H846" t="s">
        <v>35</v>
      </c>
      <c r="I846" t="s">
        <v>36</v>
      </c>
      <c r="J846" t="s">
        <v>9</v>
      </c>
      <c r="K846" t="s">
        <v>301</v>
      </c>
      <c r="L846" t="s">
        <v>305</v>
      </c>
      <c r="M846" t="s">
        <v>15</v>
      </c>
      <c r="N846" s="2">
        <v>1198236</v>
      </c>
      <c r="O846" s="2">
        <v>-955113</v>
      </c>
      <c r="P846" s="2">
        <v>0</v>
      </c>
      <c r="Q846" s="2">
        <v>243123</v>
      </c>
      <c r="R846" s="2">
        <v>74402.83</v>
      </c>
      <c r="S846" s="2">
        <v>168720.17</v>
      </c>
      <c r="T846" s="2">
        <v>168720.17</v>
      </c>
      <c r="U846" s="2">
        <v>74402.83</v>
      </c>
      <c r="V846" s="2">
        <v>74402.83</v>
      </c>
      <c r="W846" s="2">
        <v>0</v>
      </c>
    </row>
    <row r="847" spans="1:23" outlineLevel="2" x14ac:dyDescent="0.2">
      <c r="A847" t="s">
        <v>0</v>
      </c>
      <c r="B847" t="s">
        <v>39</v>
      </c>
      <c r="C847" t="s">
        <v>70</v>
      </c>
      <c r="D847" t="s">
        <v>89</v>
      </c>
      <c r="E847" t="s">
        <v>90</v>
      </c>
      <c r="F847" t="s">
        <v>5</v>
      </c>
      <c r="G847" t="s">
        <v>6</v>
      </c>
      <c r="H847" t="s">
        <v>35</v>
      </c>
      <c r="I847" t="s">
        <v>36</v>
      </c>
      <c r="J847" t="s">
        <v>9</v>
      </c>
      <c r="K847" t="s">
        <v>301</v>
      </c>
      <c r="L847" t="s">
        <v>303</v>
      </c>
      <c r="M847" t="s">
        <v>15</v>
      </c>
      <c r="N847" s="2">
        <v>1857516</v>
      </c>
      <c r="O847" s="2">
        <v>0</v>
      </c>
      <c r="P847" s="2">
        <v>0</v>
      </c>
      <c r="Q847" s="2">
        <v>1857516</v>
      </c>
      <c r="R847" s="2">
        <v>323368</v>
      </c>
      <c r="S847" s="2">
        <v>1534148</v>
      </c>
      <c r="T847" s="2">
        <v>1534148</v>
      </c>
      <c r="U847" s="2">
        <v>323368</v>
      </c>
      <c r="V847" s="2">
        <v>323368</v>
      </c>
      <c r="W847" s="2">
        <v>0</v>
      </c>
    </row>
    <row r="848" spans="1:23" outlineLevel="2" x14ac:dyDescent="0.2">
      <c r="A848" t="s">
        <v>0</v>
      </c>
      <c r="B848" t="s">
        <v>39</v>
      </c>
      <c r="C848" t="s">
        <v>58</v>
      </c>
      <c r="D848" t="s">
        <v>139</v>
      </c>
      <c r="E848" t="s">
        <v>140</v>
      </c>
      <c r="F848" t="s">
        <v>5</v>
      </c>
      <c r="G848" t="s">
        <v>6</v>
      </c>
      <c r="H848" t="s">
        <v>35</v>
      </c>
      <c r="I848" t="s">
        <v>36</v>
      </c>
      <c r="J848" t="s">
        <v>9</v>
      </c>
      <c r="K848" t="s">
        <v>301</v>
      </c>
      <c r="L848" t="s">
        <v>306</v>
      </c>
      <c r="M848" t="s">
        <v>15</v>
      </c>
      <c r="N848" s="2">
        <v>18516</v>
      </c>
      <c r="O848" s="2">
        <v>10665</v>
      </c>
      <c r="P848" s="2">
        <v>-18516</v>
      </c>
      <c r="Q848" s="2">
        <v>10665</v>
      </c>
      <c r="R848" s="2">
        <v>8144.77</v>
      </c>
      <c r="S848" s="2">
        <v>2520.23</v>
      </c>
      <c r="T848" s="2">
        <v>2520.23</v>
      </c>
      <c r="U848" s="2">
        <v>8144.77</v>
      </c>
      <c r="V848" s="2">
        <v>8144.77</v>
      </c>
      <c r="W848" s="2">
        <v>0</v>
      </c>
    </row>
    <row r="849" spans="1:23" outlineLevel="2" x14ac:dyDescent="0.2">
      <c r="A849" t="s">
        <v>0</v>
      </c>
      <c r="B849" t="s">
        <v>1</v>
      </c>
      <c r="C849" t="s">
        <v>91</v>
      </c>
      <c r="D849" t="s">
        <v>92</v>
      </c>
      <c r="E849" t="s">
        <v>93</v>
      </c>
      <c r="F849" t="s">
        <v>5</v>
      </c>
      <c r="G849" t="s">
        <v>6</v>
      </c>
      <c r="H849" t="s">
        <v>35</v>
      </c>
      <c r="I849" t="s">
        <v>36</v>
      </c>
      <c r="J849" t="s">
        <v>9</v>
      </c>
      <c r="K849" t="s">
        <v>301</v>
      </c>
      <c r="L849" t="s">
        <v>310</v>
      </c>
      <c r="M849" t="s">
        <v>15</v>
      </c>
      <c r="N849" s="2">
        <v>1531932</v>
      </c>
      <c r="O849" s="2">
        <v>194181.65</v>
      </c>
      <c r="P849" s="2">
        <v>-3958.16</v>
      </c>
      <c r="Q849" s="2">
        <v>1722155.49</v>
      </c>
      <c r="R849" s="2">
        <v>0</v>
      </c>
      <c r="S849" s="2">
        <v>1722155.49</v>
      </c>
      <c r="T849" s="2">
        <v>1721980.49</v>
      </c>
      <c r="U849" s="2">
        <v>0</v>
      </c>
      <c r="V849" s="2">
        <v>175</v>
      </c>
      <c r="W849" s="2">
        <v>0</v>
      </c>
    </row>
    <row r="850" spans="1:23" outlineLevel="2" x14ac:dyDescent="0.2">
      <c r="A850" t="s">
        <v>0</v>
      </c>
      <c r="B850" t="s">
        <v>1</v>
      </c>
      <c r="C850" t="s">
        <v>16</v>
      </c>
      <c r="D850" t="s">
        <v>17</v>
      </c>
      <c r="E850" t="s">
        <v>18</v>
      </c>
      <c r="F850" t="s">
        <v>5</v>
      </c>
      <c r="G850" t="s">
        <v>6</v>
      </c>
      <c r="H850" t="s">
        <v>35</v>
      </c>
      <c r="I850" t="s">
        <v>36</v>
      </c>
      <c r="J850" t="s">
        <v>9</v>
      </c>
      <c r="K850" t="s">
        <v>301</v>
      </c>
      <c r="L850" t="s">
        <v>311</v>
      </c>
      <c r="M850" t="s">
        <v>12</v>
      </c>
      <c r="N850" s="2">
        <v>0</v>
      </c>
      <c r="O850" s="2">
        <v>0</v>
      </c>
      <c r="P850" s="2">
        <v>36000</v>
      </c>
      <c r="Q850" s="2">
        <v>36000</v>
      </c>
      <c r="R850" s="2">
        <v>0</v>
      </c>
      <c r="S850" s="2">
        <v>0</v>
      </c>
      <c r="T850" s="2">
        <v>0</v>
      </c>
      <c r="U850" s="2">
        <v>36000</v>
      </c>
      <c r="V850" s="2">
        <v>36000</v>
      </c>
      <c r="W850" s="2">
        <v>36000</v>
      </c>
    </row>
    <row r="851" spans="1:23" outlineLevel="2" x14ac:dyDescent="0.2">
      <c r="A851" t="s">
        <v>0</v>
      </c>
      <c r="B851" t="s">
        <v>1</v>
      </c>
      <c r="C851" t="s">
        <v>91</v>
      </c>
      <c r="D851" t="s">
        <v>92</v>
      </c>
      <c r="E851" t="s">
        <v>93</v>
      </c>
      <c r="F851" t="s">
        <v>5</v>
      </c>
      <c r="G851" t="s">
        <v>6</v>
      </c>
      <c r="H851" t="s">
        <v>35</v>
      </c>
      <c r="I851" t="s">
        <v>36</v>
      </c>
      <c r="J851" t="s">
        <v>9</v>
      </c>
      <c r="K851" t="s">
        <v>301</v>
      </c>
      <c r="L851" t="s">
        <v>310</v>
      </c>
      <c r="M851" t="s">
        <v>12</v>
      </c>
      <c r="N851" s="2">
        <v>0</v>
      </c>
      <c r="O851" s="2">
        <v>0</v>
      </c>
      <c r="P851" s="2">
        <v>3958.16</v>
      </c>
      <c r="Q851" s="2">
        <v>3958.16</v>
      </c>
      <c r="R851" s="2">
        <v>0</v>
      </c>
      <c r="S851" s="2">
        <v>0</v>
      </c>
      <c r="T851" s="2">
        <v>0</v>
      </c>
      <c r="U851" s="2">
        <v>3958.16</v>
      </c>
      <c r="V851" s="2">
        <v>3958.16</v>
      </c>
      <c r="W851" s="2">
        <v>3958.16</v>
      </c>
    </row>
    <row r="852" spans="1:23" outlineLevel="2" x14ac:dyDescent="0.2">
      <c r="A852" t="s">
        <v>0</v>
      </c>
      <c r="B852" t="s">
        <v>39</v>
      </c>
      <c r="C852" t="s">
        <v>58</v>
      </c>
      <c r="D852" t="s">
        <v>143</v>
      </c>
      <c r="E852" t="s">
        <v>144</v>
      </c>
      <c r="F852" t="s">
        <v>5</v>
      </c>
      <c r="G852" t="s">
        <v>6</v>
      </c>
      <c r="H852" t="s">
        <v>35</v>
      </c>
      <c r="I852" t="s">
        <v>36</v>
      </c>
      <c r="J852" t="s">
        <v>9</v>
      </c>
      <c r="K852" t="s">
        <v>301</v>
      </c>
      <c r="L852" t="s">
        <v>306</v>
      </c>
      <c r="M852" t="s">
        <v>15</v>
      </c>
      <c r="N852" s="2">
        <v>0</v>
      </c>
      <c r="O852" s="2">
        <v>14478</v>
      </c>
      <c r="P852" s="2">
        <v>0</v>
      </c>
      <c r="Q852" s="2">
        <v>14478</v>
      </c>
      <c r="R852" s="2">
        <v>7001.54</v>
      </c>
      <c r="S852" s="2">
        <v>7476.46</v>
      </c>
      <c r="T852" s="2">
        <v>7476.46</v>
      </c>
      <c r="U852" s="2">
        <v>7001.54</v>
      </c>
      <c r="V852" s="2">
        <v>7001.54</v>
      </c>
      <c r="W852" s="2">
        <v>0</v>
      </c>
    </row>
    <row r="853" spans="1:23" outlineLevel="2" x14ac:dyDescent="0.2">
      <c r="A853" t="s">
        <v>0</v>
      </c>
      <c r="B853" t="s">
        <v>39</v>
      </c>
      <c r="C853" t="s">
        <v>66</v>
      </c>
      <c r="D853" t="s">
        <v>121</v>
      </c>
      <c r="E853" t="s">
        <v>122</v>
      </c>
      <c r="F853" t="s">
        <v>5</v>
      </c>
      <c r="G853" t="s">
        <v>6</v>
      </c>
      <c r="H853" t="s">
        <v>35</v>
      </c>
      <c r="I853" t="s">
        <v>36</v>
      </c>
      <c r="J853" t="s">
        <v>9</v>
      </c>
      <c r="K853" t="s">
        <v>301</v>
      </c>
      <c r="L853" t="s">
        <v>312</v>
      </c>
      <c r="M853" t="s">
        <v>15</v>
      </c>
      <c r="N853" s="2">
        <v>13140</v>
      </c>
      <c r="O853" s="2">
        <v>0</v>
      </c>
      <c r="P853" s="2">
        <v>0</v>
      </c>
      <c r="Q853" s="2">
        <v>13140</v>
      </c>
      <c r="R853" s="2">
        <v>4380</v>
      </c>
      <c r="S853" s="2">
        <v>8760</v>
      </c>
      <c r="T853" s="2">
        <v>8760</v>
      </c>
      <c r="U853" s="2">
        <v>4380</v>
      </c>
      <c r="V853" s="2">
        <v>4380</v>
      </c>
      <c r="W853" s="2">
        <v>0</v>
      </c>
    </row>
    <row r="854" spans="1:23" outlineLevel="2" x14ac:dyDescent="0.2">
      <c r="A854" t="s">
        <v>0</v>
      </c>
      <c r="B854" t="s">
        <v>39</v>
      </c>
      <c r="C854" t="s">
        <v>58</v>
      </c>
      <c r="D854" t="s">
        <v>59</v>
      </c>
      <c r="E854" t="s">
        <v>60</v>
      </c>
      <c r="F854" t="s">
        <v>5</v>
      </c>
      <c r="G854" t="s">
        <v>6</v>
      </c>
      <c r="H854" t="s">
        <v>35</v>
      </c>
      <c r="I854" t="s">
        <v>36</v>
      </c>
      <c r="J854" t="s">
        <v>9</v>
      </c>
      <c r="K854" t="s">
        <v>301</v>
      </c>
      <c r="L854" t="s">
        <v>306</v>
      </c>
      <c r="M854" t="s">
        <v>15</v>
      </c>
      <c r="N854" s="2">
        <v>9804</v>
      </c>
      <c r="O854" s="2">
        <v>5772</v>
      </c>
      <c r="P854" s="2">
        <v>0</v>
      </c>
      <c r="Q854" s="2">
        <v>15576</v>
      </c>
      <c r="R854" s="2">
        <v>3189.93</v>
      </c>
      <c r="S854" s="2">
        <v>12386.07</v>
      </c>
      <c r="T854" s="2">
        <v>12386.07</v>
      </c>
      <c r="U854" s="2">
        <v>3189.93</v>
      </c>
      <c r="V854" s="2">
        <v>3189.93</v>
      </c>
      <c r="W854" s="2">
        <v>0</v>
      </c>
    </row>
    <row r="855" spans="1:23" outlineLevel="2" x14ac:dyDescent="0.2">
      <c r="A855" t="s">
        <v>0</v>
      </c>
      <c r="B855" t="s">
        <v>39</v>
      </c>
      <c r="C855" t="s">
        <v>40</v>
      </c>
      <c r="D855" t="s">
        <v>77</v>
      </c>
      <c r="E855" t="s">
        <v>78</v>
      </c>
      <c r="F855" t="s">
        <v>5</v>
      </c>
      <c r="G855" t="s">
        <v>6</v>
      </c>
      <c r="H855" t="s">
        <v>35</v>
      </c>
      <c r="I855" t="s">
        <v>36</v>
      </c>
      <c r="J855" t="s">
        <v>9</v>
      </c>
      <c r="K855" t="s">
        <v>301</v>
      </c>
      <c r="L855" t="s">
        <v>307</v>
      </c>
      <c r="M855" t="s">
        <v>15</v>
      </c>
      <c r="N855" s="2">
        <v>504408</v>
      </c>
      <c r="O855" s="2">
        <v>97670</v>
      </c>
      <c r="P855" s="2">
        <v>-127408.53</v>
      </c>
      <c r="Q855" s="2">
        <v>474669.47</v>
      </c>
      <c r="R855" s="2">
        <v>63450.1</v>
      </c>
      <c r="S855" s="2">
        <v>411219.37</v>
      </c>
      <c r="T855" s="2">
        <v>411219.37</v>
      </c>
      <c r="U855" s="2">
        <v>63450.1</v>
      </c>
      <c r="V855" s="2">
        <v>63450.1</v>
      </c>
      <c r="W855" s="2">
        <v>0</v>
      </c>
    </row>
    <row r="856" spans="1:23" outlineLevel="2" x14ac:dyDescent="0.2">
      <c r="A856" t="s">
        <v>0</v>
      </c>
      <c r="B856" t="s">
        <v>1</v>
      </c>
      <c r="C856" t="s">
        <v>16</v>
      </c>
      <c r="D856" t="s">
        <v>103</v>
      </c>
      <c r="E856" t="s">
        <v>104</v>
      </c>
      <c r="F856" t="s">
        <v>5</v>
      </c>
      <c r="G856" t="s">
        <v>6</v>
      </c>
      <c r="H856" t="s">
        <v>35</v>
      </c>
      <c r="I856" t="s">
        <v>36</v>
      </c>
      <c r="J856" t="s">
        <v>9</v>
      </c>
      <c r="K856" t="s">
        <v>301</v>
      </c>
      <c r="L856" t="s">
        <v>311</v>
      </c>
      <c r="M856" t="s">
        <v>12</v>
      </c>
      <c r="N856" s="2">
        <v>0</v>
      </c>
      <c r="O856" s="2">
        <v>0</v>
      </c>
      <c r="P856" s="2">
        <v>96000</v>
      </c>
      <c r="Q856" s="2">
        <v>96000</v>
      </c>
      <c r="R856" s="2">
        <v>0</v>
      </c>
      <c r="S856" s="2">
        <v>0</v>
      </c>
      <c r="T856" s="2">
        <v>0</v>
      </c>
      <c r="U856" s="2">
        <v>96000</v>
      </c>
      <c r="V856" s="2">
        <v>96000</v>
      </c>
      <c r="W856" s="2">
        <v>96000</v>
      </c>
    </row>
    <row r="857" spans="1:23" outlineLevel="2" x14ac:dyDescent="0.2">
      <c r="A857" t="s">
        <v>0</v>
      </c>
      <c r="B857" t="s">
        <v>39</v>
      </c>
      <c r="C857" t="s">
        <v>40</v>
      </c>
      <c r="D857" t="s">
        <v>41</v>
      </c>
      <c r="E857" t="s">
        <v>42</v>
      </c>
      <c r="F857" t="s">
        <v>5</v>
      </c>
      <c r="G857" t="s">
        <v>6</v>
      </c>
      <c r="H857" t="s">
        <v>35</v>
      </c>
      <c r="I857" t="s">
        <v>36</v>
      </c>
      <c r="J857" t="s">
        <v>9</v>
      </c>
      <c r="K857" t="s">
        <v>301</v>
      </c>
      <c r="L857" t="s">
        <v>307</v>
      </c>
      <c r="M857" t="s">
        <v>15</v>
      </c>
      <c r="N857" s="2">
        <v>164400</v>
      </c>
      <c r="O857" s="2">
        <v>0</v>
      </c>
      <c r="P857" s="2">
        <v>-30000</v>
      </c>
      <c r="Q857" s="2">
        <v>134400</v>
      </c>
      <c r="R857" s="2">
        <v>13250</v>
      </c>
      <c r="S857" s="2">
        <v>121150</v>
      </c>
      <c r="T857" s="2">
        <v>121150</v>
      </c>
      <c r="U857" s="2">
        <v>13250</v>
      </c>
      <c r="V857" s="2">
        <v>13250</v>
      </c>
      <c r="W857" s="2">
        <v>0</v>
      </c>
    </row>
    <row r="858" spans="1:23" outlineLevel="2" x14ac:dyDescent="0.2">
      <c r="A858" t="s">
        <v>0</v>
      </c>
      <c r="B858" t="s">
        <v>39</v>
      </c>
      <c r="C858" t="s">
        <v>66</v>
      </c>
      <c r="D858" t="s">
        <v>67</v>
      </c>
      <c r="E858" t="s">
        <v>68</v>
      </c>
      <c r="F858" t="s">
        <v>5</v>
      </c>
      <c r="G858" t="s">
        <v>6</v>
      </c>
      <c r="H858" t="s">
        <v>35</v>
      </c>
      <c r="I858" t="s">
        <v>36</v>
      </c>
      <c r="J858" t="s">
        <v>9</v>
      </c>
      <c r="K858" t="s">
        <v>301</v>
      </c>
      <c r="L858" t="s">
        <v>312</v>
      </c>
      <c r="M858" t="s">
        <v>15</v>
      </c>
      <c r="N858" s="2">
        <v>138828</v>
      </c>
      <c r="O858" s="2">
        <v>-88332</v>
      </c>
      <c r="P858" s="2">
        <v>0</v>
      </c>
      <c r="Q858" s="2">
        <v>50496</v>
      </c>
      <c r="R858" s="2">
        <v>9998</v>
      </c>
      <c r="S858" s="2">
        <v>40498</v>
      </c>
      <c r="T858" s="2">
        <v>40498</v>
      </c>
      <c r="U858" s="2">
        <v>9998</v>
      </c>
      <c r="V858" s="2">
        <v>9998</v>
      </c>
      <c r="W858" s="2">
        <v>0</v>
      </c>
    </row>
    <row r="859" spans="1:23" outlineLevel="2" x14ac:dyDescent="0.2">
      <c r="A859" t="s">
        <v>0</v>
      </c>
      <c r="B859" t="s">
        <v>1</v>
      </c>
      <c r="C859" t="s">
        <v>44</v>
      </c>
      <c r="D859" t="s">
        <v>45</v>
      </c>
      <c r="E859" t="s">
        <v>46</v>
      </c>
      <c r="F859" t="s">
        <v>5</v>
      </c>
      <c r="G859" t="s">
        <v>6</v>
      </c>
      <c r="H859" t="s">
        <v>35</v>
      </c>
      <c r="I859" t="s">
        <v>36</v>
      </c>
      <c r="J859" t="s">
        <v>9</v>
      </c>
      <c r="K859" t="s">
        <v>301</v>
      </c>
      <c r="L859" t="s">
        <v>313</v>
      </c>
      <c r="M859" t="s">
        <v>12</v>
      </c>
      <c r="N859" s="2">
        <v>0</v>
      </c>
      <c r="O859" s="2">
        <v>43300</v>
      </c>
      <c r="P859" s="2">
        <v>66752.789999999994</v>
      </c>
      <c r="Q859" s="2">
        <v>110052.79</v>
      </c>
      <c r="R859" s="2">
        <v>21626.47</v>
      </c>
      <c r="S859" s="2">
        <v>21673.53</v>
      </c>
      <c r="T859" s="2">
        <v>21673.53</v>
      </c>
      <c r="U859" s="2">
        <v>88379.26</v>
      </c>
      <c r="V859" s="2">
        <v>88379.26</v>
      </c>
      <c r="W859" s="2">
        <v>66752.789999999994</v>
      </c>
    </row>
    <row r="860" spans="1:23" outlineLevel="2" x14ac:dyDescent="0.2">
      <c r="A860" t="s">
        <v>0</v>
      </c>
      <c r="B860" t="s">
        <v>1</v>
      </c>
      <c r="C860" t="s">
        <v>2</v>
      </c>
      <c r="D860" t="s">
        <v>3</v>
      </c>
      <c r="E860" t="s">
        <v>4</v>
      </c>
      <c r="F860" t="s">
        <v>5</v>
      </c>
      <c r="G860" t="s">
        <v>6</v>
      </c>
      <c r="H860" t="s">
        <v>35</v>
      </c>
      <c r="I860" t="s">
        <v>36</v>
      </c>
      <c r="J860" t="s">
        <v>9</v>
      </c>
      <c r="K860" t="s">
        <v>301</v>
      </c>
      <c r="L860" t="s">
        <v>314</v>
      </c>
      <c r="M860" t="s">
        <v>15</v>
      </c>
      <c r="N860" s="2">
        <v>231084</v>
      </c>
      <c r="O860" s="2">
        <v>0</v>
      </c>
      <c r="P860" s="2">
        <v>0</v>
      </c>
      <c r="Q860" s="2">
        <v>231084</v>
      </c>
      <c r="R860" s="2">
        <v>64321.17</v>
      </c>
      <c r="S860" s="2">
        <v>166762.82999999999</v>
      </c>
      <c r="T860" s="2">
        <v>166762.82999999999</v>
      </c>
      <c r="U860" s="2">
        <v>64321.17</v>
      </c>
      <c r="V860" s="2">
        <v>64321.17</v>
      </c>
      <c r="W860" s="2">
        <v>0</v>
      </c>
    </row>
    <row r="861" spans="1:23" outlineLevel="2" x14ac:dyDescent="0.2">
      <c r="A861" t="s">
        <v>0</v>
      </c>
      <c r="B861" t="s">
        <v>1</v>
      </c>
      <c r="C861" t="s">
        <v>2</v>
      </c>
      <c r="D861" t="s">
        <v>20</v>
      </c>
      <c r="E861" t="s">
        <v>21</v>
      </c>
      <c r="F861" t="s">
        <v>5</v>
      </c>
      <c r="G861" t="s">
        <v>6</v>
      </c>
      <c r="H861" t="s">
        <v>35</v>
      </c>
      <c r="I861" t="s">
        <v>36</v>
      </c>
      <c r="J861" t="s">
        <v>9</v>
      </c>
      <c r="K861" t="s">
        <v>301</v>
      </c>
      <c r="L861" t="s">
        <v>314</v>
      </c>
      <c r="M861" t="s">
        <v>15</v>
      </c>
      <c r="N861" s="2">
        <v>1100460</v>
      </c>
      <c r="O861" s="2">
        <v>99110.399999999994</v>
      </c>
      <c r="P861" s="2">
        <v>-122768.4</v>
      </c>
      <c r="Q861" s="2">
        <v>1076802</v>
      </c>
      <c r="R861" s="2">
        <v>379503.83</v>
      </c>
      <c r="S861" s="2">
        <v>697298.17</v>
      </c>
      <c r="T861" s="2">
        <v>697298.17</v>
      </c>
      <c r="U861" s="2">
        <v>379503.83</v>
      </c>
      <c r="V861" s="2">
        <v>379503.83</v>
      </c>
      <c r="W861" s="2">
        <v>0</v>
      </c>
    </row>
    <row r="862" spans="1:23" outlineLevel="2" x14ac:dyDescent="0.2">
      <c r="A862" t="s">
        <v>0</v>
      </c>
      <c r="B862" t="s">
        <v>1</v>
      </c>
      <c r="C862" t="s">
        <v>44</v>
      </c>
      <c r="D862" t="s">
        <v>45</v>
      </c>
      <c r="E862" t="s">
        <v>46</v>
      </c>
      <c r="F862" t="s">
        <v>5</v>
      </c>
      <c r="G862" t="s">
        <v>6</v>
      </c>
      <c r="H862" t="s">
        <v>35</v>
      </c>
      <c r="I862" t="s">
        <v>36</v>
      </c>
      <c r="J862" t="s">
        <v>9</v>
      </c>
      <c r="K862" t="s">
        <v>301</v>
      </c>
      <c r="L862" t="s">
        <v>313</v>
      </c>
      <c r="M862" t="s">
        <v>15</v>
      </c>
      <c r="N862" s="2">
        <v>252372</v>
      </c>
      <c r="O862" s="2">
        <v>27305</v>
      </c>
      <c r="P862" s="2">
        <v>-43137</v>
      </c>
      <c r="Q862" s="2">
        <v>236540</v>
      </c>
      <c r="R862" s="2">
        <v>57.63</v>
      </c>
      <c r="S862" s="2">
        <v>236482.37</v>
      </c>
      <c r="T862" s="2">
        <v>236482.37</v>
      </c>
      <c r="U862" s="2">
        <v>57.63</v>
      </c>
      <c r="V862" s="2">
        <v>57.63</v>
      </c>
      <c r="W862" s="2">
        <v>0</v>
      </c>
    </row>
    <row r="863" spans="1:23" outlineLevel="2" x14ac:dyDescent="0.2">
      <c r="A863" t="s">
        <v>0</v>
      </c>
      <c r="B863" t="s">
        <v>53</v>
      </c>
      <c r="C863" t="s">
        <v>85</v>
      </c>
      <c r="D863" t="s">
        <v>86</v>
      </c>
      <c r="E863" t="s">
        <v>87</v>
      </c>
      <c r="F863" t="s">
        <v>5</v>
      </c>
      <c r="G863" t="s">
        <v>6</v>
      </c>
      <c r="H863" t="s">
        <v>35</v>
      </c>
      <c r="I863" t="s">
        <v>36</v>
      </c>
      <c r="J863" t="s">
        <v>9</v>
      </c>
      <c r="K863" t="s">
        <v>301</v>
      </c>
      <c r="L863" t="s">
        <v>315</v>
      </c>
      <c r="M863" t="s">
        <v>15</v>
      </c>
      <c r="N863" s="2">
        <v>60600</v>
      </c>
      <c r="O863" s="2">
        <v>-24600</v>
      </c>
      <c r="P863" s="2">
        <v>0</v>
      </c>
      <c r="Q863" s="2">
        <v>36000</v>
      </c>
      <c r="R863" s="2">
        <v>3000</v>
      </c>
      <c r="S863" s="2">
        <v>33000</v>
      </c>
      <c r="T863" s="2">
        <v>33000</v>
      </c>
      <c r="U863" s="2">
        <v>3000</v>
      </c>
      <c r="V863" s="2">
        <v>3000</v>
      </c>
      <c r="W863" s="2">
        <v>0</v>
      </c>
    </row>
    <row r="864" spans="1:23" outlineLevel="2" x14ac:dyDescent="0.2">
      <c r="A864" t="s">
        <v>0</v>
      </c>
      <c r="B864" t="s">
        <v>1</v>
      </c>
      <c r="C864" t="s">
        <v>2</v>
      </c>
      <c r="D864" t="s">
        <v>20</v>
      </c>
      <c r="E864" t="s">
        <v>21</v>
      </c>
      <c r="F864" t="s">
        <v>5</v>
      </c>
      <c r="G864" t="s">
        <v>6</v>
      </c>
      <c r="H864" t="s">
        <v>35</v>
      </c>
      <c r="I864" t="s">
        <v>36</v>
      </c>
      <c r="J864" t="s">
        <v>9</v>
      </c>
      <c r="K864" t="s">
        <v>301</v>
      </c>
      <c r="L864" t="s">
        <v>314</v>
      </c>
      <c r="M864" t="s">
        <v>12</v>
      </c>
      <c r="N864" s="2">
        <v>0</v>
      </c>
      <c r="O864" s="2">
        <v>0</v>
      </c>
      <c r="P864" s="2">
        <v>122768.4</v>
      </c>
      <c r="Q864" s="2">
        <v>122768.4</v>
      </c>
      <c r="R864" s="2">
        <v>0</v>
      </c>
      <c r="S864" s="2">
        <v>0</v>
      </c>
      <c r="T864" s="2">
        <v>0</v>
      </c>
      <c r="U864" s="2">
        <v>122768.4</v>
      </c>
      <c r="V864" s="2">
        <v>122768.4</v>
      </c>
      <c r="W864" s="2">
        <v>122768.4</v>
      </c>
    </row>
    <row r="865" spans="1:23" outlineLevel="2" x14ac:dyDescent="0.2">
      <c r="A865" t="s">
        <v>0</v>
      </c>
      <c r="B865" t="s">
        <v>1</v>
      </c>
      <c r="C865" t="s">
        <v>99</v>
      </c>
      <c r="D865" t="s">
        <v>100</v>
      </c>
      <c r="E865" t="s">
        <v>101</v>
      </c>
      <c r="F865" t="s">
        <v>5</v>
      </c>
      <c r="G865" t="s">
        <v>6</v>
      </c>
      <c r="H865" t="s">
        <v>35</v>
      </c>
      <c r="I865" t="s">
        <v>36</v>
      </c>
      <c r="J865" t="s">
        <v>9</v>
      </c>
      <c r="K865" t="s">
        <v>301</v>
      </c>
      <c r="L865" t="s">
        <v>316</v>
      </c>
      <c r="M865" t="s">
        <v>15</v>
      </c>
      <c r="N865" s="2">
        <v>435960</v>
      </c>
      <c r="O865" s="2">
        <v>0</v>
      </c>
      <c r="P865" s="2">
        <v>0</v>
      </c>
      <c r="Q865" s="2">
        <v>435960</v>
      </c>
      <c r="R865" s="2">
        <v>88575.96</v>
      </c>
      <c r="S865" s="2">
        <v>347384.04</v>
      </c>
      <c r="T865" s="2">
        <v>347384.04</v>
      </c>
      <c r="U865" s="2">
        <v>88575.96</v>
      </c>
      <c r="V865" s="2">
        <v>88575.96</v>
      </c>
      <c r="W865" s="2">
        <v>0</v>
      </c>
    </row>
    <row r="866" spans="1:23" outlineLevel="2" x14ac:dyDescent="0.2">
      <c r="A866" t="s">
        <v>0</v>
      </c>
      <c r="B866" t="s">
        <v>31</v>
      </c>
      <c r="C866" t="s">
        <v>79</v>
      </c>
      <c r="D866" t="s">
        <v>83</v>
      </c>
      <c r="E866" t="s">
        <v>84</v>
      </c>
      <c r="F866" t="s">
        <v>5</v>
      </c>
      <c r="G866" t="s">
        <v>6</v>
      </c>
      <c r="H866" t="s">
        <v>35</v>
      </c>
      <c r="I866" t="s">
        <v>36</v>
      </c>
      <c r="J866" t="s">
        <v>9</v>
      </c>
      <c r="K866" t="s">
        <v>301</v>
      </c>
      <c r="L866" t="s">
        <v>308</v>
      </c>
      <c r="M866" t="s">
        <v>15</v>
      </c>
      <c r="N866" s="2">
        <v>435156</v>
      </c>
      <c r="O866" s="2">
        <v>234326</v>
      </c>
      <c r="P866" s="2">
        <v>-150</v>
      </c>
      <c r="Q866" s="2">
        <v>669332</v>
      </c>
      <c r="R866" s="2">
        <v>198676.63</v>
      </c>
      <c r="S866" s="2">
        <v>470655.37</v>
      </c>
      <c r="T866" s="2">
        <v>470628.14</v>
      </c>
      <c r="U866" s="2">
        <v>198676.63</v>
      </c>
      <c r="V866" s="2">
        <v>198703.86</v>
      </c>
      <c r="W866" s="2">
        <v>0</v>
      </c>
    </row>
    <row r="867" spans="1:23" outlineLevel="2" x14ac:dyDescent="0.2">
      <c r="A867" t="s">
        <v>0</v>
      </c>
      <c r="B867" t="s">
        <v>31</v>
      </c>
      <c r="C867" t="s">
        <v>107</v>
      </c>
      <c r="D867" t="s">
        <v>108</v>
      </c>
      <c r="E867" t="s">
        <v>109</v>
      </c>
      <c r="F867" t="s">
        <v>5</v>
      </c>
      <c r="G867" t="s">
        <v>6</v>
      </c>
      <c r="H867" t="s">
        <v>35</v>
      </c>
      <c r="I867" t="s">
        <v>36</v>
      </c>
      <c r="J867" t="s">
        <v>9</v>
      </c>
      <c r="K867" t="s">
        <v>301</v>
      </c>
      <c r="L867" t="s">
        <v>317</v>
      </c>
      <c r="M867" t="s">
        <v>15</v>
      </c>
      <c r="N867" s="2">
        <v>173280</v>
      </c>
      <c r="O867" s="2">
        <v>7692</v>
      </c>
      <c r="P867" s="2">
        <v>0</v>
      </c>
      <c r="Q867" s="2">
        <v>180972</v>
      </c>
      <c r="R867" s="2">
        <v>21235.57</v>
      </c>
      <c r="S867" s="2">
        <v>159736.43</v>
      </c>
      <c r="T867" s="2">
        <v>159736.43</v>
      </c>
      <c r="U867" s="2">
        <v>21235.57</v>
      </c>
      <c r="V867" s="2">
        <v>21235.57</v>
      </c>
      <c r="W867" s="2">
        <v>0</v>
      </c>
    </row>
    <row r="868" spans="1:23" outlineLevel="2" x14ac:dyDescent="0.2">
      <c r="A868" t="s">
        <v>0</v>
      </c>
      <c r="B868" t="s">
        <v>1</v>
      </c>
      <c r="C868" t="s">
        <v>16</v>
      </c>
      <c r="D868" t="s">
        <v>103</v>
      </c>
      <c r="E868" t="s">
        <v>104</v>
      </c>
      <c r="F868" t="s">
        <v>5</v>
      </c>
      <c r="G868" t="s">
        <v>6</v>
      </c>
      <c r="H868" t="s">
        <v>35</v>
      </c>
      <c r="I868" t="s">
        <v>36</v>
      </c>
      <c r="J868" t="s">
        <v>9</v>
      </c>
      <c r="K868" t="s">
        <v>301</v>
      </c>
      <c r="L868" t="s">
        <v>311</v>
      </c>
      <c r="M868" t="s">
        <v>15</v>
      </c>
      <c r="N868" s="2">
        <v>787200</v>
      </c>
      <c r="O868" s="2">
        <v>-30000</v>
      </c>
      <c r="P868" s="2">
        <v>-96000</v>
      </c>
      <c r="Q868" s="2">
        <v>661200</v>
      </c>
      <c r="R868" s="2">
        <v>276490</v>
      </c>
      <c r="S868" s="2">
        <v>384710</v>
      </c>
      <c r="T868" s="2">
        <v>384710</v>
      </c>
      <c r="U868" s="2">
        <v>276490</v>
      </c>
      <c r="V868" s="2">
        <v>276490</v>
      </c>
      <c r="W868" s="2">
        <v>0</v>
      </c>
    </row>
    <row r="869" spans="1:23" outlineLevel="2" x14ac:dyDescent="0.2">
      <c r="A869" t="s">
        <v>0</v>
      </c>
      <c r="B869" t="s">
        <v>39</v>
      </c>
      <c r="C869" t="s">
        <v>58</v>
      </c>
      <c r="D869" t="s">
        <v>147</v>
      </c>
      <c r="E869" t="s">
        <v>148</v>
      </c>
      <c r="F869" t="s">
        <v>5</v>
      </c>
      <c r="G869" t="s">
        <v>6</v>
      </c>
      <c r="H869" t="s">
        <v>35</v>
      </c>
      <c r="I869" t="s">
        <v>36</v>
      </c>
      <c r="J869" t="s">
        <v>9</v>
      </c>
      <c r="K869" t="s">
        <v>301</v>
      </c>
      <c r="L869" t="s">
        <v>306</v>
      </c>
      <c r="M869" t="s">
        <v>15</v>
      </c>
      <c r="N869" s="2">
        <v>0</v>
      </c>
      <c r="O869" s="2">
        <v>5220</v>
      </c>
      <c r="P869" s="2">
        <v>0</v>
      </c>
      <c r="Q869" s="2">
        <v>5220</v>
      </c>
      <c r="R869" s="2">
        <v>3582.7</v>
      </c>
      <c r="S869" s="2">
        <v>1637.3</v>
      </c>
      <c r="T869" s="2">
        <v>1637.3</v>
      </c>
      <c r="U869" s="2">
        <v>3582.7</v>
      </c>
      <c r="V869" s="2">
        <v>3582.7</v>
      </c>
      <c r="W869" s="2">
        <v>0</v>
      </c>
    </row>
    <row r="870" spans="1:23" outlineLevel="2" x14ac:dyDescent="0.2">
      <c r="A870" t="s">
        <v>0</v>
      </c>
      <c r="B870" t="s">
        <v>39</v>
      </c>
      <c r="C870" t="s">
        <v>58</v>
      </c>
      <c r="D870" t="s">
        <v>105</v>
      </c>
      <c r="E870" t="s">
        <v>106</v>
      </c>
      <c r="F870" t="s">
        <v>5</v>
      </c>
      <c r="G870" t="s">
        <v>6</v>
      </c>
      <c r="H870" t="s">
        <v>35</v>
      </c>
      <c r="I870" t="s">
        <v>36</v>
      </c>
      <c r="J870" t="s">
        <v>9</v>
      </c>
      <c r="K870" t="s">
        <v>301</v>
      </c>
      <c r="L870" t="s">
        <v>306</v>
      </c>
      <c r="M870" t="s">
        <v>15</v>
      </c>
      <c r="N870" s="2">
        <v>227328</v>
      </c>
      <c r="O870" s="2">
        <v>2961.66</v>
      </c>
      <c r="P870" s="2">
        <v>-50</v>
      </c>
      <c r="Q870" s="2">
        <v>230239.66</v>
      </c>
      <c r="R870" s="2">
        <v>104483</v>
      </c>
      <c r="S870" s="2">
        <v>125756.66</v>
      </c>
      <c r="T870" s="2">
        <v>125756.66</v>
      </c>
      <c r="U870" s="2">
        <v>104483</v>
      </c>
      <c r="V870" s="2">
        <v>104483</v>
      </c>
      <c r="W870" s="2">
        <v>0</v>
      </c>
    </row>
    <row r="871" spans="1:23" outlineLevel="2" x14ac:dyDescent="0.2">
      <c r="A871" t="s">
        <v>0</v>
      </c>
      <c r="B871" t="s">
        <v>31</v>
      </c>
      <c r="C871" t="s">
        <v>79</v>
      </c>
      <c r="D871" t="s">
        <v>127</v>
      </c>
      <c r="E871" t="s">
        <v>128</v>
      </c>
      <c r="F871" t="s">
        <v>5</v>
      </c>
      <c r="G871" t="s">
        <v>6</v>
      </c>
      <c r="H871" t="s">
        <v>35</v>
      </c>
      <c r="I871" t="s">
        <v>36</v>
      </c>
      <c r="J871" t="s">
        <v>9</v>
      </c>
      <c r="K871" t="s">
        <v>301</v>
      </c>
      <c r="L871" t="s">
        <v>308</v>
      </c>
      <c r="M871" t="s">
        <v>12</v>
      </c>
      <c r="N871" s="2">
        <v>0</v>
      </c>
      <c r="O871" s="2">
        <v>9804</v>
      </c>
      <c r="P871" s="2">
        <v>0</v>
      </c>
      <c r="Q871" s="2">
        <v>9804</v>
      </c>
      <c r="R871" s="2">
        <v>2859.5</v>
      </c>
      <c r="S871" s="2">
        <v>6944.5</v>
      </c>
      <c r="T871" s="2">
        <v>6944.5</v>
      </c>
      <c r="U871" s="2">
        <v>2859.5</v>
      </c>
      <c r="V871" s="2">
        <v>2859.5</v>
      </c>
      <c r="W871" s="2">
        <v>0</v>
      </c>
    </row>
    <row r="872" spans="1:23" outlineLevel="2" x14ac:dyDescent="0.2">
      <c r="A872" t="s">
        <v>0</v>
      </c>
      <c r="B872" t="s">
        <v>31</v>
      </c>
      <c r="C872" t="s">
        <v>79</v>
      </c>
      <c r="D872" t="s">
        <v>115</v>
      </c>
      <c r="E872" t="s">
        <v>116</v>
      </c>
      <c r="F872" t="s">
        <v>5</v>
      </c>
      <c r="G872" t="s">
        <v>6</v>
      </c>
      <c r="H872" t="s">
        <v>35</v>
      </c>
      <c r="I872" t="s">
        <v>36</v>
      </c>
      <c r="J872" t="s">
        <v>9</v>
      </c>
      <c r="K872" t="s">
        <v>301</v>
      </c>
      <c r="L872" t="s">
        <v>308</v>
      </c>
      <c r="M872" t="s">
        <v>12</v>
      </c>
      <c r="N872" s="2">
        <v>0</v>
      </c>
      <c r="O872" s="2">
        <v>19608</v>
      </c>
      <c r="P872" s="2">
        <v>0</v>
      </c>
      <c r="Q872" s="2">
        <v>19608</v>
      </c>
      <c r="R872" s="2">
        <v>14706</v>
      </c>
      <c r="S872" s="2">
        <v>4902</v>
      </c>
      <c r="T872" s="2">
        <v>4902</v>
      </c>
      <c r="U872" s="2">
        <v>14706</v>
      </c>
      <c r="V872" s="2">
        <v>14706</v>
      </c>
      <c r="W872" s="2">
        <v>0</v>
      </c>
    </row>
    <row r="873" spans="1:23" outlineLevel="2" x14ac:dyDescent="0.2">
      <c r="A873" t="s">
        <v>0</v>
      </c>
      <c r="B873" t="s">
        <v>39</v>
      </c>
      <c r="C873" t="s">
        <v>40</v>
      </c>
      <c r="D873" t="s">
        <v>41</v>
      </c>
      <c r="E873" t="s">
        <v>42</v>
      </c>
      <c r="F873" t="s">
        <v>5</v>
      </c>
      <c r="G873" t="s">
        <v>6</v>
      </c>
      <c r="H873" t="s">
        <v>35</v>
      </c>
      <c r="I873" t="s">
        <v>36</v>
      </c>
      <c r="J873" t="s">
        <v>9</v>
      </c>
      <c r="K873" t="s">
        <v>301</v>
      </c>
      <c r="L873" t="s">
        <v>307</v>
      </c>
      <c r="M873" t="s">
        <v>12</v>
      </c>
      <c r="N873" s="2">
        <v>0</v>
      </c>
      <c r="O873" s="2">
        <v>0</v>
      </c>
      <c r="P873" s="2">
        <v>30000</v>
      </c>
      <c r="Q873" s="2">
        <v>30000</v>
      </c>
      <c r="R873" s="2">
        <v>0</v>
      </c>
      <c r="S873" s="2">
        <v>0</v>
      </c>
      <c r="T873" s="2">
        <v>0</v>
      </c>
      <c r="U873" s="2">
        <v>30000</v>
      </c>
      <c r="V873" s="2">
        <v>30000</v>
      </c>
      <c r="W873" s="2">
        <v>30000</v>
      </c>
    </row>
    <row r="874" spans="1:23" outlineLevel="2" x14ac:dyDescent="0.2">
      <c r="A874" t="s">
        <v>0</v>
      </c>
      <c r="B874" t="s">
        <v>39</v>
      </c>
      <c r="C874" t="s">
        <v>58</v>
      </c>
      <c r="D874" t="s">
        <v>105</v>
      </c>
      <c r="E874" t="s">
        <v>106</v>
      </c>
      <c r="F874" t="s">
        <v>5</v>
      </c>
      <c r="G874" t="s">
        <v>6</v>
      </c>
      <c r="H874" t="s">
        <v>35</v>
      </c>
      <c r="I874" t="s">
        <v>36</v>
      </c>
      <c r="J874" t="s">
        <v>9</v>
      </c>
      <c r="K874" t="s">
        <v>301</v>
      </c>
      <c r="L874" t="s">
        <v>306</v>
      </c>
      <c r="M874" t="s">
        <v>12</v>
      </c>
      <c r="N874" s="2">
        <v>0</v>
      </c>
      <c r="O874" s="2">
        <v>0</v>
      </c>
      <c r="P874" s="2">
        <v>50</v>
      </c>
      <c r="Q874" s="2">
        <v>50</v>
      </c>
      <c r="R874" s="2">
        <v>0</v>
      </c>
      <c r="S874" s="2">
        <v>0</v>
      </c>
      <c r="T874" s="2">
        <v>0</v>
      </c>
      <c r="U874" s="2">
        <v>50</v>
      </c>
      <c r="V874" s="2">
        <v>50</v>
      </c>
      <c r="W874" s="2">
        <v>50</v>
      </c>
    </row>
    <row r="875" spans="1:23" outlineLevel="2" x14ac:dyDescent="0.2">
      <c r="A875" t="s">
        <v>0</v>
      </c>
      <c r="B875" t="s">
        <v>1</v>
      </c>
      <c r="C875" t="s">
        <v>16</v>
      </c>
      <c r="D875" t="s">
        <v>17</v>
      </c>
      <c r="E875" t="s">
        <v>18</v>
      </c>
      <c r="F875" t="s">
        <v>5</v>
      </c>
      <c r="G875" t="s">
        <v>6</v>
      </c>
      <c r="H875" t="s">
        <v>35</v>
      </c>
      <c r="I875" t="s">
        <v>36</v>
      </c>
      <c r="J875" t="s">
        <v>9</v>
      </c>
      <c r="K875" t="s">
        <v>301</v>
      </c>
      <c r="L875" t="s">
        <v>311</v>
      </c>
      <c r="M875" t="s">
        <v>15</v>
      </c>
      <c r="N875" s="2">
        <v>998400</v>
      </c>
      <c r="O875" s="2">
        <v>0</v>
      </c>
      <c r="P875" s="2">
        <v>-36000</v>
      </c>
      <c r="Q875" s="2">
        <v>962400</v>
      </c>
      <c r="R875" s="2">
        <v>105660.93</v>
      </c>
      <c r="S875" s="2">
        <v>856739.07</v>
      </c>
      <c r="T875" s="2">
        <v>856739.07</v>
      </c>
      <c r="U875" s="2">
        <v>105660.93</v>
      </c>
      <c r="V875" s="2">
        <v>105660.93</v>
      </c>
      <c r="W875" s="2">
        <v>0</v>
      </c>
    </row>
    <row r="876" spans="1:23" outlineLevel="2" x14ac:dyDescent="0.2">
      <c r="A876" t="s">
        <v>0</v>
      </c>
      <c r="B876" t="s">
        <v>1</v>
      </c>
      <c r="C876" t="s">
        <v>16</v>
      </c>
      <c r="D876" t="s">
        <v>62</v>
      </c>
      <c r="E876" t="s">
        <v>63</v>
      </c>
      <c r="F876" t="s">
        <v>5</v>
      </c>
      <c r="G876" t="s">
        <v>6</v>
      </c>
      <c r="H876" t="s">
        <v>35</v>
      </c>
      <c r="I876" t="s">
        <v>36</v>
      </c>
      <c r="J876" t="s">
        <v>9</v>
      </c>
      <c r="K876" t="s">
        <v>301</v>
      </c>
      <c r="L876" t="s">
        <v>311</v>
      </c>
      <c r="M876" t="s">
        <v>15</v>
      </c>
      <c r="N876" s="2">
        <v>42072</v>
      </c>
      <c r="O876" s="2">
        <v>30000</v>
      </c>
      <c r="P876" s="2">
        <v>0</v>
      </c>
      <c r="Q876" s="2">
        <v>72072</v>
      </c>
      <c r="R876" s="2">
        <v>9512</v>
      </c>
      <c r="S876" s="2">
        <v>62560</v>
      </c>
      <c r="T876" s="2">
        <v>62560</v>
      </c>
      <c r="U876" s="2">
        <v>9512</v>
      </c>
      <c r="V876" s="2">
        <v>9512</v>
      </c>
      <c r="W876" s="2">
        <v>0</v>
      </c>
    </row>
    <row r="877" spans="1:23" outlineLevel="2" x14ac:dyDescent="0.2">
      <c r="A877" t="s">
        <v>0</v>
      </c>
      <c r="B877" t="s">
        <v>31</v>
      </c>
      <c r="C877" t="s">
        <v>79</v>
      </c>
      <c r="D877" t="s">
        <v>113</v>
      </c>
      <c r="E877" t="s">
        <v>114</v>
      </c>
      <c r="F877" t="s">
        <v>5</v>
      </c>
      <c r="G877" t="s">
        <v>6</v>
      </c>
      <c r="H877" t="s">
        <v>35</v>
      </c>
      <c r="I877" t="s">
        <v>36</v>
      </c>
      <c r="J877" t="s">
        <v>9</v>
      </c>
      <c r="K877" t="s">
        <v>301</v>
      </c>
      <c r="L877" t="s">
        <v>308</v>
      </c>
      <c r="M877" t="s">
        <v>12</v>
      </c>
      <c r="N877" s="2">
        <v>0</v>
      </c>
      <c r="O877" s="2">
        <v>19608</v>
      </c>
      <c r="P877" s="2">
        <v>0</v>
      </c>
      <c r="Q877" s="2">
        <v>19608</v>
      </c>
      <c r="R877" s="2">
        <v>7570.87</v>
      </c>
      <c r="S877" s="2">
        <v>12037.13</v>
      </c>
      <c r="T877" s="2">
        <v>12037.13</v>
      </c>
      <c r="U877" s="2">
        <v>7570.87</v>
      </c>
      <c r="V877" s="2">
        <v>7570.87</v>
      </c>
      <c r="W877" s="2">
        <v>0</v>
      </c>
    </row>
    <row r="878" spans="1:23" outlineLevel="2" x14ac:dyDescent="0.2">
      <c r="A878" t="s">
        <v>0</v>
      </c>
      <c r="B878" t="s">
        <v>39</v>
      </c>
      <c r="C878" t="s">
        <v>58</v>
      </c>
      <c r="D878" t="s">
        <v>135</v>
      </c>
      <c r="E878" t="s">
        <v>136</v>
      </c>
      <c r="F878" t="s">
        <v>5</v>
      </c>
      <c r="G878" t="s">
        <v>6</v>
      </c>
      <c r="H878" t="s">
        <v>35</v>
      </c>
      <c r="I878" t="s">
        <v>36</v>
      </c>
      <c r="J878" t="s">
        <v>9</v>
      </c>
      <c r="K878" t="s">
        <v>301</v>
      </c>
      <c r="L878" t="s">
        <v>306</v>
      </c>
      <c r="M878" t="s">
        <v>15</v>
      </c>
      <c r="N878" s="2">
        <v>8556</v>
      </c>
      <c r="O878" s="2">
        <v>-8556</v>
      </c>
      <c r="P878" s="2">
        <v>0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</row>
    <row r="879" spans="1:23" outlineLevel="2" x14ac:dyDescent="0.2">
      <c r="A879" t="s">
        <v>0</v>
      </c>
      <c r="B879" t="s">
        <v>31</v>
      </c>
      <c r="C879" t="s">
        <v>32</v>
      </c>
      <c r="D879" t="s">
        <v>33</v>
      </c>
      <c r="E879" t="s">
        <v>34</v>
      </c>
      <c r="F879" t="s">
        <v>5</v>
      </c>
      <c r="G879" t="s">
        <v>6</v>
      </c>
      <c r="H879" t="s">
        <v>35</v>
      </c>
      <c r="I879" t="s">
        <v>36</v>
      </c>
      <c r="J879" t="s">
        <v>9</v>
      </c>
      <c r="K879" t="s">
        <v>301</v>
      </c>
      <c r="L879" t="s">
        <v>305</v>
      </c>
      <c r="M879" t="s">
        <v>15</v>
      </c>
      <c r="N879" s="2">
        <v>43236</v>
      </c>
      <c r="O879" s="2">
        <v>297326</v>
      </c>
      <c r="P879" s="2">
        <v>0</v>
      </c>
      <c r="Q879" s="2">
        <v>340562</v>
      </c>
      <c r="R879" s="2">
        <v>105403.39</v>
      </c>
      <c r="S879" s="2">
        <v>235158.61</v>
      </c>
      <c r="T879" s="2">
        <v>235158.61</v>
      </c>
      <c r="U879" s="2">
        <v>105403.39</v>
      </c>
      <c r="V879" s="2">
        <v>105403.39</v>
      </c>
      <c r="W879" s="2">
        <v>0</v>
      </c>
    </row>
    <row r="880" spans="1:23" outlineLevel="2" x14ac:dyDescent="0.2">
      <c r="A880" t="s">
        <v>0</v>
      </c>
      <c r="B880" t="s">
        <v>31</v>
      </c>
      <c r="C880" t="s">
        <v>32</v>
      </c>
      <c r="D880" t="s">
        <v>75</v>
      </c>
      <c r="E880" t="s">
        <v>76</v>
      </c>
      <c r="F880" t="s">
        <v>5</v>
      </c>
      <c r="G880" t="s">
        <v>6</v>
      </c>
      <c r="H880" t="s">
        <v>35</v>
      </c>
      <c r="I880" t="s">
        <v>36</v>
      </c>
      <c r="J880" t="s">
        <v>9</v>
      </c>
      <c r="K880" t="s">
        <v>301</v>
      </c>
      <c r="L880" t="s">
        <v>305</v>
      </c>
      <c r="M880" t="s">
        <v>15</v>
      </c>
      <c r="N880" s="2">
        <v>54144</v>
      </c>
      <c r="O880" s="2">
        <v>333288</v>
      </c>
      <c r="P880" s="2">
        <v>0</v>
      </c>
      <c r="Q880" s="2">
        <v>387432</v>
      </c>
      <c r="R880" s="2">
        <v>70154.41</v>
      </c>
      <c r="S880" s="2">
        <v>317277.59000000003</v>
      </c>
      <c r="T880" s="2">
        <v>317277.59000000003</v>
      </c>
      <c r="U880" s="2">
        <v>70154.41</v>
      </c>
      <c r="V880" s="2">
        <v>70154.41</v>
      </c>
      <c r="W880" s="2">
        <v>0</v>
      </c>
    </row>
    <row r="881" spans="1:23" outlineLevel="2" x14ac:dyDescent="0.2">
      <c r="A881" t="s">
        <v>0</v>
      </c>
      <c r="B881" t="s">
        <v>31</v>
      </c>
      <c r="C881" t="s">
        <v>79</v>
      </c>
      <c r="D881" t="s">
        <v>111</v>
      </c>
      <c r="E881" t="s">
        <v>112</v>
      </c>
      <c r="F881" t="s">
        <v>5</v>
      </c>
      <c r="G881" t="s">
        <v>6</v>
      </c>
      <c r="H881" t="s">
        <v>35</v>
      </c>
      <c r="I881" t="s">
        <v>36</v>
      </c>
      <c r="J881" t="s">
        <v>9</v>
      </c>
      <c r="K881" t="s">
        <v>301</v>
      </c>
      <c r="L881" t="s">
        <v>308</v>
      </c>
      <c r="M881" t="s">
        <v>12</v>
      </c>
      <c r="N881" s="2">
        <v>0</v>
      </c>
      <c r="O881" s="2">
        <v>9804</v>
      </c>
      <c r="P881" s="2">
        <v>0</v>
      </c>
      <c r="Q881" s="2">
        <v>9804</v>
      </c>
      <c r="R881" s="2">
        <v>2668.87</v>
      </c>
      <c r="S881" s="2">
        <v>7135.13</v>
      </c>
      <c r="T881" s="2">
        <v>7135.13</v>
      </c>
      <c r="U881" s="2">
        <v>2668.87</v>
      </c>
      <c r="V881" s="2">
        <v>2668.87</v>
      </c>
      <c r="W881" s="2">
        <v>0</v>
      </c>
    </row>
    <row r="882" spans="1:23" outlineLevel="2" x14ac:dyDescent="0.2">
      <c r="A882" t="s">
        <v>0</v>
      </c>
      <c r="B882" t="s">
        <v>1</v>
      </c>
      <c r="C882" t="s">
        <v>16</v>
      </c>
      <c r="D882" t="s">
        <v>64</v>
      </c>
      <c r="E882" t="s">
        <v>65</v>
      </c>
      <c r="F882" t="s">
        <v>5</v>
      </c>
      <c r="G882" t="s">
        <v>6</v>
      </c>
      <c r="H882" t="s">
        <v>35</v>
      </c>
      <c r="I882" t="s">
        <v>36</v>
      </c>
      <c r="J882" t="s">
        <v>9</v>
      </c>
      <c r="K882" t="s">
        <v>301</v>
      </c>
      <c r="L882" t="s">
        <v>311</v>
      </c>
      <c r="M882" t="s">
        <v>15</v>
      </c>
      <c r="N882" s="2">
        <v>8088</v>
      </c>
      <c r="O882" s="2">
        <v>0</v>
      </c>
      <c r="P882" s="2">
        <v>0</v>
      </c>
      <c r="Q882" s="2">
        <v>8088</v>
      </c>
      <c r="R882" s="2">
        <v>2696</v>
      </c>
      <c r="S882" s="2">
        <v>5392</v>
      </c>
      <c r="T882" s="2">
        <v>5392</v>
      </c>
      <c r="U882" s="2">
        <v>2696</v>
      </c>
      <c r="V882" s="2">
        <v>2696</v>
      </c>
      <c r="W882" s="2">
        <v>0</v>
      </c>
    </row>
    <row r="883" spans="1:23" outlineLevel="2" x14ac:dyDescent="0.2">
      <c r="A883" t="s">
        <v>0</v>
      </c>
      <c r="B883" t="s">
        <v>31</v>
      </c>
      <c r="C883" t="s">
        <v>79</v>
      </c>
      <c r="D883" t="s">
        <v>131</v>
      </c>
      <c r="E883" t="s">
        <v>132</v>
      </c>
      <c r="F883" t="s">
        <v>5</v>
      </c>
      <c r="G883" t="s">
        <v>6</v>
      </c>
      <c r="H883" t="s">
        <v>35</v>
      </c>
      <c r="I883" t="s">
        <v>36</v>
      </c>
      <c r="J883" t="s">
        <v>9</v>
      </c>
      <c r="K883" t="s">
        <v>301</v>
      </c>
      <c r="L883" t="s">
        <v>308</v>
      </c>
      <c r="M883" t="s">
        <v>12</v>
      </c>
      <c r="N883" s="2">
        <v>0</v>
      </c>
      <c r="O883" s="2">
        <v>19608</v>
      </c>
      <c r="P883" s="2">
        <v>0</v>
      </c>
      <c r="Q883" s="2">
        <v>19608</v>
      </c>
      <c r="R883" s="2">
        <v>7570.87</v>
      </c>
      <c r="S883" s="2">
        <v>12037.13</v>
      </c>
      <c r="T883" s="2">
        <v>12037.13</v>
      </c>
      <c r="U883" s="2">
        <v>7570.87</v>
      </c>
      <c r="V883" s="2">
        <v>7570.87</v>
      </c>
      <c r="W883" s="2">
        <v>0</v>
      </c>
    </row>
    <row r="884" spans="1:23" outlineLevel="2" x14ac:dyDescent="0.2">
      <c r="A884" t="s">
        <v>0</v>
      </c>
      <c r="B884" t="s">
        <v>39</v>
      </c>
      <c r="C884" t="s">
        <v>70</v>
      </c>
      <c r="D884" t="s">
        <v>89</v>
      </c>
      <c r="E884" t="s">
        <v>90</v>
      </c>
      <c r="F884" t="s">
        <v>5</v>
      </c>
      <c r="G884" t="s">
        <v>6</v>
      </c>
      <c r="H884" t="s">
        <v>35</v>
      </c>
      <c r="I884" t="s">
        <v>36</v>
      </c>
      <c r="J884" t="s">
        <v>9</v>
      </c>
      <c r="K884" t="s">
        <v>318</v>
      </c>
      <c r="L884" t="s">
        <v>319</v>
      </c>
      <c r="M884" t="s">
        <v>15</v>
      </c>
      <c r="N884" s="2">
        <v>19015.07</v>
      </c>
      <c r="O884" s="2">
        <v>0</v>
      </c>
      <c r="P884" s="2">
        <v>-17621.73</v>
      </c>
      <c r="Q884" s="2">
        <v>1393.34</v>
      </c>
      <c r="R884" s="2">
        <v>0</v>
      </c>
      <c r="S884" s="2">
        <v>1393.34</v>
      </c>
      <c r="T884" s="2">
        <v>1393.34</v>
      </c>
      <c r="U884" s="2">
        <v>0</v>
      </c>
      <c r="V884" s="2">
        <v>0</v>
      </c>
      <c r="W884" s="2">
        <v>0</v>
      </c>
    </row>
    <row r="885" spans="1:23" outlineLevel="2" x14ac:dyDescent="0.2">
      <c r="A885" t="s">
        <v>0</v>
      </c>
      <c r="B885" t="s">
        <v>31</v>
      </c>
      <c r="C885" t="s">
        <v>32</v>
      </c>
      <c r="D885" t="s">
        <v>123</v>
      </c>
      <c r="E885" t="s">
        <v>124</v>
      </c>
      <c r="F885" t="s">
        <v>5</v>
      </c>
      <c r="G885" t="s">
        <v>6</v>
      </c>
      <c r="H885" t="s">
        <v>35</v>
      </c>
      <c r="I885" t="s">
        <v>36</v>
      </c>
      <c r="J885" t="s">
        <v>9</v>
      </c>
      <c r="K885" t="s">
        <v>318</v>
      </c>
      <c r="L885" t="s">
        <v>320</v>
      </c>
      <c r="M885" t="s">
        <v>15</v>
      </c>
      <c r="N885" s="2">
        <v>3635.4</v>
      </c>
      <c r="O885" s="2">
        <v>0</v>
      </c>
      <c r="P885" s="2">
        <v>-3420.9</v>
      </c>
      <c r="Q885" s="2">
        <v>214.5</v>
      </c>
      <c r="R885" s="2">
        <v>0</v>
      </c>
      <c r="S885" s="2">
        <v>214.5</v>
      </c>
      <c r="T885" s="2">
        <v>214.5</v>
      </c>
      <c r="U885" s="2">
        <v>0</v>
      </c>
      <c r="V885" s="2">
        <v>0</v>
      </c>
      <c r="W885" s="2">
        <v>0</v>
      </c>
    </row>
    <row r="886" spans="1:23" outlineLevel="2" x14ac:dyDescent="0.2">
      <c r="A886" t="s">
        <v>0</v>
      </c>
      <c r="B886" t="s">
        <v>31</v>
      </c>
      <c r="C886" t="s">
        <v>32</v>
      </c>
      <c r="D886" t="s">
        <v>33</v>
      </c>
      <c r="E886" t="s">
        <v>34</v>
      </c>
      <c r="F886" t="s">
        <v>5</v>
      </c>
      <c r="G886" t="s">
        <v>6</v>
      </c>
      <c r="H886" t="s">
        <v>35</v>
      </c>
      <c r="I886" t="s">
        <v>36</v>
      </c>
      <c r="J886" t="s">
        <v>9</v>
      </c>
      <c r="K886" t="s">
        <v>318</v>
      </c>
      <c r="L886" t="s">
        <v>320</v>
      </c>
      <c r="M886" t="s">
        <v>15</v>
      </c>
      <c r="N886" s="2">
        <v>5286.67</v>
      </c>
      <c r="O886" s="2">
        <v>0</v>
      </c>
      <c r="P886" s="2">
        <v>-5063.47</v>
      </c>
      <c r="Q886" s="2">
        <v>223.2</v>
      </c>
      <c r="R886" s="2">
        <v>0</v>
      </c>
      <c r="S886" s="2">
        <v>223.2</v>
      </c>
      <c r="T886" s="2">
        <v>223.2</v>
      </c>
      <c r="U886" s="2">
        <v>0</v>
      </c>
      <c r="V886" s="2">
        <v>0</v>
      </c>
      <c r="W886" s="2">
        <v>0</v>
      </c>
    </row>
    <row r="887" spans="1:23" outlineLevel="2" x14ac:dyDescent="0.2">
      <c r="A887" t="s">
        <v>0</v>
      </c>
      <c r="B887" t="s">
        <v>1</v>
      </c>
      <c r="C887" t="s">
        <v>91</v>
      </c>
      <c r="D887" t="s">
        <v>92</v>
      </c>
      <c r="E887" t="s">
        <v>93</v>
      </c>
      <c r="F887" t="s">
        <v>5</v>
      </c>
      <c r="G887" t="s">
        <v>6</v>
      </c>
      <c r="H887" t="s">
        <v>35</v>
      </c>
      <c r="I887" t="s">
        <v>36</v>
      </c>
      <c r="J887" t="s">
        <v>9</v>
      </c>
      <c r="K887" t="s">
        <v>318</v>
      </c>
      <c r="L887" t="s">
        <v>321</v>
      </c>
      <c r="M887" t="s">
        <v>12</v>
      </c>
      <c r="N887" s="2">
        <v>0</v>
      </c>
      <c r="O887" s="2">
        <v>0</v>
      </c>
      <c r="P887" s="2">
        <v>7978.59</v>
      </c>
      <c r="Q887" s="2">
        <v>7978.59</v>
      </c>
      <c r="R887" s="2">
        <v>0</v>
      </c>
      <c r="S887" s="2">
        <v>190</v>
      </c>
      <c r="T887" s="2">
        <v>190</v>
      </c>
      <c r="U887" s="2">
        <v>7788.59</v>
      </c>
      <c r="V887" s="2">
        <v>7788.59</v>
      </c>
      <c r="W887" s="2">
        <v>7788.59</v>
      </c>
    </row>
    <row r="888" spans="1:23" outlineLevel="2" x14ac:dyDescent="0.2">
      <c r="A888" t="s">
        <v>0</v>
      </c>
      <c r="B888" t="s">
        <v>39</v>
      </c>
      <c r="C888" t="s">
        <v>70</v>
      </c>
      <c r="D888" t="s">
        <v>71</v>
      </c>
      <c r="E888" t="s">
        <v>72</v>
      </c>
      <c r="F888" t="s">
        <v>5</v>
      </c>
      <c r="G888" t="s">
        <v>6</v>
      </c>
      <c r="H888" t="s">
        <v>35</v>
      </c>
      <c r="I888" t="s">
        <v>36</v>
      </c>
      <c r="J888" t="s">
        <v>9</v>
      </c>
      <c r="K888" t="s">
        <v>318</v>
      </c>
      <c r="L888" t="s">
        <v>319</v>
      </c>
      <c r="M888" t="s">
        <v>15</v>
      </c>
      <c r="N888" s="2">
        <v>6990.7</v>
      </c>
      <c r="O888" s="2">
        <v>0</v>
      </c>
      <c r="P888" s="2">
        <v>-6671.03</v>
      </c>
      <c r="Q888" s="2">
        <v>319.67</v>
      </c>
      <c r="R888" s="2">
        <v>0</v>
      </c>
      <c r="S888" s="2">
        <v>319.67</v>
      </c>
      <c r="T888" s="2">
        <v>319.67</v>
      </c>
      <c r="U888" s="2">
        <v>0</v>
      </c>
      <c r="V888" s="2">
        <v>0</v>
      </c>
      <c r="W888" s="2">
        <v>0</v>
      </c>
    </row>
    <row r="889" spans="1:23" outlineLevel="2" x14ac:dyDescent="0.2">
      <c r="A889" t="s">
        <v>0</v>
      </c>
      <c r="B889" t="s">
        <v>31</v>
      </c>
      <c r="C889" t="s">
        <v>107</v>
      </c>
      <c r="D889" t="s">
        <v>108</v>
      </c>
      <c r="E889" t="s">
        <v>109</v>
      </c>
      <c r="F889" t="s">
        <v>5</v>
      </c>
      <c r="G889" t="s">
        <v>6</v>
      </c>
      <c r="H889" t="s">
        <v>35</v>
      </c>
      <c r="I889" t="s">
        <v>36</v>
      </c>
      <c r="J889" t="s">
        <v>9</v>
      </c>
      <c r="K889" t="s">
        <v>318</v>
      </c>
      <c r="L889" t="s">
        <v>322</v>
      </c>
      <c r="M889" t="s">
        <v>15</v>
      </c>
      <c r="N889" s="2">
        <v>4680.32</v>
      </c>
      <c r="O889" s="2">
        <v>0</v>
      </c>
      <c r="P889" s="2">
        <v>-4026.32</v>
      </c>
      <c r="Q889" s="2">
        <v>654</v>
      </c>
      <c r="R889" s="2">
        <v>0</v>
      </c>
      <c r="S889" s="2">
        <v>654</v>
      </c>
      <c r="T889" s="2">
        <v>654</v>
      </c>
      <c r="U889" s="2">
        <v>0</v>
      </c>
      <c r="V889" s="2">
        <v>0</v>
      </c>
      <c r="W889" s="2">
        <v>0</v>
      </c>
    </row>
    <row r="890" spans="1:23" outlineLevel="2" x14ac:dyDescent="0.2">
      <c r="A890" t="s">
        <v>0</v>
      </c>
      <c r="B890" t="s">
        <v>31</v>
      </c>
      <c r="C890" t="s">
        <v>32</v>
      </c>
      <c r="D890" t="s">
        <v>141</v>
      </c>
      <c r="E890" t="s">
        <v>142</v>
      </c>
      <c r="F890" t="s">
        <v>5</v>
      </c>
      <c r="G890" t="s">
        <v>6</v>
      </c>
      <c r="H890" t="s">
        <v>35</v>
      </c>
      <c r="I890" t="s">
        <v>36</v>
      </c>
      <c r="J890" t="s">
        <v>9</v>
      </c>
      <c r="K890" t="s">
        <v>318</v>
      </c>
      <c r="L890" t="s">
        <v>320</v>
      </c>
      <c r="M890" t="s">
        <v>15</v>
      </c>
      <c r="N890" s="2">
        <v>9353.16</v>
      </c>
      <c r="O890" s="2">
        <v>0</v>
      </c>
      <c r="P890" s="2">
        <v>-8033.16</v>
      </c>
      <c r="Q890" s="2">
        <v>1320</v>
      </c>
      <c r="R890" s="2">
        <v>0</v>
      </c>
      <c r="S890" s="2">
        <v>1320</v>
      </c>
      <c r="T890" s="2">
        <v>1320</v>
      </c>
      <c r="U890" s="2">
        <v>0</v>
      </c>
      <c r="V890" s="2">
        <v>0</v>
      </c>
      <c r="W890" s="2">
        <v>0</v>
      </c>
    </row>
    <row r="891" spans="1:23" outlineLevel="2" x14ac:dyDescent="0.2">
      <c r="A891" t="s">
        <v>0</v>
      </c>
      <c r="B891" t="s">
        <v>31</v>
      </c>
      <c r="C891" t="s">
        <v>49</v>
      </c>
      <c r="D891" t="s">
        <v>50</v>
      </c>
      <c r="E891" t="s">
        <v>51</v>
      </c>
      <c r="F891" t="s">
        <v>5</v>
      </c>
      <c r="G891" t="s">
        <v>6</v>
      </c>
      <c r="H891" t="s">
        <v>35</v>
      </c>
      <c r="I891" t="s">
        <v>36</v>
      </c>
      <c r="J891" t="s">
        <v>9</v>
      </c>
      <c r="K891" t="s">
        <v>318</v>
      </c>
      <c r="L891" t="s">
        <v>323</v>
      </c>
      <c r="M891" t="s">
        <v>15</v>
      </c>
      <c r="N891" s="2">
        <v>5025.43</v>
      </c>
      <c r="O891" s="2">
        <v>0</v>
      </c>
      <c r="P891" s="2">
        <v>-4700.43</v>
      </c>
      <c r="Q891" s="2">
        <v>325</v>
      </c>
      <c r="R891" s="2">
        <v>0</v>
      </c>
      <c r="S891" s="2">
        <v>325</v>
      </c>
      <c r="T891" s="2">
        <v>325</v>
      </c>
      <c r="U891" s="2">
        <v>0</v>
      </c>
      <c r="V891" s="2">
        <v>0</v>
      </c>
      <c r="W891" s="2">
        <v>0</v>
      </c>
    </row>
    <row r="892" spans="1:23" outlineLevel="2" x14ac:dyDescent="0.2">
      <c r="A892" t="s">
        <v>0</v>
      </c>
      <c r="B892" t="s">
        <v>1</v>
      </c>
      <c r="C892" t="s">
        <v>99</v>
      </c>
      <c r="D892" t="s">
        <v>100</v>
      </c>
      <c r="E892" t="s">
        <v>101</v>
      </c>
      <c r="F892" t="s">
        <v>5</v>
      </c>
      <c r="G892" t="s">
        <v>6</v>
      </c>
      <c r="H892" t="s">
        <v>35</v>
      </c>
      <c r="I892" t="s">
        <v>36</v>
      </c>
      <c r="J892" t="s">
        <v>9</v>
      </c>
      <c r="K892" t="s">
        <v>318</v>
      </c>
      <c r="L892" t="s">
        <v>324</v>
      </c>
      <c r="M892" t="s">
        <v>15</v>
      </c>
      <c r="N892" s="2">
        <v>1678.99</v>
      </c>
      <c r="O892" s="2">
        <v>0</v>
      </c>
      <c r="P892" s="2">
        <v>-949.92</v>
      </c>
      <c r="Q892" s="2">
        <v>729.07</v>
      </c>
      <c r="R892" s="2">
        <v>0</v>
      </c>
      <c r="S892" s="2">
        <v>729.07</v>
      </c>
      <c r="T892" s="2">
        <v>729.07</v>
      </c>
      <c r="U892" s="2">
        <v>0</v>
      </c>
      <c r="V892" s="2">
        <v>0</v>
      </c>
      <c r="W892" s="2">
        <v>0</v>
      </c>
    </row>
    <row r="893" spans="1:23" outlineLevel="2" x14ac:dyDescent="0.2">
      <c r="A893" t="s">
        <v>0</v>
      </c>
      <c r="B893" t="s">
        <v>39</v>
      </c>
      <c r="C893" t="s">
        <v>58</v>
      </c>
      <c r="D893" t="s">
        <v>119</v>
      </c>
      <c r="E893" t="s">
        <v>120</v>
      </c>
      <c r="F893" t="s">
        <v>5</v>
      </c>
      <c r="G893" t="s">
        <v>6</v>
      </c>
      <c r="H893" t="s">
        <v>35</v>
      </c>
      <c r="I893" t="s">
        <v>36</v>
      </c>
      <c r="J893" t="s">
        <v>9</v>
      </c>
      <c r="K893" t="s">
        <v>318</v>
      </c>
      <c r="L893" t="s">
        <v>325</v>
      </c>
      <c r="M893" t="s">
        <v>15</v>
      </c>
      <c r="N893" s="2">
        <v>3556.91</v>
      </c>
      <c r="O893" s="2">
        <v>0</v>
      </c>
      <c r="P893" s="2">
        <v>-3356.91</v>
      </c>
      <c r="Q893" s="2">
        <v>200</v>
      </c>
      <c r="R893" s="2">
        <v>0</v>
      </c>
      <c r="S893" s="2">
        <v>200</v>
      </c>
      <c r="T893" s="2">
        <v>200</v>
      </c>
      <c r="U893" s="2">
        <v>0</v>
      </c>
      <c r="V893" s="2">
        <v>0</v>
      </c>
      <c r="W893" s="2">
        <v>0</v>
      </c>
    </row>
    <row r="894" spans="1:23" outlineLevel="2" x14ac:dyDescent="0.2">
      <c r="A894" t="s">
        <v>0</v>
      </c>
      <c r="B894" t="s">
        <v>1</v>
      </c>
      <c r="C894" t="s">
        <v>16</v>
      </c>
      <c r="D894" t="s">
        <v>64</v>
      </c>
      <c r="E894" t="s">
        <v>65</v>
      </c>
      <c r="F894" t="s">
        <v>5</v>
      </c>
      <c r="G894" t="s">
        <v>6</v>
      </c>
      <c r="H894" t="s">
        <v>35</v>
      </c>
      <c r="I894" t="s">
        <v>36</v>
      </c>
      <c r="J894" t="s">
        <v>9</v>
      </c>
      <c r="K894" t="s">
        <v>318</v>
      </c>
      <c r="L894" t="s">
        <v>326</v>
      </c>
      <c r="M894" t="s">
        <v>15</v>
      </c>
      <c r="N894" s="2">
        <v>439.33</v>
      </c>
      <c r="O894" s="2">
        <v>1000</v>
      </c>
      <c r="P894" s="2">
        <v>-239.33</v>
      </c>
      <c r="Q894" s="2">
        <v>1200</v>
      </c>
      <c r="R894" s="2">
        <v>0</v>
      </c>
      <c r="S894" s="2">
        <v>1200</v>
      </c>
      <c r="T894" s="2">
        <v>1200</v>
      </c>
      <c r="U894" s="2">
        <v>0</v>
      </c>
      <c r="V894" s="2">
        <v>0</v>
      </c>
      <c r="W894" s="2">
        <v>0</v>
      </c>
    </row>
    <row r="895" spans="1:23" outlineLevel="2" x14ac:dyDescent="0.2">
      <c r="A895" t="s">
        <v>0</v>
      </c>
      <c r="B895" t="s">
        <v>39</v>
      </c>
      <c r="C895" t="s">
        <v>66</v>
      </c>
      <c r="D895" t="s">
        <v>121</v>
      </c>
      <c r="E895" t="s">
        <v>122</v>
      </c>
      <c r="F895" t="s">
        <v>5</v>
      </c>
      <c r="G895" t="s">
        <v>6</v>
      </c>
      <c r="H895" t="s">
        <v>35</v>
      </c>
      <c r="I895" t="s">
        <v>36</v>
      </c>
      <c r="J895" t="s">
        <v>9</v>
      </c>
      <c r="K895" t="s">
        <v>318</v>
      </c>
      <c r="L895" t="s">
        <v>327</v>
      </c>
      <c r="M895" t="s">
        <v>15</v>
      </c>
      <c r="N895" s="2">
        <v>3542.65</v>
      </c>
      <c r="O895" s="2">
        <v>1430</v>
      </c>
      <c r="P895" s="2">
        <v>-0.4</v>
      </c>
      <c r="Q895" s="2">
        <v>4972.25</v>
      </c>
      <c r="R895" s="2">
        <v>0</v>
      </c>
      <c r="S895" s="2">
        <v>4972.25</v>
      </c>
      <c r="T895" s="2">
        <v>4972.25</v>
      </c>
      <c r="U895" s="2">
        <v>0</v>
      </c>
      <c r="V895" s="2">
        <v>0</v>
      </c>
      <c r="W895" s="2">
        <v>0</v>
      </c>
    </row>
    <row r="896" spans="1:23" outlineLevel="2" x14ac:dyDescent="0.2">
      <c r="A896" t="s">
        <v>0</v>
      </c>
      <c r="B896" t="s">
        <v>1</v>
      </c>
      <c r="C896" t="s">
        <v>91</v>
      </c>
      <c r="D896" t="s">
        <v>92</v>
      </c>
      <c r="E896" t="s">
        <v>93</v>
      </c>
      <c r="F896" t="s">
        <v>5</v>
      </c>
      <c r="G896" t="s">
        <v>6</v>
      </c>
      <c r="H896" t="s">
        <v>35</v>
      </c>
      <c r="I896" t="s">
        <v>36</v>
      </c>
      <c r="J896" t="s">
        <v>9</v>
      </c>
      <c r="K896" t="s">
        <v>318</v>
      </c>
      <c r="L896" t="s">
        <v>321</v>
      </c>
      <c r="M896" t="s">
        <v>15</v>
      </c>
      <c r="N896" s="2">
        <v>2459.2399999999998</v>
      </c>
      <c r="O896" s="2">
        <v>11601.24</v>
      </c>
      <c r="P896" s="2">
        <v>-7978.59</v>
      </c>
      <c r="Q896" s="2">
        <v>6081.89</v>
      </c>
      <c r="R896" s="2">
        <v>0</v>
      </c>
      <c r="S896" s="2">
        <v>6081.89</v>
      </c>
      <c r="T896" s="2">
        <v>6081.89</v>
      </c>
      <c r="U896" s="2">
        <v>0</v>
      </c>
      <c r="V896" s="2">
        <v>0</v>
      </c>
      <c r="W896" s="2">
        <v>0</v>
      </c>
    </row>
    <row r="897" spans="1:23" outlineLevel="2" x14ac:dyDescent="0.2">
      <c r="A897" t="s">
        <v>0</v>
      </c>
      <c r="B897" t="s">
        <v>39</v>
      </c>
      <c r="C897" t="s">
        <v>40</v>
      </c>
      <c r="D897" t="s">
        <v>41</v>
      </c>
      <c r="E897" t="s">
        <v>42</v>
      </c>
      <c r="F897" t="s">
        <v>5</v>
      </c>
      <c r="G897" t="s">
        <v>6</v>
      </c>
      <c r="H897" t="s">
        <v>35</v>
      </c>
      <c r="I897" t="s">
        <v>36</v>
      </c>
      <c r="J897" t="s">
        <v>9</v>
      </c>
      <c r="K897" t="s">
        <v>318</v>
      </c>
      <c r="L897" t="s">
        <v>328</v>
      </c>
      <c r="M897" t="s">
        <v>15</v>
      </c>
      <c r="N897" s="2">
        <v>4385.5600000000004</v>
      </c>
      <c r="O897" s="2">
        <v>0</v>
      </c>
      <c r="P897" s="2">
        <v>-3910.56</v>
      </c>
      <c r="Q897" s="2">
        <v>475</v>
      </c>
      <c r="R897" s="2">
        <v>0</v>
      </c>
      <c r="S897" s="2">
        <v>475</v>
      </c>
      <c r="T897" s="2">
        <v>475</v>
      </c>
      <c r="U897" s="2">
        <v>0</v>
      </c>
      <c r="V897" s="2">
        <v>0</v>
      </c>
      <c r="W897" s="2">
        <v>0</v>
      </c>
    </row>
    <row r="898" spans="1:23" outlineLevel="2" x14ac:dyDescent="0.2">
      <c r="A898" t="s">
        <v>0</v>
      </c>
      <c r="B898" t="s">
        <v>1</v>
      </c>
      <c r="C898" t="s">
        <v>2</v>
      </c>
      <c r="D898" t="s">
        <v>3</v>
      </c>
      <c r="E898" t="s">
        <v>4</v>
      </c>
      <c r="F898" t="s">
        <v>5</v>
      </c>
      <c r="G898" t="s">
        <v>6</v>
      </c>
      <c r="H898" t="s">
        <v>35</v>
      </c>
      <c r="I898" t="s">
        <v>36</v>
      </c>
      <c r="J898" t="s">
        <v>9</v>
      </c>
      <c r="K898" t="s">
        <v>318</v>
      </c>
      <c r="L898" t="s">
        <v>329</v>
      </c>
      <c r="M898" t="s">
        <v>15</v>
      </c>
      <c r="N898" s="2">
        <v>16920.57</v>
      </c>
      <c r="O898" s="2">
        <v>-1500</v>
      </c>
      <c r="P898" s="2">
        <v>-12994.6</v>
      </c>
      <c r="Q898" s="2">
        <v>2425.9699999999998</v>
      </c>
      <c r="R898" s="2">
        <v>0</v>
      </c>
      <c r="S898" s="2">
        <v>2425.9699999999998</v>
      </c>
      <c r="T898" s="2">
        <v>2425.9699999999998</v>
      </c>
      <c r="U898" s="2">
        <v>0</v>
      </c>
      <c r="V898" s="2">
        <v>0</v>
      </c>
      <c r="W898" s="2">
        <v>0</v>
      </c>
    </row>
    <row r="899" spans="1:23" outlineLevel="2" x14ac:dyDescent="0.2">
      <c r="A899" t="s">
        <v>0</v>
      </c>
      <c r="B899" t="s">
        <v>1</v>
      </c>
      <c r="C899" t="s">
        <v>44</v>
      </c>
      <c r="D899" t="s">
        <v>45</v>
      </c>
      <c r="E899" t="s">
        <v>46</v>
      </c>
      <c r="F899" t="s">
        <v>5</v>
      </c>
      <c r="G899" t="s">
        <v>6</v>
      </c>
      <c r="H899" t="s">
        <v>35</v>
      </c>
      <c r="I899" t="s">
        <v>36</v>
      </c>
      <c r="J899" t="s">
        <v>9</v>
      </c>
      <c r="K899" t="s">
        <v>318</v>
      </c>
      <c r="L899" t="s">
        <v>330</v>
      </c>
      <c r="M899" t="s">
        <v>15</v>
      </c>
      <c r="N899" s="2">
        <v>7048.22</v>
      </c>
      <c r="O899" s="2">
        <v>0</v>
      </c>
      <c r="P899" s="2">
        <v>-6754.22</v>
      </c>
      <c r="Q899" s="2">
        <v>294</v>
      </c>
      <c r="R899" s="2">
        <v>0</v>
      </c>
      <c r="S899" s="2">
        <v>294</v>
      </c>
      <c r="T899" s="2">
        <v>294</v>
      </c>
      <c r="U899" s="2">
        <v>0</v>
      </c>
      <c r="V899" s="2">
        <v>0</v>
      </c>
      <c r="W899" s="2">
        <v>0</v>
      </c>
    </row>
    <row r="900" spans="1:23" outlineLevel="2" x14ac:dyDescent="0.2">
      <c r="A900" t="s">
        <v>0</v>
      </c>
      <c r="B900" t="s">
        <v>1</v>
      </c>
      <c r="C900" t="s">
        <v>2</v>
      </c>
      <c r="D900" t="s">
        <v>20</v>
      </c>
      <c r="E900" t="s">
        <v>21</v>
      </c>
      <c r="F900" t="s">
        <v>5</v>
      </c>
      <c r="G900" t="s">
        <v>6</v>
      </c>
      <c r="H900" t="s">
        <v>35</v>
      </c>
      <c r="I900" t="s">
        <v>36</v>
      </c>
      <c r="J900" t="s">
        <v>9</v>
      </c>
      <c r="K900" t="s">
        <v>318</v>
      </c>
      <c r="L900" t="s">
        <v>329</v>
      </c>
      <c r="M900" t="s">
        <v>15</v>
      </c>
      <c r="N900" s="2">
        <v>22647.1</v>
      </c>
      <c r="O900" s="2">
        <v>12595</v>
      </c>
      <c r="P900" s="2">
        <v>-10866.66</v>
      </c>
      <c r="Q900" s="2">
        <v>24375.439999999999</v>
      </c>
      <c r="R900" s="2">
        <v>0</v>
      </c>
      <c r="S900" s="2">
        <v>24375.439999999999</v>
      </c>
      <c r="T900" s="2">
        <v>24375.439999999999</v>
      </c>
      <c r="U900" s="2">
        <v>0</v>
      </c>
      <c r="V900" s="2">
        <v>0</v>
      </c>
      <c r="W900" s="2">
        <v>0</v>
      </c>
    </row>
    <row r="901" spans="1:23" outlineLevel="2" x14ac:dyDescent="0.2">
      <c r="A901" t="s">
        <v>0</v>
      </c>
      <c r="B901" t="s">
        <v>39</v>
      </c>
      <c r="C901" t="s">
        <v>66</v>
      </c>
      <c r="D901" t="s">
        <v>67</v>
      </c>
      <c r="E901" t="s">
        <v>68</v>
      </c>
      <c r="F901" t="s">
        <v>5</v>
      </c>
      <c r="G901" t="s">
        <v>6</v>
      </c>
      <c r="H901" t="s">
        <v>35</v>
      </c>
      <c r="I901" t="s">
        <v>36</v>
      </c>
      <c r="J901" t="s">
        <v>9</v>
      </c>
      <c r="K901" t="s">
        <v>318</v>
      </c>
      <c r="L901" t="s">
        <v>327</v>
      </c>
      <c r="M901" t="s">
        <v>15</v>
      </c>
      <c r="N901" s="2">
        <v>6034.04</v>
      </c>
      <c r="O901" s="2">
        <v>-2758.93</v>
      </c>
      <c r="P901" s="2">
        <v>-2758.94</v>
      </c>
      <c r="Q901" s="2">
        <v>516.16999999999996</v>
      </c>
      <c r="R901" s="2">
        <v>0</v>
      </c>
      <c r="S901" s="2">
        <v>516.16999999999996</v>
      </c>
      <c r="T901" s="2">
        <v>516.16999999999996</v>
      </c>
      <c r="U901" s="2">
        <v>0</v>
      </c>
      <c r="V901" s="2">
        <v>0</v>
      </c>
      <c r="W901" s="2">
        <v>0</v>
      </c>
    </row>
    <row r="902" spans="1:23" outlineLevel="2" x14ac:dyDescent="0.2">
      <c r="A902" t="s">
        <v>0</v>
      </c>
      <c r="B902" t="s">
        <v>39</v>
      </c>
      <c r="C902" t="s">
        <v>40</v>
      </c>
      <c r="D902" t="s">
        <v>77</v>
      </c>
      <c r="E902" t="s">
        <v>78</v>
      </c>
      <c r="F902" t="s">
        <v>5</v>
      </c>
      <c r="G902" t="s">
        <v>6</v>
      </c>
      <c r="H902" t="s">
        <v>35</v>
      </c>
      <c r="I902" t="s">
        <v>36</v>
      </c>
      <c r="J902" t="s">
        <v>9</v>
      </c>
      <c r="K902" t="s">
        <v>318</v>
      </c>
      <c r="L902" t="s">
        <v>328</v>
      </c>
      <c r="M902" t="s">
        <v>15</v>
      </c>
      <c r="N902" s="2">
        <v>36799.160000000003</v>
      </c>
      <c r="O902" s="2">
        <v>0</v>
      </c>
      <c r="P902" s="2">
        <v>-32136.560000000001</v>
      </c>
      <c r="Q902" s="2">
        <v>4662.6000000000004</v>
      </c>
      <c r="R902" s="2">
        <v>0</v>
      </c>
      <c r="S902" s="2">
        <v>4662.6000000000004</v>
      </c>
      <c r="T902" s="2">
        <v>4662.6000000000004</v>
      </c>
      <c r="U902" s="2">
        <v>0</v>
      </c>
      <c r="V902" s="2">
        <v>0</v>
      </c>
      <c r="W902" s="2">
        <v>0</v>
      </c>
    </row>
    <row r="903" spans="1:23" outlineLevel="2" x14ac:dyDescent="0.2">
      <c r="A903" t="s">
        <v>0</v>
      </c>
      <c r="B903" t="s">
        <v>1</v>
      </c>
      <c r="C903" t="s">
        <v>16</v>
      </c>
      <c r="D903" t="s">
        <v>62</v>
      </c>
      <c r="E903" t="s">
        <v>63</v>
      </c>
      <c r="F903" t="s">
        <v>5</v>
      </c>
      <c r="G903" t="s">
        <v>6</v>
      </c>
      <c r="H903" t="s">
        <v>35</v>
      </c>
      <c r="I903" t="s">
        <v>36</v>
      </c>
      <c r="J903" t="s">
        <v>9</v>
      </c>
      <c r="K903" t="s">
        <v>318</v>
      </c>
      <c r="L903" t="s">
        <v>326</v>
      </c>
      <c r="M903" t="s">
        <v>15</v>
      </c>
      <c r="N903" s="2">
        <v>1765.1</v>
      </c>
      <c r="O903" s="2">
        <v>0</v>
      </c>
      <c r="P903" s="2">
        <v>-1731.77</v>
      </c>
      <c r="Q903" s="2">
        <v>33.33</v>
      </c>
      <c r="R903" s="2">
        <v>0</v>
      </c>
      <c r="S903" s="2">
        <v>33.33</v>
      </c>
      <c r="T903" s="2">
        <v>33.33</v>
      </c>
      <c r="U903" s="2">
        <v>0</v>
      </c>
      <c r="V903" s="2">
        <v>0</v>
      </c>
      <c r="W903" s="2">
        <v>0</v>
      </c>
    </row>
    <row r="904" spans="1:23" outlineLevel="2" x14ac:dyDescent="0.2">
      <c r="A904" t="s">
        <v>0</v>
      </c>
      <c r="B904" t="s">
        <v>1</v>
      </c>
      <c r="C904" t="s">
        <v>16</v>
      </c>
      <c r="D904" t="s">
        <v>17</v>
      </c>
      <c r="E904" t="s">
        <v>18</v>
      </c>
      <c r="F904" t="s">
        <v>5</v>
      </c>
      <c r="G904" t="s">
        <v>6</v>
      </c>
      <c r="H904" t="s">
        <v>35</v>
      </c>
      <c r="I904" t="s">
        <v>36</v>
      </c>
      <c r="J904" t="s">
        <v>9</v>
      </c>
      <c r="K904" t="s">
        <v>318</v>
      </c>
      <c r="L904" t="s">
        <v>326</v>
      </c>
      <c r="M904" t="s">
        <v>15</v>
      </c>
      <c r="N904" s="2">
        <v>5240.82</v>
      </c>
      <c r="O904" s="2">
        <v>4431</v>
      </c>
      <c r="P904" s="2">
        <v>-0.82</v>
      </c>
      <c r="Q904" s="2">
        <v>9671</v>
      </c>
      <c r="R904" s="2">
        <v>0</v>
      </c>
      <c r="S904" s="2">
        <v>9671</v>
      </c>
      <c r="T904" s="2">
        <v>9671</v>
      </c>
      <c r="U904" s="2">
        <v>0</v>
      </c>
      <c r="V904" s="2">
        <v>0</v>
      </c>
      <c r="W904" s="2">
        <v>0</v>
      </c>
    </row>
    <row r="905" spans="1:23" outlineLevel="2" x14ac:dyDescent="0.2">
      <c r="A905" t="s">
        <v>0</v>
      </c>
      <c r="B905" t="s">
        <v>39</v>
      </c>
      <c r="C905" t="s">
        <v>58</v>
      </c>
      <c r="D905" t="s">
        <v>139</v>
      </c>
      <c r="E905" t="s">
        <v>140</v>
      </c>
      <c r="F905" t="s">
        <v>5</v>
      </c>
      <c r="G905" t="s">
        <v>6</v>
      </c>
      <c r="H905" t="s">
        <v>35</v>
      </c>
      <c r="I905" t="s">
        <v>36</v>
      </c>
      <c r="J905" t="s">
        <v>9</v>
      </c>
      <c r="K905" t="s">
        <v>318</v>
      </c>
      <c r="L905" t="s">
        <v>325</v>
      </c>
      <c r="M905" t="s">
        <v>15</v>
      </c>
      <c r="N905" s="2">
        <v>8830.42</v>
      </c>
      <c r="O905" s="2">
        <v>0</v>
      </c>
      <c r="P905" s="2">
        <v>-8073.55</v>
      </c>
      <c r="Q905" s="2">
        <v>756.87</v>
      </c>
      <c r="R905" s="2">
        <v>0</v>
      </c>
      <c r="S905" s="2">
        <v>756.87</v>
      </c>
      <c r="T905" s="2">
        <v>756.87</v>
      </c>
      <c r="U905" s="2">
        <v>0</v>
      </c>
      <c r="V905" s="2">
        <v>0</v>
      </c>
      <c r="W905" s="2">
        <v>0</v>
      </c>
    </row>
    <row r="906" spans="1:23" outlineLevel="2" x14ac:dyDescent="0.2">
      <c r="A906" t="s">
        <v>0</v>
      </c>
      <c r="B906" t="s">
        <v>39</v>
      </c>
      <c r="C906" t="s">
        <v>58</v>
      </c>
      <c r="D906" t="s">
        <v>149</v>
      </c>
      <c r="E906" t="s">
        <v>150</v>
      </c>
      <c r="F906" t="s">
        <v>5</v>
      </c>
      <c r="G906" t="s">
        <v>6</v>
      </c>
      <c r="H906" t="s">
        <v>35</v>
      </c>
      <c r="I906" t="s">
        <v>36</v>
      </c>
      <c r="J906" t="s">
        <v>9</v>
      </c>
      <c r="K906" t="s">
        <v>318</v>
      </c>
      <c r="L906" t="s">
        <v>325</v>
      </c>
      <c r="M906" t="s">
        <v>15</v>
      </c>
      <c r="N906" s="2">
        <v>4121.46</v>
      </c>
      <c r="O906" s="2">
        <v>848.01</v>
      </c>
      <c r="P906" s="2">
        <v>0</v>
      </c>
      <c r="Q906" s="2">
        <v>4969.47</v>
      </c>
      <c r="R906" s="2">
        <v>0</v>
      </c>
      <c r="S906" s="2">
        <v>4969.47</v>
      </c>
      <c r="T906" s="2">
        <v>4969.47</v>
      </c>
      <c r="U906" s="2">
        <v>0</v>
      </c>
      <c r="V906" s="2">
        <v>0</v>
      </c>
      <c r="W906" s="2">
        <v>0</v>
      </c>
    </row>
    <row r="907" spans="1:23" outlineLevel="2" x14ac:dyDescent="0.2">
      <c r="A907" t="s">
        <v>0</v>
      </c>
      <c r="B907" t="s">
        <v>39</v>
      </c>
      <c r="C907" t="s">
        <v>58</v>
      </c>
      <c r="D907" t="s">
        <v>145</v>
      </c>
      <c r="E907" t="s">
        <v>146</v>
      </c>
      <c r="F907" t="s">
        <v>5</v>
      </c>
      <c r="G907" t="s">
        <v>6</v>
      </c>
      <c r="H907" t="s">
        <v>35</v>
      </c>
      <c r="I907" t="s">
        <v>36</v>
      </c>
      <c r="J907" t="s">
        <v>9</v>
      </c>
      <c r="K907" t="s">
        <v>318</v>
      </c>
      <c r="L907" t="s">
        <v>325</v>
      </c>
      <c r="M907" t="s">
        <v>15</v>
      </c>
      <c r="N907" s="2">
        <v>3779.56</v>
      </c>
      <c r="O907" s="2">
        <v>0</v>
      </c>
      <c r="P907" s="2">
        <v>-3016.86</v>
      </c>
      <c r="Q907" s="2">
        <v>762.7</v>
      </c>
      <c r="R907" s="2">
        <v>0</v>
      </c>
      <c r="S907" s="2">
        <v>762.7</v>
      </c>
      <c r="T907" s="2">
        <v>762.7</v>
      </c>
      <c r="U907" s="2">
        <v>0</v>
      </c>
      <c r="V907" s="2">
        <v>0</v>
      </c>
      <c r="W907" s="2">
        <v>0</v>
      </c>
    </row>
    <row r="908" spans="1:23" outlineLevel="2" x14ac:dyDescent="0.2">
      <c r="A908" t="s">
        <v>0</v>
      </c>
      <c r="B908" t="s">
        <v>39</v>
      </c>
      <c r="C908" t="s">
        <v>58</v>
      </c>
      <c r="D908" t="s">
        <v>147</v>
      </c>
      <c r="E908" t="s">
        <v>148</v>
      </c>
      <c r="F908" t="s">
        <v>5</v>
      </c>
      <c r="G908" t="s">
        <v>6</v>
      </c>
      <c r="H908" t="s">
        <v>35</v>
      </c>
      <c r="I908" t="s">
        <v>36</v>
      </c>
      <c r="J908" t="s">
        <v>9</v>
      </c>
      <c r="K908" t="s">
        <v>318</v>
      </c>
      <c r="L908" t="s">
        <v>325</v>
      </c>
      <c r="M908" t="s">
        <v>15</v>
      </c>
      <c r="N908" s="2">
        <v>6222.72</v>
      </c>
      <c r="O908" s="2">
        <v>0</v>
      </c>
      <c r="P908" s="2">
        <v>-1100.42</v>
      </c>
      <c r="Q908" s="2">
        <v>5122.3</v>
      </c>
      <c r="R908" s="2">
        <v>0</v>
      </c>
      <c r="S908" s="2">
        <v>5122.3</v>
      </c>
      <c r="T908" s="2">
        <v>5122.3</v>
      </c>
      <c r="U908" s="2">
        <v>0</v>
      </c>
      <c r="V908" s="2">
        <v>0</v>
      </c>
      <c r="W908" s="2">
        <v>0</v>
      </c>
    </row>
    <row r="909" spans="1:23" outlineLevel="2" x14ac:dyDescent="0.2">
      <c r="A909" t="s">
        <v>0</v>
      </c>
      <c r="B909" t="s">
        <v>39</v>
      </c>
      <c r="C909" t="s">
        <v>58</v>
      </c>
      <c r="D909" t="s">
        <v>137</v>
      </c>
      <c r="E909" t="s">
        <v>138</v>
      </c>
      <c r="F909" t="s">
        <v>5</v>
      </c>
      <c r="G909" t="s">
        <v>6</v>
      </c>
      <c r="H909" t="s">
        <v>35</v>
      </c>
      <c r="I909" t="s">
        <v>36</v>
      </c>
      <c r="J909" t="s">
        <v>9</v>
      </c>
      <c r="K909" t="s">
        <v>318</v>
      </c>
      <c r="L909" t="s">
        <v>325</v>
      </c>
      <c r="M909" t="s">
        <v>15</v>
      </c>
      <c r="N909" s="2">
        <v>3027.59</v>
      </c>
      <c r="O909" s="2">
        <v>1056</v>
      </c>
      <c r="P909" s="2">
        <v>-1150.72</v>
      </c>
      <c r="Q909" s="2">
        <v>2932.87</v>
      </c>
      <c r="R909" s="2">
        <v>0</v>
      </c>
      <c r="S909" s="2">
        <v>2932.87</v>
      </c>
      <c r="T909" s="2">
        <v>2932.87</v>
      </c>
      <c r="U909" s="2">
        <v>0</v>
      </c>
      <c r="V909" s="2">
        <v>0</v>
      </c>
      <c r="W909" s="2">
        <v>0</v>
      </c>
    </row>
    <row r="910" spans="1:23" outlineLevel="2" x14ac:dyDescent="0.2">
      <c r="A910" t="s">
        <v>0</v>
      </c>
      <c r="B910" t="s">
        <v>39</v>
      </c>
      <c r="C910" t="s">
        <v>58</v>
      </c>
      <c r="D910" t="s">
        <v>135</v>
      </c>
      <c r="E910" t="s">
        <v>136</v>
      </c>
      <c r="F910" t="s">
        <v>5</v>
      </c>
      <c r="G910" t="s">
        <v>6</v>
      </c>
      <c r="H910" t="s">
        <v>35</v>
      </c>
      <c r="I910" t="s">
        <v>36</v>
      </c>
      <c r="J910" t="s">
        <v>9</v>
      </c>
      <c r="K910" t="s">
        <v>318</v>
      </c>
      <c r="L910" t="s">
        <v>325</v>
      </c>
      <c r="M910" t="s">
        <v>15</v>
      </c>
      <c r="N910" s="2">
        <v>6150.4</v>
      </c>
      <c r="O910" s="2">
        <v>0</v>
      </c>
      <c r="P910" s="2">
        <v>-4535.07</v>
      </c>
      <c r="Q910" s="2">
        <v>1615.33</v>
      </c>
      <c r="R910" s="2">
        <v>0</v>
      </c>
      <c r="S910" s="2">
        <v>1615.33</v>
      </c>
      <c r="T910" s="2">
        <v>1615.33</v>
      </c>
      <c r="U910" s="2">
        <v>0</v>
      </c>
      <c r="V910" s="2">
        <v>0</v>
      </c>
      <c r="W910" s="2">
        <v>0</v>
      </c>
    </row>
    <row r="911" spans="1:23" outlineLevel="2" x14ac:dyDescent="0.2">
      <c r="A911" t="s">
        <v>0</v>
      </c>
      <c r="B911" t="s">
        <v>39</v>
      </c>
      <c r="C911" t="s">
        <v>95</v>
      </c>
      <c r="D911" t="s">
        <v>96</v>
      </c>
      <c r="E911" t="s">
        <v>97</v>
      </c>
      <c r="F911" t="s">
        <v>5</v>
      </c>
      <c r="G911" t="s">
        <v>6</v>
      </c>
      <c r="H911" t="s">
        <v>35</v>
      </c>
      <c r="I911" t="s">
        <v>36</v>
      </c>
      <c r="J911" t="s">
        <v>9</v>
      </c>
      <c r="K911" t="s">
        <v>318</v>
      </c>
      <c r="L911" t="s">
        <v>331</v>
      </c>
      <c r="M911" t="s">
        <v>15</v>
      </c>
      <c r="N911" s="2">
        <v>3663.04</v>
      </c>
      <c r="O911" s="2">
        <v>0</v>
      </c>
      <c r="P911" s="2">
        <v>-3253.04</v>
      </c>
      <c r="Q911" s="2">
        <v>410</v>
      </c>
      <c r="R911" s="2">
        <v>0</v>
      </c>
      <c r="S911" s="2">
        <v>410</v>
      </c>
      <c r="T911" s="2">
        <v>410</v>
      </c>
      <c r="U911" s="2">
        <v>0</v>
      </c>
      <c r="V911" s="2">
        <v>0</v>
      </c>
      <c r="W911" s="2">
        <v>0</v>
      </c>
    </row>
    <row r="912" spans="1:23" outlineLevel="2" x14ac:dyDescent="0.2">
      <c r="A912" t="s">
        <v>0</v>
      </c>
      <c r="B912" t="s">
        <v>39</v>
      </c>
      <c r="C912" t="s">
        <v>58</v>
      </c>
      <c r="D912" t="s">
        <v>105</v>
      </c>
      <c r="E912" t="s">
        <v>106</v>
      </c>
      <c r="F912" t="s">
        <v>5</v>
      </c>
      <c r="G912" t="s">
        <v>6</v>
      </c>
      <c r="H912" t="s">
        <v>35</v>
      </c>
      <c r="I912" t="s">
        <v>36</v>
      </c>
      <c r="J912" t="s">
        <v>9</v>
      </c>
      <c r="K912" t="s">
        <v>318</v>
      </c>
      <c r="L912" t="s">
        <v>325</v>
      </c>
      <c r="M912" t="s">
        <v>15</v>
      </c>
      <c r="N912" s="2">
        <v>12953.1</v>
      </c>
      <c r="O912" s="2">
        <v>0</v>
      </c>
      <c r="P912" s="2">
        <v>-12713.1</v>
      </c>
      <c r="Q912" s="2">
        <v>240</v>
      </c>
      <c r="R912" s="2">
        <v>0</v>
      </c>
      <c r="S912" s="2">
        <v>240</v>
      </c>
      <c r="T912" s="2">
        <v>240</v>
      </c>
      <c r="U912" s="2">
        <v>0</v>
      </c>
      <c r="V912" s="2">
        <v>0</v>
      </c>
      <c r="W912" s="2">
        <v>0</v>
      </c>
    </row>
    <row r="913" spans="1:23" outlineLevel="2" x14ac:dyDescent="0.2">
      <c r="A913" t="s">
        <v>0</v>
      </c>
      <c r="B913" t="s">
        <v>53</v>
      </c>
      <c r="C913" t="s">
        <v>54</v>
      </c>
      <c r="D913" t="s">
        <v>55</v>
      </c>
      <c r="E913" t="s">
        <v>56</v>
      </c>
      <c r="F913" t="s">
        <v>5</v>
      </c>
      <c r="G913" t="s">
        <v>6</v>
      </c>
      <c r="H913" t="s">
        <v>35</v>
      </c>
      <c r="I913" t="s">
        <v>36</v>
      </c>
      <c r="J913" t="s">
        <v>9</v>
      </c>
      <c r="K913" t="s">
        <v>318</v>
      </c>
      <c r="L913" t="s">
        <v>332</v>
      </c>
      <c r="M913" t="s">
        <v>15</v>
      </c>
      <c r="N913" s="2">
        <v>2459.2399999999998</v>
      </c>
      <c r="O913" s="2">
        <v>0</v>
      </c>
      <c r="P913" s="2">
        <v>-2090.91</v>
      </c>
      <c r="Q913" s="2">
        <v>368.33</v>
      </c>
      <c r="R913" s="2">
        <v>0</v>
      </c>
      <c r="S913" s="2">
        <v>368.33</v>
      </c>
      <c r="T913" s="2">
        <v>368.33</v>
      </c>
      <c r="U913" s="2">
        <v>0</v>
      </c>
      <c r="V913" s="2">
        <v>0</v>
      </c>
      <c r="W913" s="2">
        <v>0</v>
      </c>
    </row>
    <row r="914" spans="1:23" outlineLevel="2" x14ac:dyDescent="0.2">
      <c r="A914" t="s">
        <v>0</v>
      </c>
      <c r="B914" t="s">
        <v>39</v>
      </c>
      <c r="C914" t="s">
        <v>58</v>
      </c>
      <c r="D914" t="s">
        <v>129</v>
      </c>
      <c r="E914" t="s">
        <v>130</v>
      </c>
      <c r="F914" t="s">
        <v>5</v>
      </c>
      <c r="G914" t="s">
        <v>6</v>
      </c>
      <c r="H914" t="s">
        <v>35</v>
      </c>
      <c r="I914" t="s">
        <v>36</v>
      </c>
      <c r="J914" t="s">
        <v>9</v>
      </c>
      <c r="K914" t="s">
        <v>318</v>
      </c>
      <c r="L914" t="s">
        <v>325</v>
      </c>
      <c r="M914" t="s">
        <v>15</v>
      </c>
      <c r="N914" s="2">
        <v>6704.68</v>
      </c>
      <c r="O914" s="2">
        <v>0</v>
      </c>
      <c r="P914" s="2">
        <v>-5973.68</v>
      </c>
      <c r="Q914" s="2">
        <v>731</v>
      </c>
      <c r="R914" s="2">
        <v>0</v>
      </c>
      <c r="S914" s="2">
        <v>731</v>
      </c>
      <c r="T914" s="2">
        <v>731</v>
      </c>
      <c r="U914" s="2">
        <v>0</v>
      </c>
      <c r="V914" s="2">
        <v>0</v>
      </c>
      <c r="W914" s="2">
        <v>0</v>
      </c>
    </row>
    <row r="915" spans="1:23" outlineLevel="2" x14ac:dyDescent="0.2">
      <c r="A915" t="s">
        <v>0</v>
      </c>
      <c r="B915" t="s">
        <v>1</v>
      </c>
      <c r="C915" t="s">
        <v>2</v>
      </c>
      <c r="D915" t="s">
        <v>20</v>
      </c>
      <c r="E915" t="s">
        <v>21</v>
      </c>
      <c r="F915" t="s">
        <v>5</v>
      </c>
      <c r="G915" t="s">
        <v>6</v>
      </c>
      <c r="H915" t="s">
        <v>35</v>
      </c>
      <c r="I915" t="s">
        <v>36</v>
      </c>
      <c r="J915" t="s">
        <v>9</v>
      </c>
      <c r="K915" t="s">
        <v>318</v>
      </c>
      <c r="L915" t="s">
        <v>329</v>
      </c>
      <c r="M915" t="s">
        <v>12</v>
      </c>
      <c r="N915" s="2">
        <v>0</v>
      </c>
      <c r="O915" s="2">
        <v>0</v>
      </c>
      <c r="P915" s="2">
        <v>5780.29</v>
      </c>
      <c r="Q915" s="2">
        <v>5780.29</v>
      </c>
      <c r="R915" s="2">
        <v>0</v>
      </c>
      <c r="S915" s="2">
        <v>2443.5</v>
      </c>
      <c r="T915" s="2">
        <v>2443.5</v>
      </c>
      <c r="U915" s="2">
        <v>3336.79</v>
      </c>
      <c r="V915" s="2">
        <v>3336.79</v>
      </c>
      <c r="W915" s="2">
        <v>3336.79</v>
      </c>
    </row>
    <row r="916" spans="1:23" outlineLevel="2" x14ac:dyDescent="0.2">
      <c r="A916" t="s">
        <v>0</v>
      </c>
      <c r="B916" t="s">
        <v>39</v>
      </c>
      <c r="C916" t="s">
        <v>58</v>
      </c>
      <c r="D916" t="s">
        <v>59</v>
      </c>
      <c r="E916" t="s">
        <v>60</v>
      </c>
      <c r="F916" t="s">
        <v>5</v>
      </c>
      <c r="G916" t="s">
        <v>6</v>
      </c>
      <c r="H916" t="s">
        <v>35</v>
      </c>
      <c r="I916" t="s">
        <v>36</v>
      </c>
      <c r="J916" t="s">
        <v>9</v>
      </c>
      <c r="K916" t="s">
        <v>318</v>
      </c>
      <c r="L916" t="s">
        <v>325</v>
      </c>
      <c r="M916" t="s">
        <v>15</v>
      </c>
      <c r="N916" s="2">
        <v>3422.36</v>
      </c>
      <c r="O916" s="2">
        <v>0</v>
      </c>
      <c r="P916" s="2">
        <v>-3422.36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</row>
    <row r="917" spans="1:23" outlineLevel="2" x14ac:dyDescent="0.2">
      <c r="A917" t="s">
        <v>0</v>
      </c>
      <c r="B917" t="s">
        <v>31</v>
      </c>
      <c r="C917" t="s">
        <v>79</v>
      </c>
      <c r="D917" t="s">
        <v>131</v>
      </c>
      <c r="E917" t="s">
        <v>132</v>
      </c>
      <c r="F917" t="s">
        <v>5</v>
      </c>
      <c r="G917" t="s">
        <v>6</v>
      </c>
      <c r="H917" t="s">
        <v>35</v>
      </c>
      <c r="I917" t="s">
        <v>36</v>
      </c>
      <c r="J917" t="s">
        <v>9</v>
      </c>
      <c r="K917" t="s">
        <v>318</v>
      </c>
      <c r="L917" t="s">
        <v>333</v>
      </c>
      <c r="M917" t="s">
        <v>12</v>
      </c>
      <c r="N917" s="2">
        <v>0</v>
      </c>
      <c r="O917" s="2">
        <v>0</v>
      </c>
      <c r="P917" s="2">
        <v>687.4</v>
      </c>
      <c r="Q917" s="2">
        <v>687.4</v>
      </c>
      <c r="R917" s="2">
        <v>0</v>
      </c>
      <c r="S917" s="2">
        <v>0</v>
      </c>
      <c r="T917" s="2">
        <v>0</v>
      </c>
      <c r="U917" s="2">
        <v>687.4</v>
      </c>
      <c r="V917" s="2">
        <v>687.4</v>
      </c>
      <c r="W917" s="2">
        <v>687.4</v>
      </c>
    </row>
    <row r="918" spans="1:23" outlineLevel="2" x14ac:dyDescent="0.2">
      <c r="A918" t="s">
        <v>0</v>
      </c>
      <c r="B918" t="s">
        <v>31</v>
      </c>
      <c r="C918" t="s">
        <v>79</v>
      </c>
      <c r="D918" t="s">
        <v>133</v>
      </c>
      <c r="E918" t="s">
        <v>134</v>
      </c>
      <c r="F918" t="s">
        <v>5</v>
      </c>
      <c r="G918" t="s">
        <v>6</v>
      </c>
      <c r="H918" t="s">
        <v>35</v>
      </c>
      <c r="I918" t="s">
        <v>36</v>
      </c>
      <c r="J918" t="s">
        <v>9</v>
      </c>
      <c r="K918" t="s">
        <v>318</v>
      </c>
      <c r="L918" t="s">
        <v>333</v>
      </c>
      <c r="M918" t="s">
        <v>12</v>
      </c>
      <c r="N918" s="2">
        <v>0</v>
      </c>
      <c r="O918" s="2">
        <v>0</v>
      </c>
      <c r="P918" s="2">
        <v>952.65</v>
      </c>
      <c r="Q918" s="2">
        <v>952.65</v>
      </c>
      <c r="R918" s="2">
        <v>0</v>
      </c>
      <c r="S918" s="2">
        <v>0</v>
      </c>
      <c r="T918" s="2">
        <v>0</v>
      </c>
      <c r="U918" s="2">
        <v>952.65</v>
      </c>
      <c r="V918" s="2">
        <v>952.65</v>
      </c>
      <c r="W918" s="2">
        <v>952.65</v>
      </c>
    </row>
    <row r="919" spans="1:23" outlineLevel="2" x14ac:dyDescent="0.2">
      <c r="A919" t="s">
        <v>0</v>
      </c>
      <c r="B919" t="s">
        <v>39</v>
      </c>
      <c r="C919" t="s">
        <v>40</v>
      </c>
      <c r="D919" t="s">
        <v>41</v>
      </c>
      <c r="E919" t="s">
        <v>42</v>
      </c>
      <c r="F919" t="s">
        <v>5</v>
      </c>
      <c r="G919" t="s">
        <v>6</v>
      </c>
      <c r="H919" t="s">
        <v>35</v>
      </c>
      <c r="I919" t="s">
        <v>36</v>
      </c>
      <c r="J919" t="s">
        <v>9</v>
      </c>
      <c r="K919" t="s">
        <v>318</v>
      </c>
      <c r="L919" t="s">
        <v>328</v>
      </c>
      <c r="M919" t="s">
        <v>12</v>
      </c>
      <c r="N919" s="2">
        <v>0</v>
      </c>
      <c r="O919" s="2">
        <v>0</v>
      </c>
      <c r="P919" s="2">
        <v>1876.11</v>
      </c>
      <c r="Q919" s="2">
        <v>1876.11</v>
      </c>
      <c r="R919" s="2">
        <v>0</v>
      </c>
      <c r="S919" s="2">
        <v>0</v>
      </c>
      <c r="T919" s="2">
        <v>0</v>
      </c>
      <c r="U919" s="2">
        <v>1876.11</v>
      </c>
      <c r="V919" s="2">
        <v>1876.11</v>
      </c>
      <c r="W919" s="2">
        <v>1876.11</v>
      </c>
    </row>
    <row r="920" spans="1:23" outlineLevel="2" x14ac:dyDescent="0.2">
      <c r="A920" t="s">
        <v>0</v>
      </c>
      <c r="B920" t="s">
        <v>31</v>
      </c>
      <c r="C920" t="s">
        <v>49</v>
      </c>
      <c r="D920" t="s">
        <v>50</v>
      </c>
      <c r="E920" t="s">
        <v>51</v>
      </c>
      <c r="F920" t="s">
        <v>5</v>
      </c>
      <c r="G920" t="s">
        <v>6</v>
      </c>
      <c r="H920" t="s">
        <v>35</v>
      </c>
      <c r="I920" t="s">
        <v>36</v>
      </c>
      <c r="J920" t="s">
        <v>9</v>
      </c>
      <c r="K920" t="s">
        <v>318</v>
      </c>
      <c r="L920" t="s">
        <v>323</v>
      </c>
      <c r="M920" t="s">
        <v>12</v>
      </c>
      <c r="N920" s="2">
        <v>0</v>
      </c>
      <c r="O920" s="2">
        <v>0</v>
      </c>
      <c r="P920" s="2">
        <v>2350.21</v>
      </c>
      <c r="Q920" s="2">
        <v>2350.21</v>
      </c>
      <c r="R920" s="2">
        <v>0</v>
      </c>
      <c r="S920" s="2">
        <v>0</v>
      </c>
      <c r="T920" s="2">
        <v>0</v>
      </c>
      <c r="U920" s="2">
        <v>2350.21</v>
      </c>
      <c r="V920" s="2">
        <v>2350.21</v>
      </c>
      <c r="W920" s="2">
        <v>2350.21</v>
      </c>
    </row>
    <row r="921" spans="1:23" outlineLevel="2" x14ac:dyDescent="0.2">
      <c r="A921" t="s">
        <v>0</v>
      </c>
      <c r="B921" t="s">
        <v>31</v>
      </c>
      <c r="C921" t="s">
        <v>79</v>
      </c>
      <c r="D921" t="s">
        <v>83</v>
      </c>
      <c r="E921" t="s">
        <v>84</v>
      </c>
      <c r="F921" t="s">
        <v>5</v>
      </c>
      <c r="G921" t="s">
        <v>6</v>
      </c>
      <c r="H921" t="s">
        <v>35</v>
      </c>
      <c r="I921" t="s">
        <v>36</v>
      </c>
      <c r="J921" t="s">
        <v>9</v>
      </c>
      <c r="K921" t="s">
        <v>318</v>
      </c>
      <c r="L921" t="s">
        <v>333</v>
      </c>
      <c r="M921" t="s">
        <v>12</v>
      </c>
      <c r="N921" s="2">
        <v>0</v>
      </c>
      <c r="O921" s="2">
        <v>0</v>
      </c>
      <c r="P921" s="2">
        <v>3601.08</v>
      </c>
      <c r="Q921" s="2">
        <v>3601.08</v>
      </c>
      <c r="R921" s="2">
        <v>0</v>
      </c>
      <c r="S921" s="2">
        <v>0</v>
      </c>
      <c r="T921" s="2">
        <v>0</v>
      </c>
      <c r="U921" s="2">
        <v>3601.08</v>
      </c>
      <c r="V921" s="2">
        <v>3601.08</v>
      </c>
      <c r="W921" s="2">
        <v>3601.08</v>
      </c>
    </row>
    <row r="922" spans="1:23" outlineLevel="2" x14ac:dyDescent="0.2">
      <c r="A922" t="s">
        <v>0</v>
      </c>
      <c r="B922" t="s">
        <v>31</v>
      </c>
      <c r="C922" t="s">
        <v>107</v>
      </c>
      <c r="D922" t="s">
        <v>108</v>
      </c>
      <c r="E922" t="s">
        <v>109</v>
      </c>
      <c r="F922" t="s">
        <v>5</v>
      </c>
      <c r="G922" t="s">
        <v>6</v>
      </c>
      <c r="H922" t="s">
        <v>35</v>
      </c>
      <c r="I922" t="s">
        <v>36</v>
      </c>
      <c r="J922" t="s">
        <v>9</v>
      </c>
      <c r="K922" t="s">
        <v>318</v>
      </c>
      <c r="L922" t="s">
        <v>322</v>
      </c>
      <c r="M922" t="s">
        <v>12</v>
      </c>
      <c r="N922" s="2">
        <v>0</v>
      </c>
      <c r="O922" s="2">
        <v>0</v>
      </c>
      <c r="P922" s="2">
        <v>2013.16</v>
      </c>
      <c r="Q922" s="2">
        <v>2013.16</v>
      </c>
      <c r="R922" s="2">
        <v>0</v>
      </c>
      <c r="S922" s="2">
        <v>0</v>
      </c>
      <c r="T922" s="2">
        <v>0</v>
      </c>
      <c r="U922" s="2">
        <v>2013.16</v>
      </c>
      <c r="V922" s="2">
        <v>2013.16</v>
      </c>
      <c r="W922" s="2">
        <v>2013.16</v>
      </c>
    </row>
    <row r="923" spans="1:23" outlineLevel="2" x14ac:dyDescent="0.2">
      <c r="A923" t="s">
        <v>0</v>
      </c>
      <c r="B923" t="s">
        <v>53</v>
      </c>
      <c r="C923" t="s">
        <v>85</v>
      </c>
      <c r="D923" t="s">
        <v>86</v>
      </c>
      <c r="E923" t="s">
        <v>87</v>
      </c>
      <c r="F923" t="s">
        <v>5</v>
      </c>
      <c r="G923" t="s">
        <v>6</v>
      </c>
      <c r="H923" t="s">
        <v>35</v>
      </c>
      <c r="I923" t="s">
        <v>36</v>
      </c>
      <c r="J923" t="s">
        <v>9</v>
      </c>
      <c r="K923" t="s">
        <v>318</v>
      </c>
      <c r="L923" t="s">
        <v>334</v>
      </c>
      <c r="M923" t="s">
        <v>15</v>
      </c>
      <c r="N923" s="2">
        <v>2076.64</v>
      </c>
      <c r="O923" s="2">
        <v>-2076.64</v>
      </c>
      <c r="P923" s="2">
        <v>0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</row>
    <row r="924" spans="1:23" outlineLevel="2" x14ac:dyDescent="0.2">
      <c r="A924" t="s">
        <v>0</v>
      </c>
      <c r="B924" t="s">
        <v>39</v>
      </c>
      <c r="C924" t="s">
        <v>58</v>
      </c>
      <c r="D924" t="s">
        <v>105</v>
      </c>
      <c r="E924" t="s">
        <v>106</v>
      </c>
      <c r="F924" t="s">
        <v>5</v>
      </c>
      <c r="G924" t="s">
        <v>6</v>
      </c>
      <c r="H924" t="s">
        <v>35</v>
      </c>
      <c r="I924" t="s">
        <v>36</v>
      </c>
      <c r="J924" t="s">
        <v>9</v>
      </c>
      <c r="K924" t="s">
        <v>318</v>
      </c>
      <c r="L924" t="s">
        <v>325</v>
      </c>
      <c r="M924" t="s">
        <v>12</v>
      </c>
      <c r="N924" s="2">
        <v>0</v>
      </c>
      <c r="O924" s="2">
        <v>0</v>
      </c>
      <c r="P924" s="2">
        <v>6356.55</v>
      </c>
      <c r="Q924" s="2">
        <v>6356.55</v>
      </c>
      <c r="R924" s="2">
        <v>0</v>
      </c>
      <c r="S924" s="2">
        <v>0</v>
      </c>
      <c r="T924" s="2">
        <v>0</v>
      </c>
      <c r="U924" s="2">
        <v>6356.55</v>
      </c>
      <c r="V924" s="2">
        <v>6356.55</v>
      </c>
      <c r="W924" s="2">
        <v>6356.55</v>
      </c>
    </row>
    <row r="925" spans="1:23" outlineLevel="2" x14ac:dyDescent="0.2">
      <c r="A925" t="s">
        <v>0</v>
      </c>
      <c r="B925" t="s">
        <v>1</v>
      </c>
      <c r="C925" t="s">
        <v>99</v>
      </c>
      <c r="D925" t="s">
        <v>100</v>
      </c>
      <c r="E925" t="s">
        <v>101</v>
      </c>
      <c r="F925" t="s">
        <v>5</v>
      </c>
      <c r="G925" t="s">
        <v>6</v>
      </c>
      <c r="H925" t="s">
        <v>35</v>
      </c>
      <c r="I925" t="s">
        <v>36</v>
      </c>
      <c r="J925" t="s">
        <v>9</v>
      </c>
      <c r="K925" t="s">
        <v>318</v>
      </c>
      <c r="L925" t="s">
        <v>324</v>
      </c>
      <c r="M925" t="s">
        <v>12</v>
      </c>
      <c r="N925" s="2">
        <v>0</v>
      </c>
      <c r="O925" s="2">
        <v>0</v>
      </c>
      <c r="P925" s="2">
        <v>474.96</v>
      </c>
      <c r="Q925" s="2">
        <v>474.96</v>
      </c>
      <c r="R925" s="2">
        <v>0</v>
      </c>
      <c r="S925" s="2">
        <v>0</v>
      </c>
      <c r="T925" s="2">
        <v>0</v>
      </c>
      <c r="U925" s="2">
        <v>474.96</v>
      </c>
      <c r="V925" s="2">
        <v>474.96</v>
      </c>
      <c r="W925" s="2">
        <v>474.96</v>
      </c>
    </row>
    <row r="926" spans="1:23" outlineLevel="2" x14ac:dyDescent="0.2">
      <c r="A926" t="s">
        <v>0</v>
      </c>
      <c r="B926" t="s">
        <v>39</v>
      </c>
      <c r="C926" t="s">
        <v>70</v>
      </c>
      <c r="D926" t="s">
        <v>89</v>
      </c>
      <c r="E926" t="s">
        <v>90</v>
      </c>
      <c r="F926" t="s">
        <v>5</v>
      </c>
      <c r="G926" t="s">
        <v>6</v>
      </c>
      <c r="H926" t="s">
        <v>35</v>
      </c>
      <c r="I926" t="s">
        <v>36</v>
      </c>
      <c r="J926" t="s">
        <v>9</v>
      </c>
      <c r="K926" t="s">
        <v>318</v>
      </c>
      <c r="L926" t="s">
        <v>319</v>
      </c>
      <c r="M926" t="s">
        <v>12</v>
      </c>
      <c r="N926" s="2">
        <v>0</v>
      </c>
      <c r="O926" s="2">
        <v>0</v>
      </c>
      <c r="P926" s="2">
        <v>8735.86</v>
      </c>
      <c r="Q926" s="2">
        <v>8735.86</v>
      </c>
      <c r="R926" s="2">
        <v>0</v>
      </c>
      <c r="S926" s="2">
        <v>0</v>
      </c>
      <c r="T926" s="2">
        <v>0</v>
      </c>
      <c r="U926" s="2">
        <v>8735.86</v>
      </c>
      <c r="V926" s="2">
        <v>8735.86</v>
      </c>
      <c r="W926" s="2">
        <v>8735.86</v>
      </c>
    </row>
    <row r="927" spans="1:23" outlineLevel="2" x14ac:dyDescent="0.2">
      <c r="A927" t="s">
        <v>0</v>
      </c>
      <c r="B927" t="s">
        <v>39</v>
      </c>
      <c r="C927" t="s">
        <v>58</v>
      </c>
      <c r="D927" t="s">
        <v>139</v>
      </c>
      <c r="E927" t="s">
        <v>140</v>
      </c>
      <c r="F927" t="s">
        <v>5</v>
      </c>
      <c r="G927" t="s">
        <v>6</v>
      </c>
      <c r="H927" t="s">
        <v>35</v>
      </c>
      <c r="I927" t="s">
        <v>36</v>
      </c>
      <c r="J927" t="s">
        <v>9</v>
      </c>
      <c r="K927" t="s">
        <v>318</v>
      </c>
      <c r="L927" t="s">
        <v>325</v>
      </c>
      <c r="M927" t="s">
        <v>12</v>
      </c>
      <c r="N927" s="2">
        <v>0</v>
      </c>
      <c r="O927" s="2">
        <v>0</v>
      </c>
      <c r="P927" s="2">
        <v>3937.97</v>
      </c>
      <c r="Q927" s="2">
        <v>3937.97</v>
      </c>
      <c r="R927" s="2">
        <v>0</v>
      </c>
      <c r="S927" s="2">
        <v>279.93</v>
      </c>
      <c r="T927" s="2">
        <v>279.93</v>
      </c>
      <c r="U927" s="2">
        <v>3658.04</v>
      </c>
      <c r="V927" s="2">
        <v>3658.04</v>
      </c>
      <c r="W927" s="2">
        <v>3658.04</v>
      </c>
    </row>
    <row r="928" spans="1:23" outlineLevel="2" x14ac:dyDescent="0.2">
      <c r="A928" t="s">
        <v>0</v>
      </c>
      <c r="B928" t="s">
        <v>31</v>
      </c>
      <c r="C928" t="s">
        <v>79</v>
      </c>
      <c r="D928" t="s">
        <v>80</v>
      </c>
      <c r="E928" t="s">
        <v>81</v>
      </c>
      <c r="F928" t="s">
        <v>5</v>
      </c>
      <c r="G928" t="s">
        <v>6</v>
      </c>
      <c r="H928" t="s">
        <v>35</v>
      </c>
      <c r="I928" t="s">
        <v>36</v>
      </c>
      <c r="J928" t="s">
        <v>9</v>
      </c>
      <c r="K928" t="s">
        <v>318</v>
      </c>
      <c r="L928" t="s">
        <v>333</v>
      </c>
      <c r="M928" t="s">
        <v>12</v>
      </c>
      <c r="N928" s="2">
        <v>0</v>
      </c>
      <c r="O928" s="2">
        <v>0</v>
      </c>
      <c r="P928" s="2">
        <v>588.14</v>
      </c>
      <c r="Q928" s="2">
        <v>588.14</v>
      </c>
      <c r="R928" s="2">
        <v>0</v>
      </c>
      <c r="S928" s="2">
        <v>0</v>
      </c>
      <c r="T928" s="2">
        <v>0</v>
      </c>
      <c r="U928" s="2">
        <v>588.14</v>
      </c>
      <c r="V928" s="2">
        <v>588.14</v>
      </c>
      <c r="W928" s="2">
        <v>588.14</v>
      </c>
    </row>
    <row r="929" spans="1:23" outlineLevel="2" x14ac:dyDescent="0.2">
      <c r="A929" t="s">
        <v>0</v>
      </c>
      <c r="B929" t="s">
        <v>31</v>
      </c>
      <c r="C929" t="s">
        <v>79</v>
      </c>
      <c r="D929" t="s">
        <v>117</v>
      </c>
      <c r="E929" t="s">
        <v>118</v>
      </c>
      <c r="F929" t="s">
        <v>5</v>
      </c>
      <c r="G929" t="s">
        <v>6</v>
      </c>
      <c r="H929" t="s">
        <v>35</v>
      </c>
      <c r="I929" t="s">
        <v>36</v>
      </c>
      <c r="J929" t="s">
        <v>9</v>
      </c>
      <c r="K929" t="s">
        <v>318</v>
      </c>
      <c r="L929" t="s">
        <v>333</v>
      </c>
      <c r="M929" t="s">
        <v>12</v>
      </c>
      <c r="N929" s="2">
        <v>0</v>
      </c>
      <c r="O929" s="2">
        <v>0</v>
      </c>
      <c r="P929" s="2">
        <v>1462.98</v>
      </c>
      <c r="Q929" s="2">
        <v>1462.98</v>
      </c>
      <c r="R929" s="2">
        <v>0</v>
      </c>
      <c r="S929" s="2">
        <v>0</v>
      </c>
      <c r="T929" s="2">
        <v>0</v>
      </c>
      <c r="U929" s="2">
        <v>1462.98</v>
      </c>
      <c r="V929" s="2">
        <v>1462.98</v>
      </c>
      <c r="W929" s="2">
        <v>1462.98</v>
      </c>
    </row>
    <row r="930" spans="1:23" outlineLevel="2" x14ac:dyDescent="0.2">
      <c r="A930" t="s">
        <v>0</v>
      </c>
      <c r="B930" t="s">
        <v>39</v>
      </c>
      <c r="C930" t="s">
        <v>95</v>
      </c>
      <c r="D930" t="s">
        <v>96</v>
      </c>
      <c r="E930" t="s">
        <v>97</v>
      </c>
      <c r="F930" t="s">
        <v>5</v>
      </c>
      <c r="G930" t="s">
        <v>6</v>
      </c>
      <c r="H930" t="s">
        <v>35</v>
      </c>
      <c r="I930" t="s">
        <v>36</v>
      </c>
      <c r="J930" t="s">
        <v>9</v>
      </c>
      <c r="K930" t="s">
        <v>318</v>
      </c>
      <c r="L930" t="s">
        <v>331</v>
      </c>
      <c r="M930" t="s">
        <v>12</v>
      </c>
      <c r="N930" s="2">
        <v>0</v>
      </c>
      <c r="O930" s="2">
        <v>0</v>
      </c>
      <c r="P930" s="2">
        <v>1626.52</v>
      </c>
      <c r="Q930" s="2">
        <v>1626.52</v>
      </c>
      <c r="R930" s="2">
        <v>0</v>
      </c>
      <c r="S930" s="2">
        <v>0</v>
      </c>
      <c r="T930" s="2">
        <v>0</v>
      </c>
      <c r="U930" s="2">
        <v>1626.52</v>
      </c>
      <c r="V930" s="2">
        <v>1626.52</v>
      </c>
      <c r="W930" s="2">
        <v>1626.52</v>
      </c>
    </row>
    <row r="931" spans="1:23" outlineLevel="2" x14ac:dyDescent="0.2">
      <c r="A931" t="s">
        <v>0</v>
      </c>
      <c r="B931" t="s">
        <v>1</v>
      </c>
      <c r="C931" t="s">
        <v>16</v>
      </c>
      <c r="D931" t="s">
        <v>17</v>
      </c>
      <c r="E931" t="s">
        <v>18</v>
      </c>
      <c r="F931" t="s">
        <v>5</v>
      </c>
      <c r="G931" t="s">
        <v>6</v>
      </c>
      <c r="H931" t="s">
        <v>35</v>
      </c>
      <c r="I931" t="s">
        <v>36</v>
      </c>
      <c r="J931" t="s">
        <v>9</v>
      </c>
      <c r="K931" t="s">
        <v>318</v>
      </c>
      <c r="L931" t="s">
        <v>326</v>
      </c>
      <c r="M931" t="s">
        <v>12</v>
      </c>
      <c r="N931" s="2">
        <v>0</v>
      </c>
      <c r="O931" s="2">
        <v>0</v>
      </c>
      <c r="P931" s="2">
        <v>7598.64</v>
      </c>
      <c r="Q931" s="2">
        <v>7598.64</v>
      </c>
      <c r="R931" s="2">
        <v>0</v>
      </c>
      <c r="S931" s="2">
        <v>0</v>
      </c>
      <c r="T931" s="2">
        <v>0</v>
      </c>
      <c r="U931" s="2">
        <v>7598.64</v>
      </c>
      <c r="V931" s="2">
        <v>7598.64</v>
      </c>
      <c r="W931" s="2">
        <v>7598.64</v>
      </c>
    </row>
    <row r="932" spans="1:23" outlineLevel="2" x14ac:dyDescent="0.2">
      <c r="A932" t="s">
        <v>0</v>
      </c>
      <c r="B932" t="s">
        <v>1</v>
      </c>
      <c r="C932" t="s">
        <v>16</v>
      </c>
      <c r="D932" t="s">
        <v>64</v>
      </c>
      <c r="E932" t="s">
        <v>65</v>
      </c>
      <c r="F932" t="s">
        <v>5</v>
      </c>
      <c r="G932" t="s">
        <v>6</v>
      </c>
      <c r="H932" t="s">
        <v>35</v>
      </c>
      <c r="I932" t="s">
        <v>36</v>
      </c>
      <c r="J932" t="s">
        <v>9</v>
      </c>
      <c r="K932" t="s">
        <v>318</v>
      </c>
      <c r="L932" t="s">
        <v>326</v>
      </c>
      <c r="M932" t="s">
        <v>12</v>
      </c>
      <c r="N932" s="2">
        <v>0</v>
      </c>
      <c r="O932" s="2">
        <v>0</v>
      </c>
      <c r="P932" s="2">
        <v>19.66</v>
      </c>
      <c r="Q932" s="2">
        <v>19.66</v>
      </c>
      <c r="R932" s="2">
        <v>0</v>
      </c>
      <c r="S932" s="2">
        <v>0</v>
      </c>
      <c r="T932" s="2">
        <v>0</v>
      </c>
      <c r="U932" s="2">
        <v>19.66</v>
      </c>
      <c r="V932" s="2">
        <v>19.66</v>
      </c>
      <c r="W932" s="2">
        <v>19.66</v>
      </c>
    </row>
    <row r="933" spans="1:23" outlineLevel="2" x14ac:dyDescent="0.2">
      <c r="A933" t="s">
        <v>0</v>
      </c>
      <c r="B933" t="s">
        <v>31</v>
      </c>
      <c r="C933" t="s">
        <v>79</v>
      </c>
      <c r="D933" t="s">
        <v>83</v>
      </c>
      <c r="E933" t="s">
        <v>84</v>
      </c>
      <c r="F933" t="s">
        <v>5</v>
      </c>
      <c r="G933" t="s">
        <v>6</v>
      </c>
      <c r="H933" t="s">
        <v>35</v>
      </c>
      <c r="I933" t="s">
        <v>36</v>
      </c>
      <c r="J933" t="s">
        <v>9</v>
      </c>
      <c r="K933" t="s">
        <v>318</v>
      </c>
      <c r="L933" t="s">
        <v>333</v>
      </c>
      <c r="M933" t="s">
        <v>15</v>
      </c>
      <c r="N933" s="2">
        <v>7202.16</v>
      </c>
      <c r="O933" s="2">
        <v>0</v>
      </c>
      <c r="P933" s="2">
        <v>-7202.16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</row>
    <row r="934" spans="1:23" outlineLevel="2" x14ac:dyDescent="0.2">
      <c r="A934" t="s">
        <v>0</v>
      </c>
      <c r="B934" t="s">
        <v>1</v>
      </c>
      <c r="C934" t="s">
        <v>16</v>
      </c>
      <c r="D934" t="s">
        <v>103</v>
      </c>
      <c r="E934" t="s">
        <v>104</v>
      </c>
      <c r="F934" t="s">
        <v>5</v>
      </c>
      <c r="G934" t="s">
        <v>6</v>
      </c>
      <c r="H934" t="s">
        <v>35</v>
      </c>
      <c r="I934" t="s">
        <v>36</v>
      </c>
      <c r="J934" t="s">
        <v>9</v>
      </c>
      <c r="K934" t="s">
        <v>318</v>
      </c>
      <c r="L934" t="s">
        <v>326</v>
      </c>
      <c r="M934" t="s">
        <v>15</v>
      </c>
      <c r="N934" s="2">
        <v>8299.35</v>
      </c>
      <c r="O934" s="2">
        <v>0</v>
      </c>
      <c r="P934" s="2">
        <v>-8299.35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</row>
    <row r="935" spans="1:23" outlineLevel="2" x14ac:dyDescent="0.2">
      <c r="A935" t="s">
        <v>0</v>
      </c>
      <c r="B935" t="s">
        <v>31</v>
      </c>
      <c r="C935" t="s">
        <v>32</v>
      </c>
      <c r="D935" t="s">
        <v>123</v>
      </c>
      <c r="E935" t="s">
        <v>124</v>
      </c>
      <c r="F935" t="s">
        <v>5</v>
      </c>
      <c r="G935" t="s">
        <v>6</v>
      </c>
      <c r="H935" t="s">
        <v>35</v>
      </c>
      <c r="I935" t="s">
        <v>36</v>
      </c>
      <c r="J935" t="s">
        <v>9</v>
      </c>
      <c r="K935" t="s">
        <v>318</v>
      </c>
      <c r="L935" t="s">
        <v>320</v>
      </c>
      <c r="M935" t="s">
        <v>12</v>
      </c>
      <c r="N935" s="2">
        <v>0</v>
      </c>
      <c r="O935" s="2">
        <v>0</v>
      </c>
      <c r="P935" s="2">
        <v>1710.45</v>
      </c>
      <c r="Q935" s="2">
        <v>1710.45</v>
      </c>
      <c r="R935" s="2">
        <v>0</v>
      </c>
      <c r="S935" s="2">
        <v>0</v>
      </c>
      <c r="T935" s="2">
        <v>0</v>
      </c>
      <c r="U935" s="2">
        <v>1710.45</v>
      </c>
      <c r="V935" s="2">
        <v>1710.45</v>
      </c>
      <c r="W935" s="2">
        <v>1710.45</v>
      </c>
    </row>
    <row r="936" spans="1:23" outlineLevel="2" x14ac:dyDescent="0.2">
      <c r="A936" t="s">
        <v>0</v>
      </c>
      <c r="B936" t="s">
        <v>39</v>
      </c>
      <c r="C936" t="s">
        <v>40</v>
      </c>
      <c r="D936" t="s">
        <v>77</v>
      </c>
      <c r="E936" t="s">
        <v>78</v>
      </c>
      <c r="F936" t="s">
        <v>5</v>
      </c>
      <c r="G936" t="s">
        <v>6</v>
      </c>
      <c r="H936" t="s">
        <v>35</v>
      </c>
      <c r="I936" t="s">
        <v>36</v>
      </c>
      <c r="J936" t="s">
        <v>9</v>
      </c>
      <c r="K936" t="s">
        <v>318</v>
      </c>
      <c r="L936" t="s">
        <v>328</v>
      </c>
      <c r="M936" t="s">
        <v>12</v>
      </c>
      <c r="N936" s="2">
        <v>0</v>
      </c>
      <c r="O936" s="2">
        <v>0</v>
      </c>
      <c r="P936" s="2">
        <v>13976.48</v>
      </c>
      <c r="Q936" s="2">
        <v>13976.48</v>
      </c>
      <c r="R936" s="2">
        <v>0</v>
      </c>
      <c r="S936" s="2">
        <v>697</v>
      </c>
      <c r="T936" s="2">
        <v>697</v>
      </c>
      <c r="U936" s="2">
        <v>13279.48</v>
      </c>
      <c r="V936" s="2">
        <v>13279.48</v>
      </c>
      <c r="W936" s="2">
        <v>13279.48</v>
      </c>
    </row>
    <row r="937" spans="1:23" outlineLevel="2" x14ac:dyDescent="0.2">
      <c r="A937" t="s">
        <v>0</v>
      </c>
      <c r="B937" t="s">
        <v>31</v>
      </c>
      <c r="C937" t="s">
        <v>79</v>
      </c>
      <c r="D937" t="s">
        <v>111</v>
      </c>
      <c r="E937" t="s">
        <v>112</v>
      </c>
      <c r="F937" t="s">
        <v>5</v>
      </c>
      <c r="G937" t="s">
        <v>6</v>
      </c>
      <c r="H937" t="s">
        <v>35</v>
      </c>
      <c r="I937" t="s">
        <v>36</v>
      </c>
      <c r="J937" t="s">
        <v>9</v>
      </c>
      <c r="K937" t="s">
        <v>318</v>
      </c>
      <c r="L937" t="s">
        <v>333</v>
      </c>
      <c r="M937" t="s">
        <v>15</v>
      </c>
      <c r="N937" s="2">
        <v>2580.37</v>
      </c>
      <c r="O937" s="2">
        <v>0</v>
      </c>
      <c r="P937" s="2">
        <v>-2580.37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</row>
    <row r="938" spans="1:23" outlineLevel="2" x14ac:dyDescent="0.2">
      <c r="A938" t="s">
        <v>0</v>
      </c>
      <c r="B938" t="s">
        <v>31</v>
      </c>
      <c r="C938" t="s">
        <v>79</v>
      </c>
      <c r="D938" t="s">
        <v>113</v>
      </c>
      <c r="E938" t="s">
        <v>114</v>
      </c>
      <c r="F938" t="s">
        <v>5</v>
      </c>
      <c r="G938" t="s">
        <v>6</v>
      </c>
      <c r="H938" t="s">
        <v>35</v>
      </c>
      <c r="I938" t="s">
        <v>36</v>
      </c>
      <c r="J938" t="s">
        <v>9</v>
      </c>
      <c r="K938" t="s">
        <v>318</v>
      </c>
      <c r="L938" t="s">
        <v>333</v>
      </c>
      <c r="M938" t="s">
        <v>15</v>
      </c>
      <c r="N938" s="2">
        <v>1616.59</v>
      </c>
      <c r="O938" s="2">
        <v>0</v>
      </c>
      <c r="P938" s="2">
        <v>-1616.59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</row>
    <row r="939" spans="1:23" outlineLevel="2" x14ac:dyDescent="0.2">
      <c r="A939" t="s">
        <v>0</v>
      </c>
      <c r="B939" t="s">
        <v>39</v>
      </c>
      <c r="C939" t="s">
        <v>58</v>
      </c>
      <c r="D939" t="s">
        <v>145</v>
      </c>
      <c r="E939" t="s">
        <v>146</v>
      </c>
      <c r="F939" t="s">
        <v>5</v>
      </c>
      <c r="G939" t="s">
        <v>6</v>
      </c>
      <c r="H939" t="s">
        <v>35</v>
      </c>
      <c r="I939" t="s">
        <v>36</v>
      </c>
      <c r="J939" t="s">
        <v>9</v>
      </c>
      <c r="K939" t="s">
        <v>318</v>
      </c>
      <c r="L939" t="s">
        <v>325</v>
      </c>
      <c r="M939" t="s">
        <v>12</v>
      </c>
      <c r="N939" s="2">
        <v>0</v>
      </c>
      <c r="O939" s="2">
        <v>0</v>
      </c>
      <c r="P939" s="2">
        <v>1263.1600000000001</v>
      </c>
      <c r="Q939" s="2">
        <v>1263.1600000000001</v>
      </c>
      <c r="R939" s="2">
        <v>0</v>
      </c>
      <c r="S939" s="2">
        <v>470</v>
      </c>
      <c r="T939" s="2">
        <v>470</v>
      </c>
      <c r="U939" s="2">
        <v>793.16</v>
      </c>
      <c r="V939" s="2">
        <v>793.16</v>
      </c>
      <c r="W939" s="2">
        <v>793.16</v>
      </c>
    </row>
    <row r="940" spans="1:23" outlineLevel="2" x14ac:dyDescent="0.2">
      <c r="A940" t="s">
        <v>0</v>
      </c>
      <c r="B940" t="s">
        <v>39</v>
      </c>
      <c r="C940" t="s">
        <v>58</v>
      </c>
      <c r="D940" t="s">
        <v>147</v>
      </c>
      <c r="E940" t="s">
        <v>148</v>
      </c>
      <c r="F940" t="s">
        <v>5</v>
      </c>
      <c r="G940" t="s">
        <v>6</v>
      </c>
      <c r="H940" t="s">
        <v>35</v>
      </c>
      <c r="I940" t="s">
        <v>36</v>
      </c>
      <c r="J940" t="s">
        <v>9</v>
      </c>
      <c r="K940" t="s">
        <v>318</v>
      </c>
      <c r="L940" t="s">
        <v>325</v>
      </c>
      <c r="M940" t="s">
        <v>12</v>
      </c>
      <c r="N940" s="2">
        <v>0</v>
      </c>
      <c r="O940" s="2">
        <v>0</v>
      </c>
      <c r="P940" s="2">
        <v>2534.13</v>
      </c>
      <c r="Q940" s="2">
        <v>2534.13</v>
      </c>
      <c r="R940" s="2">
        <v>0</v>
      </c>
      <c r="S940" s="2">
        <v>208.33</v>
      </c>
      <c r="T940" s="2">
        <v>208.33</v>
      </c>
      <c r="U940" s="2">
        <v>2325.8000000000002</v>
      </c>
      <c r="V940" s="2">
        <v>2325.8000000000002</v>
      </c>
      <c r="W940" s="2">
        <v>2325.8000000000002</v>
      </c>
    </row>
    <row r="941" spans="1:23" outlineLevel="2" x14ac:dyDescent="0.2">
      <c r="A941" t="s">
        <v>0</v>
      </c>
      <c r="B941" t="s">
        <v>31</v>
      </c>
      <c r="C941" t="s">
        <v>79</v>
      </c>
      <c r="D941" t="s">
        <v>111</v>
      </c>
      <c r="E941" t="s">
        <v>112</v>
      </c>
      <c r="F941" t="s">
        <v>5</v>
      </c>
      <c r="G941" t="s">
        <v>6</v>
      </c>
      <c r="H941" t="s">
        <v>35</v>
      </c>
      <c r="I941" t="s">
        <v>36</v>
      </c>
      <c r="J941" t="s">
        <v>9</v>
      </c>
      <c r="K941" t="s">
        <v>318</v>
      </c>
      <c r="L941" t="s">
        <v>333</v>
      </c>
      <c r="M941" t="s">
        <v>12</v>
      </c>
      <c r="N941" s="2">
        <v>0</v>
      </c>
      <c r="O941" s="2">
        <v>0</v>
      </c>
      <c r="P941" s="2">
        <v>1290.18</v>
      </c>
      <c r="Q941" s="2">
        <v>1290.18</v>
      </c>
      <c r="R941" s="2">
        <v>0</v>
      </c>
      <c r="S941" s="2">
        <v>0</v>
      </c>
      <c r="T941" s="2">
        <v>0</v>
      </c>
      <c r="U941" s="2">
        <v>1290.18</v>
      </c>
      <c r="V941" s="2">
        <v>1290.18</v>
      </c>
      <c r="W941" s="2">
        <v>1290.18</v>
      </c>
    </row>
    <row r="942" spans="1:23" outlineLevel="2" x14ac:dyDescent="0.2">
      <c r="A942" t="s">
        <v>0</v>
      </c>
      <c r="B942" t="s">
        <v>1</v>
      </c>
      <c r="C942" t="s">
        <v>16</v>
      </c>
      <c r="D942" t="s">
        <v>62</v>
      </c>
      <c r="E942" t="s">
        <v>63</v>
      </c>
      <c r="F942" t="s">
        <v>5</v>
      </c>
      <c r="G942" t="s">
        <v>6</v>
      </c>
      <c r="H942" t="s">
        <v>35</v>
      </c>
      <c r="I942" t="s">
        <v>36</v>
      </c>
      <c r="J942" t="s">
        <v>9</v>
      </c>
      <c r="K942" t="s">
        <v>318</v>
      </c>
      <c r="L942" t="s">
        <v>326</v>
      </c>
      <c r="M942" t="s">
        <v>12</v>
      </c>
      <c r="N942" s="2">
        <v>0</v>
      </c>
      <c r="O942" s="2">
        <v>0</v>
      </c>
      <c r="P942" s="2">
        <v>865.88</v>
      </c>
      <c r="Q942" s="2">
        <v>865.88</v>
      </c>
      <c r="R942" s="2">
        <v>0</v>
      </c>
      <c r="S942" s="2">
        <v>0</v>
      </c>
      <c r="T942" s="2">
        <v>0</v>
      </c>
      <c r="U942" s="2">
        <v>865.88</v>
      </c>
      <c r="V942" s="2">
        <v>865.88</v>
      </c>
      <c r="W942" s="2">
        <v>865.88</v>
      </c>
    </row>
    <row r="943" spans="1:23" outlineLevel="2" x14ac:dyDescent="0.2">
      <c r="A943" t="s">
        <v>0</v>
      </c>
      <c r="B943" t="s">
        <v>31</v>
      </c>
      <c r="C943" t="s">
        <v>32</v>
      </c>
      <c r="D943" t="s">
        <v>75</v>
      </c>
      <c r="E943" t="s">
        <v>76</v>
      </c>
      <c r="F943" t="s">
        <v>5</v>
      </c>
      <c r="G943" t="s">
        <v>6</v>
      </c>
      <c r="H943" t="s">
        <v>35</v>
      </c>
      <c r="I943" t="s">
        <v>36</v>
      </c>
      <c r="J943" t="s">
        <v>9</v>
      </c>
      <c r="K943" t="s">
        <v>318</v>
      </c>
      <c r="L943" t="s">
        <v>320</v>
      </c>
      <c r="M943" t="s">
        <v>15</v>
      </c>
      <c r="N943" s="2">
        <v>3760.77</v>
      </c>
      <c r="O943" s="2">
        <v>0</v>
      </c>
      <c r="P943" s="2">
        <v>-3760.77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</row>
    <row r="944" spans="1:23" outlineLevel="2" x14ac:dyDescent="0.2">
      <c r="A944" t="s">
        <v>0</v>
      </c>
      <c r="B944" t="s">
        <v>31</v>
      </c>
      <c r="C944" t="s">
        <v>79</v>
      </c>
      <c r="D944" t="s">
        <v>113</v>
      </c>
      <c r="E944" t="s">
        <v>114</v>
      </c>
      <c r="F944" t="s">
        <v>5</v>
      </c>
      <c r="G944" t="s">
        <v>6</v>
      </c>
      <c r="H944" t="s">
        <v>35</v>
      </c>
      <c r="I944" t="s">
        <v>36</v>
      </c>
      <c r="J944" t="s">
        <v>9</v>
      </c>
      <c r="K944" t="s">
        <v>318</v>
      </c>
      <c r="L944" t="s">
        <v>333</v>
      </c>
      <c r="M944" t="s">
        <v>12</v>
      </c>
      <c r="N944" s="2">
        <v>0</v>
      </c>
      <c r="O944" s="2">
        <v>0</v>
      </c>
      <c r="P944" s="2">
        <v>808.29</v>
      </c>
      <c r="Q944" s="2">
        <v>808.29</v>
      </c>
      <c r="R944" s="2">
        <v>0</v>
      </c>
      <c r="S944" s="2">
        <v>0</v>
      </c>
      <c r="T944" s="2">
        <v>0</v>
      </c>
      <c r="U944" s="2">
        <v>808.29</v>
      </c>
      <c r="V944" s="2">
        <v>808.29</v>
      </c>
      <c r="W944" s="2">
        <v>808.29</v>
      </c>
    </row>
    <row r="945" spans="1:23" outlineLevel="2" x14ac:dyDescent="0.2">
      <c r="A945" t="s">
        <v>0</v>
      </c>
      <c r="B945" t="s">
        <v>1</v>
      </c>
      <c r="C945" t="s">
        <v>16</v>
      </c>
      <c r="D945" t="s">
        <v>103</v>
      </c>
      <c r="E945" t="s">
        <v>104</v>
      </c>
      <c r="F945" t="s">
        <v>5</v>
      </c>
      <c r="G945" t="s">
        <v>6</v>
      </c>
      <c r="H945" t="s">
        <v>35</v>
      </c>
      <c r="I945" t="s">
        <v>36</v>
      </c>
      <c r="J945" t="s">
        <v>9</v>
      </c>
      <c r="K945" t="s">
        <v>318</v>
      </c>
      <c r="L945" t="s">
        <v>326</v>
      </c>
      <c r="M945" t="s">
        <v>12</v>
      </c>
      <c r="N945" s="2">
        <v>0</v>
      </c>
      <c r="O945" s="2">
        <v>0</v>
      </c>
      <c r="P945" s="2">
        <v>4149.67</v>
      </c>
      <c r="Q945" s="2">
        <v>4149.67</v>
      </c>
      <c r="R945" s="2">
        <v>0</v>
      </c>
      <c r="S945" s="2">
        <v>0</v>
      </c>
      <c r="T945" s="2">
        <v>0</v>
      </c>
      <c r="U945" s="2">
        <v>4149.67</v>
      </c>
      <c r="V945" s="2">
        <v>4149.67</v>
      </c>
      <c r="W945" s="2">
        <v>4149.67</v>
      </c>
    </row>
    <row r="946" spans="1:23" outlineLevel="2" x14ac:dyDescent="0.2">
      <c r="A946" t="s">
        <v>0</v>
      </c>
      <c r="B946" t="s">
        <v>31</v>
      </c>
      <c r="C946" t="s">
        <v>32</v>
      </c>
      <c r="D946" t="s">
        <v>33</v>
      </c>
      <c r="E946" t="s">
        <v>34</v>
      </c>
      <c r="F946" t="s">
        <v>5</v>
      </c>
      <c r="G946" t="s">
        <v>6</v>
      </c>
      <c r="H946" t="s">
        <v>35</v>
      </c>
      <c r="I946" t="s">
        <v>36</v>
      </c>
      <c r="J946" t="s">
        <v>9</v>
      </c>
      <c r="K946" t="s">
        <v>318</v>
      </c>
      <c r="L946" t="s">
        <v>320</v>
      </c>
      <c r="M946" t="s">
        <v>12</v>
      </c>
      <c r="N946" s="2">
        <v>0</v>
      </c>
      <c r="O946" s="2">
        <v>0</v>
      </c>
      <c r="P946" s="2">
        <v>2531.73</v>
      </c>
      <c r="Q946" s="2">
        <v>2531.73</v>
      </c>
      <c r="R946" s="2">
        <v>0</v>
      </c>
      <c r="S946" s="2">
        <v>0</v>
      </c>
      <c r="T946" s="2">
        <v>0</v>
      </c>
      <c r="U946" s="2">
        <v>2531.73</v>
      </c>
      <c r="V946" s="2">
        <v>2531.73</v>
      </c>
      <c r="W946" s="2">
        <v>2531.73</v>
      </c>
    </row>
    <row r="947" spans="1:23" outlineLevel="2" x14ac:dyDescent="0.2">
      <c r="A947" t="s">
        <v>0</v>
      </c>
      <c r="B947" t="s">
        <v>31</v>
      </c>
      <c r="C947" t="s">
        <v>79</v>
      </c>
      <c r="D947" t="s">
        <v>125</v>
      </c>
      <c r="E947" t="s">
        <v>126</v>
      </c>
      <c r="F947" t="s">
        <v>5</v>
      </c>
      <c r="G947" t="s">
        <v>6</v>
      </c>
      <c r="H947" t="s">
        <v>35</v>
      </c>
      <c r="I947" t="s">
        <v>36</v>
      </c>
      <c r="J947" t="s">
        <v>9</v>
      </c>
      <c r="K947" t="s">
        <v>318</v>
      </c>
      <c r="L947" t="s">
        <v>333</v>
      </c>
      <c r="M947" t="s">
        <v>15</v>
      </c>
      <c r="N947" s="2">
        <v>1276.3</v>
      </c>
      <c r="O947" s="2">
        <v>0</v>
      </c>
      <c r="P947" s="2">
        <v>-1276.3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</row>
    <row r="948" spans="1:23" outlineLevel="2" x14ac:dyDescent="0.2">
      <c r="A948" t="s">
        <v>0</v>
      </c>
      <c r="B948" t="s">
        <v>31</v>
      </c>
      <c r="C948" t="s">
        <v>79</v>
      </c>
      <c r="D948" t="s">
        <v>115</v>
      </c>
      <c r="E948" t="s">
        <v>116</v>
      </c>
      <c r="F948" t="s">
        <v>5</v>
      </c>
      <c r="G948" t="s">
        <v>6</v>
      </c>
      <c r="H948" t="s">
        <v>35</v>
      </c>
      <c r="I948" t="s">
        <v>36</v>
      </c>
      <c r="J948" t="s">
        <v>9</v>
      </c>
      <c r="K948" t="s">
        <v>318</v>
      </c>
      <c r="L948" t="s">
        <v>333</v>
      </c>
      <c r="M948" t="s">
        <v>15</v>
      </c>
      <c r="N948" s="2">
        <v>973.94</v>
      </c>
      <c r="O948" s="2">
        <v>0</v>
      </c>
      <c r="P948" s="2">
        <v>-973.94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</row>
    <row r="949" spans="1:23" outlineLevel="2" x14ac:dyDescent="0.2">
      <c r="A949" t="s">
        <v>0</v>
      </c>
      <c r="B949" t="s">
        <v>31</v>
      </c>
      <c r="C949" t="s">
        <v>32</v>
      </c>
      <c r="D949" t="s">
        <v>75</v>
      </c>
      <c r="E949" t="s">
        <v>76</v>
      </c>
      <c r="F949" t="s">
        <v>5</v>
      </c>
      <c r="G949" t="s">
        <v>6</v>
      </c>
      <c r="H949" t="s">
        <v>35</v>
      </c>
      <c r="I949" t="s">
        <v>36</v>
      </c>
      <c r="J949" t="s">
        <v>9</v>
      </c>
      <c r="K949" t="s">
        <v>318</v>
      </c>
      <c r="L949" t="s">
        <v>320</v>
      </c>
      <c r="M949" t="s">
        <v>12</v>
      </c>
      <c r="N949" s="2">
        <v>0</v>
      </c>
      <c r="O949" s="2">
        <v>0</v>
      </c>
      <c r="P949" s="2">
        <v>1880.38</v>
      </c>
      <c r="Q949" s="2">
        <v>1880.38</v>
      </c>
      <c r="R949" s="2">
        <v>0</v>
      </c>
      <c r="S949" s="2">
        <v>0</v>
      </c>
      <c r="T949" s="2">
        <v>0</v>
      </c>
      <c r="U949" s="2">
        <v>1880.38</v>
      </c>
      <c r="V949" s="2">
        <v>1880.38</v>
      </c>
      <c r="W949" s="2">
        <v>1880.38</v>
      </c>
    </row>
    <row r="950" spans="1:23" outlineLevel="2" x14ac:dyDescent="0.2">
      <c r="A950" t="s">
        <v>0</v>
      </c>
      <c r="B950" t="s">
        <v>39</v>
      </c>
      <c r="C950" t="s">
        <v>58</v>
      </c>
      <c r="D950" t="s">
        <v>135</v>
      </c>
      <c r="E950" t="s">
        <v>136</v>
      </c>
      <c r="F950" t="s">
        <v>5</v>
      </c>
      <c r="G950" t="s">
        <v>6</v>
      </c>
      <c r="H950" t="s">
        <v>35</v>
      </c>
      <c r="I950" t="s">
        <v>36</v>
      </c>
      <c r="J950" t="s">
        <v>9</v>
      </c>
      <c r="K950" t="s">
        <v>318</v>
      </c>
      <c r="L950" t="s">
        <v>325</v>
      </c>
      <c r="M950" t="s">
        <v>12</v>
      </c>
      <c r="N950" s="2">
        <v>0</v>
      </c>
      <c r="O950" s="2">
        <v>240</v>
      </c>
      <c r="P950" s="2">
        <v>1735.87</v>
      </c>
      <c r="Q950" s="2">
        <v>1975.87</v>
      </c>
      <c r="R950" s="2">
        <v>0</v>
      </c>
      <c r="S950" s="2">
        <v>985.2</v>
      </c>
      <c r="T950" s="2">
        <v>985.2</v>
      </c>
      <c r="U950" s="2">
        <v>990.67</v>
      </c>
      <c r="V950" s="2">
        <v>990.67</v>
      </c>
      <c r="W950" s="2">
        <v>990.67</v>
      </c>
    </row>
    <row r="951" spans="1:23" outlineLevel="2" x14ac:dyDescent="0.2">
      <c r="A951" t="s">
        <v>0</v>
      </c>
      <c r="B951" t="s">
        <v>53</v>
      </c>
      <c r="C951" t="s">
        <v>54</v>
      </c>
      <c r="D951" t="s">
        <v>55</v>
      </c>
      <c r="E951" t="s">
        <v>56</v>
      </c>
      <c r="F951" t="s">
        <v>5</v>
      </c>
      <c r="G951" t="s">
        <v>6</v>
      </c>
      <c r="H951" t="s">
        <v>35</v>
      </c>
      <c r="I951" t="s">
        <v>36</v>
      </c>
      <c r="J951" t="s">
        <v>9</v>
      </c>
      <c r="K951" t="s">
        <v>318</v>
      </c>
      <c r="L951" t="s">
        <v>332</v>
      </c>
      <c r="M951" t="s">
        <v>12</v>
      </c>
      <c r="N951" s="2">
        <v>0</v>
      </c>
      <c r="O951" s="2">
        <v>0</v>
      </c>
      <c r="P951" s="2">
        <v>2090.91</v>
      </c>
      <c r="Q951" s="2">
        <v>2090.91</v>
      </c>
      <c r="R951" s="2">
        <v>0</v>
      </c>
      <c r="S951" s="2">
        <v>0</v>
      </c>
      <c r="T951" s="2">
        <v>0</v>
      </c>
      <c r="U951" s="2">
        <v>2090.91</v>
      </c>
      <c r="V951" s="2">
        <v>2090.91</v>
      </c>
      <c r="W951" s="2">
        <v>2090.91</v>
      </c>
    </row>
    <row r="952" spans="1:23" outlineLevel="2" x14ac:dyDescent="0.2">
      <c r="A952" t="s">
        <v>0</v>
      </c>
      <c r="B952" t="s">
        <v>31</v>
      </c>
      <c r="C952" t="s">
        <v>79</v>
      </c>
      <c r="D952" t="s">
        <v>80</v>
      </c>
      <c r="E952" t="s">
        <v>81</v>
      </c>
      <c r="F952" t="s">
        <v>5</v>
      </c>
      <c r="G952" t="s">
        <v>6</v>
      </c>
      <c r="H952" t="s">
        <v>35</v>
      </c>
      <c r="I952" t="s">
        <v>36</v>
      </c>
      <c r="J952" t="s">
        <v>9</v>
      </c>
      <c r="K952" t="s">
        <v>318</v>
      </c>
      <c r="L952" t="s">
        <v>333</v>
      </c>
      <c r="M952" t="s">
        <v>15</v>
      </c>
      <c r="N952" s="2">
        <v>1176.28</v>
      </c>
      <c r="O952" s="2">
        <v>0</v>
      </c>
      <c r="P952" s="2">
        <v>-1176.28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</row>
    <row r="953" spans="1:23" outlineLevel="2" x14ac:dyDescent="0.2">
      <c r="A953" t="s">
        <v>0</v>
      </c>
      <c r="B953" t="s">
        <v>39</v>
      </c>
      <c r="C953" t="s">
        <v>58</v>
      </c>
      <c r="D953" t="s">
        <v>119</v>
      </c>
      <c r="E953" t="s">
        <v>120</v>
      </c>
      <c r="F953" t="s">
        <v>5</v>
      </c>
      <c r="G953" t="s">
        <v>6</v>
      </c>
      <c r="H953" t="s">
        <v>35</v>
      </c>
      <c r="I953" t="s">
        <v>36</v>
      </c>
      <c r="J953" t="s">
        <v>9</v>
      </c>
      <c r="K953" t="s">
        <v>318</v>
      </c>
      <c r="L953" t="s">
        <v>325</v>
      </c>
      <c r="M953" t="s">
        <v>12</v>
      </c>
      <c r="N953" s="2">
        <v>0</v>
      </c>
      <c r="O953" s="2">
        <v>0</v>
      </c>
      <c r="P953" s="2">
        <v>1678.45</v>
      </c>
      <c r="Q953" s="2">
        <v>1678.45</v>
      </c>
      <c r="R953" s="2">
        <v>0</v>
      </c>
      <c r="S953" s="2">
        <v>0</v>
      </c>
      <c r="T953" s="2">
        <v>0</v>
      </c>
      <c r="U953" s="2">
        <v>1678.45</v>
      </c>
      <c r="V953" s="2">
        <v>1678.45</v>
      </c>
      <c r="W953" s="2">
        <v>1678.45</v>
      </c>
    </row>
    <row r="954" spans="1:23" outlineLevel="2" x14ac:dyDescent="0.2">
      <c r="A954" t="s">
        <v>0</v>
      </c>
      <c r="B954" t="s">
        <v>31</v>
      </c>
      <c r="C954" t="s">
        <v>79</v>
      </c>
      <c r="D954" t="s">
        <v>127</v>
      </c>
      <c r="E954" t="s">
        <v>128</v>
      </c>
      <c r="F954" t="s">
        <v>5</v>
      </c>
      <c r="G954" t="s">
        <v>6</v>
      </c>
      <c r="H954" t="s">
        <v>35</v>
      </c>
      <c r="I954" t="s">
        <v>36</v>
      </c>
      <c r="J954" t="s">
        <v>9</v>
      </c>
      <c r="K954" t="s">
        <v>318</v>
      </c>
      <c r="L954" t="s">
        <v>333</v>
      </c>
      <c r="M954" t="s">
        <v>15</v>
      </c>
      <c r="N954" s="2">
        <v>1645.41</v>
      </c>
      <c r="O954" s="2">
        <v>0</v>
      </c>
      <c r="P954" s="2">
        <v>-1645.41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</row>
    <row r="955" spans="1:23" outlineLevel="2" x14ac:dyDescent="0.2">
      <c r="A955" t="s">
        <v>0</v>
      </c>
      <c r="B955" t="s">
        <v>31</v>
      </c>
      <c r="C955" t="s">
        <v>79</v>
      </c>
      <c r="D955" t="s">
        <v>115</v>
      </c>
      <c r="E955" t="s">
        <v>116</v>
      </c>
      <c r="F955" t="s">
        <v>5</v>
      </c>
      <c r="G955" t="s">
        <v>6</v>
      </c>
      <c r="H955" t="s">
        <v>35</v>
      </c>
      <c r="I955" t="s">
        <v>36</v>
      </c>
      <c r="J955" t="s">
        <v>9</v>
      </c>
      <c r="K955" t="s">
        <v>318</v>
      </c>
      <c r="L955" t="s">
        <v>333</v>
      </c>
      <c r="M955" t="s">
        <v>12</v>
      </c>
      <c r="N955" s="2">
        <v>0</v>
      </c>
      <c r="O955" s="2">
        <v>0</v>
      </c>
      <c r="P955" s="2">
        <v>973.94</v>
      </c>
      <c r="Q955" s="2">
        <v>973.94</v>
      </c>
      <c r="R955" s="2">
        <v>0</v>
      </c>
      <c r="S955" s="2">
        <v>0</v>
      </c>
      <c r="T955" s="2">
        <v>0</v>
      </c>
      <c r="U955" s="2">
        <v>973.94</v>
      </c>
      <c r="V955" s="2">
        <v>973.94</v>
      </c>
      <c r="W955" s="2">
        <v>973.94</v>
      </c>
    </row>
    <row r="956" spans="1:23" outlineLevel="2" x14ac:dyDescent="0.2">
      <c r="A956" t="s">
        <v>0</v>
      </c>
      <c r="B956" t="s">
        <v>1</v>
      </c>
      <c r="C956" t="s">
        <v>44</v>
      </c>
      <c r="D956" t="s">
        <v>45</v>
      </c>
      <c r="E956" t="s">
        <v>46</v>
      </c>
      <c r="F956" t="s">
        <v>5</v>
      </c>
      <c r="G956" t="s">
        <v>6</v>
      </c>
      <c r="H956" t="s">
        <v>35</v>
      </c>
      <c r="I956" t="s">
        <v>36</v>
      </c>
      <c r="J956" t="s">
        <v>9</v>
      </c>
      <c r="K956" t="s">
        <v>318</v>
      </c>
      <c r="L956" t="s">
        <v>330</v>
      </c>
      <c r="M956" t="s">
        <v>12</v>
      </c>
      <c r="N956" s="2">
        <v>0</v>
      </c>
      <c r="O956" s="2">
        <v>0</v>
      </c>
      <c r="P956" s="2">
        <v>3377.11</v>
      </c>
      <c r="Q956" s="2">
        <v>3377.11</v>
      </c>
      <c r="R956" s="2">
        <v>0</v>
      </c>
      <c r="S956" s="2">
        <v>420</v>
      </c>
      <c r="T956" s="2">
        <v>420</v>
      </c>
      <c r="U956" s="2">
        <v>2957.11</v>
      </c>
      <c r="V956" s="2">
        <v>2957.11</v>
      </c>
      <c r="W956" s="2">
        <v>2957.11</v>
      </c>
    </row>
    <row r="957" spans="1:23" outlineLevel="2" x14ac:dyDescent="0.2">
      <c r="A957" t="s">
        <v>0</v>
      </c>
      <c r="B957" t="s">
        <v>31</v>
      </c>
      <c r="C957" t="s">
        <v>79</v>
      </c>
      <c r="D957" t="s">
        <v>133</v>
      </c>
      <c r="E957" t="s">
        <v>134</v>
      </c>
      <c r="F957" t="s">
        <v>5</v>
      </c>
      <c r="G957" t="s">
        <v>6</v>
      </c>
      <c r="H957" t="s">
        <v>35</v>
      </c>
      <c r="I957" t="s">
        <v>36</v>
      </c>
      <c r="J957" t="s">
        <v>9</v>
      </c>
      <c r="K957" t="s">
        <v>318</v>
      </c>
      <c r="L957" t="s">
        <v>333</v>
      </c>
      <c r="M957" t="s">
        <v>15</v>
      </c>
      <c r="N957" s="2">
        <v>1905.31</v>
      </c>
      <c r="O957" s="2">
        <v>0</v>
      </c>
      <c r="P957" s="2">
        <v>-1905.31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</row>
    <row r="958" spans="1:23" outlineLevel="2" x14ac:dyDescent="0.2">
      <c r="A958" t="s">
        <v>0</v>
      </c>
      <c r="B958" t="s">
        <v>1</v>
      </c>
      <c r="C958" t="s">
        <v>2</v>
      </c>
      <c r="D958" t="s">
        <v>3</v>
      </c>
      <c r="E958" t="s">
        <v>4</v>
      </c>
      <c r="F958" t="s">
        <v>5</v>
      </c>
      <c r="G958" t="s">
        <v>6</v>
      </c>
      <c r="H958" t="s">
        <v>35</v>
      </c>
      <c r="I958" t="s">
        <v>36</v>
      </c>
      <c r="J958" t="s">
        <v>9</v>
      </c>
      <c r="K958" t="s">
        <v>318</v>
      </c>
      <c r="L958" t="s">
        <v>329</v>
      </c>
      <c r="M958" t="s">
        <v>12</v>
      </c>
      <c r="N958" s="2">
        <v>0</v>
      </c>
      <c r="O958" s="2">
        <v>0</v>
      </c>
      <c r="P958" s="2">
        <v>5504.46</v>
      </c>
      <c r="Q958" s="2">
        <v>5504.46</v>
      </c>
      <c r="R958" s="2">
        <v>0</v>
      </c>
      <c r="S958" s="2">
        <v>0</v>
      </c>
      <c r="T958" s="2">
        <v>0</v>
      </c>
      <c r="U958" s="2">
        <v>5504.46</v>
      </c>
      <c r="V958" s="2">
        <v>5504.46</v>
      </c>
      <c r="W958" s="2">
        <v>5504.46</v>
      </c>
    </row>
    <row r="959" spans="1:23" outlineLevel="2" x14ac:dyDescent="0.2">
      <c r="A959" t="s">
        <v>0</v>
      </c>
      <c r="B959" t="s">
        <v>31</v>
      </c>
      <c r="C959" t="s">
        <v>79</v>
      </c>
      <c r="D959" t="s">
        <v>117</v>
      </c>
      <c r="E959" t="s">
        <v>118</v>
      </c>
      <c r="F959" t="s">
        <v>5</v>
      </c>
      <c r="G959" t="s">
        <v>6</v>
      </c>
      <c r="H959" t="s">
        <v>35</v>
      </c>
      <c r="I959" t="s">
        <v>36</v>
      </c>
      <c r="J959" t="s">
        <v>9</v>
      </c>
      <c r="K959" t="s">
        <v>318</v>
      </c>
      <c r="L959" t="s">
        <v>333</v>
      </c>
      <c r="M959" t="s">
        <v>15</v>
      </c>
      <c r="N959" s="2">
        <v>2925.97</v>
      </c>
      <c r="O959" s="2">
        <v>0</v>
      </c>
      <c r="P959" s="2">
        <v>-2925.97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</row>
    <row r="960" spans="1:23" outlineLevel="2" x14ac:dyDescent="0.2">
      <c r="A960" t="s">
        <v>0</v>
      </c>
      <c r="B960" t="s">
        <v>31</v>
      </c>
      <c r="C960" t="s">
        <v>79</v>
      </c>
      <c r="D960" t="s">
        <v>131</v>
      </c>
      <c r="E960" t="s">
        <v>132</v>
      </c>
      <c r="F960" t="s">
        <v>5</v>
      </c>
      <c r="G960" t="s">
        <v>6</v>
      </c>
      <c r="H960" t="s">
        <v>35</v>
      </c>
      <c r="I960" t="s">
        <v>36</v>
      </c>
      <c r="J960" t="s">
        <v>9</v>
      </c>
      <c r="K960" t="s">
        <v>318</v>
      </c>
      <c r="L960" t="s">
        <v>333</v>
      </c>
      <c r="M960" t="s">
        <v>15</v>
      </c>
      <c r="N960" s="2">
        <v>1374.81</v>
      </c>
      <c r="O960" s="2">
        <v>0</v>
      </c>
      <c r="P960" s="2">
        <v>-1374.81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</row>
    <row r="961" spans="1:23" outlineLevel="2" x14ac:dyDescent="0.2">
      <c r="A961" t="s">
        <v>0</v>
      </c>
      <c r="B961" t="s">
        <v>39</v>
      </c>
      <c r="C961" t="s">
        <v>58</v>
      </c>
      <c r="D961" t="s">
        <v>149</v>
      </c>
      <c r="E961" t="s">
        <v>150</v>
      </c>
      <c r="F961" t="s">
        <v>5</v>
      </c>
      <c r="G961" t="s">
        <v>6</v>
      </c>
      <c r="H961" t="s">
        <v>35</v>
      </c>
      <c r="I961" t="s">
        <v>36</v>
      </c>
      <c r="J961" t="s">
        <v>9</v>
      </c>
      <c r="K961" t="s">
        <v>318</v>
      </c>
      <c r="L961" t="s">
        <v>325</v>
      </c>
      <c r="M961" t="s">
        <v>12</v>
      </c>
      <c r="N961" s="2">
        <v>0</v>
      </c>
      <c r="O961" s="2">
        <v>0</v>
      </c>
      <c r="P961" s="2">
        <v>3643.9</v>
      </c>
      <c r="Q961" s="2">
        <v>3643.9</v>
      </c>
      <c r="R961" s="2">
        <v>0</v>
      </c>
      <c r="S961" s="2">
        <v>0</v>
      </c>
      <c r="T961" s="2">
        <v>0</v>
      </c>
      <c r="U961" s="2">
        <v>3643.9</v>
      </c>
      <c r="V961" s="2">
        <v>3643.9</v>
      </c>
      <c r="W961" s="2">
        <v>3643.9</v>
      </c>
    </row>
    <row r="962" spans="1:23" outlineLevel="2" x14ac:dyDescent="0.2">
      <c r="A962" t="s">
        <v>0</v>
      </c>
      <c r="B962" t="s">
        <v>31</v>
      </c>
      <c r="C962" t="s">
        <v>79</v>
      </c>
      <c r="D962" t="s">
        <v>125</v>
      </c>
      <c r="E962" t="s">
        <v>126</v>
      </c>
      <c r="F962" t="s">
        <v>5</v>
      </c>
      <c r="G962" t="s">
        <v>6</v>
      </c>
      <c r="H962" t="s">
        <v>35</v>
      </c>
      <c r="I962" t="s">
        <v>36</v>
      </c>
      <c r="J962" t="s">
        <v>9</v>
      </c>
      <c r="K962" t="s">
        <v>318</v>
      </c>
      <c r="L962" t="s">
        <v>333</v>
      </c>
      <c r="M962" t="s">
        <v>12</v>
      </c>
      <c r="N962" s="2">
        <v>0</v>
      </c>
      <c r="O962" s="2">
        <v>0</v>
      </c>
      <c r="P962" s="2">
        <v>638.15</v>
      </c>
      <c r="Q962" s="2">
        <v>638.15</v>
      </c>
      <c r="R962" s="2">
        <v>0</v>
      </c>
      <c r="S962" s="2">
        <v>0</v>
      </c>
      <c r="T962" s="2">
        <v>0</v>
      </c>
      <c r="U962" s="2">
        <v>638.15</v>
      </c>
      <c r="V962" s="2">
        <v>638.15</v>
      </c>
      <c r="W962" s="2">
        <v>638.15</v>
      </c>
    </row>
    <row r="963" spans="1:23" outlineLevel="2" x14ac:dyDescent="0.2">
      <c r="A963" t="s">
        <v>0</v>
      </c>
      <c r="B963" t="s">
        <v>39</v>
      </c>
      <c r="C963" t="s">
        <v>58</v>
      </c>
      <c r="D963" t="s">
        <v>137</v>
      </c>
      <c r="E963" t="s">
        <v>138</v>
      </c>
      <c r="F963" t="s">
        <v>5</v>
      </c>
      <c r="G963" t="s">
        <v>6</v>
      </c>
      <c r="H963" t="s">
        <v>35</v>
      </c>
      <c r="I963" t="s">
        <v>36</v>
      </c>
      <c r="J963" t="s">
        <v>9</v>
      </c>
      <c r="K963" t="s">
        <v>318</v>
      </c>
      <c r="L963" t="s">
        <v>325</v>
      </c>
      <c r="M963" t="s">
        <v>12</v>
      </c>
      <c r="N963" s="2">
        <v>0</v>
      </c>
      <c r="O963" s="2">
        <v>0</v>
      </c>
      <c r="P963" s="2">
        <v>240.4</v>
      </c>
      <c r="Q963" s="2">
        <v>240.4</v>
      </c>
      <c r="R963" s="2">
        <v>0</v>
      </c>
      <c r="S963" s="2">
        <v>0</v>
      </c>
      <c r="T963" s="2">
        <v>0</v>
      </c>
      <c r="U963" s="2">
        <v>240.4</v>
      </c>
      <c r="V963" s="2">
        <v>240.4</v>
      </c>
      <c r="W963" s="2">
        <v>240.4</v>
      </c>
    </row>
    <row r="964" spans="1:23" outlineLevel="2" x14ac:dyDescent="0.2">
      <c r="A964" t="s">
        <v>0</v>
      </c>
      <c r="B964" t="s">
        <v>31</v>
      </c>
      <c r="C964" t="s">
        <v>32</v>
      </c>
      <c r="D964" t="s">
        <v>141</v>
      </c>
      <c r="E964" t="s">
        <v>142</v>
      </c>
      <c r="F964" t="s">
        <v>5</v>
      </c>
      <c r="G964" t="s">
        <v>6</v>
      </c>
      <c r="H964" t="s">
        <v>35</v>
      </c>
      <c r="I964" t="s">
        <v>36</v>
      </c>
      <c r="J964" t="s">
        <v>9</v>
      </c>
      <c r="K964" t="s">
        <v>318</v>
      </c>
      <c r="L964" t="s">
        <v>320</v>
      </c>
      <c r="M964" t="s">
        <v>12</v>
      </c>
      <c r="N964" s="2">
        <v>0</v>
      </c>
      <c r="O964" s="2">
        <v>0</v>
      </c>
      <c r="P964" s="2">
        <v>4016.58</v>
      </c>
      <c r="Q964" s="2">
        <v>4016.58</v>
      </c>
      <c r="R964" s="2">
        <v>0</v>
      </c>
      <c r="S964" s="2">
        <v>0</v>
      </c>
      <c r="T964" s="2">
        <v>0</v>
      </c>
      <c r="U964" s="2">
        <v>4016.58</v>
      </c>
      <c r="V964" s="2">
        <v>4016.58</v>
      </c>
      <c r="W964" s="2">
        <v>4016.58</v>
      </c>
    </row>
    <row r="965" spans="1:23" outlineLevel="2" x14ac:dyDescent="0.2">
      <c r="A965" t="s">
        <v>0</v>
      </c>
      <c r="B965" t="s">
        <v>39</v>
      </c>
      <c r="C965" t="s">
        <v>70</v>
      </c>
      <c r="D965" t="s">
        <v>71</v>
      </c>
      <c r="E965" t="s">
        <v>72</v>
      </c>
      <c r="F965" t="s">
        <v>5</v>
      </c>
      <c r="G965" t="s">
        <v>6</v>
      </c>
      <c r="H965" t="s">
        <v>35</v>
      </c>
      <c r="I965" t="s">
        <v>36</v>
      </c>
      <c r="J965" t="s">
        <v>9</v>
      </c>
      <c r="K965" t="s">
        <v>318</v>
      </c>
      <c r="L965" t="s">
        <v>319</v>
      </c>
      <c r="M965" t="s">
        <v>12</v>
      </c>
      <c r="N965" s="2">
        <v>0</v>
      </c>
      <c r="O965" s="2">
        <v>0</v>
      </c>
      <c r="P965" s="2">
        <v>3259.01</v>
      </c>
      <c r="Q965" s="2">
        <v>3259.01</v>
      </c>
      <c r="R965" s="2">
        <v>0</v>
      </c>
      <c r="S965" s="2">
        <v>0</v>
      </c>
      <c r="T965" s="2">
        <v>0</v>
      </c>
      <c r="U965" s="2">
        <v>3259.01</v>
      </c>
      <c r="V965" s="2">
        <v>3259.01</v>
      </c>
      <c r="W965" s="2">
        <v>3259.01</v>
      </c>
    </row>
    <row r="966" spans="1:23" outlineLevel="2" x14ac:dyDescent="0.2">
      <c r="A966" t="s">
        <v>0</v>
      </c>
      <c r="B966" t="s">
        <v>39</v>
      </c>
      <c r="C966" t="s">
        <v>66</v>
      </c>
      <c r="D966" t="s">
        <v>121</v>
      </c>
      <c r="E966" t="s">
        <v>122</v>
      </c>
      <c r="F966" t="s">
        <v>5</v>
      </c>
      <c r="G966" t="s">
        <v>6</v>
      </c>
      <c r="H966" t="s">
        <v>35</v>
      </c>
      <c r="I966" t="s">
        <v>36</v>
      </c>
      <c r="J966" t="s">
        <v>9</v>
      </c>
      <c r="K966" t="s">
        <v>318</v>
      </c>
      <c r="L966" t="s">
        <v>327</v>
      </c>
      <c r="M966" t="s">
        <v>12</v>
      </c>
      <c r="N966" s="2">
        <v>0</v>
      </c>
      <c r="O966" s="2">
        <v>0</v>
      </c>
      <c r="P966" s="2">
        <v>1264.27</v>
      </c>
      <c r="Q966" s="2">
        <v>1264.27</v>
      </c>
      <c r="R966" s="2">
        <v>0</v>
      </c>
      <c r="S966" s="2">
        <v>334.6</v>
      </c>
      <c r="T966" s="2">
        <v>334.6</v>
      </c>
      <c r="U966" s="2">
        <v>929.67</v>
      </c>
      <c r="V966" s="2">
        <v>929.67</v>
      </c>
      <c r="W966" s="2">
        <v>929.67</v>
      </c>
    </row>
    <row r="967" spans="1:23" outlineLevel="2" x14ac:dyDescent="0.2">
      <c r="A967" t="s">
        <v>0</v>
      </c>
      <c r="B967" t="s">
        <v>39</v>
      </c>
      <c r="C967" t="s">
        <v>58</v>
      </c>
      <c r="D967" t="s">
        <v>129</v>
      </c>
      <c r="E967" t="s">
        <v>130</v>
      </c>
      <c r="F967" t="s">
        <v>5</v>
      </c>
      <c r="G967" t="s">
        <v>6</v>
      </c>
      <c r="H967" t="s">
        <v>35</v>
      </c>
      <c r="I967" t="s">
        <v>36</v>
      </c>
      <c r="J967" t="s">
        <v>9</v>
      </c>
      <c r="K967" t="s">
        <v>318</v>
      </c>
      <c r="L967" t="s">
        <v>325</v>
      </c>
      <c r="M967" t="s">
        <v>12</v>
      </c>
      <c r="N967" s="2">
        <v>0</v>
      </c>
      <c r="O967" s="2">
        <v>0</v>
      </c>
      <c r="P967" s="2">
        <v>2986.84</v>
      </c>
      <c r="Q967" s="2">
        <v>2986.84</v>
      </c>
      <c r="R967" s="2">
        <v>0</v>
      </c>
      <c r="S967" s="2">
        <v>0</v>
      </c>
      <c r="T967" s="2">
        <v>0</v>
      </c>
      <c r="U967" s="2">
        <v>2986.84</v>
      </c>
      <c r="V967" s="2">
        <v>2986.84</v>
      </c>
      <c r="W967" s="2">
        <v>2986.84</v>
      </c>
    </row>
    <row r="968" spans="1:23" outlineLevel="2" x14ac:dyDescent="0.2">
      <c r="A968" t="s">
        <v>0</v>
      </c>
      <c r="B968" t="s">
        <v>39</v>
      </c>
      <c r="C968" t="s">
        <v>58</v>
      </c>
      <c r="D968" t="s">
        <v>59</v>
      </c>
      <c r="E968" t="s">
        <v>60</v>
      </c>
      <c r="F968" t="s">
        <v>5</v>
      </c>
      <c r="G968" t="s">
        <v>6</v>
      </c>
      <c r="H968" t="s">
        <v>35</v>
      </c>
      <c r="I968" t="s">
        <v>36</v>
      </c>
      <c r="J968" t="s">
        <v>9</v>
      </c>
      <c r="K968" t="s">
        <v>318</v>
      </c>
      <c r="L968" t="s">
        <v>325</v>
      </c>
      <c r="M968" t="s">
        <v>12</v>
      </c>
      <c r="N968" s="2">
        <v>0</v>
      </c>
      <c r="O968" s="2">
        <v>0</v>
      </c>
      <c r="P968" s="2">
        <v>1711.18</v>
      </c>
      <c r="Q968" s="2">
        <v>1711.18</v>
      </c>
      <c r="R968" s="2">
        <v>0</v>
      </c>
      <c r="S968" s="2">
        <v>0</v>
      </c>
      <c r="T968" s="2">
        <v>0</v>
      </c>
      <c r="U968" s="2">
        <v>1711.18</v>
      </c>
      <c r="V968" s="2">
        <v>1711.18</v>
      </c>
      <c r="W968" s="2">
        <v>1711.18</v>
      </c>
    </row>
    <row r="969" spans="1:23" outlineLevel="2" x14ac:dyDescent="0.2">
      <c r="A969" t="s">
        <v>0</v>
      </c>
      <c r="B969" t="s">
        <v>39</v>
      </c>
      <c r="C969" t="s">
        <v>58</v>
      </c>
      <c r="D969" t="s">
        <v>143</v>
      </c>
      <c r="E969" t="s">
        <v>144</v>
      </c>
      <c r="F969" t="s">
        <v>5</v>
      </c>
      <c r="G969" t="s">
        <v>6</v>
      </c>
      <c r="H969" t="s">
        <v>35</v>
      </c>
      <c r="I969" t="s">
        <v>36</v>
      </c>
      <c r="J969" t="s">
        <v>9</v>
      </c>
      <c r="K969" t="s">
        <v>318</v>
      </c>
      <c r="L969" t="s">
        <v>325</v>
      </c>
      <c r="M969" t="s">
        <v>15</v>
      </c>
      <c r="N969" s="2">
        <v>6108.14</v>
      </c>
      <c r="O969" s="2">
        <v>0</v>
      </c>
      <c r="P969" s="2">
        <v>-6108.14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</row>
    <row r="970" spans="1:23" outlineLevel="2" x14ac:dyDescent="0.2">
      <c r="A970" t="s">
        <v>0</v>
      </c>
      <c r="B970" t="s">
        <v>31</v>
      </c>
      <c r="C970" t="s">
        <v>79</v>
      </c>
      <c r="D970" t="s">
        <v>127</v>
      </c>
      <c r="E970" t="s">
        <v>128</v>
      </c>
      <c r="F970" t="s">
        <v>5</v>
      </c>
      <c r="G970" t="s">
        <v>6</v>
      </c>
      <c r="H970" t="s">
        <v>35</v>
      </c>
      <c r="I970" t="s">
        <v>36</v>
      </c>
      <c r="J970" t="s">
        <v>9</v>
      </c>
      <c r="K970" t="s">
        <v>318</v>
      </c>
      <c r="L970" t="s">
        <v>333</v>
      </c>
      <c r="M970" t="s">
        <v>12</v>
      </c>
      <c r="N970" s="2">
        <v>0</v>
      </c>
      <c r="O970" s="2">
        <v>0</v>
      </c>
      <c r="P970" s="2">
        <v>822.7</v>
      </c>
      <c r="Q970" s="2">
        <v>822.7</v>
      </c>
      <c r="R970" s="2">
        <v>0</v>
      </c>
      <c r="S970" s="2">
        <v>0</v>
      </c>
      <c r="T970" s="2">
        <v>0</v>
      </c>
      <c r="U970" s="2">
        <v>822.7</v>
      </c>
      <c r="V970" s="2">
        <v>822.7</v>
      </c>
      <c r="W970" s="2">
        <v>822.7</v>
      </c>
    </row>
    <row r="971" spans="1:23" outlineLevel="2" x14ac:dyDescent="0.2">
      <c r="A971" t="s">
        <v>0</v>
      </c>
      <c r="B971" t="s">
        <v>39</v>
      </c>
      <c r="C971" t="s">
        <v>58</v>
      </c>
      <c r="D971" t="s">
        <v>143</v>
      </c>
      <c r="E971" t="s">
        <v>144</v>
      </c>
      <c r="F971" t="s">
        <v>5</v>
      </c>
      <c r="G971" t="s">
        <v>6</v>
      </c>
      <c r="H971" t="s">
        <v>35</v>
      </c>
      <c r="I971" t="s">
        <v>36</v>
      </c>
      <c r="J971" t="s">
        <v>9</v>
      </c>
      <c r="K971" t="s">
        <v>318</v>
      </c>
      <c r="L971" t="s">
        <v>325</v>
      </c>
      <c r="M971" t="s">
        <v>12</v>
      </c>
      <c r="N971" s="2">
        <v>0</v>
      </c>
      <c r="O971" s="2">
        <v>0</v>
      </c>
      <c r="P971" s="2">
        <v>3054.07</v>
      </c>
      <c r="Q971" s="2">
        <v>3054.07</v>
      </c>
      <c r="R971" s="2">
        <v>0</v>
      </c>
      <c r="S971" s="2">
        <v>0</v>
      </c>
      <c r="T971" s="2">
        <v>0</v>
      </c>
      <c r="U971" s="2">
        <v>3054.07</v>
      </c>
      <c r="V971" s="2">
        <v>3054.07</v>
      </c>
      <c r="W971" s="2">
        <v>3054.07</v>
      </c>
    </row>
    <row r="972" spans="1:23" outlineLevel="2" x14ac:dyDescent="0.2">
      <c r="A972" t="s">
        <v>0</v>
      </c>
      <c r="B972" t="s">
        <v>31</v>
      </c>
      <c r="C972" t="s">
        <v>32</v>
      </c>
      <c r="D972" t="s">
        <v>123</v>
      </c>
      <c r="E972" t="s">
        <v>124</v>
      </c>
      <c r="F972" t="s">
        <v>5</v>
      </c>
      <c r="G972" t="s">
        <v>6</v>
      </c>
      <c r="H972" t="s">
        <v>35</v>
      </c>
      <c r="I972" t="s">
        <v>36</v>
      </c>
      <c r="J972" t="s">
        <v>9</v>
      </c>
      <c r="K972" t="s">
        <v>335</v>
      </c>
      <c r="L972" t="s">
        <v>336</v>
      </c>
      <c r="M972" t="s">
        <v>12</v>
      </c>
      <c r="N972" s="2">
        <v>0</v>
      </c>
      <c r="O972" s="2">
        <v>1120</v>
      </c>
      <c r="P972" s="2">
        <v>531.66</v>
      </c>
      <c r="Q972" s="2">
        <v>1651.66</v>
      </c>
      <c r="R972" s="2">
        <v>0</v>
      </c>
      <c r="S972" s="2">
        <v>824</v>
      </c>
      <c r="T972" s="2">
        <v>824</v>
      </c>
      <c r="U972" s="2">
        <v>827.66</v>
      </c>
      <c r="V972" s="2">
        <v>827.66</v>
      </c>
      <c r="W972" s="2">
        <v>827.66</v>
      </c>
    </row>
    <row r="973" spans="1:23" outlineLevel="2" x14ac:dyDescent="0.2">
      <c r="A973" t="s">
        <v>0</v>
      </c>
      <c r="B973" t="s">
        <v>1</v>
      </c>
      <c r="C973" t="s">
        <v>2</v>
      </c>
      <c r="D973" t="s">
        <v>3</v>
      </c>
      <c r="E973" t="s">
        <v>4</v>
      </c>
      <c r="F973" t="s">
        <v>5</v>
      </c>
      <c r="G973" t="s">
        <v>6</v>
      </c>
      <c r="H973" t="s">
        <v>35</v>
      </c>
      <c r="I973" t="s">
        <v>36</v>
      </c>
      <c r="J973" t="s">
        <v>9</v>
      </c>
      <c r="K973" t="s">
        <v>335</v>
      </c>
      <c r="L973" t="s">
        <v>337</v>
      </c>
      <c r="M973" t="s">
        <v>15</v>
      </c>
      <c r="N973" s="2">
        <v>11841.14</v>
      </c>
      <c r="O973" s="2">
        <v>1500</v>
      </c>
      <c r="P973" s="2">
        <v>-2374.4699999999998</v>
      </c>
      <c r="Q973" s="2">
        <v>10966.67</v>
      </c>
      <c r="R973" s="2">
        <v>0</v>
      </c>
      <c r="S973" s="2">
        <v>10966.67</v>
      </c>
      <c r="T973" s="2">
        <v>10966.67</v>
      </c>
      <c r="U973" s="2">
        <v>0</v>
      </c>
      <c r="V973" s="2">
        <v>0</v>
      </c>
      <c r="W973" s="2">
        <v>0</v>
      </c>
    </row>
    <row r="974" spans="1:23" outlineLevel="2" x14ac:dyDescent="0.2">
      <c r="A974" t="s">
        <v>0</v>
      </c>
      <c r="B974" t="s">
        <v>31</v>
      </c>
      <c r="C974" t="s">
        <v>79</v>
      </c>
      <c r="D974" t="s">
        <v>111</v>
      </c>
      <c r="E974" t="s">
        <v>112</v>
      </c>
      <c r="F974" t="s">
        <v>5</v>
      </c>
      <c r="G974" t="s">
        <v>6</v>
      </c>
      <c r="H974" t="s">
        <v>35</v>
      </c>
      <c r="I974" t="s">
        <v>36</v>
      </c>
      <c r="J974" t="s">
        <v>9</v>
      </c>
      <c r="K974" t="s">
        <v>335</v>
      </c>
      <c r="L974" t="s">
        <v>338</v>
      </c>
      <c r="M974" t="s">
        <v>12</v>
      </c>
      <c r="N974" s="2">
        <v>0</v>
      </c>
      <c r="O974" s="2">
        <v>0</v>
      </c>
      <c r="P974" s="2">
        <v>13355.37</v>
      </c>
      <c r="Q974" s="2">
        <v>13355.37</v>
      </c>
      <c r="R974" s="2">
        <v>0</v>
      </c>
      <c r="S974" s="2">
        <v>650</v>
      </c>
      <c r="T974" s="2">
        <v>650</v>
      </c>
      <c r="U974" s="2">
        <v>12705.37</v>
      </c>
      <c r="V974" s="2">
        <v>12705.37</v>
      </c>
      <c r="W974" s="2">
        <v>12705.37</v>
      </c>
    </row>
    <row r="975" spans="1:23" outlineLevel="2" x14ac:dyDescent="0.2">
      <c r="A975" t="s">
        <v>0</v>
      </c>
      <c r="B975" t="s">
        <v>39</v>
      </c>
      <c r="C975" t="s">
        <v>58</v>
      </c>
      <c r="D975" t="s">
        <v>129</v>
      </c>
      <c r="E975" t="s">
        <v>130</v>
      </c>
      <c r="F975" t="s">
        <v>5</v>
      </c>
      <c r="G975" t="s">
        <v>6</v>
      </c>
      <c r="H975" t="s">
        <v>35</v>
      </c>
      <c r="I975" t="s">
        <v>36</v>
      </c>
      <c r="J975" t="s">
        <v>9</v>
      </c>
      <c r="K975" t="s">
        <v>335</v>
      </c>
      <c r="L975" t="s">
        <v>339</v>
      </c>
      <c r="M975" t="s">
        <v>15</v>
      </c>
      <c r="N975" s="2">
        <v>7409.36</v>
      </c>
      <c r="O975" s="2">
        <v>0</v>
      </c>
      <c r="P975" s="2">
        <v>-6629.36</v>
      </c>
      <c r="Q975" s="2">
        <v>780</v>
      </c>
      <c r="R975" s="2">
        <v>0</v>
      </c>
      <c r="S975" s="2">
        <v>780</v>
      </c>
      <c r="T975" s="2">
        <v>780</v>
      </c>
      <c r="U975" s="2">
        <v>0</v>
      </c>
      <c r="V975" s="2">
        <v>0</v>
      </c>
      <c r="W975" s="2">
        <v>0</v>
      </c>
    </row>
    <row r="976" spans="1:23" outlineLevel="2" x14ac:dyDescent="0.2">
      <c r="A976" t="s">
        <v>0</v>
      </c>
      <c r="B976" t="s">
        <v>39</v>
      </c>
      <c r="C976" t="s">
        <v>66</v>
      </c>
      <c r="D976" t="s">
        <v>121</v>
      </c>
      <c r="E976" t="s">
        <v>122</v>
      </c>
      <c r="F976" t="s">
        <v>5</v>
      </c>
      <c r="G976" t="s">
        <v>6</v>
      </c>
      <c r="H976" t="s">
        <v>35</v>
      </c>
      <c r="I976" t="s">
        <v>36</v>
      </c>
      <c r="J976" t="s">
        <v>9</v>
      </c>
      <c r="K976" t="s">
        <v>335</v>
      </c>
      <c r="L976" t="s">
        <v>340</v>
      </c>
      <c r="M976" t="s">
        <v>15</v>
      </c>
      <c r="N976" s="2">
        <v>3085.3</v>
      </c>
      <c r="O976" s="2">
        <v>1221.3599999999999</v>
      </c>
      <c r="P976" s="2">
        <v>0</v>
      </c>
      <c r="Q976" s="2">
        <v>4306.66</v>
      </c>
      <c r="R976" s="2">
        <v>0</v>
      </c>
      <c r="S976" s="2">
        <v>4306.66</v>
      </c>
      <c r="T976" s="2">
        <v>4306.66</v>
      </c>
      <c r="U976" s="2">
        <v>0</v>
      </c>
      <c r="V976" s="2">
        <v>0</v>
      </c>
      <c r="W976" s="2">
        <v>0</v>
      </c>
    </row>
    <row r="977" spans="1:23" outlineLevel="2" x14ac:dyDescent="0.2">
      <c r="A977" t="s">
        <v>0</v>
      </c>
      <c r="B977" t="s">
        <v>39</v>
      </c>
      <c r="C977" t="s">
        <v>70</v>
      </c>
      <c r="D977" t="s">
        <v>89</v>
      </c>
      <c r="E977" t="s">
        <v>90</v>
      </c>
      <c r="F977" t="s">
        <v>5</v>
      </c>
      <c r="G977" t="s">
        <v>6</v>
      </c>
      <c r="H977" t="s">
        <v>35</v>
      </c>
      <c r="I977" t="s">
        <v>36</v>
      </c>
      <c r="J977" t="s">
        <v>9</v>
      </c>
      <c r="K977" t="s">
        <v>335</v>
      </c>
      <c r="L977" t="s">
        <v>341</v>
      </c>
      <c r="M977" t="s">
        <v>12</v>
      </c>
      <c r="N977" s="2">
        <v>0</v>
      </c>
      <c r="O977" s="2">
        <v>0</v>
      </c>
      <c r="P977" s="2">
        <v>19015.07</v>
      </c>
      <c r="Q977" s="2">
        <v>19015.07</v>
      </c>
      <c r="R977" s="2">
        <v>0</v>
      </c>
      <c r="S977" s="2">
        <v>0</v>
      </c>
      <c r="T977" s="2">
        <v>0</v>
      </c>
      <c r="U977" s="2">
        <v>19015.07</v>
      </c>
      <c r="V977" s="2">
        <v>19015.07</v>
      </c>
      <c r="W977" s="2">
        <v>19015.07</v>
      </c>
    </row>
    <row r="978" spans="1:23" outlineLevel="2" x14ac:dyDescent="0.2">
      <c r="A978" t="s">
        <v>0</v>
      </c>
      <c r="B978" t="s">
        <v>31</v>
      </c>
      <c r="C978" t="s">
        <v>79</v>
      </c>
      <c r="D978" t="s">
        <v>113</v>
      </c>
      <c r="E978" t="s">
        <v>114</v>
      </c>
      <c r="F978" t="s">
        <v>5</v>
      </c>
      <c r="G978" t="s">
        <v>6</v>
      </c>
      <c r="H978" t="s">
        <v>35</v>
      </c>
      <c r="I978" t="s">
        <v>36</v>
      </c>
      <c r="J978" t="s">
        <v>9</v>
      </c>
      <c r="K978" t="s">
        <v>335</v>
      </c>
      <c r="L978" t="s">
        <v>338</v>
      </c>
      <c r="M978" t="s">
        <v>15</v>
      </c>
      <c r="N978" s="2">
        <v>6233.19</v>
      </c>
      <c r="O978" s="2">
        <v>0</v>
      </c>
      <c r="P978" s="2">
        <v>-6233.19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</row>
    <row r="979" spans="1:23" outlineLevel="2" x14ac:dyDescent="0.2">
      <c r="A979" t="s">
        <v>0</v>
      </c>
      <c r="B979" t="s">
        <v>31</v>
      </c>
      <c r="C979" t="s">
        <v>107</v>
      </c>
      <c r="D979" t="s">
        <v>108</v>
      </c>
      <c r="E979" t="s">
        <v>109</v>
      </c>
      <c r="F979" t="s">
        <v>5</v>
      </c>
      <c r="G979" t="s">
        <v>6</v>
      </c>
      <c r="H979" t="s">
        <v>35</v>
      </c>
      <c r="I979" t="s">
        <v>36</v>
      </c>
      <c r="J979" t="s">
        <v>9</v>
      </c>
      <c r="K979" t="s">
        <v>335</v>
      </c>
      <c r="L979" t="s">
        <v>342</v>
      </c>
      <c r="M979" t="s">
        <v>12</v>
      </c>
      <c r="N979" s="2">
        <v>0</v>
      </c>
      <c r="O979" s="2">
        <v>0</v>
      </c>
      <c r="P979" s="2">
        <v>5291.15</v>
      </c>
      <c r="Q979" s="2">
        <v>5291.15</v>
      </c>
      <c r="R979" s="2">
        <v>0</v>
      </c>
      <c r="S979" s="2">
        <v>1160</v>
      </c>
      <c r="T979" s="2">
        <v>1160</v>
      </c>
      <c r="U979" s="2">
        <v>4131.1499999999996</v>
      </c>
      <c r="V979" s="2">
        <v>4131.1499999999996</v>
      </c>
      <c r="W979" s="2">
        <v>4131.1499999999996</v>
      </c>
    </row>
    <row r="980" spans="1:23" outlineLevel="2" x14ac:dyDescent="0.2">
      <c r="A980" t="s">
        <v>0</v>
      </c>
      <c r="B980" t="s">
        <v>39</v>
      </c>
      <c r="C980" t="s">
        <v>40</v>
      </c>
      <c r="D980" t="s">
        <v>41</v>
      </c>
      <c r="E980" t="s">
        <v>42</v>
      </c>
      <c r="F980" t="s">
        <v>5</v>
      </c>
      <c r="G980" t="s">
        <v>6</v>
      </c>
      <c r="H980" t="s">
        <v>35</v>
      </c>
      <c r="I980" t="s">
        <v>36</v>
      </c>
      <c r="J980" t="s">
        <v>9</v>
      </c>
      <c r="K980" t="s">
        <v>335</v>
      </c>
      <c r="L980" t="s">
        <v>343</v>
      </c>
      <c r="M980" t="s">
        <v>15</v>
      </c>
      <c r="N980" s="2">
        <v>4771.13</v>
      </c>
      <c r="O980" s="2">
        <v>1055.54</v>
      </c>
      <c r="P980" s="2">
        <v>0</v>
      </c>
      <c r="Q980" s="2">
        <v>5826.67</v>
      </c>
      <c r="R980" s="2">
        <v>0</v>
      </c>
      <c r="S980" s="2">
        <v>5826.67</v>
      </c>
      <c r="T980" s="2">
        <v>5826.67</v>
      </c>
      <c r="U980" s="2">
        <v>0</v>
      </c>
      <c r="V980" s="2">
        <v>0</v>
      </c>
      <c r="W980" s="2">
        <v>0</v>
      </c>
    </row>
    <row r="981" spans="1:23" outlineLevel="2" x14ac:dyDescent="0.2">
      <c r="A981" t="s">
        <v>0</v>
      </c>
      <c r="B981" t="s">
        <v>31</v>
      </c>
      <c r="C981" t="s">
        <v>79</v>
      </c>
      <c r="D981" t="s">
        <v>80</v>
      </c>
      <c r="E981" t="s">
        <v>81</v>
      </c>
      <c r="F981" t="s">
        <v>5</v>
      </c>
      <c r="G981" t="s">
        <v>6</v>
      </c>
      <c r="H981" t="s">
        <v>35</v>
      </c>
      <c r="I981" t="s">
        <v>36</v>
      </c>
      <c r="J981" t="s">
        <v>9</v>
      </c>
      <c r="K981" t="s">
        <v>335</v>
      </c>
      <c r="L981" t="s">
        <v>338</v>
      </c>
      <c r="M981" t="s">
        <v>15</v>
      </c>
      <c r="N981" s="2">
        <v>2352.56</v>
      </c>
      <c r="O981" s="2">
        <v>0</v>
      </c>
      <c r="P981" s="2">
        <v>-2352.56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</row>
    <row r="982" spans="1:23" outlineLevel="2" x14ac:dyDescent="0.2">
      <c r="A982" t="s">
        <v>0</v>
      </c>
      <c r="B982" t="s">
        <v>39</v>
      </c>
      <c r="C982" t="s">
        <v>58</v>
      </c>
      <c r="D982" t="s">
        <v>105</v>
      </c>
      <c r="E982" t="s">
        <v>106</v>
      </c>
      <c r="F982" t="s">
        <v>5</v>
      </c>
      <c r="G982" t="s">
        <v>6</v>
      </c>
      <c r="H982" t="s">
        <v>35</v>
      </c>
      <c r="I982" t="s">
        <v>36</v>
      </c>
      <c r="J982" t="s">
        <v>9</v>
      </c>
      <c r="K982" t="s">
        <v>335</v>
      </c>
      <c r="L982" t="s">
        <v>339</v>
      </c>
      <c r="M982" t="s">
        <v>15</v>
      </c>
      <c r="N982" s="2">
        <v>11936.24</v>
      </c>
      <c r="O982" s="2">
        <v>0</v>
      </c>
      <c r="P982" s="2">
        <v>-11386.24</v>
      </c>
      <c r="Q982" s="2">
        <v>550</v>
      </c>
      <c r="R982" s="2">
        <v>0</v>
      </c>
      <c r="S982" s="2">
        <v>550</v>
      </c>
      <c r="T982" s="2">
        <v>550</v>
      </c>
      <c r="U982" s="2">
        <v>0</v>
      </c>
      <c r="V982" s="2">
        <v>0</v>
      </c>
      <c r="W982" s="2">
        <v>0</v>
      </c>
    </row>
    <row r="983" spans="1:23" outlineLevel="2" x14ac:dyDescent="0.2">
      <c r="A983" t="s">
        <v>0</v>
      </c>
      <c r="B983" t="s">
        <v>39</v>
      </c>
      <c r="C983" t="s">
        <v>70</v>
      </c>
      <c r="D983" t="s">
        <v>71</v>
      </c>
      <c r="E983" t="s">
        <v>72</v>
      </c>
      <c r="F983" t="s">
        <v>5</v>
      </c>
      <c r="G983" t="s">
        <v>6</v>
      </c>
      <c r="H983" t="s">
        <v>35</v>
      </c>
      <c r="I983" t="s">
        <v>36</v>
      </c>
      <c r="J983" t="s">
        <v>9</v>
      </c>
      <c r="K983" t="s">
        <v>335</v>
      </c>
      <c r="L983" t="s">
        <v>341</v>
      </c>
      <c r="M983" t="s">
        <v>15</v>
      </c>
      <c r="N983" s="2">
        <v>5981.41</v>
      </c>
      <c r="O983" s="2">
        <v>170</v>
      </c>
      <c r="P983" s="2">
        <v>-3.58</v>
      </c>
      <c r="Q983" s="2">
        <v>6147.83</v>
      </c>
      <c r="R983" s="2">
        <v>0</v>
      </c>
      <c r="S983" s="2">
        <v>6147.83</v>
      </c>
      <c r="T983" s="2">
        <v>6147.83</v>
      </c>
      <c r="U983" s="2">
        <v>0</v>
      </c>
      <c r="V983" s="2">
        <v>0</v>
      </c>
      <c r="W983" s="2">
        <v>0</v>
      </c>
    </row>
    <row r="984" spans="1:23" outlineLevel="2" x14ac:dyDescent="0.2">
      <c r="A984" t="s">
        <v>0</v>
      </c>
      <c r="B984" t="s">
        <v>31</v>
      </c>
      <c r="C984" t="s">
        <v>79</v>
      </c>
      <c r="D984" t="s">
        <v>127</v>
      </c>
      <c r="E984" t="s">
        <v>128</v>
      </c>
      <c r="F984" t="s">
        <v>5</v>
      </c>
      <c r="G984" t="s">
        <v>6</v>
      </c>
      <c r="H984" t="s">
        <v>35</v>
      </c>
      <c r="I984" t="s">
        <v>36</v>
      </c>
      <c r="J984" t="s">
        <v>9</v>
      </c>
      <c r="K984" t="s">
        <v>335</v>
      </c>
      <c r="L984" t="s">
        <v>338</v>
      </c>
      <c r="M984" t="s">
        <v>12</v>
      </c>
      <c r="N984" s="2">
        <v>0</v>
      </c>
      <c r="O984" s="2">
        <v>0</v>
      </c>
      <c r="P984" s="2">
        <v>1095</v>
      </c>
      <c r="Q984" s="2">
        <v>1095</v>
      </c>
      <c r="R984" s="2">
        <v>0</v>
      </c>
      <c r="S984" s="2">
        <v>438</v>
      </c>
      <c r="T984" s="2">
        <v>438</v>
      </c>
      <c r="U984" s="2">
        <v>657</v>
      </c>
      <c r="V984" s="2">
        <v>657</v>
      </c>
      <c r="W984" s="2">
        <v>657</v>
      </c>
    </row>
    <row r="985" spans="1:23" outlineLevel="2" x14ac:dyDescent="0.2">
      <c r="A985" t="s">
        <v>0</v>
      </c>
      <c r="B985" t="s">
        <v>31</v>
      </c>
      <c r="C985" t="s">
        <v>79</v>
      </c>
      <c r="D985" t="s">
        <v>125</v>
      </c>
      <c r="E985" t="s">
        <v>126</v>
      </c>
      <c r="F985" t="s">
        <v>5</v>
      </c>
      <c r="G985" t="s">
        <v>6</v>
      </c>
      <c r="H985" t="s">
        <v>35</v>
      </c>
      <c r="I985" t="s">
        <v>36</v>
      </c>
      <c r="J985" t="s">
        <v>9</v>
      </c>
      <c r="K985" t="s">
        <v>335</v>
      </c>
      <c r="L985" t="s">
        <v>338</v>
      </c>
      <c r="M985" t="s">
        <v>12</v>
      </c>
      <c r="N985" s="2">
        <v>0</v>
      </c>
      <c r="O985" s="2">
        <v>0</v>
      </c>
      <c r="P985" s="2">
        <v>3925.4</v>
      </c>
      <c r="Q985" s="2">
        <v>3925.4</v>
      </c>
      <c r="R985" s="2">
        <v>0</v>
      </c>
      <c r="S985" s="2">
        <v>824</v>
      </c>
      <c r="T985" s="2">
        <v>824</v>
      </c>
      <c r="U985" s="2">
        <v>3101.4</v>
      </c>
      <c r="V985" s="2">
        <v>3101.4</v>
      </c>
      <c r="W985" s="2">
        <v>3101.4</v>
      </c>
    </row>
    <row r="986" spans="1:23" outlineLevel="2" x14ac:dyDescent="0.2">
      <c r="A986" t="s">
        <v>0</v>
      </c>
      <c r="B986" t="s">
        <v>39</v>
      </c>
      <c r="C986" t="s">
        <v>58</v>
      </c>
      <c r="D986" t="s">
        <v>143</v>
      </c>
      <c r="E986" t="s">
        <v>144</v>
      </c>
      <c r="F986" t="s">
        <v>5</v>
      </c>
      <c r="G986" t="s">
        <v>6</v>
      </c>
      <c r="H986" t="s">
        <v>35</v>
      </c>
      <c r="I986" t="s">
        <v>36</v>
      </c>
      <c r="J986" t="s">
        <v>9</v>
      </c>
      <c r="K986" t="s">
        <v>335</v>
      </c>
      <c r="L986" t="s">
        <v>339</v>
      </c>
      <c r="M986" t="s">
        <v>15</v>
      </c>
      <c r="N986" s="2">
        <v>5216.28</v>
      </c>
      <c r="O986" s="2">
        <v>0</v>
      </c>
      <c r="P986" s="2">
        <v>-1967.45</v>
      </c>
      <c r="Q986" s="2">
        <v>3248.83</v>
      </c>
      <c r="R986" s="2">
        <v>0</v>
      </c>
      <c r="S986" s="2">
        <v>3248.83</v>
      </c>
      <c r="T986" s="2">
        <v>3248.83</v>
      </c>
      <c r="U986" s="2">
        <v>0</v>
      </c>
      <c r="V986" s="2">
        <v>0</v>
      </c>
      <c r="W986" s="2">
        <v>0</v>
      </c>
    </row>
    <row r="987" spans="1:23" outlineLevel="2" x14ac:dyDescent="0.2">
      <c r="A987" t="s">
        <v>0</v>
      </c>
      <c r="B987" t="s">
        <v>31</v>
      </c>
      <c r="C987" t="s">
        <v>79</v>
      </c>
      <c r="D987" t="s">
        <v>131</v>
      </c>
      <c r="E987" t="s">
        <v>132</v>
      </c>
      <c r="F987" t="s">
        <v>5</v>
      </c>
      <c r="G987" t="s">
        <v>6</v>
      </c>
      <c r="H987" t="s">
        <v>35</v>
      </c>
      <c r="I987" t="s">
        <v>36</v>
      </c>
      <c r="J987" t="s">
        <v>9</v>
      </c>
      <c r="K987" t="s">
        <v>335</v>
      </c>
      <c r="L987" t="s">
        <v>338</v>
      </c>
      <c r="M987" t="s">
        <v>15</v>
      </c>
      <c r="N987" s="2">
        <v>2749.61</v>
      </c>
      <c r="O987" s="2">
        <v>0</v>
      </c>
      <c r="P987" s="2">
        <v>-2749.61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</row>
    <row r="988" spans="1:23" outlineLevel="2" x14ac:dyDescent="0.2">
      <c r="A988" t="s">
        <v>0</v>
      </c>
      <c r="B988" t="s">
        <v>53</v>
      </c>
      <c r="C988" t="s">
        <v>54</v>
      </c>
      <c r="D988" t="s">
        <v>55</v>
      </c>
      <c r="E988" t="s">
        <v>56</v>
      </c>
      <c r="F988" t="s">
        <v>5</v>
      </c>
      <c r="G988" t="s">
        <v>6</v>
      </c>
      <c r="H988" t="s">
        <v>35</v>
      </c>
      <c r="I988" t="s">
        <v>36</v>
      </c>
      <c r="J988" t="s">
        <v>9</v>
      </c>
      <c r="K988" t="s">
        <v>335</v>
      </c>
      <c r="L988" t="s">
        <v>344</v>
      </c>
      <c r="M988" t="s">
        <v>15</v>
      </c>
      <c r="N988" s="2">
        <v>4918.47</v>
      </c>
      <c r="O988" s="2">
        <v>0</v>
      </c>
      <c r="P988" s="2">
        <v>-3211.74</v>
      </c>
      <c r="Q988" s="2">
        <v>1706.73</v>
      </c>
      <c r="R988" s="2">
        <v>0</v>
      </c>
      <c r="S988" s="2">
        <v>1706.73</v>
      </c>
      <c r="T988" s="2">
        <v>1706.73</v>
      </c>
      <c r="U988" s="2">
        <v>0</v>
      </c>
      <c r="V988" s="2">
        <v>0</v>
      </c>
      <c r="W988" s="2">
        <v>0</v>
      </c>
    </row>
    <row r="989" spans="1:23" outlineLevel="2" x14ac:dyDescent="0.2">
      <c r="A989" t="s">
        <v>0</v>
      </c>
      <c r="B989" t="s">
        <v>53</v>
      </c>
      <c r="C989" t="s">
        <v>54</v>
      </c>
      <c r="D989" t="s">
        <v>55</v>
      </c>
      <c r="E989" t="s">
        <v>56</v>
      </c>
      <c r="F989" t="s">
        <v>5</v>
      </c>
      <c r="G989" t="s">
        <v>6</v>
      </c>
      <c r="H989" t="s">
        <v>35</v>
      </c>
      <c r="I989" t="s">
        <v>36</v>
      </c>
      <c r="J989" t="s">
        <v>9</v>
      </c>
      <c r="K989" t="s">
        <v>335</v>
      </c>
      <c r="L989" t="s">
        <v>344</v>
      </c>
      <c r="M989" t="s">
        <v>12</v>
      </c>
      <c r="N989" s="2">
        <v>0</v>
      </c>
      <c r="O989" s="2">
        <v>0</v>
      </c>
      <c r="P989" s="2">
        <v>3211.74</v>
      </c>
      <c r="Q989" s="2">
        <v>3211.74</v>
      </c>
      <c r="R989" s="2">
        <v>0</v>
      </c>
      <c r="S989" s="2">
        <v>0</v>
      </c>
      <c r="T989" s="2">
        <v>0</v>
      </c>
      <c r="U989" s="2">
        <v>3211.74</v>
      </c>
      <c r="V989" s="2">
        <v>3211.74</v>
      </c>
      <c r="W989" s="2">
        <v>3211.74</v>
      </c>
    </row>
    <row r="990" spans="1:23" outlineLevel="2" x14ac:dyDescent="0.2">
      <c r="A990" t="s">
        <v>0</v>
      </c>
      <c r="B990" t="s">
        <v>39</v>
      </c>
      <c r="C990" t="s">
        <v>58</v>
      </c>
      <c r="D990" t="s">
        <v>139</v>
      </c>
      <c r="E990" t="s">
        <v>140</v>
      </c>
      <c r="F990" t="s">
        <v>5</v>
      </c>
      <c r="G990" t="s">
        <v>6</v>
      </c>
      <c r="H990" t="s">
        <v>35</v>
      </c>
      <c r="I990" t="s">
        <v>36</v>
      </c>
      <c r="J990" t="s">
        <v>9</v>
      </c>
      <c r="K990" t="s">
        <v>335</v>
      </c>
      <c r="L990" t="s">
        <v>339</v>
      </c>
      <c r="M990" t="s">
        <v>15</v>
      </c>
      <c r="N990" s="2">
        <v>5507.83</v>
      </c>
      <c r="O990" s="2">
        <v>0</v>
      </c>
      <c r="P990" s="2">
        <v>-4246.83</v>
      </c>
      <c r="Q990" s="2">
        <v>1261</v>
      </c>
      <c r="R990" s="2">
        <v>0</v>
      </c>
      <c r="S990" s="2">
        <v>1261</v>
      </c>
      <c r="T990" s="2">
        <v>1261</v>
      </c>
      <c r="U990" s="2">
        <v>0</v>
      </c>
      <c r="V990" s="2">
        <v>0</v>
      </c>
      <c r="W990" s="2">
        <v>0</v>
      </c>
    </row>
    <row r="991" spans="1:23" outlineLevel="2" x14ac:dyDescent="0.2">
      <c r="A991" t="s">
        <v>0</v>
      </c>
      <c r="B991" t="s">
        <v>1</v>
      </c>
      <c r="C991" t="s">
        <v>16</v>
      </c>
      <c r="D991" t="s">
        <v>103</v>
      </c>
      <c r="E991" t="s">
        <v>104</v>
      </c>
      <c r="F991" t="s">
        <v>5</v>
      </c>
      <c r="G991" t="s">
        <v>6</v>
      </c>
      <c r="H991" t="s">
        <v>35</v>
      </c>
      <c r="I991" t="s">
        <v>36</v>
      </c>
      <c r="J991" t="s">
        <v>9</v>
      </c>
      <c r="K991" t="s">
        <v>335</v>
      </c>
      <c r="L991" t="s">
        <v>345</v>
      </c>
      <c r="M991" t="s">
        <v>12</v>
      </c>
      <c r="N991" s="2">
        <v>0</v>
      </c>
      <c r="O991" s="2">
        <v>0</v>
      </c>
      <c r="P991" s="2">
        <v>21281.26</v>
      </c>
      <c r="Q991" s="2">
        <v>21281.26</v>
      </c>
      <c r="R991" s="2">
        <v>0</v>
      </c>
      <c r="S991" s="2">
        <v>2849</v>
      </c>
      <c r="T991" s="2">
        <v>2849</v>
      </c>
      <c r="U991" s="2">
        <v>18432.259999999998</v>
      </c>
      <c r="V991" s="2">
        <v>18432.259999999998</v>
      </c>
      <c r="W991" s="2">
        <v>18432.259999999998</v>
      </c>
    </row>
    <row r="992" spans="1:23" outlineLevel="2" x14ac:dyDescent="0.2">
      <c r="A992" t="s">
        <v>0</v>
      </c>
      <c r="B992" t="s">
        <v>1</v>
      </c>
      <c r="C992" t="s">
        <v>16</v>
      </c>
      <c r="D992" t="s">
        <v>62</v>
      </c>
      <c r="E992" t="s">
        <v>63</v>
      </c>
      <c r="F992" t="s">
        <v>5</v>
      </c>
      <c r="G992" t="s">
        <v>6</v>
      </c>
      <c r="H992" t="s">
        <v>35</v>
      </c>
      <c r="I992" t="s">
        <v>36</v>
      </c>
      <c r="J992" t="s">
        <v>9</v>
      </c>
      <c r="K992" t="s">
        <v>335</v>
      </c>
      <c r="L992" t="s">
        <v>345</v>
      </c>
      <c r="M992" t="s">
        <v>15</v>
      </c>
      <c r="N992" s="2">
        <v>530.20000000000005</v>
      </c>
      <c r="O992" s="2">
        <v>0</v>
      </c>
      <c r="P992" s="2">
        <v>-530.20000000000005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</row>
    <row r="993" spans="1:23" outlineLevel="2" x14ac:dyDescent="0.2">
      <c r="A993" t="s">
        <v>0</v>
      </c>
      <c r="B993" t="s">
        <v>1</v>
      </c>
      <c r="C993" t="s">
        <v>2</v>
      </c>
      <c r="D993" t="s">
        <v>20</v>
      </c>
      <c r="E993" t="s">
        <v>21</v>
      </c>
      <c r="F993" t="s">
        <v>5</v>
      </c>
      <c r="G993" t="s">
        <v>6</v>
      </c>
      <c r="H993" t="s">
        <v>35</v>
      </c>
      <c r="I993" t="s">
        <v>36</v>
      </c>
      <c r="J993" t="s">
        <v>9</v>
      </c>
      <c r="K993" t="s">
        <v>335</v>
      </c>
      <c r="L993" t="s">
        <v>337</v>
      </c>
      <c r="M993" t="s">
        <v>12</v>
      </c>
      <c r="N993" s="2">
        <v>0</v>
      </c>
      <c r="O993" s="2">
        <v>0</v>
      </c>
      <c r="P993" s="2">
        <v>15624.46</v>
      </c>
      <c r="Q993" s="2">
        <v>15624.46</v>
      </c>
      <c r="R993" s="2">
        <v>0</v>
      </c>
      <c r="S993" s="2">
        <v>5608.4</v>
      </c>
      <c r="T993" s="2">
        <v>5608.4</v>
      </c>
      <c r="U993" s="2">
        <v>10016.06</v>
      </c>
      <c r="V993" s="2">
        <v>10016.06</v>
      </c>
      <c r="W993" s="2">
        <v>10016.06</v>
      </c>
    </row>
    <row r="994" spans="1:23" outlineLevel="2" x14ac:dyDescent="0.2">
      <c r="A994" t="s">
        <v>0</v>
      </c>
      <c r="B994" t="s">
        <v>39</v>
      </c>
      <c r="C994" t="s">
        <v>58</v>
      </c>
      <c r="D994" t="s">
        <v>129</v>
      </c>
      <c r="E994" t="s">
        <v>130</v>
      </c>
      <c r="F994" t="s">
        <v>5</v>
      </c>
      <c r="G994" t="s">
        <v>6</v>
      </c>
      <c r="H994" t="s">
        <v>35</v>
      </c>
      <c r="I994" t="s">
        <v>36</v>
      </c>
      <c r="J994" t="s">
        <v>9</v>
      </c>
      <c r="K994" t="s">
        <v>335</v>
      </c>
      <c r="L994" t="s">
        <v>339</v>
      </c>
      <c r="M994" t="s">
        <v>12</v>
      </c>
      <c r="N994" s="2">
        <v>0</v>
      </c>
      <c r="O994" s="2">
        <v>0</v>
      </c>
      <c r="P994" s="2">
        <v>3314.68</v>
      </c>
      <c r="Q994" s="2">
        <v>3314.68</v>
      </c>
      <c r="R994" s="2">
        <v>0</v>
      </c>
      <c r="S994" s="2">
        <v>0</v>
      </c>
      <c r="T994" s="2">
        <v>0</v>
      </c>
      <c r="U994" s="2">
        <v>3314.68</v>
      </c>
      <c r="V994" s="2">
        <v>3314.68</v>
      </c>
      <c r="W994" s="2">
        <v>3314.68</v>
      </c>
    </row>
    <row r="995" spans="1:23" outlineLevel="2" x14ac:dyDescent="0.2">
      <c r="A995" t="s">
        <v>0</v>
      </c>
      <c r="B995" t="s">
        <v>31</v>
      </c>
      <c r="C995" t="s">
        <v>79</v>
      </c>
      <c r="D995" t="s">
        <v>133</v>
      </c>
      <c r="E995" t="s">
        <v>134</v>
      </c>
      <c r="F995" t="s">
        <v>5</v>
      </c>
      <c r="G995" t="s">
        <v>6</v>
      </c>
      <c r="H995" t="s">
        <v>35</v>
      </c>
      <c r="I995" t="s">
        <v>36</v>
      </c>
      <c r="J995" t="s">
        <v>9</v>
      </c>
      <c r="K995" t="s">
        <v>335</v>
      </c>
      <c r="L995" t="s">
        <v>338</v>
      </c>
      <c r="M995" t="s">
        <v>15</v>
      </c>
      <c r="N995" s="2">
        <v>7810.62</v>
      </c>
      <c r="O995" s="2">
        <v>0</v>
      </c>
      <c r="P995" s="2">
        <v>-2640.62</v>
      </c>
      <c r="Q995" s="2">
        <v>5170</v>
      </c>
      <c r="R995" s="2">
        <v>0</v>
      </c>
      <c r="S995" s="2">
        <v>5170</v>
      </c>
      <c r="T995" s="2">
        <v>5170</v>
      </c>
      <c r="U995" s="2">
        <v>0</v>
      </c>
      <c r="V995" s="2">
        <v>0</v>
      </c>
      <c r="W995" s="2">
        <v>0</v>
      </c>
    </row>
    <row r="996" spans="1:23" outlineLevel="2" x14ac:dyDescent="0.2">
      <c r="A996" t="s">
        <v>0</v>
      </c>
      <c r="B996" t="s">
        <v>1</v>
      </c>
      <c r="C996" t="s">
        <v>2</v>
      </c>
      <c r="D996" t="s">
        <v>20</v>
      </c>
      <c r="E996" t="s">
        <v>21</v>
      </c>
      <c r="F996" t="s">
        <v>5</v>
      </c>
      <c r="G996" t="s">
        <v>6</v>
      </c>
      <c r="H996" t="s">
        <v>35</v>
      </c>
      <c r="I996" t="s">
        <v>36</v>
      </c>
      <c r="J996" t="s">
        <v>9</v>
      </c>
      <c r="K996" t="s">
        <v>335</v>
      </c>
      <c r="L996" t="s">
        <v>337</v>
      </c>
      <c r="M996" t="s">
        <v>15</v>
      </c>
      <c r="N996" s="2">
        <v>21294.2</v>
      </c>
      <c r="O996" s="2">
        <v>21626.65</v>
      </c>
      <c r="P996" s="2">
        <v>-22.5</v>
      </c>
      <c r="Q996" s="2">
        <v>42898.35</v>
      </c>
      <c r="R996" s="2">
        <v>0</v>
      </c>
      <c r="S996" s="2">
        <v>42898.35</v>
      </c>
      <c r="T996" s="2">
        <v>42898.35</v>
      </c>
      <c r="U996" s="2">
        <v>0</v>
      </c>
      <c r="V996" s="2">
        <v>0</v>
      </c>
      <c r="W996" s="2">
        <v>0</v>
      </c>
    </row>
    <row r="997" spans="1:23" outlineLevel="2" x14ac:dyDescent="0.2">
      <c r="A997" t="s">
        <v>0</v>
      </c>
      <c r="B997" t="s">
        <v>39</v>
      </c>
      <c r="C997" t="s">
        <v>58</v>
      </c>
      <c r="D997" t="s">
        <v>119</v>
      </c>
      <c r="E997" t="s">
        <v>120</v>
      </c>
      <c r="F997" t="s">
        <v>5</v>
      </c>
      <c r="G997" t="s">
        <v>6</v>
      </c>
      <c r="H997" t="s">
        <v>35</v>
      </c>
      <c r="I997" t="s">
        <v>36</v>
      </c>
      <c r="J997" t="s">
        <v>9</v>
      </c>
      <c r="K997" t="s">
        <v>335</v>
      </c>
      <c r="L997" t="s">
        <v>339</v>
      </c>
      <c r="M997" t="s">
        <v>12</v>
      </c>
      <c r="N997" s="2">
        <v>0</v>
      </c>
      <c r="O997" s="2">
        <v>0</v>
      </c>
      <c r="P997" s="2">
        <v>9626.2099999999991</v>
      </c>
      <c r="Q997" s="2">
        <v>9626.2099999999991</v>
      </c>
      <c r="R997" s="2">
        <v>0</v>
      </c>
      <c r="S997" s="2">
        <v>0</v>
      </c>
      <c r="T997" s="2">
        <v>0</v>
      </c>
      <c r="U997" s="2">
        <v>9626.2099999999991</v>
      </c>
      <c r="V997" s="2">
        <v>9626.2099999999991</v>
      </c>
      <c r="W997" s="2">
        <v>9626.2099999999991</v>
      </c>
    </row>
    <row r="998" spans="1:23" outlineLevel="2" x14ac:dyDescent="0.2">
      <c r="A998" t="s">
        <v>0</v>
      </c>
      <c r="B998" t="s">
        <v>39</v>
      </c>
      <c r="C998" t="s">
        <v>58</v>
      </c>
      <c r="D998" t="s">
        <v>119</v>
      </c>
      <c r="E998" t="s">
        <v>120</v>
      </c>
      <c r="F998" t="s">
        <v>5</v>
      </c>
      <c r="G998" t="s">
        <v>6</v>
      </c>
      <c r="H998" t="s">
        <v>35</v>
      </c>
      <c r="I998" t="s">
        <v>36</v>
      </c>
      <c r="J998" t="s">
        <v>9</v>
      </c>
      <c r="K998" t="s">
        <v>335</v>
      </c>
      <c r="L998" t="s">
        <v>339</v>
      </c>
      <c r="M998" t="s">
        <v>15</v>
      </c>
      <c r="N998" s="2">
        <v>19252.419999999998</v>
      </c>
      <c r="O998" s="2">
        <v>0</v>
      </c>
      <c r="P998" s="2">
        <v>-19252.419999999998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</row>
    <row r="999" spans="1:23" outlineLevel="2" x14ac:dyDescent="0.2">
      <c r="A999" t="s">
        <v>0</v>
      </c>
      <c r="B999" t="s">
        <v>39</v>
      </c>
      <c r="C999" t="s">
        <v>58</v>
      </c>
      <c r="D999" t="s">
        <v>149</v>
      </c>
      <c r="E999" t="s">
        <v>150</v>
      </c>
      <c r="F999" t="s">
        <v>5</v>
      </c>
      <c r="G999" t="s">
        <v>6</v>
      </c>
      <c r="H999" t="s">
        <v>35</v>
      </c>
      <c r="I999" t="s">
        <v>36</v>
      </c>
      <c r="J999" t="s">
        <v>9</v>
      </c>
      <c r="K999" t="s">
        <v>335</v>
      </c>
      <c r="L999" t="s">
        <v>339</v>
      </c>
      <c r="M999" t="s">
        <v>15</v>
      </c>
      <c r="N999" s="2">
        <v>9242.93</v>
      </c>
      <c r="O999" s="2">
        <v>0</v>
      </c>
      <c r="P999" s="2">
        <v>-4322.26</v>
      </c>
      <c r="Q999" s="2">
        <v>4920.67</v>
      </c>
      <c r="R999" s="2">
        <v>0</v>
      </c>
      <c r="S999" s="2">
        <v>4920.67</v>
      </c>
      <c r="T999" s="2">
        <v>4920.67</v>
      </c>
      <c r="U999" s="2">
        <v>0</v>
      </c>
      <c r="V999" s="2">
        <v>0</v>
      </c>
      <c r="W999" s="2">
        <v>0</v>
      </c>
    </row>
    <row r="1000" spans="1:23" outlineLevel="2" x14ac:dyDescent="0.2">
      <c r="A1000" t="s">
        <v>0</v>
      </c>
      <c r="B1000" t="s">
        <v>39</v>
      </c>
      <c r="C1000" t="s">
        <v>66</v>
      </c>
      <c r="D1000" t="s">
        <v>67</v>
      </c>
      <c r="E1000" t="s">
        <v>68</v>
      </c>
      <c r="F1000" t="s">
        <v>5</v>
      </c>
      <c r="G1000" t="s">
        <v>6</v>
      </c>
      <c r="H1000" t="s">
        <v>35</v>
      </c>
      <c r="I1000" t="s">
        <v>36</v>
      </c>
      <c r="J1000" t="s">
        <v>9</v>
      </c>
      <c r="K1000" t="s">
        <v>335</v>
      </c>
      <c r="L1000" t="s">
        <v>340</v>
      </c>
      <c r="M1000" t="s">
        <v>15</v>
      </c>
      <c r="N1000" s="2">
        <v>6068.08</v>
      </c>
      <c r="O1000" s="2">
        <v>-2468.08</v>
      </c>
      <c r="P1000" s="2">
        <v>0</v>
      </c>
      <c r="Q1000" s="2">
        <v>3600</v>
      </c>
      <c r="R1000" s="2">
        <v>0</v>
      </c>
      <c r="S1000" s="2">
        <v>3600</v>
      </c>
      <c r="T1000" s="2">
        <v>3600</v>
      </c>
      <c r="U1000" s="2">
        <v>0</v>
      </c>
      <c r="V1000" s="2">
        <v>0</v>
      </c>
      <c r="W1000" s="2">
        <v>0</v>
      </c>
    </row>
    <row r="1001" spans="1:23" outlineLevel="2" x14ac:dyDescent="0.2">
      <c r="A1001" t="s">
        <v>0</v>
      </c>
      <c r="B1001" t="s">
        <v>1</v>
      </c>
      <c r="C1001" t="s">
        <v>44</v>
      </c>
      <c r="D1001" t="s">
        <v>45</v>
      </c>
      <c r="E1001" t="s">
        <v>46</v>
      </c>
      <c r="F1001" t="s">
        <v>5</v>
      </c>
      <c r="G1001" t="s">
        <v>6</v>
      </c>
      <c r="H1001" t="s">
        <v>35</v>
      </c>
      <c r="I1001" t="s">
        <v>36</v>
      </c>
      <c r="J1001" t="s">
        <v>9</v>
      </c>
      <c r="K1001" t="s">
        <v>335</v>
      </c>
      <c r="L1001" t="s">
        <v>346</v>
      </c>
      <c r="M1001" t="s">
        <v>15</v>
      </c>
      <c r="N1001" s="2">
        <v>1696.45</v>
      </c>
      <c r="O1001" s="2">
        <v>0</v>
      </c>
      <c r="P1001" s="2">
        <v>-1696.45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</row>
    <row r="1002" spans="1:23" outlineLevel="2" x14ac:dyDescent="0.2">
      <c r="A1002" t="s">
        <v>0</v>
      </c>
      <c r="B1002" t="s">
        <v>31</v>
      </c>
      <c r="C1002" t="s">
        <v>79</v>
      </c>
      <c r="D1002" t="s">
        <v>117</v>
      </c>
      <c r="E1002" t="s">
        <v>118</v>
      </c>
      <c r="F1002" t="s">
        <v>5</v>
      </c>
      <c r="G1002" t="s">
        <v>6</v>
      </c>
      <c r="H1002" t="s">
        <v>35</v>
      </c>
      <c r="I1002" t="s">
        <v>36</v>
      </c>
      <c r="J1002" t="s">
        <v>9</v>
      </c>
      <c r="K1002" t="s">
        <v>335</v>
      </c>
      <c r="L1002" t="s">
        <v>338</v>
      </c>
      <c r="M1002" t="s">
        <v>15</v>
      </c>
      <c r="N1002" s="2">
        <v>12851.93</v>
      </c>
      <c r="O1002" s="2">
        <v>0</v>
      </c>
      <c r="P1002" s="2">
        <v>-12851.93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</row>
    <row r="1003" spans="1:23" outlineLevel="2" x14ac:dyDescent="0.2">
      <c r="A1003" t="s">
        <v>0</v>
      </c>
      <c r="B1003" t="s">
        <v>39</v>
      </c>
      <c r="C1003" t="s">
        <v>58</v>
      </c>
      <c r="D1003" t="s">
        <v>147</v>
      </c>
      <c r="E1003" t="s">
        <v>148</v>
      </c>
      <c r="F1003" t="s">
        <v>5</v>
      </c>
      <c r="G1003" t="s">
        <v>6</v>
      </c>
      <c r="H1003" t="s">
        <v>35</v>
      </c>
      <c r="I1003" t="s">
        <v>36</v>
      </c>
      <c r="J1003" t="s">
        <v>9</v>
      </c>
      <c r="K1003" t="s">
        <v>335</v>
      </c>
      <c r="L1003" t="s">
        <v>339</v>
      </c>
      <c r="M1003" t="s">
        <v>15</v>
      </c>
      <c r="N1003" s="2">
        <v>4445.4399999999996</v>
      </c>
      <c r="O1003" s="2">
        <v>0</v>
      </c>
      <c r="P1003" s="2">
        <v>-4445.4399999999996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</row>
    <row r="1004" spans="1:23" outlineLevel="2" x14ac:dyDescent="0.2">
      <c r="A1004" t="s">
        <v>0</v>
      </c>
      <c r="B1004" t="s">
        <v>39</v>
      </c>
      <c r="C1004" t="s">
        <v>58</v>
      </c>
      <c r="D1004" t="s">
        <v>59</v>
      </c>
      <c r="E1004" t="s">
        <v>60</v>
      </c>
      <c r="F1004" t="s">
        <v>5</v>
      </c>
      <c r="G1004" t="s">
        <v>6</v>
      </c>
      <c r="H1004" t="s">
        <v>35</v>
      </c>
      <c r="I1004" t="s">
        <v>36</v>
      </c>
      <c r="J1004" t="s">
        <v>9</v>
      </c>
      <c r="K1004" t="s">
        <v>335</v>
      </c>
      <c r="L1004" t="s">
        <v>339</v>
      </c>
      <c r="M1004" t="s">
        <v>15</v>
      </c>
      <c r="N1004" s="2">
        <v>27767.72</v>
      </c>
      <c r="O1004" s="2">
        <v>0</v>
      </c>
      <c r="P1004" s="2">
        <v>-27767.72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</row>
    <row r="1005" spans="1:23" outlineLevel="2" x14ac:dyDescent="0.2">
      <c r="A1005" t="s">
        <v>0</v>
      </c>
      <c r="B1005" t="s">
        <v>39</v>
      </c>
      <c r="C1005" t="s">
        <v>40</v>
      </c>
      <c r="D1005" t="s">
        <v>77</v>
      </c>
      <c r="E1005" t="s">
        <v>78</v>
      </c>
      <c r="F1005" t="s">
        <v>5</v>
      </c>
      <c r="G1005" t="s">
        <v>6</v>
      </c>
      <c r="H1005" t="s">
        <v>35</v>
      </c>
      <c r="I1005" t="s">
        <v>36</v>
      </c>
      <c r="J1005" t="s">
        <v>9</v>
      </c>
      <c r="K1005" t="s">
        <v>335</v>
      </c>
      <c r="L1005" t="s">
        <v>343</v>
      </c>
      <c r="M1005" t="s">
        <v>15</v>
      </c>
      <c r="N1005" s="2">
        <v>70517.399999999994</v>
      </c>
      <c r="O1005" s="2">
        <v>0</v>
      </c>
      <c r="P1005" s="2">
        <v>-22753.26</v>
      </c>
      <c r="Q1005" s="2">
        <v>47764.14</v>
      </c>
      <c r="R1005" s="2">
        <v>0</v>
      </c>
      <c r="S1005" s="2">
        <v>47764.14</v>
      </c>
      <c r="T1005" s="2">
        <v>47764.14</v>
      </c>
      <c r="U1005" s="2">
        <v>0</v>
      </c>
      <c r="V1005" s="2">
        <v>0</v>
      </c>
      <c r="W1005" s="2">
        <v>0</v>
      </c>
    </row>
    <row r="1006" spans="1:23" outlineLevel="2" x14ac:dyDescent="0.2">
      <c r="A1006" t="s">
        <v>0</v>
      </c>
      <c r="B1006" t="s">
        <v>53</v>
      </c>
      <c r="C1006" t="s">
        <v>85</v>
      </c>
      <c r="D1006" t="s">
        <v>86</v>
      </c>
      <c r="E1006" t="s">
        <v>87</v>
      </c>
      <c r="F1006" t="s">
        <v>5</v>
      </c>
      <c r="G1006" t="s">
        <v>6</v>
      </c>
      <c r="H1006" t="s">
        <v>35</v>
      </c>
      <c r="I1006" t="s">
        <v>36</v>
      </c>
      <c r="J1006" t="s">
        <v>9</v>
      </c>
      <c r="K1006" t="s">
        <v>335</v>
      </c>
      <c r="L1006" t="s">
        <v>347</v>
      </c>
      <c r="M1006" t="s">
        <v>15</v>
      </c>
      <c r="N1006" s="2">
        <v>1653.28</v>
      </c>
      <c r="O1006" s="2">
        <v>-1653.28</v>
      </c>
      <c r="P1006" s="2">
        <v>0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</row>
    <row r="1007" spans="1:23" outlineLevel="2" x14ac:dyDescent="0.2">
      <c r="A1007" t="s">
        <v>0</v>
      </c>
      <c r="B1007" t="s">
        <v>1</v>
      </c>
      <c r="C1007" t="s">
        <v>44</v>
      </c>
      <c r="D1007" t="s">
        <v>45</v>
      </c>
      <c r="E1007" t="s">
        <v>46</v>
      </c>
      <c r="F1007" t="s">
        <v>5</v>
      </c>
      <c r="G1007" t="s">
        <v>6</v>
      </c>
      <c r="H1007" t="s">
        <v>35</v>
      </c>
      <c r="I1007" t="s">
        <v>36</v>
      </c>
      <c r="J1007" t="s">
        <v>9</v>
      </c>
      <c r="K1007" t="s">
        <v>335</v>
      </c>
      <c r="L1007" t="s">
        <v>346</v>
      </c>
      <c r="M1007" t="s">
        <v>12</v>
      </c>
      <c r="N1007" s="2">
        <v>0</v>
      </c>
      <c r="O1007" s="2">
        <v>0</v>
      </c>
      <c r="P1007" s="2">
        <v>848.22</v>
      </c>
      <c r="Q1007" s="2">
        <v>848.22</v>
      </c>
      <c r="R1007" s="2">
        <v>0</v>
      </c>
      <c r="S1007" s="2">
        <v>0</v>
      </c>
      <c r="T1007" s="2">
        <v>0</v>
      </c>
      <c r="U1007" s="2">
        <v>848.22</v>
      </c>
      <c r="V1007" s="2">
        <v>848.22</v>
      </c>
      <c r="W1007" s="2">
        <v>848.22</v>
      </c>
    </row>
    <row r="1008" spans="1:23" outlineLevel="2" x14ac:dyDescent="0.2">
      <c r="A1008" t="s">
        <v>0</v>
      </c>
      <c r="B1008" t="s">
        <v>31</v>
      </c>
      <c r="C1008" t="s">
        <v>79</v>
      </c>
      <c r="D1008" t="s">
        <v>125</v>
      </c>
      <c r="E1008" t="s">
        <v>126</v>
      </c>
      <c r="F1008" t="s">
        <v>5</v>
      </c>
      <c r="G1008" t="s">
        <v>6</v>
      </c>
      <c r="H1008" t="s">
        <v>35</v>
      </c>
      <c r="I1008" t="s">
        <v>36</v>
      </c>
      <c r="J1008" t="s">
        <v>9</v>
      </c>
      <c r="K1008" t="s">
        <v>335</v>
      </c>
      <c r="L1008" t="s">
        <v>338</v>
      </c>
      <c r="M1008" t="s">
        <v>15</v>
      </c>
      <c r="N1008" s="2">
        <v>5552.6</v>
      </c>
      <c r="O1008" s="2">
        <v>2689.4</v>
      </c>
      <c r="P1008" s="2">
        <v>-2</v>
      </c>
      <c r="Q1008" s="2">
        <v>8240</v>
      </c>
      <c r="R1008" s="2">
        <v>0</v>
      </c>
      <c r="S1008" s="2">
        <v>8240</v>
      </c>
      <c r="T1008" s="2">
        <v>8240</v>
      </c>
      <c r="U1008" s="2">
        <v>0</v>
      </c>
      <c r="V1008" s="2">
        <v>0</v>
      </c>
      <c r="W1008" s="2">
        <v>0</v>
      </c>
    </row>
    <row r="1009" spans="1:23" outlineLevel="2" x14ac:dyDescent="0.2">
      <c r="A1009" t="s">
        <v>0</v>
      </c>
      <c r="B1009" t="s">
        <v>1</v>
      </c>
      <c r="C1009" t="s">
        <v>16</v>
      </c>
      <c r="D1009" t="s">
        <v>103</v>
      </c>
      <c r="E1009" t="s">
        <v>104</v>
      </c>
      <c r="F1009" t="s">
        <v>5</v>
      </c>
      <c r="G1009" t="s">
        <v>6</v>
      </c>
      <c r="H1009" t="s">
        <v>35</v>
      </c>
      <c r="I1009" t="s">
        <v>36</v>
      </c>
      <c r="J1009" t="s">
        <v>9</v>
      </c>
      <c r="K1009" t="s">
        <v>335</v>
      </c>
      <c r="L1009" t="s">
        <v>345</v>
      </c>
      <c r="M1009" t="s">
        <v>15</v>
      </c>
      <c r="N1009" s="2">
        <v>83700.19</v>
      </c>
      <c r="O1009" s="2">
        <v>0</v>
      </c>
      <c r="P1009" s="2">
        <v>-52369.52</v>
      </c>
      <c r="Q1009" s="2">
        <v>31330.67</v>
      </c>
      <c r="R1009" s="2">
        <v>0</v>
      </c>
      <c r="S1009" s="2">
        <v>31330.67</v>
      </c>
      <c r="T1009" s="2">
        <v>31330.67</v>
      </c>
      <c r="U1009" s="2">
        <v>0</v>
      </c>
      <c r="V1009" s="2">
        <v>0</v>
      </c>
      <c r="W1009" s="2">
        <v>0</v>
      </c>
    </row>
    <row r="1010" spans="1:23" outlineLevel="2" x14ac:dyDescent="0.2">
      <c r="A1010" t="s">
        <v>0</v>
      </c>
      <c r="B1010" t="s">
        <v>31</v>
      </c>
      <c r="C1010" t="s">
        <v>32</v>
      </c>
      <c r="D1010" t="s">
        <v>123</v>
      </c>
      <c r="E1010" t="s">
        <v>124</v>
      </c>
      <c r="F1010" t="s">
        <v>5</v>
      </c>
      <c r="G1010" t="s">
        <v>6</v>
      </c>
      <c r="H1010" t="s">
        <v>35</v>
      </c>
      <c r="I1010" t="s">
        <v>36</v>
      </c>
      <c r="J1010" t="s">
        <v>9</v>
      </c>
      <c r="K1010" t="s">
        <v>335</v>
      </c>
      <c r="L1010" t="s">
        <v>336</v>
      </c>
      <c r="M1010" t="s">
        <v>15</v>
      </c>
      <c r="N1010" s="2">
        <v>7270.8</v>
      </c>
      <c r="O1010" s="2">
        <v>0</v>
      </c>
      <c r="P1010" s="2">
        <v>-3535.33</v>
      </c>
      <c r="Q1010" s="2">
        <v>3735.47</v>
      </c>
      <c r="R1010" s="2">
        <v>0</v>
      </c>
      <c r="S1010" s="2">
        <v>3735.47</v>
      </c>
      <c r="T1010" s="2">
        <v>3735.47</v>
      </c>
      <c r="U1010" s="2">
        <v>0</v>
      </c>
      <c r="V1010" s="2">
        <v>0</v>
      </c>
      <c r="W1010" s="2">
        <v>0</v>
      </c>
    </row>
    <row r="1011" spans="1:23" outlineLevel="2" x14ac:dyDescent="0.2">
      <c r="A1011" t="s">
        <v>0</v>
      </c>
      <c r="B1011" t="s">
        <v>39</v>
      </c>
      <c r="C1011" t="s">
        <v>66</v>
      </c>
      <c r="D1011" t="s">
        <v>121</v>
      </c>
      <c r="E1011" t="s">
        <v>122</v>
      </c>
      <c r="F1011" t="s">
        <v>5</v>
      </c>
      <c r="G1011" t="s">
        <v>6</v>
      </c>
      <c r="H1011" t="s">
        <v>35</v>
      </c>
      <c r="I1011" t="s">
        <v>36</v>
      </c>
      <c r="J1011" t="s">
        <v>9</v>
      </c>
      <c r="K1011" t="s">
        <v>335</v>
      </c>
      <c r="L1011" t="s">
        <v>340</v>
      </c>
      <c r="M1011" t="s">
        <v>12</v>
      </c>
      <c r="N1011" s="2">
        <v>0</v>
      </c>
      <c r="O1011" s="2">
        <v>0</v>
      </c>
      <c r="P1011" s="2">
        <v>1992.08</v>
      </c>
      <c r="Q1011" s="2">
        <v>1992.08</v>
      </c>
      <c r="R1011" s="2">
        <v>0</v>
      </c>
      <c r="S1011" s="2">
        <v>0</v>
      </c>
      <c r="T1011" s="2">
        <v>0</v>
      </c>
      <c r="U1011" s="2">
        <v>1992.08</v>
      </c>
      <c r="V1011" s="2">
        <v>1992.08</v>
      </c>
      <c r="W1011" s="2">
        <v>1992.08</v>
      </c>
    </row>
    <row r="1012" spans="1:23" outlineLevel="2" x14ac:dyDescent="0.2">
      <c r="A1012" t="s">
        <v>0</v>
      </c>
      <c r="B1012" t="s">
        <v>31</v>
      </c>
      <c r="C1012" t="s">
        <v>32</v>
      </c>
      <c r="D1012" t="s">
        <v>75</v>
      </c>
      <c r="E1012" t="s">
        <v>76</v>
      </c>
      <c r="F1012" t="s">
        <v>5</v>
      </c>
      <c r="G1012" t="s">
        <v>6</v>
      </c>
      <c r="H1012" t="s">
        <v>35</v>
      </c>
      <c r="I1012" t="s">
        <v>36</v>
      </c>
      <c r="J1012" t="s">
        <v>9</v>
      </c>
      <c r="K1012" t="s">
        <v>335</v>
      </c>
      <c r="L1012" t="s">
        <v>336</v>
      </c>
      <c r="M1012" t="s">
        <v>15</v>
      </c>
      <c r="N1012" s="2">
        <v>7521.53</v>
      </c>
      <c r="O1012" s="2">
        <v>0</v>
      </c>
      <c r="P1012" s="2">
        <v>-7338.23</v>
      </c>
      <c r="Q1012" s="2">
        <v>183.3</v>
      </c>
      <c r="R1012" s="2">
        <v>0</v>
      </c>
      <c r="S1012" s="2">
        <v>183.3</v>
      </c>
      <c r="T1012" s="2">
        <v>183.3</v>
      </c>
      <c r="U1012" s="2">
        <v>0</v>
      </c>
      <c r="V1012" s="2">
        <v>0</v>
      </c>
      <c r="W1012" s="2">
        <v>0</v>
      </c>
    </row>
    <row r="1013" spans="1:23" outlineLevel="2" x14ac:dyDescent="0.2">
      <c r="A1013" t="s">
        <v>0</v>
      </c>
      <c r="B1013" t="s">
        <v>39</v>
      </c>
      <c r="C1013" t="s">
        <v>58</v>
      </c>
      <c r="D1013" t="s">
        <v>59</v>
      </c>
      <c r="E1013" t="s">
        <v>60</v>
      </c>
      <c r="F1013" t="s">
        <v>5</v>
      </c>
      <c r="G1013" t="s">
        <v>6</v>
      </c>
      <c r="H1013" t="s">
        <v>35</v>
      </c>
      <c r="I1013" t="s">
        <v>36</v>
      </c>
      <c r="J1013" t="s">
        <v>9</v>
      </c>
      <c r="K1013" t="s">
        <v>335</v>
      </c>
      <c r="L1013" t="s">
        <v>339</v>
      </c>
      <c r="M1013" t="s">
        <v>12</v>
      </c>
      <c r="N1013" s="2">
        <v>0</v>
      </c>
      <c r="O1013" s="2">
        <v>0</v>
      </c>
      <c r="P1013" s="2">
        <v>13883.86</v>
      </c>
      <c r="Q1013" s="2">
        <v>13883.86</v>
      </c>
      <c r="R1013" s="2">
        <v>0</v>
      </c>
      <c r="S1013" s="2">
        <v>0</v>
      </c>
      <c r="T1013" s="2">
        <v>0</v>
      </c>
      <c r="U1013" s="2">
        <v>13883.86</v>
      </c>
      <c r="V1013" s="2">
        <v>13883.86</v>
      </c>
      <c r="W1013" s="2">
        <v>13883.86</v>
      </c>
    </row>
    <row r="1014" spans="1:23" outlineLevel="2" x14ac:dyDescent="0.2">
      <c r="A1014" t="s">
        <v>0</v>
      </c>
      <c r="B1014" t="s">
        <v>39</v>
      </c>
      <c r="C1014" t="s">
        <v>58</v>
      </c>
      <c r="D1014" t="s">
        <v>149</v>
      </c>
      <c r="E1014" t="s">
        <v>150</v>
      </c>
      <c r="F1014" t="s">
        <v>5</v>
      </c>
      <c r="G1014" t="s">
        <v>6</v>
      </c>
      <c r="H1014" t="s">
        <v>35</v>
      </c>
      <c r="I1014" t="s">
        <v>36</v>
      </c>
      <c r="J1014" t="s">
        <v>9</v>
      </c>
      <c r="K1014" t="s">
        <v>335</v>
      </c>
      <c r="L1014" t="s">
        <v>339</v>
      </c>
      <c r="M1014" t="s">
        <v>12</v>
      </c>
      <c r="N1014" s="2">
        <v>0</v>
      </c>
      <c r="O1014" s="2">
        <v>0</v>
      </c>
      <c r="P1014" s="2">
        <v>2381.12</v>
      </c>
      <c r="Q1014" s="2">
        <v>2381.12</v>
      </c>
      <c r="R1014" s="2">
        <v>0</v>
      </c>
      <c r="S1014" s="2">
        <v>0</v>
      </c>
      <c r="T1014" s="2">
        <v>0</v>
      </c>
      <c r="U1014" s="2">
        <v>2381.12</v>
      </c>
      <c r="V1014" s="2">
        <v>2381.12</v>
      </c>
      <c r="W1014" s="2">
        <v>2381.12</v>
      </c>
    </row>
    <row r="1015" spans="1:23" outlineLevel="2" x14ac:dyDescent="0.2">
      <c r="A1015" t="s">
        <v>0</v>
      </c>
      <c r="B1015" t="s">
        <v>39</v>
      </c>
      <c r="C1015" t="s">
        <v>40</v>
      </c>
      <c r="D1015" t="s">
        <v>77</v>
      </c>
      <c r="E1015" t="s">
        <v>78</v>
      </c>
      <c r="F1015" t="s">
        <v>5</v>
      </c>
      <c r="G1015" t="s">
        <v>6</v>
      </c>
      <c r="H1015" t="s">
        <v>35</v>
      </c>
      <c r="I1015" t="s">
        <v>36</v>
      </c>
      <c r="J1015" t="s">
        <v>9</v>
      </c>
      <c r="K1015" t="s">
        <v>335</v>
      </c>
      <c r="L1015" t="s">
        <v>343</v>
      </c>
      <c r="M1015" t="s">
        <v>12</v>
      </c>
      <c r="N1015" s="2">
        <v>0</v>
      </c>
      <c r="O1015" s="2">
        <v>0</v>
      </c>
      <c r="P1015" s="2">
        <v>23810.27</v>
      </c>
      <c r="Q1015" s="2">
        <v>23810.27</v>
      </c>
      <c r="R1015" s="2">
        <v>0</v>
      </c>
      <c r="S1015" s="2">
        <v>0</v>
      </c>
      <c r="T1015" s="2">
        <v>0</v>
      </c>
      <c r="U1015" s="2">
        <v>23810.27</v>
      </c>
      <c r="V1015" s="2">
        <v>23810.27</v>
      </c>
      <c r="W1015" s="2">
        <v>23810.27</v>
      </c>
    </row>
    <row r="1016" spans="1:23" outlineLevel="2" x14ac:dyDescent="0.2">
      <c r="A1016" t="s">
        <v>0</v>
      </c>
      <c r="B1016" t="s">
        <v>39</v>
      </c>
      <c r="C1016" t="s">
        <v>58</v>
      </c>
      <c r="D1016" t="s">
        <v>145</v>
      </c>
      <c r="E1016" t="s">
        <v>146</v>
      </c>
      <c r="F1016" t="s">
        <v>5</v>
      </c>
      <c r="G1016" t="s">
        <v>6</v>
      </c>
      <c r="H1016" t="s">
        <v>35</v>
      </c>
      <c r="I1016" t="s">
        <v>36</v>
      </c>
      <c r="J1016" t="s">
        <v>9</v>
      </c>
      <c r="K1016" t="s">
        <v>335</v>
      </c>
      <c r="L1016" t="s">
        <v>339</v>
      </c>
      <c r="M1016" t="s">
        <v>12</v>
      </c>
      <c r="N1016" s="2">
        <v>0</v>
      </c>
      <c r="O1016" s="2">
        <v>-1000</v>
      </c>
      <c r="P1016" s="2">
        <v>3478.15</v>
      </c>
      <c r="Q1016" s="2">
        <v>2478.15</v>
      </c>
      <c r="R1016" s="2">
        <v>0</v>
      </c>
      <c r="S1016" s="2">
        <v>0</v>
      </c>
      <c r="T1016" s="2">
        <v>0</v>
      </c>
      <c r="U1016" s="2">
        <v>2478.15</v>
      </c>
      <c r="V1016" s="2">
        <v>2478.15</v>
      </c>
      <c r="W1016" s="2">
        <v>2478.15</v>
      </c>
    </row>
    <row r="1017" spans="1:23" outlineLevel="2" x14ac:dyDescent="0.2">
      <c r="A1017" t="s">
        <v>0</v>
      </c>
      <c r="B1017" t="s">
        <v>39</v>
      </c>
      <c r="C1017" t="s">
        <v>70</v>
      </c>
      <c r="D1017" t="s">
        <v>71</v>
      </c>
      <c r="E1017" t="s">
        <v>72</v>
      </c>
      <c r="F1017" t="s">
        <v>5</v>
      </c>
      <c r="G1017" t="s">
        <v>6</v>
      </c>
      <c r="H1017" t="s">
        <v>35</v>
      </c>
      <c r="I1017" t="s">
        <v>36</v>
      </c>
      <c r="J1017" t="s">
        <v>9</v>
      </c>
      <c r="K1017" t="s">
        <v>335</v>
      </c>
      <c r="L1017" t="s">
        <v>341</v>
      </c>
      <c r="M1017" t="s">
        <v>12</v>
      </c>
      <c r="N1017" s="2">
        <v>0</v>
      </c>
      <c r="O1017" s="2">
        <v>910</v>
      </c>
      <c r="P1017" s="2">
        <v>3902.22</v>
      </c>
      <c r="Q1017" s="2">
        <v>4812.22</v>
      </c>
      <c r="R1017" s="2">
        <v>0</v>
      </c>
      <c r="S1017" s="2">
        <v>450</v>
      </c>
      <c r="T1017" s="2">
        <v>450</v>
      </c>
      <c r="U1017" s="2">
        <v>4362.22</v>
      </c>
      <c r="V1017" s="2">
        <v>4362.22</v>
      </c>
      <c r="W1017" s="2">
        <v>4362.22</v>
      </c>
    </row>
    <row r="1018" spans="1:23" outlineLevel="2" x14ac:dyDescent="0.2">
      <c r="A1018" t="s">
        <v>0</v>
      </c>
      <c r="B1018" t="s">
        <v>1</v>
      </c>
      <c r="C1018" t="s">
        <v>99</v>
      </c>
      <c r="D1018" t="s">
        <v>100</v>
      </c>
      <c r="E1018" t="s">
        <v>101</v>
      </c>
      <c r="F1018" t="s">
        <v>5</v>
      </c>
      <c r="G1018" t="s">
        <v>6</v>
      </c>
      <c r="H1018" t="s">
        <v>35</v>
      </c>
      <c r="I1018" t="s">
        <v>36</v>
      </c>
      <c r="J1018" t="s">
        <v>9</v>
      </c>
      <c r="K1018" t="s">
        <v>335</v>
      </c>
      <c r="L1018" t="s">
        <v>348</v>
      </c>
      <c r="M1018" t="s">
        <v>12</v>
      </c>
      <c r="N1018" s="2">
        <v>0</v>
      </c>
      <c r="O1018" s="2">
        <v>2700</v>
      </c>
      <c r="P1018" s="2">
        <v>2946.97</v>
      </c>
      <c r="Q1018" s="2">
        <v>5646.97</v>
      </c>
      <c r="R1018" s="2">
        <v>0</v>
      </c>
      <c r="S1018" s="2">
        <v>2782</v>
      </c>
      <c r="T1018" s="2">
        <v>2782</v>
      </c>
      <c r="U1018" s="2">
        <v>2864.97</v>
      </c>
      <c r="V1018" s="2">
        <v>2864.97</v>
      </c>
      <c r="W1018" s="2">
        <v>2864.97</v>
      </c>
    </row>
    <row r="1019" spans="1:23" outlineLevel="2" x14ac:dyDescent="0.2">
      <c r="A1019" t="s">
        <v>0</v>
      </c>
      <c r="B1019" t="s">
        <v>31</v>
      </c>
      <c r="C1019" t="s">
        <v>107</v>
      </c>
      <c r="D1019" t="s">
        <v>108</v>
      </c>
      <c r="E1019" t="s">
        <v>109</v>
      </c>
      <c r="F1019" t="s">
        <v>5</v>
      </c>
      <c r="G1019" t="s">
        <v>6</v>
      </c>
      <c r="H1019" t="s">
        <v>35</v>
      </c>
      <c r="I1019" t="s">
        <v>36</v>
      </c>
      <c r="J1019" t="s">
        <v>9</v>
      </c>
      <c r="K1019" t="s">
        <v>335</v>
      </c>
      <c r="L1019" t="s">
        <v>342</v>
      </c>
      <c r="M1019" t="s">
        <v>15</v>
      </c>
      <c r="N1019" s="2">
        <v>9360.64</v>
      </c>
      <c r="O1019" s="2">
        <v>2324.36</v>
      </c>
      <c r="P1019" s="2">
        <v>0</v>
      </c>
      <c r="Q1019" s="2">
        <v>11685</v>
      </c>
      <c r="R1019" s="2">
        <v>0</v>
      </c>
      <c r="S1019" s="2">
        <v>11685</v>
      </c>
      <c r="T1019" s="2">
        <v>11685</v>
      </c>
      <c r="U1019" s="2">
        <v>0</v>
      </c>
      <c r="V1019" s="2">
        <v>0</v>
      </c>
      <c r="W1019" s="2">
        <v>0</v>
      </c>
    </row>
    <row r="1020" spans="1:23" outlineLevel="2" x14ac:dyDescent="0.2">
      <c r="A1020" t="s">
        <v>0</v>
      </c>
      <c r="B1020" t="s">
        <v>31</v>
      </c>
      <c r="C1020" t="s">
        <v>79</v>
      </c>
      <c r="D1020" t="s">
        <v>80</v>
      </c>
      <c r="E1020" t="s">
        <v>81</v>
      </c>
      <c r="F1020" t="s">
        <v>5</v>
      </c>
      <c r="G1020" t="s">
        <v>6</v>
      </c>
      <c r="H1020" t="s">
        <v>35</v>
      </c>
      <c r="I1020" t="s">
        <v>36</v>
      </c>
      <c r="J1020" t="s">
        <v>9</v>
      </c>
      <c r="K1020" t="s">
        <v>335</v>
      </c>
      <c r="L1020" t="s">
        <v>338</v>
      </c>
      <c r="M1020" t="s">
        <v>12</v>
      </c>
      <c r="N1020" s="2">
        <v>0</v>
      </c>
      <c r="O1020" s="2">
        <v>0</v>
      </c>
      <c r="P1020" s="2">
        <v>1176.28</v>
      </c>
      <c r="Q1020" s="2">
        <v>1176.28</v>
      </c>
      <c r="R1020" s="2">
        <v>0</v>
      </c>
      <c r="S1020" s="2">
        <v>0</v>
      </c>
      <c r="T1020" s="2">
        <v>0</v>
      </c>
      <c r="U1020" s="2">
        <v>1176.28</v>
      </c>
      <c r="V1020" s="2">
        <v>1176.28</v>
      </c>
      <c r="W1020" s="2">
        <v>1176.28</v>
      </c>
    </row>
    <row r="1021" spans="1:23" outlineLevel="2" x14ac:dyDescent="0.2">
      <c r="A1021" t="s">
        <v>0</v>
      </c>
      <c r="B1021" t="s">
        <v>31</v>
      </c>
      <c r="C1021" t="s">
        <v>79</v>
      </c>
      <c r="D1021" t="s">
        <v>133</v>
      </c>
      <c r="E1021" t="s">
        <v>134</v>
      </c>
      <c r="F1021" t="s">
        <v>5</v>
      </c>
      <c r="G1021" t="s">
        <v>6</v>
      </c>
      <c r="H1021" t="s">
        <v>35</v>
      </c>
      <c r="I1021" t="s">
        <v>36</v>
      </c>
      <c r="J1021" t="s">
        <v>9</v>
      </c>
      <c r="K1021" t="s">
        <v>335</v>
      </c>
      <c r="L1021" t="s">
        <v>338</v>
      </c>
      <c r="M1021" t="s">
        <v>12</v>
      </c>
      <c r="N1021" s="2">
        <v>0</v>
      </c>
      <c r="O1021" s="2">
        <v>0</v>
      </c>
      <c r="P1021" s="2">
        <v>1292.5</v>
      </c>
      <c r="Q1021" s="2">
        <v>1292.5</v>
      </c>
      <c r="R1021" s="2">
        <v>0</v>
      </c>
      <c r="S1021" s="2">
        <v>0</v>
      </c>
      <c r="T1021" s="2">
        <v>0</v>
      </c>
      <c r="U1021" s="2">
        <v>1292.5</v>
      </c>
      <c r="V1021" s="2">
        <v>1292.5</v>
      </c>
      <c r="W1021" s="2">
        <v>1292.5</v>
      </c>
    </row>
    <row r="1022" spans="1:23" outlineLevel="2" x14ac:dyDescent="0.2">
      <c r="A1022" t="s">
        <v>0</v>
      </c>
      <c r="B1022" t="s">
        <v>39</v>
      </c>
      <c r="C1022" t="s">
        <v>70</v>
      </c>
      <c r="D1022" t="s">
        <v>89</v>
      </c>
      <c r="E1022" t="s">
        <v>90</v>
      </c>
      <c r="F1022" t="s">
        <v>5</v>
      </c>
      <c r="G1022" t="s">
        <v>6</v>
      </c>
      <c r="H1022" t="s">
        <v>35</v>
      </c>
      <c r="I1022" t="s">
        <v>36</v>
      </c>
      <c r="J1022" t="s">
        <v>9</v>
      </c>
      <c r="K1022" t="s">
        <v>335</v>
      </c>
      <c r="L1022" t="s">
        <v>341</v>
      </c>
      <c r="M1022" t="s">
        <v>15</v>
      </c>
      <c r="N1022" s="2">
        <v>38030.15</v>
      </c>
      <c r="O1022" s="2">
        <v>0</v>
      </c>
      <c r="P1022" s="2">
        <v>-38030.15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</row>
    <row r="1023" spans="1:23" outlineLevel="2" x14ac:dyDescent="0.2">
      <c r="A1023" t="s">
        <v>0</v>
      </c>
      <c r="B1023" t="s">
        <v>31</v>
      </c>
      <c r="C1023" t="s">
        <v>79</v>
      </c>
      <c r="D1023" t="s">
        <v>131</v>
      </c>
      <c r="E1023" t="s">
        <v>132</v>
      </c>
      <c r="F1023" t="s">
        <v>5</v>
      </c>
      <c r="G1023" t="s">
        <v>6</v>
      </c>
      <c r="H1023" t="s">
        <v>35</v>
      </c>
      <c r="I1023" t="s">
        <v>36</v>
      </c>
      <c r="J1023" t="s">
        <v>9</v>
      </c>
      <c r="K1023" t="s">
        <v>335</v>
      </c>
      <c r="L1023" t="s">
        <v>338</v>
      </c>
      <c r="M1023" t="s">
        <v>12</v>
      </c>
      <c r="N1023" s="2">
        <v>0</v>
      </c>
      <c r="O1023" s="2">
        <v>0</v>
      </c>
      <c r="P1023" s="2">
        <v>1374.8</v>
      </c>
      <c r="Q1023" s="2">
        <v>1374.8</v>
      </c>
      <c r="R1023" s="2">
        <v>0</v>
      </c>
      <c r="S1023" s="2">
        <v>0</v>
      </c>
      <c r="T1023" s="2">
        <v>0</v>
      </c>
      <c r="U1023" s="2">
        <v>1374.8</v>
      </c>
      <c r="V1023" s="2">
        <v>1374.8</v>
      </c>
      <c r="W1023" s="2">
        <v>1374.8</v>
      </c>
    </row>
    <row r="1024" spans="1:23" outlineLevel="2" x14ac:dyDescent="0.2">
      <c r="A1024" t="s">
        <v>0</v>
      </c>
      <c r="B1024" t="s">
        <v>31</v>
      </c>
      <c r="C1024" t="s">
        <v>79</v>
      </c>
      <c r="D1024" t="s">
        <v>113</v>
      </c>
      <c r="E1024" t="s">
        <v>114</v>
      </c>
      <c r="F1024" t="s">
        <v>5</v>
      </c>
      <c r="G1024" t="s">
        <v>6</v>
      </c>
      <c r="H1024" t="s">
        <v>35</v>
      </c>
      <c r="I1024" t="s">
        <v>36</v>
      </c>
      <c r="J1024" t="s">
        <v>9</v>
      </c>
      <c r="K1024" t="s">
        <v>335</v>
      </c>
      <c r="L1024" t="s">
        <v>338</v>
      </c>
      <c r="M1024" t="s">
        <v>12</v>
      </c>
      <c r="N1024" s="2">
        <v>0</v>
      </c>
      <c r="O1024" s="2">
        <v>0</v>
      </c>
      <c r="P1024" s="2">
        <v>3116.59</v>
      </c>
      <c r="Q1024" s="2">
        <v>3116.59</v>
      </c>
      <c r="R1024" s="2">
        <v>0</v>
      </c>
      <c r="S1024" s="2">
        <v>0</v>
      </c>
      <c r="T1024" s="2">
        <v>0</v>
      </c>
      <c r="U1024" s="2">
        <v>3116.59</v>
      </c>
      <c r="V1024" s="2">
        <v>3116.59</v>
      </c>
      <c r="W1024" s="2">
        <v>3116.59</v>
      </c>
    </row>
    <row r="1025" spans="1:23" outlineLevel="2" x14ac:dyDescent="0.2">
      <c r="A1025" t="s">
        <v>0</v>
      </c>
      <c r="B1025" t="s">
        <v>31</v>
      </c>
      <c r="C1025" t="s">
        <v>32</v>
      </c>
      <c r="D1025" t="s">
        <v>141</v>
      </c>
      <c r="E1025" t="s">
        <v>142</v>
      </c>
      <c r="F1025" t="s">
        <v>5</v>
      </c>
      <c r="G1025" t="s">
        <v>6</v>
      </c>
      <c r="H1025" t="s">
        <v>35</v>
      </c>
      <c r="I1025" t="s">
        <v>36</v>
      </c>
      <c r="J1025" t="s">
        <v>9</v>
      </c>
      <c r="K1025" t="s">
        <v>335</v>
      </c>
      <c r="L1025" t="s">
        <v>336</v>
      </c>
      <c r="M1025" t="s">
        <v>15</v>
      </c>
      <c r="N1025" s="2">
        <v>2706.32</v>
      </c>
      <c r="O1025" s="2">
        <v>2477</v>
      </c>
      <c r="P1025" s="2">
        <v>-0.1</v>
      </c>
      <c r="Q1025" s="2">
        <v>5183.22</v>
      </c>
      <c r="R1025" s="2">
        <v>0</v>
      </c>
      <c r="S1025" s="2">
        <v>5183.22</v>
      </c>
      <c r="T1025" s="2">
        <v>5183.22</v>
      </c>
      <c r="U1025" s="2">
        <v>0</v>
      </c>
      <c r="V1025" s="2">
        <v>0</v>
      </c>
      <c r="W1025" s="2">
        <v>0</v>
      </c>
    </row>
    <row r="1026" spans="1:23" outlineLevel="2" x14ac:dyDescent="0.2">
      <c r="A1026" t="s">
        <v>0</v>
      </c>
      <c r="B1026" t="s">
        <v>31</v>
      </c>
      <c r="C1026" t="s">
        <v>79</v>
      </c>
      <c r="D1026" t="s">
        <v>115</v>
      </c>
      <c r="E1026" t="s">
        <v>116</v>
      </c>
      <c r="F1026" t="s">
        <v>5</v>
      </c>
      <c r="G1026" t="s">
        <v>6</v>
      </c>
      <c r="H1026" t="s">
        <v>35</v>
      </c>
      <c r="I1026" t="s">
        <v>36</v>
      </c>
      <c r="J1026" t="s">
        <v>9</v>
      </c>
      <c r="K1026" t="s">
        <v>335</v>
      </c>
      <c r="L1026" t="s">
        <v>338</v>
      </c>
      <c r="M1026" t="s">
        <v>12</v>
      </c>
      <c r="N1026" s="2">
        <v>0</v>
      </c>
      <c r="O1026" s="2">
        <v>0</v>
      </c>
      <c r="P1026" s="2">
        <v>1973.93</v>
      </c>
      <c r="Q1026" s="2">
        <v>1973.93</v>
      </c>
      <c r="R1026" s="2">
        <v>0</v>
      </c>
      <c r="S1026" s="2">
        <v>0</v>
      </c>
      <c r="T1026" s="2">
        <v>0</v>
      </c>
      <c r="U1026" s="2">
        <v>1973.93</v>
      </c>
      <c r="V1026" s="2">
        <v>1973.93</v>
      </c>
      <c r="W1026" s="2">
        <v>1973.93</v>
      </c>
    </row>
    <row r="1027" spans="1:23" outlineLevel="2" x14ac:dyDescent="0.2">
      <c r="A1027" t="s">
        <v>0</v>
      </c>
      <c r="B1027" t="s">
        <v>31</v>
      </c>
      <c r="C1027" t="s">
        <v>32</v>
      </c>
      <c r="D1027" t="s">
        <v>75</v>
      </c>
      <c r="E1027" t="s">
        <v>76</v>
      </c>
      <c r="F1027" t="s">
        <v>5</v>
      </c>
      <c r="G1027" t="s">
        <v>6</v>
      </c>
      <c r="H1027" t="s">
        <v>35</v>
      </c>
      <c r="I1027" t="s">
        <v>36</v>
      </c>
      <c r="J1027" t="s">
        <v>9</v>
      </c>
      <c r="K1027" t="s">
        <v>335</v>
      </c>
      <c r="L1027" t="s">
        <v>336</v>
      </c>
      <c r="M1027" t="s">
        <v>12</v>
      </c>
      <c r="N1027" s="2">
        <v>0</v>
      </c>
      <c r="O1027" s="2">
        <v>0</v>
      </c>
      <c r="P1027" s="2">
        <v>3669.11</v>
      </c>
      <c r="Q1027" s="2">
        <v>3669.11</v>
      </c>
      <c r="R1027" s="2">
        <v>0</v>
      </c>
      <c r="S1027" s="2">
        <v>0</v>
      </c>
      <c r="T1027" s="2">
        <v>0</v>
      </c>
      <c r="U1027" s="2">
        <v>3669.11</v>
      </c>
      <c r="V1027" s="2">
        <v>3669.11</v>
      </c>
      <c r="W1027" s="2">
        <v>3669.11</v>
      </c>
    </row>
    <row r="1028" spans="1:23" outlineLevel="2" x14ac:dyDescent="0.2">
      <c r="A1028" t="s">
        <v>0</v>
      </c>
      <c r="B1028" t="s">
        <v>31</v>
      </c>
      <c r="C1028" t="s">
        <v>32</v>
      </c>
      <c r="D1028" t="s">
        <v>33</v>
      </c>
      <c r="E1028" t="s">
        <v>34</v>
      </c>
      <c r="F1028" t="s">
        <v>5</v>
      </c>
      <c r="G1028" t="s">
        <v>6</v>
      </c>
      <c r="H1028" t="s">
        <v>35</v>
      </c>
      <c r="I1028" t="s">
        <v>36</v>
      </c>
      <c r="J1028" t="s">
        <v>9</v>
      </c>
      <c r="K1028" t="s">
        <v>335</v>
      </c>
      <c r="L1028" t="s">
        <v>336</v>
      </c>
      <c r="M1028" t="s">
        <v>12</v>
      </c>
      <c r="N1028" s="2">
        <v>0</v>
      </c>
      <c r="O1028" s="2">
        <v>0</v>
      </c>
      <c r="P1028" s="2">
        <v>5286.67</v>
      </c>
      <c r="Q1028" s="2">
        <v>5286.67</v>
      </c>
      <c r="R1028" s="2">
        <v>0</v>
      </c>
      <c r="S1028" s="2">
        <v>0</v>
      </c>
      <c r="T1028" s="2">
        <v>0</v>
      </c>
      <c r="U1028" s="2">
        <v>5286.67</v>
      </c>
      <c r="V1028" s="2">
        <v>5286.67</v>
      </c>
      <c r="W1028" s="2">
        <v>5286.67</v>
      </c>
    </row>
    <row r="1029" spans="1:23" outlineLevel="2" x14ac:dyDescent="0.2">
      <c r="A1029" t="s">
        <v>0</v>
      </c>
      <c r="B1029" t="s">
        <v>31</v>
      </c>
      <c r="C1029" t="s">
        <v>79</v>
      </c>
      <c r="D1029" t="s">
        <v>83</v>
      </c>
      <c r="E1029" t="s">
        <v>84</v>
      </c>
      <c r="F1029" t="s">
        <v>5</v>
      </c>
      <c r="G1029" t="s">
        <v>6</v>
      </c>
      <c r="H1029" t="s">
        <v>35</v>
      </c>
      <c r="I1029" t="s">
        <v>36</v>
      </c>
      <c r="J1029" t="s">
        <v>9</v>
      </c>
      <c r="K1029" t="s">
        <v>335</v>
      </c>
      <c r="L1029" t="s">
        <v>338</v>
      </c>
      <c r="M1029" t="s">
        <v>12</v>
      </c>
      <c r="N1029" s="2">
        <v>0</v>
      </c>
      <c r="O1029" s="2">
        <v>0</v>
      </c>
      <c r="P1029" s="2">
        <v>14959.33</v>
      </c>
      <c r="Q1029" s="2">
        <v>14959.33</v>
      </c>
      <c r="R1029" s="2">
        <v>0</v>
      </c>
      <c r="S1029" s="2">
        <v>0</v>
      </c>
      <c r="T1029" s="2">
        <v>0</v>
      </c>
      <c r="U1029" s="2">
        <v>14959.33</v>
      </c>
      <c r="V1029" s="2">
        <v>14959.33</v>
      </c>
      <c r="W1029" s="2">
        <v>14959.33</v>
      </c>
    </row>
    <row r="1030" spans="1:23" outlineLevel="2" x14ac:dyDescent="0.2">
      <c r="A1030" t="s">
        <v>0</v>
      </c>
      <c r="B1030" t="s">
        <v>31</v>
      </c>
      <c r="C1030" t="s">
        <v>79</v>
      </c>
      <c r="D1030" t="s">
        <v>83</v>
      </c>
      <c r="E1030" t="s">
        <v>84</v>
      </c>
      <c r="F1030" t="s">
        <v>5</v>
      </c>
      <c r="G1030" t="s">
        <v>6</v>
      </c>
      <c r="H1030" t="s">
        <v>35</v>
      </c>
      <c r="I1030" t="s">
        <v>36</v>
      </c>
      <c r="J1030" t="s">
        <v>9</v>
      </c>
      <c r="K1030" t="s">
        <v>335</v>
      </c>
      <c r="L1030" t="s">
        <v>338</v>
      </c>
      <c r="M1030" t="s">
        <v>15</v>
      </c>
      <c r="N1030" s="2">
        <v>30404.33</v>
      </c>
      <c r="O1030" s="2">
        <v>0</v>
      </c>
      <c r="P1030" s="2">
        <v>-29918.66</v>
      </c>
      <c r="Q1030" s="2">
        <v>485.67</v>
      </c>
      <c r="R1030" s="2">
        <v>0</v>
      </c>
      <c r="S1030" s="2">
        <v>485.67</v>
      </c>
      <c r="T1030" s="2">
        <v>485.67</v>
      </c>
      <c r="U1030" s="2">
        <v>0</v>
      </c>
      <c r="V1030" s="2">
        <v>0</v>
      </c>
      <c r="W1030" s="2">
        <v>0</v>
      </c>
    </row>
    <row r="1031" spans="1:23" outlineLevel="2" x14ac:dyDescent="0.2">
      <c r="A1031" t="s">
        <v>0</v>
      </c>
      <c r="B1031" t="s">
        <v>31</v>
      </c>
      <c r="C1031" t="s">
        <v>49</v>
      </c>
      <c r="D1031" t="s">
        <v>50</v>
      </c>
      <c r="E1031" t="s">
        <v>51</v>
      </c>
      <c r="F1031" t="s">
        <v>5</v>
      </c>
      <c r="G1031" t="s">
        <v>6</v>
      </c>
      <c r="H1031" t="s">
        <v>35</v>
      </c>
      <c r="I1031" t="s">
        <v>36</v>
      </c>
      <c r="J1031" t="s">
        <v>9</v>
      </c>
      <c r="K1031" t="s">
        <v>335</v>
      </c>
      <c r="L1031" t="s">
        <v>349</v>
      </c>
      <c r="M1031" t="s">
        <v>12</v>
      </c>
      <c r="N1031" s="2">
        <v>0</v>
      </c>
      <c r="O1031" s="2">
        <v>0</v>
      </c>
      <c r="P1031" s="2">
        <v>864.87</v>
      </c>
      <c r="Q1031" s="2">
        <v>864.87</v>
      </c>
      <c r="R1031" s="2">
        <v>0</v>
      </c>
      <c r="S1031" s="2">
        <v>0</v>
      </c>
      <c r="T1031" s="2">
        <v>0</v>
      </c>
      <c r="U1031" s="2">
        <v>864.87</v>
      </c>
      <c r="V1031" s="2">
        <v>864.87</v>
      </c>
      <c r="W1031" s="2">
        <v>864.87</v>
      </c>
    </row>
    <row r="1032" spans="1:23" outlineLevel="2" x14ac:dyDescent="0.2">
      <c r="A1032" t="s">
        <v>0</v>
      </c>
      <c r="B1032" t="s">
        <v>39</v>
      </c>
      <c r="C1032" t="s">
        <v>40</v>
      </c>
      <c r="D1032" t="s">
        <v>41</v>
      </c>
      <c r="E1032" t="s">
        <v>42</v>
      </c>
      <c r="F1032" t="s">
        <v>5</v>
      </c>
      <c r="G1032" t="s">
        <v>6</v>
      </c>
      <c r="H1032" t="s">
        <v>35</v>
      </c>
      <c r="I1032" t="s">
        <v>36</v>
      </c>
      <c r="J1032" t="s">
        <v>9</v>
      </c>
      <c r="K1032" t="s">
        <v>335</v>
      </c>
      <c r="L1032" t="s">
        <v>343</v>
      </c>
      <c r="M1032" t="s">
        <v>12</v>
      </c>
      <c r="N1032" s="2">
        <v>0</v>
      </c>
      <c r="O1032" s="2">
        <v>0</v>
      </c>
      <c r="P1032" s="2">
        <v>2240.7800000000002</v>
      </c>
      <c r="Q1032" s="2">
        <v>2240.7800000000002</v>
      </c>
      <c r="R1032" s="2">
        <v>0</v>
      </c>
      <c r="S1032" s="2">
        <v>0</v>
      </c>
      <c r="T1032" s="2">
        <v>0</v>
      </c>
      <c r="U1032" s="2">
        <v>2240.7800000000002</v>
      </c>
      <c r="V1032" s="2">
        <v>2240.7800000000002</v>
      </c>
      <c r="W1032" s="2">
        <v>2240.7800000000002</v>
      </c>
    </row>
    <row r="1033" spans="1:23" outlineLevel="2" x14ac:dyDescent="0.2">
      <c r="A1033" t="s">
        <v>0</v>
      </c>
      <c r="B1033" t="s">
        <v>31</v>
      </c>
      <c r="C1033" t="s">
        <v>32</v>
      </c>
      <c r="D1033" t="s">
        <v>141</v>
      </c>
      <c r="E1033" t="s">
        <v>142</v>
      </c>
      <c r="F1033" t="s">
        <v>5</v>
      </c>
      <c r="G1033" t="s">
        <v>6</v>
      </c>
      <c r="H1033" t="s">
        <v>35</v>
      </c>
      <c r="I1033" t="s">
        <v>36</v>
      </c>
      <c r="J1033" t="s">
        <v>9</v>
      </c>
      <c r="K1033" t="s">
        <v>335</v>
      </c>
      <c r="L1033" t="s">
        <v>336</v>
      </c>
      <c r="M1033" t="s">
        <v>12</v>
      </c>
      <c r="N1033" s="2">
        <v>0</v>
      </c>
      <c r="O1033" s="2">
        <v>0</v>
      </c>
      <c r="P1033" s="2">
        <v>4072.53</v>
      </c>
      <c r="Q1033" s="2">
        <v>4072.53</v>
      </c>
      <c r="R1033" s="2">
        <v>0</v>
      </c>
      <c r="S1033" s="2">
        <v>0</v>
      </c>
      <c r="T1033" s="2">
        <v>0</v>
      </c>
      <c r="U1033" s="2">
        <v>4072.53</v>
      </c>
      <c r="V1033" s="2">
        <v>4072.53</v>
      </c>
      <c r="W1033" s="2">
        <v>4072.53</v>
      </c>
    </row>
    <row r="1034" spans="1:23" outlineLevel="2" x14ac:dyDescent="0.2">
      <c r="A1034" t="s">
        <v>0</v>
      </c>
      <c r="B1034" t="s">
        <v>31</v>
      </c>
      <c r="C1034" t="s">
        <v>79</v>
      </c>
      <c r="D1034" t="s">
        <v>117</v>
      </c>
      <c r="E1034" t="s">
        <v>118</v>
      </c>
      <c r="F1034" t="s">
        <v>5</v>
      </c>
      <c r="G1034" t="s">
        <v>6</v>
      </c>
      <c r="H1034" t="s">
        <v>35</v>
      </c>
      <c r="I1034" t="s">
        <v>36</v>
      </c>
      <c r="J1034" t="s">
        <v>9</v>
      </c>
      <c r="K1034" t="s">
        <v>335</v>
      </c>
      <c r="L1034" t="s">
        <v>338</v>
      </c>
      <c r="M1034" t="s">
        <v>12</v>
      </c>
      <c r="N1034" s="2">
        <v>0</v>
      </c>
      <c r="O1034" s="2">
        <v>0</v>
      </c>
      <c r="P1034" s="2">
        <v>6425.96</v>
      </c>
      <c r="Q1034" s="2">
        <v>6425.96</v>
      </c>
      <c r="R1034" s="2">
        <v>0</v>
      </c>
      <c r="S1034" s="2">
        <v>0</v>
      </c>
      <c r="T1034" s="2">
        <v>0</v>
      </c>
      <c r="U1034" s="2">
        <v>6425.96</v>
      </c>
      <c r="V1034" s="2">
        <v>6425.96</v>
      </c>
      <c r="W1034" s="2">
        <v>6425.96</v>
      </c>
    </row>
    <row r="1035" spans="1:23" outlineLevel="2" x14ac:dyDescent="0.2">
      <c r="A1035" t="s">
        <v>0</v>
      </c>
      <c r="B1035" t="s">
        <v>1</v>
      </c>
      <c r="C1035" t="s">
        <v>2</v>
      </c>
      <c r="D1035" t="s">
        <v>3</v>
      </c>
      <c r="E1035" t="s">
        <v>4</v>
      </c>
      <c r="F1035" t="s">
        <v>5</v>
      </c>
      <c r="G1035" t="s">
        <v>6</v>
      </c>
      <c r="H1035" t="s">
        <v>35</v>
      </c>
      <c r="I1035" t="s">
        <v>36</v>
      </c>
      <c r="J1035" t="s">
        <v>9</v>
      </c>
      <c r="K1035" t="s">
        <v>335</v>
      </c>
      <c r="L1035" t="s">
        <v>337</v>
      </c>
      <c r="M1035" t="s">
        <v>12</v>
      </c>
      <c r="N1035" s="2">
        <v>0</v>
      </c>
      <c r="O1035" s="2">
        <v>0</v>
      </c>
      <c r="P1035" s="2">
        <v>4223.8100000000004</v>
      </c>
      <c r="Q1035" s="2">
        <v>4223.8100000000004</v>
      </c>
      <c r="R1035" s="2">
        <v>0</v>
      </c>
      <c r="S1035" s="2">
        <v>1100</v>
      </c>
      <c r="T1035" s="2">
        <v>1100</v>
      </c>
      <c r="U1035" s="2">
        <v>3123.81</v>
      </c>
      <c r="V1035" s="2">
        <v>3123.81</v>
      </c>
      <c r="W1035" s="2">
        <v>3123.81</v>
      </c>
    </row>
    <row r="1036" spans="1:23" outlineLevel="2" x14ac:dyDescent="0.2">
      <c r="A1036" t="s">
        <v>0</v>
      </c>
      <c r="B1036" t="s">
        <v>1</v>
      </c>
      <c r="C1036" t="s">
        <v>91</v>
      </c>
      <c r="D1036" t="s">
        <v>92</v>
      </c>
      <c r="E1036" t="s">
        <v>93</v>
      </c>
      <c r="F1036" t="s">
        <v>5</v>
      </c>
      <c r="G1036" t="s">
        <v>6</v>
      </c>
      <c r="H1036" t="s">
        <v>35</v>
      </c>
      <c r="I1036" t="s">
        <v>36</v>
      </c>
      <c r="J1036" t="s">
        <v>9</v>
      </c>
      <c r="K1036" t="s">
        <v>335</v>
      </c>
      <c r="L1036" t="s">
        <v>350</v>
      </c>
      <c r="M1036" t="s">
        <v>15</v>
      </c>
      <c r="N1036" s="2">
        <v>4918.47</v>
      </c>
      <c r="O1036" s="2">
        <v>6264</v>
      </c>
      <c r="P1036" s="2">
        <v>-6616.17</v>
      </c>
      <c r="Q1036" s="2">
        <v>4566.3</v>
      </c>
      <c r="R1036" s="2">
        <v>0</v>
      </c>
      <c r="S1036" s="2">
        <v>4566.3</v>
      </c>
      <c r="T1036" s="2">
        <v>4566.3</v>
      </c>
      <c r="U1036" s="2">
        <v>0</v>
      </c>
      <c r="V1036" s="2">
        <v>0</v>
      </c>
      <c r="W1036" s="2">
        <v>0</v>
      </c>
    </row>
    <row r="1037" spans="1:23" outlineLevel="2" x14ac:dyDescent="0.2">
      <c r="A1037" t="s">
        <v>0</v>
      </c>
      <c r="B1037" t="s">
        <v>39</v>
      </c>
      <c r="C1037" t="s">
        <v>95</v>
      </c>
      <c r="D1037" t="s">
        <v>96</v>
      </c>
      <c r="E1037" t="s">
        <v>97</v>
      </c>
      <c r="F1037" t="s">
        <v>5</v>
      </c>
      <c r="G1037" t="s">
        <v>6</v>
      </c>
      <c r="H1037" t="s">
        <v>35</v>
      </c>
      <c r="I1037" t="s">
        <v>36</v>
      </c>
      <c r="J1037" t="s">
        <v>9</v>
      </c>
      <c r="K1037" t="s">
        <v>335</v>
      </c>
      <c r="L1037" t="s">
        <v>351</v>
      </c>
      <c r="M1037" t="s">
        <v>15</v>
      </c>
      <c r="N1037" s="2">
        <v>3326.09</v>
      </c>
      <c r="O1037" s="2">
        <v>0</v>
      </c>
      <c r="P1037" s="2">
        <v>-519.29</v>
      </c>
      <c r="Q1037" s="2">
        <v>2806.8</v>
      </c>
      <c r="R1037" s="2">
        <v>0</v>
      </c>
      <c r="S1037" s="2">
        <v>2806.8</v>
      </c>
      <c r="T1037" s="2">
        <v>2806.8</v>
      </c>
      <c r="U1037" s="2">
        <v>0</v>
      </c>
      <c r="V1037" s="2">
        <v>0</v>
      </c>
      <c r="W1037" s="2">
        <v>0</v>
      </c>
    </row>
    <row r="1038" spans="1:23" outlineLevel="2" x14ac:dyDescent="0.2">
      <c r="A1038" t="s">
        <v>0</v>
      </c>
      <c r="B1038" t="s">
        <v>31</v>
      </c>
      <c r="C1038" t="s">
        <v>79</v>
      </c>
      <c r="D1038" t="s">
        <v>127</v>
      </c>
      <c r="E1038" t="s">
        <v>128</v>
      </c>
      <c r="F1038" t="s">
        <v>5</v>
      </c>
      <c r="G1038" t="s">
        <v>6</v>
      </c>
      <c r="H1038" t="s">
        <v>35</v>
      </c>
      <c r="I1038" t="s">
        <v>36</v>
      </c>
      <c r="J1038" t="s">
        <v>9</v>
      </c>
      <c r="K1038" t="s">
        <v>335</v>
      </c>
      <c r="L1038" t="s">
        <v>338</v>
      </c>
      <c r="M1038" t="s">
        <v>15</v>
      </c>
      <c r="N1038" s="2">
        <v>14090.81</v>
      </c>
      <c r="O1038" s="2">
        <v>0</v>
      </c>
      <c r="P1038" s="2">
        <v>-9710.81</v>
      </c>
      <c r="Q1038" s="2">
        <v>4380</v>
      </c>
      <c r="R1038" s="2">
        <v>0</v>
      </c>
      <c r="S1038" s="2">
        <v>4380</v>
      </c>
      <c r="T1038" s="2">
        <v>4380</v>
      </c>
      <c r="U1038" s="2">
        <v>0</v>
      </c>
      <c r="V1038" s="2">
        <v>0</v>
      </c>
      <c r="W1038" s="2">
        <v>0</v>
      </c>
    </row>
    <row r="1039" spans="1:23" outlineLevel="2" x14ac:dyDescent="0.2">
      <c r="A1039" t="s">
        <v>0</v>
      </c>
      <c r="B1039" t="s">
        <v>39</v>
      </c>
      <c r="C1039" t="s">
        <v>58</v>
      </c>
      <c r="D1039" t="s">
        <v>145</v>
      </c>
      <c r="E1039" t="s">
        <v>146</v>
      </c>
      <c r="F1039" t="s">
        <v>5</v>
      </c>
      <c r="G1039" t="s">
        <v>6</v>
      </c>
      <c r="H1039" t="s">
        <v>35</v>
      </c>
      <c r="I1039" t="s">
        <v>36</v>
      </c>
      <c r="J1039" t="s">
        <v>9</v>
      </c>
      <c r="K1039" t="s">
        <v>335</v>
      </c>
      <c r="L1039" t="s">
        <v>339</v>
      </c>
      <c r="M1039" t="s">
        <v>15</v>
      </c>
      <c r="N1039" s="2">
        <v>9413.1200000000008</v>
      </c>
      <c r="O1039" s="2">
        <v>0</v>
      </c>
      <c r="P1039" s="2">
        <v>-3478.15</v>
      </c>
      <c r="Q1039" s="2">
        <v>5934.97</v>
      </c>
      <c r="R1039" s="2">
        <v>0</v>
      </c>
      <c r="S1039" s="2">
        <v>5934.97</v>
      </c>
      <c r="T1039" s="2">
        <v>5934.97</v>
      </c>
      <c r="U1039" s="2">
        <v>0</v>
      </c>
      <c r="V1039" s="2">
        <v>0</v>
      </c>
      <c r="W1039" s="2">
        <v>0</v>
      </c>
    </row>
    <row r="1040" spans="1:23" outlineLevel="2" x14ac:dyDescent="0.2">
      <c r="A1040" t="s">
        <v>0</v>
      </c>
      <c r="B1040" t="s">
        <v>1</v>
      </c>
      <c r="C1040" t="s">
        <v>16</v>
      </c>
      <c r="D1040" t="s">
        <v>17</v>
      </c>
      <c r="E1040" t="s">
        <v>18</v>
      </c>
      <c r="F1040" t="s">
        <v>5</v>
      </c>
      <c r="G1040" t="s">
        <v>6</v>
      </c>
      <c r="H1040" t="s">
        <v>35</v>
      </c>
      <c r="I1040" t="s">
        <v>36</v>
      </c>
      <c r="J1040" t="s">
        <v>9</v>
      </c>
      <c r="K1040" t="s">
        <v>335</v>
      </c>
      <c r="L1040" t="s">
        <v>345</v>
      </c>
      <c r="M1040" t="s">
        <v>12</v>
      </c>
      <c r="N1040" s="2">
        <v>0</v>
      </c>
      <c r="O1040" s="2">
        <v>0</v>
      </c>
      <c r="P1040" s="2">
        <v>5770</v>
      </c>
      <c r="Q1040" s="2">
        <v>5770</v>
      </c>
      <c r="R1040" s="2">
        <v>0</v>
      </c>
      <c r="S1040" s="2">
        <v>1300</v>
      </c>
      <c r="T1040" s="2">
        <v>1300</v>
      </c>
      <c r="U1040" s="2">
        <v>4470</v>
      </c>
      <c r="V1040" s="2">
        <v>4470</v>
      </c>
      <c r="W1040" s="2">
        <v>4470</v>
      </c>
    </row>
    <row r="1041" spans="1:23" outlineLevel="2" x14ac:dyDescent="0.2">
      <c r="A1041" t="s">
        <v>0</v>
      </c>
      <c r="B1041" t="s">
        <v>39</v>
      </c>
      <c r="C1041" t="s">
        <v>58</v>
      </c>
      <c r="D1041" t="s">
        <v>135</v>
      </c>
      <c r="E1041" t="s">
        <v>136</v>
      </c>
      <c r="F1041" t="s">
        <v>5</v>
      </c>
      <c r="G1041" t="s">
        <v>6</v>
      </c>
      <c r="H1041" t="s">
        <v>35</v>
      </c>
      <c r="I1041" t="s">
        <v>36</v>
      </c>
      <c r="J1041" t="s">
        <v>9</v>
      </c>
      <c r="K1041" t="s">
        <v>335</v>
      </c>
      <c r="L1041" t="s">
        <v>339</v>
      </c>
      <c r="M1041" t="s">
        <v>12</v>
      </c>
      <c r="N1041" s="2">
        <v>0</v>
      </c>
      <c r="O1041" s="2">
        <v>2602</v>
      </c>
      <c r="P1041" s="2">
        <v>0.98</v>
      </c>
      <c r="Q1041" s="2">
        <v>2602.98</v>
      </c>
      <c r="R1041" s="2">
        <v>0</v>
      </c>
      <c r="S1041" s="2">
        <v>1250</v>
      </c>
      <c r="T1041" s="2">
        <v>1250</v>
      </c>
      <c r="U1041" s="2">
        <v>1352.98</v>
      </c>
      <c r="V1041" s="2">
        <v>1352.98</v>
      </c>
      <c r="W1041" s="2">
        <v>1352.98</v>
      </c>
    </row>
    <row r="1042" spans="1:23" outlineLevel="2" x14ac:dyDescent="0.2">
      <c r="A1042" t="s">
        <v>0</v>
      </c>
      <c r="B1042" t="s">
        <v>31</v>
      </c>
      <c r="C1042" t="s">
        <v>79</v>
      </c>
      <c r="D1042" t="s">
        <v>115</v>
      </c>
      <c r="E1042" t="s">
        <v>116</v>
      </c>
      <c r="F1042" t="s">
        <v>5</v>
      </c>
      <c r="G1042" t="s">
        <v>6</v>
      </c>
      <c r="H1042" t="s">
        <v>35</v>
      </c>
      <c r="I1042" t="s">
        <v>36</v>
      </c>
      <c r="J1042" t="s">
        <v>9</v>
      </c>
      <c r="K1042" t="s">
        <v>335</v>
      </c>
      <c r="L1042" t="s">
        <v>338</v>
      </c>
      <c r="M1042" t="s">
        <v>15</v>
      </c>
      <c r="N1042" s="2">
        <v>3947.87</v>
      </c>
      <c r="O1042" s="2">
        <v>0</v>
      </c>
      <c r="P1042" s="2">
        <v>-3947.87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</row>
    <row r="1043" spans="1:23" outlineLevel="2" x14ac:dyDescent="0.2">
      <c r="A1043" t="s">
        <v>0</v>
      </c>
      <c r="B1043" t="s">
        <v>31</v>
      </c>
      <c r="C1043" t="s">
        <v>79</v>
      </c>
      <c r="D1043" t="s">
        <v>111</v>
      </c>
      <c r="E1043" t="s">
        <v>112</v>
      </c>
      <c r="F1043" t="s">
        <v>5</v>
      </c>
      <c r="G1043" t="s">
        <v>6</v>
      </c>
      <c r="H1043" t="s">
        <v>35</v>
      </c>
      <c r="I1043" t="s">
        <v>36</v>
      </c>
      <c r="J1043" t="s">
        <v>9</v>
      </c>
      <c r="K1043" t="s">
        <v>335</v>
      </c>
      <c r="L1043" t="s">
        <v>338</v>
      </c>
      <c r="M1043" t="s">
        <v>15</v>
      </c>
      <c r="N1043" s="2">
        <v>35160.74</v>
      </c>
      <c r="O1043" s="2">
        <v>0</v>
      </c>
      <c r="P1043" s="2">
        <v>-28660.74</v>
      </c>
      <c r="Q1043" s="2">
        <v>6500</v>
      </c>
      <c r="R1043" s="2">
        <v>0</v>
      </c>
      <c r="S1043" s="2">
        <v>6500</v>
      </c>
      <c r="T1043" s="2">
        <v>6500</v>
      </c>
      <c r="U1043" s="2">
        <v>0</v>
      </c>
      <c r="V1043" s="2">
        <v>0</v>
      </c>
      <c r="W1043" s="2">
        <v>0</v>
      </c>
    </row>
    <row r="1044" spans="1:23" outlineLevel="2" x14ac:dyDescent="0.2">
      <c r="A1044" t="s">
        <v>0</v>
      </c>
      <c r="B1044" t="s">
        <v>39</v>
      </c>
      <c r="C1044" t="s">
        <v>58</v>
      </c>
      <c r="D1044" t="s">
        <v>137</v>
      </c>
      <c r="E1044" t="s">
        <v>138</v>
      </c>
      <c r="F1044" t="s">
        <v>5</v>
      </c>
      <c r="G1044" t="s">
        <v>6</v>
      </c>
      <c r="H1044" t="s">
        <v>35</v>
      </c>
      <c r="I1044" t="s">
        <v>36</v>
      </c>
      <c r="J1044" t="s">
        <v>9</v>
      </c>
      <c r="K1044" t="s">
        <v>335</v>
      </c>
      <c r="L1044" t="s">
        <v>339</v>
      </c>
      <c r="M1044" t="s">
        <v>12</v>
      </c>
      <c r="N1044" s="2">
        <v>0</v>
      </c>
      <c r="O1044" s="2">
        <v>0</v>
      </c>
      <c r="P1044" s="2">
        <v>9467.48</v>
      </c>
      <c r="Q1044" s="2">
        <v>9467.48</v>
      </c>
      <c r="R1044" s="2">
        <v>0</v>
      </c>
      <c r="S1044" s="2">
        <v>317.47000000000003</v>
      </c>
      <c r="T1044" s="2">
        <v>317.47000000000003</v>
      </c>
      <c r="U1044" s="2">
        <v>9150.01</v>
      </c>
      <c r="V1044" s="2">
        <v>9150.01</v>
      </c>
      <c r="W1044" s="2">
        <v>9150.01</v>
      </c>
    </row>
    <row r="1045" spans="1:23" outlineLevel="2" x14ac:dyDescent="0.2">
      <c r="A1045" t="s">
        <v>0</v>
      </c>
      <c r="B1045" t="s">
        <v>39</v>
      </c>
      <c r="C1045" t="s">
        <v>58</v>
      </c>
      <c r="D1045" t="s">
        <v>147</v>
      </c>
      <c r="E1045" t="s">
        <v>148</v>
      </c>
      <c r="F1045" t="s">
        <v>5</v>
      </c>
      <c r="G1045" t="s">
        <v>6</v>
      </c>
      <c r="H1045" t="s">
        <v>35</v>
      </c>
      <c r="I1045" t="s">
        <v>36</v>
      </c>
      <c r="J1045" t="s">
        <v>9</v>
      </c>
      <c r="K1045" t="s">
        <v>335</v>
      </c>
      <c r="L1045" t="s">
        <v>339</v>
      </c>
      <c r="M1045" t="s">
        <v>12</v>
      </c>
      <c r="N1045" s="2">
        <v>0</v>
      </c>
      <c r="O1045" s="2">
        <v>0</v>
      </c>
      <c r="P1045" s="2">
        <v>2222.7199999999998</v>
      </c>
      <c r="Q1045" s="2">
        <v>2222.7199999999998</v>
      </c>
      <c r="R1045" s="2">
        <v>0</v>
      </c>
      <c r="S1045" s="2">
        <v>270</v>
      </c>
      <c r="T1045" s="2">
        <v>270</v>
      </c>
      <c r="U1045" s="2">
        <v>1952.72</v>
      </c>
      <c r="V1045" s="2">
        <v>1952.72</v>
      </c>
      <c r="W1045" s="2">
        <v>1952.72</v>
      </c>
    </row>
    <row r="1046" spans="1:23" outlineLevel="2" x14ac:dyDescent="0.2">
      <c r="A1046" t="s">
        <v>0</v>
      </c>
      <c r="B1046" t="s">
        <v>1</v>
      </c>
      <c r="C1046" t="s">
        <v>16</v>
      </c>
      <c r="D1046" t="s">
        <v>64</v>
      </c>
      <c r="E1046" t="s">
        <v>65</v>
      </c>
      <c r="F1046" t="s">
        <v>5</v>
      </c>
      <c r="G1046" t="s">
        <v>6</v>
      </c>
      <c r="H1046" t="s">
        <v>35</v>
      </c>
      <c r="I1046" t="s">
        <v>36</v>
      </c>
      <c r="J1046" t="s">
        <v>9</v>
      </c>
      <c r="K1046" t="s">
        <v>335</v>
      </c>
      <c r="L1046" t="s">
        <v>345</v>
      </c>
      <c r="M1046" t="s">
        <v>15</v>
      </c>
      <c r="N1046" s="2">
        <v>878.65</v>
      </c>
      <c r="O1046" s="2">
        <v>380</v>
      </c>
      <c r="P1046" s="2">
        <v>-880.65</v>
      </c>
      <c r="Q1046" s="2">
        <v>378</v>
      </c>
      <c r="R1046" s="2">
        <v>0</v>
      </c>
      <c r="S1046" s="2">
        <v>378</v>
      </c>
      <c r="T1046" s="2">
        <v>378</v>
      </c>
      <c r="U1046" s="2">
        <v>0</v>
      </c>
      <c r="V1046" s="2">
        <v>0</v>
      </c>
      <c r="W1046" s="2">
        <v>0</v>
      </c>
    </row>
    <row r="1047" spans="1:23" outlineLevel="2" x14ac:dyDescent="0.2">
      <c r="A1047" t="s">
        <v>0</v>
      </c>
      <c r="B1047" t="s">
        <v>31</v>
      </c>
      <c r="C1047" t="s">
        <v>32</v>
      </c>
      <c r="D1047" t="s">
        <v>33</v>
      </c>
      <c r="E1047" t="s">
        <v>34</v>
      </c>
      <c r="F1047" t="s">
        <v>5</v>
      </c>
      <c r="G1047" t="s">
        <v>6</v>
      </c>
      <c r="H1047" t="s">
        <v>35</v>
      </c>
      <c r="I1047" t="s">
        <v>36</v>
      </c>
      <c r="J1047" t="s">
        <v>9</v>
      </c>
      <c r="K1047" t="s">
        <v>335</v>
      </c>
      <c r="L1047" t="s">
        <v>336</v>
      </c>
      <c r="M1047" t="s">
        <v>15</v>
      </c>
      <c r="N1047" s="2">
        <v>10573.35</v>
      </c>
      <c r="O1047" s="2">
        <v>0</v>
      </c>
      <c r="P1047" s="2">
        <v>-10573.35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</row>
    <row r="1048" spans="1:23" outlineLevel="2" x14ac:dyDescent="0.2">
      <c r="A1048" t="s">
        <v>0</v>
      </c>
      <c r="B1048" t="s">
        <v>1</v>
      </c>
      <c r="C1048" t="s">
        <v>99</v>
      </c>
      <c r="D1048" t="s">
        <v>100</v>
      </c>
      <c r="E1048" t="s">
        <v>101</v>
      </c>
      <c r="F1048" t="s">
        <v>5</v>
      </c>
      <c r="G1048" t="s">
        <v>6</v>
      </c>
      <c r="H1048" t="s">
        <v>35</v>
      </c>
      <c r="I1048" t="s">
        <v>36</v>
      </c>
      <c r="J1048" t="s">
        <v>9</v>
      </c>
      <c r="K1048" t="s">
        <v>335</v>
      </c>
      <c r="L1048" t="s">
        <v>348</v>
      </c>
      <c r="M1048" t="s">
        <v>15</v>
      </c>
      <c r="N1048" s="2">
        <v>3357.98</v>
      </c>
      <c r="O1048" s="2">
        <v>10857.15</v>
      </c>
      <c r="P1048" s="2">
        <v>-1</v>
      </c>
      <c r="Q1048" s="2">
        <v>14214.13</v>
      </c>
      <c r="R1048" s="2">
        <v>0</v>
      </c>
      <c r="S1048" s="2">
        <v>14214.13</v>
      </c>
      <c r="T1048" s="2">
        <v>14214.13</v>
      </c>
      <c r="U1048" s="2">
        <v>0</v>
      </c>
      <c r="V1048" s="2">
        <v>0</v>
      </c>
      <c r="W1048" s="2">
        <v>0</v>
      </c>
    </row>
    <row r="1049" spans="1:23" outlineLevel="2" x14ac:dyDescent="0.2">
      <c r="A1049" t="s">
        <v>0</v>
      </c>
      <c r="B1049" t="s">
        <v>1</v>
      </c>
      <c r="C1049" t="s">
        <v>91</v>
      </c>
      <c r="D1049" t="s">
        <v>92</v>
      </c>
      <c r="E1049" t="s">
        <v>93</v>
      </c>
      <c r="F1049" t="s">
        <v>5</v>
      </c>
      <c r="G1049" t="s">
        <v>6</v>
      </c>
      <c r="H1049" t="s">
        <v>35</v>
      </c>
      <c r="I1049" t="s">
        <v>36</v>
      </c>
      <c r="J1049" t="s">
        <v>9</v>
      </c>
      <c r="K1049" t="s">
        <v>335</v>
      </c>
      <c r="L1049" t="s">
        <v>350</v>
      </c>
      <c r="M1049" t="s">
        <v>12</v>
      </c>
      <c r="N1049" s="2">
        <v>0</v>
      </c>
      <c r="O1049" s="2">
        <v>0</v>
      </c>
      <c r="P1049" s="2">
        <v>6616.17</v>
      </c>
      <c r="Q1049" s="2">
        <v>6616.17</v>
      </c>
      <c r="R1049" s="2">
        <v>0</v>
      </c>
      <c r="S1049" s="2">
        <v>0</v>
      </c>
      <c r="T1049" s="2">
        <v>0</v>
      </c>
      <c r="U1049" s="2">
        <v>6616.17</v>
      </c>
      <c r="V1049" s="2">
        <v>6616.17</v>
      </c>
      <c r="W1049" s="2">
        <v>6616.17</v>
      </c>
    </row>
    <row r="1050" spans="1:23" outlineLevel="2" x14ac:dyDescent="0.2">
      <c r="A1050" t="s">
        <v>0</v>
      </c>
      <c r="B1050" t="s">
        <v>39</v>
      </c>
      <c r="C1050" t="s">
        <v>58</v>
      </c>
      <c r="D1050" t="s">
        <v>135</v>
      </c>
      <c r="E1050" t="s">
        <v>136</v>
      </c>
      <c r="F1050" t="s">
        <v>5</v>
      </c>
      <c r="G1050" t="s">
        <v>6</v>
      </c>
      <c r="H1050" t="s">
        <v>35</v>
      </c>
      <c r="I1050" t="s">
        <v>36</v>
      </c>
      <c r="J1050" t="s">
        <v>9</v>
      </c>
      <c r="K1050" t="s">
        <v>335</v>
      </c>
      <c r="L1050" t="s">
        <v>339</v>
      </c>
      <c r="M1050" t="s">
        <v>15</v>
      </c>
      <c r="N1050" s="2">
        <v>12479.8</v>
      </c>
      <c r="O1050" s="2">
        <v>1025</v>
      </c>
      <c r="P1050" s="2">
        <v>-9315.66</v>
      </c>
      <c r="Q1050" s="2">
        <v>4189.1400000000003</v>
      </c>
      <c r="R1050" s="2">
        <v>0</v>
      </c>
      <c r="S1050" s="2">
        <v>4189.1400000000003</v>
      </c>
      <c r="T1050" s="2">
        <v>4189.1400000000003</v>
      </c>
      <c r="U1050" s="2">
        <v>0</v>
      </c>
      <c r="V1050" s="2">
        <v>0</v>
      </c>
      <c r="W1050" s="2">
        <v>0</v>
      </c>
    </row>
    <row r="1051" spans="1:23" outlineLevel="2" x14ac:dyDescent="0.2">
      <c r="A1051" t="s">
        <v>0</v>
      </c>
      <c r="B1051" t="s">
        <v>31</v>
      </c>
      <c r="C1051" t="s">
        <v>49</v>
      </c>
      <c r="D1051" t="s">
        <v>50</v>
      </c>
      <c r="E1051" t="s">
        <v>51</v>
      </c>
      <c r="F1051" t="s">
        <v>5</v>
      </c>
      <c r="G1051" t="s">
        <v>6</v>
      </c>
      <c r="H1051" t="s">
        <v>35</v>
      </c>
      <c r="I1051" t="s">
        <v>36</v>
      </c>
      <c r="J1051" t="s">
        <v>9</v>
      </c>
      <c r="K1051" t="s">
        <v>335</v>
      </c>
      <c r="L1051" t="s">
        <v>349</v>
      </c>
      <c r="M1051" t="s">
        <v>15</v>
      </c>
      <c r="N1051" s="2">
        <v>1729.74</v>
      </c>
      <c r="O1051" s="2">
        <v>0</v>
      </c>
      <c r="P1051" s="2">
        <v>-1729.74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</row>
    <row r="1052" spans="1:23" outlineLevel="2" x14ac:dyDescent="0.2">
      <c r="A1052" t="s">
        <v>0</v>
      </c>
      <c r="B1052" t="s">
        <v>1</v>
      </c>
      <c r="C1052" t="s">
        <v>16</v>
      </c>
      <c r="D1052" t="s">
        <v>64</v>
      </c>
      <c r="E1052" t="s">
        <v>65</v>
      </c>
      <c r="F1052" t="s">
        <v>5</v>
      </c>
      <c r="G1052" t="s">
        <v>6</v>
      </c>
      <c r="H1052" t="s">
        <v>35</v>
      </c>
      <c r="I1052" t="s">
        <v>36</v>
      </c>
      <c r="J1052" t="s">
        <v>9</v>
      </c>
      <c r="K1052" t="s">
        <v>335</v>
      </c>
      <c r="L1052" t="s">
        <v>345</v>
      </c>
      <c r="M1052" t="s">
        <v>12</v>
      </c>
      <c r="N1052" s="2">
        <v>0</v>
      </c>
      <c r="O1052" s="2">
        <v>0</v>
      </c>
      <c r="P1052" s="2">
        <v>2</v>
      </c>
      <c r="Q1052" s="2">
        <v>2</v>
      </c>
      <c r="R1052" s="2">
        <v>0</v>
      </c>
      <c r="S1052" s="2">
        <v>0</v>
      </c>
      <c r="T1052" s="2">
        <v>0</v>
      </c>
      <c r="U1052" s="2">
        <v>2</v>
      </c>
      <c r="V1052" s="2">
        <v>2</v>
      </c>
      <c r="W1052" s="2">
        <v>2</v>
      </c>
    </row>
    <row r="1053" spans="1:23" outlineLevel="2" x14ac:dyDescent="0.2">
      <c r="A1053" t="s">
        <v>0</v>
      </c>
      <c r="B1053" t="s">
        <v>39</v>
      </c>
      <c r="C1053" t="s">
        <v>95</v>
      </c>
      <c r="D1053" t="s">
        <v>96</v>
      </c>
      <c r="E1053" t="s">
        <v>97</v>
      </c>
      <c r="F1053" t="s">
        <v>5</v>
      </c>
      <c r="G1053" t="s">
        <v>6</v>
      </c>
      <c r="H1053" t="s">
        <v>35</v>
      </c>
      <c r="I1053" t="s">
        <v>36</v>
      </c>
      <c r="J1053" t="s">
        <v>9</v>
      </c>
      <c r="K1053" t="s">
        <v>335</v>
      </c>
      <c r="L1053" t="s">
        <v>351</v>
      </c>
      <c r="M1053" t="s">
        <v>12</v>
      </c>
      <c r="N1053" s="2">
        <v>0</v>
      </c>
      <c r="O1053" s="2">
        <v>0</v>
      </c>
      <c r="P1053" s="2">
        <v>1133.9100000000001</v>
      </c>
      <c r="Q1053" s="2">
        <v>1133.9100000000001</v>
      </c>
      <c r="R1053" s="2">
        <v>0</v>
      </c>
      <c r="S1053" s="2">
        <v>0</v>
      </c>
      <c r="T1053" s="2">
        <v>0</v>
      </c>
      <c r="U1053" s="2">
        <v>1133.9100000000001</v>
      </c>
      <c r="V1053" s="2">
        <v>1133.9100000000001</v>
      </c>
      <c r="W1053" s="2">
        <v>1133.9100000000001</v>
      </c>
    </row>
    <row r="1054" spans="1:23" outlineLevel="2" x14ac:dyDescent="0.2">
      <c r="A1054" t="s">
        <v>0</v>
      </c>
      <c r="B1054" t="s">
        <v>39</v>
      </c>
      <c r="C1054" t="s">
        <v>58</v>
      </c>
      <c r="D1054" t="s">
        <v>139</v>
      </c>
      <c r="E1054" t="s">
        <v>140</v>
      </c>
      <c r="F1054" t="s">
        <v>5</v>
      </c>
      <c r="G1054" t="s">
        <v>6</v>
      </c>
      <c r="H1054" t="s">
        <v>35</v>
      </c>
      <c r="I1054" t="s">
        <v>36</v>
      </c>
      <c r="J1054" t="s">
        <v>9</v>
      </c>
      <c r="K1054" t="s">
        <v>335</v>
      </c>
      <c r="L1054" t="s">
        <v>339</v>
      </c>
      <c r="M1054" t="s">
        <v>12</v>
      </c>
      <c r="N1054" s="2">
        <v>0</v>
      </c>
      <c r="O1054" s="2">
        <v>0</v>
      </c>
      <c r="P1054" s="2">
        <v>2123.41</v>
      </c>
      <c r="Q1054" s="2">
        <v>2123.41</v>
      </c>
      <c r="R1054" s="2">
        <v>0</v>
      </c>
      <c r="S1054" s="2">
        <v>10</v>
      </c>
      <c r="T1054" s="2">
        <v>10</v>
      </c>
      <c r="U1054" s="2">
        <v>2113.41</v>
      </c>
      <c r="V1054" s="2">
        <v>2113.41</v>
      </c>
      <c r="W1054" s="2">
        <v>2113.41</v>
      </c>
    </row>
    <row r="1055" spans="1:23" outlineLevel="2" x14ac:dyDescent="0.2">
      <c r="A1055" t="s">
        <v>0</v>
      </c>
      <c r="B1055" t="s">
        <v>1</v>
      </c>
      <c r="C1055" t="s">
        <v>16</v>
      </c>
      <c r="D1055" t="s">
        <v>17</v>
      </c>
      <c r="E1055" t="s">
        <v>18</v>
      </c>
      <c r="F1055" t="s">
        <v>5</v>
      </c>
      <c r="G1055" t="s">
        <v>6</v>
      </c>
      <c r="H1055" t="s">
        <v>35</v>
      </c>
      <c r="I1055" t="s">
        <v>36</v>
      </c>
      <c r="J1055" t="s">
        <v>9</v>
      </c>
      <c r="K1055" t="s">
        <v>335</v>
      </c>
      <c r="L1055" t="s">
        <v>345</v>
      </c>
      <c r="M1055" t="s">
        <v>15</v>
      </c>
      <c r="N1055" s="2">
        <v>10481.629999999999</v>
      </c>
      <c r="O1055" s="2">
        <v>2520</v>
      </c>
      <c r="P1055" s="2">
        <v>-1.63</v>
      </c>
      <c r="Q1055" s="2">
        <v>13000</v>
      </c>
      <c r="R1055" s="2">
        <v>0</v>
      </c>
      <c r="S1055" s="2">
        <v>13000</v>
      </c>
      <c r="T1055" s="2">
        <v>13000</v>
      </c>
      <c r="U1055" s="2">
        <v>0</v>
      </c>
      <c r="V1055" s="2">
        <v>0</v>
      </c>
      <c r="W1055" s="2">
        <v>0</v>
      </c>
    </row>
    <row r="1056" spans="1:23" outlineLevel="2" x14ac:dyDescent="0.2">
      <c r="A1056" t="s">
        <v>0</v>
      </c>
      <c r="B1056" t="s">
        <v>39</v>
      </c>
      <c r="C1056" t="s">
        <v>58</v>
      </c>
      <c r="D1056" t="s">
        <v>143</v>
      </c>
      <c r="E1056" t="s">
        <v>144</v>
      </c>
      <c r="F1056" t="s">
        <v>5</v>
      </c>
      <c r="G1056" t="s">
        <v>6</v>
      </c>
      <c r="H1056" t="s">
        <v>35</v>
      </c>
      <c r="I1056" t="s">
        <v>36</v>
      </c>
      <c r="J1056" t="s">
        <v>9</v>
      </c>
      <c r="K1056" t="s">
        <v>335</v>
      </c>
      <c r="L1056" t="s">
        <v>339</v>
      </c>
      <c r="M1056" t="s">
        <v>12</v>
      </c>
      <c r="N1056" s="2">
        <v>0</v>
      </c>
      <c r="O1056" s="2">
        <v>435</v>
      </c>
      <c r="P1056" s="2">
        <v>383.01</v>
      </c>
      <c r="Q1056" s="2">
        <v>818.01</v>
      </c>
      <c r="R1056" s="2">
        <v>0</v>
      </c>
      <c r="S1056" s="2">
        <v>405</v>
      </c>
      <c r="T1056" s="2">
        <v>405</v>
      </c>
      <c r="U1056" s="2">
        <v>413.01</v>
      </c>
      <c r="V1056" s="2">
        <v>413.01</v>
      </c>
      <c r="W1056" s="2">
        <v>413.01</v>
      </c>
    </row>
    <row r="1057" spans="1:23" outlineLevel="2" x14ac:dyDescent="0.2">
      <c r="A1057" t="s">
        <v>0</v>
      </c>
      <c r="B1057" t="s">
        <v>39</v>
      </c>
      <c r="C1057" t="s">
        <v>58</v>
      </c>
      <c r="D1057" t="s">
        <v>137</v>
      </c>
      <c r="E1057" t="s">
        <v>138</v>
      </c>
      <c r="F1057" t="s">
        <v>5</v>
      </c>
      <c r="G1057" t="s">
        <v>6</v>
      </c>
      <c r="H1057" t="s">
        <v>35</v>
      </c>
      <c r="I1057" t="s">
        <v>36</v>
      </c>
      <c r="J1057" t="s">
        <v>9</v>
      </c>
      <c r="K1057" t="s">
        <v>335</v>
      </c>
      <c r="L1057" t="s">
        <v>339</v>
      </c>
      <c r="M1057" t="s">
        <v>15</v>
      </c>
      <c r="N1057" s="2">
        <v>16555.189999999999</v>
      </c>
      <c r="O1057" s="2">
        <v>3559.3</v>
      </c>
      <c r="P1057" s="2">
        <v>-2.74</v>
      </c>
      <c r="Q1057" s="2">
        <v>20111.75</v>
      </c>
      <c r="R1057" s="2">
        <v>0</v>
      </c>
      <c r="S1057" s="2">
        <v>20111.75</v>
      </c>
      <c r="T1057" s="2">
        <v>20111.75</v>
      </c>
      <c r="U1057" s="2">
        <v>0</v>
      </c>
      <c r="V1057" s="2">
        <v>0</v>
      </c>
      <c r="W1057" s="2">
        <v>0</v>
      </c>
    </row>
    <row r="1058" spans="1:23" outlineLevel="2" x14ac:dyDescent="0.2">
      <c r="A1058" t="s">
        <v>0</v>
      </c>
      <c r="B1058" t="s">
        <v>39</v>
      </c>
      <c r="C1058" t="s">
        <v>58</v>
      </c>
      <c r="D1058" t="s">
        <v>105</v>
      </c>
      <c r="E1058" t="s">
        <v>106</v>
      </c>
      <c r="F1058" t="s">
        <v>5</v>
      </c>
      <c r="G1058" t="s">
        <v>6</v>
      </c>
      <c r="H1058" t="s">
        <v>35</v>
      </c>
      <c r="I1058" t="s">
        <v>36</v>
      </c>
      <c r="J1058" t="s">
        <v>9</v>
      </c>
      <c r="K1058" t="s">
        <v>335</v>
      </c>
      <c r="L1058" t="s">
        <v>339</v>
      </c>
      <c r="M1058" t="s">
        <v>12</v>
      </c>
      <c r="N1058" s="2">
        <v>0</v>
      </c>
      <c r="O1058" s="2">
        <v>0</v>
      </c>
      <c r="P1058" s="2">
        <v>5418.12</v>
      </c>
      <c r="Q1058" s="2">
        <v>5418.12</v>
      </c>
      <c r="R1058" s="2">
        <v>0</v>
      </c>
      <c r="S1058" s="2">
        <v>0</v>
      </c>
      <c r="T1058" s="2">
        <v>0</v>
      </c>
      <c r="U1058" s="2">
        <v>5418.12</v>
      </c>
      <c r="V1058" s="2">
        <v>5418.12</v>
      </c>
      <c r="W1058" s="2">
        <v>5418.12</v>
      </c>
    </row>
    <row r="1059" spans="1:23" outlineLevel="2" x14ac:dyDescent="0.2">
      <c r="A1059" t="s">
        <v>0</v>
      </c>
      <c r="B1059" t="s">
        <v>39</v>
      </c>
      <c r="C1059" t="s">
        <v>40</v>
      </c>
      <c r="D1059" t="s">
        <v>77</v>
      </c>
      <c r="E1059" t="s">
        <v>78</v>
      </c>
      <c r="F1059" t="s">
        <v>5</v>
      </c>
      <c r="G1059" t="s">
        <v>6</v>
      </c>
      <c r="H1059" t="s">
        <v>35</v>
      </c>
      <c r="I1059" t="s">
        <v>36</v>
      </c>
      <c r="J1059" t="s">
        <v>9</v>
      </c>
      <c r="K1059" t="s">
        <v>22</v>
      </c>
      <c r="L1059" t="s">
        <v>352</v>
      </c>
      <c r="M1059" t="s">
        <v>15</v>
      </c>
      <c r="N1059" s="2">
        <v>3556103</v>
      </c>
      <c r="O1059" s="2">
        <v>19090.11</v>
      </c>
      <c r="P1059" s="2">
        <v>-675526.02</v>
      </c>
      <c r="Q1059" s="2">
        <v>2899667.09</v>
      </c>
      <c r="R1059" s="2">
        <v>8001.19</v>
      </c>
      <c r="S1059" s="2">
        <v>2891665.9</v>
      </c>
      <c r="T1059" s="2">
        <v>2891665.9</v>
      </c>
      <c r="U1059" s="2">
        <v>8001.19</v>
      </c>
      <c r="V1059" s="2">
        <v>8001.19</v>
      </c>
      <c r="W1059" s="2">
        <v>0</v>
      </c>
    </row>
    <row r="1060" spans="1:23" outlineLevel="2" x14ac:dyDescent="0.2">
      <c r="A1060" t="s">
        <v>0</v>
      </c>
      <c r="B1060" t="s">
        <v>39</v>
      </c>
      <c r="C1060" t="s">
        <v>58</v>
      </c>
      <c r="D1060" t="s">
        <v>143</v>
      </c>
      <c r="E1060" t="s">
        <v>144</v>
      </c>
      <c r="F1060" t="s">
        <v>5</v>
      </c>
      <c r="G1060" t="s">
        <v>6</v>
      </c>
      <c r="H1060" t="s">
        <v>35</v>
      </c>
      <c r="I1060" t="s">
        <v>36</v>
      </c>
      <c r="J1060" t="s">
        <v>9</v>
      </c>
      <c r="K1060" t="s">
        <v>22</v>
      </c>
      <c r="L1060" t="s">
        <v>353</v>
      </c>
      <c r="M1060" t="s">
        <v>15</v>
      </c>
      <c r="N1060" s="2">
        <v>186255.44</v>
      </c>
      <c r="O1060" s="2">
        <v>-373.68</v>
      </c>
      <c r="P1060" s="2">
        <v>-41770.980000000003</v>
      </c>
      <c r="Q1060" s="2">
        <v>144110.78</v>
      </c>
      <c r="R1060" s="2">
        <v>885.7</v>
      </c>
      <c r="S1060" s="2">
        <v>143225.07999999999</v>
      </c>
      <c r="T1060" s="2">
        <v>143225.07999999999</v>
      </c>
      <c r="U1060" s="2">
        <v>885.7</v>
      </c>
      <c r="V1060" s="2">
        <v>885.7</v>
      </c>
      <c r="W1060" s="2">
        <v>0</v>
      </c>
    </row>
    <row r="1061" spans="1:23" outlineLevel="2" x14ac:dyDescent="0.2">
      <c r="A1061" t="s">
        <v>0</v>
      </c>
      <c r="B1061" t="s">
        <v>31</v>
      </c>
      <c r="C1061" t="s">
        <v>79</v>
      </c>
      <c r="D1061" t="s">
        <v>83</v>
      </c>
      <c r="E1061" t="s">
        <v>84</v>
      </c>
      <c r="F1061" t="s">
        <v>5</v>
      </c>
      <c r="G1061" t="s">
        <v>6</v>
      </c>
      <c r="H1061" t="s">
        <v>35</v>
      </c>
      <c r="I1061" t="s">
        <v>36</v>
      </c>
      <c r="J1061" t="s">
        <v>9</v>
      </c>
      <c r="K1061" t="s">
        <v>22</v>
      </c>
      <c r="L1061" t="s">
        <v>354</v>
      </c>
      <c r="M1061" t="s">
        <v>12</v>
      </c>
      <c r="N1061" s="2">
        <v>0</v>
      </c>
      <c r="O1061" s="2">
        <v>11781.91</v>
      </c>
      <c r="P1061" s="2">
        <v>97939.5</v>
      </c>
      <c r="Q1061" s="2">
        <v>109721.41</v>
      </c>
      <c r="R1061" s="2">
        <v>9589.4</v>
      </c>
      <c r="S1061" s="2">
        <v>34901.06</v>
      </c>
      <c r="T1061" s="2">
        <v>34901.06</v>
      </c>
      <c r="U1061" s="2">
        <v>74820.350000000006</v>
      </c>
      <c r="V1061" s="2">
        <v>74820.350000000006</v>
      </c>
      <c r="W1061" s="2">
        <v>65230.95</v>
      </c>
    </row>
    <row r="1062" spans="1:23" outlineLevel="2" x14ac:dyDescent="0.2">
      <c r="A1062" t="s">
        <v>0</v>
      </c>
      <c r="B1062" t="s">
        <v>39</v>
      </c>
      <c r="C1062" t="s">
        <v>58</v>
      </c>
      <c r="D1062" t="s">
        <v>59</v>
      </c>
      <c r="E1062" t="s">
        <v>60</v>
      </c>
      <c r="F1062" t="s">
        <v>5</v>
      </c>
      <c r="G1062" t="s">
        <v>6</v>
      </c>
      <c r="H1062" t="s">
        <v>35</v>
      </c>
      <c r="I1062" t="s">
        <v>36</v>
      </c>
      <c r="J1062" t="s">
        <v>9</v>
      </c>
      <c r="K1062" t="s">
        <v>22</v>
      </c>
      <c r="L1062" t="s">
        <v>353</v>
      </c>
      <c r="M1062" t="s">
        <v>15</v>
      </c>
      <c r="N1062" s="2">
        <v>114694.88</v>
      </c>
      <c r="O1062" s="2">
        <v>-232.25</v>
      </c>
      <c r="P1062" s="2">
        <v>-26447.279999999999</v>
      </c>
      <c r="Q1062" s="2">
        <v>88015.35</v>
      </c>
      <c r="R1062" s="2">
        <v>403.53</v>
      </c>
      <c r="S1062" s="2">
        <v>87611.82</v>
      </c>
      <c r="T1062" s="2">
        <v>87611.82</v>
      </c>
      <c r="U1062" s="2">
        <v>403.53</v>
      </c>
      <c r="V1062" s="2">
        <v>403.53</v>
      </c>
      <c r="W1062" s="2">
        <v>0</v>
      </c>
    </row>
    <row r="1063" spans="1:23" outlineLevel="2" x14ac:dyDescent="0.2">
      <c r="A1063" t="s">
        <v>0</v>
      </c>
      <c r="B1063" t="s">
        <v>39</v>
      </c>
      <c r="C1063" t="s">
        <v>58</v>
      </c>
      <c r="D1063" t="s">
        <v>105</v>
      </c>
      <c r="E1063" t="s">
        <v>106</v>
      </c>
      <c r="F1063" t="s">
        <v>5</v>
      </c>
      <c r="G1063" t="s">
        <v>6</v>
      </c>
      <c r="H1063" t="s">
        <v>35</v>
      </c>
      <c r="I1063" t="s">
        <v>36</v>
      </c>
      <c r="J1063" t="s">
        <v>9</v>
      </c>
      <c r="K1063" t="s">
        <v>22</v>
      </c>
      <c r="L1063" t="s">
        <v>353</v>
      </c>
      <c r="M1063" t="s">
        <v>15</v>
      </c>
      <c r="N1063" s="2">
        <v>90137.32</v>
      </c>
      <c r="O1063" s="2">
        <v>464.51</v>
      </c>
      <c r="P1063" s="2">
        <v>-18943.349999999999</v>
      </c>
      <c r="Q1063" s="2">
        <v>71658.48</v>
      </c>
      <c r="R1063" s="2">
        <v>12240.55</v>
      </c>
      <c r="S1063" s="2">
        <v>59417.93</v>
      </c>
      <c r="T1063" s="2">
        <v>59417.93</v>
      </c>
      <c r="U1063" s="2">
        <v>12240.55</v>
      </c>
      <c r="V1063" s="2">
        <v>12240.55</v>
      </c>
      <c r="W1063" s="2">
        <v>0</v>
      </c>
    </row>
    <row r="1064" spans="1:23" outlineLevel="2" x14ac:dyDescent="0.2">
      <c r="A1064" t="s">
        <v>0</v>
      </c>
      <c r="B1064" t="s">
        <v>39</v>
      </c>
      <c r="C1064" t="s">
        <v>66</v>
      </c>
      <c r="D1064" t="s">
        <v>67</v>
      </c>
      <c r="E1064" t="s">
        <v>68</v>
      </c>
      <c r="F1064" t="s">
        <v>5</v>
      </c>
      <c r="G1064" t="s">
        <v>6</v>
      </c>
      <c r="H1064" t="s">
        <v>35</v>
      </c>
      <c r="I1064" t="s">
        <v>36</v>
      </c>
      <c r="J1064" t="s">
        <v>9</v>
      </c>
      <c r="K1064" t="s">
        <v>22</v>
      </c>
      <c r="L1064" t="s">
        <v>355</v>
      </c>
      <c r="M1064" t="s">
        <v>12</v>
      </c>
      <c r="N1064" s="2">
        <v>0</v>
      </c>
      <c r="O1064" s="2">
        <v>0</v>
      </c>
      <c r="P1064" s="2">
        <v>44089.84</v>
      </c>
      <c r="Q1064" s="2">
        <v>44089.84</v>
      </c>
      <c r="R1064" s="2">
        <v>0</v>
      </c>
      <c r="S1064" s="2">
        <v>20996.54</v>
      </c>
      <c r="T1064" s="2">
        <v>20996.54</v>
      </c>
      <c r="U1064" s="2">
        <v>23093.3</v>
      </c>
      <c r="V1064" s="2">
        <v>23093.3</v>
      </c>
      <c r="W1064" s="2">
        <v>23093.3</v>
      </c>
    </row>
    <row r="1065" spans="1:23" outlineLevel="2" x14ac:dyDescent="0.2">
      <c r="A1065" t="s">
        <v>0</v>
      </c>
      <c r="B1065" t="s">
        <v>31</v>
      </c>
      <c r="C1065" t="s">
        <v>79</v>
      </c>
      <c r="D1065" t="s">
        <v>125</v>
      </c>
      <c r="E1065" t="s">
        <v>126</v>
      </c>
      <c r="F1065" t="s">
        <v>5</v>
      </c>
      <c r="G1065" t="s">
        <v>6</v>
      </c>
      <c r="H1065" t="s">
        <v>35</v>
      </c>
      <c r="I1065" t="s">
        <v>36</v>
      </c>
      <c r="J1065" t="s">
        <v>9</v>
      </c>
      <c r="K1065" t="s">
        <v>22</v>
      </c>
      <c r="L1065" t="s">
        <v>354</v>
      </c>
      <c r="M1065" t="s">
        <v>15</v>
      </c>
      <c r="N1065" s="2">
        <v>104701.53</v>
      </c>
      <c r="O1065" s="2">
        <v>0</v>
      </c>
      <c r="P1065" s="2">
        <v>-20504.63</v>
      </c>
      <c r="Q1065" s="2">
        <v>84196.9</v>
      </c>
      <c r="R1065" s="2">
        <v>0</v>
      </c>
      <c r="S1065" s="2">
        <v>84196.9</v>
      </c>
      <c r="T1065" s="2">
        <v>84196.9</v>
      </c>
      <c r="U1065" s="2">
        <v>0</v>
      </c>
      <c r="V1065" s="2">
        <v>0</v>
      </c>
      <c r="W1065" s="2">
        <v>0</v>
      </c>
    </row>
    <row r="1066" spans="1:23" outlineLevel="2" x14ac:dyDescent="0.2">
      <c r="A1066" t="s">
        <v>0</v>
      </c>
      <c r="B1066" t="s">
        <v>1</v>
      </c>
      <c r="C1066" t="s">
        <v>16</v>
      </c>
      <c r="D1066" t="s">
        <v>103</v>
      </c>
      <c r="E1066" t="s">
        <v>104</v>
      </c>
      <c r="F1066" t="s">
        <v>5</v>
      </c>
      <c r="G1066" t="s">
        <v>6</v>
      </c>
      <c r="H1066" t="s">
        <v>35</v>
      </c>
      <c r="I1066" t="s">
        <v>36</v>
      </c>
      <c r="J1066" t="s">
        <v>9</v>
      </c>
      <c r="K1066" t="s">
        <v>22</v>
      </c>
      <c r="L1066" t="s">
        <v>24</v>
      </c>
      <c r="M1066" t="s">
        <v>15</v>
      </c>
      <c r="N1066" s="2">
        <v>381005.8</v>
      </c>
      <c r="O1066" s="2">
        <v>1618.95</v>
      </c>
      <c r="P1066" s="2">
        <v>-80671.19</v>
      </c>
      <c r="Q1066" s="2">
        <v>301953.56</v>
      </c>
      <c r="R1066" s="2">
        <v>33418.6</v>
      </c>
      <c r="S1066" s="2">
        <v>268534.96000000002</v>
      </c>
      <c r="T1066" s="2">
        <v>268534.96000000002</v>
      </c>
      <c r="U1066" s="2">
        <v>33418.6</v>
      </c>
      <c r="V1066" s="2">
        <v>33418.6</v>
      </c>
      <c r="W1066" s="2">
        <v>0</v>
      </c>
    </row>
    <row r="1067" spans="1:23" outlineLevel="2" x14ac:dyDescent="0.2">
      <c r="A1067" t="s">
        <v>0</v>
      </c>
      <c r="B1067" t="s">
        <v>31</v>
      </c>
      <c r="C1067" t="s">
        <v>79</v>
      </c>
      <c r="D1067" t="s">
        <v>117</v>
      </c>
      <c r="E1067" t="s">
        <v>118</v>
      </c>
      <c r="F1067" t="s">
        <v>5</v>
      </c>
      <c r="G1067" t="s">
        <v>6</v>
      </c>
      <c r="H1067" t="s">
        <v>35</v>
      </c>
      <c r="I1067" t="s">
        <v>36</v>
      </c>
      <c r="J1067" t="s">
        <v>9</v>
      </c>
      <c r="K1067" t="s">
        <v>22</v>
      </c>
      <c r="L1067" t="s">
        <v>354</v>
      </c>
      <c r="M1067" t="s">
        <v>12</v>
      </c>
      <c r="N1067" s="2">
        <v>0</v>
      </c>
      <c r="O1067" s="2">
        <v>0</v>
      </c>
      <c r="P1067" s="2">
        <v>40418.5</v>
      </c>
      <c r="Q1067" s="2">
        <v>40418.5</v>
      </c>
      <c r="R1067" s="2">
        <v>0</v>
      </c>
      <c r="S1067" s="2">
        <v>18661.28</v>
      </c>
      <c r="T1067" s="2">
        <v>18661.28</v>
      </c>
      <c r="U1067" s="2">
        <v>21757.22</v>
      </c>
      <c r="V1067" s="2">
        <v>21757.22</v>
      </c>
      <c r="W1067" s="2">
        <v>21757.22</v>
      </c>
    </row>
    <row r="1068" spans="1:23" outlineLevel="2" x14ac:dyDescent="0.2">
      <c r="A1068" t="s">
        <v>0</v>
      </c>
      <c r="B1068" t="s">
        <v>1</v>
      </c>
      <c r="C1068" t="s">
        <v>16</v>
      </c>
      <c r="D1068" t="s">
        <v>17</v>
      </c>
      <c r="E1068" t="s">
        <v>18</v>
      </c>
      <c r="F1068" t="s">
        <v>5</v>
      </c>
      <c r="G1068" t="s">
        <v>6</v>
      </c>
      <c r="H1068" t="s">
        <v>35</v>
      </c>
      <c r="I1068" t="s">
        <v>36</v>
      </c>
      <c r="J1068" t="s">
        <v>9</v>
      </c>
      <c r="K1068" t="s">
        <v>22</v>
      </c>
      <c r="L1068" t="s">
        <v>24</v>
      </c>
      <c r="M1068" t="s">
        <v>15</v>
      </c>
      <c r="N1068" s="2">
        <v>502531.86</v>
      </c>
      <c r="O1068" s="2">
        <v>-170.05</v>
      </c>
      <c r="P1068" s="2">
        <v>-83470.58</v>
      </c>
      <c r="Q1068" s="2">
        <v>418891.23</v>
      </c>
      <c r="R1068" s="2">
        <v>11956.58</v>
      </c>
      <c r="S1068" s="2">
        <v>406934.65</v>
      </c>
      <c r="T1068" s="2">
        <v>406860.1</v>
      </c>
      <c r="U1068" s="2">
        <v>11956.58</v>
      </c>
      <c r="V1068" s="2">
        <v>12031.13</v>
      </c>
      <c r="W1068" s="2">
        <v>0</v>
      </c>
    </row>
    <row r="1069" spans="1:23" outlineLevel="2" x14ac:dyDescent="0.2">
      <c r="A1069" t="s">
        <v>0</v>
      </c>
      <c r="B1069" t="s">
        <v>1</v>
      </c>
      <c r="C1069" t="s">
        <v>91</v>
      </c>
      <c r="D1069" t="s">
        <v>92</v>
      </c>
      <c r="E1069" t="s">
        <v>93</v>
      </c>
      <c r="F1069" t="s">
        <v>5</v>
      </c>
      <c r="G1069" t="s">
        <v>6</v>
      </c>
      <c r="H1069" t="s">
        <v>35</v>
      </c>
      <c r="I1069" t="s">
        <v>36</v>
      </c>
      <c r="J1069" t="s">
        <v>9</v>
      </c>
      <c r="K1069" t="s">
        <v>22</v>
      </c>
      <c r="L1069" t="s">
        <v>356</v>
      </c>
      <c r="M1069" t="s">
        <v>12</v>
      </c>
      <c r="N1069" s="2">
        <v>0</v>
      </c>
      <c r="O1069" s="2">
        <v>0</v>
      </c>
      <c r="P1069" s="2">
        <v>72678.81</v>
      </c>
      <c r="Q1069" s="2">
        <v>72678.81</v>
      </c>
      <c r="R1069" s="2">
        <v>0</v>
      </c>
      <c r="S1069" s="2">
        <v>23334.19</v>
      </c>
      <c r="T1069" s="2">
        <v>23334.19</v>
      </c>
      <c r="U1069" s="2">
        <v>49344.62</v>
      </c>
      <c r="V1069" s="2">
        <v>49344.62</v>
      </c>
      <c r="W1069" s="2">
        <v>49344.62</v>
      </c>
    </row>
    <row r="1070" spans="1:23" outlineLevel="2" x14ac:dyDescent="0.2">
      <c r="A1070" t="s">
        <v>0</v>
      </c>
      <c r="B1070" t="s">
        <v>31</v>
      </c>
      <c r="C1070" t="s">
        <v>79</v>
      </c>
      <c r="D1070" t="s">
        <v>115</v>
      </c>
      <c r="E1070" t="s">
        <v>116</v>
      </c>
      <c r="F1070" t="s">
        <v>5</v>
      </c>
      <c r="G1070" t="s">
        <v>6</v>
      </c>
      <c r="H1070" t="s">
        <v>35</v>
      </c>
      <c r="I1070" t="s">
        <v>36</v>
      </c>
      <c r="J1070" t="s">
        <v>9</v>
      </c>
      <c r="K1070" t="s">
        <v>22</v>
      </c>
      <c r="L1070" t="s">
        <v>354</v>
      </c>
      <c r="M1070" t="s">
        <v>15</v>
      </c>
      <c r="N1070" s="2">
        <v>90499.39</v>
      </c>
      <c r="O1070" s="2">
        <v>-769.47</v>
      </c>
      <c r="P1070" s="2">
        <v>-16356.23</v>
      </c>
      <c r="Q1070" s="2">
        <v>73373.69</v>
      </c>
      <c r="R1070" s="2">
        <v>0</v>
      </c>
      <c r="S1070" s="2">
        <v>73373.69</v>
      </c>
      <c r="T1070" s="2">
        <v>73373.69</v>
      </c>
      <c r="U1070" s="2">
        <v>0</v>
      </c>
      <c r="V1070" s="2">
        <v>0</v>
      </c>
      <c r="W1070" s="2">
        <v>0</v>
      </c>
    </row>
    <row r="1071" spans="1:23" outlineLevel="2" x14ac:dyDescent="0.2">
      <c r="A1071" t="s">
        <v>0</v>
      </c>
      <c r="B1071" t="s">
        <v>1</v>
      </c>
      <c r="C1071" t="s">
        <v>16</v>
      </c>
      <c r="D1071" t="s">
        <v>62</v>
      </c>
      <c r="E1071" t="s">
        <v>63</v>
      </c>
      <c r="F1071" t="s">
        <v>5</v>
      </c>
      <c r="G1071" t="s">
        <v>6</v>
      </c>
      <c r="H1071" t="s">
        <v>35</v>
      </c>
      <c r="I1071" t="s">
        <v>36</v>
      </c>
      <c r="J1071" t="s">
        <v>9</v>
      </c>
      <c r="K1071" t="s">
        <v>22</v>
      </c>
      <c r="L1071" t="s">
        <v>24</v>
      </c>
      <c r="M1071" t="s">
        <v>15</v>
      </c>
      <c r="N1071" s="2">
        <v>17743.310000000001</v>
      </c>
      <c r="O1071" s="2">
        <v>3795</v>
      </c>
      <c r="P1071" s="2">
        <v>-797.5</v>
      </c>
      <c r="Q1071" s="2">
        <v>20740.810000000001</v>
      </c>
      <c r="R1071" s="2">
        <v>1148.1400000000001</v>
      </c>
      <c r="S1071" s="2">
        <v>19592.669999999998</v>
      </c>
      <c r="T1071" s="2">
        <v>19592.669999999998</v>
      </c>
      <c r="U1071" s="2">
        <v>1148.1400000000001</v>
      </c>
      <c r="V1071" s="2">
        <v>1148.1400000000001</v>
      </c>
      <c r="W1071" s="2">
        <v>0</v>
      </c>
    </row>
    <row r="1072" spans="1:23" outlineLevel="2" x14ac:dyDescent="0.2">
      <c r="A1072" t="s">
        <v>0</v>
      </c>
      <c r="B1072" t="s">
        <v>1</v>
      </c>
      <c r="C1072" t="s">
        <v>16</v>
      </c>
      <c r="D1072" t="s">
        <v>64</v>
      </c>
      <c r="E1072" t="s">
        <v>65</v>
      </c>
      <c r="F1072" t="s">
        <v>5</v>
      </c>
      <c r="G1072" t="s">
        <v>6</v>
      </c>
      <c r="H1072" t="s">
        <v>35</v>
      </c>
      <c r="I1072" t="s">
        <v>36</v>
      </c>
      <c r="J1072" t="s">
        <v>9</v>
      </c>
      <c r="K1072" t="s">
        <v>22</v>
      </c>
      <c r="L1072" t="s">
        <v>24</v>
      </c>
      <c r="M1072" t="s">
        <v>15</v>
      </c>
      <c r="N1072" s="2">
        <v>49344.11</v>
      </c>
      <c r="O1072" s="2">
        <v>0</v>
      </c>
      <c r="P1072" s="2">
        <v>-25390.07</v>
      </c>
      <c r="Q1072" s="2">
        <v>23954.04</v>
      </c>
      <c r="R1072" s="2">
        <v>341.05</v>
      </c>
      <c r="S1072" s="2">
        <v>23612.99</v>
      </c>
      <c r="T1072" s="2">
        <v>23612.99</v>
      </c>
      <c r="U1072" s="2">
        <v>341.05</v>
      </c>
      <c r="V1072" s="2">
        <v>341.05</v>
      </c>
      <c r="W1072" s="2">
        <v>0</v>
      </c>
    </row>
    <row r="1073" spans="1:23" outlineLevel="2" x14ac:dyDescent="0.2">
      <c r="A1073" t="s">
        <v>0</v>
      </c>
      <c r="B1073" t="s">
        <v>31</v>
      </c>
      <c r="C1073" t="s">
        <v>79</v>
      </c>
      <c r="D1073" t="s">
        <v>113</v>
      </c>
      <c r="E1073" t="s">
        <v>114</v>
      </c>
      <c r="F1073" t="s">
        <v>5</v>
      </c>
      <c r="G1073" t="s">
        <v>6</v>
      </c>
      <c r="H1073" t="s">
        <v>35</v>
      </c>
      <c r="I1073" t="s">
        <v>36</v>
      </c>
      <c r="J1073" t="s">
        <v>9</v>
      </c>
      <c r="K1073" t="s">
        <v>22</v>
      </c>
      <c r="L1073" t="s">
        <v>354</v>
      </c>
      <c r="M1073" t="s">
        <v>15</v>
      </c>
      <c r="N1073" s="2">
        <v>131130.31</v>
      </c>
      <c r="O1073" s="2">
        <v>-836.59</v>
      </c>
      <c r="P1073" s="2">
        <v>-23211.08</v>
      </c>
      <c r="Q1073" s="2">
        <v>107082.64</v>
      </c>
      <c r="R1073" s="2">
        <v>0</v>
      </c>
      <c r="S1073" s="2">
        <v>107082.64</v>
      </c>
      <c r="T1073" s="2">
        <v>107082.64</v>
      </c>
      <c r="U1073" s="2">
        <v>0</v>
      </c>
      <c r="V1073" s="2">
        <v>0</v>
      </c>
      <c r="W1073" s="2">
        <v>0</v>
      </c>
    </row>
    <row r="1074" spans="1:23" outlineLevel="2" x14ac:dyDescent="0.2">
      <c r="A1074" t="s">
        <v>0</v>
      </c>
      <c r="B1074" t="s">
        <v>1</v>
      </c>
      <c r="C1074" t="s">
        <v>99</v>
      </c>
      <c r="D1074" t="s">
        <v>100</v>
      </c>
      <c r="E1074" t="s">
        <v>101</v>
      </c>
      <c r="F1074" t="s">
        <v>5</v>
      </c>
      <c r="G1074" t="s">
        <v>6</v>
      </c>
      <c r="H1074" t="s">
        <v>35</v>
      </c>
      <c r="I1074" t="s">
        <v>36</v>
      </c>
      <c r="J1074" t="s">
        <v>9</v>
      </c>
      <c r="K1074" t="s">
        <v>22</v>
      </c>
      <c r="L1074" t="s">
        <v>357</v>
      </c>
      <c r="M1074" t="s">
        <v>15</v>
      </c>
      <c r="N1074" s="2">
        <v>161652.18</v>
      </c>
      <c r="O1074" s="2">
        <v>-1100.04</v>
      </c>
      <c r="P1074" s="2">
        <v>-19893.53</v>
      </c>
      <c r="Q1074" s="2">
        <v>140658.60999999999</v>
      </c>
      <c r="R1074" s="2">
        <v>9668.25</v>
      </c>
      <c r="S1074" s="2">
        <v>130990.36</v>
      </c>
      <c r="T1074" s="2">
        <v>130990.36</v>
      </c>
      <c r="U1074" s="2">
        <v>9668.25</v>
      </c>
      <c r="V1074" s="2">
        <v>9668.25</v>
      </c>
      <c r="W1074" s="2">
        <v>0</v>
      </c>
    </row>
    <row r="1075" spans="1:23" outlineLevel="2" x14ac:dyDescent="0.2">
      <c r="A1075" t="s">
        <v>0</v>
      </c>
      <c r="B1075" t="s">
        <v>39</v>
      </c>
      <c r="C1075" t="s">
        <v>58</v>
      </c>
      <c r="D1075" t="s">
        <v>119</v>
      </c>
      <c r="E1075" t="s">
        <v>120</v>
      </c>
      <c r="F1075" t="s">
        <v>5</v>
      </c>
      <c r="G1075" t="s">
        <v>6</v>
      </c>
      <c r="H1075" t="s">
        <v>35</v>
      </c>
      <c r="I1075" t="s">
        <v>36</v>
      </c>
      <c r="J1075" t="s">
        <v>9</v>
      </c>
      <c r="K1075" t="s">
        <v>22</v>
      </c>
      <c r="L1075" t="s">
        <v>353</v>
      </c>
      <c r="M1075" t="s">
        <v>15</v>
      </c>
      <c r="N1075" s="2">
        <v>59221.73</v>
      </c>
      <c r="O1075" s="2">
        <v>-464.51</v>
      </c>
      <c r="P1075" s="2">
        <v>-10052.709999999999</v>
      </c>
      <c r="Q1075" s="2">
        <v>48704.51</v>
      </c>
      <c r="R1075" s="2">
        <v>316.25</v>
      </c>
      <c r="S1075" s="2">
        <v>48388.26</v>
      </c>
      <c r="T1075" s="2">
        <v>48388.26</v>
      </c>
      <c r="U1075" s="2">
        <v>316.25</v>
      </c>
      <c r="V1075" s="2">
        <v>316.25</v>
      </c>
      <c r="W1075" s="2">
        <v>0</v>
      </c>
    </row>
    <row r="1076" spans="1:23" outlineLevel="2" x14ac:dyDescent="0.2">
      <c r="A1076" t="s">
        <v>0</v>
      </c>
      <c r="B1076" t="s">
        <v>39</v>
      </c>
      <c r="C1076" t="s">
        <v>66</v>
      </c>
      <c r="D1076" t="s">
        <v>121</v>
      </c>
      <c r="E1076" t="s">
        <v>122</v>
      </c>
      <c r="F1076" t="s">
        <v>5</v>
      </c>
      <c r="G1076" t="s">
        <v>6</v>
      </c>
      <c r="H1076" t="s">
        <v>35</v>
      </c>
      <c r="I1076" t="s">
        <v>36</v>
      </c>
      <c r="J1076" t="s">
        <v>9</v>
      </c>
      <c r="K1076" t="s">
        <v>22</v>
      </c>
      <c r="L1076" t="s">
        <v>355</v>
      </c>
      <c r="M1076" t="s">
        <v>15</v>
      </c>
      <c r="N1076" s="2">
        <v>157668.42000000001</v>
      </c>
      <c r="O1076" s="2">
        <v>390.38</v>
      </c>
      <c r="P1076" s="2">
        <v>-31674.81</v>
      </c>
      <c r="Q1076" s="2">
        <v>126383.99</v>
      </c>
      <c r="R1076" s="2">
        <v>831.09</v>
      </c>
      <c r="S1076" s="2">
        <v>125552.9</v>
      </c>
      <c r="T1076" s="2">
        <v>125552.9</v>
      </c>
      <c r="U1076" s="2">
        <v>831.09</v>
      </c>
      <c r="V1076" s="2">
        <v>831.09</v>
      </c>
      <c r="W1076" s="2">
        <v>0</v>
      </c>
    </row>
    <row r="1077" spans="1:23" outlineLevel="2" x14ac:dyDescent="0.2">
      <c r="A1077" t="s">
        <v>0</v>
      </c>
      <c r="B1077" t="s">
        <v>1</v>
      </c>
      <c r="C1077" t="s">
        <v>44</v>
      </c>
      <c r="D1077" t="s">
        <v>45</v>
      </c>
      <c r="E1077" t="s">
        <v>46</v>
      </c>
      <c r="F1077" t="s">
        <v>5</v>
      </c>
      <c r="G1077" t="s">
        <v>6</v>
      </c>
      <c r="H1077" t="s">
        <v>35</v>
      </c>
      <c r="I1077" t="s">
        <v>36</v>
      </c>
      <c r="J1077" t="s">
        <v>9</v>
      </c>
      <c r="K1077" t="s">
        <v>22</v>
      </c>
      <c r="L1077" t="s">
        <v>358</v>
      </c>
      <c r="M1077" t="s">
        <v>12</v>
      </c>
      <c r="N1077" s="2">
        <v>0</v>
      </c>
      <c r="O1077" s="2">
        <v>5500</v>
      </c>
      <c r="P1077" s="2">
        <v>27367.85</v>
      </c>
      <c r="Q1077" s="2">
        <v>32867.85</v>
      </c>
      <c r="R1077" s="2">
        <v>2758.29</v>
      </c>
      <c r="S1077" s="2">
        <v>9559.15</v>
      </c>
      <c r="T1077" s="2">
        <v>9559.15</v>
      </c>
      <c r="U1077" s="2">
        <v>23308.7</v>
      </c>
      <c r="V1077" s="2">
        <v>23308.7</v>
      </c>
      <c r="W1077" s="2">
        <v>20550.41</v>
      </c>
    </row>
    <row r="1078" spans="1:23" outlineLevel="2" x14ac:dyDescent="0.2">
      <c r="A1078" t="s">
        <v>0</v>
      </c>
      <c r="B1078" t="s">
        <v>31</v>
      </c>
      <c r="C1078" t="s">
        <v>79</v>
      </c>
      <c r="D1078" t="s">
        <v>111</v>
      </c>
      <c r="E1078" t="s">
        <v>112</v>
      </c>
      <c r="F1078" t="s">
        <v>5</v>
      </c>
      <c r="G1078" t="s">
        <v>6</v>
      </c>
      <c r="H1078" t="s">
        <v>35</v>
      </c>
      <c r="I1078" t="s">
        <v>36</v>
      </c>
      <c r="J1078" t="s">
        <v>9</v>
      </c>
      <c r="K1078" t="s">
        <v>22</v>
      </c>
      <c r="L1078" t="s">
        <v>354</v>
      </c>
      <c r="M1078" t="s">
        <v>15</v>
      </c>
      <c r="N1078" s="2">
        <v>95061.15</v>
      </c>
      <c r="O1078" s="2">
        <v>0</v>
      </c>
      <c r="P1078" s="2">
        <v>-4015.14</v>
      </c>
      <c r="Q1078" s="2">
        <v>91046.01</v>
      </c>
      <c r="R1078" s="2">
        <v>0</v>
      </c>
      <c r="S1078" s="2">
        <v>91046.01</v>
      </c>
      <c r="T1078" s="2">
        <v>91046.01</v>
      </c>
      <c r="U1078" s="2">
        <v>0</v>
      </c>
      <c r="V1078" s="2">
        <v>0</v>
      </c>
      <c r="W1078" s="2">
        <v>0</v>
      </c>
    </row>
    <row r="1079" spans="1:23" outlineLevel="2" x14ac:dyDescent="0.2">
      <c r="A1079" t="s">
        <v>0</v>
      </c>
      <c r="B1079" t="s">
        <v>39</v>
      </c>
      <c r="C1079" t="s">
        <v>40</v>
      </c>
      <c r="D1079" t="s">
        <v>41</v>
      </c>
      <c r="E1079" t="s">
        <v>42</v>
      </c>
      <c r="F1079" t="s">
        <v>5</v>
      </c>
      <c r="G1079" t="s">
        <v>6</v>
      </c>
      <c r="H1079" t="s">
        <v>35</v>
      </c>
      <c r="I1079" t="s">
        <v>36</v>
      </c>
      <c r="J1079" t="s">
        <v>9</v>
      </c>
      <c r="K1079" t="s">
        <v>22</v>
      </c>
      <c r="L1079" t="s">
        <v>352</v>
      </c>
      <c r="M1079" t="s">
        <v>12</v>
      </c>
      <c r="N1079" s="2">
        <v>0</v>
      </c>
      <c r="O1079" s="2">
        <v>500</v>
      </c>
      <c r="P1079" s="2">
        <v>35530.75</v>
      </c>
      <c r="Q1079" s="2">
        <v>36030.75</v>
      </c>
      <c r="R1079" s="2">
        <v>500</v>
      </c>
      <c r="S1079" s="2">
        <v>13055.38</v>
      </c>
      <c r="T1079" s="2">
        <v>13055.38</v>
      </c>
      <c r="U1079" s="2">
        <v>22975.37</v>
      </c>
      <c r="V1079" s="2">
        <v>22975.37</v>
      </c>
      <c r="W1079" s="2">
        <v>22475.37</v>
      </c>
    </row>
    <row r="1080" spans="1:23" outlineLevel="2" x14ac:dyDescent="0.2">
      <c r="A1080" t="s">
        <v>0</v>
      </c>
      <c r="B1080" t="s">
        <v>39</v>
      </c>
      <c r="C1080" t="s">
        <v>40</v>
      </c>
      <c r="D1080" t="s">
        <v>41</v>
      </c>
      <c r="E1080" t="s">
        <v>42</v>
      </c>
      <c r="F1080" t="s">
        <v>5</v>
      </c>
      <c r="G1080" t="s">
        <v>6</v>
      </c>
      <c r="H1080" t="s">
        <v>35</v>
      </c>
      <c r="I1080" t="s">
        <v>36</v>
      </c>
      <c r="J1080" t="s">
        <v>9</v>
      </c>
      <c r="K1080" t="s">
        <v>22</v>
      </c>
      <c r="L1080" t="s">
        <v>352</v>
      </c>
      <c r="M1080" t="s">
        <v>15</v>
      </c>
      <c r="N1080" s="2">
        <v>188855.85</v>
      </c>
      <c r="O1080" s="2">
        <v>0</v>
      </c>
      <c r="P1080" s="2">
        <v>-42050.97</v>
      </c>
      <c r="Q1080" s="2">
        <v>146804.88</v>
      </c>
      <c r="R1080" s="2">
        <v>938.87</v>
      </c>
      <c r="S1080" s="2">
        <v>145866.01</v>
      </c>
      <c r="T1080" s="2">
        <v>145866.01</v>
      </c>
      <c r="U1080" s="2">
        <v>938.87</v>
      </c>
      <c r="V1080" s="2">
        <v>938.87</v>
      </c>
      <c r="W1080" s="2">
        <v>0</v>
      </c>
    </row>
    <row r="1081" spans="1:23" outlineLevel="2" x14ac:dyDescent="0.2">
      <c r="A1081" t="s">
        <v>0</v>
      </c>
      <c r="B1081" t="s">
        <v>1</v>
      </c>
      <c r="C1081" t="s">
        <v>91</v>
      </c>
      <c r="D1081" t="s">
        <v>92</v>
      </c>
      <c r="E1081" t="s">
        <v>93</v>
      </c>
      <c r="F1081" t="s">
        <v>5</v>
      </c>
      <c r="G1081" t="s">
        <v>6</v>
      </c>
      <c r="H1081" t="s">
        <v>35</v>
      </c>
      <c r="I1081" t="s">
        <v>36</v>
      </c>
      <c r="J1081" t="s">
        <v>9</v>
      </c>
      <c r="K1081" t="s">
        <v>22</v>
      </c>
      <c r="L1081" t="s">
        <v>356</v>
      </c>
      <c r="M1081" t="s">
        <v>15</v>
      </c>
      <c r="N1081" s="2">
        <v>497904.25</v>
      </c>
      <c r="O1081" s="2">
        <v>25449</v>
      </c>
      <c r="P1081" s="2">
        <v>-72678.81</v>
      </c>
      <c r="Q1081" s="2">
        <v>450674.44</v>
      </c>
      <c r="R1081" s="2">
        <v>0</v>
      </c>
      <c r="S1081" s="2">
        <v>450674.44</v>
      </c>
      <c r="T1081" s="2">
        <v>450572.01</v>
      </c>
      <c r="U1081" s="2">
        <v>0</v>
      </c>
      <c r="V1081" s="2">
        <v>102.43</v>
      </c>
      <c r="W1081" s="2">
        <v>0</v>
      </c>
    </row>
    <row r="1082" spans="1:23" outlineLevel="2" x14ac:dyDescent="0.2">
      <c r="A1082" t="s">
        <v>0</v>
      </c>
      <c r="B1082" t="s">
        <v>39</v>
      </c>
      <c r="C1082" t="s">
        <v>70</v>
      </c>
      <c r="D1082" t="s">
        <v>89</v>
      </c>
      <c r="E1082" t="s">
        <v>90</v>
      </c>
      <c r="F1082" t="s">
        <v>5</v>
      </c>
      <c r="G1082" t="s">
        <v>6</v>
      </c>
      <c r="H1082" t="s">
        <v>35</v>
      </c>
      <c r="I1082" t="s">
        <v>36</v>
      </c>
      <c r="J1082" t="s">
        <v>9</v>
      </c>
      <c r="K1082" t="s">
        <v>22</v>
      </c>
      <c r="L1082" t="s">
        <v>359</v>
      </c>
      <c r="M1082" t="s">
        <v>12</v>
      </c>
      <c r="N1082" s="2">
        <v>0</v>
      </c>
      <c r="O1082" s="2">
        <v>0</v>
      </c>
      <c r="P1082" s="2">
        <v>351821.81</v>
      </c>
      <c r="Q1082" s="2">
        <v>351821.81</v>
      </c>
      <c r="R1082" s="2">
        <v>0</v>
      </c>
      <c r="S1082" s="2">
        <v>138064.51999999999</v>
      </c>
      <c r="T1082" s="2">
        <v>138064.51999999999</v>
      </c>
      <c r="U1082" s="2">
        <v>213757.29</v>
      </c>
      <c r="V1082" s="2">
        <v>213757.29</v>
      </c>
      <c r="W1082" s="2">
        <v>213757.29</v>
      </c>
    </row>
    <row r="1083" spans="1:23" outlineLevel="2" x14ac:dyDescent="0.2">
      <c r="A1083" t="s">
        <v>0</v>
      </c>
      <c r="B1083" t="s">
        <v>31</v>
      </c>
      <c r="C1083" t="s">
        <v>79</v>
      </c>
      <c r="D1083" t="s">
        <v>127</v>
      </c>
      <c r="E1083" t="s">
        <v>128</v>
      </c>
      <c r="F1083" t="s">
        <v>5</v>
      </c>
      <c r="G1083" t="s">
        <v>6</v>
      </c>
      <c r="H1083" t="s">
        <v>35</v>
      </c>
      <c r="I1083" t="s">
        <v>36</v>
      </c>
      <c r="J1083" t="s">
        <v>9</v>
      </c>
      <c r="K1083" t="s">
        <v>22</v>
      </c>
      <c r="L1083" t="s">
        <v>354</v>
      </c>
      <c r="M1083" t="s">
        <v>15</v>
      </c>
      <c r="N1083" s="2">
        <v>137058.79</v>
      </c>
      <c r="O1083" s="2">
        <v>-1200.71</v>
      </c>
      <c r="P1083" s="2">
        <v>-27238.29</v>
      </c>
      <c r="Q1083" s="2">
        <v>108619.79</v>
      </c>
      <c r="R1083" s="2">
        <v>0</v>
      </c>
      <c r="S1083" s="2">
        <v>108619.79</v>
      </c>
      <c r="T1083" s="2">
        <v>108619.79</v>
      </c>
      <c r="U1083" s="2">
        <v>0</v>
      </c>
      <c r="V1083" s="2">
        <v>0</v>
      </c>
      <c r="W1083" s="2">
        <v>0</v>
      </c>
    </row>
    <row r="1084" spans="1:23" outlineLevel="2" x14ac:dyDescent="0.2">
      <c r="A1084" t="s">
        <v>0</v>
      </c>
      <c r="B1084" t="s">
        <v>53</v>
      </c>
      <c r="C1084" t="s">
        <v>85</v>
      </c>
      <c r="D1084" t="s">
        <v>86</v>
      </c>
      <c r="E1084" t="s">
        <v>87</v>
      </c>
      <c r="F1084" t="s">
        <v>5</v>
      </c>
      <c r="G1084" t="s">
        <v>6</v>
      </c>
      <c r="H1084" t="s">
        <v>35</v>
      </c>
      <c r="I1084" t="s">
        <v>36</v>
      </c>
      <c r="J1084" t="s">
        <v>9</v>
      </c>
      <c r="K1084" t="s">
        <v>22</v>
      </c>
      <c r="L1084" t="s">
        <v>360</v>
      </c>
      <c r="M1084" t="s">
        <v>15</v>
      </c>
      <c r="N1084" s="2">
        <v>61790.01</v>
      </c>
      <c r="O1084" s="2">
        <v>0</v>
      </c>
      <c r="P1084" s="2">
        <v>-19211.16</v>
      </c>
      <c r="Q1084" s="2">
        <v>42578.85</v>
      </c>
      <c r="R1084" s="2">
        <v>379.5</v>
      </c>
      <c r="S1084" s="2">
        <v>42199.35</v>
      </c>
      <c r="T1084" s="2">
        <v>42199.35</v>
      </c>
      <c r="U1084" s="2">
        <v>379.5</v>
      </c>
      <c r="V1084" s="2">
        <v>379.5</v>
      </c>
      <c r="W1084" s="2">
        <v>0</v>
      </c>
    </row>
    <row r="1085" spans="1:23" outlineLevel="2" x14ac:dyDescent="0.2">
      <c r="A1085" t="s">
        <v>0</v>
      </c>
      <c r="B1085" t="s">
        <v>31</v>
      </c>
      <c r="C1085" t="s">
        <v>79</v>
      </c>
      <c r="D1085" t="s">
        <v>125</v>
      </c>
      <c r="E1085" t="s">
        <v>126</v>
      </c>
      <c r="F1085" t="s">
        <v>5</v>
      </c>
      <c r="G1085" t="s">
        <v>6</v>
      </c>
      <c r="H1085" t="s">
        <v>35</v>
      </c>
      <c r="I1085" t="s">
        <v>36</v>
      </c>
      <c r="J1085" t="s">
        <v>9</v>
      </c>
      <c r="K1085" t="s">
        <v>22</v>
      </c>
      <c r="L1085" t="s">
        <v>354</v>
      </c>
      <c r="M1085" t="s">
        <v>12</v>
      </c>
      <c r="N1085" s="2">
        <v>0</v>
      </c>
      <c r="O1085" s="2">
        <v>0</v>
      </c>
      <c r="P1085" s="2">
        <v>17591.32</v>
      </c>
      <c r="Q1085" s="2">
        <v>17591.32</v>
      </c>
      <c r="R1085" s="2">
        <v>0</v>
      </c>
      <c r="S1085" s="2">
        <v>8547.39</v>
      </c>
      <c r="T1085" s="2">
        <v>8547.39</v>
      </c>
      <c r="U1085" s="2">
        <v>9043.93</v>
      </c>
      <c r="V1085" s="2">
        <v>9043.93</v>
      </c>
      <c r="W1085" s="2">
        <v>9043.93</v>
      </c>
    </row>
    <row r="1086" spans="1:23" outlineLevel="2" x14ac:dyDescent="0.2">
      <c r="A1086" t="s">
        <v>0</v>
      </c>
      <c r="B1086" t="s">
        <v>1</v>
      </c>
      <c r="C1086" t="s">
        <v>44</v>
      </c>
      <c r="D1086" t="s">
        <v>45</v>
      </c>
      <c r="E1086" t="s">
        <v>46</v>
      </c>
      <c r="F1086" t="s">
        <v>5</v>
      </c>
      <c r="G1086" t="s">
        <v>6</v>
      </c>
      <c r="H1086" t="s">
        <v>35</v>
      </c>
      <c r="I1086" t="s">
        <v>36</v>
      </c>
      <c r="J1086" t="s">
        <v>9</v>
      </c>
      <c r="K1086" t="s">
        <v>22</v>
      </c>
      <c r="L1086" t="s">
        <v>358</v>
      </c>
      <c r="M1086" t="s">
        <v>15</v>
      </c>
      <c r="N1086" s="2">
        <v>109331.43</v>
      </c>
      <c r="O1086" s="2">
        <v>13050.5</v>
      </c>
      <c r="P1086" s="2">
        <v>-27367.85</v>
      </c>
      <c r="Q1086" s="2">
        <v>95014.080000000002</v>
      </c>
      <c r="R1086" s="2">
        <v>3.9</v>
      </c>
      <c r="S1086" s="2">
        <v>95010.18</v>
      </c>
      <c r="T1086" s="2">
        <v>95010.18</v>
      </c>
      <c r="U1086" s="2">
        <v>3.9</v>
      </c>
      <c r="V1086" s="2">
        <v>3.9</v>
      </c>
      <c r="W1086" s="2">
        <v>0</v>
      </c>
    </row>
    <row r="1087" spans="1:23" outlineLevel="2" x14ac:dyDescent="0.2">
      <c r="A1087" t="s">
        <v>0</v>
      </c>
      <c r="B1087" t="s">
        <v>31</v>
      </c>
      <c r="C1087" t="s">
        <v>79</v>
      </c>
      <c r="D1087" t="s">
        <v>131</v>
      </c>
      <c r="E1087" t="s">
        <v>132</v>
      </c>
      <c r="F1087" t="s">
        <v>5</v>
      </c>
      <c r="G1087" t="s">
        <v>6</v>
      </c>
      <c r="H1087" t="s">
        <v>35</v>
      </c>
      <c r="I1087" t="s">
        <v>36</v>
      </c>
      <c r="J1087" t="s">
        <v>9</v>
      </c>
      <c r="K1087" t="s">
        <v>22</v>
      </c>
      <c r="L1087" t="s">
        <v>354</v>
      </c>
      <c r="M1087" t="s">
        <v>15</v>
      </c>
      <c r="N1087" s="2">
        <v>209252.87</v>
      </c>
      <c r="O1087" s="2">
        <v>-1071.4000000000001</v>
      </c>
      <c r="P1087" s="2">
        <v>-43195.23</v>
      </c>
      <c r="Q1087" s="2">
        <v>164986.23999999999</v>
      </c>
      <c r="R1087" s="2">
        <v>0</v>
      </c>
      <c r="S1087" s="2">
        <v>164986.23999999999</v>
      </c>
      <c r="T1087" s="2">
        <v>164986.23999999999</v>
      </c>
      <c r="U1087" s="2">
        <v>0</v>
      </c>
      <c r="V1087" s="2">
        <v>0</v>
      </c>
      <c r="W1087" s="2">
        <v>0</v>
      </c>
    </row>
    <row r="1088" spans="1:23" outlineLevel="2" x14ac:dyDescent="0.2">
      <c r="A1088" t="s">
        <v>0</v>
      </c>
      <c r="B1088" t="s">
        <v>1</v>
      </c>
      <c r="C1088" t="s">
        <v>2</v>
      </c>
      <c r="D1088" t="s">
        <v>20</v>
      </c>
      <c r="E1088" t="s">
        <v>21</v>
      </c>
      <c r="F1088" t="s">
        <v>5</v>
      </c>
      <c r="G1088" t="s">
        <v>6</v>
      </c>
      <c r="H1088" t="s">
        <v>35</v>
      </c>
      <c r="I1088" t="s">
        <v>36</v>
      </c>
      <c r="J1088" t="s">
        <v>9</v>
      </c>
      <c r="K1088" t="s">
        <v>22</v>
      </c>
      <c r="L1088" t="s">
        <v>23</v>
      </c>
      <c r="M1088" t="s">
        <v>15</v>
      </c>
      <c r="N1088" s="2">
        <v>1328531.1399999999</v>
      </c>
      <c r="O1088" s="2">
        <v>10474.530000000001</v>
      </c>
      <c r="P1088" s="2">
        <v>-318787.53999999998</v>
      </c>
      <c r="Q1088" s="2">
        <v>1020218.13</v>
      </c>
      <c r="R1088" s="2">
        <v>44135.53</v>
      </c>
      <c r="S1088" s="2">
        <v>976082.6</v>
      </c>
      <c r="T1088" s="2">
        <v>976082.6</v>
      </c>
      <c r="U1088" s="2">
        <v>44135.53</v>
      </c>
      <c r="V1088" s="2">
        <v>44135.53</v>
      </c>
      <c r="W1088" s="2">
        <v>0</v>
      </c>
    </row>
    <row r="1089" spans="1:23" outlineLevel="2" x14ac:dyDescent="0.2">
      <c r="A1089" t="s">
        <v>0</v>
      </c>
      <c r="B1089" t="s">
        <v>31</v>
      </c>
      <c r="C1089" t="s">
        <v>32</v>
      </c>
      <c r="D1089" t="s">
        <v>123</v>
      </c>
      <c r="E1089" t="s">
        <v>124</v>
      </c>
      <c r="F1089" t="s">
        <v>5</v>
      </c>
      <c r="G1089" t="s">
        <v>6</v>
      </c>
      <c r="H1089" t="s">
        <v>35</v>
      </c>
      <c r="I1089" t="s">
        <v>36</v>
      </c>
      <c r="J1089" t="s">
        <v>9</v>
      </c>
      <c r="K1089" t="s">
        <v>22</v>
      </c>
      <c r="L1089" t="s">
        <v>361</v>
      </c>
      <c r="M1089" t="s">
        <v>12</v>
      </c>
      <c r="N1089" s="2">
        <v>0</v>
      </c>
      <c r="O1089" s="2">
        <v>7200</v>
      </c>
      <c r="P1089" s="2">
        <v>19745.560000000001</v>
      </c>
      <c r="Q1089" s="2">
        <v>26945.56</v>
      </c>
      <c r="R1089" s="2">
        <v>0</v>
      </c>
      <c r="S1089" s="2">
        <v>13453.56</v>
      </c>
      <c r="T1089" s="2">
        <v>13453.56</v>
      </c>
      <c r="U1089" s="2">
        <v>13492</v>
      </c>
      <c r="V1089" s="2">
        <v>13492</v>
      </c>
      <c r="W1089" s="2">
        <v>13492</v>
      </c>
    </row>
    <row r="1090" spans="1:23" outlineLevel="2" x14ac:dyDescent="0.2">
      <c r="A1090" t="s">
        <v>0</v>
      </c>
      <c r="B1090" t="s">
        <v>31</v>
      </c>
      <c r="C1090" t="s">
        <v>79</v>
      </c>
      <c r="D1090" t="s">
        <v>133</v>
      </c>
      <c r="E1090" t="s">
        <v>134</v>
      </c>
      <c r="F1090" t="s">
        <v>5</v>
      </c>
      <c r="G1090" t="s">
        <v>6</v>
      </c>
      <c r="H1090" t="s">
        <v>35</v>
      </c>
      <c r="I1090" t="s">
        <v>36</v>
      </c>
      <c r="J1090" t="s">
        <v>9</v>
      </c>
      <c r="K1090" t="s">
        <v>22</v>
      </c>
      <c r="L1090" t="s">
        <v>354</v>
      </c>
      <c r="M1090" t="s">
        <v>15</v>
      </c>
      <c r="N1090" s="2">
        <v>149995.06</v>
      </c>
      <c r="O1090" s="2">
        <v>-1071.4000000000001</v>
      </c>
      <c r="P1090" s="2">
        <v>-29243.45</v>
      </c>
      <c r="Q1090" s="2">
        <v>119680.21</v>
      </c>
      <c r="R1090" s="2">
        <v>0</v>
      </c>
      <c r="S1090" s="2">
        <v>119680.21</v>
      </c>
      <c r="T1090" s="2">
        <v>119680.21</v>
      </c>
      <c r="U1090" s="2">
        <v>0</v>
      </c>
      <c r="V1090" s="2">
        <v>0</v>
      </c>
      <c r="W1090" s="2">
        <v>0</v>
      </c>
    </row>
    <row r="1091" spans="1:23" outlineLevel="2" x14ac:dyDescent="0.2">
      <c r="A1091" t="s">
        <v>0</v>
      </c>
      <c r="B1091" t="s">
        <v>39</v>
      </c>
      <c r="C1091" t="s">
        <v>58</v>
      </c>
      <c r="D1091" t="s">
        <v>119</v>
      </c>
      <c r="E1091" t="s">
        <v>120</v>
      </c>
      <c r="F1091" t="s">
        <v>5</v>
      </c>
      <c r="G1091" t="s">
        <v>6</v>
      </c>
      <c r="H1091" t="s">
        <v>35</v>
      </c>
      <c r="I1091" t="s">
        <v>36</v>
      </c>
      <c r="J1091" t="s">
        <v>9</v>
      </c>
      <c r="K1091" t="s">
        <v>22</v>
      </c>
      <c r="L1091" t="s">
        <v>353</v>
      </c>
      <c r="M1091" t="s">
        <v>12</v>
      </c>
      <c r="N1091" s="2">
        <v>0</v>
      </c>
      <c r="O1091" s="2">
        <v>0</v>
      </c>
      <c r="P1091" s="2">
        <v>10052.709999999999</v>
      </c>
      <c r="Q1091" s="2">
        <v>10052.709999999999</v>
      </c>
      <c r="R1091" s="2">
        <v>0</v>
      </c>
      <c r="S1091" s="2">
        <v>4281.45</v>
      </c>
      <c r="T1091" s="2">
        <v>4281.45</v>
      </c>
      <c r="U1091" s="2">
        <v>5771.26</v>
      </c>
      <c r="V1091" s="2">
        <v>5771.26</v>
      </c>
      <c r="W1091" s="2">
        <v>5771.26</v>
      </c>
    </row>
    <row r="1092" spans="1:23" outlineLevel="2" x14ac:dyDescent="0.2">
      <c r="A1092" t="s">
        <v>0</v>
      </c>
      <c r="B1092" t="s">
        <v>39</v>
      </c>
      <c r="C1092" t="s">
        <v>58</v>
      </c>
      <c r="D1092" t="s">
        <v>129</v>
      </c>
      <c r="E1092" t="s">
        <v>130</v>
      </c>
      <c r="F1092" t="s">
        <v>5</v>
      </c>
      <c r="G1092" t="s">
        <v>6</v>
      </c>
      <c r="H1092" t="s">
        <v>35</v>
      </c>
      <c r="I1092" t="s">
        <v>36</v>
      </c>
      <c r="J1092" t="s">
        <v>9</v>
      </c>
      <c r="K1092" t="s">
        <v>22</v>
      </c>
      <c r="L1092" t="s">
        <v>353</v>
      </c>
      <c r="M1092" t="s">
        <v>12</v>
      </c>
      <c r="N1092" s="2">
        <v>0</v>
      </c>
      <c r="O1092" s="2">
        <v>700</v>
      </c>
      <c r="P1092" s="2">
        <v>8848.39</v>
      </c>
      <c r="Q1092" s="2">
        <v>9548.39</v>
      </c>
      <c r="R1092" s="2">
        <v>0</v>
      </c>
      <c r="S1092" s="2">
        <v>4772.2299999999996</v>
      </c>
      <c r="T1092" s="2">
        <v>4772.2299999999996</v>
      </c>
      <c r="U1092" s="2">
        <v>4776.16</v>
      </c>
      <c r="V1092" s="2">
        <v>4776.16</v>
      </c>
      <c r="W1092" s="2">
        <v>4776.16</v>
      </c>
    </row>
    <row r="1093" spans="1:23" outlineLevel="2" x14ac:dyDescent="0.2">
      <c r="A1093" t="s">
        <v>0</v>
      </c>
      <c r="B1093" t="s">
        <v>1</v>
      </c>
      <c r="C1093" t="s">
        <v>2</v>
      </c>
      <c r="D1093" t="s">
        <v>20</v>
      </c>
      <c r="E1093" t="s">
        <v>21</v>
      </c>
      <c r="F1093" t="s">
        <v>5</v>
      </c>
      <c r="G1093" t="s">
        <v>6</v>
      </c>
      <c r="H1093" t="s">
        <v>35</v>
      </c>
      <c r="I1093" t="s">
        <v>36</v>
      </c>
      <c r="J1093" t="s">
        <v>9</v>
      </c>
      <c r="K1093" t="s">
        <v>22</v>
      </c>
      <c r="L1093" t="s">
        <v>23</v>
      </c>
      <c r="M1093" t="s">
        <v>12</v>
      </c>
      <c r="N1093" s="2">
        <v>0</v>
      </c>
      <c r="O1093" s="2">
        <v>0</v>
      </c>
      <c r="P1093" s="2">
        <v>230925.63</v>
      </c>
      <c r="Q1093" s="2">
        <v>230925.63</v>
      </c>
      <c r="R1093" s="2">
        <v>0</v>
      </c>
      <c r="S1093" s="2">
        <v>87237.06</v>
      </c>
      <c r="T1093" s="2">
        <v>87237.06</v>
      </c>
      <c r="U1093" s="2">
        <v>143688.57</v>
      </c>
      <c r="V1093" s="2">
        <v>143688.57</v>
      </c>
      <c r="W1093" s="2">
        <v>143688.57</v>
      </c>
    </row>
    <row r="1094" spans="1:23" outlineLevel="2" x14ac:dyDescent="0.2">
      <c r="A1094" t="s">
        <v>0</v>
      </c>
      <c r="B1094" t="s">
        <v>31</v>
      </c>
      <c r="C1094" t="s">
        <v>79</v>
      </c>
      <c r="D1094" t="s">
        <v>80</v>
      </c>
      <c r="E1094" t="s">
        <v>81</v>
      </c>
      <c r="F1094" t="s">
        <v>5</v>
      </c>
      <c r="G1094" t="s">
        <v>6</v>
      </c>
      <c r="H1094" t="s">
        <v>35</v>
      </c>
      <c r="I1094" t="s">
        <v>36</v>
      </c>
      <c r="J1094" t="s">
        <v>9</v>
      </c>
      <c r="K1094" t="s">
        <v>22</v>
      </c>
      <c r="L1094" t="s">
        <v>354</v>
      </c>
      <c r="M1094" t="s">
        <v>15</v>
      </c>
      <c r="N1094" s="2">
        <v>133965.54</v>
      </c>
      <c r="O1094" s="2">
        <v>-1071.4000000000001</v>
      </c>
      <c r="P1094" s="2">
        <v>-28901.919999999998</v>
      </c>
      <c r="Q1094" s="2">
        <v>103992.22</v>
      </c>
      <c r="R1094" s="2">
        <v>0</v>
      </c>
      <c r="S1094" s="2">
        <v>103992.22</v>
      </c>
      <c r="T1094" s="2">
        <v>103992.22</v>
      </c>
      <c r="U1094" s="2">
        <v>0</v>
      </c>
      <c r="V1094" s="2">
        <v>0</v>
      </c>
      <c r="W1094" s="2">
        <v>0</v>
      </c>
    </row>
    <row r="1095" spans="1:23" outlineLevel="2" x14ac:dyDescent="0.2">
      <c r="A1095" t="s">
        <v>0</v>
      </c>
      <c r="B1095" t="s">
        <v>1</v>
      </c>
      <c r="C1095" t="s">
        <v>2</v>
      </c>
      <c r="D1095" t="s">
        <v>3</v>
      </c>
      <c r="E1095" t="s">
        <v>4</v>
      </c>
      <c r="F1095" t="s">
        <v>5</v>
      </c>
      <c r="G1095" t="s">
        <v>6</v>
      </c>
      <c r="H1095" t="s">
        <v>35</v>
      </c>
      <c r="I1095" t="s">
        <v>36</v>
      </c>
      <c r="J1095" t="s">
        <v>9</v>
      </c>
      <c r="K1095" t="s">
        <v>22</v>
      </c>
      <c r="L1095" t="s">
        <v>23</v>
      </c>
      <c r="M1095" t="s">
        <v>15</v>
      </c>
      <c r="N1095" s="2">
        <v>445060.19</v>
      </c>
      <c r="O1095" s="2">
        <v>-1277.43</v>
      </c>
      <c r="P1095" s="2">
        <v>-78567.240000000005</v>
      </c>
      <c r="Q1095" s="2">
        <v>365215.52</v>
      </c>
      <c r="R1095" s="2">
        <v>5688.61</v>
      </c>
      <c r="S1095" s="2">
        <v>359526.91</v>
      </c>
      <c r="T1095" s="2">
        <v>359526.91</v>
      </c>
      <c r="U1095" s="2">
        <v>5688.61</v>
      </c>
      <c r="V1095" s="2">
        <v>5688.61</v>
      </c>
      <c r="W1095" s="2">
        <v>0</v>
      </c>
    </row>
    <row r="1096" spans="1:23" outlineLevel="2" x14ac:dyDescent="0.2">
      <c r="A1096" t="s">
        <v>0</v>
      </c>
      <c r="B1096" t="s">
        <v>31</v>
      </c>
      <c r="C1096" t="s">
        <v>32</v>
      </c>
      <c r="D1096" t="s">
        <v>75</v>
      </c>
      <c r="E1096" t="s">
        <v>76</v>
      </c>
      <c r="F1096" t="s">
        <v>5</v>
      </c>
      <c r="G1096" t="s">
        <v>6</v>
      </c>
      <c r="H1096" t="s">
        <v>35</v>
      </c>
      <c r="I1096" t="s">
        <v>36</v>
      </c>
      <c r="J1096" t="s">
        <v>9</v>
      </c>
      <c r="K1096" t="s">
        <v>22</v>
      </c>
      <c r="L1096" t="s">
        <v>361</v>
      </c>
      <c r="M1096" t="s">
        <v>12</v>
      </c>
      <c r="N1096" s="2">
        <v>0</v>
      </c>
      <c r="O1096" s="2">
        <v>0</v>
      </c>
      <c r="P1096" s="2">
        <v>57096.11</v>
      </c>
      <c r="Q1096" s="2">
        <v>57096.11</v>
      </c>
      <c r="R1096" s="2">
        <v>0</v>
      </c>
      <c r="S1096" s="2">
        <v>18355.259999999998</v>
      </c>
      <c r="T1096" s="2">
        <v>18355.259999999998</v>
      </c>
      <c r="U1096" s="2">
        <v>38740.85</v>
      </c>
      <c r="V1096" s="2">
        <v>38740.85</v>
      </c>
      <c r="W1096" s="2">
        <v>38740.85</v>
      </c>
    </row>
    <row r="1097" spans="1:23" outlineLevel="2" x14ac:dyDescent="0.2">
      <c r="A1097" t="s">
        <v>0</v>
      </c>
      <c r="B1097" t="s">
        <v>39</v>
      </c>
      <c r="C1097" t="s">
        <v>58</v>
      </c>
      <c r="D1097" t="s">
        <v>129</v>
      </c>
      <c r="E1097" t="s">
        <v>130</v>
      </c>
      <c r="F1097" t="s">
        <v>5</v>
      </c>
      <c r="G1097" t="s">
        <v>6</v>
      </c>
      <c r="H1097" t="s">
        <v>35</v>
      </c>
      <c r="I1097" t="s">
        <v>36</v>
      </c>
      <c r="J1097" t="s">
        <v>9</v>
      </c>
      <c r="K1097" t="s">
        <v>22</v>
      </c>
      <c r="L1097" t="s">
        <v>353</v>
      </c>
      <c r="M1097" t="s">
        <v>15</v>
      </c>
      <c r="N1097" s="2">
        <v>61691.519999999997</v>
      </c>
      <c r="O1097" s="2">
        <v>585.57000000000005</v>
      </c>
      <c r="P1097" s="2">
        <v>-18726.5</v>
      </c>
      <c r="Q1097" s="2">
        <v>43550.59</v>
      </c>
      <c r="R1097" s="2">
        <v>0</v>
      </c>
      <c r="S1097" s="2">
        <v>43550.59</v>
      </c>
      <c r="T1097" s="2">
        <v>43550.59</v>
      </c>
      <c r="U1097" s="2">
        <v>0</v>
      </c>
      <c r="V1097" s="2">
        <v>0</v>
      </c>
      <c r="W1097" s="2">
        <v>0</v>
      </c>
    </row>
    <row r="1098" spans="1:23" outlineLevel="2" x14ac:dyDescent="0.2">
      <c r="A1098" t="s">
        <v>0</v>
      </c>
      <c r="B1098" t="s">
        <v>39</v>
      </c>
      <c r="C1098" t="s">
        <v>66</v>
      </c>
      <c r="D1098" t="s">
        <v>67</v>
      </c>
      <c r="E1098" t="s">
        <v>68</v>
      </c>
      <c r="F1098" t="s">
        <v>5</v>
      </c>
      <c r="G1098" t="s">
        <v>6</v>
      </c>
      <c r="H1098" t="s">
        <v>35</v>
      </c>
      <c r="I1098" t="s">
        <v>36</v>
      </c>
      <c r="J1098" t="s">
        <v>9</v>
      </c>
      <c r="K1098" t="s">
        <v>22</v>
      </c>
      <c r="L1098" t="s">
        <v>355</v>
      </c>
      <c r="M1098" t="s">
        <v>15</v>
      </c>
      <c r="N1098" s="2">
        <v>277089.65000000002</v>
      </c>
      <c r="O1098" s="2">
        <v>-7948.25</v>
      </c>
      <c r="P1098" s="2">
        <v>-55209.43</v>
      </c>
      <c r="Q1098" s="2">
        <v>213931.97</v>
      </c>
      <c r="R1098" s="2">
        <v>4035.12</v>
      </c>
      <c r="S1098" s="2">
        <v>209896.85</v>
      </c>
      <c r="T1098" s="2">
        <v>209896.85</v>
      </c>
      <c r="U1098" s="2">
        <v>4035.12</v>
      </c>
      <c r="V1098" s="2">
        <v>4035.12</v>
      </c>
      <c r="W1098" s="2">
        <v>0</v>
      </c>
    </row>
    <row r="1099" spans="1:23" outlineLevel="2" x14ac:dyDescent="0.2">
      <c r="A1099" t="s">
        <v>0</v>
      </c>
      <c r="B1099" t="s">
        <v>39</v>
      </c>
      <c r="C1099" t="s">
        <v>95</v>
      </c>
      <c r="D1099" t="s">
        <v>96</v>
      </c>
      <c r="E1099" t="s">
        <v>97</v>
      </c>
      <c r="F1099" t="s">
        <v>5</v>
      </c>
      <c r="G1099" t="s">
        <v>6</v>
      </c>
      <c r="H1099" t="s">
        <v>35</v>
      </c>
      <c r="I1099" t="s">
        <v>36</v>
      </c>
      <c r="J1099" t="s">
        <v>9</v>
      </c>
      <c r="K1099" t="s">
        <v>22</v>
      </c>
      <c r="L1099" t="s">
        <v>362</v>
      </c>
      <c r="M1099" t="s">
        <v>12</v>
      </c>
      <c r="N1099" s="2">
        <v>0</v>
      </c>
      <c r="O1099" s="2">
        <v>0</v>
      </c>
      <c r="P1099" s="2">
        <v>26416.12</v>
      </c>
      <c r="Q1099" s="2">
        <v>26416.12</v>
      </c>
      <c r="R1099" s="2">
        <v>0</v>
      </c>
      <c r="S1099" s="2">
        <v>12359.26</v>
      </c>
      <c r="T1099" s="2">
        <v>12359.26</v>
      </c>
      <c r="U1099" s="2">
        <v>14056.86</v>
      </c>
      <c r="V1099" s="2">
        <v>14056.86</v>
      </c>
      <c r="W1099" s="2">
        <v>14056.86</v>
      </c>
    </row>
    <row r="1100" spans="1:23" outlineLevel="2" x14ac:dyDescent="0.2">
      <c r="A1100" t="s">
        <v>0</v>
      </c>
      <c r="B1100" t="s">
        <v>39</v>
      </c>
      <c r="C1100" t="s">
        <v>58</v>
      </c>
      <c r="D1100" t="s">
        <v>149</v>
      </c>
      <c r="E1100" t="s">
        <v>150</v>
      </c>
      <c r="F1100" t="s">
        <v>5</v>
      </c>
      <c r="G1100" t="s">
        <v>6</v>
      </c>
      <c r="H1100" t="s">
        <v>35</v>
      </c>
      <c r="I1100" t="s">
        <v>36</v>
      </c>
      <c r="J1100" t="s">
        <v>9</v>
      </c>
      <c r="K1100" t="s">
        <v>22</v>
      </c>
      <c r="L1100" t="s">
        <v>353</v>
      </c>
      <c r="M1100" t="s">
        <v>15</v>
      </c>
      <c r="N1100" s="2">
        <v>240936.49</v>
      </c>
      <c r="O1100" s="2">
        <v>569.5</v>
      </c>
      <c r="P1100" s="2">
        <v>-60209.42</v>
      </c>
      <c r="Q1100" s="2">
        <v>181296.57</v>
      </c>
      <c r="R1100" s="2">
        <v>1732.6</v>
      </c>
      <c r="S1100" s="2">
        <v>179563.97</v>
      </c>
      <c r="T1100" s="2">
        <v>179563.97</v>
      </c>
      <c r="U1100" s="2">
        <v>1732.6</v>
      </c>
      <c r="V1100" s="2">
        <v>1732.6</v>
      </c>
      <c r="W1100" s="2">
        <v>0</v>
      </c>
    </row>
    <row r="1101" spans="1:23" outlineLevel="2" x14ac:dyDescent="0.2">
      <c r="A1101" t="s">
        <v>0</v>
      </c>
      <c r="B1101" t="s">
        <v>31</v>
      </c>
      <c r="C1101" t="s">
        <v>107</v>
      </c>
      <c r="D1101" t="s">
        <v>108</v>
      </c>
      <c r="E1101" t="s">
        <v>109</v>
      </c>
      <c r="F1101" t="s">
        <v>5</v>
      </c>
      <c r="G1101" t="s">
        <v>6</v>
      </c>
      <c r="H1101" t="s">
        <v>35</v>
      </c>
      <c r="I1101" t="s">
        <v>36</v>
      </c>
      <c r="J1101" t="s">
        <v>9</v>
      </c>
      <c r="K1101" t="s">
        <v>22</v>
      </c>
      <c r="L1101" t="s">
        <v>363</v>
      </c>
      <c r="M1101" t="s">
        <v>15</v>
      </c>
      <c r="N1101" s="2">
        <v>348877.76</v>
      </c>
      <c r="O1101" s="2">
        <v>1365.95</v>
      </c>
      <c r="P1101" s="2">
        <v>-78617</v>
      </c>
      <c r="Q1101" s="2">
        <v>271626.71000000002</v>
      </c>
      <c r="R1101" s="2">
        <v>2378.15</v>
      </c>
      <c r="S1101" s="2">
        <v>269248.56</v>
      </c>
      <c r="T1101" s="2">
        <v>269248.56</v>
      </c>
      <c r="U1101" s="2">
        <v>2378.15</v>
      </c>
      <c r="V1101" s="2">
        <v>2378.15</v>
      </c>
      <c r="W1101" s="2">
        <v>0</v>
      </c>
    </row>
    <row r="1102" spans="1:23" outlineLevel="2" x14ac:dyDescent="0.2">
      <c r="A1102" t="s">
        <v>0</v>
      </c>
      <c r="B1102" t="s">
        <v>39</v>
      </c>
      <c r="C1102" t="s">
        <v>66</v>
      </c>
      <c r="D1102" t="s">
        <v>121</v>
      </c>
      <c r="E1102" t="s">
        <v>122</v>
      </c>
      <c r="F1102" t="s">
        <v>5</v>
      </c>
      <c r="G1102" t="s">
        <v>6</v>
      </c>
      <c r="H1102" t="s">
        <v>35</v>
      </c>
      <c r="I1102" t="s">
        <v>36</v>
      </c>
      <c r="J1102" t="s">
        <v>9</v>
      </c>
      <c r="K1102" t="s">
        <v>22</v>
      </c>
      <c r="L1102" t="s">
        <v>355</v>
      </c>
      <c r="M1102" t="s">
        <v>12</v>
      </c>
      <c r="N1102" s="2">
        <v>0</v>
      </c>
      <c r="O1102" s="2">
        <v>0</v>
      </c>
      <c r="P1102" s="2">
        <v>27003.19</v>
      </c>
      <c r="Q1102" s="2">
        <v>27003.19</v>
      </c>
      <c r="R1102" s="2">
        <v>0</v>
      </c>
      <c r="S1102" s="2">
        <v>13004.27</v>
      </c>
      <c r="T1102" s="2">
        <v>13004.27</v>
      </c>
      <c r="U1102" s="2">
        <v>13998.92</v>
      </c>
      <c r="V1102" s="2">
        <v>13998.92</v>
      </c>
      <c r="W1102" s="2">
        <v>13998.92</v>
      </c>
    </row>
    <row r="1103" spans="1:23" outlineLevel="2" x14ac:dyDescent="0.2">
      <c r="A1103" t="s">
        <v>0</v>
      </c>
      <c r="B1103" t="s">
        <v>1</v>
      </c>
      <c r="C1103" t="s">
        <v>16</v>
      </c>
      <c r="D1103" t="s">
        <v>103</v>
      </c>
      <c r="E1103" t="s">
        <v>104</v>
      </c>
      <c r="F1103" t="s">
        <v>5</v>
      </c>
      <c r="G1103" t="s">
        <v>6</v>
      </c>
      <c r="H1103" t="s">
        <v>35</v>
      </c>
      <c r="I1103" t="s">
        <v>36</v>
      </c>
      <c r="J1103" t="s">
        <v>9</v>
      </c>
      <c r="K1103" t="s">
        <v>22</v>
      </c>
      <c r="L1103" t="s">
        <v>24</v>
      </c>
      <c r="M1103" t="s">
        <v>12</v>
      </c>
      <c r="N1103" s="2">
        <v>0</v>
      </c>
      <c r="O1103" s="2">
        <v>0</v>
      </c>
      <c r="P1103" s="2">
        <v>66231.429999999993</v>
      </c>
      <c r="Q1103" s="2">
        <v>66231.429999999993</v>
      </c>
      <c r="R1103" s="2">
        <v>0</v>
      </c>
      <c r="S1103" s="2">
        <v>22164.13</v>
      </c>
      <c r="T1103" s="2">
        <v>22164.13</v>
      </c>
      <c r="U1103" s="2">
        <v>44067.3</v>
      </c>
      <c r="V1103" s="2">
        <v>44067.3</v>
      </c>
      <c r="W1103" s="2">
        <v>44067.3</v>
      </c>
    </row>
    <row r="1104" spans="1:23" outlineLevel="2" x14ac:dyDescent="0.2">
      <c r="A1104" t="s">
        <v>0</v>
      </c>
      <c r="B1104" t="s">
        <v>31</v>
      </c>
      <c r="C1104" t="s">
        <v>79</v>
      </c>
      <c r="D1104" t="s">
        <v>111</v>
      </c>
      <c r="E1104" t="s">
        <v>112</v>
      </c>
      <c r="F1104" t="s">
        <v>5</v>
      </c>
      <c r="G1104" t="s">
        <v>6</v>
      </c>
      <c r="H1104" t="s">
        <v>35</v>
      </c>
      <c r="I1104" t="s">
        <v>36</v>
      </c>
      <c r="J1104" t="s">
        <v>9</v>
      </c>
      <c r="K1104" t="s">
        <v>22</v>
      </c>
      <c r="L1104" t="s">
        <v>354</v>
      </c>
      <c r="M1104" t="s">
        <v>12</v>
      </c>
      <c r="N1104" s="2">
        <v>0</v>
      </c>
      <c r="O1104" s="2">
        <v>1240.21</v>
      </c>
      <c r="P1104" s="2">
        <v>19944.89</v>
      </c>
      <c r="Q1104" s="2">
        <v>21185.1</v>
      </c>
      <c r="R1104" s="2">
        <v>444.61</v>
      </c>
      <c r="S1104" s="2">
        <v>9569.24</v>
      </c>
      <c r="T1104" s="2">
        <v>9569.24</v>
      </c>
      <c r="U1104" s="2">
        <v>11615.86</v>
      </c>
      <c r="V1104" s="2">
        <v>11615.86</v>
      </c>
      <c r="W1104" s="2">
        <v>11171.25</v>
      </c>
    </row>
    <row r="1105" spans="1:23" outlineLevel="2" x14ac:dyDescent="0.2">
      <c r="A1105" t="s">
        <v>0</v>
      </c>
      <c r="B1105" t="s">
        <v>31</v>
      </c>
      <c r="C1105" t="s">
        <v>32</v>
      </c>
      <c r="D1105" t="s">
        <v>33</v>
      </c>
      <c r="E1105" t="s">
        <v>34</v>
      </c>
      <c r="F1105" t="s">
        <v>5</v>
      </c>
      <c r="G1105" t="s">
        <v>6</v>
      </c>
      <c r="H1105" t="s">
        <v>35</v>
      </c>
      <c r="I1105" t="s">
        <v>36</v>
      </c>
      <c r="J1105" t="s">
        <v>9</v>
      </c>
      <c r="K1105" t="s">
        <v>22</v>
      </c>
      <c r="L1105" t="s">
        <v>361</v>
      </c>
      <c r="M1105" t="s">
        <v>12</v>
      </c>
      <c r="N1105" s="2">
        <v>0</v>
      </c>
      <c r="O1105" s="2">
        <v>0</v>
      </c>
      <c r="P1105" s="2">
        <v>132572.62</v>
      </c>
      <c r="Q1105" s="2">
        <v>132572.62</v>
      </c>
      <c r="R1105" s="2">
        <v>0</v>
      </c>
      <c r="S1105" s="2">
        <v>29050.98</v>
      </c>
      <c r="T1105" s="2">
        <v>28760.97</v>
      </c>
      <c r="U1105" s="2">
        <v>103521.64</v>
      </c>
      <c r="V1105" s="2">
        <v>103811.65</v>
      </c>
      <c r="W1105" s="2">
        <v>103521.64</v>
      </c>
    </row>
    <row r="1106" spans="1:23" outlineLevel="2" x14ac:dyDescent="0.2">
      <c r="A1106" t="s">
        <v>0</v>
      </c>
      <c r="B1106" t="s">
        <v>31</v>
      </c>
      <c r="C1106" t="s">
        <v>32</v>
      </c>
      <c r="D1106" t="s">
        <v>75</v>
      </c>
      <c r="E1106" t="s">
        <v>76</v>
      </c>
      <c r="F1106" t="s">
        <v>5</v>
      </c>
      <c r="G1106" t="s">
        <v>6</v>
      </c>
      <c r="H1106" t="s">
        <v>35</v>
      </c>
      <c r="I1106" t="s">
        <v>36</v>
      </c>
      <c r="J1106" t="s">
        <v>9</v>
      </c>
      <c r="K1106" t="s">
        <v>22</v>
      </c>
      <c r="L1106" t="s">
        <v>361</v>
      </c>
      <c r="M1106" t="s">
        <v>15</v>
      </c>
      <c r="N1106" s="2">
        <v>316003.33</v>
      </c>
      <c r="O1106" s="2">
        <v>-5989.35</v>
      </c>
      <c r="P1106" s="2">
        <v>-57096.11</v>
      </c>
      <c r="Q1106" s="2">
        <v>252917.87</v>
      </c>
      <c r="R1106" s="2">
        <v>23559.21</v>
      </c>
      <c r="S1106" s="2">
        <v>229358.66</v>
      </c>
      <c r="T1106" s="2">
        <v>229307.01</v>
      </c>
      <c r="U1106" s="2">
        <v>23559.21</v>
      </c>
      <c r="V1106" s="2">
        <v>23610.86</v>
      </c>
      <c r="W1106" s="2">
        <v>0</v>
      </c>
    </row>
    <row r="1107" spans="1:23" outlineLevel="2" x14ac:dyDescent="0.2">
      <c r="A1107" t="s">
        <v>0</v>
      </c>
      <c r="B1107" t="s">
        <v>39</v>
      </c>
      <c r="C1107" t="s">
        <v>58</v>
      </c>
      <c r="D1107" t="s">
        <v>143</v>
      </c>
      <c r="E1107" t="s">
        <v>144</v>
      </c>
      <c r="F1107" t="s">
        <v>5</v>
      </c>
      <c r="G1107" t="s">
        <v>6</v>
      </c>
      <c r="H1107" t="s">
        <v>35</v>
      </c>
      <c r="I1107" t="s">
        <v>36</v>
      </c>
      <c r="J1107" t="s">
        <v>9</v>
      </c>
      <c r="K1107" t="s">
        <v>22</v>
      </c>
      <c r="L1107" t="s">
        <v>353</v>
      </c>
      <c r="M1107" t="s">
        <v>12</v>
      </c>
      <c r="N1107" s="2">
        <v>0</v>
      </c>
      <c r="O1107" s="2">
        <v>0</v>
      </c>
      <c r="P1107" s="2">
        <v>29045.75</v>
      </c>
      <c r="Q1107" s="2">
        <v>29045.75</v>
      </c>
      <c r="R1107" s="2">
        <v>0</v>
      </c>
      <c r="S1107" s="2">
        <v>14318.03</v>
      </c>
      <c r="T1107" s="2">
        <v>14318.03</v>
      </c>
      <c r="U1107" s="2">
        <v>14727.72</v>
      </c>
      <c r="V1107" s="2">
        <v>14727.72</v>
      </c>
      <c r="W1107" s="2">
        <v>14727.72</v>
      </c>
    </row>
    <row r="1108" spans="1:23" outlineLevel="2" x14ac:dyDescent="0.2">
      <c r="A1108" t="s">
        <v>0</v>
      </c>
      <c r="B1108" t="s">
        <v>39</v>
      </c>
      <c r="C1108" t="s">
        <v>70</v>
      </c>
      <c r="D1108" t="s">
        <v>71</v>
      </c>
      <c r="E1108" t="s">
        <v>72</v>
      </c>
      <c r="F1108" t="s">
        <v>5</v>
      </c>
      <c r="G1108" t="s">
        <v>6</v>
      </c>
      <c r="H1108" t="s">
        <v>35</v>
      </c>
      <c r="I1108" t="s">
        <v>36</v>
      </c>
      <c r="J1108" t="s">
        <v>9</v>
      </c>
      <c r="K1108" t="s">
        <v>22</v>
      </c>
      <c r="L1108" t="s">
        <v>359</v>
      </c>
      <c r="M1108" t="s">
        <v>15</v>
      </c>
      <c r="N1108" s="2">
        <v>432810.25</v>
      </c>
      <c r="O1108" s="2">
        <v>-35288.39</v>
      </c>
      <c r="P1108" s="2">
        <v>-62650.400000000001</v>
      </c>
      <c r="Q1108" s="2">
        <v>334871.46000000002</v>
      </c>
      <c r="R1108" s="2">
        <v>4797.42</v>
      </c>
      <c r="S1108" s="2">
        <v>330074.03999999998</v>
      </c>
      <c r="T1108" s="2">
        <v>330074.03999999998</v>
      </c>
      <c r="U1108" s="2">
        <v>4797.42</v>
      </c>
      <c r="V1108" s="2">
        <v>4797.42</v>
      </c>
      <c r="W1108" s="2">
        <v>0</v>
      </c>
    </row>
    <row r="1109" spans="1:23" outlineLevel="2" x14ac:dyDescent="0.2">
      <c r="A1109" t="s">
        <v>0</v>
      </c>
      <c r="B1109" t="s">
        <v>1</v>
      </c>
      <c r="C1109" t="s">
        <v>2</v>
      </c>
      <c r="D1109" t="s">
        <v>3</v>
      </c>
      <c r="E1109" t="s">
        <v>4</v>
      </c>
      <c r="F1109" t="s">
        <v>5</v>
      </c>
      <c r="G1109" t="s">
        <v>6</v>
      </c>
      <c r="H1109" t="s">
        <v>35</v>
      </c>
      <c r="I1109" t="s">
        <v>36</v>
      </c>
      <c r="J1109" t="s">
        <v>9</v>
      </c>
      <c r="K1109" t="s">
        <v>22</v>
      </c>
      <c r="L1109" t="s">
        <v>23</v>
      </c>
      <c r="M1109" t="s">
        <v>12</v>
      </c>
      <c r="N1109" s="2">
        <v>0</v>
      </c>
      <c r="O1109" s="2">
        <v>0</v>
      </c>
      <c r="P1109" s="2">
        <v>78567.240000000005</v>
      </c>
      <c r="Q1109" s="2">
        <v>78567.240000000005</v>
      </c>
      <c r="R1109" s="2">
        <v>0</v>
      </c>
      <c r="S1109" s="2">
        <v>33114.379999999997</v>
      </c>
      <c r="T1109" s="2">
        <v>33114.379999999997</v>
      </c>
      <c r="U1109" s="2">
        <v>45452.86</v>
      </c>
      <c r="V1109" s="2">
        <v>45452.86</v>
      </c>
      <c r="W1109" s="2">
        <v>45452.86</v>
      </c>
    </row>
    <row r="1110" spans="1:23" outlineLevel="2" x14ac:dyDescent="0.2">
      <c r="A1110" t="s">
        <v>0</v>
      </c>
      <c r="B1110" t="s">
        <v>31</v>
      </c>
      <c r="C1110" t="s">
        <v>32</v>
      </c>
      <c r="D1110" t="s">
        <v>33</v>
      </c>
      <c r="E1110" t="s">
        <v>34</v>
      </c>
      <c r="F1110" t="s">
        <v>5</v>
      </c>
      <c r="G1110" t="s">
        <v>6</v>
      </c>
      <c r="H1110" t="s">
        <v>35</v>
      </c>
      <c r="I1110" t="s">
        <v>36</v>
      </c>
      <c r="J1110" t="s">
        <v>9</v>
      </c>
      <c r="K1110" t="s">
        <v>22</v>
      </c>
      <c r="L1110" t="s">
        <v>361</v>
      </c>
      <c r="M1110" t="s">
        <v>15</v>
      </c>
      <c r="N1110" s="2">
        <v>455986.48</v>
      </c>
      <c r="O1110" s="2">
        <v>18372.07</v>
      </c>
      <c r="P1110" s="2">
        <v>-132572.62</v>
      </c>
      <c r="Q1110" s="2">
        <v>341785.93</v>
      </c>
      <c r="R1110" s="2">
        <v>12421.59</v>
      </c>
      <c r="S1110" s="2">
        <v>329364.34000000003</v>
      </c>
      <c r="T1110" s="2">
        <v>329364.34000000003</v>
      </c>
      <c r="U1110" s="2">
        <v>12421.59</v>
      </c>
      <c r="V1110" s="2">
        <v>12421.59</v>
      </c>
      <c r="W1110" s="2">
        <v>0</v>
      </c>
    </row>
    <row r="1111" spans="1:23" outlineLevel="2" x14ac:dyDescent="0.2">
      <c r="A1111" t="s">
        <v>0</v>
      </c>
      <c r="B1111" t="s">
        <v>1</v>
      </c>
      <c r="C1111" t="s">
        <v>16</v>
      </c>
      <c r="D1111" t="s">
        <v>62</v>
      </c>
      <c r="E1111" t="s">
        <v>63</v>
      </c>
      <c r="F1111" t="s">
        <v>5</v>
      </c>
      <c r="G1111" t="s">
        <v>6</v>
      </c>
      <c r="H1111" t="s">
        <v>35</v>
      </c>
      <c r="I1111" t="s">
        <v>36</v>
      </c>
      <c r="J1111" t="s">
        <v>9</v>
      </c>
      <c r="K1111" t="s">
        <v>22</v>
      </c>
      <c r="L1111" t="s">
        <v>24</v>
      </c>
      <c r="M1111" t="s">
        <v>12</v>
      </c>
      <c r="N1111" s="2">
        <v>0</v>
      </c>
      <c r="O1111" s="2">
        <v>0</v>
      </c>
      <c r="P1111" s="2">
        <v>2524.2600000000002</v>
      </c>
      <c r="Q1111" s="2">
        <v>2524.2600000000002</v>
      </c>
      <c r="R1111" s="2">
        <v>0</v>
      </c>
      <c r="S1111" s="2">
        <v>1162.3699999999999</v>
      </c>
      <c r="T1111" s="2">
        <v>1162.3699999999999</v>
      </c>
      <c r="U1111" s="2">
        <v>1361.89</v>
      </c>
      <c r="V1111" s="2">
        <v>1361.89</v>
      </c>
      <c r="W1111" s="2">
        <v>1361.89</v>
      </c>
    </row>
    <row r="1112" spans="1:23" outlineLevel="2" x14ac:dyDescent="0.2">
      <c r="A1112" t="s">
        <v>0</v>
      </c>
      <c r="B1112" t="s">
        <v>39</v>
      </c>
      <c r="C1112" t="s">
        <v>58</v>
      </c>
      <c r="D1112" t="s">
        <v>139</v>
      </c>
      <c r="E1112" t="s">
        <v>140</v>
      </c>
      <c r="F1112" t="s">
        <v>5</v>
      </c>
      <c r="G1112" t="s">
        <v>6</v>
      </c>
      <c r="H1112" t="s">
        <v>35</v>
      </c>
      <c r="I1112" t="s">
        <v>36</v>
      </c>
      <c r="J1112" t="s">
        <v>9</v>
      </c>
      <c r="K1112" t="s">
        <v>22</v>
      </c>
      <c r="L1112" t="s">
        <v>353</v>
      </c>
      <c r="M1112" t="s">
        <v>12</v>
      </c>
      <c r="N1112" s="2">
        <v>0</v>
      </c>
      <c r="O1112" s="2">
        <v>0</v>
      </c>
      <c r="P1112" s="2">
        <v>29606.17</v>
      </c>
      <c r="Q1112" s="2">
        <v>29606.17</v>
      </c>
      <c r="R1112" s="2">
        <v>0</v>
      </c>
      <c r="S1112" s="2">
        <v>14250.96</v>
      </c>
      <c r="T1112" s="2">
        <v>14250.96</v>
      </c>
      <c r="U1112" s="2">
        <v>15355.21</v>
      </c>
      <c r="V1112" s="2">
        <v>15355.21</v>
      </c>
      <c r="W1112" s="2">
        <v>15355.21</v>
      </c>
    </row>
    <row r="1113" spans="1:23" outlineLevel="2" x14ac:dyDescent="0.2">
      <c r="A1113" t="s">
        <v>0</v>
      </c>
      <c r="B1113" t="s">
        <v>39</v>
      </c>
      <c r="C1113" t="s">
        <v>58</v>
      </c>
      <c r="D1113" t="s">
        <v>147</v>
      </c>
      <c r="E1113" t="s">
        <v>148</v>
      </c>
      <c r="F1113" t="s">
        <v>5</v>
      </c>
      <c r="G1113" t="s">
        <v>6</v>
      </c>
      <c r="H1113" t="s">
        <v>35</v>
      </c>
      <c r="I1113" t="s">
        <v>36</v>
      </c>
      <c r="J1113" t="s">
        <v>9</v>
      </c>
      <c r="K1113" t="s">
        <v>22</v>
      </c>
      <c r="L1113" t="s">
        <v>353</v>
      </c>
      <c r="M1113" t="s">
        <v>12</v>
      </c>
      <c r="N1113" s="2">
        <v>0</v>
      </c>
      <c r="O1113" s="2">
        <v>0</v>
      </c>
      <c r="P1113" s="2">
        <v>29062.99</v>
      </c>
      <c r="Q1113" s="2">
        <v>29062.99</v>
      </c>
      <c r="R1113" s="2">
        <v>0</v>
      </c>
      <c r="S1113" s="2">
        <v>13454.1</v>
      </c>
      <c r="T1113" s="2">
        <v>13454.1</v>
      </c>
      <c r="U1113" s="2">
        <v>15608.89</v>
      </c>
      <c r="V1113" s="2">
        <v>15608.89</v>
      </c>
      <c r="W1113" s="2">
        <v>15608.89</v>
      </c>
    </row>
    <row r="1114" spans="1:23" outlineLevel="2" x14ac:dyDescent="0.2">
      <c r="A1114" t="s">
        <v>0</v>
      </c>
      <c r="B1114" t="s">
        <v>31</v>
      </c>
      <c r="C1114" t="s">
        <v>32</v>
      </c>
      <c r="D1114" t="s">
        <v>141</v>
      </c>
      <c r="E1114" t="s">
        <v>142</v>
      </c>
      <c r="F1114" t="s">
        <v>5</v>
      </c>
      <c r="G1114" t="s">
        <v>6</v>
      </c>
      <c r="H1114" t="s">
        <v>35</v>
      </c>
      <c r="I1114" t="s">
        <v>36</v>
      </c>
      <c r="J1114" t="s">
        <v>9</v>
      </c>
      <c r="K1114" t="s">
        <v>22</v>
      </c>
      <c r="L1114" t="s">
        <v>361</v>
      </c>
      <c r="M1114" t="s">
        <v>15</v>
      </c>
      <c r="N1114" s="2">
        <v>186999.8</v>
      </c>
      <c r="O1114" s="2">
        <v>-15503.84</v>
      </c>
      <c r="P1114" s="2">
        <v>-25511.4</v>
      </c>
      <c r="Q1114" s="2">
        <v>145984.56</v>
      </c>
      <c r="R1114" s="2">
        <v>21188.09</v>
      </c>
      <c r="S1114" s="2">
        <v>124796.47</v>
      </c>
      <c r="T1114" s="2">
        <v>124796.47</v>
      </c>
      <c r="U1114" s="2">
        <v>21188.09</v>
      </c>
      <c r="V1114" s="2">
        <v>21188.09</v>
      </c>
      <c r="W1114" s="2">
        <v>0</v>
      </c>
    </row>
    <row r="1115" spans="1:23" outlineLevel="2" x14ac:dyDescent="0.2">
      <c r="A1115" t="s">
        <v>0</v>
      </c>
      <c r="B1115" t="s">
        <v>31</v>
      </c>
      <c r="C1115" t="s">
        <v>79</v>
      </c>
      <c r="D1115" t="s">
        <v>115</v>
      </c>
      <c r="E1115" t="s">
        <v>116</v>
      </c>
      <c r="F1115" t="s">
        <v>5</v>
      </c>
      <c r="G1115" t="s">
        <v>6</v>
      </c>
      <c r="H1115" t="s">
        <v>35</v>
      </c>
      <c r="I1115" t="s">
        <v>36</v>
      </c>
      <c r="J1115" t="s">
        <v>9</v>
      </c>
      <c r="K1115" t="s">
        <v>22</v>
      </c>
      <c r="L1115" t="s">
        <v>354</v>
      </c>
      <c r="M1115" t="s">
        <v>12</v>
      </c>
      <c r="N1115" s="2">
        <v>0</v>
      </c>
      <c r="O1115" s="2">
        <v>2480.41</v>
      </c>
      <c r="P1115" s="2">
        <v>15630.52</v>
      </c>
      <c r="Q1115" s="2">
        <v>18110.93</v>
      </c>
      <c r="R1115" s="2">
        <v>1933.81</v>
      </c>
      <c r="S1115" s="2">
        <v>7898.85</v>
      </c>
      <c r="T1115" s="2">
        <v>7898.85</v>
      </c>
      <c r="U1115" s="2">
        <v>10212.08</v>
      </c>
      <c r="V1115" s="2">
        <v>10212.08</v>
      </c>
      <c r="W1115" s="2">
        <v>8278.27</v>
      </c>
    </row>
    <row r="1116" spans="1:23" outlineLevel="2" x14ac:dyDescent="0.2">
      <c r="A1116" t="s">
        <v>0</v>
      </c>
      <c r="B1116" t="s">
        <v>39</v>
      </c>
      <c r="C1116" t="s">
        <v>95</v>
      </c>
      <c r="D1116" t="s">
        <v>96</v>
      </c>
      <c r="E1116" t="s">
        <v>97</v>
      </c>
      <c r="F1116" t="s">
        <v>5</v>
      </c>
      <c r="G1116" t="s">
        <v>6</v>
      </c>
      <c r="H1116" t="s">
        <v>35</v>
      </c>
      <c r="I1116" t="s">
        <v>36</v>
      </c>
      <c r="J1116" t="s">
        <v>9</v>
      </c>
      <c r="K1116" t="s">
        <v>22</v>
      </c>
      <c r="L1116" t="s">
        <v>362</v>
      </c>
      <c r="M1116" t="s">
        <v>15</v>
      </c>
      <c r="N1116" s="2">
        <v>160063.41</v>
      </c>
      <c r="O1116" s="2">
        <v>13.65</v>
      </c>
      <c r="P1116" s="2">
        <v>-35273.629999999997</v>
      </c>
      <c r="Q1116" s="2">
        <v>124803.43</v>
      </c>
      <c r="R1116" s="2">
        <v>165.38</v>
      </c>
      <c r="S1116" s="2">
        <v>124638.05</v>
      </c>
      <c r="T1116" s="2">
        <v>124638.05</v>
      </c>
      <c r="U1116" s="2">
        <v>165.38</v>
      </c>
      <c r="V1116" s="2">
        <v>165.38</v>
      </c>
      <c r="W1116" s="2">
        <v>0</v>
      </c>
    </row>
    <row r="1117" spans="1:23" outlineLevel="2" x14ac:dyDescent="0.2">
      <c r="A1117" t="s">
        <v>0</v>
      </c>
      <c r="B1117" t="s">
        <v>31</v>
      </c>
      <c r="C1117" t="s">
        <v>79</v>
      </c>
      <c r="D1117" t="s">
        <v>131</v>
      </c>
      <c r="E1117" t="s">
        <v>132</v>
      </c>
      <c r="F1117" t="s">
        <v>5</v>
      </c>
      <c r="G1117" t="s">
        <v>6</v>
      </c>
      <c r="H1117" t="s">
        <v>35</v>
      </c>
      <c r="I1117" t="s">
        <v>36</v>
      </c>
      <c r="J1117" t="s">
        <v>9</v>
      </c>
      <c r="K1117" t="s">
        <v>22</v>
      </c>
      <c r="L1117" t="s">
        <v>354</v>
      </c>
      <c r="M1117" t="s">
        <v>12</v>
      </c>
      <c r="N1117" s="2">
        <v>0</v>
      </c>
      <c r="O1117" s="2">
        <v>2480.41</v>
      </c>
      <c r="P1117" s="2">
        <v>35153.14</v>
      </c>
      <c r="Q1117" s="2">
        <v>37633.550000000003</v>
      </c>
      <c r="R1117" s="2">
        <v>1138.21</v>
      </c>
      <c r="S1117" s="2">
        <v>17798.86</v>
      </c>
      <c r="T1117" s="2">
        <v>17798.86</v>
      </c>
      <c r="U1117" s="2">
        <v>19834.689999999999</v>
      </c>
      <c r="V1117" s="2">
        <v>19834.689999999999</v>
      </c>
      <c r="W1117" s="2">
        <v>18696.48</v>
      </c>
    </row>
    <row r="1118" spans="1:23" outlineLevel="2" x14ac:dyDescent="0.2">
      <c r="A1118" t="s">
        <v>0</v>
      </c>
      <c r="B1118" t="s">
        <v>1</v>
      </c>
      <c r="C1118" t="s">
        <v>16</v>
      </c>
      <c r="D1118" t="s">
        <v>17</v>
      </c>
      <c r="E1118" t="s">
        <v>18</v>
      </c>
      <c r="F1118" t="s">
        <v>5</v>
      </c>
      <c r="G1118" t="s">
        <v>6</v>
      </c>
      <c r="H1118" t="s">
        <v>35</v>
      </c>
      <c r="I1118" t="s">
        <v>36</v>
      </c>
      <c r="J1118" t="s">
        <v>9</v>
      </c>
      <c r="K1118" t="s">
        <v>22</v>
      </c>
      <c r="L1118" t="s">
        <v>24</v>
      </c>
      <c r="M1118" t="s">
        <v>12</v>
      </c>
      <c r="N1118" s="2">
        <v>0</v>
      </c>
      <c r="O1118" s="2">
        <v>0</v>
      </c>
      <c r="P1118" s="2">
        <v>83470.58</v>
      </c>
      <c r="Q1118" s="2">
        <v>83470.58</v>
      </c>
      <c r="R1118" s="2">
        <v>0</v>
      </c>
      <c r="S1118" s="2">
        <v>29724.54</v>
      </c>
      <c r="T1118" s="2">
        <v>29724.54</v>
      </c>
      <c r="U1118" s="2">
        <v>53746.04</v>
      </c>
      <c r="V1118" s="2">
        <v>53746.04</v>
      </c>
      <c r="W1118" s="2">
        <v>53746.04</v>
      </c>
    </row>
    <row r="1119" spans="1:23" outlineLevel="2" x14ac:dyDescent="0.2">
      <c r="A1119" t="s">
        <v>0</v>
      </c>
      <c r="B1119" t="s">
        <v>39</v>
      </c>
      <c r="C1119" t="s">
        <v>58</v>
      </c>
      <c r="D1119" t="s">
        <v>137</v>
      </c>
      <c r="E1119" t="s">
        <v>138</v>
      </c>
      <c r="F1119" t="s">
        <v>5</v>
      </c>
      <c r="G1119" t="s">
        <v>6</v>
      </c>
      <c r="H1119" t="s">
        <v>35</v>
      </c>
      <c r="I1119" t="s">
        <v>36</v>
      </c>
      <c r="J1119" t="s">
        <v>9</v>
      </c>
      <c r="K1119" t="s">
        <v>22</v>
      </c>
      <c r="L1119" t="s">
        <v>353</v>
      </c>
      <c r="M1119" t="s">
        <v>15</v>
      </c>
      <c r="N1119" s="2">
        <v>155426.1</v>
      </c>
      <c r="O1119" s="2">
        <v>0</v>
      </c>
      <c r="P1119" s="2">
        <v>-41121.949999999997</v>
      </c>
      <c r="Q1119" s="2">
        <v>114304.15</v>
      </c>
      <c r="R1119" s="2">
        <v>846.26</v>
      </c>
      <c r="S1119" s="2">
        <v>113457.89</v>
      </c>
      <c r="T1119" s="2">
        <v>113457.89</v>
      </c>
      <c r="U1119" s="2">
        <v>846.26</v>
      </c>
      <c r="V1119" s="2">
        <v>846.26</v>
      </c>
      <c r="W1119" s="2">
        <v>0</v>
      </c>
    </row>
    <row r="1120" spans="1:23" outlineLevel="2" x14ac:dyDescent="0.2">
      <c r="A1120" t="s">
        <v>0</v>
      </c>
      <c r="B1120" t="s">
        <v>39</v>
      </c>
      <c r="C1120" t="s">
        <v>58</v>
      </c>
      <c r="D1120" t="s">
        <v>147</v>
      </c>
      <c r="E1120" t="s">
        <v>148</v>
      </c>
      <c r="F1120" t="s">
        <v>5</v>
      </c>
      <c r="G1120" t="s">
        <v>6</v>
      </c>
      <c r="H1120" t="s">
        <v>35</v>
      </c>
      <c r="I1120" t="s">
        <v>36</v>
      </c>
      <c r="J1120" t="s">
        <v>9</v>
      </c>
      <c r="K1120" t="s">
        <v>22</v>
      </c>
      <c r="L1120" t="s">
        <v>353</v>
      </c>
      <c r="M1120" t="s">
        <v>15</v>
      </c>
      <c r="N1120" s="2">
        <v>172079.88</v>
      </c>
      <c r="O1120" s="2">
        <v>0</v>
      </c>
      <c r="P1120" s="2">
        <v>-33573.5</v>
      </c>
      <c r="Q1120" s="2">
        <v>138506.38</v>
      </c>
      <c r="R1120" s="2">
        <v>453.21</v>
      </c>
      <c r="S1120" s="2">
        <v>138053.17000000001</v>
      </c>
      <c r="T1120" s="2">
        <v>138053.17000000001</v>
      </c>
      <c r="U1120" s="2">
        <v>453.21</v>
      </c>
      <c r="V1120" s="2">
        <v>453.21</v>
      </c>
      <c r="W1120" s="2">
        <v>0</v>
      </c>
    </row>
    <row r="1121" spans="1:23" outlineLevel="2" x14ac:dyDescent="0.2">
      <c r="A1121" t="s">
        <v>0</v>
      </c>
      <c r="B1121" t="s">
        <v>31</v>
      </c>
      <c r="C1121" t="s">
        <v>79</v>
      </c>
      <c r="D1121" t="s">
        <v>117</v>
      </c>
      <c r="E1121" t="s">
        <v>118</v>
      </c>
      <c r="F1121" t="s">
        <v>5</v>
      </c>
      <c r="G1121" t="s">
        <v>6</v>
      </c>
      <c r="H1121" t="s">
        <v>35</v>
      </c>
      <c r="I1121" t="s">
        <v>36</v>
      </c>
      <c r="J1121" t="s">
        <v>9</v>
      </c>
      <c r="K1121" t="s">
        <v>22</v>
      </c>
      <c r="L1121" t="s">
        <v>354</v>
      </c>
      <c r="M1121" t="s">
        <v>15</v>
      </c>
      <c r="N1121" s="2">
        <v>242185.19</v>
      </c>
      <c r="O1121" s="2">
        <v>0</v>
      </c>
      <c r="P1121" s="2">
        <v>-54125.22</v>
      </c>
      <c r="Q1121" s="2">
        <v>188059.97</v>
      </c>
      <c r="R1121" s="2">
        <v>0</v>
      </c>
      <c r="S1121" s="2">
        <v>188059.97</v>
      </c>
      <c r="T1121" s="2">
        <v>188059.97</v>
      </c>
      <c r="U1121" s="2">
        <v>0</v>
      </c>
      <c r="V1121" s="2">
        <v>0</v>
      </c>
      <c r="W1121" s="2">
        <v>0</v>
      </c>
    </row>
    <row r="1122" spans="1:23" outlineLevel="2" x14ac:dyDescent="0.2">
      <c r="A1122" t="s">
        <v>0</v>
      </c>
      <c r="B1122" t="s">
        <v>39</v>
      </c>
      <c r="C1122" t="s">
        <v>58</v>
      </c>
      <c r="D1122" t="s">
        <v>149</v>
      </c>
      <c r="E1122" t="s">
        <v>150</v>
      </c>
      <c r="F1122" t="s">
        <v>5</v>
      </c>
      <c r="G1122" t="s">
        <v>6</v>
      </c>
      <c r="H1122" t="s">
        <v>35</v>
      </c>
      <c r="I1122" t="s">
        <v>36</v>
      </c>
      <c r="J1122" t="s">
        <v>9</v>
      </c>
      <c r="K1122" t="s">
        <v>22</v>
      </c>
      <c r="L1122" t="s">
        <v>353</v>
      </c>
      <c r="M1122" t="s">
        <v>12</v>
      </c>
      <c r="N1122" s="2">
        <v>0</v>
      </c>
      <c r="O1122" s="2">
        <v>0</v>
      </c>
      <c r="P1122" s="2">
        <v>35994.410000000003</v>
      </c>
      <c r="Q1122" s="2">
        <v>35994.410000000003</v>
      </c>
      <c r="R1122" s="2">
        <v>0</v>
      </c>
      <c r="S1122" s="2">
        <v>17857.740000000002</v>
      </c>
      <c r="T1122" s="2">
        <v>17857.740000000002</v>
      </c>
      <c r="U1122" s="2">
        <v>18136.669999999998</v>
      </c>
      <c r="V1122" s="2">
        <v>18136.669999999998</v>
      </c>
      <c r="W1122" s="2">
        <v>18136.669999999998</v>
      </c>
    </row>
    <row r="1123" spans="1:23" outlineLevel="2" x14ac:dyDescent="0.2">
      <c r="A1123" t="s">
        <v>0</v>
      </c>
      <c r="B1123" t="s">
        <v>31</v>
      </c>
      <c r="C1123" t="s">
        <v>79</v>
      </c>
      <c r="D1123" t="s">
        <v>80</v>
      </c>
      <c r="E1123" t="s">
        <v>81</v>
      </c>
      <c r="F1123" t="s">
        <v>5</v>
      </c>
      <c r="G1123" t="s">
        <v>6</v>
      </c>
      <c r="H1123" t="s">
        <v>35</v>
      </c>
      <c r="I1123" t="s">
        <v>36</v>
      </c>
      <c r="J1123" t="s">
        <v>9</v>
      </c>
      <c r="K1123" t="s">
        <v>22</v>
      </c>
      <c r="L1123" t="s">
        <v>354</v>
      </c>
      <c r="M1123" t="s">
        <v>12</v>
      </c>
      <c r="N1123" s="2">
        <v>0</v>
      </c>
      <c r="O1123" s="2">
        <v>2480.41</v>
      </c>
      <c r="P1123" s="2">
        <v>23117.040000000001</v>
      </c>
      <c r="Q1123" s="2">
        <v>25597.45</v>
      </c>
      <c r="R1123" s="2">
        <v>1557.27</v>
      </c>
      <c r="S1123" s="2">
        <v>10532.68</v>
      </c>
      <c r="T1123" s="2">
        <v>10532.68</v>
      </c>
      <c r="U1123" s="2">
        <v>15064.77</v>
      </c>
      <c r="V1123" s="2">
        <v>15064.77</v>
      </c>
      <c r="W1123" s="2">
        <v>13507.5</v>
      </c>
    </row>
    <row r="1124" spans="1:23" outlineLevel="2" x14ac:dyDescent="0.2">
      <c r="A1124" t="s">
        <v>0</v>
      </c>
      <c r="B1124" t="s">
        <v>39</v>
      </c>
      <c r="C1124" t="s">
        <v>58</v>
      </c>
      <c r="D1124" t="s">
        <v>145</v>
      </c>
      <c r="E1124" t="s">
        <v>146</v>
      </c>
      <c r="F1124" t="s">
        <v>5</v>
      </c>
      <c r="G1124" t="s">
        <v>6</v>
      </c>
      <c r="H1124" t="s">
        <v>35</v>
      </c>
      <c r="I1124" t="s">
        <v>36</v>
      </c>
      <c r="J1124" t="s">
        <v>9</v>
      </c>
      <c r="K1124" t="s">
        <v>22</v>
      </c>
      <c r="L1124" t="s">
        <v>353</v>
      </c>
      <c r="M1124" t="s">
        <v>12</v>
      </c>
      <c r="N1124" s="2">
        <v>0</v>
      </c>
      <c r="O1124" s="2">
        <v>200</v>
      </c>
      <c r="P1124" s="2">
        <v>22018.71</v>
      </c>
      <c r="Q1124" s="2">
        <v>22218.71</v>
      </c>
      <c r="R1124" s="2">
        <v>0</v>
      </c>
      <c r="S1124" s="2">
        <v>11086.13</v>
      </c>
      <c r="T1124" s="2">
        <v>11086.13</v>
      </c>
      <c r="U1124" s="2">
        <v>11132.58</v>
      </c>
      <c r="V1124" s="2">
        <v>11132.58</v>
      </c>
      <c r="W1124" s="2">
        <v>11132.58</v>
      </c>
    </row>
    <row r="1125" spans="1:23" outlineLevel="2" x14ac:dyDescent="0.2">
      <c r="A1125" t="s">
        <v>0</v>
      </c>
      <c r="B1125" t="s">
        <v>53</v>
      </c>
      <c r="C1125" t="s">
        <v>54</v>
      </c>
      <c r="D1125" t="s">
        <v>55</v>
      </c>
      <c r="E1125" t="s">
        <v>56</v>
      </c>
      <c r="F1125" t="s">
        <v>5</v>
      </c>
      <c r="G1125" t="s">
        <v>6</v>
      </c>
      <c r="H1125" t="s">
        <v>35</v>
      </c>
      <c r="I1125" t="s">
        <v>36</v>
      </c>
      <c r="J1125" t="s">
        <v>9</v>
      </c>
      <c r="K1125" t="s">
        <v>22</v>
      </c>
      <c r="L1125" t="s">
        <v>364</v>
      </c>
      <c r="M1125" t="s">
        <v>12</v>
      </c>
      <c r="N1125" s="2">
        <v>0</v>
      </c>
      <c r="O1125" s="2">
        <v>0</v>
      </c>
      <c r="P1125" s="2">
        <v>38228.53</v>
      </c>
      <c r="Q1125" s="2">
        <v>38228.53</v>
      </c>
      <c r="R1125" s="2">
        <v>0</v>
      </c>
      <c r="S1125" s="2">
        <v>14304.16</v>
      </c>
      <c r="T1125" s="2">
        <v>14304.16</v>
      </c>
      <c r="U1125" s="2">
        <v>23924.37</v>
      </c>
      <c r="V1125" s="2">
        <v>23924.37</v>
      </c>
      <c r="W1125" s="2">
        <v>23924.37</v>
      </c>
    </row>
    <row r="1126" spans="1:23" outlineLevel="2" x14ac:dyDescent="0.2">
      <c r="A1126" t="s">
        <v>0</v>
      </c>
      <c r="B1126" t="s">
        <v>31</v>
      </c>
      <c r="C1126" t="s">
        <v>49</v>
      </c>
      <c r="D1126" t="s">
        <v>50</v>
      </c>
      <c r="E1126" t="s">
        <v>51</v>
      </c>
      <c r="F1126" t="s">
        <v>5</v>
      </c>
      <c r="G1126" t="s">
        <v>6</v>
      </c>
      <c r="H1126" t="s">
        <v>35</v>
      </c>
      <c r="I1126" t="s">
        <v>36</v>
      </c>
      <c r="J1126" t="s">
        <v>9</v>
      </c>
      <c r="K1126" t="s">
        <v>22</v>
      </c>
      <c r="L1126" t="s">
        <v>365</v>
      </c>
      <c r="M1126" t="s">
        <v>15</v>
      </c>
      <c r="N1126" s="2">
        <v>90000.7</v>
      </c>
      <c r="O1126" s="2">
        <v>34781.93</v>
      </c>
      <c r="P1126" s="2">
        <v>-49033.27</v>
      </c>
      <c r="Q1126" s="2">
        <v>75749.36</v>
      </c>
      <c r="R1126" s="2">
        <v>4032.17</v>
      </c>
      <c r="S1126" s="2">
        <v>71717.19</v>
      </c>
      <c r="T1126" s="2">
        <v>71717.19</v>
      </c>
      <c r="U1126" s="2">
        <v>4032.17</v>
      </c>
      <c r="V1126" s="2">
        <v>4032.17</v>
      </c>
      <c r="W1126" s="2">
        <v>0</v>
      </c>
    </row>
    <row r="1127" spans="1:23" outlineLevel="2" x14ac:dyDescent="0.2">
      <c r="A1127" t="s">
        <v>0</v>
      </c>
      <c r="B1127" t="s">
        <v>53</v>
      </c>
      <c r="C1127" t="s">
        <v>54</v>
      </c>
      <c r="D1127" t="s">
        <v>55</v>
      </c>
      <c r="E1127" t="s">
        <v>56</v>
      </c>
      <c r="F1127" t="s">
        <v>5</v>
      </c>
      <c r="G1127" t="s">
        <v>6</v>
      </c>
      <c r="H1127" t="s">
        <v>35</v>
      </c>
      <c r="I1127" t="s">
        <v>36</v>
      </c>
      <c r="J1127" t="s">
        <v>9</v>
      </c>
      <c r="K1127" t="s">
        <v>22</v>
      </c>
      <c r="L1127" t="s">
        <v>364</v>
      </c>
      <c r="M1127" t="s">
        <v>15</v>
      </c>
      <c r="N1127" s="2">
        <v>199948.26</v>
      </c>
      <c r="O1127" s="2">
        <v>-11412.58</v>
      </c>
      <c r="P1127" s="2">
        <v>-38228.53</v>
      </c>
      <c r="Q1127" s="2">
        <v>150307.15</v>
      </c>
      <c r="R1127" s="2">
        <v>1102.1600000000001</v>
      </c>
      <c r="S1127" s="2">
        <v>149204.99</v>
      </c>
      <c r="T1127" s="2">
        <v>149204.99</v>
      </c>
      <c r="U1127" s="2">
        <v>1102.1600000000001</v>
      </c>
      <c r="V1127" s="2">
        <v>1102.1600000000001</v>
      </c>
      <c r="W1127" s="2">
        <v>0</v>
      </c>
    </row>
    <row r="1128" spans="1:23" outlineLevel="2" x14ac:dyDescent="0.2">
      <c r="A1128" t="s">
        <v>0</v>
      </c>
      <c r="B1128" t="s">
        <v>39</v>
      </c>
      <c r="C1128" t="s">
        <v>70</v>
      </c>
      <c r="D1128" t="s">
        <v>71</v>
      </c>
      <c r="E1128" t="s">
        <v>72</v>
      </c>
      <c r="F1128" t="s">
        <v>5</v>
      </c>
      <c r="G1128" t="s">
        <v>6</v>
      </c>
      <c r="H1128" t="s">
        <v>35</v>
      </c>
      <c r="I1128" t="s">
        <v>36</v>
      </c>
      <c r="J1128" t="s">
        <v>9</v>
      </c>
      <c r="K1128" t="s">
        <v>22</v>
      </c>
      <c r="L1128" t="s">
        <v>359</v>
      </c>
      <c r="M1128" t="s">
        <v>12</v>
      </c>
      <c r="N1128" s="2">
        <v>0</v>
      </c>
      <c r="O1128" s="2">
        <v>0</v>
      </c>
      <c r="P1128" s="2">
        <v>62650.400000000001</v>
      </c>
      <c r="Q1128" s="2">
        <v>62650.400000000001</v>
      </c>
      <c r="R1128" s="2">
        <v>0</v>
      </c>
      <c r="S1128" s="2">
        <v>17438.52</v>
      </c>
      <c r="T1128" s="2">
        <v>17438.52</v>
      </c>
      <c r="U1128" s="2">
        <v>45211.88</v>
      </c>
      <c r="V1128" s="2">
        <v>45211.88</v>
      </c>
      <c r="W1128" s="2">
        <v>45211.88</v>
      </c>
    </row>
    <row r="1129" spans="1:23" outlineLevel="2" x14ac:dyDescent="0.2">
      <c r="A1129" t="s">
        <v>0</v>
      </c>
      <c r="B1129" t="s">
        <v>39</v>
      </c>
      <c r="C1129" t="s">
        <v>58</v>
      </c>
      <c r="D1129" t="s">
        <v>139</v>
      </c>
      <c r="E1129" t="s">
        <v>140</v>
      </c>
      <c r="F1129" t="s">
        <v>5</v>
      </c>
      <c r="G1129" t="s">
        <v>6</v>
      </c>
      <c r="H1129" t="s">
        <v>35</v>
      </c>
      <c r="I1129" t="s">
        <v>36</v>
      </c>
      <c r="J1129" t="s">
        <v>9</v>
      </c>
      <c r="K1129" t="s">
        <v>22</v>
      </c>
      <c r="L1129" t="s">
        <v>353</v>
      </c>
      <c r="M1129" t="s">
        <v>15</v>
      </c>
      <c r="N1129" s="2">
        <v>188041.38</v>
      </c>
      <c r="O1129" s="2">
        <v>0</v>
      </c>
      <c r="P1129" s="2">
        <v>-43521.46</v>
      </c>
      <c r="Q1129" s="2">
        <v>144519.92000000001</v>
      </c>
      <c r="R1129" s="2">
        <v>1030.31</v>
      </c>
      <c r="S1129" s="2">
        <v>143489.60999999999</v>
      </c>
      <c r="T1129" s="2">
        <v>143489.60999999999</v>
      </c>
      <c r="U1129" s="2">
        <v>1030.31</v>
      </c>
      <c r="V1129" s="2">
        <v>1030.31</v>
      </c>
      <c r="W1129" s="2">
        <v>0</v>
      </c>
    </row>
    <row r="1130" spans="1:23" outlineLevel="2" x14ac:dyDescent="0.2">
      <c r="A1130" t="s">
        <v>0</v>
      </c>
      <c r="B1130" t="s">
        <v>31</v>
      </c>
      <c r="C1130" t="s">
        <v>32</v>
      </c>
      <c r="D1130" t="s">
        <v>141</v>
      </c>
      <c r="E1130" t="s">
        <v>142</v>
      </c>
      <c r="F1130" t="s">
        <v>5</v>
      </c>
      <c r="G1130" t="s">
        <v>6</v>
      </c>
      <c r="H1130" t="s">
        <v>35</v>
      </c>
      <c r="I1130" t="s">
        <v>36</v>
      </c>
      <c r="J1130" t="s">
        <v>9</v>
      </c>
      <c r="K1130" t="s">
        <v>22</v>
      </c>
      <c r="L1130" t="s">
        <v>361</v>
      </c>
      <c r="M1130" t="s">
        <v>12</v>
      </c>
      <c r="N1130" s="2">
        <v>0</v>
      </c>
      <c r="O1130" s="2">
        <v>0</v>
      </c>
      <c r="P1130" s="2">
        <v>25511.4</v>
      </c>
      <c r="Q1130" s="2">
        <v>25511.4</v>
      </c>
      <c r="R1130" s="2">
        <v>0</v>
      </c>
      <c r="S1130" s="2">
        <v>8567.27</v>
      </c>
      <c r="T1130" s="2">
        <v>8567.27</v>
      </c>
      <c r="U1130" s="2">
        <v>16944.13</v>
      </c>
      <c r="V1130" s="2">
        <v>16944.13</v>
      </c>
      <c r="W1130" s="2">
        <v>16944.13</v>
      </c>
    </row>
    <row r="1131" spans="1:23" outlineLevel="2" x14ac:dyDescent="0.2">
      <c r="A1131" t="s">
        <v>0</v>
      </c>
      <c r="B1131" t="s">
        <v>39</v>
      </c>
      <c r="C1131" t="s">
        <v>40</v>
      </c>
      <c r="D1131" t="s">
        <v>77</v>
      </c>
      <c r="E1131" t="s">
        <v>78</v>
      </c>
      <c r="F1131" t="s">
        <v>5</v>
      </c>
      <c r="G1131" t="s">
        <v>6</v>
      </c>
      <c r="H1131" t="s">
        <v>35</v>
      </c>
      <c r="I1131" t="s">
        <v>36</v>
      </c>
      <c r="J1131" t="s">
        <v>9</v>
      </c>
      <c r="K1131" t="s">
        <v>22</v>
      </c>
      <c r="L1131" t="s">
        <v>352</v>
      </c>
      <c r="M1131" t="s">
        <v>12</v>
      </c>
      <c r="N1131" s="2">
        <v>0</v>
      </c>
      <c r="O1131" s="2">
        <v>0</v>
      </c>
      <c r="P1131" s="2">
        <v>624122.65</v>
      </c>
      <c r="Q1131" s="2">
        <v>624122.65</v>
      </c>
      <c r="R1131" s="2">
        <v>0</v>
      </c>
      <c r="S1131" s="2">
        <v>285502.15000000002</v>
      </c>
      <c r="T1131" s="2">
        <v>284859.74</v>
      </c>
      <c r="U1131" s="2">
        <v>338620.5</v>
      </c>
      <c r="V1131" s="2">
        <v>339262.91</v>
      </c>
      <c r="W1131" s="2">
        <v>338620.5</v>
      </c>
    </row>
    <row r="1132" spans="1:23" outlineLevel="2" x14ac:dyDescent="0.2">
      <c r="A1132" t="s">
        <v>0</v>
      </c>
      <c r="B1132" t="s">
        <v>31</v>
      </c>
      <c r="C1132" t="s">
        <v>107</v>
      </c>
      <c r="D1132" t="s">
        <v>108</v>
      </c>
      <c r="E1132" t="s">
        <v>109</v>
      </c>
      <c r="F1132" t="s">
        <v>5</v>
      </c>
      <c r="G1132" t="s">
        <v>6</v>
      </c>
      <c r="H1132" t="s">
        <v>35</v>
      </c>
      <c r="I1132" t="s">
        <v>36</v>
      </c>
      <c r="J1132" t="s">
        <v>9</v>
      </c>
      <c r="K1132" t="s">
        <v>22</v>
      </c>
      <c r="L1132" t="s">
        <v>363</v>
      </c>
      <c r="M1132" t="s">
        <v>12</v>
      </c>
      <c r="N1132" s="2">
        <v>0</v>
      </c>
      <c r="O1132" s="2">
        <v>0</v>
      </c>
      <c r="P1132" s="2">
        <v>62374.52</v>
      </c>
      <c r="Q1132" s="2">
        <v>62374.52</v>
      </c>
      <c r="R1132" s="2">
        <v>0</v>
      </c>
      <c r="S1132" s="2">
        <v>24646.35</v>
      </c>
      <c r="T1132" s="2">
        <v>24646.35</v>
      </c>
      <c r="U1132" s="2">
        <v>37728.17</v>
      </c>
      <c r="V1132" s="2">
        <v>37728.17</v>
      </c>
      <c r="W1132" s="2">
        <v>37728.17</v>
      </c>
    </row>
    <row r="1133" spans="1:23" outlineLevel="2" x14ac:dyDescent="0.2">
      <c r="A1133" t="s">
        <v>0</v>
      </c>
      <c r="B1133" t="s">
        <v>31</v>
      </c>
      <c r="C1133" t="s">
        <v>79</v>
      </c>
      <c r="D1133" t="s">
        <v>133</v>
      </c>
      <c r="E1133" t="s">
        <v>134</v>
      </c>
      <c r="F1133" t="s">
        <v>5</v>
      </c>
      <c r="G1133" t="s">
        <v>6</v>
      </c>
      <c r="H1133" t="s">
        <v>35</v>
      </c>
      <c r="I1133" t="s">
        <v>36</v>
      </c>
      <c r="J1133" t="s">
        <v>9</v>
      </c>
      <c r="K1133" t="s">
        <v>22</v>
      </c>
      <c r="L1133" t="s">
        <v>354</v>
      </c>
      <c r="M1133" t="s">
        <v>12</v>
      </c>
      <c r="N1133" s="2">
        <v>0</v>
      </c>
      <c r="O1133" s="2">
        <v>1240.21</v>
      </c>
      <c r="P1133" s="2">
        <v>25983.03</v>
      </c>
      <c r="Q1133" s="2">
        <v>27223.24</v>
      </c>
      <c r="R1133" s="2">
        <v>693.61</v>
      </c>
      <c r="S1133" s="2">
        <v>12224.24</v>
      </c>
      <c r="T1133" s="2">
        <v>12224.24</v>
      </c>
      <c r="U1133" s="2">
        <v>14999</v>
      </c>
      <c r="V1133" s="2">
        <v>14999</v>
      </c>
      <c r="W1133" s="2">
        <v>14305.39</v>
      </c>
    </row>
    <row r="1134" spans="1:23" outlineLevel="2" x14ac:dyDescent="0.2">
      <c r="A1134" t="s">
        <v>0</v>
      </c>
      <c r="B1134" t="s">
        <v>31</v>
      </c>
      <c r="C1134" t="s">
        <v>32</v>
      </c>
      <c r="D1134" t="s">
        <v>123</v>
      </c>
      <c r="E1134" t="s">
        <v>124</v>
      </c>
      <c r="F1134" t="s">
        <v>5</v>
      </c>
      <c r="G1134" t="s">
        <v>6</v>
      </c>
      <c r="H1134" t="s">
        <v>35</v>
      </c>
      <c r="I1134" t="s">
        <v>36</v>
      </c>
      <c r="J1134" t="s">
        <v>9</v>
      </c>
      <c r="K1134" t="s">
        <v>22</v>
      </c>
      <c r="L1134" t="s">
        <v>361</v>
      </c>
      <c r="M1134" t="s">
        <v>15</v>
      </c>
      <c r="N1134" s="2">
        <v>362403.38</v>
      </c>
      <c r="O1134" s="2">
        <v>-172924.83</v>
      </c>
      <c r="P1134" s="2">
        <v>-11493.24</v>
      </c>
      <c r="Q1134" s="2">
        <v>177985.31</v>
      </c>
      <c r="R1134" s="2">
        <v>8860.18</v>
      </c>
      <c r="S1134" s="2">
        <v>169125.13</v>
      </c>
      <c r="T1134" s="2">
        <v>169125.13</v>
      </c>
      <c r="U1134" s="2">
        <v>8860.18</v>
      </c>
      <c r="V1134" s="2">
        <v>8860.18</v>
      </c>
      <c r="W1134" s="2">
        <v>0</v>
      </c>
    </row>
    <row r="1135" spans="1:23" outlineLevel="2" x14ac:dyDescent="0.2">
      <c r="A1135" t="s">
        <v>0</v>
      </c>
      <c r="B1135" t="s">
        <v>39</v>
      </c>
      <c r="C1135" t="s">
        <v>58</v>
      </c>
      <c r="D1135" t="s">
        <v>137</v>
      </c>
      <c r="E1135" t="s">
        <v>138</v>
      </c>
      <c r="F1135" t="s">
        <v>5</v>
      </c>
      <c r="G1135" t="s">
        <v>6</v>
      </c>
      <c r="H1135" t="s">
        <v>35</v>
      </c>
      <c r="I1135" t="s">
        <v>36</v>
      </c>
      <c r="J1135" t="s">
        <v>9</v>
      </c>
      <c r="K1135" t="s">
        <v>22</v>
      </c>
      <c r="L1135" t="s">
        <v>353</v>
      </c>
      <c r="M1135" t="s">
        <v>12</v>
      </c>
      <c r="N1135" s="2">
        <v>0</v>
      </c>
      <c r="O1135" s="2">
        <v>20</v>
      </c>
      <c r="P1135" s="2">
        <v>22618.6</v>
      </c>
      <c r="Q1135" s="2">
        <v>22638.6</v>
      </c>
      <c r="R1135" s="2">
        <v>0</v>
      </c>
      <c r="S1135" s="2">
        <v>11313.33</v>
      </c>
      <c r="T1135" s="2">
        <v>11313.33</v>
      </c>
      <c r="U1135" s="2">
        <v>11325.27</v>
      </c>
      <c r="V1135" s="2">
        <v>11325.27</v>
      </c>
      <c r="W1135" s="2">
        <v>11325.27</v>
      </c>
    </row>
    <row r="1136" spans="1:23" outlineLevel="2" x14ac:dyDescent="0.2">
      <c r="A1136" t="s">
        <v>0</v>
      </c>
      <c r="B1136" t="s">
        <v>39</v>
      </c>
      <c r="C1136" t="s">
        <v>58</v>
      </c>
      <c r="D1136" t="s">
        <v>135</v>
      </c>
      <c r="E1136" t="s">
        <v>136</v>
      </c>
      <c r="F1136" t="s">
        <v>5</v>
      </c>
      <c r="G1136" t="s">
        <v>6</v>
      </c>
      <c r="H1136" t="s">
        <v>35</v>
      </c>
      <c r="I1136" t="s">
        <v>36</v>
      </c>
      <c r="J1136" t="s">
        <v>9</v>
      </c>
      <c r="K1136" t="s">
        <v>22</v>
      </c>
      <c r="L1136" t="s">
        <v>353</v>
      </c>
      <c r="M1136" t="s">
        <v>12</v>
      </c>
      <c r="N1136" s="2">
        <v>0</v>
      </c>
      <c r="O1136" s="2">
        <v>0</v>
      </c>
      <c r="P1136" s="2">
        <v>28295.56</v>
      </c>
      <c r="Q1136" s="2">
        <v>28295.56</v>
      </c>
      <c r="R1136" s="2">
        <v>0</v>
      </c>
      <c r="S1136" s="2">
        <v>12357.12</v>
      </c>
      <c r="T1136" s="2">
        <v>12357.12</v>
      </c>
      <c r="U1136" s="2">
        <v>15938.44</v>
      </c>
      <c r="V1136" s="2">
        <v>15938.44</v>
      </c>
      <c r="W1136" s="2">
        <v>15938.44</v>
      </c>
    </row>
    <row r="1137" spans="1:23" outlineLevel="2" x14ac:dyDescent="0.2">
      <c r="A1137" t="s">
        <v>0</v>
      </c>
      <c r="B1137" t="s">
        <v>1</v>
      </c>
      <c r="C1137" t="s">
        <v>16</v>
      </c>
      <c r="D1137" t="s">
        <v>64</v>
      </c>
      <c r="E1137" t="s">
        <v>65</v>
      </c>
      <c r="F1137" t="s">
        <v>5</v>
      </c>
      <c r="G1137" t="s">
        <v>6</v>
      </c>
      <c r="H1137" t="s">
        <v>35</v>
      </c>
      <c r="I1137" t="s">
        <v>36</v>
      </c>
      <c r="J1137" t="s">
        <v>9</v>
      </c>
      <c r="K1137" t="s">
        <v>22</v>
      </c>
      <c r="L1137" t="s">
        <v>24</v>
      </c>
      <c r="M1137" t="s">
        <v>12</v>
      </c>
      <c r="N1137" s="2">
        <v>0</v>
      </c>
      <c r="O1137" s="2">
        <v>3200</v>
      </c>
      <c r="P1137" s="2">
        <v>3163.57</v>
      </c>
      <c r="Q1137" s="2">
        <v>6363.57</v>
      </c>
      <c r="R1137" s="2">
        <v>0</v>
      </c>
      <c r="S1137" s="2">
        <v>3141.76</v>
      </c>
      <c r="T1137" s="2">
        <v>3141.76</v>
      </c>
      <c r="U1137" s="2">
        <v>3221.81</v>
      </c>
      <c r="V1137" s="2">
        <v>3221.81</v>
      </c>
      <c r="W1137" s="2">
        <v>3221.81</v>
      </c>
    </row>
    <row r="1138" spans="1:23" outlineLevel="2" x14ac:dyDescent="0.2">
      <c r="A1138" t="s">
        <v>0</v>
      </c>
      <c r="B1138" t="s">
        <v>39</v>
      </c>
      <c r="C1138" t="s">
        <v>58</v>
      </c>
      <c r="D1138" t="s">
        <v>105</v>
      </c>
      <c r="E1138" t="s">
        <v>106</v>
      </c>
      <c r="F1138" t="s">
        <v>5</v>
      </c>
      <c r="G1138" t="s">
        <v>6</v>
      </c>
      <c r="H1138" t="s">
        <v>35</v>
      </c>
      <c r="I1138" t="s">
        <v>36</v>
      </c>
      <c r="J1138" t="s">
        <v>9</v>
      </c>
      <c r="K1138" t="s">
        <v>22</v>
      </c>
      <c r="L1138" t="s">
        <v>353</v>
      </c>
      <c r="M1138" t="s">
        <v>12</v>
      </c>
      <c r="N1138" s="2">
        <v>0</v>
      </c>
      <c r="O1138" s="2">
        <v>0</v>
      </c>
      <c r="P1138" s="2">
        <v>16523.46</v>
      </c>
      <c r="Q1138" s="2">
        <v>16523.46</v>
      </c>
      <c r="R1138" s="2">
        <v>0</v>
      </c>
      <c r="S1138" s="2">
        <v>4722.45</v>
      </c>
      <c r="T1138" s="2">
        <v>4722.45</v>
      </c>
      <c r="U1138" s="2">
        <v>11801.01</v>
      </c>
      <c r="V1138" s="2">
        <v>11801.01</v>
      </c>
      <c r="W1138" s="2">
        <v>11801.01</v>
      </c>
    </row>
    <row r="1139" spans="1:23" outlineLevel="2" x14ac:dyDescent="0.2">
      <c r="A1139" t="s">
        <v>0</v>
      </c>
      <c r="B1139" t="s">
        <v>31</v>
      </c>
      <c r="C1139" t="s">
        <v>79</v>
      </c>
      <c r="D1139" t="s">
        <v>127</v>
      </c>
      <c r="E1139" t="s">
        <v>128</v>
      </c>
      <c r="F1139" t="s">
        <v>5</v>
      </c>
      <c r="G1139" t="s">
        <v>6</v>
      </c>
      <c r="H1139" t="s">
        <v>35</v>
      </c>
      <c r="I1139" t="s">
        <v>36</v>
      </c>
      <c r="J1139" t="s">
        <v>9</v>
      </c>
      <c r="K1139" t="s">
        <v>22</v>
      </c>
      <c r="L1139" t="s">
        <v>354</v>
      </c>
      <c r="M1139" t="s">
        <v>12</v>
      </c>
      <c r="N1139" s="2">
        <v>0</v>
      </c>
      <c r="O1139" s="2">
        <v>1240.21</v>
      </c>
      <c r="P1139" s="2">
        <v>22456.83</v>
      </c>
      <c r="Q1139" s="2">
        <v>23697.040000000001</v>
      </c>
      <c r="R1139" s="2">
        <v>465.86</v>
      </c>
      <c r="S1139" s="2">
        <v>11692.67</v>
      </c>
      <c r="T1139" s="2">
        <v>11692.67</v>
      </c>
      <c r="U1139" s="2">
        <v>12004.37</v>
      </c>
      <c r="V1139" s="2">
        <v>12004.37</v>
      </c>
      <c r="W1139" s="2">
        <v>11538.51</v>
      </c>
    </row>
    <row r="1140" spans="1:23" outlineLevel="2" x14ac:dyDescent="0.2">
      <c r="A1140" t="s">
        <v>0</v>
      </c>
      <c r="B1140" t="s">
        <v>53</v>
      </c>
      <c r="C1140" t="s">
        <v>85</v>
      </c>
      <c r="D1140" t="s">
        <v>86</v>
      </c>
      <c r="E1140" t="s">
        <v>87</v>
      </c>
      <c r="F1140" t="s">
        <v>5</v>
      </c>
      <c r="G1140" t="s">
        <v>6</v>
      </c>
      <c r="H1140" t="s">
        <v>35</v>
      </c>
      <c r="I1140" t="s">
        <v>36</v>
      </c>
      <c r="J1140" t="s">
        <v>9</v>
      </c>
      <c r="K1140" t="s">
        <v>22</v>
      </c>
      <c r="L1140" t="s">
        <v>360</v>
      </c>
      <c r="M1140" t="s">
        <v>12</v>
      </c>
      <c r="N1140" s="2">
        <v>0</v>
      </c>
      <c r="O1140" s="2">
        <v>0</v>
      </c>
      <c r="P1140" s="2">
        <v>19211.16</v>
      </c>
      <c r="Q1140" s="2">
        <v>19211.16</v>
      </c>
      <c r="R1140" s="2">
        <v>0</v>
      </c>
      <c r="S1140" s="2">
        <v>3546.62</v>
      </c>
      <c r="T1140" s="2">
        <v>3546.62</v>
      </c>
      <c r="U1140" s="2">
        <v>15664.54</v>
      </c>
      <c r="V1140" s="2">
        <v>15664.54</v>
      </c>
      <c r="W1140" s="2">
        <v>15664.54</v>
      </c>
    </row>
    <row r="1141" spans="1:23" outlineLevel="2" x14ac:dyDescent="0.2">
      <c r="A1141" t="s">
        <v>0</v>
      </c>
      <c r="B1141" t="s">
        <v>39</v>
      </c>
      <c r="C1141" t="s">
        <v>58</v>
      </c>
      <c r="D1141" t="s">
        <v>145</v>
      </c>
      <c r="E1141" t="s">
        <v>146</v>
      </c>
      <c r="F1141" t="s">
        <v>5</v>
      </c>
      <c r="G1141" t="s">
        <v>6</v>
      </c>
      <c r="H1141" t="s">
        <v>35</v>
      </c>
      <c r="I1141" t="s">
        <v>36</v>
      </c>
      <c r="J1141" t="s">
        <v>9</v>
      </c>
      <c r="K1141" t="s">
        <v>22</v>
      </c>
      <c r="L1141" t="s">
        <v>353</v>
      </c>
      <c r="M1141" t="s">
        <v>15</v>
      </c>
      <c r="N1141" s="2">
        <v>138591.46</v>
      </c>
      <c r="O1141" s="2">
        <v>1272.5999999999999</v>
      </c>
      <c r="P1141" s="2">
        <v>-31552.74</v>
      </c>
      <c r="Q1141" s="2">
        <v>108311.32</v>
      </c>
      <c r="R1141" s="2">
        <v>0</v>
      </c>
      <c r="S1141" s="2">
        <v>108311.32</v>
      </c>
      <c r="T1141" s="2">
        <v>108311.32</v>
      </c>
      <c r="U1141" s="2">
        <v>0</v>
      </c>
      <c r="V1141" s="2">
        <v>0</v>
      </c>
      <c r="W1141" s="2">
        <v>0</v>
      </c>
    </row>
    <row r="1142" spans="1:23" outlineLevel="2" x14ac:dyDescent="0.2">
      <c r="A1142" t="s">
        <v>0</v>
      </c>
      <c r="B1142" t="s">
        <v>31</v>
      </c>
      <c r="C1142" t="s">
        <v>49</v>
      </c>
      <c r="D1142" t="s">
        <v>50</v>
      </c>
      <c r="E1142" t="s">
        <v>51</v>
      </c>
      <c r="F1142" t="s">
        <v>5</v>
      </c>
      <c r="G1142" t="s">
        <v>6</v>
      </c>
      <c r="H1142" t="s">
        <v>35</v>
      </c>
      <c r="I1142" t="s">
        <v>36</v>
      </c>
      <c r="J1142" t="s">
        <v>9</v>
      </c>
      <c r="K1142" t="s">
        <v>22</v>
      </c>
      <c r="L1142" t="s">
        <v>365</v>
      </c>
      <c r="M1142" t="s">
        <v>12</v>
      </c>
      <c r="N1142" s="2">
        <v>0</v>
      </c>
      <c r="O1142" s="2">
        <v>0</v>
      </c>
      <c r="P1142" s="2">
        <v>47513.77</v>
      </c>
      <c r="Q1142" s="2">
        <v>47513.77</v>
      </c>
      <c r="R1142" s="2">
        <v>0</v>
      </c>
      <c r="S1142" s="2">
        <v>16304.3</v>
      </c>
      <c r="T1142" s="2">
        <v>16304.3</v>
      </c>
      <c r="U1142" s="2">
        <v>31209.47</v>
      </c>
      <c r="V1142" s="2">
        <v>31209.47</v>
      </c>
      <c r="W1142" s="2">
        <v>31209.47</v>
      </c>
    </row>
    <row r="1143" spans="1:23" outlineLevel="2" x14ac:dyDescent="0.2">
      <c r="A1143" t="s">
        <v>0</v>
      </c>
      <c r="B1143" t="s">
        <v>39</v>
      </c>
      <c r="C1143" t="s">
        <v>58</v>
      </c>
      <c r="D1143" t="s">
        <v>59</v>
      </c>
      <c r="E1143" t="s">
        <v>60</v>
      </c>
      <c r="F1143" t="s">
        <v>5</v>
      </c>
      <c r="G1143" t="s">
        <v>6</v>
      </c>
      <c r="H1143" t="s">
        <v>35</v>
      </c>
      <c r="I1143" t="s">
        <v>36</v>
      </c>
      <c r="J1143" t="s">
        <v>9</v>
      </c>
      <c r="K1143" t="s">
        <v>22</v>
      </c>
      <c r="L1143" t="s">
        <v>353</v>
      </c>
      <c r="M1143" t="s">
        <v>12</v>
      </c>
      <c r="N1143" s="2">
        <v>0</v>
      </c>
      <c r="O1143" s="2">
        <v>0</v>
      </c>
      <c r="P1143" s="2">
        <v>18001.64</v>
      </c>
      <c r="Q1143" s="2">
        <v>18001.64</v>
      </c>
      <c r="R1143" s="2">
        <v>0</v>
      </c>
      <c r="S1143" s="2">
        <v>8939.5300000000007</v>
      </c>
      <c r="T1143" s="2">
        <v>8939.5300000000007</v>
      </c>
      <c r="U1143" s="2">
        <v>9062.11</v>
      </c>
      <c r="V1143" s="2">
        <v>9062.11</v>
      </c>
      <c r="W1143" s="2">
        <v>9062.11</v>
      </c>
    </row>
    <row r="1144" spans="1:23" outlineLevel="2" x14ac:dyDescent="0.2">
      <c r="A1144" t="s">
        <v>0</v>
      </c>
      <c r="B1144" t="s">
        <v>31</v>
      </c>
      <c r="C1144" t="s">
        <v>79</v>
      </c>
      <c r="D1144" t="s">
        <v>83</v>
      </c>
      <c r="E1144" t="s">
        <v>84</v>
      </c>
      <c r="F1144" t="s">
        <v>5</v>
      </c>
      <c r="G1144" t="s">
        <v>6</v>
      </c>
      <c r="H1144" t="s">
        <v>35</v>
      </c>
      <c r="I1144" t="s">
        <v>36</v>
      </c>
      <c r="J1144" t="s">
        <v>9</v>
      </c>
      <c r="K1144" t="s">
        <v>22</v>
      </c>
      <c r="L1144" t="s">
        <v>354</v>
      </c>
      <c r="M1144" t="s">
        <v>15</v>
      </c>
      <c r="N1144" s="2">
        <v>680530.36</v>
      </c>
      <c r="O1144" s="2">
        <v>-128086.92</v>
      </c>
      <c r="P1144" s="2">
        <v>-120425.29</v>
      </c>
      <c r="Q1144" s="2">
        <v>432018.15</v>
      </c>
      <c r="R1144" s="2">
        <v>27038.97</v>
      </c>
      <c r="S1144" s="2">
        <v>404979.18</v>
      </c>
      <c r="T1144" s="2">
        <v>404976.14</v>
      </c>
      <c r="U1144" s="2">
        <v>27038.97</v>
      </c>
      <c r="V1144" s="2">
        <v>27042.01</v>
      </c>
      <c r="W1144" s="2">
        <v>0</v>
      </c>
    </row>
    <row r="1145" spans="1:23" outlineLevel="2" x14ac:dyDescent="0.2">
      <c r="A1145" t="s">
        <v>0</v>
      </c>
      <c r="B1145" t="s">
        <v>1</v>
      </c>
      <c r="C1145" t="s">
        <v>99</v>
      </c>
      <c r="D1145" t="s">
        <v>100</v>
      </c>
      <c r="E1145" t="s">
        <v>101</v>
      </c>
      <c r="F1145" t="s">
        <v>5</v>
      </c>
      <c r="G1145" t="s">
        <v>6</v>
      </c>
      <c r="H1145" t="s">
        <v>35</v>
      </c>
      <c r="I1145" t="s">
        <v>36</v>
      </c>
      <c r="J1145" t="s">
        <v>9</v>
      </c>
      <c r="K1145" t="s">
        <v>22</v>
      </c>
      <c r="L1145" t="s">
        <v>357</v>
      </c>
      <c r="M1145" t="s">
        <v>12</v>
      </c>
      <c r="N1145" s="2">
        <v>0</v>
      </c>
      <c r="O1145" s="2">
        <v>0</v>
      </c>
      <c r="P1145" s="2">
        <v>19893.53</v>
      </c>
      <c r="Q1145" s="2">
        <v>19893.53</v>
      </c>
      <c r="R1145" s="2">
        <v>0</v>
      </c>
      <c r="S1145" s="2">
        <v>8672.31</v>
      </c>
      <c r="T1145" s="2">
        <v>8672.31</v>
      </c>
      <c r="U1145" s="2">
        <v>11221.22</v>
      </c>
      <c r="V1145" s="2">
        <v>11221.22</v>
      </c>
      <c r="W1145" s="2">
        <v>11221.22</v>
      </c>
    </row>
    <row r="1146" spans="1:23" outlineLevel="2" x14ac:dyDescent="0.2">
      <c r="A1146" t="s">
        <v>0</v>
      </c>
      <c r="B1146" t="s">
        <v>39</v>
      </c>
      <c r="C1146" t="s">
        <v>70</v>
      </c>
      <c r="D1146" t="s">
        <v>89</v>
      </c>
      <c r="E1146" t="s">
        <v>90</v>
      </c>
      <c r="F1146" t="s">
        <v>5</v>
      </c>
      <c r="G1146" t="s">
        <v>6</v>
      </c>
      <c r="H1146" t="s">
        <v>35</v>
      </c>
      <c r="I1146" t="s">
        <v>36</v>
      </c>
      <c r="J1146" t="s">
        <v>9</v>
      </c>
      <c r="K1146" t="s">
        <v>22</v>
      </c>
      <c r="L1146" t="s">
        <v>359</v>
      </c>
      <c r="M1146" t="s">
        <v>15</v>
      </c>
      <c r="N1146" s="2">
        <v>1973331.61</v>
      </c>
      <c r="O1146" s="2">
        <v>0</v>
      </c>
      <c r="P1146" s="2">
        <v>-351821.81</v>
      </c>
      <c r="Q1146" s="2">
        <v>1621509.8</v>
      </c>
      <c r="R1146" s="2">
        <v>40917.18</v>
      </c>
      <c r="S1146" s="2">
        <v>1580592.62</v>
      </c>
      <c r="T1146" s="2">
        <v>1580592.62</v>
      </c>
      <c r="U1146" s="2">
        <v>40917.18</v>
      </c>
      <c r="V1146" s="2">
        <v>40917.18</v>
      </c>
      <c r="W1146" s="2">
        <v>0</v>
      </c>
    </row>
    <row r="1147" spans="1:23" outlineLevel="2" x14ac:dyDescent="0.2">
      <c r="A1147" t="s">
        <v>0</v>
      </c>
      <c r="B1147" t="s">
        <v>31</v>
      </c>
      <c r="C1147" t="s">
        <v>79</v>
      </c>
      <c r="D1147" t="s">
        <v>113</v>
      </c>
      <c r="E1147" t="s">
        <v>114</v>
      </c>
      <c r="F1147" t="s">
        <v>5</v>
      </c>
      <c r="G1147" t="s">
        <v>6</v>
      </c>
      <c r="H1147" t="s">
        <v>35</v>
      </c>
      <c r="I1147" t="s">
        <v>36</v>
      </c>
      <c r="J1147" t="s">
        <v>9</v>
      </c>
      <c r="K1147" t="s">
        <v>22</v>
      </c>
      <c r="L1147" t="s">
        <v>354</v>
      </c>
      <c r="M1147" t="s">
        <v>12</v>
      </c>
      <c r="N1147" s="2">
        <v>0</v>
      </c>
      <c r="O1147" s="2">
        <v>2480.41</v>
      </c>
      <c r="P1147" s="2">
        <v>22607.53</v>
      </c>
      <c r="Q1147" s="2">
        <v>25087.94</v>
      </c>
      <c r="R1147" s="2">
        <v>1138.21</v>
      </c>
      <c r="S1147" s="2">
        <v>12156.89</v>
      </c>
      <c r="T1147" s="2">
        <v>12156.89</v>
      </c>
      <c r="U1147" s="2">
        <v>12931.05</v>
      </c>
      <c r="V1147" s="2">
        <v>12931.05</v>
      </c>
      <c r="W1147" s="2">
        <v>11792.84</v>
      </c>
    </row>
    <row r="1148" spans="1:23" outlineLevel="2" x14ac:dyDescent="0.2">
      <c r="A1148" t="s">
        <v>0</v>
      </c>
      <c r="B1148" t="s">
        <v>39</v>
      </c>
      <c r="C1148" t="s">
        <v>58</v>
      </c>
      <c r="D1148" t="s">
        <v>135</v>
      </c>
      <c r="E1148" t="s">
        <v>136</v>
      </c>
      <c r="F1148" t="s">
        <v>5</v>
      </c>
      <c r="G1148" t="s">
        <v>6</v>
      </c>
      <c r="H1148" t="s">
        <v>35</v>
      </c>
      <c r="I1148" t="s">
        <v>36</v>
      </c>
      <c r="J1148" t="s">
        <v>9</v>
      </c>
      <c r="K1148" t="s">
        <v>22</v>
      </c>
      <c r="L1148" t="s">
        <v>353</v>
      </c>
      <c r="M1148" t="s">
        <v>15</v>
      </c>
      <c r="N1148" s="2">
        <v>171142.33</v>
      </c>
      <c r="O1148" s="2">
        <v>603.87</v>
      </c>
      <c r="P1148" s="2">
        <v>-47704.97</v>
      </c>
      <c r="Q1148" s="2">
        <v>124041.23</v>
      </c>
      <c r="R1148" s="2">
        <v>0</v>
      </c>
      <c r="S1148" s="2">
        <v>124041.23</v>
      </c>
      <c r="T1148" s="2">
        <v>124041.23</v>
      </c>
      <c r="U1148" s="2">
        <v>0</v>
      </c>
      <c r="V1148" s="2">
        <v>0</v>
      </c>
      <c r="W1148" s="2">
        <v>0</v>
      </c>
    </row>
    <row r="1149" spans="1:23" outlineLevel="2" x14ac:dyDescent="0.2">
      <c r="A1149" t="s">
        <v>0</v>
      </c>
      <c r="B1149" t="s">
        <v>1</v>
      </c>
      <c r="C1149" t="s">
        <v>16</v>
      </c>
      <c r="D1149" t="s">
        <v>64</v>
      </c>
      <c r="E1149" t="s">
        <v>65</v>
      </c>
      <c r="F1149" t="s">
        <v>5</v>
      </c>
      <c r="G1149" t="s">
        <v>6</v>
      </c>
      <c r="H1149" t="s">
        <v>35</v>
      </c>
      <c r="I1149" t="s">
        <v>36</v>
      </c>
      <c r="J1149" t="s">
        <v>9</v>
      </c>
      <c r="K1149" t="s">
        <v>366</v>
      </c>
      <c r="L1149" t="s">
        <v>367</v>
      </c>
      <c r="M1149" t="s">
        <v>12</v>
      </c>
      <c r="N1149" s="2">
        <v>0</v>
      </c>
      <c r="O1149" s="2">
        <v>700</v>
      </c>
      <c r="P1149" s="2">
        <v>1142.79</v>
      </c>
      <c r="Q1149" s="2">
        <v>1842.79</v>
      </c>
      <c r="R1149" s="2">
        <v>0</v>
      </c>
      <c r="S1149" s="2">
        <v>919.29</v>
      </c>
      <c r="T1149" s="2">
        <v>919.29</v>
      </c>
      <c r="U1149" s="2">
        <v>923.5</v>
      </c>
      <c r="V1149" s="2">
        <v>923.5</v>
      </c>
      <c r="W1149" s="2">
        <v>923.5</v>
      </c>
    </row>
    <row r="1150" spans="1:23" outlineLevel="2" x14ac:dyDescent="0.2">
      <c r="A1150" t="s">
        <v>0</v>
      </c>
      <c r="B1150" t="s">
        <v>39</v>
      </c>
      <c r="C1150" t="s">
        <v>58</v>
      </c>
      <c r="D1150" t="s">
        <v>145</v>
      </c>
      <c r="E1150" t="s">
        <v>146</v>
      </c>
      <c r="F1150" t="s">
        <v>5</v>
      </c>
      <c r="G1150" t="s">
        <v>6</v>
      </c>
      <c r="H1150" t="s">
        <v>35</v>
      </c>
      <c r="I1150" t="s">
        <v>36</v>
      </c>
      <c r="J1150" t="s">
        <v>9</v>
      </c>
      <c r="K1150" t="s">
        <v>366</v>
      </c>
      <c r="L1150" t="s">
        <v>368</v>
      </c>
      <c r="M1150" t="s">
        <v>12</v>
      </c>
      <c r="N1150" s="2">
        <v>0</v>
      </c>
      <c r="O1150" s="2">
        <v>4700</v>
      </c>
      <c r="P1150" s="2">
        <v>9610.51</v>
      </c>
      <c r="Q1150" s="2">
        <v>14310.51</v>
      </c>
      <c r="R1150" s="2">
        <v>0</v>
      </c>
      <c r="S1150" s="2">
        <v>7136.34</v>
      </c>
      <c r="T1150" s="2">
        <v>7136.34</v>
      </c>
      <c r="U1150" s="2">
        <v>7174.17</v>
      </c>
      <c r="V1150" s="2">
        <v>7174.17</v>
      </c>
      <c r="W1150" s="2">
        <v>7174.17</v>
      </c>
    </row>
    <row r="1151" spans="1:23" outlineLevel="2" x14ac:dyDescent="0.2">
      <c r="A1151" t="s">
        <v>0</v>
      </c>
      <c r="B1151" t="s">
        <v>31</v>
      </c>
      <c r="C1151" t="s">
        <v>79</v>
      </c>
      <c r="D1151" t="s">
        <v>111</v>
      </c>
      <c r="E1151" t="s">
        <v>112</v>
      </c>
      <c r="F1151" t="s">
        <v>5</v>
      </c>
      <c r="G1151" t="s">
        <v>6</v>
      </c>
      <c r="H1151" t="s">
        <v>35</v>
      </c>
      <c r="I1151" t="s">
        <v>36</v>
      </c>
      <c r="J1151" t="s">
        <v>9</v>
      </c>
      <c r="K1151" t="s">
        <v>366</v>
      </c>
      <c r="L1151" t="s">
        <v>369</v>
      </c>
      <c r="M1151" t="s">
        <v>15</v>
      </c>
      <c r="N1151" s="2">
        <v>70207.429999999993</v>
      </c>
      <c r="O1151" s="2">
        <v>0</v>
      </c>
      <c r="P1151" s="2">
        <v>-5703.4</v>
      </c>
      <c r="Q1151" s="2">
        <v>64504.03</v>
      </c>
      <c r="R1151" s="2">
        <v>0</v>
      </c>
      <c r="S1151" s="2">
        <v>64504.03</v>
      </c>
      <c r="T1151" s="2">
        <v>64504.03</v>
      </c>
      <c r="U1151" s="2">
        <v>0</v>
      </c>
      <c r="V1151" s="2">
        <v>0</v>
      </c>
      <c r="W1151" s="2">
        <v>0</v>
      </c>
    </row>
    <row r="1152" spans="1:23" outlineLevel="2" x14ac:dyDescent="0.2">
      <c r="A1152" t="s">
        <v>0</v>
      </c>
      <c r="B1152" t="s">
        <v>39</v>
      </c>
      <c r="C1152" t="s">
        <v>58</v>
      </c>
      <c r="D1152" t="s">
        <v>119</v>
      </c>
      <c r="E1152" t="s">
        <v>120</v>
      </c>
      <c r="F1152" t="s">
        <v>5</v>
      </c>
      <c r="G1152" t="s">
        <v>6</v>
      </c>
      <c r="H1152" t="s">
        <v>35</v>
      </c>
      <c r="I1152" t="s">
        <v>36</v>
      </c>
      <c r="J1152" t="s">
        <v>9</v>
      </c>
      <c r="K1152" t="s">
        <v>366</v>
      </c>
      <c r="L1152" t="s">
        <v>368</v>
      </c>
      <c r="M1152" t="s">
        <v>15</v>
      </c>
      <c r="N1152" s="2">
        <v>39013</v>
      </c>
      <c r="O1152" s="2">
        <v>-306</v>
      </c>
      <c r="P1152" s="2">
        <v>-15268.99</v>
      </c>
      <c r="Q1152" s="2">
        <v>23438.01</v>
      </c>
      <c r="R1152" s="2">
        <v>209.25</v>
      </c>
      <c r="S1152" s="2">
        <v>23228.76</v>
      </c>
      <c r="T1152" s="2">
        <v>23228.76</v>
      </c>
      <c r="U1152" s="2">
        <v>209.25</v>
      </c>
      <c r="V1152" s="2">
        <v>209.25</v>
      </c>
      <c r="W1152" s="2">
        <v>0</v>
      </c>
    </row>
    <row r="1153" spans="1:23" outlineLevel="2" x14ac:dyDescent="0.2">
      <c r="A1153" t="s">
        <v>0</v>
      </c>
      <c r="B1153" t="s">
        <v>31</v>
      </c>
      <c r="C1153" t="s">
        <v>79</v>
      </c>
      <c r="D1153" t="s">
        <v>115</v>
      </c>
      <c r="E1153" t="s">
        <v>116</v>
      </c>
      <c r="F1153" t="s">
        <v>5</v>
      </c>
      <c r="G1153" t="s">
        <v>6</v>
      </c>
      <c r="H1153" t="s">
        <v>35</v>
      </c>
      <c r="I1153" t="s">
        <v>36</v>
      </c>
      <c r="J1153" t="s">
        <v>9</v>
      </c>
      <c r="K1153" t="s">
        <v>366</v>
      </c>
      <c r="L1153" t="s">
        <v>369</v>
      </c>
      <c r="M1153" t="s">
        <v>15</v>
      </c>
      <c r="N1153" s="2">
        <v>66204.86</v>
      </c>
      <c r="O1153" s="2">
        <v>-506.89</v>
      </c>
      <c r="P1153" s="2">
        <v>-13266.6</v>
      </c>
      <c r="Q1153" s="2">
        <v>52431.37</v>
      </c>
      <c r="R1153" s="2">
        <v>0</v>
      </c>
      <c r="S1153" s="2">
        <v>52431.37</v>
      </c>
      <c r="T1153" s="2">
        <v>52431.37</v>
      </c>
      <c r="U1153" s="2">
        <v>0</v>
      </c>
      <c r="V1153" s="2">
        <v>0</v>
      </c>
      <c r="W1153" s="2">
        <v>0</v>
      </c>
    </row>
    <row r="1154" spans="1:23" outlineLevel="2" x14ac:dyDescent="0.2">
      <c r="A1154" t="s">
        <v>0</v>
      </c>
      <c r="B1154" t="s">
        <v>31</v>
      </c>
      <c r="C1154" t="s">
        <v>79</v>
      </c>
      <c r="D1154" t="s">
        <v>80</v>
      </c>
      <c r="E1154" t="s">
        <v>81</v>
      </c>
      <c r="F1154" t="s">
        <v>5</v>
      </c>
      <c r="G1154" t="s">
        <v>6</v>
      </c>
      <c r="H1154" t="s">
        <v>35</v>
      </c>
      <c r="I1154" t="s">
        <v>36</v>
      </c>
      <c r="J1154" t="s">
        <v>9</v>
      </c>
      <c r="K1154" t="s">
        <v>366</v>
      </c>
      <c r="L1154" t="s">
        <v>369</v>
      </c>
      <c r="M1154" t="s">
        <v>12</v>
      </c>
      <c r="N1154" s="2">
        <v>0</v>
      </c>
      <c r="O1154" s="2">
        <v>1634</v>
      </c>
      <c r="P1154" s="2">
        <v>15847.64</v>
      </c>
      <c r="Q1154" s="2">
        <v>17481.64</v>
      </c>
      <c r="R1154" s="2">
        <v>1634</v>
      </c>
      <c r="S1154" s="2">
        <v>6931.48</v>
      </c>
      <c r="T1154" s="2">
        <v>6931.48</v>
      </c>
      <c r="U1154" s="2">
        <v>10550.16</v>
      </c>
      <c r="V1154" s="2">
        <v>10550.16</v>
      </c>
      <c r="W1154" s="2">
        <v>8916.16</v>
      </c>
    </row>
    <row r="1155" spans="1:23" outlineLevel="2" x14ac:dyDescent="0.2">
      <c r="A1155" t="s">
        <v>0</v>
      </c>
      <c r="B1155" t="s">
        <v>39</v>
      </c>
      <c r="C1155" t="s">
        <v>58</v>
      </c>
      <c r="D1155" t="s">
        <v>137</v>
      </c>
      <c r="E1155" t="s">
        <v>138</v>
      </c>
      <c r="F1155" t="s">
        <v>5</v>
      </c>
      <c r="G1155" t="s">
        <v>6</v>
      </c>
      <c r="H1155" t="s">
        <v>35</v>
      </c>
      <c r="I1155" t="s">
        <v>36</v>
      </c>
      <c r="J1155" t="s">
        <v>9</v>
      </c>
      <c r="K1155" t="s">
        <v>366</v>
      </c>
      <c r="L1155" t="s">
        <v>368</v>
      </c>
      <c r="M1155" t="s">
        <v>12</v>
      </c>
      <c r="N1155" s="2">
        <v>0</v>
      </c>
      <c r="O1155" s="2">
        <v>0</v>
      </c>
      <c r="P1155" s="2">
        <v>12875.66</v>
      </c>
      <c r="Q1155" s="2">
        <v>12875.66</v>
      </c>
      <c r="R1155" s="2">
        <v>0</v>
      </c>
      <c r="S1155" s="2">
        <v>6267.32</v>
      </c>
      <c r="T1155" s="2">
        <v>6267.32</v>
      </c>
      <c r="U1155" s="2">
        <v>6608.34</v>
      </c>
      <c r="V1155" s="2">
        <v>6608.34</v>
      </c>
      <c r="W1155" s="2">
        <v>6608.34</v>
      </c>
    </row>
    <row r="1156" spans="1:23" outlineLevel="2" x14ac:dyDescent="0.2">
      <c r="A1156" t="s">
        <v>0</v>
      </c>
      <c r="B1156" t="s">
        <v>1</v>
      </c>
      <c r="C1156" t="s">
        <v>16</v>
      </c>
      <c r="D1156" t="s">
        <v>17</v>
      </c>
      <c r="E1156" t="s">
        <v>18</v>
      </c>
      <c r="F1156" t="s">
        <v>5</v>
      </c>
      <c r="G1156" t="s">
        <v>6</v>
      </c>
      <c r="H1156" t="s">
        <v>35</v>
      </c>
      <c r="I1156" t="s">
        <v>36</v>
      </c>
      <c r="J1156" t="s">
        <v>9</v>
      </c>
      <c r="K1156" t="s">
        <v>366</v>
      </c>
      <c r="L1156" t="s">
        <v>367</v>
      </c>
      <c r="M1156" t="s">
        <v>15</v>
      </c>
      <c r="N1156" s="2">
        <v>331608.03999999998</v>
      </c>
      <c r="O1156" s="2">
        <v>-112</v>
      </c>
      <c r="P1156" s="2">
        <v>-98306.37</v>
      </c>
      <c r="Q1156" s="2">
        <v>233189.67</v>
      </c>
      <c r="R1156" s="2">
        <v>33019.379999999997</v>
      </c>
      <c r="S1156" s="2">
        <v>200170.29</v>
      </c>
      <c r="T1156" s="2">
        <v>200111.98</v>
      </c>
      <c r="U1156" s="2">
        <v>33019.379999999997</v>
      </c>
      <c r="V1156" s="2">
        <v>33077.69</v>
      </c>
      <c r="W1156" s="2">
        <v>0</v>
      </c>
    </row>
    <row r="1157" spans="1:23" outlineLevel="2" x14ac:dyDescent="0.2">
      <c r="A1157" t="s">
        <v>0</v>
      </c>
      <c r="B1157" t="s">
        <v>1</v>
      </c>
      <c r="C1157" t="s">
        <v>99</v>
      </c>
      <c r="D1157" t="s">
        <v>100</v>
      </c>
      <c r="E1157" t="s">
        <v>101</v>
      </c>
      <c r="F1157" t="s">
        <v>5</v>
      </c>
      <c r="G1157" t="s">
        <v>6</v>
      </c>
      <c r="H1157" t="s">
        <v>35</v>
      </c>
      <c r="I1157" t="s">
        <v>36</v>
      </c>
      <c r="J1157" t="s">
        <v>9</v>
      </c>
      <c r="K1157" t="s">
        <v>366</v>
      </c>
      <c r="L1157" t="s">
        <v>370</v>
      </c>
      <c r="M1157" t="s">
        <v>15</v>
      </c>
      <c r="N1157" s="2">
        <v>106712.51</v>
      </c>
      <c r="O1157" s="2">
        <v>-724.67</v>
      </c>
      <c r="P1157" s="2">
        <v>-20610.080000000002</v>
      </c>
      <c r="Q1157" s="2">
        <v>85377.76</v>
      </c>
      <c r="R1157" s="2">
        <v>22606.2</v>
      </c>
      <c r="S1157" s="2">
        <v>62771.56</v>
      </c>
      <c r="T1157" s="2">
        <v>62771.56</v>
      </c>
      <c r="U1157" s="2">
        <v>22606.2</v>
      </c>
      <c r="V1157" s="2">
        <v>22606.2</v>
      </c>
      <c r="W1157" s="2">
        <v>0</v>
      </c>
    </row>
    <row r="1158" spans="1:23" outlineLevel="2" x14ac:dyDescent="0.2">
      <c r="A1158" t="s">
        <v>0</v>
      </c>
      <c r="B1158" t="s">
        <v>31</v>
      </c>
      <c r="C1158" t="s">
        <v>79</v>
      </c>
      <c r="D1158" t="s">
        <v>83</v>
      </c>
      <c r="E1158" t="s">
        <v>84</v>
      </c>
      <c r="F1158" t="s">
        <v>5</v>
      </c>
      <c r="G1158" t="s">
        <v>6</v>
      </c>
      <c r="H1158" t="s">
        <v>35</v>
      </c>
      <c r="I1158" t="s">
        <v>36</v>
      </c>
      <c r="J1158" t="s">
        <v>9</v>
      </c>
      <c r="K1158" t="s">
        <v>366</v>
      </c>
      <c r="L1158" t="s">
        <v>369</v>
      </c>
      <c r="M1158" t="s">
        <v>15</v>
      </c>
      <c r="N1158" s="2">
        <v>488627.02</v>
      </c>
      <c r="O1158" s="2">
        <v>-91036.52</v>
      </c>
      <c r="P1158" s="2">
        <v>-110009.74</v>
      </c>
      <c r="Q1158" s="2">
        <v>287580.76</v>
      </c>
      <c r="R1158" s="2">
        <v>46075.87</v>
      </c>
      <c r="S1158" s="2">
        <v>241504.89</v>
      </c>
      <c r="T1158" s="2">
        <v>241502.62</v>
      </c>
      <c r="U1158" s="2">
        <v>46075.87</v>
      </c>
      <c r="V1158" s="2">
        <v>46078.14</v>
      </c>
      <c r="W1158" s="2">
        <v>0</v>
      </c>
    </row>
    <row r="1159" spans="1:23" outlineLevel="2" x14ac:dyDescent="0.2">
      <c r="A1159" t="s">
        <v>0</v>
      </c>
      <c r="B1159" t="s">
        <v>1</v>
      </c>
      <c r="C1159" t="s">
        <v>91</v>
      </c>
      <c r="D1159" t="s">
        <v>92</v>
      </c>
      <c r="E1159" t="s">
        <v>93</v>
      </c>
      <c r="F1159" t="s">
        <v>5</v>
      </c>
      <c r="G1159" t="s">
        <v>6</v>
      </c>
      <c r="H1159" t="s">
        <v>35</v>
      </c>
      <c r="I1159" t="s">
        <v>36</v>
      </c>
      <c r="J1159" t="s">
        <v>9</v>
      </c>
      <c r="K1159" t="s">
        <v>366</v>
      </c>
      <c r="L1159" t="s">
        <v>371</v>
      </c>
      <c r="M1159" t="s">
        <v>12</v>
      </c>
      <c r="N1159" s="2">
        <v>0</v>
      </c>
      <c r="O1159" s="2">
        <v>0</v>
      </c>
      <c r="P1159" s="2">
        <v>31567.47</v>
      </c>
      <c r="Q1159" s="2">
        <v>31567.47</v>
      </c>
      <c r="R1159" s="2">
        <v>0</v>
      </c>
      <c r="S1159" s="2">
        <v>14207.86</v>
      </c>
      <c r="T1159" s="2">
        <v>14207.86</v>
      </c>
      <c r="U1159" s="2">
        <v>17359.61</v>
      </c>
      <c r="V1159" s="2">
        <v>17359.61</v>
      </c>
      <c r="W1159" s="2">
        <v>17359.61</v>
      </c>
    </row>
    <row r="1160" spans="1:23" outlineLevel="2" x14ac:dyDescent="0.2">
      <c r="A1160" t="s">
        <v>0</v>
      </c>
      <c r="B1160" t="s">
        <v>1</v>
      </c>
      <c r="C1160" t="s">
        <v>16</v>
      </c>
      <c r="D1160" t="s">
        <v>62</v>
      </c>
      <c r="E1160" t="s">
        <v>63</v>
      </c>
      <c r="F1160" t="s">
        <v>5</v>
      </c>
      <c r="G1160" t="s">
        <v>6</v>
      </c>
      <c r="H1160" t="s">
        <v>35</v>
      </c>
      <c r="I1160" t="s">
        <v>36</v>
      </c>
      <c r="J1160" t="s">
        <v>9</v>
      </c>
      <c r="K1160" t="s">
        <v>366</v>
      </c>
      <c r="L1160" t="s">
        <v>367</v>
      </c>
      <c r="M1160" t="s">
        <v>15</v>
      </c>
      <c r="N1160" s="2">
        <v>11713.53</v>
      </c>
      <c r="O1160" s="2">
        <v>2500</v>
      </c>
      <c r="P1160" s="2">
        <v>-2081.42</v>
      </c>
      <c r="Q1160" s="2">
        <v>12132.11</v>
      </c>
      <c r="R1160" s="2">
        <v>3402.06</v>
      </c>
      <c r="S1160" s="2">
        <v>8730.0499999999993</v>
      </c>
      <c r="T1160" s="2">
        <v>8730.0499999999993</v>
      </c>
      <c r="U1160" s="2">
        <v>3402.06</v>
      </c>
      <c r="V1160" s="2">
        <v>3402.06</v>
      </c>
      <c r="W1160" s="2">
        <v>0</v>
      </c>
    </row>
    <row r="1161" spans="1:23" outlineLevel="2" x14ac:dyDescent="0.2">
      <c r="A1161" t="s">
        <v>0</v>
      </c>
      <c r="B1161" t="s">
        <v>39</v>
      </c>
      <c r="C1161" t="s">
        <v>58</v>
      </c>
      <c r="D1161" t="s">
        <v>147</v>
      </c>
      <c r="E1161" t="s">
        <v>148</v>
      </c>
      <c r="F1161" t="s">
        <v>5</v>
      </c>
      <c r="G1161" t="s">
        <v>6</v>
      </c>
      <c r="H1161" t="s">
        <v>35</v>
      </c>
      <c r="I1161" t="s">
        <v>36</v>
      </c>
      <c r="J1161" t="s">
        <v>9</v>
      </c>
      <c r="K1161" t="s">
        <v>366</v>
      </c>
      <c r="L1161" t="s">
        <v>368</v>
      </c>
      <c r="M1161" t="s">
        <v>12</v>
      </c>
      <c r="N1161" s="2">
        <v>0</v>
      </c>
      <c r="O1161" s="2">
        <v>1900</v>
      </c>
      <c r="P1161" s="2">
        <v>14795.75</v>
      </c>
      <c r="Q1161" s="2">
        <v>16695.75</v>
      </c>
      <c r="R1161" s="2">
        <v>0</v>
      </c>
      <c r="S1161" s="2">
        <v>8332.85</v>
      </c>
      <c r="T1161" s="2">
        <v>8332.85</v>
      </c>
      <c r="U1161" s="2">
        <v>8362.9</v>
      </c>
      <c r="V1161" s="2">
        <v>8362.9</v>
      </c>
      <c r="W1161" s="2">
        <v>8362.9</v>
      </c>
    </row>
    <row r="1162" spans="1:23" outlineLevel="2" x14ac:dyDescent="0.2">
      <c r="A1162" t="s">
        <v>0</v>
      </c>
      <c r="B1162" t="s">
        <v>1</v>
      </c>
      <c r="C1162" t="s">
        <v>16</v>
      </c>
      <c r="D1162" t="s">
        <v>64</v>
      </c>
      <c r="E1162" t="s">
        <v>65</v>
      </c>
      <c r="F1162" t="s">
        <v>5</v>
      </c>
      <c r="G1162" t="s">
        <v>6</v>
      </c>
      <c r="H1162" t="s">
        <v>35</v>
      </c>
      <c r="I1162" t="s">
        <v>36</v>
      </c>
      <c r="J1162" t="s">
        <v>9</v>
      </c>
      <c r="K1162" t="s">
        <v>366</v>
      </c>
      <c r="L1162" t="s">
        <v>367</v>
      </c>
      <c r="M1162" t="s">
        <v>15</v>
      </c>
      <c r="N1162" s="2">
        <v>32506</v>
      </c>
      <c r="O1162" s="2">
        <v>0</v>
      </c>
      <c r="P1162" s="2">
        <v>-25024.66</v>
      </c>
      <c r="Q1162" s="2">
        <v>7481.34</v>
      </c>
      <c r="R1162" s="2">
        <v>674</v>
      </c>
      <c r="S1162" s="2">
        <v>6807.34</v>
      </c>
      <c r="T1162" s="2">
        <v>6807.34</v>
      </c>
      <c r="U1162" s="2">
        <v>674</v>
      </c>
      <c r="V1162" s="2">
        <v>674</v>
      </c>
      <c r="W1162" s="2">
        <v>0</v>
      </c>
    </row>
    <row r="1163" spans="1:23" outlineLevel="2" x14ac:dyDescent="0.2">
      <c r="A1163" t="s">
        <v>0</v>
      </c>
      <c r="B1163" t="s">
        <v>31</v>
      </c>
      <c r="C1163" t="s">
        <v>79</v>
      </c>
      <c r="D1163" t="s">
        <v>113</v>
      </c>
      <c r="E1163" t="s">
        <v>114</v>
      </c>
      <c r="F1163" t="s">
        <v>5</v>
      </c>
      <c r="G1163" t="s">
        <v>6</v>
      </c>
      <c r="H1163" t="s">
        <v>35</v>
      </c>
      <c r="I1163" t="s">
        <v>36</v>
      </c>
      <c r="J1163" t="s">
        <v>9</v>
      </c>
      <c r="K1163" t="s">
        <v>366</v>
      </c>
      <c r="L1163" t="s">
        <v>369</v>
      </c>
      <c r="M1163" t="s">
        <v>15</v>
      </c>
      <c r="N1163" s="2">
        <v>96405.81</v>
      </c>
      <c r="O1163" s="2">
        <v>-625.33000000000004</v>
      </c>
      <c r="P1163" s="2">
        <v>-19640.64</v>
      </c>
      <c r="Q1163" s="2">
        <v>76139.839999999997</v>
      </c>
      <c r="R1163" s="2">
        <v>0</v>
      </c>
      <c r="S1163" s="2">
        <v>76139.839999999997</v>
      </c>
      <c r="T1163" s="2">
        <v>76139.839999999997</v>
      </c>
      <c r="U1163" s="2">
        <v>0</v>
      </c>
      <c r="V1163" s="2">
        <v>0</v>
      </c>
      <c r="W1163" s="2">
        <v>0</v>
      </c>
    </row>
    <row r="1164" spans="1:23" outlineLevel="2" x14ac:dyDescent="0.2">
      <c r="A1164" t="s">
        <v>0</v>
      </c>
      <c r="B1164" t="s">
        <v>31</v>
      </c>
      <c r="C1164" t="s">
        <v>79</v>
      </c>
      <c r="D1164" t="s">
        <v>117</v>
      </c>
      <c r="E1164" t="s">
        <v>118</v>
      </c>
      <c r="F1164" t="s">
        <v>5</v>
      </c>
      <c r="G1164" t="s">
        <v>6</v>
      </c>
      <c r="H1164" t="s">
        <v>35</v>
      </c>
      <c r="I1164" t="s">
        <v>36</v>
      </c>
      <c r="J1164" t="s">
        <v>9</v>
      </c>
      <c r="K1164" t="s">
        <v>366</v>
      </c>
      <c r="L1164" t="s">
        <v>369</v>
      </c>
      <c r="M1164" t="s">
        <v>12</v>
      </c>
      <c r="N1164" s="2">
        <v>0</v>
      </c>
      <c r="O1164" s="2">
        <v>0</v>
      </c>
      <c r="P1164" s="2">
        <v>27787.97</v>
      </c>
      <c r="Q1164" s="2">
        <v>27787.97</v>
      </c>
      <c r="R1164" s="2">
        <v>0</v>
      </c>
      <c r="S1164" s="2">
        <v>13431.41</v>
      </c>
      <c r="T1164" s="2">
        <v>13431.41</v>
      </c>
      <c r="U1164" s="2">
        <v>14356.56</v>
      </c>
      <c r="V1164" s="2">
        <v>14356.56</v>
      </c>
      <c r="W1164" s="2">
        <v>14356.56</v>
      </c>
    </row>
    <row r="1165" spans="1:23" outlineLevel="2" x14ac:dyDescent="0.2">
      <c r="A1165" t="s">
        <v>0</v>
      </c>
      <c r="B1165" t="s">
        <v>53</v>
      </c>
      <c r="C1165" t="s">
        <v>85</v>
      </c>
      <c r="D1165" t="s">
        <v>86</v>
      </c>
      <c r="E1165" t="s">
        <v>87</v>
      </c>
      <c r="F1165" t="s">
        <v>5</v>
      </c>
      <c r="G1165" t="s">
        <v>6</v>
      </c>
      <c r="H1165" t="s">
        <v>35</v>
      </c>
      <c r="I1165" t="s">
        <v>36</v>
      </c>
      <c r="J1165" t="s">
        <v>9</v>
      </c>
      <c r="K1165" t="s">
        <v>366</v>
      </c>
      <c r="L1165" t="s">
        <v>372</v>
      </c>
      <c r="M1165" t="s">
        <v>12</v>
      </c>
      <c r="N1165" s="2">
        <v>0</v>
      </c>
      <c r="O1165" s="2">
        <v>0</v>
      </c>
      <c r="P1165" s="2">
        <v>18906.41</v>
      </c>
      <c r="Q1165" s="2">
        <v>18906.41</v>
      </c>
      <c r="R1165" s="2">
        <v>0</v>
      </c>
      <c r="S1165" s="2">
        <v>963.91</v>
      </c>
      <c r="T1165" s="2">
        <v>963.91</v>
      </c>
      <c r="U1165" s="2">
        <v>17942.5</v>
      </c>
      <c r="V1165" s="2">
        <v>17942.5</v>
      </c>
      <c r="W1165" s="2">
        <v>17942.5</v>
      </c>
    </row>
    <row r="1166" spans="1:23" outlineLevel="2" x14ac:dyDescent="0.2">
      <c r="A1166" t="s">
        <v>0</v>
      </c>
      <c r="B1166" t="s">
        <v>31</v>
      </c>
      <c r="C1166" t="s">
        <v>49</v>
      </c>
      <c r="D1166" t="s">
        <v>50</v>
      </c>
      <c r="E1166" t="s">
        <v>51</v>
      </c>
      <c r="F1166" t="s">
        <v>5</v>
      </c>
      <c r="G1166" t="s">
        <v>6</v>
      </c>
      <c r="H1166" t="s">
        <v>35</v>
      </c>
      <c r="I1166" t="s">
        <v>36</v>
      </c>
      <c r="J1166" t="s">
        <v>9</v>
      </c>
      <c r="K1166" t="s">
        <v>366</v>
      </c>
      <c r="L1166" t="s">
        <v>373</v>
      </c>
      <c r="M1166" t="s">
        <v>12</v>
      </c>
      <c r="N1166" s="2">
        <v>0</v>
      </c>
      <c r="O1166" s="2">
        <v>0</v>
      </c>
      <c r="P1166" s="2">
        <v>26791.91</v>
      </c>
      <c r="Q1166" s="2">
        <v>26791.91</v>
      </c>
      <c r="R1166" s="2">
        <v>0</v>
      </c>
      <c r="S1166" s="2">
        <v>10631.12</v>
      </c>
      <c r="T1166" s="2">
        <v>10631.12</v>
      </c>
      <c r="U1166" s="2">
        <v>16160.79</v>
      </c>
      <c r="V1166" s="2">
        <v>16160.79</v>
      </c>
      <c r="W1166" s="2">
        <v>16160.79</v>
      </c>
    </row>
    <row r="1167" spans="1:23" outlineLevel="2" x14ac:dyDescent="0.2">
      <c r="A1167" t="s">
        <v>0</v>
      </c>
      <c r="B1167" t="s">
        <v>39</v>
      </c>
      <c r="C1167" t="s">
        <v>40</v>
      </c>
      <c r="D1167" t="s">
        <v>41</v>
      </c>
      <c r="E1167" t="s">
        <v>42</v>
      </c>
      <c r="F1167" t="s">
        <v>5</v>
      </c>
      <c r="G1167" t="s">
        <v>6</v>
      </c>
      <c r="H1167" t="s">
        <v>35</v>
      </c>
      <c r="I1167" t="s">
        <v>36</v>
      </c>
      <c r="J1167" t="s">
        <v>9</v>
      </c>
      <c r="K1167" t="s">
        <v>366</v>
      </c>
      <c r="L1167" t="s">
        <v>374</v>
      </c>
      <c r="M1167" t="s">
        <v>12</v>
      </c>
      <c r="N1167" s="2">
        <v>0</v>
      </c>
      <c r="O1167" s="2">
        <v>520</v>
      </c>
      <c r="P1167" s="2">
        <v>15438.17</v>
      </c>
      <c r="Q1167" s="2">
        <v>15958.17</v>
      </c>
      <c r="R1167" s="2">
        <v>0</v>
      </c>
      <c r="S1167" s="2">
        <v>7978.69</v>
      </c>
      <c r="T1167" s="2">
        <v>7978.69</v>
      </c>
      <c r="U1167" s="2">
        <v>7979.48</v>
      </c>
      <c r="V1167" s="2">
        <v>7979.48</v>
      </c>
      <c r="W1167" s="2">
        <v>7979.48</v>
      </c>
    </row>
    <row r="1168" spans="1:23" outlineLevel="2" x14ac:dyDescent="0.2">
      <c r="A1168" t="s">
        <v>0</v>
      </c>
      <c r="B1168" t="s">
        <v>1</v>
      </c>
      <c r="C1168" t="s">
        <v>44</v>
      </c>
      <c r="D1168" t="s">
        <v>45</v>
      </c>
      <c r="E1168" t="s">
        <v>46</v>
      </c>
      <c r="F1168" t="s">
        <v>5</v>
      </c>
      <c r="G1168" t="s">
        <v>6</v>
      </c>
      <c r="H1168" t="s">
        <v>35</v>
      </c>
      <c r="I1168" t="s">
        <v>36</v>
      </c>
      <c r="J1168" t="s">
        <v>9</v>
      </c>
      <c r="K1168" t="s">
        <v>366</v>
      </c>
      <c r="L1168" t="s">
        <v>375</v>
      </c>
      <c r="M1168" t="s">
        <v>12</v>
      </c>
      <c r="N1168" s="2">
        <v>0</v>
      </c>
      <c r="O1168" s="2">
        <v>0</v>
      </c>
      <c r="P1168" s="2">
        <v>8085.77</v>
      </c>
      <c r="Q1168" s="2">
        <v>8085.77</v>
      </c>
      <c r="R1168" s="2">
        <v>0</v>
      </c>
      <c r="S1168" s="2">
        <v>4493.3</v>
      </c>
      <c r="T1168" s="2">
        <v>4493.3</v>
      </c>
      <c r="U1168" s="2">
        <v>3592.47</v>
      </c>
      <c r="V1168" s="2">
        <v>3592.47</v>
      </c>
      <c r="W1168" s="2">
        <v>3592.47</v>
      </c>
    </row>
    <row r="1169" spans="1:23" outlineLevel="2" x14ac:dyDescent="0.2">
      <c r="A1169" t="s">
        <v>0</v>
      </c>
      <c r="B1169" t="s">
        <v>31</v>
      </c>
      <c r="C1169" t="s">
        <v>32</v>
      </c>
      <c r="D1169" t="s">
        <v>141</v>
      </c>
      <c r="E1169" t="s">
        <v>142</v>
      </c>
      <c r="F1169" t="s">
        <v>5</v>
      </c>
      <c r="G1169" t="s">
        <v>6</v>
      </c>
      <c r="H1169" t="s">
        <v>35</v>
      </c>
      <c r="I1169" t="s">
        <v>36</v>
      </c>
      <c r="J1169" t="s">
        <v>9</v>
      </c>
      <c r="K1169" t="s">
        <v>366</v>
      </c>
      <c r="L1169" t="s">
        <v>376</v>
      </c>
      <c r="M1169" t="s">
        <v>12</v>
      </c>
      <c r="N1169" s="2">
        <v>0</v>
      </c>
      <c r="O1169" s="2">
        <v>0</v>
      </c>
      <c r="P1169" s="2">
        <v>34342.07</v>
      </c>
      <c r="Q1169" s="2">
        <v>34342.07</v>
      </c>
      <c r="R1169" s="2">
        <v>0</v>
      </c>
      <c r="S1169" s="2">
        <v>4204.03</v>
      </c>
      <c r="T1169" s="2">
        <v>4204.03</v>
      </c>
      <c r="U1169" s="2">
        <v>30138.04</v>
      </c>
      <c r="V1169" s="2">
        <v>30138.04</v>
      </c>
      <c r="W1169" s="2">
        <v>30138.04</v>
      </c>
    </row>
    <row r="1170" spans="1:23" outlineLevel="2" x14ac:dyDescent="0.2">
      <c r="A1170" t="s">
        <v>0</v>
      </c>
      <c r="B1170" t="s">
        <v>31</v>
      </c>
      <c r="C1170" t="s">
        <v>107</v>
      </c>
      <c r="D1170" t="s">
        <v>108</v>
      </c>
      <c r="E1170" t="s">
        <v>109</v>
      </c>
      <c r="F1170" t="s">
        <v>5</v>
      </c>
      <c r="G1170" t="s">
        <v>6</v>
      </c>
      <c r="H1170" t="s">
        <v>35</v>
      </c>
      <c r="I1170" t="s">
        <v>36</v>
      </c>
      <c r="J1170" t="s">
        <v>9</v>
      </c>
      <c r="K1170" t="s">
        <v>366</v>
      </c>
      <c r="L1170" t="s">
        <v>377</v>
      </c>
      <c r="M1170" t="s">
        <v>12</v>
      </c>
      <c r="N1170" s="2">
        <v>0</v>
      </c>
      <c r="O1170" s="2">
        <v>0</v>
      </c>
      <c r="P1170" s="2">
        <v>34603.449999999997</v>
      </c>
      <c r="Q1170" s="2">
        <v>34603.449999999997</v>
      </c>
      <c r="R1170" s="2">
        <v>0</v>
      </c>
      <c r="S1170" s="2">
        <v>15664.14</v>
      </c>
      <c r="T1170" s="2">
        <v>15664.14</v>
      </c>
      <c r="U1170" s="2">
        <v>18939.310000000001</v>
      </c>
      <c r="V1170" s="2">
        <v>18939.310000000001</v>
      </c>
      <c r="W1170" s="2">
        <v>18939.310000000001</v>
      </c>
    </row>
    <row r="1171" spans="1:23" outlineLevel="2" x14ac:dyDescent="0.2">
      <c r="A1171" t="s">
        <v>0</v>
      </c>
      <c r="B1171" t="s">
        <v>39</v>
      </c>
      <c r="C1171" t="s">
        <v>40</v>
      </c>
      <c r="D1171" t="s">
        <v>77</v>
      </c>
      <c r="E1171" t="s">
        <v>78</v>
      </c>
      <c r="F1171" t="s">
        <v>5</v>
      </c>
      <c r="G1171" t="s">
        <v>6</v>
      </c>
      <c r="H1171" t="s">
        <v>35</v>
      </c>
      <c r="I1171" t="s">
        <v>36</v>
      </c>
      <c r="J1171" t="s">
        <v>9</v>
      </c>
      <c r="K1171" t="s">
        <v>366</v>
      </c>
      <c r="L1171" t="s">
        <v>374</v>
      </c>
      <c r="M1171" t="s">
        <v>12</v>
      </c>
      <c r="N1171" s="2">
        <v>0</v>
      </c>
      <c r="O1171" s="2">
        <v>0</v>
      </c>
      <c r="P1171" s="2">
        <v>375542.73</v>
      </c>
      <c r="Q1171" s="2">
        <v>375542.73</v>
      </c>
      <c r="R1171" s="2">
        <v>0</v>
      </c>
      <c r="S1171" s="2">
        <v>181188.43</v>
      </c>
      <c r="T1171" s="2">
        <v>181132.68</v>
      </c>
      <c r="U1171" s="2">
        <v>194354.3</v>
      </c>
      <c r="V1171" s="2">
        <v>194410.05</v>
      </c>
      <c r="W1171" s="2">
        <v>194354.3</v>
      </c>
    </row>
    <row r="1172" spans="1:23" outlineLevel="2" x14ac:dyDescent="0.2">
      <c r="A1172" t="s">
        <v>0</v>
      </c>
      <c r="B1172" t="s">
        <v>39</v>
      </c>
      <c r="C1172" t="s">
        <v>58</v>
      </c>
      <c r="D1172" t="s">
        <v>105</v>
      </c>
      <c r="E1172" t="s">
        <v>106</v>
      </c>
      <c r="F1172" t="s">
        <v>5</v>
      </c>
      <c r="G1172" t="s">
        <v>6</v>
      </c>
      <c r="H1172" t="s">
        <v>35</v>
      </c>
      <c r="I1172" t="s">
        <v>36</v>
      </c>
      <c r="J1172" t="s">
        <v>9</v>
      </c>
      <c r="K1172" t="s">
        <v>366</v>
      </c>
      <c r="L1172" t="s">
        <v>368</v>
      </c>
      <c r="M1172" t="s">
        <v>12</v>
      </c>
      <c r="N1172" s="2">
        <v>0</v>
      </c>
      <c r="O1172" s="2">
        <v>0</v>
      </c>
      <c r="P1172" s="2">
        <v>6430.21</v>
      </c>
      <c r="Q1172" s="2">
        <v>6430.21</v>
      </c>
      <c r="R1172" s="2">
        <v>0</v>
      </c>
      <c r="S1172" s="2">
        <v>2549.7399999999998</v>
      </c>
      <c r="T1172" s="2">
        <v>2549.7399999999998</v>
      </c>
      <c r="U1172" s="2">
        <v>3880.47</v>
      </c>
      <c r="V1172" s="2">
        <v>3880.47</v>
      </c>
      <c r="W1172" s="2">
        <v>3880.47</v>
      </c>
    </row>
    <row r="1173" spans="1:23" outlineLevel="2" x14ac:dyDescent="0.2">
      <c r="A1173" t="s">
        <v>0</v>
      </c>
      <c r="B1173" t="s">
        <v>39</v>
      </c>
      <c r="C1173" t="s">
        <v>70</v>
      </c>
      <c r="D1173" t="s">
        <v>71</v>
      </c>
      <c r="E1173" t="s">
        <v>72</v>
      </c>
      <c r="F1173" t="s">
        <v>5</v>
      </c>
      <c r="G1173" t="s">
        <v>6</v>
      </c>
      <c r="H1173" t="s">
        <v>35</v>
      </c>
      <c r="I1173" t="s">
        <v>36</v>
      </c>
      <c r="J1173" t="s">
        <v>9</v>
      </c>
      <c r="K1173" t="s">
        <v>366</v>
      </c>
      <c r="L1173" t="s">
        <v>378</v>
      </c>
      <c r="M1173" t="s">
        <v>12</v>
      </c>
      <c r="N1173" s="2">
        <v>0</v>
      </c>
      <c r="O1173" s="2">
        <v>0</v>
      </c>
      <c r="P1173" s="2">
        <v>66826.399999999994</v>
      </c>
      <c r="Q1173" s="2">
        <v>66826.399999999994</v>
      </c>
      <c r="R1173" s="2">
        <v>0</v>
      </c>
      <c r="S1173" s="2">
        <v>10365.379999999999</v>
      </c>
      <c r="T1173" s="2">
        <v>10365.379999999999</v>
      </c>
      <c r="U1173" s="2">
        <v>56461.02</v>
      </c>
      <c r="V1173" s="2">
        <v>56461.02</v>
      </c>
      <c r="W1173" s="2">
        <v>56461.02</v>
      </c>
    </row>
    <row r="1174" spans="1:23" outlineLevel="2" x14ac:dyDescent="0.2">
      <c r="A1174" t="s">
        <v>0</v>
      </c>
      <c r="B1174" t="s">
        <v>1</v>
      </c>
      <c r="C1174" t="s">
        <v>99</v>
      </c>
      <c r="D1174" t="s">
        <v>100</v>
      </c>
      <c r="E1174" t="s">
        <v>101</v>
      </c>
      <c r="F1174" t="s">
        <v>5</v>
      </c>
      <c r="G1174" t="s">
        <v>6</v>
      </c>
      <c r="H1174" t="s">
        <v>35</v>
      </c>
      <c r="I1174" t="s">
        <v>36</v>
      </c>
      <c r="J1174" t="s">
        <v>9</v>
      </c>
      <c r="K1174" t="s">
        <v>366</v>
      </c>
      <c r="L1174" t="s">
        <v>370</v>
      </c>
      <c r="M1174" t="s">
        <v>12</v>
      </c>
      <c r="N1174" s="2">
        <v>0</v>
      </c>
      <c r="O1174" s="2">
        <v>220</v>
      </c>
      <c r="P1174" s="2">
        <v>10116.219999999999</v>
      </c>
      <c r="Q1174" s="2">
        <v>10336.219999999999</v>
      </c>
      <c r="R1174" s="2">
        <v>0</v>
      </c>
      <c r="S1174" s="2">
        <v>5164.4399999999996</v>
      </c>
      <c r="T1174" s="2">
        <v>5164.4399999999996</v>
      </c>
      <c r="U1174" s="2">
        <v>5171.78</v>
      </c>
      <c r="V1174" s="2">
        <v>5171.78</v>
      </c>
      <c r="W1174" s="2">
        <v>5171.78</v>
      </c>
    </row>
    <row r="1175" spans="1:23" outlineLevel="2" x14ac:dyDescent="0.2">
      <c r="A1175" t="s">
        <v>0</v>
      </c>
      <c r="B1175" t="s">
        <v>31</v>
      </c>
      <c r="C1175" t="s">
        <v>79</v>
      </c>
      <c r="D1175" t="s">
        <v>127</v>
      </c>
      <c r="E1175" t="s">
        <v>128</v>
      </c>
      <c r="F1175" t="s">
        <v>5</v>
      </c>
      <c r="G1175" t="s">
        <v>6</v>
      </c>
      <c r="H1175" t="s">
        <v>35</v>
      </c>
      <c r="I1175" t="s">
        <v>36</v>
      </c>
      <c r="J1175" t="s">
        <v>9</v>
      </c>
      <c r="K1175" t="s">
        <v>366</v>
      </c>
      <c r="L1175" t="s">
        <v>369</v>
      </c>
      <c r="M1175" t="s">
        <v>12</v>
      </c>
      <c r="N1175" s="2">
        <v>0</v>
      </c>
      <c r="O1175" s="2">
        <v>817</v>
      </c>
      <c r="P1175" s="2">
        <v>15690.42</v>
      </c>
      <c r="Q1175" s="2">
        <v>16507.419999999998</v>
      </c>
      <c r="R1175" s="2">
        <v>817</v>
      </c>
      <c r="S1175" s="2">
        <v>7785.35</v>
      </c>
      <c r="T1175" s="2">
        <v>7785.35</v>
      </c>
      <c r="U1175" s="2">
        <v>8722.07</v>
      </c>
      <c r="V1175" s="2">
        <v>8722.07</v>
      </c>
      <c r="W1175" s="2">
        <v>7905.07</v>
      </c>
    </row>
    <row r="1176" spans="1:23" outlineLevel="2" x14ac:dyDescent="0.2">
      <c r="A1176" t="s">
        <v>0</v>
      </c>
      <c r="B1176" t="s">
        <v>39</v>
      </c>
      <c r="C1176" t="s">
        <v>95</v>
      </c>
      <c r="D1176" t="s">
        <v>96</v>
      </c>
      <c r="E1176" t="s">
        <v>97</v>
      </c>
      <c r="F1176" t="s">
        <v>5</v>
      </c>
      <c r="G1176" t="s">
        <v>6</v>
      </c>
      <c r="H1176" t="s">
        <v>35</v>
      </c>
      <c r="I1176" t="s">
        <v>36</v>
      </c>
      <c r="J1176" t="s">
        <v>9</v>
      </c>
      <c r="K1176" t="s">
        <v>366</v>
      </c>
      <c r="L1176" t="s">
        <v>379</v>
      </c>
      <c r="M1176" t="s">
        <v>12</v>
      </c>
      <c r="N1176" s="2">
        <v>0</v>
      </c>
      <c r="O1176" s="2">
        <v>0</v>
      </c>
      <c r="P1176" s="2">
        <v>13128.71</v>
      </c>
      <c r="Q1176" s="2">
        <v>13128.71</v>
      </c>
      <c r="R1176" s="2">
        <v>0</v>
      </c>
      <c r="S1176" s="2">
        <v>6503.55</v>
      </c>
      <c r="T1176" s="2">
        <v>6503.55</v>
      </c>
      <c r="U1176" s="2">
        <v>6625.16</v>
      </c>
      <c r="V1176" s="2">
        <v>6625.16</v>
      </c>
      <c r="W1176" s="2">
        <v>6625.16</v>
      </c>
    </row>
    <row r="1177" spans="1:23" outlineLevel="2" x14ac:dyDescent="0.2">
      <c r="A1177" t="s">
        <v>0</v>
      </c>
      <c r="B1177" t="s">
        <v>31</v>
      </c>
      <c r="C1177" t="s">
        <v>79</v>
      </c>
      <c r="D1177" t="s">
        <v>113</v>
      </c>
      <c r="E1177" t="s">
        <v>114</v>
      </c>
      <c r="F1177" t="s">
        <v>5</v>
      </c>
      <c r="G1177" t="s">
        <v>6</v>
      </c>
      <c r="H1177" t="s">
        <v>35</v>
      </c>
      <c r="I1177" t="s">
        <v>36</v>
      </c>
      <c r="J1177" t="s">
        <v>9</v>
      </c>
      <c r="K1177" t="s">
        <v>366</v>
      </c>
      <c r="L1177" t="s">
        <v>369</v>
      </c>
      <c r="M1177" t="s">
        <v>12</v>
      </c>
      <c r="N1177" s="2">
        <v>0</v>
      </c>
      <c r="O1177" s="2">
        <v>1634</v>
      </c>
      <c r="P1177" s="2">
        <v>15913.87</v>
      </c>
      <c r="Q1177" s="2">
        <v>17547.87</v>
      </c>
      <c r="R1177" s="2">
        <v>1634</v>
      </c>
      <c r="S1177" s="2">
        <v>7484.44</v>
      </c>
      <c r="T1177" s="2">
        <v>7484.44</v>
      </c>
      <c r="U1177" s="2">
        <v>10063.43</v>
      </c>
      <c r="V1177" s="2">
        <v>10063.43</v>
      </c>
      <c r="W1177" s="2">
        <v>8429.43</v>
      </c>
    </row>
    <row r="1178" spans="1:23" outlineLevel="2" x14ac:dyDescent="0.2">
      <c r="A1178" t="s">
        <v>0</v>
      </c>
      <c r="B1178" t="s">
        <v>39</v>
      </c>
      <c r="C1178" t="s">
        <v>58</v>
      </c>
      <c r="D1178" t="s">
        <v>105</v>
      </c>
      <c r="E1178" t="s">
        <v>106</v>
      </c>
      <c r="F1178" t="s">
        <v>5</v>
      </c>
      <c r="G1178" t="s">
        <v>6</v>
      </c>
      <c r="H1178" t="s">
        <v>35</v>
      </c>
      <c r="I1178" t="s">
        <v>36</v>
      </c>
      <c r="J1178" t="s">
        <v>9</v>
      </c>
      <c r="K1178" t="s">
        <v>366</v>
      </c>
      <c r="L1178" t="s">
        <v>368</v>
      </c>
      <c r="M1178" t="s">
        <v>15</v>
      </c>
      <c r="N1178" s="2">
        <v>59379</v>
      </c>
      <c r="O1178" s="2">
        <v>306</v>
      </c>
      <c r="P1178" s="2">
        <v>-20478.169999999998</v>
      </c>
      <c r="Q1178" s="2">
        <v>39206.83</v>
      </c>
      <c r="R1178" s="2">
        <v>12594.98</v>
      </c>
      <c r="S1178" s="2">
        <v>26611.85</v>
      </c>
      <c r="T1178" s="2">
        <v>26611.85</v>
      </c>
      <c r="U1178" s="2">
        <v>12594.98</v>
      </c>
      <c r="V1178" s="2">
        <v>12594.98</v>
      </c>
      <c r="W1178" s="2">
        <v>0</v>
      </c>
    </row>
    <row r="1179" spans="1:23" outlineLevel="2" x14ac:dyDescent="0.2">
      <c r="A1179" t="s">
        <v>0</v>
      </c>
      <c r="B1179" t="s">
        <v>39</v>
      </c>
      <c r="C1179" t="s">
        <v>66</v>
      </c>
      <c r="D1179" t="s">
        <v>121</v>
      </c>
      <c r="E1179" t="s">
        <v>122</v>
      </c>
      <c r="F1179" t="s">
        <v>5</v>
      </c>
      <c r="G1179" t="s">
        <v>6</v>
      </c>
      <c r="H1179" t="s">
        <v>35</v>
      </c>
      <c r="I1179" t="s">
        <v>36</v>
      </c>
      <c r="J1179" t="s">
        <v>9</v>
      </c>
      <c r="K1179" t="s">
        <v>366</v>
      </c>
      <c r="L1179" t="s">
        <v>380</v>
      </c>
      <c r="M1179" t="s">
        <v>12</v>
      </c>
      <c r="N1179" s="2">
        <v>0</v>
      </c>
      <c r="O1179" s="2">
        <v>0</v>
      </c>
      <c r="P1179" s="2">
        <v>14233.06</v>
      </c>
      <c r="Q1179" s="2">
        <v>14233.06</v>
      </c>
      <c r="R1179" s="2">
        <v>0</v>
      </c>
      <c r="S1179" s="2">
        <v>6971.84</v>
      </c>
      <c r="T1179" s="2">
        <v>6971.84</v>
      </c>
      <c r="U1179" s="2">
        <v>7261.22</v>
      </c>
      <c r="V1179" s="2">
        <v>7261.22</v>
      </c>
      <c r="W1179" s="2">
        <v>7261.22</v>
      </c>
    </row>
    <row r="1180" spans="1:23" outlineLevel="2" x14ac:dyDescent="0.2">
      <c r="A1180" t="s">
        <v>0</v>
      </c>
      <c r="B1180" t="s">
        <v>31</v>
      </c>
      <c r="C1180" t="s">
        <v>79</v>
      </c>
      <c r="D1180" t="s">
        <v>111</v>
      </c>
      <c r="E1180" t="s">
        <v>112</v>
      </c>
      <c r="F1180" t="s">
        <v>5</v>
      </c>
      <c r="G1180" t="s">
        <v>6</v>
      </c>
      <c r="H1180" t="s">
        <v>35</v>
      </c>
      <c r="I1180" t="s">
        <v>36</v>
      </c>
      <c r="J1180" t="s">
        <v>9</v>
      </c>
      <c r="K1180" t="s">
        <v>366</v>
      </c>
      <c r="L1180" t="s">
        <v>369</v>
      </c>
      <c r="M1180" t="s">
        <v>12</v>
      </c>
      <c r="N1180" s="2">
        <v>0</v>
      </c>
      <c r="O1180" s="2">
        <v>817</v>
      </c>
      <c r="P1180" s="2">
        <v>13067.45</v>
      </c>
      <c r="Q1180" s="2">
        <v>13884.45</v>
      </c>
      <c r="R1180" s="2">
        <v>817</v>
      </c>
      <c r="S1180" s="2">
        <v>6404.31</v>
      </c>
      <c r="T1180" s="2">
        <v>6404.31</v>
      </c>
      <c r="U1180" s="2">
        <v>7480.14</v>
      </c>
      <c r="V1180" s="2">
        <v>7480.14</v>
      </c>
      <c r="W1180" s="2">
        <v>6663.14</v>
      </c>
    </row>
    <row r="1181" spans="1:23" outlineLevel="2" x14ac:dyDescent="0.2">
      <c r="A1181" t="s">
        <v>0</v>
      </c>
      <c r="B1181" t="s">
        <v>39</v>
      </c>
      <c r="C1181" t="s">
        <v>70</v>
      </c>
      <c r="D1181" t="s">
        <v>71</v>
      </c>
      <c r="E1181" t="s">
        <v>72</v>
      </c>
      <c r="F1181" t="s">
        <v>5</v>
      </c>
      <c r="G1181" t="s">
        <v>6</v>
      </c>
      <c r="H1181" t="s">
        <v>35</v>
      </c>
      <c r="I1181" t="s">
        <v>36</v>
      </c>
      <c r="J1181" t="s">
        <v>9</v>
      </c>
      <c r="K1181" t="s">
        <v>366</v>
      </c>
      <c r="L1181" t="s">
        <v>378</v>
      </c>
      <c r="M1181" t="s">
        <v>15</v>
      </c>
      <c r="N1181" s="2">
        <v>285517.53999999998</v>
      </c>
      <c r="O1181" s="2">
        <v>-23246.66</v>
      </c>
      <c r="P1181" s="2">
        <v>-66826.399999999994</v>
      </c>
      <c r="Q1181" s="2">
        <v>195444.48000000001</v>
      </c>
      <c r="R1181" s="2">
        <v>18755.5</v>
      </c>
      <c r="S1181" s="2">
        <v>176688.98</v>
      </c>
      <c r="T1181" s="2">
        <v>176688.98</v>
      </c>
      <c r="U1181" s="2">
        <v>18755.5</v>
      </c>
      <c r="V1181" s="2">
        <v>18755.5</v>
      </c>
      <c r="W1181" s="2">
        <v>0</v>
      </c>
    </row>
    <row r="1182" spans="1:23" outlineLevel="2" x14ac:dyDescent="0.2">
      <c r="A1182" t="s">
        <v>0</v>
      </c>
      <c r="B1182" t="s">
        <v>39</v>
      </c>
      <c r="C1182" t="s">
        <v>66</v>
      </c>
      <c r="D1182" t="s">
        <v>67</v>
      </c>
      <c r="E1182" t="s">
        <v>68</v>
      </c>
      <c r="F1182" t="s">
        <v>5</v>
      </c>
      <c r="G1182" t="s">
        <v>6</v>
      </c>
      <c r="H1182" t="s">
        <v>35</v>
      </c>
      <c r="I1182" t="s">
        <v>36</v>
      </c>
      <c r="J1182" t="s">
        <v>9</v>
      </c>
      <c r="K1182" t="s">
        <v>366</v>
      </c>
      <c r="L1182" t="s">
        <v>380</v>
      </c>
      <c r="M1182" t="s">
        <v>12</v>
      </c>
      <c r="N1182" s="2">
        <v>0</v>
      </c>
      <c r="O1182" s="2">
        <v>0</v>
      </c>
      <c r="P1182" s="2">
        <v>27588.77</v>
      </c>
      <c r="Q1182" s="2">
        <v>27588.77</v>
      </c>
      <c r="R1182" s="2">
        <v>0</v>
      </c>
      <c r="S1182" s="2">
        <v>12704.05</v>
      </c>
      <c r="T1182" s="2">
        <v>12704.05</v>
      </c>
      <c r="U1182" s="2">
        <v>14884.72</v>
      </c>
      <c r="V1182" s="2">
        <v>14884.72</v>
      </c>
      <c r="W1182" s="2">
        <v>14884.72</v>
      </c>
    </row>
    <row r="1183" spans="1:23" outlineLevel="2" x14ac:dyDescent="0.2">
      <c r="A1183" t="s">
        <v>0</v>
      </c>
      <c r="B1183" t="s">
        <v>39</v>
      </c>
      <c r="C1183" t="s">
        <v>58</v>
      </c>
      <c r="D1183" t="s">
        <v>143</v>
      </c>
      <c r="E1183" t="s">
        <v>144</v>
      </c>
      <c r="F1183" t="s">
        <v>5</v>
      </c>
      <c r="G1183" t="s">
        <v>6</v>
      </c>
      <c r="H1183" t="s">
        <v>35</v>
      </c>
      <c r="I1183" t="s">
        <v>36</v>
      </c>
      <c r="J1183" t="s">
        <v>9</v>
      </c>
      <c r="K1183" t="s">
        <v>366</v>
      </c>
      <c r="L1183" t="s">
        <v>368</v>
      </c>
      <c r="M1183" t="s">
        <v>12</v>
      </c>
      <c r="N1183" s="2">
        <v>0</v>
      </c>
      <c r="O1183" s="2">
        <v>2600</v>
      </c>
      <c r="P1183" s="2">
        <v>16081.18</v>
      </c>
      <c r="Q1183" s="2">
        <v>18681.18</v>
      </c>
      <c r="R1183" s="2">
        <v>0</v>
      </c>
      <c r="S1183" s="2">
        <v>9279.6</v>
      </c>
      <c r="T1183" s="2">
        <v>9279.6</v>
      </c>
      <c r="U1183" s="2">
        <v>9401.58</v>
      </c>
      <c r="V1183" s="2">
        <v>9401.58</v>
      </c>
      <c r="W1183" s="2">
        <v>9401.58</v>
      </c>
    </row>
    <row r="1184" spans="1:23" outlineLevel="2" x14ac:dyDescent="0.2">
      <c r="A1184" t="s">
        <v>0</v>
      </c>
      <c r="B1184" t="s">
        <v>31</v>
      </c>
      <c r="C1184" t="s">
        <v>79</v>
      </c>
      <c r="D1184" t="s">
        <v>125</v>
      </c>
      <c r="E1184" t="s">
        <v>126</v>
      </c>
      <c r="F1184" t="s">
        <v>5</v>
      </c>
      <c r="G1184" t="s">
        <v>6</v>
      </c>
      <c r="H1184" t="s">
        <v>35</v>
      </c>
      <c r="I1184" t="s">
        <v>36</v>
      </c>
      <c r="J1184" t="s">
        <v>9</v>
      </c>
      <c r="K1184" t="s">
        <v>366</v>
      </c>
      <c r="L1184" t="s">
        <v>369</v>
      </c>
      <c r="M1184" t="s">
        <v>15</v>
      </c>
      <c r="N1184" s="2">
        <v>77244.3</v>
      </c>
      <c r="O1184" s="2">
        <v>0</v>
      </c>
      <c r="P1184" s="2">
        <v>-17284.259999999998</v>
      </c>
      <c r="Q1184" s="2">
        <v>59960.04</v>
      </c>
      <c r="R1184" s="2">
        <v>0</v>
      </c>
      <c r="S1184" s="2">
        <v>59960.04</v>
      </c>
      <c r="T1184" s="2">
        <v>59960.04</v>
      </c>
      <c r="U1184" s="2">
        <v>0</v>
      </c>
      <c r="V1184" s="2">
        <v>0</v>
      </c>
      <c r="W1184" s="2">
        <v>0</v>
      </c>
    </row>
    <row r="1185" spans="1:23" outlineLevel="2" x14ac:dyDescent="0.2">
      <c r="A1185" t="s">
        <v>0</v>
      </c>
      <c r="B1185" t="s">
        <v>39</v>
      </c>
      <c r="C1185" t="s">
        <v>95</v>
      </c>
      <c r="D1185" t="s">
        <v>96</v>
      </c>
      <c r="E1185" t="s">
        <v>97</v>
      </c>
      <c r="F1185" t="s">
        <v>5</v>
      </c>
      <c r="G1185" t="s">
        <v>6</v>
      </c>
      <c r="H1185" t="s">
        <v>35</v>
      </c>
      <c r="I1185" t="s">
        <v>36</v>
      </c>
      <c r="J1185" t="s">
        <v>9</v>
      </c>
      <c r="K1185" t="s">
        <v>366</v>
      </c>
      <c r="L1185" t="s">
        <v>379</v>
      </c>
      <c r="M1185" t="s">
        <v>15</v>
      </c>
      <c r="N1185" s="2">
        <v>105537.1</v>
      </c>
      <c r="O1185" s="2">
        <v>9</v>
      </c>
      <c r="P1185" s="2">
        <v>-41619.17</v>
      </c>
      <c r="Q1185" s="2">
        <v>63926.93</v>
      </c>
      <c r="R1185" s="2">
        <v>713</v>
      </c>
      <c r="S1185" s="2">
        <v>63213.93</v>
      </c>
      <c r="T1185" s="2">
        <v>63213.93</v>
      </c>
      <c r="U1185" s="2">
        <v>713</v>
      </c>
      <c r="V1185" s="2">
        <v>713</v>
      </c>
      <c r="W1185" s="2">
        <v>0</v>
      </c>
    </row>
    <row r="1186" spans="1:23" outlineLevel="2" x14ac:dyDescent="0.2">
      <c r="A1186" t="s">
        <v>0</v>
      </c>
      <c r="B1186" t="s">
        <v>31</v>
      </c>
      <c r="C1186" t="s">
        <v>32</v>
      </c>
      <c r="D1186" t="s">
        <v>141</v>
      </c>
      <c r="E1186" t="s">
        <v>142</v>
      </c>
      <c r="F1186" t="s">
        <v>5</v>
      </c>
      <c r="G1186" t="s">
        <v>6</v>
      </c>
      <c r="H1186" t="s">
        <v>35</v>
      </c>
      <c r="I1186" t="s">
        <v>36</v>
      </c>
      <c r="J1186" t="s">
        <v>9</v>
      </c>
      <c r="K1186" t="s">
        <v>366</v>
      </c>
      <c r="L1186" t="s">
        <v>376</v>
      </c>
      <c r="M1186" t="s">
        <v>15</v>
      </c>
      <c r="N1186" s="2">
        <v>123336.13</v>
      </c>
      <c r="O1186" s="2">
        <v>-10207.799999999999</v>
      </c>
      <c r="P1186" s="2">
        <v>-34342.07</v>
      </c>
      <c r="Q1186" s="2">
        <v>78786.259999999995</v>
      </c>
      <c r="R1186" s="2">
        <v>33535.480000000003</v>
      </c>
      <c r="S1186" s="2">
        <v>45250.78</v>
      </c>
      <c r="T1186" s="2">
        <v>45250.78</v>
      </c>
      <c r="U1186" s="2">
        <v>33535.480000000003</v>
      </c>
      <c r="V1186" s="2">
        <v>33535.480000000003</v>
      </c>
      <c r="W1186" s="2">
        <v>0</v>
      </c>
    </row>
    <row r="1187" spans="1:23" outlineLevel="2" x14ac:dyDescent="0.2">
      <c r="A1187" t="s">
        <v>0</v>
      </c>
      <c r="B1187" t="s">
        <v>39</v>
      </c>
      <c r="C1187" t="s">
        <v>58</v>
      </c>
      <c r="D1187" t="s">
        <v>139</v>
      </c>
      <c r="E1187" t="s">
        <v>140</v>
      </c>
      <c r="F1187" t="s">
        <v>5</v>
      </c>
      <c r="G1187" t="s">
        <v>6</v>
      </c>
      <c r="H1187" t="s">
        <v>35</v>
      </c>
      <c r="I1187" t="s">
        <v>36</v>
      </c>
      <c r="J1187" t="s">
        <v>9</v>
      </c>
      <c r="K1187" t="s">
        <v>366</v>
      </c>
      <c r="L1187" t="s">
        <v>368</v>
      </c>
      <c r="M1187" t="s">
        <v>12</v>
      </c>
      <c r="N1187" s="2">
        <v>0</v>
      </c>
      <c r="O1187" s="2">
        <v>1000</v>
      </c>
      <c r="P1187" s="2">
        <v>17112.939999999999</v>
      </c>
      <c r="Q1187" s="2">
        <v>18112.939999999999</v>
      </c>
      <c r="R1187" s="2">
        <v>0</v>
      </c>
      <c r="S1187" s="2">
        <v>9040.52</v>
      </c>
      <c r="T1187" s="2">
        <v>9040.52</v>
      </c>
      <c r="U1187" s="2">
        <v>9072.42</v>
      </c>
      <c r="V1187" s="2">
        <v>9072.42</v>
      </c>
      <c r="W1187" s="2">
        <v>9072.42</v>
      </c>
    </row>
    <row r="1188" spans="1:23" outlineLevel="2" x14ac:dyDescent="0.2">
      <c r="A1188" t="s">
        <v>0</v>
      </c>
      <c r="B1188" t="s">
        <v>39</v>
      </c>
      <c r="C1188" t="s">
        <v>58</v>
      </c>
      <c r="D1188" t="s">
        <v>137</v>
      </c>
      <c r="E1188" t="s">
        <v>138</v>
      </c>
      <c r="F1188" t="s">
        <v>5</v>
      </c>
      <c r="G1188" t="s">
        <v>6</v>
      </c>
      <c r="H1188" t="s">
        <v>35</v>
      </c>
      <c r="I1188" t="s">
        <v>36</v>
      </c>
      <c r="J1188" t="s">
        <v>9</v>
      </c>
      <c r="K1188" t="s">
        <v>366</v>
      </c>
      <c r="L1188" t="s">
        <v>368</v>
      </c>
      <c r="M1188" t="s">
        <v>15</v>
      </c>
      <c r="N1188" s="2">
        <v>102972.76</v>
      </c>
      <c r="O1188" s="2">
        <v>0</v>
      </c>
      <c r="P1188" s="2">
        <v>-36365.17</v>
      </c>
      <c r="Q1188" s="2">
        <v>66607.59</v>
      </c>
      <c r="R1188" s="2">
        <v>916</v>
      </c>
      <c r="S1188" s="2">
        <v>65691.59</v>
      </c>
      <c r="T1188" s="2">
        <v>65691.59</v>
      </c>
      <c r="U1188" s="2">
        <v>916</v>
      </c>
      <c r="V1188" s="2">
        <v>916</v>
      </c>
      <c r="W1188" s="2">
        <v>0</v>
      </c>
    </row>
    <row r="1189" spans="1:23" outlineLevel="2" x14ac:dyDescent="0.2">
      <c r="A1189" t="s">
        <v>0</v>
      </c>
      <c r="B1189" t="s">
        <v>31</v>
      </c>
      <c r="C1189" t="s">
        <v>79</v>
      </c>
      <c r="D1189" t="s">
        <v>131</v>
      </c>
      <c r="E1189" t="s">
        <v>132</v>
      </c>
      <c r="F1189" t="s">
        <v>5</v>
      </c>
      <c r="G1189" t="s">
        <v>6</v>
      </c>
      <c r="H1189" t="s">
        <v>35</v>
      </c>
      <c r="I1189" t="s">
        <v>36</v>
      </c>
      <c r="J1189" t="s">
        <v>9</v>
      </c>
      <c r="K1189" t="s">
        <v>366</v>
      </c>
      <c r="L1189" t="s">
        <v>369</v>
      </c>
      <c r="M1189" t="s">
        <v>12</v>
      </c>
      <c r="N1189" s="2">
        <v>0</v>
      </c>
      <c r="O1189" s="2">
        <v>1634</v>
      </c>
      <c r="P1189" s="2">
        <v>24322.75</v>
      </c>
      <c r="Q1189" s="2">
        <v>25956.75</v>
      </c>
      <c r="R1189" s="2">
        <v>1634</v>
      </c>
      <c r="S1189" s="2">
        <v>11667.19</v>
      </c>
      <c r="T1189" s="2">
        <v>11667.19</v>
      </c>
      <c r="U1189" s="2">
        <v>14289.56</v>
      </c>
      <c r="V1189" s="2">
        <v>14289.56</v>
      </c>
      <c r="W1189" s="2">
        <v>12655.56</v>
      </c>
    </row>
    <row r="1190" spans="1:23" outlineLevel="2" x14ac:dyDescent="0.2">
      <c r="A1190" t="s">
        <v>0</v>
      </c>
      <c r="B1190" t="s">
        <v>1</v>
      </c>
      <c r="C1190" t="s">
        <v>16</v>
      </c>
      <c r="D1190" t="s">
        <v>103</v>
      </c>
      <c r="E1190" t="s">
        <v>104</v>
      </c>
      <c r="F1190" t="s">
        <v>5</v>
      </c>
      <c r="G1190" t="s">
        <v>6</v>
      </c>
      <c r="H1190" t="s">
        <v>35</v>
      </c>
      <c r="I1190" t="s">
        <v>36</v>
      </c>
      <c r="J1190" t="s">
        <v>9</v>
      </c>
      <c r="K1190" t="s">
        <v>366</v>
      </c>
      <c r="L1190" t="s">
        <v>367</v>
      </c>
      <c r="M1190" t="s">
        <v>15</v>
      </c>
      <c r="N1190" s="2">
        <v>251329.86</v>
      </c>
      <c r="O1190" s="2">
        <v>1058.2</v>
      </c>
      <c r="P1190" s="2">
        <v>-75106.89</v>
      </c>
      <c r="Q1190" s="2">
        <v>177281.17</v>
      </c>
      <c r="R1190" s="2">
        <v>39328.660000000003</v>
      </c>
      <c r="S1190" s="2">
        <v>137952.51</v>
      </c>
      <c r="T1190" s="2">
        <v>137952.51</v>
      </c>
      <c r="U1190" s="2">
        <v>39328.660000000003</v>
      </c>
      <c r="V1190" s="2">
        <v>39328.660000000003</v>
      </c>
      <c r="W1190" s="2">
        <v>0</v>
      </c>
    </row>
    <row r="1191" spans="1:23" outlineLevel="2" x14ac:dyDescent="0.2">
      <c r="A1191" t="s">
        <v>0</v>
      </c>
      <c r="B1191" t="s">
        <v>39</v>
      </c>
      <c r="C1191" t="s">
        <v>58</v>
      </c>
      <c r="D1191" t="s">
        <v>149</v>
      </c>
      <c r="E1191" t="s">
        <v>150</v>
      </c>
      <c r="F1191" t="s">
        <v>5</v>
      </c>
      <c r="G1191" t="s">
        <v>6</v>
      </c>
      <c r="H1191" t="s">
        <v>35</v>
      </c>
      <c r="I1191" t="s">
        <v>36</v>
      </c>
      <c r="J1191" t="s">
        <v>9</v>
      </c>
      <c r="K1191" t="s">
        <v>366</v>
      </c>
      <c r="L1191" t="s">
        <v>368</v>
      </c>
      <c r="M1191" t="s">
        <v>12</v>
      </c>
      <c r="N1191" s="2">
        <v>0</v>
      </c>
      <c r="O1191" s="2">
        <v>980</v>
      </c>
      <c r="P1191" s="2">
        <v>21031.27</v>
      </c>
      <c r="Q1191" s="2">
        <v>22011.27</v>
      </c>
      <c r="R1191" s="2">
        <v>0</v>
      </c>
      <c r="S1191" s="2">
        <v>11000.72</v>
      </c>
      <c r="T1191" s="2">
        <v>11000.72</v>
      </c>
      <c r="U1191" s="2">
        <v>11010.55</v>
      </c>
      <c r="V1191" s="2">
        <v>11010.55</v>
      </c>
      <c r="W1191" s="2">
        <v>11010.55</v>
      </c>
    </row>
    <row r="1192" spans="1:23" outlineLevel="2" x14ac:dyDescent="0.2">
      <c r="A1192" t="s">
        <v>0</v>
      </c>
      <c r="B1192" t="s">
        <v>31</v>
      </c>
      <c r="C1192" t="s">
        <v>49</v>
      </c>
      <c r="D1192" t="s">
        <v>50</v>
      </c>
      <c r="E1192" t="s">
        <v>51</v>
      </c>
      <c r="F1192" t="s">
        <v>5</v>
      </c>
      <c r="G1192" t="s">
        <v>6</v>
      </c>
      <c r="H1192" t="s">
        <v>35</v>
      </c>
      <c r="I1192" t="s">
        <v>36</v>
      </c>
      <c r="J1192" t="s">
        <v>9</v>
      </c>
      <c r="K1192" t="s">
        <v>366</v>
      </c>
      <c r="L1192" t="s">
        <v>373</v>
      </c>
      <c r="M1192" t="s">
        <v>15</v>
      </c>
      <c r="N1192" s="2">
        <v>59289</v>
      </c>
      <c r="O1192" s="2">
        <v>22913</v>
      </c>
      <c r="P1192" s="2">
        <v>-39153.120000000003</v>
      </c>
      <c r="Q1192" s="2">
        <v>43048.88</v>
      </c>
      <c r="R1192" s="2">
        <v>4457.24</v>
      </c>
      <c r="S1192" s="2">
        <v>38591.64</v>
      </c>
      <c r="T1192" s="2">
        <v>38591.64</v>
      </c>
      <c r="U1192" s="2">
        <v>4457.24</v>
      </c>
      <c r="V1192" s="2">
        <v>4457.24</v>
      </c>
      <c r="W1192" s="2">
        <v>0</v>
      </c>
    </row>
    <row r="1193" spans="1:23" outlineLevel="2" x14ac:dyDescent="0.2">
      <c r="A1193" t="s">
        <v>0</v>
      </c>
      <c r="B1193" t="s">
        <v>1</v>
      </c>
      <c r="C1193" t="s">
        <v>44</v>
      </c>
      <c r="D1193" t="s">
        <v>45</v>
      </c>
      <c r="E1193" t="s">
        <v>46</v>
      </c>
      <c r="F1193" t="s">
        <v>5</v>
      </c>
      <c r="G1193" t="s">
        <v>6</v>
      </c>
      <c r="H1193" t="s">
        <v>35</v>
      </c>
      <c r="I1193" t="s">
        <v>36</v>
      </c>
      <c r="J1193" t="s">
        <v>9</v>
      </c>
      <c r="K1193" t="s">
        <v>366</v>
      </c>
      <c r="L1193" t="s">
        <v>375</v>
      </c>
      <c r="M1193" t="s">
        <v>15</v>
      </c>
      <c r="N1193" s="2">
        <v>72096.03</v>
      </c>
      <c r="O1193" s="2">
        <v>6707.27</v>
      </c>
      <c r="P1193" s="2">
        <v>-23597.64</v>
      </c>
      <c r="Q1193" s="2">
        <v>55205.66</v>
      </c>
      <c r="R1193" s="2">
        <v>9366.93</v>
      </c>
      <c r="S1193" s="2">
        <v>45838.73</v>
      </c>
      <c r="T1193" s="2">
        <v>45838.73</v>
      </c>
      <c r="U1193" s="2">
        <v>9366.93</v>
      </c>
      <c r="V1193" s="2">
        <v>9366.93</v>
      </c>
      <c r="W1193" s="2">
        <v>0</v>
      </c>
    </row>
    <row r="1194" spans="1:23" outlineLevel="2" x14ac:dyDescent="0.2">
      <c r="A1194" t="s">
        <v>0</v>
      </c>
      <c r="B1194" t="s">
        <v>39</v>
      </c>
      <c r="C1194" t="s">
        <v>66</v>
      </c>
      <c r="D1194" t="s">
        <v>67</v>
      </c>
      <c r="E1194" t="s">
        <v>68</v>
      </c>
      <c r="F1194" t="s">
        <v>5</v>
      </c>
      <c r="G1194" t="s">
        <v>6</v>
      </c>
      <c r="H1194" t="s">
        <v>35</v>
      </c>
      <c r="I1194" t="s">
        <v>36</v>
      </c>
      <c r="J1194" t="s">
        <v>9</v>
      </c>
      <c r="K1194" t="s">
        <v>366</v>
      </c>
      <c r="L1194" t="s">
        <v>380</v>
      </c>
      <c r="M1194" t="s">
        <v>15</v>
      </c>
      <c r="N1194" s="2">
        <v>182536</v>
      </c>
      <c r="O1194" s="2">
        <v>-5236</v>
      </c>
      <c r="P1194" s="2">
        <v>-53973.75</v>
      </c>
      <c r="Q1194" s="2">
        <v>123326.25</v>
      </c>
      <c r="R1194" s="2">
        <v>979.37</v>
      </c>
      <c r="S1194" s="2">
        <v>122346.88</v>
      </c>
      <c r="T1194" s="2">
        <v>122346.88</v>
      </c>
      <c r="U1194" s="2">
        <v>979.37</v>
      </c>
      <c r="V1194" s="2">
        <v>979.37</v>
      </c>
      <c r="W1194" s="2">
        <v>0</v>
      </c>
    </row>
    <row r="1195" spans="1:23" outlineLevel="2" x14ac:dyDescent="0.2">
      <c r="A1195" t="s">
        <v>0</v>
      </c>
      <c r="B1195" t="s">
        <v>39</v>
      </c>
      <c r="C1195" t="s">
        <v>58</v>
      </c>
      <c r="D1195" t="s">
        <v>139</v>
      </c>
      <c r="E1195" t="s">
        <v>140</v>
      </c>
      <c r="F1195" t="s">
        <v>5</v>
      </c>
      <c r="G1195" t="s">
        <v>6</v>
      </c>
      <c r="H1195" t="s">
        <v>35</v>
      </c>
      <c r="I1195" t="s">
        <v>36</v>
      </c>
      <c r="J1195" t="s">
        <v>9</v>
      </c>
      <c r="K1195" t="s">
        <v>366</v>
      </c>
      <c r="L1195" t="s">
        <v>368</v>
      </c>
      <c r="M1195" t="s">
        <v>15</v>
      </c>
      <c r="N1195" s="2">
        <v>124295.27</v>
      </c>
      <c r="O1195" s="2">
        <v>0</v>
      </c>
      <c r="P1195" s="2">
        <v>-34240.410000000003</v>
      </c>
      <c r="Q1195" s="2">
        <v>90054.86</v>
      </c>
      <c r="R1195" s="2">
        <v>888.75</v>
      </c>
      <c r="S1195" s="2">
        <v>89166.11</v>
      </c>
      <c r="T1195" s="2">
        <v>89166.11</v>
      </c>
      <c r="U1195" s="2">
        <v>888.75</v>
      </c>
      <c r="V1195" s="2">
        <v>888.75</v>
      </c>
      <c r="W1195" s="2">
        <v>0</v>
      </c>
    </row>
    <row r="1196" spans="1:23" outlineLevel="2" x14ac:dyDescent="0.2">
      <c r="A1196" t="s">
        <v>0</v>
      </c>
      <c r="B1196" t="s">
        <v>53</v>
      </c>
      <c r="C1196" t="s">
        <v>54</v>
      </c>
      <c r="D1196" t="s">
        <v>55</v>
      </c>
      <c r="E1196" t="s">
        <v>56</v>
      </c>
      <c r="F1196" t="s">
        <v>5</v>
      </c>
      <c r="G1196" t="s">
        <v>6</v>
      </c>
      <c r="H1196" t="s">
        <v>35</v>
      </c>
      <c r="I1196" t="s">
        <v>36</v>
      </c>
      <c r="J1196" t="s">
        <v>9</v>
      </c>
      <c r="K1196" t="s">
        <v>366</v>
      </c>
      <c r="L1196" t="s">
        <v>381</v>
      </c>
      <c r="M1196" t="s">
        <v>12</v>
      </c>
      <c r="N1196" s="2">
        <v>0</v>
      </c>
      <c r="O1196" s="2">
        <v>0</v>
      </c>
      <c r="P1196" s="2">
        <v>25851.21</v>
      </c>
      <c r="Q1196" s="2">
        <v>25851.21</v>
      </c>
      <c r="R1196" s="2">
        <v>0</v>
      </c>
      <c r="S1196" s="2">
        <v>7199.88</v>
      </c>
      <c r="T1196" s="2">
        <v>7199.88</v>
      </c>
      <c r="U1196" s="2">
        <v>18651.330000000002</v>
      </c>
      <c r="V1196" s="2">
        <v>18651.330000000002</v>
      </c>
      <c r="W1196" s="2">
        <v>18651.330000000002</v>
      </c>
    </row>
    <row r="1197" spans="1:23" outlineLevel="2" x14ac:dyDescent="0.2">
      <c r="A1197" t="s">
        <v>0</v>
      </c>
      <c r="B1197" t="s">
        <v>39</v>
      </c>
      <c r="C1197" t="s">
        <v>58</v>
      </c>
      <c r="D1197" t="s">
        <v>59</v>
      </c>
      <c r="E1197" t="s">
        <v>60</v>
      </c>
      <c r="F1197" t="s">
        <v>5</v>
      </c>
      <c r="G1197" t="s">
        <v>6</v>
      </c>
      <c r="H1197" t="s">
        <v>35</v>
      </c>
      <c r="I1197" t="s">
        <v>36</v>
      </c>
      <c r="J1197" t="s">
        <v>9</v>
      </c>
      <c r="K1197" t="s">
        <v>366</v>
      </c>
      <c r="L1197" t="s">
        <v>368</v>
      </c>
      <c r="M1197" t="s">
        <v>15</v>
      </c>
      <c r="N1197" s="2">
        <v>75757.5</v>
      </c>
      <c r="O1197" s="2">
        <v>-153</v>
      </c>
      <c r="P1197" s="2">
        <v>-29115.01</v>
      </c>
      <c r="Q1197" s="2">
        <v>46489.49</v>
      </c>
      <c r="R1197" s="2">
        <v>549.34</v>
      </c>
      <c r="S1197" s="2">
        <v>45940.15</v>
      </c>
      <c r="T1197" s="2">
        <v>45940.15</v>
      </c>
      <c r="U1197" s="2">
        <v>549.34</v>
      </c>
      <c r="V1197" s="2">
        <v>549.34</v>
      </c>
      <c r="W1197" s="2">
        <v>0</v>
      </c>
    </row>
    <row r="1198" spans="1:23" outlineLevel="2" x14ac:dyDescent="0.2">
      <c r="A1198" t="s">
        <v>0</v>
      </c>
      <c r="B1198" t="s">
        <v>1</v>
      </c>
      <c r="C1198" t="s">
        <v>2</v>
      </c>
      <c r="D1198" t="s">
        <v>20</v>
      </c>
      <c r="E1198" t="s">
        <v>21</v>
      </c>
      <c r="F1198" t="s">
        <v>5</v>
      </c>
      <c r="G1198" t="s">
        <v>6</v>
      </c>
      <c r="H1198" t="s">
        <v>35</v>
      </c>
      <c r="I1198" t="s">
        <v>36</v>
      </c>
      <c r="J1198" t="s">
        <v>9</v>
      </c>
      <c r="K1198" t="s">
        <v>366</v>
      </c>
      <c r="L1198" t="s">
        <v>382</v>
      </c>
      <c r="M1198" t="s">
        <v>15</v>
      </c>
      <c r="N1198" s="2">
        <v>877696.24</v>
      </c>
      <c r="O1198" s="2">
        <v>6908.08</v>
      </c>
      <c r="P1198" s="2">
        <v>-253134.41</v>
      </c>
      <c r="Q1198" s="2">
        <v>631469.91</v>
      </c>
      <c r="R1198" s="2">
        <v>67902.27</v>
      </c>
      <c r="S1198" s="2">
        <v>563567.64</v>
      </c>
      <c r="T1198" s="2">
        <v>563567.64</v>
      </c>
      <c r="U1198" s="2">
        <v>67902.27</v>
      </c>
      <c r="V1198" s="2">
        <v>67902.27</v>
      </c>
      <c r="W1198" s="2">
        <v>0</v>
      </c>
    </row>
    <row r="1199" spans="1:23" outlineLevel="2" x14ac:dyDescent="0.2">
      <c r="A1199" t="s">
        <v>0</v>
      </c>
      <c r="B1199" t="s">
        <v>31</v>
      </c>
      <c r="C1199" t="s">
        <v>79</v>
      </c>
      <c r="D1199" t="s">
        <v>127</v>
      </c>
      <c r="E1199" t="s">
        <v>128</v>
      </c>
      <c r="F1199" t="s">
        <v>5</v>
      </c>
      <c r="G1199" t="s">
        <v>6</v>
      </c>
      <c r="H1199" t="s">
        <v>35</v>
      </c>
      <c r="I1199" t="s">
        <v>36</v>
      </c>
      <c r="J1199" t="s">
        <v>9</v>
      </c>
      <c r="K1199" t="s">
        <v>366</v>
      </c>
      <c r="L1199" t="s">
        <v>369</v>
      </c>
      <c r="M1199" t="s">
        <v>15</v>
      </c>
      <c r="N1199" s="2">
        <v>99866.14</v>
      </c>
      <c r="O1199" s="2">
        <v>-790.98</v>
      </c>
      <c r="P1199" s="2">
        <v>-20926.18</v>
      </c>
      <c r="Q1199" s="2">
        <v>78148.98</v>
      </c>
      <c r="R1199" s="2">
        <v>0</v>
      </c>
      <c r="S1199" s="2">
        <v>78148.98</v>
      </c>
      <c r="T1199" s="2">
        <v>78148.98</v>
      </c>
      <c r="U1199" s="2">
        <v>0</v>
      </c>
      <c r="V1199" s="2">
        <v>0</v>
      </c>
      <c r="W1199" s="2">
        <v>0</v>
      </c>
    </row>
    <row r="1200" spans="1:23" outlineLevel="2" x14ac:dyDescent="0.2">
      <c r="A1200" t="s">
        <v>0</v>
      </c>
      <c r="B1200" t="s">
        <v>31</v>
      </c>
      <c r="C1200" t="s">
        <v>32</v>
      </c>
      <c r="D1200" t="s">
        <v>75</v>
      </c>
      <c r="E1200" t="s">
        <v>76</v>
      </c>
      <c r="F1200" t="s">
        <v>5</v>
      </c>
      <c r="G1200" t="s">
        <v>6</v>
      </c>
      <c r="H1200" t="s">
        <v>35</v>
      </c>
      <c r="I1200" t="s">
        <v>36</v>
      </c>
      <c r="J1200" t="s">
        <v>9</v>
      </c>
      <c r="K1200" t="s">
        <v>366</v>
      </c>
      <c r="L1200" t="s">
        <v>376</v>
      </c>
      <c r="M1200" t="s">
        <v>12</v>
      </c>
      <c r="N1200" s="2">
        <v>0</v>
      </c>
      <c r="O1200" s="2">
        <v>0</v>
      </c>
      <c r="P1200" s="2">
        <v>41867.64</v>
      </c>
      <c r="Q1200" s="2">
        <v>41867.64</v>
      </c>
      <c r="R1200" s="2">
        <v>0</v>
      </c>
      <c r="S1200" s="2">
        <v>11475.89</v>
      </c>
      <c r="T1200" s="2">
        <v>11475.89</v>
      </c>
      <c r="U1200" s="2">
        <v>30391.75</v>
      </c>
      <c r="V1200" s="2">
        <v>30391.75</v>
      </c>
      <c r="W1200" s="2">
        <v>30391.75</v>
      </c>
    </row>
    <row r="1201" spans="1:23" outlineLevel="2" x14ac:dyDescent="0.2">
      <c r="A1201" t="s">
        <v>0</v>
      </c>
      <c r="B1201" t="s">
        <v>31</v>
      </c>
      <c r="C1201" t="s">
        <v>79</v>
      </c>
      <c r="D1201" t="s">
        <v>133</v>
      </c>
      <c r="E1201" t="s">
        <v>134</v>
      </c>
      <c r="F1201" t="s">
        <v>5</v>
      </c>
      <c r="G1201" t="s">
        <v>6</v>
      </c>
      <c r="H1201" t="s">
        <v>35</v>
      </c>
      <c r="I1201" t="s">
        <v>36</v>
      </c>
      <c r="J1201" t="s">
        <v>9</v>
      </c>
      <c r="K1201" t="s">
        <v>366</v>
      </c>
      <c r="L1201" t="s">
        <v>369</v>
      </c>
      <c r="M1201" t="s">
        <v>15</v>
      </c>
      <c r="N1201" s="2">
        <v>108972.66</v>
      </c>
      <c r="O1201" s="2">
        <v>-800.78</v>
      </c>
      <c r="P1201" s="2">
        <v>-23076.15</v>
      </c>
      <c r="Q1201" s="2">
        <v>85095.73</v>
      </c>
      <c r="R1201" s="2">
        <v>0</v>
      </c>
      <c r="S1201" s="2">
        <v>85095.73</v>
      </c>
      <c r="T1201" s="2">
        <v>85095.73</v>
      </c>
      <c r="U1201" s="2">
        <v>0</v>
      </c>
      <c r="V1201" s="2">
        <v>0</v>
      </c>
      <c r="W1201" s="2">
        <v>0</v>
      </c>
    </row>
    <row r="1202" spans="1:23" outlineLevel="2" x14ac:dyDescent="0.2">
      <c r="A1202" t="s">
        <v>0</v>
      </c>
      <c r="B1202" t="s">
        <v>31</v>
      </c>
      <c r="C1202" t="s">
        <v>32</v>
      </c>
      <c r="D1202" t="s">
        <v>123</v>
      </c>
      <c r="E1202" t="s">
        <v>124</v>
      </c>
      <c r="F1202" t="s">
        <v>5</v>
      </c>
      <c r="G1202" t="s">
        <v>6</v>
      </c>
      <c r="H1202" t="s">
        <v>35</v>
      </c>
      <c r="I1202" t="s">
        <v>36</v>
      </c>
      <c r="J1202" t="s">
        <v>9</v>
      </c>
      <c r="K1202" t="s">
        <v>366</v>
      </c>
      <c r="L1202" t="s">
        <v>376</v>
      </c>
      <c r="M1202" t="s">
        <v>15</v>
      </c>
      <c r="N1202" s="2">
        <v>239114.25</v>
      </c>
      <c r="O1202" s="2">
        <v>-114117.29</v>
      </c>
      <c r="P1202" s="2">
        <v>-1135.79</v>
      </c>
      <c r="Q1202" s="2">
        <v>123861.17</v>
      </c>
      <c r="R1202" s="2">
        <v>17001.7</v>
      </c>
      <c r="S1202" s="2">
        <v>106859.47</v>
      </c>
      <c r="T1202" s="2">
        <v>106859.47</v>
      </c>
      <c r="U1202" s="2">
        <v>17001.7</v>
      </c>
      <c r="V1202" s="2">
        <v>17001.7</v>
      </c>
      <c r="W1202" s="2">
        <v>0</v>
      </c>
    </row>
    <row r="1203" spans="1:23" outlineLevel="2" x14ac:dyDescent="0.2">
      <c r="A1203" t="s">
        <v>0</v>
      </c>
      <c r="B1203" t="s">
        <v>31</v>
      </c>
      <c r="C1203" t="s">
        <v>32</v>
      </c>
      <c r="D1203" t="s">
        <v>123</v>
      </c>
      <c r="E1203" t="s">
        <v>124</v>
      </c>
      <c r="F1203" t="s">
        <v>5</v>
      </c>
      <c r="G1203" t="s">
        <v>6</v>
      </c>
      <c r="H1203" t="s">
        <v>35</v>
      </c>
      <c r="I1203" t="s">
        <v>36</v>
      </c>
      <c r="J1203" t="s">
        <v>9</v>
      </c>
      <c r="K1203" t="s">
        <v>366</v>
      </c>
      <c r="L1203" t="s">
        <v>376</v>
      </c>
      <c r="M1203" t="s">
        <v>12</v>
      </c>
      <c r="N1203" s="2">
        <v>0</v>
      </c>
      <c r="O1203" s="2">
        <v>16400</v>
      </c>
      <c r="P1203" s="2">
        <v>1135.79</v>
      </c>
      <c r="Q1203" s="2">
        <v>17535.79</v>
      </c>
      <c r="R1203" s="2">
        <v>0</v>
      </c>
      <c r="S1203" s="2">
        <v>8750.94</v>
      </c>
      <c r="T1203" s="2">
        <v>8750.94</v>
      </c>
      <c r="U1203" s="2">
        <v>8784.85</v>
      </c>
      <c r="V1203" s="2">
        <v>8784.85</v>
      </c>
      <c r="W1203" s="2">
        <v>8784.85</v>
      </c>
    </row>
    <row r="1204" spans="1:23" outlineLevel="2" x14ac:dyDescent="0.2">
      <c r="A1204" t="s">
        <v>0</v>
      </c>
      <c r="B1204" t="s">
        <v>39</v>
      </c>
      <c r="C1204" t="s">
        <v>40</v>
      </c>
      <c r="D1204" t="s">
        <v>77</v>
      </c>
      <c r="E1204" t="s">
        <v>78</v>
      </c>
      <c r="F1204" t="s">
        <v>5</v>
      </c>
      <c r="G1204" t="s">
        <v>6</v>
      </c>
      <c r="H1204" t="s">
        <v>35</v>
      </c>
      <c r="I1204" t="s">
        <v>36</v>
      </c>
      <c r="J1204" t="s">
        <v>9</v>
      </c>
      <c r="K1204" t="s">
        <v>366</v>
      </c>
      <c r="L1204" t="s">
        <v>374</v>
      </c>
      <c r="M1204" t="s">
        <v>15</v>
      </c>
      <c r="N1204" s="2">
        <v>2342671.66</v>
      </c>
      <c r="O1204" s="2">
        <v>649.13</v>
      </c>
      <c r="P1204" s="2">
        <v>-533088.28</v>
      </c>
      <c r="Q1204" s="2">
        <v>1810232.51</v>
      </c>
      <c r="R1204" s="2">
        <v>13316.38</v>
      </c>
      <c r="S1204" s="2">
        <v>1796916.13</v>
      </c>
      <c r="T1204" s="2">
        <v>1796916.13</v>
      </c>
      <c r="U1204" s="2">
        <v>13316.38</v>
      </c>
      <c r="V1204" s="2">
        <v>13316.38</v>
      </c>
      <c r="W1204" s="2">
        <v>0</v>
      </c>
    </row>
    <row r="1205" spans="1:23" outlineLevel="2" x14ac:dyDescent="0.2">
      <c r="A1205" t="s">
        <v>0</v>
      </c>
      <c r="B1205" t="s">
        <v>1</v>
      </c>
      <c r="C1205" t="s">
        <v>2</v>
      </c>
      <c r="D1205" t="s">
        <v>3</v>
      </c>
      <c r="E1205" t="s">
        <v>4</v>
      </c>
      <c r="F1205" t="s">
        <v>5</v>
      </c>
      <c r="G1205" t="s">
        <v>6</v>
      </c>
      <c r="H1205" t="s">
        <v>35</v>
      </c>
      <c r="I1205" t="s">
        <v>36</v>
      </c>
      <c r="J1205" t="s">
        <v>9</v>
      </c>
      <c r="K1205" t="s">
        <v>366</v>
      </c>
      <c r="L1205" t="s">
        <v>382</v>
      </c>
      <c r="M1205" t="s">
        <v>15</v>
      </c>
      <c r="N1205" s="2">
        <v>293188.53000000003</v>
      </c>
      <c r="O1205" s="2">
        <v>-841.16</v>
      </c>
      <c r="P1205" s="2">
        <v>-70790.399999999994</v>
      </c>
      <c r="Q1205" s="2">
        <v>221556.97</v>
      </c>
      <c r="R1205" s="2">
        <v>11862.12</v>
      </c>
      <c r="S1205" s="2">
        <v>209694.85</v>
      </c>
      <c r="T1205" s="2">
        <v>209694.85</v>
      </c>
      <c r="U1205" s="2">
        <v>11862.12</v>
      </c>
      <c r="V1205" s="2">
        <v>11862.12</v>
      </c>
      <c r="W1205" s="2">
        <v>0</v>
      </c>
    </row>
    <row r="1206" spans="1:23" outlineLevel="2" x14ac:dyDescent="0.2">
      <c r="A1206" t="s">
        <v>0</v>
      </c>
      <c r="B1206" t="s">
        <v>39</v>
      </c>
      <c r="C1206" t="s">
        <v>58</v>
      </c>
      <c r="D1206" t="s">
        <v>145</v>
      </c>
      <c r="E1206" t="s">
        <v>146</v>
      </c>
      <c r="F1206" t="s">
        <v>5</v>
      </c>
      <c r="G1206" t="s">
        <v>6</v>
      </c>
      <c r="H1206" t="s">
        <v>35</v>
      </c>
      <c r="I1206" t="s">
        <v>36</v>
      </c>
      <c r="J1206" t="s">
        <v>9</v>
      </c>
      <c r="K1206" t="s">
        <v>366</v>
      </c>
      <c r="L1206" t="s">
        <v>368</v>
      </c>
      <c r="M1206" t="s">
        <v>15</v>
      </c>
      <c r="N1206" s="2">
        <v>91576.9</v>
      </c>
      <c r="O1206" s="2">
        <v>838.33</v>
      </c>
      <c r="P1206" s="2">
        <v>-32141.61</v>
      </c>
      <c r="Q1206" s="2">
        <v>60273.62</v>
      </c>
      <c r="R1206" s="2">
        <v>0</v>
      </c>
      <c r="S1206" s="2">
        <v>60273.62</v>
      </c>
      <c r="T1206" s="2">
        <v>60273.62</v>
      </c>
      <c r="U1206" s="2">
        <v>0</v>
      </c>
      <c r="V1206" s="2">
        <v>0</v>
      </c>
      <c r="W1206" s="2">
        <v>0</v>
      </c>
    </row>
    <row r="1207" spans="1:23" outlineLevel="2" x14ac:dyDescent="0.2">
      <c r="A1207" t="s">
        <v>0</v>
      </c>
      <c r="B1207" t="s">
        <v>31</v>
      </c>
      <c r="C1207" t="s">
        <v>79</v>
      </c>
      <c r="D1207" t="s">
        <v>115</v>
      </c>
      <c r="E1207" t="s">
        <v>116</v>
      </c>
      <c r="F1207" t="s">
        <v>5</v>
      </c>
      <c r="G1207" t="s">
        <v>6</v>
      </c>
      <c r="H1207" t="s">
        <v>35</v>
      </c>
      <c r="I1207" t="s">
        <v>36</v>
      </c>
      <c r="J1207" t="s">
        <v>9</v>
      </c>
      <c r="K1207" t="s">
        <v>366</v>
      </c>
      <c r="L1207" t="s">
        <v>369</v>
      </c>
      <c r="M1207" t="s">
        <v>12</v>
      </c>
      <c r="N1207" s="2">
        <v>0</v>
      </c>
      <c r="O1207" s="2">
        <v>1634</v>
      </c>
      <c r="P1207" s="2">
        <v>11288.99</v>
      </c>
      <c r="Q1207" s="2">
        <v>12922.99</v>
      </c>
      <c r="R1207" s="2">
        <v>1634</v>
      </c>
      <c r="S1207" s="2">
        <v>5034.87</v>
      </c>
      <c r="T1207" s="2">
        <v>5034.87</v>
      </c>
      <c r="U1207" s="2">
        <v>7888.12</v>
      </c>
      <c r="V1207" s="2">
        <v>7888.12</v>
      </c>
      <c r="W1207" s="2">
        <v>6254.12</v>
      </c>
    </row>
    <row r="1208" spans="1:23" outlineLevel="2" x14ac:dyDescent="0.2">
      <c r="A1208" t="s">
        <v>0</v>
      </c>
      <c r="B1208" t="s">
        <v>39</v>
      </c>
      <c r="C1208" t="s">
        <v>58</v>
      </c>
      <c r="D1208" t="s">
        <v>119</v>
      </c>
      <c r="E1208" t="s">
        <v>120</v>
      </c>
      <c r="F1208" t="s">
        <v>5</v>
      </c>
      <c r="G1208" t="s">
        <v>6</v>
      </c>
      <c r="H1208" t="s">
        <v>35</v>
      </c>
      <c r="I1208" t="s">
        <v>36</v>
      </c>
      <c r="J1208" t="s">
        <v>9</v>
      </c>
      <c r="K1208" t="s">
        <v>366</v>
      </c>
      <c r="L1208" t="s">
        <v>368</v>
      </c>
      <c r="M1208" t="s">
        <v>12</v>
      </c>
      <c r="N1208" s="2">
        <v>0</v>
      </c>
      <c r="O1208" s="2">
        <v>1600</v>
      </c>
      <c r="P1208" s="2">
        <v>3497.54</v>
      </c>
      <c r="Q1208" s="2">
        <v>5097.54</v>
      </c>
      <c r="R1208" s="2">
        <v>0</v>
      </c>
      <c r="S1208" s="2">
        <v>2547.92</v>
      </c>
      <c r="T1208" s="2">
        <v>2547.92</v>
      </c>
      <c r="U1208" s="2">
        <v>2549.62</v>
      </c>
      <c r="V1208" s="2">
        <v>2549.62</v>
      </c>
      <c r="W1208" s="2">
        <v>2549.62</v>
      </c>
    </row>
    <row r="1209" spans="1:23" outlineLevel="2" x14ac:dyDescent="0.2">
      <c r="A1209" t="s">
        <v>0</v>
      </c>
      <c r="B1209" t="s">
        <v>31</v>
      </c>
      <c r="C1209" t="s">
        <v>32</v>
      </c>
      <c r="D1209" t="s">
        <v>33</v>
      </c>
      <c r="E1209" t="s">
        <v>34</v>
      </c>
      <c r="F1209" t="s">
        <v>5</v>
      </c>
      <c r="G1209" t="s">
        <v>6</v>
      </c>
      <c r="H1209" t="s">
        <v>35</v>
      </c>
      <c r="I1209" t="s">
        <v>36</v>
      </c>
      <c r="J1209" t="s">
        <v>9</v>
      </c>
      <c r="K1209" t="s">
        <v>366</v>
      </c>
      <c r="L1209" t="s">
        <v>376</v>
      </c>
      <c r="M1209" t="s">
        <v>15</v>
      </c>
      <c r="N1209" s="2">
        <v>300907.52000000002</v>
      </c>
      <c r="O1209" s="2">
        <v>12070.08</v>
      </c>
      <c r="P1209" s="2">
        <v>-78141.05</v>
      </c>
      <c r="Q1209" s="2">
        <v>234836.55</v>
      </c>
      <c r="R1209" s="2">
        <v>26230.97</v>
      </c>
      <c r="S1209" s="2">
        <v>208605.58</v>
      </c>
      <c r="T1209" s="2">
        <v>208605.58</v>
      </c>
      <c r="U1209" s="2">
        <v>26230.97</v>
      </c>
      <c r="V1209" s="2">
        <v>26230.97</v>
      </c>
      <c r="W1209" s="2">
        <v>0</v>
      </c>
    </row>
    <row r="1210" spans="1:23" outlineLevel="2" x14ac:dyDescent="0.2">
      <c r="A1210" t="s">
        <v>0</v>
      </c>
      <c r="B1210" t="s">
        <v>39</v>
      </c>
      <c r="C1210" t="s">
        <v>58</v>
      </c>
      <c r="D1210" t="s">
        <v>135</v>
      </c>
      <c r="E1210" t="s">
        <v>136</v>
      </c>
      <c r="F1210" t="s">
        <v>5</v>
      </c>
      <c r="G1210" t="s">
        <v>6</v>
      </c>
      <c r="H1210" t="s">
        <v>35</v>
      </c>
      <c r="I1210" t="s">
        <v>36</v>
      </c>
      <c r="J1210" t="s">
        <v>9</v>
      </c>
      <c r="K1210" t="s">
        <v>366</v>
      </c>
      <c r="L1210" t="s">
        <v>368</v>
      </c>
      <c r="M1210" t="s">
        <v>15</v>
      </c>
      <c r="N1210" s="2">
        <v>113052.6</v>
      </c>
      <c r="O1210" s="2">
        <v>620</v>
      </c>
      <c r="P1210" s="2">
        <v>-42982.34</v>
      </c>
      <c r="Q1210" s="2">
        <v>70690.259999999995</v>
      </c>
      <c r="R1210" s="2">
        <v>0</v>
      </c>
      <c r="S1210" s="2">
        <v>70690.259999999995</v>
      </c>
      <c r="T1210" s="2">
        <v>70690.259999999995</v>
      </c>
      <c r="U1210" s="2">
        <v>0</v>
      </c>
      <c r="V1210" s="2">
        <v>0</v>
      </c>
      <c r="W1210" s="2">
        <v>0</v>
      </c>
    </row>
    <row r="1211" spans="1:23" outlineLevel="2" x14ac:dyDescent="0.2">
      <c r="A1211" t="s">
        <v>0</v>
      </c>
      <c r="B1211" t="s">
        <v>1</v>
      </c>
      <c r="C1211" t="s">
        <v>16</v>
      </c>
      <c r="D1211" t="s">
        <v>62</v>
      </c>
      <c r="E1211" t="s">
        <v>63</v>
      </c>
      <c r="F1211" t="s">
        <v>5</v>
      </c>
      <c r="G1211" t="s">
        <v>6</v>
      </c>
      <c r="H1211" t="s">
        <v>35</v>
      </c>
      <c r="I1211" t="s">
        <v>36</v>
      </c>
      <c r="J1211" t="s">
        <v>9</v>
      </c>
      <c r="K1211" t="s">
        <v>366</v>
      </c>
      <c r="L1211" t="s">
        <v>367</v>
      </c>
      <c r="M1211" t="s">
        <v>12</v>
      </c>
      <c r="N1211" s="2">
        <v>0</v>
      </c>
      <c r="O1211" s="2">
        <v>450</v>
      </c>
      <c r="P1211" s="2">
        <v>1110.82</v>
      </c>
      <c r="Q1211" s="2">
        <v>1560.82</v>
      </c>
      <c r="R1211" s="2">
        <v>0</v>
      </c>
      <c r="S1211" s="2">
        <v>767.49</v>
      </c>
      <c r="T1211" s="2">
        <v>767.49</v>
      </c>
      <c r="U1211" s="2">
        <v>793.33</v>
      </c>
      <c r="V1211" s="2">
        <v>793.33</v>
      </c>
      <c r="W1211" s="2">
        <v>793.33</v>
      </c>
    </row>
    <row r="1212" spans="1:23" outlineLevel="2" x14ac:dyDescent="0.2">
      <c r="A1212" t="s">
        <v>0</v>
      </c>
      <c r="B1212" t="s">
        <v>39</v>
      </c>
      <c r="C1212" t="s">
        <v>58</v>
      </c>
      <c r="D1212" t="s">
        <v>129</v>
      </c>
      <c r="E1212" t="s">
        <v>130</v>
      </c>
      <c r="F1212" t="s">
        <v>5</v>
      </c>
      <c r="G1212" t="s">
        <v>6</v>
      </c>
      <c r="H1212" t="s">
        <v>35</v>
      </c>
      <c r="I1212" t="s">
        <v>36</v>
      </c>
      <c r="J1212" t="s">
        <v>9</v>
      </c>
      <c r="K1212" t="s">
        <v>366</v>
      </c>
      <c r="L1212" t="s">
        <v>368</v>
      </c>
      <c r="M1212" t="s">
        <v>12</v>
      </c>
      <c r="N1212" s="2">
        <v>0</v>
      </c>
      <c r="O1212" s="2">
        <v>0</v>
      </c>
      <c r="P1212" s="2">
        <v>5842.32</v>
      </c>
      <c r="Q1212" s="2">
        <v>5842.32</v>
      </c>
      <c r="R1212" s="2">
        <v>0</v>
      </c>
      <c r="S1212" s="2">
        <v>2397.62</v>
      </c>
      <c r="T1212" s="2">
        <v>2397.62</v>
      </c>
      <c r="U1212" s="2">
        <v>3444.7</v>
      </c>
      <c r="V1212" s="2">
        <v>3444.7</v>
      </c>
      <c r="W1212" s="2">
        <v>3444.7</v>
      </c>
    </row>
    <row r="1213" spans="1:23" outlineLevel="2" x14ac:dyDescent="0.2">
      <c r="A1213" t="s">
        <v>0</v>
      </c>
      <c r="B1213" t="s">
        <v>1</v>
      </c>
      <c r="C1213" t="s">
        <v>16</v>
      </c>
      <c r="D1213" t="s">
        <v>103</v>
      </c>
      <c r="E1213" t="s">
        <v>104</v>
      </c>
      <c r="F1213" t="s">
        <v>5</v>
      </c>
      <c r="G1213" t="s">
        <v>6</v>
      </c>
      <c r="H1213" t="s">
        <v>35</v>
      </c>
      <c r="I1213" t="s">
        <v>36</v>
      </c>
      <c r="J1213" t="s">
        <v>9</v>
      </c>
      <c r="K1213" t="s">
        <v>366</v>
      </c>
      <c r="L1213" t="s">
        <v>367</v>
      </c>
      <c r="M1213" t="s">
        <v>12</v>
      </c>
      <c r="N1213" s="2">
        <v>0</v>
      </c>
      <c r="O1213" s="2">
        <v>0</v>
      </c>
      <c r="P1213" s="2">
        <v>22681.93</v>
      </c>
      <c r="Q1213" s="2">
        <v>22681.93</v>
      </c>
      <c r="R1213" s="2">
        <v>0</v>
      </c>
      <c r="S1213" s="2">
        <v>13860.07</v>
      </c>
      <c r="T1213" s="2">
        <v>13860.07</v>
      </c>
      <c r="U1213" s="2">
        <v>8821.86</v>
      </c>
      <c r="V1213" s="2">
        <v>8821.86</v>
      </c>
      <c r="W1213" s="2">
        <v>8821.86</v>
      </c>
    </row>
    <row r="1214" spans="1:23" outlineLevel="2" x14ac:dyDescent="0.2">
      <c r="A1214" t="s">
        <v>0</v>
      </c>
      <c r="B1214" t="s">
        <v>31</v>
      </c>
      <c r="C1214" t="s">
        <v>79</v>
      </c>
      <c r="D1214" t="s">
        <v>80</v>
      </c>
      <c r="E1214" t="s">
        <v>81</v>
      </c>
      <c r="F1214" t="s">
        <v>5</v>
      </c>
      <c r="G1214" t="s">
        <v>6</v>
      </c>
      <c r="H1214" t="s">
        <v>35</v>
      </c>
      <c r="I1214" t="s">
        <v>36</v>
      </c>
      <c r="J1214" t="s">
        <v>9</v>
      </c>
      <c r="K1214" t="s">
        <v>366</v>
      </c>
      <c r="L1214" t="s">
        <v>369</v>
      </c>
      <c r="M1214" t="s">
        <v>15</v>
      </c>
      <c r="N1214" s="2">
        <v>97625.73</v>
      </c>
      <c r="O1214" s="2">
        <v>-800.78</v>
      </c>
      <c r="P1214" s="2">
        <v>-22572.560000000001</v>
      </c>
      <c r="Q1214" s="2">
        <v>74252.39</v>
      </c>
      <c r="R1214" s="2">
        <v>0</v>
      </c>
      <c r="S1214" s="2">
        <v>74252.39</v>
      </c>
      <c r="T1214" s="2">
        <v>74252.39</v>
      </c>
      <c r="U1214" s="2">
        <v>0</v>
      </c>
      <c r="V1214" s="2">
        <v>0</v>
      </c>
      <c r="W1214" s="2">
        <v>0</v>
      </c>
    </row>
    <row r="1215" spans="1:23" outlineLevel="2" x14ac:dyDescent="0.2">
      <c r="A1215" t="s">
        <v>0</v>
      </c>
      <c r="B1215" t="s">
        <v>31</v>
      </c>
      <c r="C1215" t="s">
        <v>32</v>
      </c>
      <c r="D1215" t="s">
        <v>75</v>
      </c>
      <c r="E1215" t="s">
        <v>76</v>
      </c>
      <c r="F1215" t="s">
        <v>5</v>
      </c>
      <c r="G1215" t="s">
        <v>6</v>
      </c>
      <c r="H1215" t="s">
        <v>35</v>
      </c>
      <c r="I1215" t="s">
        <v>36</v>
      </c>
      <c r="J1215" t="s">
        <v>9</v>
      </c>
      <c r="K1215" t="s">
        <v>366</v>
      </c>
      <c r="L1215" t="s">
        <v>376</v>
      </c>
      <c r="M1215" t="s">
        <v>15</v>
      </c>
      <c r="N1215" s="2">
        <v>208670.95</v>
      </c>
      <c r="O1215" s="2">
        <v>-5368.11</v>
      </c>
      <c r="P1215" s="2">
        <v>-41867.64</v>
      </c>
      <c r="Q1215" s="2">
        <v>161435.20000000001</v>
      </c>
      <c r="R1215" s="2">
        <v>27138.2</v>
      </c>
      <c r="S1215" s="2">
        <v>134297</v>
      </c>
      <c r="T1215" s="2">
        <v>134297</v>
      </c>
      <c r="U1215" s="2">
        <v>27138.2</v>
      </c>
      <c r="V1215" s="2">
        <v>27138.2</v>
      </c>
      <c r="W1215" s="2">
        <v>0</v>
      </c>
    </row>
    <row r="1216" spans="1:23" outlineLevel="2" x14ac:dyDescent="0.2">
      <c r="A1216" t="s">
        <v>0</v>
      </c>
      <c r="B1216" t="s">
        <v>1</v>
      </c>
      <c r="C1216" t="s">
        <v>2</v>
      </c>
      <c r="D1216" t="s">
        <v>20</v>
      </c>
      <c r="E1216" t="s">
        <v>21</v>
      </c>
      <c r="F1216" t="s">
        <v>5</v>
      </c>
      <c r="G1216" t="s">
        <v>6</v>
      </c>
      <c r="H1216" t="s">
        <v>35</v>
      </c>
      <c r="I1216" t="s">
        <v>36</v>
      </c>
      <c r="J1216" t="s">
        <v>9</v>
      </c>
      <c r="K1216" t="s">
        <v>366</v>
      </c>
      <c r="L1216" t="s">
        <v>382</v>
      </c>
      <c r="M1216" t="s">
        <v>12</v>
      </c>
      <c r="N1216" s="2">
        <v>0</v>
      </c>
      <c r="O1216" s="2">
        <v>0</v>
      </c>
      <c r="P1216" s="2">
        <v>116436.81</v>
      </c>
      <c r="Q1216" s="2">
        <v>116436.81</v>
      </c>
      <c r="R1216" s="2">
        <v>0</v>
      </c>
      <c r="S1216" s="2">
        <v>55240.68</v>
      </c>
      <c r="T1216" s="2">
        <v>55240.68</v>
      </c>
      <c r="U1216" s="2">
        <v>61196.13</v>
      </c>
      <c r="V1216" s="2">
        <v>61196.13</v>
      </c>
      <c r="W1216" s="2">
        <v>61196.13</v>
      </c>
    </row>
    <row r="1217" spans="1:23" outlineLevel="2" x14ac:dyDescent="0.2">
      <c r="A1217" t="s">
        <v>0</v>
      </c>
      <c r="B1217" t="s">
        <v>1</v>
      </c>
      <c r="C1217" t="s">
        <v>16</v>
      </c>
      <c r="D1217" t="s">
        <v>17</v>
      </c>
      <c r="E1217" t="s">
        <v>18</v>
      </c>
      <c r="F1217" t="s">
        <v>5</v>
      </c>
      <c r="G1217" t="s">
        <v>6</v>
      </c>
      <c r="H1217" t="s">
        <v>35</v>
      </c>
      <c r="I1217" t="s">
        <v>36</v>
      </c>
      <c r="J1217" t="s">
        <v>9</v>
      </c>
      <c r="K1217" t="s">
        <v>366</v>
      </c>
      <c r="L1217" t="s">
        <v>367</v>
      </c>
      <c r="M1217" t="s">
        <v>12</v>
      </c>
      <c r="N1217" s="2">
        <v>0</v>
      </c>
      <c r="O1217" s="2">
        <v>1300</v>
      </c>
      <c r="P1217" s="2">
        <v>37745.24</v>
      </c>
      <c r="Q1217" s="2">
        <v>39045.24</v>
      </c>
      <c r="R1217" s="2">
        <v>0</v>
      </c>
      <c r="S1217" s="2">
        <v>19513.62</v>
      </c>
      <c r="T1217" s="2">
        <v>19513.62</v>
      </c>
      <c r="U1217" s="2">
        <v>19531.62</v>
      </c>
      <c r="V1217" s="2">
        <v>19531.62</v>
      </c>
      <c r="W1217" s="2">
        <v>19531.62</v>
      </c>
    </row>
    <row r="1218" spans="1:23" outlineLevel="2" x14ac:dyDescent="0.2">
      <c r="A1218" t="s">
        <v>0</v>
      </c>
      <c r="B1218" t="s">
        <v>39</v>
      </c>
      <c r="C1218" t="s">
        <v>58</v>
      </c>
      <c r="D1218" t="s">
        <v>135</v>
      </c>
      <c r="E1218" t="s">
        <v>136</v>
      </c>
      <c r="F1218" t="s">
        <v>5</v>
      </c>
      <c r="G1218" t="s">
        <v>6</v>
      </c>
      <c r="H1218" t="s">
        <v>35</v>
      </c>
      <c r="I1218" t="s">
        <v>36</v>
      </c>
      <c r="J1218" t="s">
        <v>9</v>
      </c>
      <c r="K1218" t="s">
        <v>366</v>
      </c>
      <c r="L1218" t="s">
        <v>368</v>
      </c>
      <c r="M1218" t="s">
        <v>12</v>
      </c>
      <c r="N1218" s="2">
        <v>0</v>
      </c>
      <c r="O1218" s="2">
        <v>1155</v>
      </c>
      <c r="P1218" s="2">
        <v>13428.81</v>
      </c>
      <c r="Q1218" s="2">
        <v>14583.81</v>
      </c>
      <c r="R1218" s="2">
        <v>0</v>
      </c>
      <c r="S1218" s="2">
        <v>7290.14</v>
      </c>
      <c r="T1218" s="2">
        <v>7290.14</v>
      </c>
      <c r="U1218" s="2">
        <v>7293.67</v>
      </c>
      <c r="V1218" s="2">
        <v>7293.67</v>
      </c>
      <c r="W1218" s="2">
        <v>7293.67</v>
      </c>
    </row>
    <row r="1219" spans="1:23" outlineLevel="2" x14ac:dyDescent="0.2">
      <c r="A1219" t="s">
        <v>0</v>
      </c>
      <c r="B1219" t="s">
        <v>39</v>
      </c>
      <c r="C1219" t="s">
        <v>58</v>
      </c>
      <c r="D1219" t="s">
        <v>59</v>
      </c>
      <c r="E1219" t="s">
        <v>60</v>
      </c>
      <c r="F1219" t="s">
        <v>5</v>
      </c>
      <c r="G1219" t="s">
        <v>6</v>
      </c>
      <c r="H1219" t="s">
        <v>35</v>
      </c>
      <c r="I1219" t="s">
        <v>36</v>
      </c>
      <c r="J1219" t="s">
        <v>9</v>
      </c>
      <c r="K1219" t="s">
        <v>366</v>
      </c>
      <c r="L1219" t="s">
        <v>368</v>
      </c>
      <c r="M1219" t="s">
        <v>12</v>
      </c>
      <c r="N1219" s="2">
        <v>0</v>
      </c>
      <c r="O1219" s="2">
        <v>0</v>
      </c>
      <c r="P1219" s="2">
        <v>9704.9500000000007</v>
      </c>
      <c r="Q1219" s="2">
        <v>9704.9500000000007</v>
      </c>
      <c r="R1219" s="2">
        <v>0</v>
      </c>
      <c r="S1219" s="2">
        <v>4699.13</v>
      </c>
      <c r="T1219" s="2">
        <v>4699.13</v>
      </c>
      <c r="U1219" s="2">
        <v>5005.82</v>
      </c>
      <c r="V1219" s="2">
        <v>5005.82</v>
      </c>
      <c r="W1219" s="2">
        <v>5005.82</v>
      </c>
    </row>
    <row r="1220" spans="1:23" outlineLevel="2" x14ac:dyDescent="0.2">
      <c r="A1220" t="s">
        <v>0</v>
      </c>
      <c r="B1220" t="s">
        <v>39</v>
      </c>
      <c r="C1220" t="s">
        <v>70</v>
      </c>
      <c r="D1220" t="s">
        <v>89</v>
      </c>
      <c r="E1220" t="s">
        <v>90</v>
      </c>
      <c r="F1220" t="s">
        <v>5</v>
      </c>
      <c r="G1220" t="s">
        <v>6</v>
      </c>
      <c r="H1220" t="s">
        <v>35</v>
      </c>
      <c r="I1220" t="s">
        <v>36</v>
      </c>
      <c r="J1220" t="s">
        <v>9</v>
      </c>
      <c r="K1220" t="s">
        <v>366</v>
      </c>
      <c r="L1220" t="s">
        <v>378</v>
      </c>
      <c r="M1220" t="s">
        <v>15</v>
      </c>
      <c r="N1220" s="2">
        <v>1300077.6599999999</v>
      </c>
      <c r="O1220" s="2">
        <v>0</v>
      </c>
      <c r="P1220" s="2">
        <v>-239389.35</v>
      </c>
      <c r="Q1220" s="2">
        <v>1060688.31</v>
      </c>
      <c r="R1220" s="2">
        <v>26903.55</v>
      </c>
      <c r="S1220" s="2">
        <v>1033784.76</v>
      </c>
      <c r="T1220" s="2">
        <v>1033784.76</v>
      </c>
      <c r="U1220" s="2">
        <v>26903.55</v>
      </c>
      <c r="V1220" s="2">
        <v>26903.55</v>
      </c>
      <c r="W1220" s="2">
        <v>0</v>
      </c>
    </row>
    <row r="1221" spans="1:23" outlineLevel="2" x14ac:dyDescent="0.2">
      <c r="A1221" t="s">
        <v>0</v>
      </c>
      <c r="B1221" t="s">
        <v>39</v>
      </c>
      <c r="C1221" t="s">
        <v>58</v>
      </c>
      <c r="D1221" t="s">
        <v>143</v>
      </c>
      <c r="E1221" t="s">
        <v>144</v>
      </c>
      <c r="F1221" t="s">
        <v>5</v>
      </c>
      <c r="G1221" t="s">
        <v>6</v>
      </c>
      <c r="H1221" t="s">
        <v>35</v>
      </c>
      <c r="I1221" t="s">
        <v>36</v>
      </c>
      <c r="J1221" t="s">
        <v>9</v>
      </c>
      <c r="K1221" t="s">
        <v>366</v>
      </c>
      <c r="L1221" t="s">
        <v>368</v>
      </c>
      <c r="M1221" t="s">
        <v>15</v>
      </c>
      <c r="N1221" s="2">
        <v>122966.31</v>
      </c>
      <c r="O1221" s="2">
        <v>-246.17</v>
      </c>
      <c r="P1221" s="2">
        <v>-33863.86</v>
      </c>
      <c r="Q1221" s="2">
        <v>88856.28</v>
      </c>
      <c r="R1221" s="2">
        <v>1206.5</v>
      </c>
      <c r="S1221" s="2">
        <v>87649.78</v>
      </c>
      <c r="T1221" s="2">
        <v>87649.78</v>
      </c>
      <c r="U1221" s="2">
        <v>1206.5</v>
      </c>
      <c r="V1221" s="2">
        <v>1206.5</v>
      </c>
      <c r="W1221" s="2">
        <v>0</v>
      </c>
    </row>
    <row r="1222" spans="1:23" outlineLevel="2" x14ac:dyDescent="0.2">
      <c r="A1222" t="s">
        <v>0</v>
      </c>
      <c r="B1222" t="s">
        <v>31</v>
      </c>
      <c r="C1222" t="s">
        <v>79</v>
      </c>
      <c r="D1222" t="s">
        <v>133</v>
      </c>
      <c r="E1222" t="s">
        <v>134</v>
      </c>
      <c r="F1222" t="s">
        <v>5</v>
      </c>
      <c r="G1222" t="s">
        <v>6</v>
      </c>
      <c r="H1222" t="s">
        <v>35</v>
      </c>
      <c r="I1222" t="s">
        <v>36</v>
      </c>
      <c r="J1222" t="s">
        <v>9</v>
      </c>
      <c r="K1222" t="s">
        <v>366</v>
      </c>
      <c r="L1222" t="s">
        <v>369</v>
      </c>
      <c r="M1222" t="s">
        <v>12</v>
      </c>
      <c r="N1222" s="2">
        <v>0</v>
      </c>
      <c r="O1222" s="2">
        <v>817</v>
      </c>
      <c r="P1222" s="2">
        <v>18136.29</v>
      </c>
      <c r="Q1222" s="2">
        <v>18953.29</v>
      </c>
      <c r="R1222" s="2">
        <v>817</v>
      </c>
      <c r="S1222" s="2">
        <v>8123.02</v>
      </c>
      <c r="T1222" s="2">
        <v>8123.02</v>
      </c>
      <c r="U1222" s="2">
        <v>10830.27</v>
      </c>
      <c r="V1222" s="2">
        <v>10830.27</v>
      </c>
      <c r="W1222" s="2">
        <v>10013.27</v>
      </c>
    </row>
    <row r="1223" spans="1:23" outlineLevel="2" x14ac:dyDescent="0.2">
      <c r="A1223" t="s">
        <v>0</v>
      </c>
      <c r="B1223" t="s">
        <v>39</v>
      </c>
      <c r="C1223" t="s">
        <v>66</v>
      </c>
      <c r="D1223" t="s">
        <v>121</v>
      </c>
      <c r="E1223" t="s">
        <v>122</v>
      </c>
      <c r="F1223" t="s">
        <v>5</v>
      </c>
      <c r="G1223" t="s">
        <v>6</v>
      </c>
      <c r="H1223" t="s">
        <v>35</v>
      </c>
      <c r="I1223" t="s">
        <v>36</v>
      </c>
      <c r="J1223" t="s">
        <v>9</v>
      </c>
      <c r="K1223" t="s">
        <v>366</v>
      </c>
      <c r="L1223" t="s">
        <v>380</v>
      </c>
      <c r="M1223" t="s">
        <v>15</v>
      </c>
      <c r="N1223" s="2">
        <v>103889.71</v>
      </c>
      <c r="O1223" s="2">
        <v>257.17</v>
      </c>
      <c r="P1223" s="2">
        <v>-36129.33</v>
      </c>
      <c r="Q1223" s="2">
        <v>68017.55</v>
      </c>
      <c r="R1223" s="2">
        <v>480.85</v>
      </c>
      <c r="S1223" s="2">
        <v>67536.7</v>
      </c>
      <c r="T1223" s="2">
        <v>67536.7</v>
      </c>
      <c r="U1223" s="2">
        <v>480.85</v>
      </c>
      <c r="V1223" s="2">
        <v>480.85</v>
      </c>
      <c r="W1223" s="2">
        <v>0</v>
      </c>
    </row>
    <row r="1224" spans="1:23" outlineLevel="2" x14ac:dyDescent="0.2">
      <c r="A1224" t="s">
        <v>0</v>
      </c>
      <c r="B1224" t="s">
        <v>31</v>
      </c>
      <c r="C1224" t="s">
        <v>107</v>
      </c>
      <c r="D1224" t="s">
        <v>108</v>
      </c>
      <c r="E1224" t="s">
        <v>109</v>
      </c>
      <c r="F1224" t="s">
        <v>5</v>
      </c>
      <c r="G1224" t="s">
        <v>6</v>
      </c>
      <c r="H1224" t="s">
        <v>35</v>
      </c>
      <c r="I1224" t="s">
        <v>36</v>
      </c>
      <c r="J1224" t="s">
        <v>9</v>
      </c>
      <c r="K1224" t="s">
        <v>366</v>
      </c>
      <c r="L1224" t="s">
        <v>377</v>
      </c>
      <c r="M1224" t="s">
        <v>15</v>
      </c>
      <c r="N1224" s="2">
        <v>230143.68</v>
      </c>
      <c r="O1224" s="2">
        <v>899.83</v>
      </c>
      <c r="P1224" s="2">
        <v>-61585.37</v>
      </c>
      <c r="Q1224" s="2">
        <v>169458.14</v>
      </c>
      <c r="R1224" s="2">
        <v>5814.54</v>
      </c>
      <c r="S1224" s="2">
        <v>163643.6</v>
      </c>
      <c r="T1224" s="2">
        <v>163643.6</v>
      </c>
      <c r="U1224" s="2">
        <v>5814.54</v>
      </c>
      <c r="V1224" s="2">
        <v>5814.54</v>
      </c>
      <c r="W1224" s="2">
        <v>0</v>
      </c>
    </row>
    <row r="1225" spans="1:23" outlineLevel="2" x14ac:dyDescent="0.2">
      <c r="A1225" t="s">
        <v>0</v>
      </c>
      <c r="B1225" t="s">
        <v>39</v>
      </c>
      <c r="C1225" t="s">
        <v>40</v>
      </c>
      <c r="D1225" t="s">
        <v>41</v>
      </c>
      <c r="E1225" t="s">
        <v>42</v>
      </c>
      <c r="F1225" t="s">
        <v>5</v>
      </c>
      <c r="G1225" t="s">
        <v>6</v>
      </c>
      <c r="H1225" t="s">
        <v>35</v>
      </c>
      <c r="I1225" t="s">
        <v>36</v>
      </c>
      <c r="J1225" t="s">
        <v>9</v>
      </c>
      <c r="K1225" t="s">
        <v>366</v>
      </c>
      <c r="L1225" t="s">
        <v>374</v>
      </c>
      <c r="M1225" t="s">
        <v>15</v>
      </c>
      <c r="N1225" s="2">
        <v>124580.63</v>
      </c>
      <c r="O1225" s="2">
        <v>0</v>
      </c>
      <c r="P1225" s="2">
        <v>-36918.080000000002</v>
      </c>
      <c r="Q1225" s="2">
        <v>87662.55</v>
      </c>
      <c r="R1225" s="2">
        <v>6751.01</v>
      </c>
      <c r="S1225" s="2">
        <v>80911.539999999994</v>
      </c>
      <c r="T1225" s="2">
        <v>80911.539999999994</v>
      </c>
      <c r="U1225" s="2">
        <v>6751.01</v>
      </c>
      <c r="V1225" s="2">
        <v>6751.01</v>
      </c>
      <c r="W1225" s="2">
        <v>0</v>
      </c>
    </row>
    <row r="1226" spans="1:23" outlineLevel="2" x14ac:dyDescent="0.2">
      <c r="A1226" t="s">
        <v>0</v>
      </c>
      <c r="B1226" t="s">
        <v>1</v>
      </c>
      <c r="C1226" t="s">
        <v>91</v>
      </c>
      <c r="D1226" t="s">
        <v>92</v>
      </c>
      <c r="E1226" t="s">
        <v>93</v>
      </c>
      <c r="F1226" t="s">
        <v>5</v>
      </c>
      <c r="G1226" t="s">
        <v>6</v>
      </c>
      <c r="H1226" t="s">
        <v>35</v>
      </c>
      <c r="I1226" t="s">
        <v>36</v>
      </c>
      <c r="J1226" t="s">
        <v>9</v>
      </c>
      <c r="K1226" t="s">
        <v>366</v>
      </c>
      <c r="L1226" t="s">
        <v>371</v>
      </c>
      <c r="M1226" t="s">
        <v>15</v>
      </c>
      <c r="N1226" s="2">
        <v>328121.86</v>
      </c>
      <c r="O1226" s="2">
        <v>-120764.91</v>
      </c>
      <c r="P1226" s="2">
        <v>-31567.47</v>
      </c>
      <c r="Q1226" s="2">
        <v>175789.48</v>
      </c>
      <c r="R1226" s="2">
        <v>0</v>
      </c>
      <c r="S1226" s="2">
        <v>175789.48</v>
      </c>
      <c r="T1226" s="2">
        <v>175704.2</v>
      </c>
      <c r="U1226" s="2">
        <v>0</v>
      </c>
      <c r="V1226" s="2">
        <v>85.28</v>
      </c>
      <c r="W1226" s="2">
        <v>0</v>
      </c>
    </row>
    <row r="1227" spans="1:23" outlineLevel="2" x14ac:dyDescent="0.2">
      <c r="A1227" t="s">
        <v>0</v>
      </c>
      <c r="B1227" t="s">
        <v>39</v>
      </c>
      <c r="C1227" t="s">
        <v>58</v>
      </c>
      <c r="D1227" t="s">
        <v>147</v>
      </c>
      <c r="E1227" t="s">
        <v>148</v>
      </c>
      <c r="F1227" t="s">
        <v>5</v>
      </c>
      <c r="G1227" t="s">
        <v>6</v>
      </c>
      <c r="H1227" t="s">
        <v>35</v>
      </c>
      <c r="I1227" t="s">
        <v>36</v>
      </c>
      <c r="J1227" t="s">
        <v>9</v>
      </c>
      <c r="K1227" t="s">
        <v>366</v>
      </c>
      <c r="L1227" t="s">
        <v>368</v>
      </c>
      <c r="M1227" t="s">
        <v>15</v>
      </c>
      <c r="N1227" s="2">
        <v>113935.47</v>
      </c>
      <c r="O1227" s="2">
        <v>0</v>
      </c>
      <c r="P1227" s="2">
        <v>-35484.67</v>
      </c>
      <c r="Q1227" s="2">
        <v>78450.8</v>
      </c>
      <c r="R1227" s="2">
        <v>435</v>
      </c>
      <c r="S1227" s="2">
        <v>78015.8</v>
      </c>
      <c r="T1227" s="2">
        <v>78015.8</v>
      </c>
      <c r="U1227" s="2">
        <v>435</v>
      </c>
      <c r="V1227" s="2">
        <v>435</v>
      </c>
      <c r="W1227" s="2">
        <v>0</v>
      </c>
    </row>
    <row r="1228" spans="1:23" outlineLevel="2" x14ac:dyDescent="0.2">
      <c r="A1228" t="s">
        <v>0</v>
      </c>
      <c r="B1228" t="s">
        <v>39</v>
      </c>
      <c r="C1228" t="s">
        <v>58</v>
      </c>
      <c r="D1228" t="s">
        <v>149</v>
      </c>
      <c r="E1228" t="s">
        <v>150</v>
      </c>
      <c r="F1228" t="s">
        <v>5</v>
      </c>
      <c r="G1228" t="s">
        <v>6</v>
      </c>
      <c r="H1228" t="s">
        <v>35</v>
      </c>
      <c r="I1228" t="s">
        <v>36</v>
      </c>
      <c r="J1228" t="s">
        <v>9</v>
      </c>
      <c r="K1228" t="s">
        <v>366</v>
      </c>
      <c r="L1228" t="s">
        <v>368</v>
      </c>
      <c r="M1228" t="s">
        <v>15</v>
      </c>
      <c r="N1228" s="2">
        <v>159980.42000000001</v>
      </c>
      <c r="O1228" s="2">
        <v>375.17</v>
      </c>
      <c r="P1228" s="2">
        <v>-52344.93</v>
      </c>
      <c r="Q1228" s="2">
        <v>108010.66</v>
      </c>
      <c r="R1228" s="2">
        <v>1938.25</v>
      </c>
      <c r="S1228" s="2">
        <v>106072.41</v>
      </c>
      <c r="T1228" s="2">
        <v>106072.41</v>
      </c>
      <c r="U1228" s="2">
        <v>1938.25</v>
      </c>
      <c r="V1228" s="2">
        <v>1938.25</v>
      </c>
      <c r="W1228" s="2">
        <v>0</v>
      </c>
    </row>
    <row r="1229" spans="1:23" outlineLevel="2" x14ac:dyDescent="0.2">
      <c r="A1229" t="s">
        <v>0</v>
      </c>
      <c r="B1229" t="s">
        <v>31</v>
      </c>
      <c r="C1229" t="s">
        <v>79</v>
      </c>
      <c r="D1229" t="s">
        <v>125</v>
      </c>
      <c r="E1229" t="s">
        <v>126</v>
      </c>
      <c r="F1229" t="s">
        <v>5</v>
      </c>
      <c r="G1229" t="s">
        <v>6</v>
      </c>
      <c r="H1229" t="s">
        <v>35</v>
      </c>
      <c r="I1229" t="s">
        <v>36</v>
      </c>
      <c r="J1229" t="s">
        <v>9</v>
      </c>
      <c r="K1229" t="s">
        <v>366</v>
      </c>
      <c r="L1229" t="s">
        <v>369</v>
      </c>
      <c r="M1229" t="s">
        <v>12</v>
      </c>
      <c r="N1229" s="2">
        <v>0</v>
      </c>
      <c r="O1229" s="2">
        <v>800</v>
      </c>
      <c r="P1229" s="2">
        <v>11536.34</v>
      </c>
      <c r="Q1229" s="2">
        <v>12336.34</v>
      </c>
      <c r="R1229" s="2">
        <v>0</v>
      </c>
      <c r="S1229" s="2">
        <v>6165.48</v>
      </c>
      <c r="T1229" s="2">
        <v>6165.48</v>
      </c>
      <c r="U1229" s="2">
        <v>6170.86</v>
      </c>
      <c r="V1229" s="2">
        <v>6170.86</v>
      </c>
      <c r="W1229" s="2">
        <v>6170.86</v>
      </c>
    </row>
    <row r="1230" spans="1:23" outlineLevel="2" x14ac:dyDescent="0.2">
      <c r="A1230" t="s">
        <v>0</v>
      </c>
      <c r="B1230" t="s">
        <v>31</v>
      </c>
      <c r="C1230" t="s">
        <v>79</v>
      </c>
      <c r="D1230" t="s">
        <v>131</v>
      </c>
      <c r="E1230" t="s">
        <v>132</v>
      </c>
      <c r="F1230" t="s">
        <v>5</v>
      </c>
      <c r="G1230" t="s">
        <v>6</v>
      </c>
      <c r="H1230" t="s">
        <v>35</v>
      </c>
      <c r="I1230" t="s">
        <v>36</v>
      </c>
      <c r="J1230" t="s">
        <v>9</v>
      </c>
      <c r="K1230" t="s">
        <v>366</v>
      </c>
      <c r="L1230" t="s">
        <v>369</v>
      </c>
      <c r="M1230" t="s">
        <v>15</v>
      </c>
      <c r="N1230" s="2">
        <v>154218.54999999999</v>
      </c>
      <c r="O1230" s="2">
        <v>-800.78</v>
      </c>
      <c r="P1230" s="2">
        <v>-35026.78</v>
      </c>
      <c r="Q1230" s="2">
        <v>118390.99</v>
      </c>
      <c r="R1230" s="2">
        <v>0</v>
      </c>
      <c r="S1230" s="2">
        <v>118390.99</v>
      </c>
      <c r="T1230" s="2">
        <v>118390.99</v>
      </c>
      <c r="U1230" s="2">
        <v>0</v>
      </c>
      <c r="V1230" s="2">
        <v>0</v>
      </c>
      <c r="W1230" s="2">
        <v>0</v>
      </c>
    </row>
    <row r="1231" spans="1:23" outlineLevel="2" x14ac:dyDescent="0.2">
      <c r="A1231" t="s">
        <v>0</v>
      </c>
      <c r="B1231" t="s">
        <v>31</v>
      </c>
      <c r="C1231" t="s">
        <v>79</v>
      </c>
      <c r="D1231" t="s">
        <v>83</v>
      </c>
      <c r="E1231" t="s">
        <v>84</v>
      </c>
      <c r="F1231" t="s">
        <v>5</v>
      </c>
      <c r="G1231" t="s">
        <v>6</v>
      </c>
      <c r="H1231" t="s">
        <v>35</v>
      </c>
      <c r="I1231" t="s">
        <v>36</v>
      </c>
      <c r="J1231" t="s">
        <v>9</v>
      </c>
      <c r="K1231" t="s">
        <v>366</v>
      </c>
      <c r="L1231" t="s">
        <v>369</v>
      </c>
      <c r="M1231" t="s">
        <v>12</v>
      </c>
      <c r="N1231" s="2">
        <v>0</v>
      </c>
      <c r="O1231" s="2">
        <v>7761.5</v>
      </c>
      <c r="P1231" s="2">
        <v>52710.68</v>
      </c>
      <c r="Q1231" s="2">
        <v>60472.18</v>
      </c>
      <c r="R1231" s="2">
        <v>7761.5</v>
      </c>
      <c r="S1231" s="2">
        <v>23204.97</v>
      </c>
      <c r="T1231" s="2">
        <v>23204.97</v>
      </c>
      <c r="U1231" s="2">
        <v>37267.21</v>
      </c>
      <c r="V1231" s="2">
        <v>37267.21</v>
      </c>
      <c r="W1231" s="2">
        <v>29505.71</v>
      </c>
    </row>
    <row r="1232" spans="1:23" outlineLevel="2" x14ac:dyDescent="0.2">
      <c r="A1232" t="s">
        <v>0</v>
      </c>
      <c r="B1232" t="s">
        <v>53</v>
      </c>
      <c r="C1232" t="s">
        <v>85</v>
      </c>
      <c r="D1232" t="s">
        <v>86</v>
      </c>
      <c r="E1232" t="s">
        <v>87</v>
      </c>
      <c r="F1232" t="s">
        <v>5</v>
      </c>
      <c r="G1232" t="s">
        <v>6</v>
      </c>
      <c r="H1232" t="s">
        <v>35</v>
      </c>
      <c r="I1232" t="s">
        <v>36</v>
      </c>
      <c r="J1232" t="s">
        <v>9</v>
      </c>
      <c r="K1232" t="s">
        <v>366</v>
      </c>
      <c r="L1232" t="s">
        <v>372</v>
      </c>
      <c r="M1232" t="s">
        <v>15</v>
      </c>
      <c r="N1232" s="2">
        <v>40754.339999999997</v>
      </c>
      <c r="O1232" s="2">
        <v>0</v>
      </c>
      <c r="P1232" s="2">
        <v>-18906.41</v>
      </c>
      <c r="Q1232" s="2">
        <v>21847.93</v>
      </c>
      <c r="R1232" s="2">
        <v>251.1</v>
      </c>
      <c r="S1232" s="2">
        <v>21596.83</v>
      </c>
      <c r="T1232" s="2">
        <v>21596.83</v>
      </c>
      <c r="U1232" s="2">
        <v>251.1</v>
      </c>
      <c r="V1232" s="2">
        <v>251.1</v>
      </c>
      <c r="W1232" s="2">
        <v>0</v>
      </c>
    </row>
    <row r="1233" spans="1:23" outlineLevel="2" x14ac:dyDescent="0.2">
      <c r="A1233" t="s">
        <v>0</v>
      </c>
      <c r="B1233" t="s">
        <v>1</v>
      </c>
      <c r="C1233" t="s">
        <v>2</v>
      </c>
      <c r="D1233" t="s">
        <v>3</v>
      </c>
      <c r="E1233" t="s">
        <v>4</v>
      </c>
      <c r="F1233" t="s">
        <v>5</v>
      </c>
      <c r="G1233" t="s">
        <v>6</v>
      </c>
      <c r="H1233" t="s">
        <v>35</v>
      </c>
      <c r="I1233" t="s">
        <v>36</v>
      </c>
      <c r="J1233" t="s">
        <v>9</v>
      </c>
      <c r="K1233" t="s">
        <v>366</v>
      </c>
      <c r="L1233" t="s">
        <v>382</v>
      </c>
      <c r="M1233" t="s">
        <v>12</v>
      </c>
      <c r="N1233" s="2">
        <v>0</v>
      </c>
      <c r="O1233" s="2">
        <v>0</v>
      </c>
      <c r="P1233" s="2">
        <v>42733.74</v>
      </c>
      <c r="Q1233" s="2">
        <v>42733.74</v>
      </c>
      <c r="R1233" s="2">
        <v>0</v>
      </c>
      <c r="S1233" s="2">
        <v>21036.1</v>
      </c>
      <c r="T1233" s="2">
        <v>21036.1</v>
      </c>
      <c r="U1233" s="2">
        <v>21697.64</v>
      </c>
      <c r="V1233" s="2">
        <v>21697.64</v>
      </c>
      <c r="W1233" s="2">
        <v>21697.64</v>
      </c>
    </row>
    <row r="1234" spans="1:23" outlineLevel="2" x14ac:dyDescent="0.2">
      <c r="A1234" t="s">
        <v>0</v>
      </c>
      <c r="B1234" t="s">
        <v>31</v>
      </c>
      <c r="C1234" t="s">
        <v>79</v>
      </c>
      <c r="D1234" t="s">
        <v>117</v>
      </c>
      <c r="E1234" t="s">
        <v>118</v>
      </c>
      <c r="F1234" t="s">
        <v>5</v>
      </c>
      <c r="G1234" t="s">
        <v>6</v>
      </c>
      <c r="H1234" t="s">
        <v>35</v>
      </c>
      <c r="I1234" t="s">
        <v>36</v>
      </c>
      <c r="J1234" t="s">
        <v>9</v>
      </c>
      <c r="K1234" t="s">
        <v>366</v>
      </c>
      <c r="L1234" t="s">
        <v>369</v>
      </c>
      <c r="M1234" t="s">
        <v>15</v>
      </c>
      <c r="N1234" s="2">
        <v>178203.78</v>
      </c>
      <c r="O1234" s="2">
        <v>0</v>
      </c>
      <c r="P1234" s="2">
        <v>-43019.8</v>
      </c>
      <c r="Q1234" s="2">
        <v>135183.98000000001</v>
      </c>
      <c r="R1234" s="2">
        <v>0</v>
      </c>
      <c r="S1234" s="2">
        <v>135183.98000000001</v>
      </c>
      <c r="T1234" s="2">
        <v>135183.98000000001</v>
      </c>
      <c r="U1234" s="2">
        <v>0</v>
      </c>
      <c r="V1234" s="2">
        <v>0</v>
      </c>
      <c r="W1234" s="2">
        <v>0</v>
      </c>
    </row>
    <row r="1235" spans="1:23" outlineLevel="2" x14ac:dyDescent="0.2">
      <c r="A1235" t="s">
        <v>0</v>
      </c>
      <c r="B1235" t="s">
        <v>31</v>
      </c>
      <c r="C1235" t="s">
        <v>32</v>
      </c>
      <c r="D1235" t="s">
        <v>33</v>
      </c>
      <c r="E1235" t="s">
        <v>34</v>
      </c>
      <c r="F1235" t="s">
        <v>5</v>
      </c>
      <c r="G1235" t="s">
        <v>6</v>
      </c>
      <c r="H1235" t="s">
        <v>35</v>
      </c>
      <c r="I1235" t="s">
        <v>36</v>
      </c>
      <c r="J1235" t="s">
        <v>9</v>
      </c>
      <c r="K1235" t="s">
        <v>366</v>
      </c>
      <c r="L1235" t="s">
        <v>376</v>
      </c>
      <c r="M1235" t="s">
        <v>12</v>
      </c>
      <c r="N1235" s="2">
        <v>0</v>
      </c>
      <c r="O1235" s="2">
        <v>0</v>
      </c>
      <c r="P1235" s="2">
        <v>78141.05</v>
      </c>
      <c r="Q1235" s="2">
        <v>78141.05</v>
      </c>
      <c r="R1235" s="2">
        <v>0</v>
      </c>
      <c r="S1235" s="2">
        <v>18404.45</v>
      </c>
      <c r="T1235" s="2">
        <v>18246.849999999999</v>
      </c>
      <c r="U1235" s="2">
        <v>59736.6</v>
      </c>
      <c r="V1235" s="2">
        <v>59894.2</v>
      </c>
      <c r="W1235" s="2">
        <v>59736.6</v>
      </c>
    </row>
    <row r="1236" spans="1:23" outlineLevel="2" x14ac:dyDescent="0.2">
      <c r="A1236" t="s">
        <v>0</v>
      </c>
      <c r="B1236" t="s">
        <v>53</v>
      </c>
      <c r="C1236" t="s">
        <v>54</v>
      </c>
      <c r="D1236" t="s">
        <v>55</v>
      </c>
      <c r="E1236" t="s">
        <v>56</v>
      </c>
      <c r="F1236" t="s">
        <v>5</v>
      </c>
      <c r="G1236" t="s">
        <v>6</v>
      </c>
      <c r="H1236" t="s">
        <v>35</v>
      </c>
      <c r="I1236" t="s">
        <v>36</v>
      </c>
      <c r="J1236" t="s">
        <v>9</v>
      </c>
      <c r="K1236" t="s">
        <v>366</v>
      </c>
      <c r="L1236" t="s">
        <v>381</v>
      </c>
      <c r="M1236" t="s">
        <v>15</v>
      </c>
      <c r="N1236" s="2">
        <v>132557.49</v>
      </c>
      <c r="O1236" s="2">
        <v>-34973.65</v>
      </c>
      <c r="P1236" s="2">
        <v>-25851.21</v>
      </c>
      <c r="Q1236" s="2">
        <v>71732.63</v>
      </c>
      <c r="R1236" s="2">
        <v>2475.91</v>
      </c>
      <c r="S1236" s="2">
        <v>69256.72</v>
      </c>
      <c r="T1236" s="2">
        <v>69256.72</v>
      </c>
      <c r="U1236" s="2">
        <v>2475.91</v>
      </c>
      <c r="V1236" s="2">
        <v>2475.91</v>
      </c>
      <c r="W1236" s="2">
        <v>0</v>
      </c>
    </row>
    <row r="1237" spans="1:23" outlineLevel="2" x14ac:dyDescent="0.2">
      <c r="A1237" t="s">
        <v>0</v>
      </c>
      <c r="B1237" t="s">
        <v>39</v>
      </c>
      <c r="C1237" t="s">
        <v>70</v>
      </c>
      <c r="D1237" t="s">
        <v>89</v>
      </c>
      <c r="E1237" t="s">
        <v>90</v>
      </c>
      <c r="F1237" t="s">
        <v>5</v>
      </c>
      <c r="G1237" t="s">
        <v>6</v>
      </c>
      <c r="H1237" t="s">
        <v>35</v>
      </c>
      <c r="I1237" t="s">
        <v>36</v>
      </c>
      <c r="J1237" t="s">
        <v>9</v>
      </c>
      <c r="K1237" t="s">
        <v>366</v>
      </c>
      <c r="L1237" t="s">
        <v>378</v>
      </c>
      <c r="M1237" t="s">
        <v>12</v>
      </c>
      <c r="N1237" s="2">
        <v>0</v>
      </c>
      <c r="O1237" s="2">
        <v>0</v>
      </c>
      <c r="P1237" s="2">
        <v>239389.35</v>
      </c>
      <c r="Q1237" s="2">
        <v>239389.35</v>
      </c>
      <c r="R1237" s="2">
        <v>0</v>
      </c>
      <c r="S1237" s="2">
        <v>91482.12</v>
      </c>
      <c r="T1237" s="2">
        <v>91482.12</v>
      </c>
      <c r="U1237" s="2">
        <v>147907.23000000001</v>
      </c>
      <c r="V1237" s="2">
        <v>147907.23000000001</v>
      </c>
      <c r="W1237" s="2">
        <v>147907.23000000001</v>
      </c>
    </row>
    <row r="1238" spans="1:23" outlineLevel="2" x14ac:dyDescent="0.2">
      <c r="A1238" t="s">
        <v>0</v>
      </c>
      <c r="B1238" t="s">
        <v>39</v>
      </c>
      <c r="C1238" t="s">
        <v>58</v>
      </c>
      <c r="D1238" t="s">
        <v>129</v>
      </c>
      <c r="E1238" t="s">
        <v>130</v>
      </c>
      <c r="F1238" t="s">
        <v>5</v>
      </c>
      <c r="G1238" t="s">
        <v>6</v>
      </c>
      <c r="H1238" t="s">
        <v>35</v>
      </c>
      <c r="I1238" t="s">
        <v>36</v>
      </c>
      <c r="J1238" t="s">
        <v>9</v>
      </c>
      <c r="K1238" t="s">
        <v>366</v>
      </c>
      <c r="L1238" t="s">
        <v>368</v>
      </c>
      <c r="M1238" t="s">
        <v>15</v>
      </c>
      <c r="N1238" s="2">
        <v>40640</v>
      </c>
      <c r="O1238" s="2">
        <v>385.75</v>
      </c>
      <c r="P1238" s="2">
        <v>-16853.39</v>
      </c>
      <c r="Q1238" s="2">
        <v>24172.36</v>
      </c>
      <c r="R1238" s="2">
        <v>0</v>
      </c>
      <c r="S1238" s="2">
        <v>24172.36</v>
      </c>
      <c r="T1238" s="2">
        <v>24172.36</v>
      </c>
      <c r="U1238" s="2">
        <v>0</v>
      </c>
      <c r="V1238" s="2">
        <v>0</v>
      </c>
      <c r="W1238" s="2">
        <v>0</v>
      </c>
    </row>
    <row r="1239" spans="1:23" outlineLevel="2" x14ac:dyDescent="0.2">
      <c r="A1239" t="s">
        <v>0</v>
      </c>
      <c r="B1239" t="s">
        <v>1</v>
      </c>
      <c r="C1239" t="s">
        <v>2</v>
      </c>
      <c r="D1239" t="s">
        <v>3</v>
      </c>
      <c r="E1239" t="s">
        <v>4</v>
      </c>
      <c r="F1239" t="s">
        <v>5</v>
      </c>
      <c r="G1239" t="s">
        <v>6</v>
      </c>
      <c r="H1239" t="s">
        <v>35</v>
      </c>
      <c r="I1239" t="s">
        <v>36</v>
      </c>
      <c r="J1239" t="s">
        <v>9</v>
      </c>
      <c r="K1239" t="s">
        <v>383</v>
      </c>
      <c r="L1239" t="s">
        <v>384</v>
      </c>
      <c r="M1239" t="s">
        <v>15</v>
      </c>
      <c r="N1239" s="2">
        <v>0</v>
      </c>
      <c r="O1239" s="2">
        <v>68607.66</v>
      </c>
      <c r="P1239" s="2">
        <v>-6133.73</v>
      </c>
      <c r="Q1239" s="2">
        <v>62473.93</v>
      </c>
      <c r="R1239" s="2">
        <v>0</v>
      </c>
      <c r="S1239" s="2">
        <v>62473.93</v>
      </c>
      <c r="T1239" s="2">
        <v>62473.93</v>
      </c>
      <c r="U1239" s="2">
        <v>0</v>
      </c>
      <c r="V1239" s="2">
        <v>0</v>
      </c>
      <c r="W1239" s="2">
        <v>0</v>
      </c>
    </row>
    <row r="1240" spans="1:23" outlineLevel="2" x14ac:dyDescent="0.2">
      <c r="A1240" t="s">
        <v>0</v>
      </c>
      <c r="B1240" t="s">
        <v>1</v>
      </c>
      <c r="C1240" t="s">
        <v>2</v>
      </c>
      <c r="D1240" t="s">
        <v>3</v>
      </c>
      <c r="E1240" t="s">
        <v>4</v>
      </c>
      <c r="F1240" t="s">
        <v>5</v>
      </c>
      <c r="G1240" t="s">
        <v>6</v>
      </c>
      <c r="H1240" t="s">
        <v>35</v>
      </c>
      <c r="I1240" t="s">
        <v>36</v>
      </c>
      <c r="J1240" t="s">
        <v>9</v>
      </c>
      <c r="K1240" t="s">
        <v>383</v>
      </c>
      <c r="L1240" t="s">
        <v>384</v>
      </c>
      <c r="M1240" t="s">
        <v>12</v>
      </c>
      <c r="N1240" s="2">
        <v>0</v>
      </c>
      <c r="O1240" s="2">
        <v>0</v>
      </c>
      <c r="P1240" s="2">
        <v>6133.73</v>
      </c>
      <c r="Q1240" s="2">
        <v>6133.73</v>
      </c>
      <c r="R1240" s="2">
        <v>0</v>
      </c>
      <c r="S1240" s="2">
        <v>0</v>
      </c>
      <c r="T1240" s="2">
        <v>0</v>
      </c>
      <c r="U1240" s="2">
        <v>6133.73</v>
      </c>
      <c r="V1240" s="2">
        <v>6133.73</v>
      </c>
      <c r="W1240" s="2">
        <v>6133.73</v>
      </c>
    </row>
    <row r="1241" spans="1:23" outlineLevel="2" x14ac:dyDescent="0.2">
      <c r="A1241" t="s">
        <v>0</v>
      </c>
      <c r="B1241" t="s">
        <v>39</v>
      </c>
      <c r="C1241" t="s">
        <v>58</v>
      </c>
      <c r="D1241" t="s">
        <v>143</v>
      </c>
      <c r="E1241" t="s">
        <v>144</v>
      </c>
      <c r="F1241" t="s">
        <v>5</v>
      </c>
      <c r="G1241" t="s">
        <v>6</v>
      </c>
      <c r="H1241" t="s">
        <v>35</v>
      </c>
      <c r="I1241" t="s">
        <v>36</v>
      </c>
      <c r="J1241" t="s">
        <v>9</v>
      </c>
      <c r="K1241" t="s">
        <v>385</v>
      </c>
      <c r="L1241" t="s">
        <v>386</v>
      </c>
      <c r="M1241" t="s">
        <v>12</v>
      </c>
      <c r="N1241" s="2">
        <v>0</v>
      </c>
      <c r="O1241" s="2">
        <v>0</v>
      </c>
      <c r="P1241" s="2">
        <v>1485.09</v>
      </c>
      <c r="Q1241" s="2">
        <v>1485.09</v>
      </c>
      <c r="R1241" s="2">
        <v>0</v>
      </c>
      <c r="S1241" s="2">
        <v>0</v>
      </c>
      <c r="T1241" s="2">
        <v>0</v>
      </c>
      <c r="U1241" s="2">
        <v>1485.09</v>
      </c>
      <c r="V1241" s="2">
        <v>1485.09</v>
      </c>
      <c r="W1241" s="2">
        <v>1485.09</v>
      </c>
    </row>
    <row r="1242" spans="1:23" outlineLevel="2" x14ac:dyDescent="0.2">
      <c r="A1242" t="s">
        <v>0</v>
      </c>
      <c r="B1242" t="s">
        <v>39</v>
      </c>
      <c r="C1242" t="s">
        <v>58</v>
      </c>
      <c r="D1242" t="s">
        <v>139</v>
      </c>
      <c r="E1242" t="s">
        <v>140</v>
      </c>
      <c r="F1242" t="s">
        <v>5</v>
      </c>
      <c r="G1242" t="s">
        <v>6</v>
      </c>
      <c r="H1242" t="s">
        <v>35</v>
      </c>
      <c r="I1242" t="s">
        <v>36</v>
      </c>
      <c r="J1242" t="s">
        <v>9</v>
      </c>
      <c r="K1242" t="s">
        <v>385</v>
      </c>
      <c r="L1242" t="s">
        <v>386</v>
      </c>
      <c r="M1242" t="s">
        <v>12</v>
      </c>
      <c r="N1242" s="2">
        <v>0</v>
      </c>
      <c r="O1242" s="2">
        <v>0</v>
      </c>
      <c r="P1242" s="2">
        <v>7336.3</v>
      </c>
      <c r="Q1242" s="2">
        <v>7336.3</v>
      </c>
      <c r="R1242" s="2">
        <v>0</v>
      </c>
      <c r="S1242" s="2">
        <v>0</v>
      </c>
      <c r="T1242" s="2">
        <v>0</v>
      </c>
      <c r="U1242" s="2">
        <v>7336.3</v>
      </c>
      <c r="V1242" s="2">
        <v>7336.3</v>
      </c>
      <c r="W1242" s="2">
        <v>7336.3</v>
      </c>
    </row>
    <row r="1243" spans="1:23" outlineLevel="2" x14ac:dyDescent="0.2">
      <c r="A1243" t="s">
        <v>0</v>
      </c>
      <c r="B1243" t="s">
        <v>39</v>
      </c>
      <c r="C1243" t="s">
        <v>58</v>
      </c>
      <c r="D1243" t="s">
        <v>149</v>
      </c>
      <c r="E1243" t="s">
        <v>150</v>
      </c>
      <c r="F1243" t="s">
        <v>5</v>
      </c>
      <c r="G1243" t="s">
        <v>6</v>
      </c>
      <c r="H1243" t="s">
        <v>35</v>
      </c>
      <c r="I1243" t="s">
        <v>36</v>
      </c>
      <c r="J1243" t="s">
        <v>9</v>
      </c>
      <c r="K1243" t="s">
        <v>385</v>
      </c>
      <c r="L1243" t="s">
        <v>386</v>
      </c>
      <c r="M1243" t="s">
        <v>12</v>
      </c>
      <c r="N1243" s="2">
        <v>0</v>
      </c>
      <c r="O1243" s="2">
        <v>0</v>
      </c>
      <c r="P1243" s="2">
        <v>9584.7099999999991</v>
      </c>
      <c r="Q1243" s="2">
        <v>9584.7099999999991</v>
      </c>
      <c r="R1243" s="2">
        <v>0</v>
      </c>
      <c r="S1243" s="2">
        <v>0</v>
      </c>
      <c r="T1243" s="2">
        <v>0</v>
      </c>
      <c r="U1243" s="2">
        <v>9584.7099999999991</v>
      </c>
      <c r="V1243" s="2">
        <v>9584.7099999999991</v>
      </c>
      <c r="W1243" s="2">
        <v>9584.7099999999991</v>
      </c>
    </row>
    <row r="1244" spans="1:23" outlineLevel="2" x14ac:dyDescent="0.2">
      <c r="A1244" t="s">
        <v>0</v>
      </c>
      <c r="B1244" t="s">
        <v>31</v>
      </c>
      <c r="C1244" t="s">
        <v>79</v>
      </c>
      <c r="D1244" t="s">
        <v>111</v>
      </c>
      <c r="E1244" t="s">
        <v>112</v>
      </c>
      <c r="F1244" t="s">
        <v>5</v>
      </c>
      <c r="G1244" t="s">
        <v>6</v>
      </c>
      <c r="H1244" t="s">
        <v>35</v>
      </c>
      <c r="I1244" t="s">
        <v>36</v>
      </c>
      <c r="J1244" t="s">
        <v>9</v>
      </c>
      <c r="K1244" t="s">
        <v>385</v>
      </c>
      <c r="L1244" t="s">
        <v>387</v>
      </c>
      <c r="M1244" t="s">
        <v>12</v>
      </c>
      <c r="N1244" s="2">
        <v>0</v>
      </c>
      <c r="O1244" s="2">
        <v>0</v>
      </c>
      <c r="P1244" s="2">
        <v>13772.4</v>
      </c>
      <c r="Q1244" s="2">
        <v>13772.4</v>
      </c>
      <c r="R1244" s="2">
        <v>0</v>
      </c>
      <c r="S1244" s="2">
        <v>0</v>
      </c>
      <c r="T1244" s="2">
        <v>0</v>
      </c>
      <c r="U1244" s="2">
        <v>13772.4</v>
      </c>
      <c r="V1244" s="2">
        <v>13772.4</v>
      </c>
      <c r="W1244" s="2">
        <v>13772.4</v>
      </c>
    </row>
    <row r="1245" spans="1:23" outlineLevel="2" x14ac:dyDescent="0.2">
      <c r="A1245" t="s">
        <v>0</v>
      </c>
      <c r="B1245" t="s">
        <v>39</v>
      </c>
      <c r="C1245" t="s">
        <v>58</v>
      </c>
      <c r="D1245" t="s">
        <v>145</v>
      </c>
      <c r="E1245" t="s">
        <v>146</v>
      </c>
      <c r="F1245" t="s">
        <v>5</v>
      </c>
      <c r="G1245" t="s">
        <v>6</v>
      </c>
      <c r="H1245" t="s">
        <v>35</v>
      </c>
      <c r="I1245" t="s">
        <v>36</v>
      </c>
      <c r="J1245" t="s">
        <v>9</v>
      </c>
      <c r="K1245" t="s">
        <v>385</v>
      </c>
      <c r="L1245" t="s">
        <v>386</v>
      </c>
      <c r="M1245" t="s">
        <v>12</v>
      </c>
      <c r="N1245" s="2">
        <v>0</v>
      </c>
      <c r="O1245" s="2">
        <v>0</v>
      </c>
      <c r="P1245" s="2">
        <v>465.28</v>
      </c>
      <c r="Q1245" s="2">
        <v>465.28</v>
      </c>
      <c r="R1245" s="2">
        <v>0</v>
      </c>
      <c r="S1245" s="2">
        <v>0</v>
      </c>
      <c r="T1245" s="2">
        <v>0</v>
      </c>
      <c r="U1245" s="2">
        <v>465.28</v>
      </c>
      <c r="V1245" s="2">
        <v>465.28</v>
      </c>
      <c r="W1245" s="2">
        <v>465.28</v>
      </c>
    </row>
    <row r="1246" spans="1:23" outlineLevel="2" x14ac:dyDescent="0.2">
      <c r="A1246" t="s">
        <v>0</v>
      </c>
      <c r="B1246" t="s">
        <v>39</v>
      </c>
      <c r="C1246" t="s">
        <v>58</v>
      </c>
      <c r="D1246" t="s">
        <v>147</v>
      </c>
      <c r="E1246" t="s">
        <v>148</v>
      </c>
      <c r="F1246" t="s">
        <v>5</v>
      </c>
      <c r="G1246" t="s">
        <v>6</v>
      </c>
      <c r="H1246" t="s">
        <v>35</v>
      </c>
      <c r="I1246" t="s">
        <v>36</v>
      </c>
      <c r="J1246" t="s">
        <v>9</v>
      </c>
      <c r="K1246" t="s">
        <v>385</v>
      </c>
      <c r="L1246" t="s">
        <v>386</v>
      </c>
      <c r="M1246" t="s">
        <v>12</v>
      </c>
      <c r="N1246" s="2">
        <v>0</v>
      </c>
      <c r="O1246" s="2">
        <v>0</v>
      </c>
      <c r="P1246" s="2">
        <v>728.26</v>
      </c>
      <c r="Q1246" s="2">
        <v>728.26</v>
      </c>
      <c r="R1246" s="2">
        <v>0</v>
      </c>
      <c r="S1246" s="2">
        <v>0</v>
      </c>
      <c r="T1246" s="2">
        <v>0</v>
      </c>
      <c r="U1246" s="2">
        <v>728.26</v>
      </c>
      <c r="V1246" s="2">
        <v>728.26</v>
      </c>
      <c r="W1246" s="2">
        <v>728.26</v>
      </c>
    </row>
    <row r="1247" spans="1:23" outlineLevel="2" x14ac:dyDescent="0.2">
      <c r="A1247" t="s">
        <v>0</v>
      </c>
      <c r="B1247" t="s">
        <v>39</v>
      </c>
      <c r="C1247" t="s">
        <v>58</v>
      </c>
      <c r="D1247" t="s">
        <v>137</v>
      </c>
      <c r="E1247" t="s">
        <v>138</v>
      </c>
      <c r="F1247" t="s">
        <v>5</v>
      </c>
      <c r="G1247" t="s">
        <v>6</v>
      </c>
      <c r="H1247" t="s">
        <v>35</v>
      </c>
      <c r="I1247" t="s">
        <v>36</v>
      </c>
      <c r="J1247" t="s">
        <v>9</v>
      </c>
      <c r="K1247" t="s">
        <v>385</v>
      </c>
      <c r="L1247" t="s">
        <v>386</v>
      </c>
      <c r="M1247" t="s">
        <v>12</v>
      </c>
      <c r="N1247" s="2">
        <v>0</v>
      </c>
      <c r="O1247" s="2">
        <v>0</v>
      </c>
      <c r="P1247" s="2">
        <v>11498.65</v>
      </c>
      <c r="Q1247" s="2">
        <v>11498.65</v>
      </c>
      <c r="R1247" s="2">
        <v>0</v>
      </c>
      <c r="S1247" s="2">
        <v>0</v>
      </c>
      <c r="T1247" s="2">
        <v>0</v>
      </c>
      <c r="U1247" s="2">
        <v>11498.65</v>
      </c>
      <c r="V1247" s="2">
        <v>11498.65</v>
      </c>
      <c r="W1247" s="2">
        <v>11498.65</v>
      </c>
    </row>
    <row r="1248" spans="1:23" outlineLevel="2" x14ac:dyDescent="0.2">
      <c r="A1248" t="s">
        <v>0</v>
      </c>
      <c r="B1248" t="s">
        <v>39</v>
      </c>
      <c r="C1248" t="s">
        <v>58</v>
      </c>
      <c r="D1248" t="s">
        <v>135</v>
      </c>
      <c r="E1248" t="s">
        <v>136</v>
      </c>
      <c r="F1248" t="s">
        <v>5</v>
      </c>
      <c r="G1248" t="s">
        <v>6</v>
      </c>
      <c r="H1248" t="s">
        <v>35</v>
      </c>
      <c r="I1248" t="s">
        <v>36</v>
      </c>
      <c r="J1248" t="s">
        <v>9</v>
      </c>
      <c r="K1248" t="s">
        <v>385</v>
      </c>
      <c r="L1248" t="s">
        <v>386</v>
      </c>
      <c r="M1248" t="s">
        <v>12</v>
      </c>
      <c r="N1248" s="2">
        <v>0</v>
      </c>
      <c r="O1248" s="2">
        <v>0</v>
      </c>
      <c r="P1248" s="2">
        <v>8566.9500000000007</v>
      </c>
      <c r="Q1248" s="2">
        <v>8566.9500000000007</v>
      </c>
      <c r="R1248" s="2">
        <v>0</v>
      </c>
      <c r="S1248" s="2">
        <v>0</v>
      </c>
      <c r="T1248" s="2">
        <v>0</v>
      </c>
      <c r="U1248" s="2">
        <v>8566.9500000000007</v>
      </c>
      <c r="V1248" s="2">
        <v>8566.9500000000007</v>
      </c>
      <c r="W1248" s="2">
        <v>8566.9500000000007</v>
      </c>
    </row>
    <row r="1249" spans="1:23" outlineLevel="2" x14ac:dyDescent="0.2">
      <c r="A1249" t="s">
        <v>0</v>
      </c>
      <c r="B1249" t="s">
        <v>31</v>
      </c>
      <c r="C1249" t="s">
        <v>79</v>
      </c>
      <c r="D1249" t="s">
        <v>111</v>
      </c>
      <c r="E1249" t="s">
        <v>112</v>
      </c>
      <c r="F1249" t="s">
        <v>5</v>
      </c>
      <c r="G1249" t="s">
        <v>6</v>
      </c>
      <c r="H1249" t="s">
        <v>35</v>
      </c>
      <c r="I1249" t="s">
        <v>36</v>
      </c>
      <c r="J1249" t="s">
        <v>9</v>
      </c>
      <c r="K1249" t="s">
        <v>385</v>
      </c>
      <c r="L1249" t="s">
        <v>387</v>
      </c>
      <c r="M1249" t="s">
        <v>15</v>
      </c>
      <c r="N1249" s="2">
        <v>13772.4</v>
      </c>
      <c r="O1249" s="2">
        <v>0</v>
      </c>
      <c r="P1249" s="2">
        <v>-13772.4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</row>
    <row r="1250" spans="1:23" outlineLevel="2" x14ac:dyDescent="0.2">
      <c r="A1250" t="s">
        <v>0</v>
      </c>
      <c r="B1250" t="s">
        <v>1</v>
      </c>
      <c r="C1250" t="s">
        <v>2</v>
      </c>
      <c r="D1250" t="s">
        <v>3</v>
      </c>
      <c r="E1250" t="s">
        <v>4</v>
      </c>
      <c r="F1250" t="s">
        <v>5</v>
      </c>
      <c r="G1250" t="s">
        <v>6</v>
      </c>
      <c r="H1250" t="s">
        <v>35</v>
      </c>
      <c r="I1250" t="s">
        <v>36</v>
      </c>
      <c r="J1250" t="s">
        <v>9</v>
      </c>
      <c r="K1250" t="s">
        <v>385</v>
      </c>
      <c r="L1250" t="s">
        <v>388</v>
      </c>
      <c r="M1250" t="s">
        <v>12</v>
      </c>
      <c r="N1250" s="2">
        <v>0</v>
      </c>
      <c r="O1250" s="2">
        <v>0</v>
      </c>
      <c r="P1250" s="2">
        <v>17289.72</v>
      </c>
      <c r="Q1250" s="2">
        <v>17289.72</v>
      </c>
      <c r="R1250" s="2">
        <v>0</v>
      </c>
      <c r="S1250" s="2">
        <v>0</v>
      </c>
      <c r="T1250" s="2">
        <v>0</v>
      </c>
      <c r="U1250" s="2">
        <v>17289.72</v>
      </c>
      <c r="V1250" s="2">
        <v>17289.72</v>
      </c>
      <c r="W1250" s="2">
        <v>17289.72</v>
      </c>
    </row>
    <row r="1251" spans="1:23" outlineLevel="2" x14ac:dyDescent="0.2">
      <c r="A1251" t="s">
        <v>0</v>
      </c>
      <c r="B1251" t="s">
        <v>31</v>
      </c>
      <c r="C1251" t="s">
        <v>79</v>
      </c>
      <c r="D1251" t="s">
        <v>125</v>
      </c>
      <c r="E1251" t="s">
        <v>126</v>
      </c>
      <c r="F1251" t="s">
        <v>5</v>
      </c>
      <c r="G1251" t="s">
        <v>6</v>
      </c>
      <c r="H1251" t="s">
        <v>35</v>
      </c>
      <c r="I1251" t="s">
        <v>36</v>
      </c>
      <c r="J1251" t="s">
        <v>9</v>
      </c>
      <c r="K1251" t="s">
        <v>385</v>
      </c>
      <c r="L1251" t="s">
        <v>387</v>
      </c>
      <c r="M1251" t="s">
        <v>15</v>
      </c>
      <c r="N1251" s="2">
        <v>8295.93</v>
      </c>
      <c r="O1251" s="2">
        <v>0</v>
      </c>
      <c r="P1251" s="2">
        <v>-8295.93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</row>
    <row r="1252" spans="1:23" outlineLevel="2" x14ac:dyDescent="0.2">
      <c r="A1252" t="s">
        <v>0</v>
      </c>
      <c r="B1252" t="s">
        <v>1</v>
      </c>
      <c r="C1252" t="s">
        <v>91</v>
      </c>
      <c r="D1252" t="s">
        <v>92</v>
      </c>
      <c r="E1252" t="s">
        <v>93</v>
      </c>
      <c r="F1252" t="s">
        <v>5</v>
      </c>
      <c r="G1252" t="s">
        <v>6</v>
      </c>
      <c r="H1252" t="s">
        <v>35</v>
      </c>
      <c r="I1252" t="s">
        <v>36</v>
      </c>
      <c r="J1252" t="s">
        <v>9</v>
      </c>
      <c r="K1252" t="s">
        <v>385</v>
      </c>
      <c r="L1252" t="s">
        <v>389</v>
      </c>
      <c r="M1252" t="s">
        <v>12</v>
      </c>
      <c r="N1252" s="2">
        <v>0</v>
      </c>
      <c r="O1252" s="2">
        <v>0</v>
      </c>
      <c r="P1252" s="2">
        <v>21307.24</v>
      </c>
      <c r="Q1252" s="2">
        <v>21307.24</v>
      </c>
      <c r="R1252" s="2">
        <v>0</v>
      </c>
      <c r="S1252" s="2">
        <v>0</v>
      </c>
      <c r="T1252" s="2">
        <v>0</v>
      </c>
      <c r="U1252" s="2">
        <v>21307.24</v>
      </c>
      <c r="V1252" s="2">
        <v>21307.24</v>
      </c>
      <c r="W1252" s="2">
        <v>21307.24</v>
      </c>
    </row>
    <row r="1253" spans="1:23" outlineLevel="2" x14ac:dyDescent="0.2">
      <c r="A1253" t="s">
        <v>0</v>
      </c>
      <c r="B1253" t="s">
        <v>39</v>
      </c>
      <c r="C1253" t="s">
        <v>66</v>
      </c>
      <c r="D1253" t="s">
        <v>67</v>
      </c>
      <c r="E1253" t="s">
        <v>68</v>
      </c>
      <c r="F1253" t="s">
        <v>5</v>
      </c>
      <c r="G1253" t="s">
        <v>6</v>
      </c>
      <c r="H1253" t="s">
        <v>35</v>
      </c>
      <c r="I1253" t="s">
        <v>36</v>
      </c>
      <c r="J1253" t="s">
        <v>9</v>
      </c>
      <c r="K1253" t="s">
        <v>385</v>
      </c>
      <c r="L1253" t="s">
        <v>390</v>
      </c>
      <c r="M1253" t="s">
        <v>12</v>
      </c>
      <c r="N1253" s="2">
        <v>0</v>
      </c>
      <c r="O1253" s="2">
        <v>0</v>
      </c>
      <c r="P1253" s="2">
        <v>20657.419999999998</v>
      </c>
      <c r="Q1253" s="2">
        <v>20657.419999999998</v>
      </c>
      <c r="R1253" s="2">
        <v>0</v>
      </c>
      <c r="S1253" s="2">
        <v>0</v>
      </c>
      <c r="T1253" s="2">
        <v>0</v>
      </c>
      <c r="U1253" s="2">
        <v>20657.419999999998</v>
      </c>
      <c r="V1253" s="2">
        <v>20657.419999999998</v>
      </c>
      <c r="W1253" s="2">
        <v>20657.419999999998</v>
      </c>
    </row>
    <row r="1254" spans="1:23" outlineLevel="2" x14ac:dyDescent="0.2">
      <c r="A1254" t="s">
        <v>0</v>
      </c>
      <c r="B1254" t="s">
        <v>31</v>
      </c>
      <c r="C1254" t="s">
        <v>79</v>
      </c>
      <c r="D1254" t="s">
        <v>117</v>
      </c>
      <c r="E1254" t="s">
        <v>118</v>
      </c>
      <c r="F1254" t="s">
        <v>5</v>
      </c>
      <c r="G1254" t="s">
        <v>6</v>
      </c>
      <c r="H1254" t="s">
        <v>35</v>
      </c>
      <c r="I1254" t="s">
        <v>36</v>
      </c>
      <c r="J1254" t="s">
        <v>9</v>
      </c>
      <c r="K1254" t="s">
        <v>385</v>
      </c>
      <c r="L1254" t="s">
        <v>387</v>
      </c>
      <c r="M1254" t="s">
        <v>12</v>
      </c>
      <c r="N1254" s="2">
        <v>0</v>
      </c>
      <c r="O1254" s="2">
        <v>0</v>
      </c>
      <c r="P1254" s="2">
        <v>10857.24</v>
      </c>
      <c r="Q1254" s="2">
        <v>10857.24</v>
      </c>
      <c r="R1254" s="2">
        <v>0</v>
      </c>
      <c r="S1254" s="2">
        <v>0</v>
      </c>
      <c r="T1254" s="2">
        <v>0</v>
      </c>
      <c r="U1254" s="2">
        <v>10857.24</v>
      </c>
      <c r="V1254" s="2">
        <v>10857.24</v>
      </c>
      <c r="W1254" s="2">
        <v>10857.24</v>
      </c>
    </row>
    <row r="1255" spans="1:23" outlineLevel="2" x14ac:dyDescent="0.2">
      <c r="A1255" t="s">
        <v>0</v>
      </c>
      <c r="B1255" t="s">
        <v>31</v>
      </c>
      <c r="C1255" t="s">
        <v>79</v>
      </c>
      <c r="D1255" t="s">
        <v>127</v>
      </c>
      <c r="E1255" t="s">
        <v>128</v>
      </c>
      <c r="F1255" t="s">
        <v>5</v>
      </c>
      <c r="G1255" t="s">
        <v>6</v>
      </c>
      <c r="H1255" t="s">
        <v>35</v>
      </c>
      <c r="I1255" t="s">
        <v>36</v>
      </c>
      <c r="J1255" t="s">
        <v>9</v>
      </c>
      <c r="K1255" t="s">
        <v>385</v>
      </c>
      <c r="L1255" t="s">
        <v>387</v>
      </c>
      <c r="M1255" t="s">
        <v>12</v>
      </c>
      <c r="N1255" s="2">
        <v>0</v>
      </c>
      <c r="O1255" s="2">
        <v>0</v>
      </c>
      <c r="P1255" s="2">
        <v>9613.76</v>
      </c>
      <c r="Q1255" s="2">
        <v>9613.76</v>
      </c>
      <c r="R1255" s="2">
        <v>0</v>
      </c>
      <c r="S1255" s="2">
        <v>0</v>
      </c>
      <c r="T1255" s="2">
        <v>0</v>
      </c>
      <c r="U1255" s="2">
        <v>9613.76</v>
      </c>
      <c r="V1255" s="2">
        <v>9613.76</v>
      </c>
      <c r="W1255" s="2">
        <v>9613.76</v>
      </c>
    </row>
    <row r="1256" spans="1:23" outlineLevel="2" x14ac:dyDescent="0.2">
      <c r="A1256" t="s">
        <v>0</v>
      </c>
      <c r="B1256" t="s">
        <v>31</v>
      </c>
      <c r="C1256" t="s">
        <v>79</v>
      </c>
      <c r="D1256" t="s">
        <v>131</v>
      </c>
      <c r="E1256" t="s">
        <v>132</v>
      </c>
      <c r="F1256" t="s">
        <v>5</v>
      </c>
      <c r="G1256" t="s">
        <v>6</v>
      </c>
      <c r="H1256" t="s">
        <v>35</v>
      </c>
      <c r="I1256" t="s">
        <v>36</v>
      </c>
      <c r="J1256" t="s">
        <v>9</v>
      </c>
      <c r="K1256" t="s">
        <v>385</v>
      </c>
      <c r="L1256" t="s">
        <v>387</v>
      </c>
      <c r="M1256" t="s">
        <v>12</v>
      </c>
      <c r="N1256" s="2">
        <v>0</v>
      </c>
      <c r="O1256" s="2">
        <v>0</v>
      </c>
      <c r="P1256" s="2">
        <v>6346.97</v>
      </c>
      <c r="Q1256" s="2">
        <v>6346.97</v>
      </c>
      <c r="R1256" s="2">
        <v>0</v>
      </c>
      <c r="S1256" s="2">
        <v>0</v>
      </c>
      <c r="T1256" s="2">
        <v>0</v>
      </c>
      <c r="U1256" s="2">
        <v>6346.97</v>
      </c>
      <c r="V1256" s="2">
        <v>6346.97</v>
      </c>
      <c r="W1256" s="2">
        <v>6346.97</v>
      </c>
    </row>
    <row r="1257" spans="1:23" outlineLevel="2" x14ac:dyDescent="0.2">
      <c r="A1257" t="s">
        <v>0</v>
      </c>
      <c r="B1257" t="s">
        <v>31</v>
      </c>
      <c r="C1257" t="s">
        <v>79</v>
      </c>
      <c r="D1257" t="s">
        <v>133</v>
      </c>
      <c r="E1257" t="s">
        <v>134</v>
      </c>
      <c r="F1257" t="s">
        <v>5</v>
      </c>
      <c r="G1257" t="s">
        <v>6</v>
      </c>
      <c r="H1257" t="s">
        <v>35</v>
      </c>
      <c r="I1257" t="s">
        <v>36</v>
      </c>
      <c r="J1257" t="s">
        <v>9</v>
      </c>
      <c r="K1257" t="s">
        <v>385</v>
      </c>
      <c r="L1257" t="s">
        <v>387</v>
      </c>
      <c r="M1257" t="s">
        <v>12</v>
      </c>
      <c r="N1257" s="2">
        <v>0</v>
      </c>
      <c r="O1257" s="2">
        <v>0</v>
      </c>
      <c r="P1257" s="2">
        <v>12384.5</v>
      </c>
      <c r="Q1257" s="2">
        <v>12384.5</v>
      </c>
      <c r="R1257" s="2">
        <v>0</v>
      </c>
      <c r="S1257" s="2">
        <v>0</v>
      </c>
      <c r="T1257" s="2">
        <v>0</v>
      </c>
      <c r="U1257" s="2">
        <v>12384.5</v>
      </c>
      <c r="V1257" s="2">
        <v>12384.5</v>
      </c>
      <c r="W1257" s="2">
        <v>12384.5</v>
      </c>
    </row>
    <row r="1258" spans="1:23" outlineLevel="2" x14ac:dyDescent="0.2">
      <c r="A1258" t="s">
        <v>0</v>
      </c>
      <c r="B1258" t="s">
        <v>39</v>
      </c>
      <c r="C1258" t="s">
        <v>58</v>
      </c>
      <c r="D1258" t="s">
        <v>59</v>
      </c>
      <c r="E1258" t="s">
        <v>60</v>
      </c>
      <c r="F1258" t="s">
        <v>5</v>
      </c>
      <c r="G1258" t="s">
        <v>6</v>
      </c>
      <c r="H1258" t="s">
        <v>35</v>
      </c>
      <c r="I1258" t="s">
        <v>36</v>
      </c>
      <c r="J1258" t="s">
        <v>9</v>
      </c>
      <c r="K1258" t="s">
        <v>385</v>
      </c>
      <c r="L1258" t="s">
        <v>386</v>
      </c>
      <c r="M1258" t="s">
        <v>12</v>
      </c>
      <c r="N1258" s="2">
        <v>0</v>
      </c>
      <c r="O1258" s="2">
        <v>0</v>
      </c>
      <c r="P1258" s="2">
        <v>907.32</v>
      </c>
      <c r="Q1258" s="2">
        <v>907.32</v>
      </c>
      <c r="R1258" s="2">
        <v>0</v>
      </c>
      <c r="S1258" s="2">
        <v>0</v>
      </c>
      <c r="T1258" s="2">
        <v>0</v>
      </c>
      <c r="U1258" s="2">
        <v>907.32</v>
      </c>
      <c r="V1258" s="2">
        <v>907.32</v>
      </c>
      <c r="W1258" s="2">
        <v>907.32</v>
      </c>
    </row>
    <row r="1259" spans="1:23" outlineLevel="2" x14ac:dyDescent="0.2">
      <c r="A1259" t="s">
        <v>0</v>
      </c>
      <c r="B1259" t="s">
        <v>1</v>
      </c>
      <c r="C1259" t="s">
        <v>16</v>
      </c>
      <c r="D1259" t="s">
        <v>62</v>
      </c>
      <c r="E1259" t="s">
        <v>63</v>
      </c>
      <c r="F1259" t="s">
        <v>5</v>
      </c>
      <c r="G1259" t="s">
        <v>6</v>
      </c>
      <c r="H1259" t="s">
        <v>35</v>
      </c>
      <c r="I1259" t="s">
        <v>36</v>
      </c>
      <c r="J1259" t="s">
        <v>9</v>
      </c>
      <c r="K1259" t="s">
        <v>385</v>
      </c>
      <c r="L1259" t="s">
        <v>391</v>
      </c>
      <c r="M1259" t="s">
        <v>12</v>
      </c>
      <c r="N1259" s="2">
        <v>0</v>
      </c>
      <c r="O1259" s="2">
        <v>0</v>
      </c>
      <c r="P1259" s="2">
        <v>1723.14</v>
      </c>
      <c r="Q1259" s="2">
        <v>1723.14</v>
      </c>
      <c r="R1259" s="2">
        <v>0</v>
      </c>
      <c r="S1259" s="2">
        <v>0</v>
      </c>
      <c r="T1259" s="2">
        <v>0</v>
      </c>
      <c r="U1259" s="2">
        <v>1723.14</v>
      </c>
      <c r="V1259" s="2">
        <v>1723.14</v>
      </c>
      <c r="W1259" s="2">
        <v>1723.14</v>
      </c>
    </row>
    <row r="1260" spans="1:23" outlineLevel="2" x14ac:dyDescent="0.2">
      <c r="A1260" t="s">
        <v>0</v>
      </c>
      <c r="B1260" t="s">
        <v>1</v>
      </c>
      <c r="C1260" t="s">
        <v>16</v>
      </c>
      <c r="D1260" t="s">
        <v>17</v>
      </c>
      <c r="E1260" t="s">
        <v>18</v>
      </c>
      <c r="F1260" t="s">
        <v>5</v>
      </c>
      <c r="G1260" t="s">
        <v>6</v>
      </c>
      <c r="H1260" t="s">
        <v>35</v>
      </c>
      <c r="I1260" t="s">
        <v>36</v>
      </c>
      <c r="J1260" t="s">
        <v>9</v>
      </c>
      <c r="K1260" t="s">
        <v>385</v>
      </c>
      <c r="L1260" t="s">
        <v>391</v>
      </c>
      <c r="M1260" t="s">
        <v>12</v>
      </c>
      <c r="N1260" s="2">
        <v>0</v>
      </c>
      <c r="O1260" s="2">
        <v>0</v>
      </c>
      <c r="P1260" s="2">
        <v>51851.23</v>
      </c>
      <c r="Q1260" s="2">
        <v>51851.23</v>
      </c>
      <c r="R1260" s="2">
        <v>0</v>
      </c>
      <c r="S1260" s="2">
        <v>0</v>
      </c>
      <c r="T1260" s="2">
        <v>0</v>
      </c>
      <c r="U1260" s="2">
        <v>51851.23</v>
      </c>
      <c r="V1260" s="2">
        <v>51851.23</v>
      </c>
      <c r="W1260" s="2">
        <v>51851.23</v>
      </c>
    </row>
    <row r="1261" spans="1:23" outlineLevel="2" x14ac:dyDescent="0.2">
      <c r="A1261" t="s">
        <v>0</v>
      </c>
      <c r="B1261" t="s">
        <v>1</v>
      </c>
      <c r="C1261" t="s">
        <v>16</v>
      </c>
      <c r="D1261" t="s">
        <v>103</v>
      </c>
      <c r="E1261" t="s">
        <v>104</v>
      </c>
      <c r="F1261" t="s">
        <v>5</v>
      </c>
      <c r="G1261" t="s">
        <v>6</v>
      </c>
      <c r="H1261" t="s">
        <v>35</v>
      </c>
      <c r="I1261" t="s">
        <v>36</v>
      </c>
      <c r="J1261" t="s">
        <v>9</v>
      </c>
      <c r="K1261" t="s">
        <v>385</v>
      </c>
      <c r="L1261" t="s">
        <v>391</v>
      </c>
      <c r="M1261" t="s">
        <v>12</v>
      </c>
      <c r="N1261" s="2">
        <v>0</v>
      </c>
      <c r="O1261" s="2">
        <v>0</v>
      </c>
      <c r="P1261" s="2">
        <v>30329.54</v>
      </c>
      <c r="Q1261" s="2">
        <v>30329.54</v>
      </c>
      <c r="R1261" s="2">
        <v>0</v>
      </c>
      <c r="S1261" s="2">
        <v>0</v>
      </c>
      <c r="T1261" s="2">
        <v>0</v>
      </c>
      <c r="U1261" s="2">
        <v>30329.54</v>
      </c>
      <c r="V1261" s="2">
        <v>30329.54</v>
      </c>
      <c r="W1261" s="2">
        <v>30329.54</v>
      </c>
    </row>
    <row r="1262" spans="1:23" outlineLevel="2" x14ac:dyDescent="0.2">
      <c r="A1262" t="s">
        <v>0</v>
      </c>
      <c r="B1262" t="s">
        <v>31</v>
      </c>
      <c r="C1262" t="s">
        <v>32</v>
      </c>
      <c r="D1262" t="s">
        <v>75</v>
      </c>
      <c r="E1262" t="s">
        <v>76</v>
      </c>
      <c r="F1262" t="s">
        <v>5</v>
      </c>
      <c r="G1262" t="s">
        <v>6</v>
      </c>
      <c r="H1262" t="s">
        <v>35</v>
      </c>
      <c r="I1262" t="s">
        <v>36</v>
      </c>
      <c r="J1262" t="s">
        <v>9</v>
      </c>
      <c r="K1262" t="s">
        <v>385</v>
      </c>
      <c r="L1262" t="s">
        <v>392</v>
      </c>
      <c r="M1262" t="s">
        <v>12</v>
      </c>
      <c r="N1262" s="2">
        <v>0</v>
      </c>
      <c r="O1262" s="2">
        <v>0</v>
      </c>
      <c r="P1262" s="2">
        <v>12055.65</v>
      </c>
      <c r="Q1262" s="2">
        <v>12055.65</v>
      </c>
      <c r="R1262" s="2">
        <v>0</v>
      </c>
      <c r="S1262" s="2">
        <v>0</v>
      </c>
      <c r="T1262" s="2">
        <v>0</v>
      </c>
      <c r="U1262" s="2">
        <v>12055.65</v>
      </c>
      <c r="V1262" s="2">
        <v>12055.65</v>
      </c>
      <c r="W1262" s="2">
        <v>12055.65</v>
      </c>
    </row>
    <row r="1263" spans="1:23" outlineLevel="2" x14ac:dyDescent="0.2">
      <c r="A1263" t="s">
        <v>0</v>
      </c>
      <c r="B1263" t="s">
        <v>1</v>
      </c>
      <c r="C1263" t="s">
        <v>2</v>
      </c>
      <c r="D1263" t="s">
        <v>20</v>
      </c>
      <c r="E1263" t="s">
        <v>21</v>
      </c>
      <c r="F1263" t="s">
        <v>5</v>
      </c>
      <c r="G1263" t="s">
        <v>6</v>
      </c>
      <c r="H1263" t="s">
        <v>35</v>
      </c>
      <c r="I1263" t="s">
        <v>36</v>
      </c>
      <c r="J1263" t="s">
        <v>9</v>
      </c>
      <c r="K1263" t="s">
        <v>385</v>
      </c>
      <c r="L1263" t="s">
        <v>388</v>
      </c>
      <c r="M1263" t="s">
        <v>12</v>
      </c>
      <c r="N1263" s="2">
        <v>0</v>
      </c>
      <c r="O1263" s="2">
        <v>0</v>
      </c>
      <c r="P1263" s="2">
        <v>48225.91</v>
      </c>
      <c r="Q1263" s="2">
        <v>48225.91</v>
      </c>
      <c r="R1263" s="2">
        <v>0</v>
      </c>
      <c r="S1263" s="2">
        <v>0</v>
      </c>
      <c r="T1263" s="2">
        <v>0</v>
      </c>
      <c r="U1263" s="2">
        <v>48225.91</v>
      </c>
      <c r="V1263" s="2">
        <v>48225.91</v>
      </c>
      <c r="W1263" s="2">
        <v>48225.91</v>
      </c>
    </row>
    <row r="1264" spans="1:23" outlineLevel="2" x14ac:dyDescent="0.2">
      <c r="A1264" t="s">
        <v>0</v>
      </c>
      <c r="B1264" t="s">
        <v>31</v>
      </c>
      <c r="C1264" t="s">
        <v>32</v>
      </c>
      <c r="D1264" t="s">
        <v>123</v>
      </c>
      <c r="E1264" t="s">
        <v>124</v>
      </c>
      <c r="F1264" t="s">
        <v>5</v>
      </c>
      <c r="G1264" t="s">
        <v>6</v>
      </c>
      <c r="H1264" t="s">
        <v>35</v>
      </c>
      <c r="I1264" t="s">
        <v>36</v>
      </c>
      <c r="J1264" t="s">
        <v>9</v>
      </c>
      <c r="K1264" t="s">
        <v>385</v>
      </c>
      <c r="L1264" t="s">
        <v>392</v>
      </c>
      <c r="M1264" t="s">
        <v>12</v>
      </c>
      <c r="N1264" s="2">
        <v>0</v>
      </c>
      <c r="O1264" s="2">
        <v>0</v>
      </c>
      <c r="P1264" s="2">
        <v>15166.97</v>
      </c>
      <c r="Q1264" s="2">
        <v>15166.97</v>
      </c>
      <c r="R1264" s="2">
        <v>0</v>
      </c>
      <c r="S1264" s="2">
        <v>0</v>
      </c>
      <c r="T1264" s="2">
        <v>0</v>
      </c>
      <c r="U1264" s="2">
        <v>15166.97</v>
      </c>
      <c r="V1264" s="2">
        <v>15166.97</v>
      </c>
      <c r="W1264" s="2">
        <v>15166.97</v>
      </c>
    </row>
    <row r="1265" spans="1:23" outlineLevel="2" x14ac:dyDescent="0.2">
      <c r="A1265" t="s">
        <v>0</v>
      </c>
      <c r="B1265" t="s">
        <v>39</v>
      </c>
      <c r="C1265" t="s">
        <v>58</v>
      </c>
      <c r="D1265" t="s">
        <v>129</v>
      </c>
      <c r="E1265" t="s">
        <v>130</v>
      </c>
      <c r="F1265" t="s">
        <v>5</v>
      </c>
      <c r="G1265" t="s">
        <v>6</v>
      </c>
      <c r="H1265" t="s">
        <v>35</v>
      </c>
      <c r="I1265" t="s">
        <v>36</v>
      </c>
      <c r="J1265" t="s">
        <v>9</v>
      </c>
      <c r="K1265" t="s">
        <v>385</v>
      </c>
      <c r="L1265" t="s">
        <v>386</v>
      </c>
      <c r="M1265" t="s">
        <v>12</v>
      </c>
      <c r="N1265" s="2">
        <v>0</v>
      </c>
      <c r="O1265" s="2">
        <v>0</v>
      </c>
      <c r="P1265" s="2">
        <v>3074.16</v>
      </c>
      <c r="Q1265" s="2">
        <v>3074.16</v>
      </c>
      <c r="R1265" s="2">
        <v>0</v>
      </c>
      <c r="S1265" s="2">
        <v>0</v>
      </c>
      <c r="T1265" s="2">
        <v>0</v>
      </c>
      <c r="U1265" s="2">
        <v>3074.16</v>
      </c>
      <c r="V1265" s="2">
        <v>3074.16</v>
      </c>
      <c r="W1265" s="2">
        <v>3074.16</v>
      </c>
    </row>
    <row r="1266" spans="1:23" outlineLevel="2" x14ac:dyDescent="0.2">
      <c r="A1266" t="s">
        <v>0</v>
      </c>
      <c r="B1266" t="s">
        <v>31</v>
      </c>
      <c r="C1266" t="s">
        <v>79</v>
      </c>
      <c r="D1266" t="s">
        <v>125</v>
      </c>
      <c r="E1266" t="s">
        <v>126</v>
      </c>
      <c r="F1266" t="s">
        <v>5</v>
      </c>
      <c r="G1266" t="s">
        <v>6</v>
      </c>
      <c r="H1266" t="s">
        <v>35</v>
      </c>
      <c r="I1266" t="s">
        <v>36</v>
      </c>
      <c r="J1266" t="s">
        <v>9</v>
      </c>
      <c r="K1266" t="s">
        <v>385</v>
      </c>
      <c r="L1266" t="s">
        <v>387</v>
      </c>
      <c r="M1266" t="s">
        <v>12</v>
      </c>
      <c r="N1266" s="2">
        <v>0</v>
      </c>
      <c r="O1266" s="2">
        <v>0</v>
      </c>
      <c r="P1266" s="2">
        <v>8295.93</v>
      </c>
      <c r="Q1266" s="2">
        <v>8295.93</v>
      </c>
      <c r="R1266" s="2">
        <v>0</v>
      </c>
      <c r="S1266" s="2">
        <v>0</v>
      </c>
      <c r="T1266" s="2">
        <v>0</v>
      </c>
      <c r="U1266" s="2">
        <v>8295.93</v>
      </c>
      <c r="V1266" s="2">
        <v>8295.93</v>
      </c>
      <c r="W1266" s="2">
        <v>8295.93</v>
      </c>
    </row>
    <row r="1267" spans="1:23" outlineLevel="2" x14ac:dyDescent="0.2">
      <c r="A1267" t="s">
        <v>0</v>
      </c>
      <c r="B1267" t="s">
        <v>1</v>
      </c>
      <c r="C1267" t="s">
        <v>16</v>
      </c>
      <c r="D1267" t="s">
        <v>64</v>
      </c>
      <c r="E1267" t="s">
        <v>65</v>
      </c>
      <c r="F1267" t="s">
        <v>5</v>
      </c>
      <c r="G1267" t="s">
        <v>6</v>
      </c>
      <c r="H1267" t="s">
        <v>35</v>
      </c>
      <c r="I1267" t="s">
        <v>36</v>
      </c>
      <c r="J1267" t="s">
        <v>9</v>
      </c>
      <c r="K1267" t="s">
        <v>385</v>
      </c>
      <c r="L1267" t="s">
        <v>391</v>
      </c>
      <c r="M1267" t="s">
        <v>12</v>
      </c>
      <c r="N1267" s="2">
        <v>0</v>
      </c>
      <c r="O1267" s="2">
        <v>0</v>
      </c>
      <c r="P1267" s="2">
        <v>2855.6</v>
      </c>
      <c r="Q1267" s="2">
        <v>2855.6</v>
      </c>
      <c r="R1267" s="2">
        <v>0</v>
      </c>
      <c r="S1267" s="2">
        <v>0</v>
      </c>
      <c r="T1267" s="2">
        <v>0</v>
      </c>
      <c r="U1267" s="2">
        <v>2855.6</v>
      </c>
      <c r="V1267" s="2">
        <v>2855.6</v>
      </c>
      <c r="W1267" s="2">
        <v>2855.6</v>
      </c>
    </row>
    <row r="1268" spans="1:23" outlineLevel="2" x14ac:dyDescent="0.2">
      <c r="A1268" t="s">
        <v>0</v>
      </c>
      <c r="B1268" t="s">
        <v>39</v>
      </c>
      <c r="C1268" t="s">
        <v>95</v>
      </c>
      <c r="D1268" t="s">
        <v>96</v>
      </c>
      <c r="E1268" t="s">
        <v>97</v>
      </c>
      <c r="F1268" t="s">
        <v>5</v>
      </c>
      <c r="G1268" t="s">
        <v>6</v>
      </c>
      <c r="H1268" t="s">
        <v>35</v>
      </c>
      <c r="I1268" t="s">
        <v>36</v>
      </c>
      <c r="J1268" t="s">
        <v>9</v>
      </c>
      <c r="K1268" t="s">
        <v>385</v>
      </c>
      <c r="L1268" t="s">
        <v>393</v>
      </c>
      <c r="M1268" t="s">
        <v>12</v>
      </c>
      <c r="N1268" s="2">
        <v>0</v>
      </c>
      <c r="O1268" s="2">
        <v>0</v>
      </c>
      <c r="P1268" s="2">
        <v>25219.79</v>
      </c>
      <c r="Q1268" s="2">
        <v>25219.79</v>
      </c>
      <c r="R1268" s="2">
        <v>0</v>
      </c>
      <c r="S1268" s="2">
        <v>0</v>
      </c>
      <c r="T1268" s="2">
        <v>0</v>
      </c>
      <c r="U1268" s="2">
        <v>25219.79</v>
      </c>
      <c r="V1268" s="2">
        <v>25219.79</v>
      </c>
      <c r="W1268" s="2">
        <v>25219.79</v>
      </c>
    </row>
    <row r="1269" spans="1:23" outlineLevel="2" x14ac:dyDescent="0.2">
      <c r="A1269" t="s">
        <v>0</v>
      </c>
      <c r="B1269" t="s">
        <v>39</v>
      </c>
      <c r="C1269" t="s">
        <v>58</v>
      </c>
      <c r="D1269" t="s">
        <v>119</v>
      </c>
      <c r="E1269" t="s">
        <v>120</v>
      </c>
      <c r="F1269" t="s">
        <v>5</v>
      </c>
      <c r="G1269" t="s">
        <v>6</v>
      </c>
      <c r="H1269" t="s">
        <v>35</v>
      </c>
      <c r="I1269" t="s">
        <v>36</v>
      </c>
      <c r="J1269" t="s">
        <v>9</v>
      </c>
      <c r="K1269" t="s">
        <v>385</v>
      </c>
      <c r="L1269" t="s">
        <v>386</v>
      </c>
      <c r="M1269" t="s">
        <v>12</v>
      </c>
      <c r="N1269" s="2">
        <v>0</v>
      </c>
      <c r="O1269" s="2">
        <v>0</v>
      </c>
      <c r="P1269" s="2">
        <v>3494.64</v>
      </c>
      <c r="Q1269" s="2">
        <v>3494.64</v>
      </c>
      <c r="R1269" s="2">
        <v>0</v>
      </c>
      <c r="S1269" s="2">
        <v>0</v>
      </c>
      <c r="T1269" s="2">
        <v>0</v>
      </c>
      <c r="U1269" s="2">
        <v>3494.64</v>
      </c>
      <c r="V1269" s="2">
        <v>3494.64</v>
      </c>
      <c r="W1269" s="2">
        <v>3494.64</v>
      </c>
    </row>
    <row r="1270" spans="1:23" outlineLevel="2" x14ac:dyDescent="0.2">
      <c r="A1270" t="s">
        <v>0</v>
      </c>
      <c r="B1270" t="s">
        <v>39</v>
      </c>
      <c r="C1270" t="s">
        <v>70</v>
      </c>
      <c r="D1270" t="s">
        <v>89</v>
      </c>
      <c r="E1270" t="s">
        <v>90</v>
      </c>
      <c r="F1270" t="s">
        <v>5</v>
      </c>
      <c r="G1270" t="s">
        <v>6</v>
      </c>
      <c r="H1270" t="s">
        <v>35</v>
      </c>
      <c r="I1270" t="s">
        <v>36</v>
      </c>
      <c r="J1270" t="s">
        <v>9</v>
      </c>
      <c r="K1270" t="s">
        <v>385</v>
      </c>
      <c r="L1270" t="s">
        <v>394</v>
      </c>
      <c r="M1270" t="s">
        <v>12</v>
      </c>
      <c r="N1270" s="2">
        <v>0</v>
      </c>
      <c r="O1270" s="2">
        <v>0</v>
      </c>
      <c r="P1270" s="2">
        <v>69821.47</v>
      </c>
      <c r="Q1270" s="2">
        <v>69821.47</v>
      </c>
      <c r="R1270" s="2">
        <v>0</v>
      </c>
      <c r="S1270" s="2">
        <v>0</v>
      </c>
      <c r="T1270" s="2">
        <v>0</v>
      </c>
      <c r="U1270" s="2">
        <v>69821.47</v>
      </c>
      <c r="V1270" s="2">
        <v>69821.47</v>
      </c>
      <c r="W1270" s="2">
        <v>69821.47</v>
      </c>
    </row>
    <row r="1271" spans="1:23" outlineLevel="2" x14ac:dyDescent="0.2">
      <c r="A1271" t="s">
        <v>0</v>
      </c>
      <c r="B1271" t="s">
        <v>1</v>
      </c>
      <c r="C1271" t="s">
        <v>99</v>
      </c>
      <c r="D1271" t="s">
        <v>100</v>
      </c>
      <c r="E1271" t="s">
        <v>101</v>
      </c>
      <c r="F1271" t="s">
        <v>5</v>
      </c>
      <c r="G1271" t="s">
        <v>6</v>
      </c>
      <c r="H1271" t="s">
        <v>35</v>
      </c>
      <c r="I1271" t="s">
        <v>36</v>
      </c>
      <c r="J1271" t="s">
        <v>9</v>
      </c>
      <c r="K1271" t="s">
        <v>385</v>
      </c>
      <c r="L1271" t="s">
        <v>395</v>
      </c>
      <c r="M1271" t="s">
        <v>12</v>
      </c>
      <c r="N1271" s="2">
        <v>0</v>
      </c>
      <c r="O1271" s="2">
        <v>0</v>
      </c>
      <c r="P1271" s="2">
        <v>471.36</v>
      </c>
      <c r="Q1271" s="2">
        <v>471.36</v>
      </c>
      <c r="R1271" s="2">
        <v>0</v>
      </c>
      <c r="S1271" s="2">
        <v>0</v>
      </c>
      <c r="T1271" s="2">
        <v>0</v>
      </c>
      <c r="U1271" s="2">
        <v>471.36</v>
      </c>
      <c r="V1271" s="2">
        <v>471.36</v>
      </c>
      <c r="W1271" s="2">
        <v>471.36</v>
      </c>
    </row>
    <row r="1272" spans="1:23" outlineLevel="2" x14ac:dyDescent="0.2">
      <c r="A1272" t="s">
        <v>0</v>
      </c>
      <c r="B1272" t="s">
        <v>1</v>
      </c>
      <c r="C1272" t="s">
        <v>16</v>
      </c>
      <c r="D1272" t="s">
        <v>62</v>
      </c>
      <c r="E1272" t="s">
        <v>63</v>
      </c>
      <c r="F1272" t="s">
        <v>5</v>
      </c>
      <c r="G1272" t="s">
        <v>6</v>
      </c>
      <c r="H1272" t="s">
        <v>35</v>
      </c>
      <c r="I1272" t="s">
        <v>36</v>
      </c>
      <c r="J1272" t="s">
        <v>9</v>
      </c>
      <c r="K1272" t="s">
        <v>385</v>
      </c>
      <c r="L1272" t="s">
        <v>391</v>
      </c>
      <c r="M1272" t="s">
        <v>15</v>
      </c>
      <c r="N1272" s="2">
        <v>1723.14</v>
      </c>
      <c r="O1272" s="2">
        <v>0</v>
      </c>
      <c r="P1272" s="2">
        <v>-1723.14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</row>
    <row r="1273" spans="1:23" outlineLevel="2" x14ac:dyDescent="0.2">
      <c r="A1273" t="s">
        <v>0</v>
      </c>
      <c r="B1273" t="s">
        <v>39</v>
      </c>
      <c r="C1273" t="s">
        <v>58</v>
      </c>
      <c r="D1273" t="s">
        <v>105</v>
      </c>
      <c r="E1273" t="s">
        <v>106</v>
      </c>
      <c r="F1273" t="s">
        <v>5</v>
      </c>
      <c r="G1273" t="s">
        <v>6</v>
      </c>
      <c r="H1273" t="s">
        <v>35</v>
      </c>
      <c r="I1273" t="s">
        <v>36</v>
      </c>
      <c r="J1273" t="s">
        <v>9</v>
      </c>
      <c r="K1273" t="s">
        <v>385</v>
      </c>
      <c r="L1273" t="s">
        <v>386</v>
      </c>
      <c r="M1273" t="s">
        <v>12</v>
      </c>
      <c r="N1273" s="2">
        <v>0</v>
      </c>
      <c r="O1273" s="2">
        <v>0</v>
      </c>
      <c r="P1273" s="2">
        <v>7951.91</v>
      </c>
      <c r="Q1273" s="2">
        <v>7951.91</v>
      </c>
      <c r="R1273" s="2">
        <v>0</v>
      </c>
      <c r="S1273" s="2">
        <v>0</v>
      </c>
      <c r="T1273" s="2">
        <v>0</v>
      </c>
      <c r="U1273" s="2">
        <v>7951.91</v>
      </c>
      <c r="V1273" s="2">
        <v>7951.91</v>
      </c>
      <c r="W1273" s="2">
        <v>7951.91</v>
      </c>
    </row>
    <row r="1274" spans="1:23" outlineLevel="2" x14ac:dyDescent="0.2">
      <c r="A1274" t="s">
        <v>0</v>
      </c>
      <c r="B1274" t="s">
        <v>31</v>
      </c>
      <c r="C1274" t="s">
        <v>107</v>
      </c>
      <c r="D1274" t="s">
        <v>108</v>
      </c>
      <c r="E1274" t="s">
        <v>109</v>
      </c>
      <c r="F1274" t="s">
        <v>5</v>
      </c>
      <c r="G1274" t="s">
        <v>6</v>
      </c>
      <c r="H1274" t="s">
        <v>35</v>
      </c>
      <c r="I1274" t="s">
        <v>36</v>
      </c>
      <c r="J1274" t="s">
        <v>9</v>
      </c>
      <c r="K1274" t="s">
        <v>385</v>
      </c>
      <c r="L1274" t="s">
        <v>396</v>
      </c>
      <c r="M1274" t="s">
        <v>12</v>
      </c>
      <c r="N1274" s="2">
        <v>0</v>
      </c>
      <c r="O1274" s="2">
        <v>0</v>
      </c>
      <c r="P1274" s="2">
        <v>13429.54</v>
      </c>
      <c r="Q1274" s="2">
        <v>13429.54</v>
      </c>
      <c r="R1274" s="2">
        <v>0</v>
      </c>
      <c r="S1274" s="2">
        <v>0</v>
      </c>
      <c r="T1274" s="2">
        <v>0</v>
      </c>
      <c r="U1274" s="2">
        <v>13429.54</v>
      </c>
      <c r="V1274" s="2">
        <v>13429.54</v>
      </c>
      <c r="W1274" s="2">
        <v>13429.54</v>
      </c>
    </row>
    <row r="1275" spans="1:23" outlineLevel="2" x14ac:dyDescent="0.2">
      <c r="A1275" t="s">
        <v>0</v>
      </c>
      <c r="B1275" t="s">
        <v>1</v>
      </c>
      <c r="C1275" t="s">
        <v>16</v>
      </c>
      <c r="D1275" t="s">
        <v>64</v>
      </c>
      <c r="E1275" t="s">
        <v>65</v>
      </c>
      <c r="F1275" t="s">
        <v>5</v>
      </c>
      <c r="G1275" t="s">
        <v>6</v>
      </c>
      <c r="H1275" t="s">
        <v>35</v>
      </c>
      <c r="I1275" t="s">
        <v>36</v>
      </c>
      <c r="J1275" t="s">
        <v>9</v>
      </c>
      <c r="K1275" t="s">
        <v>385</v>
      </c>
      <c r="L1275" t="s">
        <v>391</v>
      </c>
      <c r="M1275" t="s">
        <v>15</v>
      </c>
      <c r="N1275" s="2">
        <v>2855.6</v>
      </c>
      <c r="O1275" s="2">
        <v>0</v>
      </c>
      <c r="P1275" s="2">
        <v>-2855.6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</row>
    <row r="1276" spans="1:23" outlineLevel="2" x14ac:dyDescent="0.2">
      <c r="A1276" t="s">
        <v>0</v>
      </c>
      <c r="B1276" t="s">
        <v>53</v>
      </c>
      <c r="C1276" t="s">
        <v>85</v>
      </c>
      <c r="D1276" t="s">
        <v>86</v>
      </c>
      <c r="E1276" t="s">
        <v>87</v>
      </c>
      <c r="F1276" t="s">
        <v>5</v>
      </c>
      <c r="G1276" t="s">
        <v>6</v>
      </c>
      <c r="H1276" t="s">
        <v>35</v>
      </c>
      <c r="I1276" t="s">
        <v>36</v>
      </c>
      <c r="J1276" t="s">
        <v>9</v>
      </c>
      <c r="K1276" t="s">
        <v>385</v>
      </c>
      <c r="L1276" t="s">
        <v>397</v>
      </c>
      <c r="M1276" t="s">
        <v>12</v>
      </c>
      <c r="N1276" s="2">
        <v>0</v>
      </c>
      <c r="O1276" s="2">
        <v>0</v>
      </c>
      <c r="P1276" s="2">
        <v>2257.69</v>
      </c>
      <c r="Q1276" s="2">
        <v>2257.69</v>
      </c>
      <c r="R1276" s="2">
        <v>0</v>
      </c>
      <c r="S1276" s="2">
        <v>0</v>
      </c>
      <c r="T1276" s="2">
        <v>0</v>
      </c>
      <c r="U1276" s="2">
        <v>2257.69</v>
      </c>
      <c r="V1276" s="2">
        <v>2257.69</v>
      </c>
      <c r="W1276" s="2">
        <v>2257.69</v>
      </c>
    </row>
    <row r="1277" spans="1:23" outlineLevel="2" x14ac:dyDescent="0.2">
      <c r="A1277" t="s">
        <v>0</v>
      </c>
      <c r="B1277" t="s">
        <v>31</v>
      </c>
      <c r="C1277" t="s">
        <v>32</v>
      </c>
      <c r="D1277" t="s">
        <v>75</v>
      </c>
      <c r="E1277" t="s">
        <v>76</v>
      </c>
      <c r="F1277" t="s">
        <v>5</v>
      </c>
      <c r="G1277" t="s">
        <v>6</v>
      </c>
      <c r="H1277" t="s">
        <v>35</v>
      </c>
      <c r="I1277" t="s">
        <v>36</v>
      </c>
      <c r="J1277" t="s">
        <v>9</v>
      </c>
      <c r="K1277" t="s">
        <v>385</v>
      </c>
      <c r="L1277" t="s">
        <v>392</v>
      </c>
      <c r="M1277" t="s">
        <v>15</v>
      </c>
      <c r="N1277" s="2">
        <v>24444.99</v>
      </c>
      <c r="O1277" s="2">
        <v>0</v>
      </c>
      <c r="P1277" s="2">
        <v>-12055.65</v>
      </c>
      <c r="Q1277" s="2">
        <v>12389.34</v>
      </c>
      <c r="R1277" s="2">
        <v>0</v>
      </c>
      <c r="S1277" s="2">
        <v>12389.34</v>
      </c>
      <c r="T1277" s="2">
        <v>12097.67</v>
      </c>
      <c r="U1277" s="2">
        <v>0</v>
      </c>
      <c r="V1277" s="2">
        <v>291.67</v>
      </c>
      <c r="W1277" s="2">
        <v>0</v>
      </c>
    </row>
    <row r="1278" spans="1:23" outlineLevel="2" x14ac:dyDescent="0.2">
      <c r="A1278" t="s">
        <v>0</v>
      </c>
      <c r="B1278" t="s">
        <v>31</v>
      </c>
      <c r="C1278" t="s">
        <v>79</v>
      </c>
      <c r="D1278" t="s">
        <v>83</v>
      </c>
      <c r="E1278" t="s">
        <v>84</v>
      </c>
      <c r="F1278" t="s">
        <v>5</v>
      </c>
      <c r="G1278" t="s">
        <v>6</v>
      </c>
      <c r="H1278" t="s">
        <v>35</v>
      </c>
      <c r="I1278" t="s">
        <v>36</v>
      </c>
      <c r="J1278" t="s">
        <v>9</v>
      </c>
      <c r="K1278" t="s">
        <v>385</v>
      </c>
      <c r="L1278" t="s">
        <v>387</v>
      </c>
      <c r="M1278" t="s">
        <v>12</v>
      </c>
      <c r="N1278" s="2">
        <v>0</v>
      </c>
      <c r="O1278" s="2">
        <v>0</v>
      </c>
      <c r="P1278" s="2">
        <v>38003.9</v>
      </c>
      <c r="Q1278" s="2">
        <v>38003.9</v>
      </c>
      <c r="R1278" s="2">
        <v>0</v>
      </c>
      <c r="S1278" s="2">
        <v>0</v>
      </c>
      <c r="T1278" s="2">
        <v>0</v>
      </c>
      <c r="U1278" s="2">
        <v>38003.9</v>
      </c>
      <c r="V1278" s="2">
        <v>38003.9</v>
      </c>
      <c r="W1278" s="2">
        <v>38003.9</v>
      </c>
    </row>
    <row r="1279" spans="1:23" outlineLevel="2" x14ac:dyDescent="0.2">
      <c r="A1279" t="s">
        <v>0</v>
      </c>
      <c r="B1279" t="s">
        <v>31</v>
      </c>
      <c r="C1279" t="s">
        <v>49</v>
      </c>
      <c r="D1279" t="s">
        <v>50</v>
      </c>
      <c r="E1279" t="s">
        <v>51</v>
      </c>
      <c r="F1279" t="s">
        <v>5</v>
      </c>
      <c r="G1279" t="s">
        <v>6</v>
      </c>
      <c r="H1279" t="s">
        <v>35</v>
      </c>
      <c r="I1279" t="s">
        <v>36</v>
      </c>
      <c r="J1279" t="s">
        <v>9</v>
      </c>
      <c r="K1279" t="s">
        <v>385</v>
      </c>
      <c r="L1279" t="s">
        <v>398</v>
      </c>
      <c r="M1279" t="s">
        <v>12</v>
      </c>
      <c r="N1279" s="2">
        <v>0</v>
      </c>
      <c r="O1279" s="2">
        <v>0</v>
      </c>
      <c r="P1279" s="2">
        <v>6634.7</v>
      </c>
      <c r="Q1279" s="2">
        <v>6634.7</v>
      </c>
      <c r="R1279" s="2">
        <v>0</v>
      </c>
      <c r="S1279" s="2">
        <v>0</v>
      </c>
      <c r="T1279" s="2">
        <v>0</v>
      </c>
      <c r="U1279" s="2">
        <v>6634.7</v>
      </c>
      <c r="V1279" s="2">
        <v>6634.7</v>
      </c>
      <c r="W1279" s="2">
        <v>6634.7</v>
      </c>
    </row>
    <row r="1280" spans="1:23" outlineLevel="2" x14ac:dyDescent="0.2">
      <c r="A1280" t="s">
        <v>0</v>
      </c>
      <c r="B1280" t="s">
        <v>39</v>
      </c>
      <c r="C1280" t="s">
        <v>40</v>
      </c>
      <c r="D1280" t="s">
        <v>41</v>
      </c>
      <c r="E1280" t="s">
        <v>42</v>
      </c>
      <c r="F1280" t="s">
        <v>5</v>
      </c>
      <c r="G1280" t="s">
        <v>6</v>
      </c>
      <c r="H1280" t="s">
        <v>35</v>
      </c>
      <c r="I1280" t="s">
        <v>36</v>
      </c>
      <c r="J1280" t="s">
        <v>9</v>
      </c>
      <c r="K1280" t="s">
        <v>385</v>
      </c>
      <c r="L1280" t="s">
        <v>399</v>
      </c>
      <c r="M1280" t="s">
        <v>12</v>
      </c>
      <c r="N1280" s="2">
        <v>0</v>
      </c>
      <c r="O1280" s="2">
        <v>0</v>
      </c>
      <c r="P1280" s="2">
        <v>12455.28</v>
      </c>
      <c r="Q1280" s="2">
        <v>12455.28</v>
      </c>
      <c r="R1280" s="2">
        <v>0</v>
      </c>
      <c r="S1280" s="2">
        <v>0</v>
      </c>
      <c r="T1280" s="2">
        <v>0</v>
      </c>
      <c r="U1280" s="2">
        <v>12455.28</v>
      </c>
      <c r="V1280" s="2">
        <v>12455.28</v>
      </c>
      <c r="W1280" s="2">
        <v>12455.28</v>
      </c>
    </row>
    <row r="1281" spans="1:23" outlineLevel="2" x14ac:dyDescent="0.2">
      <c r="A1281" t="s">
        <v>0</v>
      </c>
      <c r="B1281" t="s">
        <v>31</v>
      </c>
      <c r="C1281" t="s">
        <v>32</v>
      </c>
      <c r="D1281" t="s">
        <v>123</v>
      </c>
      <c r="E1281" t="s">
        <v>124</v>
      </c>
      <c r="F1281" t="s">
        <v>5</v>
      </c>
      <c r="G1281" t="s">
        <v>6</v>
      </c>
      <c r="H1281" t="s">
        <v>35</v>
      </c>
      <c r="I1281" t="s">
        <v>36</v>
      </c>
      <c r="J1281" t="s">
        <v>9</v>
      </c>
      <c r="K1281" t="s">
        <v>385</v>
      </c>
      <c r="L1281" t="s">
        <v>392</v>
      </c>
      <c r="M1281" t="s">
        <v>15</v>
      </c>
      <c r="N1281" s="2">
        <v>23630.06</v>
      </c>
      <c r="O1281" s="2">
        <v>0</v>
      </c>
      <c r="P1281" s="2">
        <v>-15166.97</v>
      </c>
      <c r="Q1281" s="2">
        <v>8463.09</v>
      </c>
      <c r="R1281" s="2">
        <v>0</v>
      </c>
      <c r="S1281" s="2">
        <v>8463.09</v>
      </c>
      <c r="T1281" s="2">
        <v>8463.09</v>
      </c>
      <c r="U1281" s="2">
        <v>0</v>
      </c>
      <c r="V1281" s="2">
        <v>0</v>
      </c>
      <c r="W1281" s="2">
        <v>0</v>
      </c>
    </row>
    <row r="1282" spans="1:23" outlineLevel="2" x14ac:dyDescent="0.2">
      <c r="A1282" t="s">
        <v>0</v>
      </c>
      <c r="B1282" t="s">
        <v>1</v>
      </c>
      <c r="C1282" t="s">
        <v>44</v>
      </c>
      <c r="D1282" t="s">
        <v>45</v>
      </c>
      <c r="E1282" t="s">
        <v>46</v>
      </c>
      <c r="F1282" t="s">
        <v>5</v>
      </c>
      <c r="G1282" t="s">
        <v>6</v>
      </c>
      <c r="H1282" t="s">
        <v>35</v>
      </c>
      <c r="I1282" t="s">
        <v>36</v>
      </c>
      <c r="J1282" t="s">
        <v>9</v>
      </c>
      <c r="K1282" t="s">
        <v>385</v>
      </c>
      <c r="L1282" t="s">
        <v>400</v>
      </c>
      <c r="M1282" t="s">
        <v>12</v>
      </c>
      <c r="N1282" s="2">
        <v>0</v>
      </c>
      <c r="O1282" s="2">
        <v>0</v>
      </c>
      <c r="P1282" s="2">
        <v>8939.14</v>
      </c>
      <c r="Q1282" s="2">
        <v>8939.14</v>
      </c>
      <c r="R1282" s="2">
        <v>0</v>
      </c>
      <c r="S1282" s="2">
        <v>0</v>
      </c>
      <c r="T1282" s="2">
        <v>0</v>
      </c>
      <c r="U1282" s="2">
        <v>8939.14</v>
      </c>
      <c r="V1282" s="2">
        <v>8939.14</v>
      </c>
      <c r="W1282" s="2">
        <v>8939.14</v>
      </c>
    </row>
    <row r="1283" spans="1:23" outlineLevel="2" x14ac:dyDescent="0.2">
      <c r="A1283" t="s">
        <v>0</v>
      </c>
      <c r="B1283" t="s">
        <v>31</v>
      </c>
      <c r="C1283" t="s">
        <v>32</v>
      </c>
      <c r="D1283" t="s">
        <v>141</v>
      </c>
      <c r="E1283" t="s">
        <v>142</v>
      </c>
      <c r="F1283" t="s">
        <v>5</v>
      </c>
      <c r="G1283" t="s">
        <v>6</v>
      </c>
      <c r="H1283" t="s">
        <v>35</v>
      </c>
      <c r="I1283" t="s">
        <v>36</v>
      </c>
      <c r="J1283" t="s">
        <v>9</v>
      </c>
      <c r="K1283" t="s">
        <v>385</v>
      </c>
      <c r="L1283" t="s">
        <v>392</v>
      </c>
      <c r="M1283" t="s">
        <v>12</v>
      </c>
      <c r="N1283" s="2">
        <v>0</v>
      </c>
      <c r="O1283" s="2">
        <v>0</v>
      </c>
      <c r="P1283" s="2">
        <v>1354.91</v>
      </c>
      <c r="Q1283" s="2">
        <v>1354.91</v>
      </c>
      <c r="R1283" s="2">
        <v>0</v>
      </c>
      <c r="S1283" s="2">
        <v>0</v>
      </c>
      <c r="T1283" s="2">
        <v>0</v>
      </c>
      <c r="U1283" s="2">
        <v>1354.91</v>
      </c>
      <c r="V1283" s="2">
        <v>1354.91</v>
      </c>
      <c r="W1283" s="2">
        <v>1354.91</v>
      </c>
    </row>
    <row r="1284" spans="1:23" outlineLevel="2" x14ac:dyDescent="0.2">
      <c r="A1284" t="s">
        <v>0</v>
      </c>
      <c r="B1284" t="s">
        <v>39</v>
      </c>
      <c r="C1284" t="s">
        <v>70</v>
      </c>
      <c r="D1284" t="s">
        <v>71</v>
      </c>
      <c r="E1284" t="s">
        <v>72</v>
      </c>
      <c r="F1284" t="s">
        <v>5</v>
      </c>
      <c r="G1284" t="s">
        <v>6</v>
      </c>
      <c r="H1284" t="s">
        <v>35</v>
      </c>
      <c r="I1284" t="s">
        <v>36</v>
      </c>
      <c r="J1284" t="s">
        <v>9</v>
      </c>
      <c r="K1284" t="s">
        <v>385</v>
      </c>
      <c r="L1284" t="s">
        <v>394</v>
      </c>
      <c r="M1284" t="s">
        <v>12</v>
      </c>
      <c r="N1284" s="2">
        <v>0</v>
      </c>
      <c r="O1284" s="2">
        <v>0</v>
      </c>
      <c r="P1284" s="2">
        <v>27606.23</v>
      </c>
      <c r="Q1284" s="2">
        <v>27606.23</v>
      </c>
      <c r="R1284" s="2">
        <v>0</v>
      </c>
      <c r="S1284" s="2">
        <v>0</v>
      </c>
      <c r="T1284" s="2">
        <v>0</v>
      </c>
      <c r="U1284" s="2">
        <v>27606.23</v>
      </c>
      <c r="V1284" s="2">
        <v>27606.23</v>
      </c>
      <c r="W1284" s="2">
        <v>27606.23</v>
      </c>
    </row>
    <row r="1285" spans="1:23" outlineLevel="2" x14ac:dyDescent="0.2">
      <c r="A1285" t="s">
        <v>0</v>
      </c>
      <c r="B1285" t="s">
        <v>39</v>
      </c>
      <c r="C1285" t="s">
        <v>66</v>
      </c>
      <c r="D1285" t="s">
        <v>121</v>
      </c>
      <c r="E1285" t="s">
        <v>122</v>
      </c>
      <c r="F1285" t="s">
        <v>5</v>
      </c>
      <c r="G1285" t="s">
        <v>6</v>
      </c>
      <c r="H1285" t="s">
        <v>35</v>
      </c>
      <c r="I1285" t="s">
        <v>36</v>
      </c>
      <c r="J1285" t="s">
        <v>9</v>
      </c>
      <c r="K1285" t="s">
        <v>385</v>
      </c>
      <c r="L1285" t="s">
        <v>390</v>
      </c>
      <c r="M1285" t="s">
        <v>12</v>
      </c>
      <c r="N1285" s="2">
        <v>0</v>
      </c>
      <c r="O1285" s="2">
        <v>0</v>
      </c>
      <c r="P1285" s="2">
        <v>6711.3</v>
      </c>
      <c r="Q1285" s="2">
        <v>6711.3</v>
      </c>
      <c r="R1285" s="2">
        <v>0</v>
      </c>
      <c r="S1285" s="2">
        <v>0</v>
      </c>
      <c r="T1285" s="2">
        <v>0</v>
      </c>
      <c r="U1285" s="2">
        <v>6711.3</v>
      </c>
      <c r="V1285" s="2">
        <v>6711.3</v>
      </c>
      <c r="W1285" s="2">
        <v>6711.3</v>
      </c>
    </row>
    <row r="1286" spans="1:23" outlineLevel="2" x14ac:dyDescent="0.2">
      <c r="A1286" t="s">
        <v>0</v>
      </c>
      <c r="B1286" t="s">
        <v>31</v>
      </c>
      <c r="C1286" t="s">
        <v>79</v>
      </c>
      <c r="D1286" t="s">
        <v>115</v>
      </c>
      <c r="E1286" t="s">
        <v>116</v>
      </c>
      <c r="F1286" t="s">
        <v>5</v>
      </c>
      <c r="G1286" t="s">
        <v>6</v>
      </c>
      <c r="H1286" t="s">
        <v>35</v>
      </c>
      <c r="I1286" t="s">
        <v>36</v>
      </c>
      <c r="J1286" t="s">
        <v>9</v>
      </c>
      <c r="K1286" t="s">
        <v>385</v>
      </c>
      <c r="L1286" t="s">
        <v>387</v>
      </c>
      <c r="M1286" t="s">
        <v>12</v>
      </c>
      <c r="N1286" s="2">
        <v>0</v>
      </c>
      <c r="O1286" s="2">
        <v>0</v>
      </c>
      <c r="P1286" s="2">
        <v>6220.62</v>
      </c>
      <c r="Q1286" s="2">
        <v>6220.62</v>
      </c>
      <c r="R1286" s="2">
        <v>0</v>
      </c>
      <c r="S1286" s="2">
        <v>0</v>
      </c>
      <c r="T1286" s="2">
        <v>0</v>
      </c>
      <c r="U1286" s="2">
        <v>6220.62</v>
      </c>
      <c r="V1286" s="2">
        <v>6220.62</v>
      </c>
      <c r="W1286" s="2">
        <v>6220.62</v>
      </c>
    </row>
    <row r="1287" spans="1:23" outlineLevel="2" x14ac:dyDescent="0.2">
      <c r="A1287" t="s">
        <v>0</v>
      </c>
      <c r="B1287" t="s">
        <v>31</v>
      </c>
      <c r="C1287" t="s">
        <v>79</v>
      </c>
      <c r="D1287" t="s">
        <v>133</v>
      </c>
      <c r="E1287" t="s">
        <v>134</v>
      </c>
      <c r="F1287" t="s">
        <v>5</v>
      </c>
      <c r="G1287" t="s">
        <v>6</v>
      </c>
      <c r="H1287" t="s">
        <v>35</v>
      </c>
      <c r="I1287" t="s">
        <v>36</v>
      </c>
      <c r="J1287" t="s">
        <v>9</v>
      </c>
      <c r="K1287" t="s">
        <v>385</v>
      </c>
      <c r="L1287" t="s">
        <v>387</v>
      </c>
      <c r="M1287" t="s">
        <v>15</v>
      </c>
      <c r="N1287" s="2">
        <v>12384.5</v>
      </c>
      <c r="O1287" s="2">
        <v>0</v>
      </c>
      <c r="P1287" s="2">
        <v>-12384.5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</row>
    <row r="1288" spans="1:23" outlineLevel="2" x14ac:dyDescent="0.2">
      <c r="A1288" t="s">
        <v>0</v>
      </c>
      <c r="B1288" t="s">
        <v>31</v>
      </c>
      <c r="C1288" t="s">
        <v>79</v>
      </c>
      <c r="D1288" t="s">
        <v>113</v>
      </c>
      <c r="E1288" t="s">
        <v>114</v>
      </c>
      <c r="F1288" t="s">
        <v>5</v>
      </c>
      <c r="G1288" t="s">
        <v>6</v>
      </c>
      <c r="H1288" t="s">
        <v>35</v>
      </c>
      <c r="I1288" t="s">
        <v>36</v>
      </c>
      <c r="J1288" t="s">
        <v>9</v>
      </c>
      <c r="K1288" t="s">
        <v>385</v>
      </c>
      <c r="L1288" t="s">
        <v>387</v>
      </c>
      <c r="M1288" t="s">
        <v>12</v>
      </c>
      <c r="N1288" s="2">
        <v>0</v>
      </c>
      <c r="O1288" s="2">
        <v>0</v>
      </c>
      <c r="P1288" s="2">
        <v>10219.14</v>
      </c>
      <c r="Q1288" s="2">
        <v>10219.14</v>
      </c>
      <c r="R1288" s="2">
        <v>0</v>
      </c>
      <c r="S1288" s="2">
        <v>0</v>
      </c>
      <c r="T1288" s="2">
        <v>0</v>
      </c>
      <c r="U1288" s="2">
        <v>10219.14</v>
      </c>
      <c r="V1288" s="2">
        <v>10219.14</v>
      </c>
      <c r="W1288" s="2">
        <v>10219.14</v>
      </c>
    </row>
    <row r="1289" spans="1:23" outlineLevel="2" x14ac:dyDescent="0.2">
      <c r="A1289" t="s">
        <v>0</v>
      </c>
      <c r="B1289" t="s">
        <v>39</v>
      </c>
      <c r="C1289" t="s">
        <v>58</v>
      </c>
      <c r="D1289" t="s">
        <v>147</v>
      </c>
      <c r="E1289" t="s">
        <v>148</v>
      </c>
      <c r="F1289" t="s">
        <v>5</v>
      </c>
      <c r="G1289" t="s">
        <v>6</v>
      </c>
      <c r="H1289" t="s">
        <v>35</v>
      </c>
      <c r="I1289" t="s">
        <v>36</v>
      </c>
      <c r="J1289" t="s">
        <v>9</v>
      </c>
      <c r="K1289" t="s">
        <v>385</v>
      </c>
      <c r="L1289" t="s">
        <v>386</v>
      </c>
      <c r="M1289" t="s">
        <v>15</v>
      </c>
      <c r="N1289" s="2">
        <v>14447.68</v>
      </c>
      <c r="O1289" s="2">
        <v>-850</v>
      </c>
      <c r="P1289" s="2">
        <v>-728.26</v>
      </c>
      <c r="Q1289" s="2">
        <v>12869.42</v>
      </c>
      <c r="R1289" s="2">
        <v>0</v>
      </c>
      <c r="S1289" s="2">
        <v>12869.42</v>
      </c>
      <c r="T1289" s="2">
        <v>12869.42</v>
      </c>
      <c r="U1289" s="2">
        <v>0</v>
      </c>
      <c r="V1289" s="2">
        <v>0</v>
      </c>
      <c r="W1289" s="2">
        <v>0</v>
      </c>
    </row>
    <row r="1290" spans="1:23" outlineLevel="2" x14ac:dyDescent="0.2">
      <c r="A1290" t="s">
        <v>0</v>
      </c>
      <c r="B1290" t="s">
        <v>31</v>
      </c>
      <c r="C1290" t="s">
        <v>49</v>
      </c>
      <c r="D1290" t="s">
        <v>50</v>
      </c>
      <c r="E1290" t="s">
        <v>51</v>
      </c>
      <c r="F1290" t="s">
        <v>5</v>
      </c>
      <c r="G1290" t="s">
        <v>6</v>
      </c>
      <c r="H1290" t="s">
        <v>35</v>
      </c>
      <c r="I1290" t="s">
        <v>36</v>
      </c>
      <c r="J1290" t="s">
        <v>9</v>
      </c>
      <c r="K1290" t="s">
        <v>385</v>
      </c>
      <c r="L1290" t="s">
        <v>398</v>
      </c>
      <c r="M1290" t="s">
        <v>15</v>
      </c>
      <c r="N1290" s="2">
        <v>6665.3</v>
      </c>
      <c r="O1290" s="2">
        <v>0</v>
      </c>
      <c r="P1290" s="2">
        <v>-6634.7</v>
      </c>
      <c r="Q1290" s="2">
        <v>30.6</v>
      </c>
      <c r="R1290" s="2">
        <v>0</v>
      </c>
      <c r="S1290" s="2">
        <v>30.6</v>
      </c>
      <c r="T1290" s="2">
        <v>30.6</v>
      </c>
      <c r="U1290" s="2">
        <v>0</v>
      </c>
      <c r="V1290" s="2">
        <v>0</v>
      </c>
      <c r="W1290" s="2">
        <v>0</v>
      </c>
    </row>
    <row r="1291" spans="1:23" outlineLevel="2" x14ac:dyDescent="0.2">
      <c r="A1291" t="s">
        <v>0</v>
      </c>
      <c r="B1291" t="s">
        <v>39</v>
      </c>
      <c r="C1291" t="s">
        <v>58</v>
      </c>
      <c r="D1291" t="s">
        <v>145</v>
      </c>
      <c r="E1291" t="s">
        <v>146</v>
      </c>
      <c r="F1291" t="s">
        <v>5</v>
      </c>
      <c r="G1291" t="s">
        <v>6</v>
      </c>
      <c r="H1291" t="s">
        <v>35</v>
      </c>
      <c r="I1291" t="s">
        <v>36</v>
      </c>
      <c r="J1291" t="s">
        <v>9</v>
      </c>
      <c r="K1291" t="s">
        <v>385</v>
      </c>
      <c r="L1291" t="s">
        <v>386</v>
      </c>
      <c r="M1291" t="s">
        <v>15</v>
      </c>
      <c r="N1291" s="2">
        <v>6467.65</v>
      </c>
      <c r="O1291" s="2">
        <v>-550</v>
      </c>
      <c r="P1291" s="2">
        <v>-465.28</v>
      </c>
      <c r="Q1291" s="2">
        <v>5452.37</v>
      </c>
      <c r="R1291" s="2">
        <v>0</v>
      </c>
      <c r="S1291" s="2">
        <v>5452.37</v>
      </c>
      <c r="T1291" s="2">
        <v>5452.37</v>
      </c>
      <c r="U1291" s="2">
        <v>0</v>
      </c>
      <c r="V1291" s="2">
        <v>0</v>
      </c>
      <c r="W1291" s="2">
        <v>0</v>
      </c>
    </row>
    <row r="1292" spans="1:23" outlineLevel="2" x14ac:dyDescent="0.2">
      <c r="A1292" t="s">
        <v>0</v>
      </c>
      <c r="B1292" t="s">
        <v>1</v>
      </c>
      <c r="C1292" t="s">
        <v>16</v>
      </c>
      <c r="D1292" t="s">
        <v>17</v>
      </c>
      <c r="E1292" t="s">
        <v>18</v>
      </c>
      <c r="F1292" t="s">
        <v>5</v>
      </c>
      <c r="G1292" t="s">
        <v>6</v>
      </c>
      <c r="H1292" t="s">
        <v>35</v>
      </c>
      <c r="I1292" t="s">
        <v>36</v>
      </c>
      <c r="J1292" t="s">
        <v>9</v>
      </c>
      <c r="K1292" t="s">
        <v>385</v>
      </c>
      <c r="L1292" t="s">
        <v>391</v>
      </c>
      <c r="M1292" t="s">
        <v>15</v>
      </c>
      <c r="N1292" s="2">
        <v>54598.63</v>
      </c>
      <c r="O1292" s="2">
        <v>0</v>
      </c>
      <c r="P1292" s="2">
        <v>-51851.23</v>
      </c>
      <c r="Q1292" s="2">
        <v>2747.4</v>
      </c>
      <c r="R1292" s="2">
        <v>0</v>
      </c>
      <c r="S1292" s="2">
        <v>2747.4</v>
      </c>
      <c r="T1292" s="2">
        <v>1834.9</v>
      </c>
      <c r="U1292" s="2">
        <v>0</v>
      </c>
      <c r="V1292" s="2">
        <v>912.5</v>
      </c>
      <c r="W1292" s="2">
        <v>0</v>
      </c>
    </row>
    <row r="1293" spans="1:23" outlineLevel="2" x14ac:dyDescent="0.2">
      <c r="A1293" t="s">
        <v>0</v>
      </c>
      <c r="B1293" t="s">
        <v>39</v>
      </c>
      <c r="C1293" t="s">
        <v>58</v>
      </c>
      <c r="D1293" t="s">
        <v>149</v>
      </c>
      <c r="E1293" t="s">
        <v>150</v>
      </c>
      <c r="F1293" t="s">
        <v>5</v>
      </c>
      <c r="G1293" t="s">
        <v>6</v>
      </c>
      <c r="H1293" t="s">
        <v>35</v>
      </c>
      <c r="I1293" t="s">
        <v>36</v>
      </c>
      <c r="J1293" t="s">
        <v>9</v>
      </c>
      <c r="K1293" t="s">
        <v>385</v>
      </c>
      <c r="L1293" t="s">
        <v>386</v>
      </c>
      <c r="M1293" t="s">
        <v>15</v>
      </c>
      <c r="N1293" s="2">
        <v>20289.509999999998</v>
      </c>
      <c r="O1293" s="2">
        <v>0</v>
      </c>
      <c r="P1293" s="2">
        <v>-9584.7099999999991</v>
      </c>
      <c r="Q1293" s="2">
        <v>10704.8</v>
      </c>
      <c r="R1293" s="2">
        <v>0</v>
      </c>
      <c r="S1293" s="2">
        <v>10704.8</v>
      </c>
      <c r="T1293" s="2">
        <v>10704.8</v>
      </c>
      <c r="U1293" s="2">
        <v>0</v>
      </c>
      <c r="V1293" s="2">
        <v>0</v>
      </c>
      <c r="W1293" s="2">
        <v>0</v>
      </c>
    </row>
    <row r="1294" spans="1:23" outlineLevel="2" x14ac:dyDescent="0.2">
      <c r="A1294" t="s">
        <v>0</v>
      </c>
      <c r="B1294" t="s">
        <v>1</v>
      </c>
      <c r="C1294" t="s">
        <v>2</v>
      </c>
      <c r="D1294" t="s">
        <v>20</v>
      </c>
      <c r="E1294" t="s">
        <v>21</v>
      </c>
      <c r="F1294" t="s">
        <v>5</v>
      </c>
      <c r="G1294" t="s">
        <v>6</v>
      </c>
      <c r="H1294" t="s">
        <v>35</v>
      </c>
      <c r="I1294" t="s">
        <v>36</v>
      </c>
      <c r="J1294" t="s">
        <v>9</v>
      </c>
      <c r="K1294" t="s">
        <v>385</v>
      </c>
      <c r="L1294" t="s">
        <v>388</v>
      </c>
      <c r="M1294" t="s">
        <v>15</v>
      </c>
      <c r="N1294" s="2">
        <v>115206.15</v>
      </c>
      <c r="O1294" s="2">
        <v>0</v>
      </c>
      <c r="P1294" s="2">
        <v>-48225.91</v>
      </c>
      <c r="Q1294" s="2">
        <v>66980.240000000005</v>
      </c>
      <c r="R1294" s="2">
        <v>0</v>
      </c>
      <c r="S1294" s="2">
        <v>66980.240000000005</v>
      </c>
      <c r="T1294" s="2">
        <v>61310.239999999998</v>
      </c>
      <c r="U1294" s="2">
        <v>0</v>
      </c>
      <c r="V1294" s="2">
        <v>5670</v>
      </c>
      <c r="W1294" s="2">
        <v>0</v>
      </c>
    </row>
    <row r="1295" spans="1:23" outlineLevel="2" x14ac:dyDescent="0.2">
      <c r="A1295" t="s">
        <v>0</v>
      </c>
      <c r="B1295" t="s">
        <v>31</v>
      </c>
      <c r="C1295" t="s">
        <v>79</v>
      </c>
      <c r="D1295" t="s">
        <v>115</v>
      </c>
      <c r="E1295" t="s">
        <v>116</v>
      </c>
      <c r="F1295" t="s">
        <v>5</v>
      </c>
      <c r="G1295" t="s">
        <v>6</v>
      </c>
      <c r="H1295" t="s">
        <v>35</v>
      </c>
      <c r="I1295" t="s">
        <v>36</v>
      </c>
      <c r="J1295" t="s">
        <v>9</v>
      </c>
      <c r="K1295" t="s">
        <v>385</v>
      </c>
      <c r="L1295" t="s">
        <v>387</v>
      </c>
      <c r="M1295" t="s">
        <v>15</v>
      </c>
      <c r="N1295" s="2">
        <v>6330.59</v>
      </c>
      <c r="O1295" s="2">
        <v>0</v>
      </c>
      <c r="P1295" s="2">
        <v>-6220.62</v>
      </c>
      <c r="Q1295" s="2">
        <v>109.97</v>
      </c>
      <c r="R1295" s="2">
        <v>0</v>
      </c>
      <c r="S1295" s="2">
        <v>109.97</v>
      </c>
      <c r="T1295" s="2">
        <v>109.97</v>
      </c>
      <c r="U1295" s="2">
        <v>0</v>
      </c>
      <c r="V1295" s="2">
        <v>0</v>
      </c>
      <c r="W1295" s="2">
        <v>0</v>
      </c>
    </row>
    <row r="1296" spans="1:23" outlineLevel="2" x14ac:dyDescent="0.2">
      <c r="A1296" t="s">
        <v>0</v>
      </c>
      <c r="B1296" t="s">
        <v>39</v>
      </c>
      <c r="C1296" t="s">
        <v>58</v>
      </c>
      <c r="D1296" t="s">
        <v>139</v>
      </c>
      <c r="E1296" t="s">
        <v>140</v>
      </c>
      <c r="F1296" t="s">
        <v>5</v>
      </c>
      <c r="G1296" t="s">
        <v>6</v>
      </c>
      <c r="H1296" t="s">
        <v>35</v>
      </c>
      <c r="I1296" t="s">
        <v>36</v>
      </c>
      <c r="J1296" t="s">
        <v>9</v>
      </c>
      <c r="K1296" t="s">
        <v>385</v>
      </c>
      <c r="L1296" t="s">
        <v>386</v>
      </c>
      <c r="M1296" t="s">
        <v>15</v>
      </c>
      <c r="N1296" s="2">
        <v>19156.16</v>
      </c>
      <c r="O1296" s="2">
        <v>-1500</v>
      </c>
      <c r="P1296" s="2">
        <v>-7336.3</v>
      </c>
      <c r="Q1296" s="2">
        <v>10319.86</v>
      </c>
      <c r="R1296" s="2">
        <v>0</v>
      </c>
      <c r="S1296" s="2">
        <v>10319.86</v>
      </c>
      <c r="T1296" s="2">
        <v>10319.86</v>
      </c>
      <c r="U1296" s="2">
        <v>0</v>
      </c>
      <c r="V1296" s="2">
        <v>0</v>
      </c>
      <c r="W1296" s="2">
        <v>0</v>
      </c>
    </row>
    <row r="1297" spans="1:23" outlineLevel="2" x14ac:dyDescent="0.2">
      <c r="A1297" t="s">
        <v>0</v>
      </c>
      <c r="B1297" t="s">
        <v>1</v>
      </c>
      <c r="C1297" t="s">
        <v>44</v>
      </c>
      <c r="D1297" t="s">
        <v>45</v>
      </c>
      <c r="E1297" t="s">
        <v>46</v>
      </c>
      <c r="F1297" t="s">
        <v>5</v>
      </c>
      <c r="G1297" t="s">
        <v>6</v>
      </c>
      <c r="H1297" t="s">
        <v>35</v>
      </c>
      <c r="I1297" t="s">
        <v>36</v>
      </c>
      <c r="J1297" t="s">
        <v>9</v>
      </c>
      <c r="K1297" t="s">
        <v>385</v>
      </c>
      <c r="L1297" t="s">
        <v>400</v>
      </c>
      <c r="M1297" t="s">
        <v>15</v>
      </c>
      <c r="N1297" s="2">
        <v>30020.13</v>
      </c>
      <c r="O1297" s="2">
        <v>-6459.66</v>
      </c>
      <c r="P1297" s="2">
        <v>-8939.14</v>
      </c>
      <c r="Q1297" s="2">
        <v>14621.33</v>
      </c>
      <c r="R1297" s="2">
        <v>0</v>
      </c>
      <c r="S1297" s="2">
        <v>14621.33</v>
      </c>
      <c r="T1297" s="2">
        <v>14621.33</v>
      </c>
      <c r="U1297" s="2">
        <v>0</v>
      </c>
      <c r="V1297" s="2">
        <v>0</v>
      </c>
      <c r="W1297" s="2">
        <v>0</v>
      </c>
    </row>
    <row r="1298" spans="1:23" outlineLevel="2" x14ac:dyDescent="0.2">
      <c r="A1298" t="s">
        <v>0</v>
      </c>
      <c r="B1298" t="s">
        <v>39</v>
      </c>
      <c r="C1298" t="s">
        <v>58</v>
      </c>
      <c r="D1298" t="s">
        <v>143</v>
      </c>
      <c r="E1298" t="s">
        <v>144</v>
      </c>
      <c r="F1298" t="s">
        <v>5</v>
      </c>
      <c r="G1298" t="s">
        <v>6</v>
      </c>
      <c r="H1298" t="s">
        <v>35</v>
      </c>
      <c r="I1298" t="s">
        <v>36</v>
      </c>
      <c r="J1298" t="s">
        <v>9</v>
      </c>
      <c r="K1298" t="s">
        <v>385</v>
      </c>
      <c r="L1298" t="s">
        <v>386</v>
      </c>
      <c r="M1298" t="s">
        <v>15</v>
      </c>
      <c r="N1298" s="2">
        <v>16952.91</v>
      </c>
      <c r="O1298" s="2">
        <v>0</v>
      </c>
      <c r="P1298" s="2">
        <v>-1485.09</v>
      </c>
      <c r="Q1298" s="2">
        <v>15467.82</v>
      </c>
      <c r="R1298" s="2">
        <v>0</v>
      </c>
      <c r="S1298" s="2">
        <v>15467.82</v>
      </c>
      <c r="T1298" s="2">
        <v>15467.82</v>
      </c>
      <c r="U1298" s="2">
        <v>0</v>
      </c>
      <c r="V1298" s="2">
        <v>0</v>
      </c>
      <c r="W1298" s="2">
        <v>0</v>
      </c>
    </row>
    <row r="1299" spans="1:23" outlineLevel="2" x14ac:dyDescent="0.2">
      <c r="A1299" t="s">
        <v>0</v>
      </c>
      <c r="B1299" t="s">
        <v>39</v>
      </c>
      <c r="C1299" t="s">
        <v>40</v>
      </c>
      <c r="D1299" t="s">
        <v>77</v>
      </c>
      <c r="E1299" t="s">
        <v>78</v>
      </c>
      <c r="F1299" t="s">
        <v>5</v>
      </c>
      <c r="G1299" t="s">
        <v>6</v>
      </c>
      <c r="H1299" t="s">
        <v>35</v>
      </c>
      <c r="I1299" t="s">
        <v>36</v>
      </c>
      <c r="J1299" t="s">
        <v>9</v>
      </c>
      <c r="K1299" t="s">
        <v>385</v>
      </c>
      <c r="L1299" t="s">
        <v>399</v>
      </c>
      <c r="M1299" t="s">
        <v>15</v>
      </c>
      <c r="N1299" s="2">
        <v>189194.33</v>
      </c>
      <c r="O1299" s="2">
        <v>0</v>
      </c>
      <c r="P1299" s="2">
        <v>-137333.79</v>
      </c>
      <c r="Q1299" s="2">
        <v>51860.54</v>
      </c>
      <c r="R1299" s="2">
        <v>0</v>
      </c>
      <c r="S1299" s="2">
        <v>51860.54</v>
      </c>
      <c r="T1299" s="2">
        <v>51860.39</v>
      </c>
      <c r="U1299" s="2">
        <v>0</v>
      </c>
      <c r="V1299" s="2">
        <v>0.15</v>
      </c>
      <c r="W1299" s="2">
        <v>0</v>
      </c>
    </row>
    <row r="1300" spans="1:23" outlineLevel="2" x14ac:dyDescent="0.2">
      <c r="A1300" t="s">
        <v>0</v>
      </c>
      <c r="B1300" t="s">
        <v>1</v>
      </c>
      <c r="C1300" t="s">
        <v>91</v>
      </c>
      <c r="D1300" t="s">
        <v>92</v>
      </c>
      <c r="E1300" t="s">
        <v>93</v>
      </c>
      <c r="F1300" t="s">
        <v>5</v>
      </c>
      <c r="G1300" t="s">
        <v>6</v>
      </c>
      <c r="H1300" t="s">
        <v>35</v>
      </c>
      <c r="I1300" t="s">
        <v>36</v>
      </c>
      <c r="J1300" t="s">
        <v>9</v>
      </c>
      <c r="K1300" t="s">
        <v>385</v>
      </c>
      <c r="L1300" t="s">
        <v>389</v>
      </c>
      <c r="M1300" t="s">
        <v>15</v>
      </c>
      <c r="N1300" s="2">
        <v>29650</v>
      </c>
      <c r="O1300" s="2">
        <v>1140.96</v>
      </c>
      <c r="P1300" s="2">
        <v>-21307.24</v>
      </c>
      <c r="Q1300" s="2">
        <v>9483.7199999999993</v>
      </c>
      <c r="R1300" s="2">
        <v>0</v>
      </c>
      <c r="S1300" s="2">
        <v>9483.7199999999993</v>
      </c>
      <c r="T1300" s="2">
        <v>0</v>
      </c>
      <c r="U1300" s="2">
        <v>0</v>
      </c>
      <c r="V1300" s="2">
        <v>9483.7199999999993</v>
      </c>
      <c r="W1300" s="2">
        <v>0</v>
      </c>
    </row>
    <row r="1301" spans="1:23" outlineLevel="2" x14ac:dyDescent="0.2">
      <c r="A1301" t="s">
        <v>0</v>
      </c>
      <c r="B1301" t="s">
        <v>31</v>
      </c>
      <c r="C1301" t="s">
        <v>79</v>
      </c>
      <c r="D1301" t="s">
        <v>83</v>
      </c>
      <c r="E1301" t="s">
        <v>84</v>
      </c>
      <c r="F1301" t="s">
        <v>5</v>
      </c>
      <c r="G1301" t="s">
        <v>6</v>
      </c>
      <c r="H1301" t="s">
        <v>35</v>
      </c>
      <c r="I1301" t="s">
        <v>36</v>
      </c>
      <c r="J1301" t="s">
        <v>9</v>
      </c>
      <c r="K1301" t="s">
        <v>385</v>
      </c>
      <c r="L1301" t="s">
        <v>387</v>
      </c>
      <c r="M1301" t="s">
        <v>15</v>
      </c>
      <c r="N1301" s="2">
        <v>46814.06</v>
      </c>
      <c r="O1301" s="2">
        <v>0</v>
      </c>
      <c r="P1301" s="2">
        <v>-38003.9</v>
      </c>
      <c r="Q1301" s="2">
        <v>8810.16</v>
      </c>
      <c r="R1301" s="2">
        <v>0</v>
      </c>
      <c r="S1301" s="2">
        <v>8810.16</v>
      </c>
      <c r="T1301" s="2">
        <v>8342.52</v>
      </c>
      <c r="U1301" s="2">
        <v>0</v>
      </c>
      <c r="V1301" s="2">
        <v>467.64</v>
      </c>
      <c r="W1301" s="2">
        <v>0</v>
      </c>
    </row>
    <row r="1302" spans="1:23" outlineLevel="2" x14ac:dyDescent="0.2">
      <c r="A1302" t="s">
        <v>0</v>
      </c>
      <c r="B1302" t="s">
        <v>31</v>
      </c>
      <c r="C1302" t="s">
        <v>32</v>
      </c>
      <c r="D1302" t="s">
        <v>33</v>
      </c>
      <c r="E1302" t="s">
        <v>34</v>
      </c>
      <c r="F1302" t="s">
        <v>5</v>
      </c>
      <c r="G1302" t="s">
        <v>6</v>
      </c>
      <c r="H1302" t="s">
        <v>35</v>
      </c>
      <c r="I1302" t="s">
        <v>36</v>
      </c>
      <c r="J1302" t="s">
        <v>9</v>
      </c>
      <c r="K1302" t="s">
        <v>385</v>
      </c>
      <c r="L1302" t="s">
        <v>392</v>
      </c>
      <c r="M1302" t="s">
        <v>12</v>
      </c>
      <c r="N1302" s="2">
        <v>0</v>
      </c>
      <c r="O1302" s="2">
        <v>0</v>
      </c>
      <c r="P1302" s="2">
        <v>26999.67</v>
      </c>
      <c r="Q1302" s="2">
        <v>26999.67</v>
      </c>
      <c r="R1302" s="2">
        <v>0</v>
      </c>
      <c r="S1302" s="2">
        <v>4976</v>
      </c>
      <c r="T1302" s="2">
        <v>0</v>
      </c>
      <c r="U1302" s="2">
        <v>22023.67</v>
      </c>
      <c r="V1302" s="2">
        <v>26999.67</v>
      </c>
      <c r="W1302" s="2">
        <v>22023.67</v>
      </c>
    </row>
    <row r="1303" spans="1:23" outlineLevel="2" x14ac:dyDescent="0.2">
      <c r="A1303" t="s">
        <v>0</v>
      </c>
      <c r="B1303" t="s">
        <v>1</v>
      </c>
      <c r="C1303" t="s">
        <v>16</v>
      </c>
      <c r="D1303" t="s">
        <v>103</v>
      </c>
      <c r="E1303" t="s">
        <v>104</v>
      </c>
      <c r="F1303" t="s">
        <v>5</v>
      </c>
      <c r="G1303" t="s">
        <v>6</v>
      </c>
      <c r="H1303" t="s">
        <v>35</v>
      </c>
      <c r="I1303" t="s">
        <v>36</v>
      </c>
      <c r="J1303" t="s">
        <v>9</v>
      </c>
      <c r="K1303" t="s">
        <v>385</v>
      </c>
      <c r="L1303" t="s">
        <v>391</v>
      </c>
      <c r="M1303" t="s">
        <v>15</v>
      </c>
      <c r="N1303" s="2">
        <v>32479.54</v>
      </c>
      <c r="O1303" s="2">
        <v>0</v>
      </c>
      <c r="P1303" s="2">
        <v>-30329.54</v>
      </c>
      <c r="Q1303" s="2">
        <v>2150</v>
      </c>
      <c r="R1303" s="2">
        <v>0</v>
      </c>
      <c r="S1303" s="2">
        <v>2150</v>
      </c>
      <c r="T1303" s="2">
        <v>2150</v>
      </c>
      <c r="U1303" s="2">
        <v>0</v>
      </c>
      <c r="V1303" s="2">
        <v>0</v>
      </c>
      <c r="W1303" s="2">
        <v>0</v>
      </c>
    </row>
    <row r="1304" spans="1:23" outlineLevel="2" x14ac:dyDescent="0.2">
      <c r="A1304" t="s">
        <v>0</v>
      </c>
      <c r="B1304" t="s">
        <v>1</v>
      </c>
      <c r="C1304" t="s">
        <v>2</v>
      </c>
      <c r="D1304" t="s">
        <v>3</v>
      </c>
      <c r="E1304" t="s">
        <v>4</v>
      </c>
      <c r="F1304" t="s">
        <v>5</v>
      </c>
      <c r="G1304" t="s">
        <v>6</v>
      </c>
      <c r="H1304" t="s">
        <v>35</v>
      </c>
      <c r="I1304" t="s">
        <v>36</v>
      </c>
      <c r="J1304" t="s">
        <v>9</v>
      </c>
      <c r="K1304" t="s">
        <v>385</v>
      </c>
      <c r="L1304" t="s">
        <v>388</v>
      </c>
      <c r="M1304" t="s">
        <v>15</v>
      </c>
      <c r="N1304" s="2">
        <v>61573.46</v>
      </c>
      <c r="O1304" s="2">
        <v>-39102.080000000002</v>
      </c>
      <c r="P1304" s="2">
        <v>-17289.72</v>
      </c>
      <c r="Q1304" s="2">
        <v>5181.66</v>
      </c>
      <c r="R1304" s="2">
        <v>0</v>
      </c>
      <c r="S1304" s="2">
        <v>5181.66</v>
      </c>
      <c r="T1304" s="2">
        <v>5181.66</v>
      </c>
      <c r="U1304" s="2">
        <v>0</v>
      </c>
      <c r="V1304" s="2">
        <v>0</v>
      </c>
      <c r="W1304" s="2">
        <v>0</v>
      </c>
    </row>
    <row r="1305" spans="1:23" outlineLevel="2" x14ac:dyDescent="0.2">
      <c r="A1305" t="s">
        <v>0</v>
      </c>
      <c r="B1305" t="s">
        <v>39</v>
      </c>
      <c r="C1305" t="s">
        <v>58</v>
      </c>
      <c r="D1305" t="s">
        <v>59</v>
      </c>
      <c r="E1305" t="s">
        <v>60</v>
      </c>
      <c r="F1305" t="s">
        <v>5</v>
      </c>
      <c r="G1305" t="s">
        <v>6</v>
      </c>
      <c r="H1305" t="s">
        <v>35</v>
      </c>
      <c r="I1305" t="s">
        <v>36</v>
      </c>
      <c r="J1305" t="s">
        <v>9</v>
      </c>
      <c r="K1305" t="s">
        <v>385</v>
      </c>
      <c r="L1305" t="s">
        <v>386</v>
      </c>
      <c r="M1305" t="s">
        <v>15</v>
      </c>
      <c r="N1305" s="2">
        <v>6245.34</v>
      </c>
      <c r="O1305" s="2">
        <v>0</v>
      </c>
      <c r="P1305" s="2">
        <v>-907.32</v>
      </c>
      <c r="Q1305" s="2">
        <v>5338.02</v>
      </c>
      <c r="R1305" s="2">
        <v>0</v>
      </c>
      <c r="S1305" s="2">
        <v>5338.02</v>
      </c>
      <c r="T1305" s="2">
        <v>5338.02</v>
      </c>
      <c r="U1305" s="2">
        <v>0</v>
      </c>
      <c r="V1305" s="2">
        <v>0</v>
      </c>
      <c r="W1305" s="2">
        <v>0</v>
      </c>
    </row>
    <row r="1306" spans="1:23" outlineLevel="2" x14ac:dyDescent="0.2">
      <c r="A1306" t="s">
        <v>0</v>
      </c>
      <c r="B1306" t="s">
        <v>39</v>
      </c>
      <c r="C1306" t="s">
        <v>66</v>
      </c>
      <c r="D1306" t="s">
        <v>67</v>
      </c>
      <c r="E1306" t="s">
        <v>68</v>
      </c>
      <c r="F1306" t="s">
        <v>5</v>
      </c>
      <c r="G1306" t="s">
        <v>6</v>
      </c>
      <c r="H1306" t="s">
        <v>35</v>
      </c>
      <c r="I1306" t="s">
        <v>36</v>
      </c>
      <c r="J1306" t="s">
        <v>9</v>
      </c>
      <c r="K1306" t="s">
        <v>385</v>
      </c>
      <c r="L1306" t="s">
        <v>390</v>
      </c>
      <c r="M1306" t="s">
        <v>15</v>
      </c>
      <c r="N1306" s="2">
        <v>19721.25</v>
      </c>
      <c r="O1306" s="2">
        <v>5192.5200000000004</v>
      </c>
      <c r="P1306" s="2">
        <v>-20657.419999999998</v>
      </c>
      <c r="Q1306" s="2">
        <v>4256.3500000000004</v>
      </c>
      <c r="R1306" s="2">
        <v>0</v>
      </c>
      <c r="S1306" s="2">
        <v>4256.3500000000004</v>
      </c>
      <c r="T1306" s="2">
        <v>4256.34</v>
      </c>
      <c r="U1306" s="2">
        <v>0</v>
      </c>
      <c r="V1306" s="2">
        <v>0.01</v>
      </c>
      <c r="W1306" s="2">
        <v>0</v>
      </c>
    </row>
    <row r="1307" spans="1:23" outlineLevel="2" x14ac:dyDescent="0.2">
      <c r="A1307" t="s">
        <v>0</v>
      </c>
      <c r="B1307" t="s">
        <v>31</v>
      </c>
      <c r="C1307" t="s">
        <v>107</v>
      </c>
      <c r="D1307" t="s">
        <v>108</v>
      </c>
      <c r="E1307" t="s">
        <v>109</v>
      </c>
      <c r="F1307" t="s">
        <v>5</v>
      </c>
      <c r="G1307" t="s">
        <v>6</v>
      </c>
      <c r="H1307" t="s">
        <v>35</v>
      </c>
      <c r="I1307" t="s">
        <v>36</v>
      </c>
      <c r="J1307" t="s">
        <v>9</v>
      </c>
      <c r="K1307" t="s">
        <v>385</v>
      </c>
      <c r="L1307" t="s">
        <v>396</v>
      </c>
      <c r="M1307" t="s">
        <v>15</v>
      </c>
      <c r="N1307" s="2">
        <v>30422.080000000002</v>
      </c>
      <c r="O1307" s="2">
        <v>-9989.77</v>
      </c>
      <c r="P1307" s="2">
        <v>-13429.54</v>
      </c>
      <c r="Q1307" s="2">
        <v>7002.77</v>
      </c>
      <c r="R1307" s="2">
        <v>0</v>
      </c>
      <c r="S1307" s="2">
        <v>7002.77</v>
      </c>
      <c r="T1307" s="2">
        <v>7002.77</v>
      </c>
      <c r="U1307" s="2">
        <v>0</v>
      </c>
      <c r="V1307" s="2">
        <v>0</v>
      </c>
      <c r="W1307" s="2">
        <v>0</v>
      </c>
    </row>
    <row r="1308" spans="1:23" outlineLevel="2" x14ac:dyDescent="0.2">
      <c r="A1308" t="s">
        <v>0</v>
      </c>
      <c r="B1308" t="s">
        <v>39</v>
      </c>
      <c r="C1308" t="s">
        <v>58</v>
      </c>
      <c r="D1308" t="s">
        <v>137</v>
      </c>
      <c r="E1308" t="s">
        <v>138</v>
      </c>
      <c r="F1308" t="s">
        <v>5</v>
      </c>
      <c r="G1308" t="s">
        <v>6</v>
      </c>
      <c r="H1308" t="s">
        <v>35</v>
      </c>
      <c r="I1308" t="s">
        <v>36</v>
      </c>
      <c r="J1308" t="s">
        <v>9</v>
      </c>
      <c r="K1308" t="s">
        <v>385</v>
      </c>
      <c r="L1308" t="s">
        <v>386</v>
      </c>
      <c r="M1308" t="s">
        <v>15</v>
      </c>
      <c r="N1308" s="2">
        <v>13179.35</v>
      </c>
      <c r="O1308" s="2">
        <v>-550</v>
      </c>
      <c r="P1308" s="2">
        <v>-11498.65</v>
      </c>
      <c r="Q1308" s="2">
        <v>1130.7</v>
      </c>
      <c r="R1308" s="2">
        <v>0</v>
      </c>
      <c r="S1308" s="2">
        <v>1130.7</v>
      </c>
      <c r="T1308" s="2">
        <v>1130.7</v>
      </c>
      <c r="U1308" s="2">
        <v>0</v>
      </c>
      <c r="V1308" s="2">
        <v>0</v>
      </c>
      <c r="W1308" s="2">
        <v>0</v>
      </c>
    </row>
    <row r="1309" spans="1:23" outlineLevel="2" x14ac:dyDescent="0.2">
      <c r="A1309" t="s">
        <v>0</v>
      </c>
      <c r="B1309" t="s">
        <v>39</v>
      </c>
      <c r="C1309" t="s">
        <v>70</v>
      </c>
      <c r="D1309" t="s">
        <v>89</v>
      </c>
      <c r="E1309" t="s">
        <v>90</v>
      </c>
      <c r="F1309" t="s">
        <v>5</v>
      </c>
      <c r="G1309" t="s">
        <v>6</v>
      </c>
      <c r="H1309" t="s">
        <v>35</v>
      </c>
      <c r="I1309" t="s">
        <v>36</v>
      </c>
      <c r="J1309" t="s">
        <v>9</v>
      </c>
      <c r="K1309" t="s">
        <v>385</v>
      </c>
      <c r="L1309" t="s">
        <v>394</v>
      </c>
      <c r="M1309" t="s">
        <v>15</v>
      </c>
      <c r="N1309" s="2">
        <v>76607.67</v>
      </c>
      <c r="O1309" s="2">
        <v>0</v>
      </c>
      <c r="P1309" s="2">
        <v>-69821.47</v>
      </c>
      <c r="Q1309" s="2">
        <v>6786.2</v>
      </c>
      <c r="R1309" s="2">
        <v>0</v>
      </c>
      <c r="S1309" s="2">
        <v>6786.2</v>
      </c>
      <c r="T1309" s="2">
        <v>6786.2</v>
      </c>
      <c r="U1309" s="2">
        <v>0</v>
      </c>
      <c r="V1309" s="2">
        <v>0</v>
      </c>
      <c r="W1309" s="2">
        <v>0</v>
      </c>
    </row>
    <row r="1310" spans="1:23" outlineLevel="2" x14ac:dyDescent="0.2">
      <c r="A1310" t="s">
        <v>0</v>
      </c>
      <c r="B1310" t="s">
        <v>31</v>
      </c>
      <c r="C1310" t="s">
        <v>32</v>
      </c>
      <c r="D1310" t="s">
        <v>33</v>
      </c>
      <c r="E1310" t="s">
        <v>34</v>
      </c>
      <c r="F1310" t="s">
        <v>5</v>
      </c>
      <c r="G1310" t="s">
        <v>6</v>
      </c>
      <c r="H1310" t="s">
        <v>35</v>
      </c>
      <c r="I1310" t="s">
        <v>36</v>
      </c>
      <c r="J1310" t="s">
        <v>9</v>
      </c>
      <c r="K1310" t="s">
        <v>385</v>
      </c>
      <c r="L1310" t="s">
        <v>392</v>
      </c>
      <c r="M1310" t="s">
        <v>15</v>
      </c>
      <c r="N1310" s="2">
        <v>34363.379999999997</v>
      </c>
      <c r="O1310" s="2">
        <v>0</v>
      </c>
      <c r="P1310" s="2">
        <v>-26999.67</v>
      </c>
      <c r="Q1310" s="2">
        <v>7363.71</v>
      </c>
      <c r="R1310" s="2">
        <v>0</v>
      </c>
      <c r="S1310" s="2">
        <v>7363.71</v>
      </c>
      <c r="T1310" s="2">
        <v>7363.71</v>
      </c>
      <c r="U1310" s="2">
        <v>0</v>
      </c>
      <c r="V1310" s="2">
        <v>0</v>
      </c>
      <c r="W1310" s="2">
        <v>0</v>
      </c>
    </row>
    <row r="1311" spans="1:23" outlineLevel="2" x14ac:dyDescent="0.2">
      <c r="A1311" t="s">
        <v>0</v>
      </c>
      <c r="B1311" t="s">
        <v>39</v>
      </c>
      <c r="C1311" t="s">
        <v>40</v>
      </c>
      <c r="D1311" t="s">
        <v>77</v>
      </c>
      <c r="E1311" t="s">
        <v>78</v>
      </c>
      <c r="F1311" t="s">
        <v>5</v>
      </c>
      <c r="G1311" t="s">
        <v>6</v>
      </c>
      <c r="H1311" t="s">
        <v>35</v>
      </c>
      <c r="I1311" t="s">
        <v>36</v>
      </c>
      <c r="J1311" t="s">
        <v>9</v>
      </c>
      <c r="K1311" t="s">
        <v>385</v>
      </c>
      <c r="L1311" t="s">
        <v>399</v>
      </c>
      <c r="M1311" t="s">
        <v>12</v>
      </c>
      <c r="N1311" s="2">
        <v>0</v>
      </c>
      <c r="O1311" s="2">
        <v>0</v>
      </c>
      <c r="P1311" s="2">
        <v>137333.79</v>
      </c>
      <c r="Q1311" s="2">
        <v>137333.79</v>
      </c>
      <c r="R1311" s="2">
        <v>0</v>
      </c>
      <c r="S1311" s="2">
        <v>18753.46</v>
      </c>
      <c r="T1311" s="2">
        <v>0</v>
      </c>
      <c r="U1311" s="2">
        <v>118580.33</v>
      </c>
      <c r="V1311" s="2">
        <v>137333.79</v>
      </c>
      <c r="W1311" s="2">
        <v>118580.33</v>
      </c>
    </row>
    <row r="1312" spans="1:23" outlineLevel="2" x14ac:dyDescent="0.2">
      <c r="A1312" t="s">
        <v>0</v>
      </c>
      <c r="B1312" t="s">
        <v>39</v>
      </c>
      <c r="C1312" t="s">
        <v>58</v>
      </c>
      <c r="D1312" t="s">
        <v>105</v>
      </c>
      <c r="E1312" t="s">
        <v>106</v>
      </c>
      <c r="F1312" t="s">
        <v>5</v>
      </c>
      <c r="G1312" t="s">
        <v>6</v>
      </c>
      <c r="H1312" t="s">
        <v>35</v>
      </c>
      <c r="I1312" t="s">
        <v>36</v>
      </c>
      <c r="J1312" t="s">
        <v>9</v>
      </c>
      <c r="K1312" t="s">
        <v>385</v>
      </c>
      <c r="L1312" t="s">
        <v>386</v>
      </c>
      <c r="M1312" t="s">
        <v>15</v>
      </c>
      <c r="N1312" s="2">
        <v>10260.27</v>
      </c>
      <c r="O1312" s="2">
        <v>-1300</v>
      </c>
      <c r="P1312" s="2">
        <v>-7951.91</v>
      </c>
      <c r="Q1312" s="2">
        <v>1008.36</v>
      </c>
      <c r="R1312" s="2">
        <v>0</v>
      </c>
      <c r="S1312" s="2">
        <v>1008.36</v>
      </c>
      <c r="T1312" s="2">
        <v>1008.36</v>
      </c>
      <c r="U1312" s="2">
        <v>0</v>
      </c>
      <c r="V1312" s="2">
        <v>0</v>
      </c>
      <c r="W1312" s="2">
        <v>0</v>
      </c>
    </row>
    <row r="1313" spans="1:23" outlineLevel="2" x14ac:dyDescent="0.2">
      <c r="A1313" t="s">
        <v>0</v>
      </c>
      <c r="B1313" t="s">
        <v>39</v>
      </c>
      <c r="C1313" t="s">
        <v>58</v>
      </c>
      <c r="D1313" t="s">
        <v>129</v>
      </c>
      <c r="E1313" t="s">
        <v>130</v>
      </c>
      <c r="F1313" t="s">
        <v>5</v>
      </c>
      <c r="G1313" t="s">
        <v>6</v>
      </c>
      <c r="H1313" t="s">
        <v>35</v>
      </c>
      <c r="I1313" t="s">
        <v>36</v>
      </c>
      <c r="J1313" t="s">
        <v>9</v>
      </c>
      <c r="K1313" t="s">
        <v>385</v>
      </c>
      <c r="L1313" t="s">
        <v>386</v>
      </c>
      <c r="M1313" t="s">
        <v>15</v>
      </c>
      <c r="N1313" s="2">
        <v>4580.43</v>
      </c>
      <c r="O1313" s="2">
        <v>0</v>
      </c>
      <c r="P1313" s="2">
        <v>-3074.16</v>
      </c>
      <c r="Q1313" s="2">
        <v>1506.27</v>
      </c>
      <c r="R1313" s="2">
        <v>0</v>
      </c>
      <c r="S1313" s="2">
        <v>1506.27</v>
      </c>
      <c r="T1313" s="2">
        <v>1506.26</v>
      </c>
      <c r="U1313" s="2">
        <v>0</v>
      </c>
      <c r="V1313" s="2">
        <v>0.01</v>
      </c>
      <c r="W1313" s="2">
        <v>0</v>
      </c>
    </row>
    <row r="1314" spans="1:23" outlineLevel="2" x14ac:dyDescent="0.2">
      <c r="A1314" t="s">
        <v>0</v>
      </c>
      <c r="B1314" t="s">
        <v>31</v>
      </c>
      <c r="C1314" t="s">
        <v>79</v>
      </c>
      <c r="D1314" t="s">
        <v>80</v>
      </c>
      <c r="E1314" t="s">
        <v>81</v>
      </c>
      <c r="F1314" t="s">
        <v>5</v>
      </c>
      <c r="G1314" t="s">
        <v>6</v>
      </c>
      <c r="H1314" t="s">
        <v>35</v>
      </c>
      <c r="I1314" t="s">
        <v>36</v>
      </c>
      <c r="J1314" t="s">
        <v>9</v>
      </c>
      <c r="K1314" t="s">
        <v>385</v>
      </c>
      <c r="L1314" t="s">
        <v>387</v>
      </c>
      <c r="M1314" t="s">
        <v>15</v>
      </c>
      <c r="N1314" s="2">
        <v>7649.22</v>
      </c>
      <c r="O1314" s="2">
        <v>0</v>
      </c>
      <c r="P1314" s="2">
        <v>-6529.95</v>
      </c>
      <c r="Q1314" s="2">
        <v>1119.27</v>
      </c>
      <c r="R1314" s="2">
        <v>0</v>
      </c>
      <c r="S1314" s="2">
        <v>1119.27</v>
      </c>
      <c r="T1314" s="2">
        <v>1119.27</v>
      </c>
      <c r="U1314" s="2">
        <v>0</v>
      </c>
      <c r="V1314" s="2">
        <v>0</v>
      </c>
      <c r="W1314" s="2">
        <v>0</v>
      </c>
    </row>
    <row r="1315" spans="1:23" outlineLevel="2" x14ac:dyDescent="0.2">
      <c r="A1315" t="s">
        <v>0</v>
      </c>
      <c r="B1315" t="s">
        <v>53</v>
      </c>
      <c r="C1315" t="s">
        <v>54</v>
      </c>
      <c r="D1315" t="s">
        <v>55</v>
      </c>
      <c r="E1315" t="s">
        <v>56</v>
      </c>
      <c r="F1315" t="s">
        <v>5</v>
      </c>
      <c r="G1315" t="s">
        <v>6</v>
      </c>
      <c r="H1315" t="s">
        <v>35</v>
      </c>
      <c r="I1315" t="s">
        <v>36</v>
      </c>
      <c r="J1315" t="s">
        <v>9</v>
      </c>
      <c r="K1315" t="s">
        <v>385</v>
      </c>
      <c r="L1315" t="s">
        <v>401</v>
      </c>
      <c r="M1315" t="s">
        <v>15</v>
      </c>
      <c r="N1315" s="2">
        <v>29650</v>
      </c>
      <c r="O1315" s="2">
        <v>-4022.2</v>
      </c>
      <c r="P1315" s="2">
        <v>-8909.7000000000007</v>
      </c>
      <c r="Q1315" s="2">
        <v>16718.099999999999</v>
      </c>
      <c r="R1315" s="2">
        <v>0</v>
      </c>
      <c r="S1315" s="2">
        <v>16718.099999999999</v>
      </c>
      <c r="T1315" s="2">
        <v>16718.099999999999</v>
      </c>
      <c r="U1315" s="2">
        <v>0</v>
      </c>
      <c r="V1315" s="2">
        <v>0</v>
      </c>
      <c r="W1315" s="2">
        <v>0</v>
      </c>
    </row>
    <row r="1316" spans="1:23" outlineLevel="2" x14ac:dyDescent="0.2">
      <c r="A1316" t="s">
        <v>0</v>
      </c>
      <c r="B1316" t="s">
        <v>39</v>
      </c>
      <c r="C1316" t="s">
        <v>70</v>
      </c>
      <c r="D1316" t="s">
        <v>71</v>
      </c>
      <c r="E1316" t="s">
        <v>72</v>
      </c>
      <c r="F1316" t="s">
        <v>5</v>
      </c>
      <c r="G1316" t="s">
        <v>6</v>
      </c>
      <c r="H1316" t="s">
        <v>35</v>
      </c>
      <c r="I1316" t="s">
        <v>36</v>
      </c>
      <c r="J1316" t="s">
        <v>9</v>
      </c>
      <c r="K1316" t="s">
        <v>385</v>
      </c>
      <c r="L1316" t="s">
        <v>394</v>
      </c>
      <c r="M1316" t="s">
        <v>15</v>
      </c>
      <c r="N1316" s="2">
        <v>38261.24</v>
      </c>
      <c r="O1316" s="2">
        <v>0</v>
      </c>
      <c r="P1316" s="2">
        <v>-27606.23</v>
      </c>
      <c r="Q1316" s="2">
        <v>10655.01</v>
      </c>
      <c r="R1316" s="2">
        <v>0</v>
      </c>
      <c r="S1316" s="2">
        <v>10655.01</v>
      </c>
      <c r="T1316" s="2">
        <v>10655.01</v>
      </c>
      <c r="U1316" s="2">
        <v>0</v>
      </c>
      <c r="V1316" s="2">
        <v>0</v>
      </c>
      <c r="W1316" s="2">
        <v>0</v>
      </c>
    </row>
    <row r="1317" spans="1:23" outlineLevel="2" x14ac:dyDescent="0.2">
      <c r="A1317" t="s">
        <v>0</v>
      </c>
      <c r="B1317" t="s">
        <v>39</v>
      </c>
      <c r="C1317" t="s">
        <v>95</v>
      </c>
      <c r="D1317" t="s">
        <v>96</v>
      </c>
      <c r="E1317" t="s">
        <v>97</v>
      </c>
      <c r="F1317" t="s">
        <v>5</v>
      </c>
      <c r="G1317" t="s">
        <v>6</v>
      </c>
      <c r="H1317" t="s">
        <v>35</v>
      </c>
      <c r="I1317" t="s">
        <v>36</v>
      </c>
      <c r="J1317" t="s">
        <v>9</v>
      </c>
      <c r="K1317" t="s">
        <v>385</v>
      </c>
      <c r="L1317" t="s">
        <v>393</v>
      </c>
      <c r="M1317" t="s">
        <v>15</v>
      </c>
      <c r="N1317" s="2">
        <v>25809.79</v>
      </c>
      <c r="O1317" s="2">
        <v>0</v>
      </c>
      <c r="P1317" s="2">
        <v>-25219.79</v>
      </c>
      <c r="Q1317" s="2">
        <v>590</v>
      </c>
      <c r="R1317" s="2">
        <v>0</v>
      </c>
      <c r="S1317" s="2">
        <v>590</v>
      </c>
      <c r="T1317" s="2">
        <v>590</v>
      </c>
      <c r="U1317" s="2">
        <v>0</v>
      </c>
      <c r="V1317" s="2">
        <v>0</v>
      </c>
      <c r="W1317" s="2">
        <v>0</v>
      </c>
    </row>
    <row r="1318" spans="1:23" outlineLevel="2" x14ac:dyDescent="0.2">
      <c r="A1318" t="s">
        <v>0</v>
      </c>
      <c r="B1318" t="s">
        <v>31</v>
      </c>
      <c r="C1318" t="s">
        <v>32</v>
      </c>
      <c r="D1318" t="s">
        <v>141</v>
      </c>
      <c r="E1318" t="s">
        <v>142</v>
      </c>
      <c r="F1318" t="s">
        <v>5</v>
      </c>
      <c r="G1318" t="s">
        <v>6</v>
      </c>
      <c r="H1318" t="s">
        <v>35</v>
      </c>
      <c r="I1318" t="s">
        <v>36</v>
      </c>
      <c r="J1318" t="s">
        <v>9</v>
      </c>
      <c r="K1318" t="s">
        <v>385</v>
      </c>
      <c r="L1318" t="s">
        <v>392</v>
      </c>
      <c r="M1318" t="s">
        <v>15</v>
      </c>
      <c r="N1318" s="2">
        <v>8795.5400000000009</v>
      </c>
      <c r="O1318" s="2">
        <v>0</v>
      </c>
      <c r="P1318" s="2">
        <v>-1354.91</v>
      </c>
      <c r="Q1318" s="2">
        <v>7440.63</v>
      </c>
      <c r="R1318" s="2">
        <v>0</v>
      </c>
      <c r="S1318" s="2">
        <v>7440.63</v>
      </c>
      <c r="T1318" s="2">
        <v>7440.63</v>
      </c>
      <c r="U1318" s="2">
        <v>0</v>
      </c>
      <c r="V1318" s="2">
        <v>0</v>
      </c>
      <c r="W1318" s="2">
        <v>0</v>
      </c>
    </row>
    <row r="1319" spans="1:23" outlineLevel="2" x14ac:dyDescent="0.2">
      <c r="A1319" t="s">
        <v>0</v>
      </c>
      <c r="B1319" t="s">
        <v>31</v>
      </c>
      <c r="C1319" t="s">
        <v>79</v>
      </c>
      <c r="D1319" t="s">
        <v>131</v>
      </c>
      <c r="E1319" t="s">
        <v>132</v>
      </c>
      <c r="F1319" t="s">
        <v>5</v>
      </c>
      <c r="G1319" t="s">
        <v>6</v>
      </c>
      <c r="H1319" t="s">
        <v>35</v>
      </c>
      <c r="I1319" t="s">
        <v>36</v>
      </c>
      <c r="J1319" t="s">
        <v>9</v>
      </c>
      <c r="K1319" t="s">
        <v>385</v>
      </c>
      <c r="L1319" t="s">
        <v>387</v>
      </c>
      <c r="M1319" t="s">
        <v>15</v>
      </c>
      <c r="N1319" s="2">
        <v>8936.24</v>
      </c>
      <c r="O1319" s="2">
        <v>0</v>
      </c>
      <c r="P1319" s="2">
        <v>-6346.97</v>
      </c>
      <c r="Q1319" s="2">
        <v>2589.27</v>
      </c>
      <c r="R1319" s="2">
        <v>0</v>
      </c>
      <c r="S1319" s="2">
        <v>2589.27</v>
      </c>
      <c r="T1319" s="2">
        <v>1444.33</v>
      </c>
      <c r="U1319" s="2">
        <v>0</v>
      </c>
      <c r="V1319" s="2">
        <v>1144.94</v>
      </c>
      <c r="W1319" s="2">
        <v>0</v>
      </c>
    </row>
    <row r="1320" spans="1:23" outlineLevel="2" x14ac:dyDescent="0.2">
      <c r="A1320" t="s">
        <v>0</v>
      </c>
      <c r="B1320" t="s">
        <v>39</v>
      </c>
      <c r="C1320" t="s">
        <v>66</v>
      </c>
      <c r="D1320" t="s">
        <v>121</v>
      </c>
      <c r="E1320" t="s">
        <v>122</v>
      </c>
      <c r="F1320" t="s">
        <v>5</v>
      </c>
      <c r="G1320" t="s">
        <v>6</v>
      </c>
      <c r="H1320" t="s">
        <v>35</v>
      </c>
      <c r="I1320" t="s">
        <v>36</v>
      </c>
      <c r="J1320" t="s">
        <v>9</v>
      </c>
      <c r="K1320" t="s">
        <v>385</v>
      </c>
      <c r="L1320" t="s">
        <v>390</v>
      </c>
      <c r="M1320" t="s">
        <v>15</v>
      </c>
      <c r="N1320" s="2">
        <v>10027.09</v>
      </c>
      <c r="O1320" s="2">
        <v>0</v>
      </c>
      <c r="P1320" s="2">
        <v>-6711.3</v>
      </c>
      <c r="Q1320" s="2">
        <v>3315.79</v>
      </c>
      <c r="R1320" s="2">
        <v>0</v>
      </c>
      <c r="S1320" s="2">
        <v>3315.79</v>
      </c>
      <c r="T1320" s="2">
        <v>3315.79</v>
      </c>
      <c r="U1320" s="2">
        <v>0</v>
      </c>
      <c r="V1320" s="2">
        <v>0</v>
      </c>
      <c r="W1320" s="2">
        <v>0</v>
      </c>
    </row>
    <row r="1321" spans="1:23" outlineLevel="2" x14ac:dyDescent="0.2">
      <c r="A1321" t="s">
        <v>0</v>
      </c>
      <c r="B1321" t="s">
        <v>31</v>
      </c>
      <c r="C1321" t="s">
        <v>79</v>
      </c>
      <c r="D1321" t="s">
        <v>127</v>
      </c>
      <c r="E1321" t="s">
        <v>128</v>
      </c>
      <c r="F1321" t="s">
        <v>5</v>
      </c>
      <c r="G1321" t="s">
        <v>6</v>
      </c>
      <c r="H1321" t="s">
        <v>35</v>
      </c>
      <c r="I1321" t="s">
        <v>36</v>
      </c>
      <c r="J1321" t="s">
        <v>9</v>
      </c>
      <c r="K1321" t="s">
        <v>385</v>
      </c>
      <c r="L1321" t="s">
        <v>387</v>
      </c>
      <c r="M1321" t="s">
        <v>15</v>
      </c>
      <c r="N1321" s="2">
        <v>10695.13</v>
      </c>
      <c r="O1321" s="2">
        <v>-201</v>
      </c>
      <c r="P1321" s="2">
        <v>-9613.76</v>
      </c>
      <c r="Q1321" s="2">
        <v>880.37</v>
      </c>
      <c r="R1321" s="2">
        <v>0</v>
      </c>
      <c r="S1321" s="2">
        <v>880.37</v>
      </c>
      <c r="T1321" s="2">
        <v>880.37</v>
      </c>
      <c r="U1321" s="2">
        <v>0</v>
      </c>
      <c r="V1321" s="2">
        <v>0</v>
      </c>
      <c r="W1321" s="2">
        <v>0</v>
      </c>
    </row>
    <row r="1322" spans="1:23" outlineLevel="2" x14ac:dyDescent="0.2">
      <c r="A1322" t="s">
        <v>0</v>
      </c>
      <c r="B1322" t="s">
        <v>31</v>
      </c>
      <c r="C1322" t="s">
        <v>79</v>
      </c>
      <c r="D1322" t="s">
        <v>117</v>
      </c>
      <c r="E1322" t="s">
        <v>118</v>
      </c>
      <c r="F1322" t="s">
        <v>5</v>
      </c>
      <c r="G1322" t="s">
        <v>6</v>
      </c>
      <c r="H1322" t="s">
        <v>35</v>
      </c>
      <c r="I1322" t="s">
        <v>36</v>
      </c>
      <c r="J1322" t="s">
        <v>9</v>
      </c>
      <c r="K1322" t="s">
        <v>385</v>
      </c>
      <c r="L1322" t="s">
        <v>387</v>
      </c>
      <c r="M1322" t="s">
        <v>15</v>
      </c>
      <c r="N1322" s="2">
        <v>12018.78</v>
      </c>
      <c r="O1322" s="2">
        <v>0</v>
      </c>
      <c r="P1322" s="2">
        <v>-10857.24</v>
      </c>
      <c r="Q1322" s="2">
        <v>1161.54</v>
      </c>
      <c r="R1322" s="2">
        <v>0</v>
      </c>
      <c r="S1322" s="2">
        <v>1161.54</v>
      </c>
      <c r="T1322" s="2">
        <v>1161.54</v>
      </c>
      <c r="U1322" s="2">
        <v>0</v>
      </c>
      <c r="V1322" s="2">
        <v>0</v>
      </c>
      <c r="W1322" s="2">
        <v>0</v>
      </c>
    </row>
    <row r="1323" spans="1:23" outlineLevel="2" x14ac:dyDescent="0.2">
      <c r="A1323" t="s">
        <v>0</v>
      </c>
      <c r="B1323" t="s">
        <v>39</v>
      </c>
      <c r="C1323" t="s">
        <v>40</v>
      </c>
      <c r="D1323" t="s">
        <v>41</v>
      </c>
      <c r="E1323" t="s">
        <v>42</v>
      </c>
      <c r="F1323" t="s">
        <v>5</v>
      </c>
      <c r="G1323" t="s">
        <v>6</v>
      </c>
      <c r="H1323" t="s">
        <v>35</v>
      </c>
      <c r="I1323" t="s">
        <v>36</v>
      </c>
      <c r="J1323" t="s">
        <v>9</v>
      </c>
      <c r="K1323" t="s">
        <v>385</v>
      </c>
      <c r="L1323" t="s">
        <v>399</v>
      </c>
      <c r="M1323" t="s">
        <v>15</v>
      </c>
      <c r="N1323" s="2">
        <v>15506.16</v>
      </c>
      <c r="O1323" s="2">
        <v>0</v>
      </c>
      <c r="P1323" s="2">
        <v>-12455.28</v>
      </c>
      <c r="Q1323" s="2">
        <v>3050.88</v>
      </c>
      <c r="R1323" s="2">
        <v>0</v>
      </c>
      <c r="S1323" s="2">
        <v>3050.88</v>
      </c>
      <c r="T1323" s="2">
        <v>3050.88</v>
      </c>
      <c r="U1323" s="2">
        <v>0</v>
      </c>
      <c r="V1323" s="2">
        <v>0</v>
      </c>
      <c r="W1323" s="2">
        <v>0</v>
      </c>
    </row>
    <row r="1324" spans="1:23" outlineLevel="2" x14ac:dyDescent="0.2">
      <c r="A1324" t="s">
        <v>0</v>
      </c>
      <c r="B1324" t="s">
        <v>53</v>
      </c>
      <c r="C1324" t="s">
        <v>85</v>
      </c>
      <c r="D1324" t="s">
        <v>86</v>
      </c>
      <c r="E1324" t="s">
        <v>87</v>
      </c>
      <c r="F1324" t="s">
        <v>5</v>
      </c>
      <c r="G1324" t="s">
        <v>6</v>
      </c>
      <c r="H1324" t="s">
        <v>35</v>
      </c>
      <c r="I1324" t="s">
        <v>36</v>
      </c>
      <c r="J1324" t="s">
        <v>9</v>
      </c>
      <c r="K1324" t="s">
        <v>385</v>
      </c>
      <c r="L1324" t="s">
        <v>397</v>
      </c>
      <c r="M1324" t="s">
        <v>15</v>
      </c>
      <c r="N1324" s="2">
        <v>5748.16</v>
      </c>
      <c r="O1324" s="2">
        <v>0</v>
      </c>
      <c r="P1324" s="2">
        <v>-2257.69</v>
      </c>
      <c r="Q1324" s="2">
        <v>3490.47</v>
      </c>
      <c r="R1324" s="2">
        <v>0</v>
      </c>
      <c r="S1324" s="2">
        <v>3490.47</v>
      </c>
      <c r="T1324" s="2">
        <v>3490.47</v>
      </c>
      <c r="U1324" s="2">
        <v>0</v>
      </c>
      <c r="V1324" s="2">
        <v>0</v>
      </c>
      <c r="W1324" s="2">
        <v>0</v>
      </c>
    </row>
    <row r="1325" spans="1:23" outlineLevel="2" x14ac:dyDescent="0.2">
      <c r="A1325" t="s">
        <v>0</v>
      </c>
      <c r="B1325" t="s">
        <v>1</v>
      </c>
      <c r="C1325" t="s">
        <v>99</v>
      </c>
      <c r="D1325" t="s">
        <v>100</v>
      </c>
      <c r="E1325" t="s">
        <v>101</v>
      </c>
      <c r="F1325" t="s">
        <v>5</v>
      </c>
      <c r="G1325" t="s">
        <v>6</v>
      </c>
      <c r="H1325" t="s">
        <v>35</v>
      </c>
      <c r="I1325" t="s">
        <v>36</v>
      </c>
      <c r="J1325" t="s">
        <v>9</v>
      </c>
      <c r="K1325" t="s">
        <v>385</v>
      </c>
      <c r="L1325" t="s">
        <v>395</v>
      </c>
      <c r="M1325" t="s">
        <v>15</v>
      </c>
      <c r="N1325" s="2">
        <v>10913.5</v>
      </c>
      <c r="O1325" s="2">
        <v>5100</v>
      </c>
      <c r="P1325" s="2">
        <v>-471.36</v>
      </c>
      <c r="Q1325" s="2">
        <v>15542.14</v>
      </c>
      <c r="R1325" s="2">
        <v>0</v>
      </c>
      <c r="S1325" s="2">
        <v>15542.14</v>
      </c>
      <c r="T1325" s="2">
        <v>15542.14</v>
      </c>
      <c r="U1325" s="2">
        <v>0</v>
      </c>
      <c r="V1325" s="2">
        <v>0</v>
      </c>
      <c r="W1325" s="2">
        <v>0</v>
      </c>
    </row>
    <row r="1326" spans="1:23" outlineLevel="2" x14ac:dyDescent="0.2">
      <c r="A1326" t="s">
        <v>0</v>
      </c>
      <c r="B1326" t="s">
        <v>39</v>
      </c>
      <c r="C1326" t="s">
        <v>58</v>
      </c>
      <c r="D1326" t="s">
        <v>119</v>
      </c>
      <c r="E1326" t="s">
        <v>120</v>
      </c>
      <c r="F1326" t="s">
        <v>5</v>
      </c>
      <c r="G1326" t="s">
        <v>6</v>
      </c>
      <c r="H1326" t="s">
        <v>35</v>
      </c>
      <c r="I1326" t="s">
        <v>36</v>
      </c>
      <c r="J1326" t="s">
        <v>9</v>
      </c>
      <c r="K1326" t="s">
        <v>385</v>
      </c>
      <c r="L1326" t="s">
        <v>386</v>
      </c>
      <c r="M1326" t="s">
        <v>15</v>
      </c>
      <c r="N1326" s="2">
        <v>7619.89</v>
      </c>
      <c r="O1326" s="2">
        <v>-900</v>
      </c>
      <c r="P1326" s="2">
        <v>-3494.64</v>
      </c>
      <c r="Q1326" s="2">
        <v>3225.25</v>
      </c>
      <c r="R1326" s="2">
        <v>0</v>
      </c>
      <c r="S1326" s="2">
        <v>3225.25</v>
      </c>
      <c r="T1326" s="2">
        <v>3225.25</v>
      </c>
      <c r="U1326" s="2">
        <v>0</v>
      </c>
      <c r="V1326" s="2">
        <v>0</v>
      </c>
      <c r="W1326" s="2">
        <v>0</v>
      </c>
    </row>
    <row r="1327" spans="1:23" outlineLevel="2" x14ac:dyDescent="0.2">
      <c r="A1327" t="s">
        <v>0</v>
      </c>
      <c r="B1327" t="s">
        <v>31</v>
      </c>
      <c r="C1327" t="s">
        <v>79</v>
      </c>
      <c r="D1327" t="s">
        <v>113</v>
      </c>
      <c r="E1327" t="s">
        <v>114</v>
      </c>
      <c r="F1327" t="s">
        <v>5</v>
      </c>
      <c r="G1327" t="s">
        <v>6</v>
      </c>
      <c r="H1327" t="s">
        <v>35</v>
      </c>
      <c r="I1327" t="s">
        <v>36</v>
      </c>
      <c r="J1327" t="s">
        <v>9</v>
      </c>
      <c r="K1327" t="s">
        <v>385</v>
      </c>
      <c r="L1327" t="s">
        <v>387</v>
      </c>
      <c r="M1327" t="s">
        <v>15</v>
      </c>
      <c r="N1327" s="2">
        <v>10507.86</v>
      </c>
      <c r="O1327" s="2">
        <v>0</v>
      </c>
      <c r="P1327" s="2">
        <v>-10219.14</v>
      </c>
      <c r="Q1327" s="2">
        <v>288.72000000000003</v>
      </c>
      <c r="R1327" s="2">
        <v>0</v>
      </c>
      <c r="S1327" s="2">
        <v>288.72000000000003</v>
      </c>
      <c r="T1327" s="2">
        <v>288.72000000000003</v>
      </c>
      <c r="U1327" s="2">
        <v>0</v>
      </c>
      <c r="V1327" s="2">
        <v>0</v>
      </c>
      <c r="W1327" s="2">
        <v>0</v>
      </c>
    </row>
    <row r="1328" spans="1:23" outlineLevel="2" x14ac:dyDescent="0.2">
      <c r="A1328" t="s">
        <v>0</v>
      </c>
      <c r="B1328" t="s">
        <v>53</v>
      </c>
      <c r="C1328" t="s">
        <v>54</v>
      </c>
      <c r="D1328" t="s">
        <v>55</v>
      </c>
      <c r="E1328" t="s">
        <v>56</v>
      </c>
      <c r="F1328" t="s">
        <v>5</v>
      </c>
      <c r="G1328" t="s">
        <v>6</v>
      </c>
      <c r="H1328" t="s">
        <v>35</v>
      </c>
      <c r="I1328" t="s">
        <v>36</v>
      </c>
      <c r="J1328" t="s">
        <v>9</v>
      </c>
      <c r="K1328" t="s">
        <v>385</v>
      </c>
      <c r="L1328" t="s">
        <v>401</v>
      </c>
      <c r="M1328" t="s">
        <v>12</v>
      </c>
      <c r="N1328" s="2">
        <v>0</v>
      </c>
      <c r="O1328" s="2">
        <v>0</v>
      </c>
      <c r="P1328" s="2">
        <v>8909.7000000000007</v>
      </c>
      <c r="Q1328" s="2">
        <v>8909.7000000000007</v>
      </c>
      <c r="R1328" s="2">
        <v>0</v>
      </c>
      <c r="S1328" s="2">
        <v>0</v>
      </c>
      <c r="T1328" s="2">
        <v>0</v>
      </c>
      <c r="U1328" s="2">
        <v>8909.7000000000007</v>
      </c>
      <c r="V1328" s="2">
        <v>8909.7000000000007</v>
      </c>
      <c r="W1328" s="2">
        <v>8909.7000000000007</v>
      </c>
    </row>
    <row r="1329" spans="1:23" outlineLevel="2" x14ac:dyDescent="0.2">
      <c r="A1329" t="s">
        <v>0</v>
      </c>
      <c r="B1329" t="s">
        <v>39</v>
      </c>
      <c r="C1329" t="s">
        <v>58</v>
      </c>
      <c r="D1329" t="s">
        <v>135</v>
      </c>
      <c r="E1329" t="s">
        <v>136</v>
      </c>
      <c r="F1329" t="s">
        <v>5</v>
      </c>
      <c r="G1329" t="s">
        <v>6</v>
      </c>
      <c r="H1329" t="s">
        <v>35</v>
      </c>
      <c r="I1329" t="s">
        <v>36</v>
      </c>
      <c r="J1329" t="s">
        <v>9</v>
      </c>
      <c r="K1329" t="s">
        <v>385</v>
      </c>
      <c r="L1329" t="s">
        <v>386</v>
      </c>
      <c r="M1329" t="s">
        <v>15</v>
      </c>
      <c r="N1329" s="2">
        <v>13977.57</v>
      </c>
      <c r="O1329" s="2">
        <v>0</v>
      </c>
      <c r="P1329" s="2">
        <v>-8566.9500000000007</v>
      </c>
      <c r="Q1329" s="2">
        <v>5410.62</v>
      </c>
      <c r="R1329" s="2">
        <v>0</v>
      </c>
      <c r="S1329" s="2">
        <v>5410.62</v>
      </c>
      <c r="T1329" s="2">
        <v>5410.62</v>
      </c>
      <c r="U1329" s="2">
        <v>0</v>
      </c>
      <c r="V1329" s="2">
        <v>0</v>
      </c>
      <c r="W1329" s="2">
        <v>0</v>
      </c>
    </row>
    <row r="1330" spans="1:23" outlineLevel="2" x14ac:dyDescent="0.2">
      <c r="A1330" t="s">
        <v>0</v>
      </c>
      <c r="B1330" t="s">
        <v>31</v>
      </c>
      <c r="C1330" t="s">
        <v>79</v>
      </c>
      <c r="D1330" t="s">
        <v>80</v>
      </c>
      <c r="E1330" t="s">
        <v>81</v>
      </c>
      <c r="F1330" t="s">
        <v>5</v>
      </c>
      <c r="G1330" t="s">
        <v>6</v>
      </c>
      <c r="H1330" t="s">
        <v>35</v>
      </c>
      <c r="I1330" t="s">
        <v>36</v>
      </c>
      <c r="J1330" t="s">
        <v>9</v>
      </c>
      <c r="K1330" t="s">
        <v>385</v>
      </c>
      <c r="L1330" t="s">
        <v>387</v>
      </c>
      <c r="M1330" t="s">
        <v>12</v>
      </c>
      <c r="N1330" s="2">
        <v>0</v>
      </c>
      <c r="O1330" s="2">
        <v>0</v>
      </c>
      <c r="P1330" s="2">
        <v>6529.95</v>
      </c>
      <c r="Q1330" s="2">
        <v>6529.95</v>
      </c>
      <c r="R1330" s="2">
        <v>0</v>
      </c>
      <c r="S1330" s="2">
        <v>539.21</v>
      </c>
      <c r="T1330" s="2">
        <v>0</v>
      </c>
      <c r="U1330" s="2">
        <v>5990.74</v>
      </c>
      <c r="V1330" s="2">
        <v>6529.95</v>
      </c>
      <c r="W1330" s="2">
        <v>5990.74</v>
      </c>
    </row>
    <row r="1331" spans="1:23" outlineLevel="2" x14ac:dyDescent="0.2">
      <c r="A1331" t="s">
        <v>402</v>
      </c>
      <c r="B1331" t="s">
        <v>31</v>
      </c>
      <c r="C1331" t="s">
        <v>79</v>
      </c>
      <c r="D1331" t="s">
        <v>125</v>
      </c>
      <c r="E1331" t="s">
        <v>126</v>
      </c>
      <c r="F1331" t="s">
        <v>5</v>
      </c>
      <c r="G1331" t="s">
        <v>6</v>
      </c>
      <c r="H1331" t="s">
        <v>7</v>
      </c>
      <c r="I1331" t="s">
        <v>8</v>
      </c>
      <c r="J1331" t="s">
        <v>403</v>
      </c>
      <c r="K1331" t="s">
        <v>404</v>
      </c>
      <c r="L1331" t="s">
        <v>405</v>
      </c>
      <c r="M1331" t="s">
        <v>12</v>
      </c>
      <c r="N1331" s="2">
        <v>6000</v>
      </c>
      <c r="O1331" s="2">
        <v>0</v>
      </c>
      <c r="P1331" s="2">
        <v>-789.88</v>
      </c>
      <c r="Q1331" s="2">
        <v>5210.12</v>
      </c>
      <c r="R1331" s="2">
        <v>0</v>
      </c>
      <c r="S1331" s="2">
        <v>5210.12</v>
      </c>
      <c r="T1331" s="2">
        <v>1713.62</v>
      </c>
      <c r="U1331" s="2">
        <v>0</v>
      </c>
      <c r="V1331" s="2">
        <v>3496.5</v>
      </c>
      <c r="W1331" s="2">
        <v>0</v>
      </c>
    </row>
    <row r="1332" spans="1:23" outlineLevel="2" x14ac:dyDescent="0.2">
      <c r="A1332" t="s">
        <v>402</v>
      </c>
      <c r="B1332" t="s">
        <v>39</v>
      </c>
      <c r="C1332" t="s">
        <v>58</v>
      </c>
      <c r="D1332" t="s">
        <v>139</v>
      </c>
      <c r="E1332" t="s">
        <v>140</v>
      </c>
      <c r="F1332" t="s">
        <v>5</v>
      </c>
      <c r="G1332" t="s">
        <v>6</v>
      </c>
      <c r="H1332" t="s">
        <v>7</v>
      </c>
      <c r="I1332" t="s">
        <v>8</v>
      </c>
      <c r="J1332" t="s">
        <v>403</v>
      </c>
      <c r="K1332" t="s">
        <v>404</v>
      </c>
      <c r="L1332" t="s">
        <v>406</v>
      </c>
      <c r="M1332" t="s">
        <v>12</v>
      </c>
      <c r="N1332" s="2">
        <v>22220</v>
      </c>
      <c r="O1332" s="2">
        <v>0</v>
      </c>
      <c r="P1332" s="2">
        <v>0</v>
      </c>
      <c r="Q1332" s="2">
        <v>22220</v>
      </c>
      <c r="R1332" s="2">
        <v>0</v>
      </c>
      <c r="S1332" s="2">
        <v>22220</v>
      </c>
      <c r="T1332" s="2">
        <v>14320.88</v>
      </c>
      <c r="U1332" s="2">
        <v>0</v>
      </c>
      <c r="V1332" s="2">
        <v>7899.12</v>
      </c>
      <c r="W1332" s="2">
        <v>0</v>
      </c>
    </row>
    <row r="1333" spans="1:23" outlineLevel="2" x14ac:dyDescent="0.2">
      <c r="A1333" t="s">
        <v>402</v>
      </c>
      <c r="B1333" t="s">
        <v>31</v>
      </c>
      <c r="C1333" t="s">
        <v>32</v>
      </c>
      <c r="D1333" t="s">
        <v>123</v>
      </c>
      <c r="E1333" t="s">
        <v>124</v>
      </c>
      <c r="F1333" t="s">
        <v>5</v>
      </c>
      <c r="G1333" t="s">
        <v>6</v>
      </c>
      <c r="H1333" t="s">
        <v>7</v>
      </c>
      <c r="I1333" t="s">
        <v>8</v>
      </c>
      <c r="J1333" t="s">
        <v>403</v>
      </c>
      <c r="K1333" t="s">
        <v>404</v>
      </c>
      <c r="L1333" t="s">
        <v>407</v>
      </c>
      <c r="M1333" t="s">
        <v>12</v>
      </c>
      <c r="N1333" s="2">
        <v>7016</v>
      </c>
      <c r="O1333" s="2">
        <v>0</v>
      </c>
      <c r="P1333" s="2">
        <v>0</v>
      </c>
      <c r="Q1333" s="2">
        <v>7016</v>
      </c>
      <c r="R1333" s="2">
        <v>0</v>
      </c>
      <c r="S1333" s="2">
        <v>7016</v>
      </c>
      <c r="T1333" s="2">
        <v>5799.24</v>
      </c>
      <c r="U1333" s="2">
        <v>0</v>
      </c>
      <c r="V1333" s="2">
        <v>1216.76</v>
      </c>
      <c r="W1333" s="2">
        <v>0</v>
      </c>
    </row>
    <row r="1334" spans="1:23" outlineLevel="2" x14ac:dyDescent="0.2">
      <c r="A1334" t="s">
        <v>402</v>
      </c>
      <c r="B1334" t="s">
        <v>31</v>
      </c>
      <c r="C1334" t="s">
        <v>79</v>
      </c>
      <c r="D1334" t="s">
        <v>117</v>
      </c>
      <c r="E1334" t="s">
        <v>118</v>
      </c>
      <c r="F1334" t="s">
        <v>5</v>
      </c>
      <c r="G1334" t="s">
        <v>6</v>
      </c>
      <c r="H1334" t="s">
        <v>7</v>
      </c>
      <c r="I1334" t="s">
        <v>8</v>
      </c>
      <c r="J1334" t="s">
        <v>403</v>
      </c>
      <c r="K1334" t="s">
        <v>404</v>
      </c>
      <c r="L1334" t="s">
        <v>405</v>
      </c>
      <c r="M1334" t="s">
        <v>12</v>
      </c>
      <c r="N1334" s="2">
        <v>24300</v>
      </c>
      <c r="O1334" s="2">
        <v>0</v>
      </c>
      <c r="P1334" s="2">
        <v>0</v>
      </c>
      <c r="Q1334" s="2">
        <v>24300</v>
      </c>
      <c r="R1334" s="2">
        <v>0</v>
      </c>
      <c r="S1334" s="2">
        <v>24300</v>
      </c>
      <c r="T1334" s="2">
        <v>9627.9500000000007</v>
      </c>
      <c r="U1334" s="2">
        <v>0</v>
      </c>
      <c r="V1334" s="2">
        <v>14672.05</v>
      </c>
      <c r="W1334" s="2">
        <v>0</v>
      </c>
    </row>
    <row r="1335" spans="1:23" outlineLevel="2" x14ac:dyDescent="0.2">
      <c r="A1335" t="s">
        <v>402</v>
      </c>
      <c r="B1335" t="s">
        <v>31</v>
      </c>
      <c r="C1335" t="s">
        <v>32</v>
      </c>
      <c r="D1335" t="s">
        <v>75</v>
      </c>
      <c r="E1335" t="s">
        <v>76</v>
      </c>
      <c r="F1335" t="s">
        <v>5</v>
      </c>
      <c r="G1335" t="s">
        <v>6</v>
      </c>
      <c r="H1335" t="s">
        <v>7</v>
      </c>
      <c r="I1335" t="s">
        <v>8</v>
      </c>
      <c r="J1335" t="s">
        <v>403</v>
      </c>
      <c r="K1335" t="s">
        <v>404</v>
      </c>
      <c r="L1335" t="s">
        <v>407</v>
      </c>
      <c r="M1335" t="s">
        <v>12</v>
      </c>
      <c r="N1335" s="2">
        <v>9000</v>
      </c>
      <c r="O1335" s="2">
        <v>0</v>
      </c>
      <c r="P1335" s="2">
        <v>0</v>
      </c>
      <c r="Q1335" s="2">
        <v>9000</v>
      </c>
      <c r="R1335" s="2">
        <v>0</v>
      </c>
      <c r="S1335" s="2">
        <v>9000</v>
      </c>
      <c r="T1335" s="2">
        <v>4043.61</v>
      </c>
      <c r="U1335" s="2">
        <v>0</v>
      </c>
      <c r="V1335" s="2">
        <v>4956.3900000000003</v>
      </c>
      <c r="W1335" s="2">
        <v>0</v>
      </c>
    </row>
    <row r="1336" spans="1:23" outlineLevel="2" x14ac:dyDescent="0.2">
      <c r="A1336" t="s">
        <v>402</v>
      </c>
      <c r="B1336" t="s">
        <v>31</v>
      </c>
      <c r="C1336" t="s">
        <v>79</v>
      </c>
      <c r="D1336" t="s">
        <v>133</v>
      </c>
      <c r="E1336" t="s">
        <v>134</v>
      </c>
      <c r="F1336" t="s">
        <v>5</v>
      </c>
      <c r="G1336" t="s">
        <v>6</v>
      </c>
      <c r="H1336" t="s">
        <v>7</v>
      </c>
      <c r="I1336" t="s">
        <v>8</v>
      </c>
      <c r="J1336" t="s">
        <v>403</v>
      </c>
      <c r="K1336" t="s">
        <v>404</v>
      </c>
      <c r="L1336" t="s">
        <v>405</v>
      </c>
      <c r="M1336" t="s">
        <v>12</v>
      </c>
      <c r="N1336" s="2">
        <v>2700</v>
      </c>
      <c r="O1336" s="2">
        <v>0</v>
      </c>
      <c r="P1336" s="2">
        <v>0</v>
      </c>
      <c r="Q1336" s="2">
        <v>2700</v>
      </c>
      <c r="R1336" s="2">
        <v>0</v>
      </c>
      <c r="S1336" s="2">
        <v>2700</v>
      </c>
      <c r="T1336" s="2">
        <v>918.89</v>
      </c>
      <c r="U1336" s="2">
        <v>0</v>
      </c>
      <c r="V1336" s="2">
        <v>1781.11</v>
      </c>
      <c r="W1336" s="2">
        <v>0</v>
      </c>
    </row>
    <row r="1337" spans="1:23" outlineLevel="2" x14ac:dyDescent="0.2">
      <c r="A1337" t="s">
        <v>402</v>
      </c>
      <c r="B1337" t="s">
        <v>1</v>
      </c>
      <c r="C1337" t="s">
        <v>2</v>
      </c>
      <c r="D1337" t="s">
        <v>3</v>
      </c>
      <c r="E1337" t="s">
        <v>4</v>
      </c>
      <c r="F1337" t="s">
        <v>5</v>
      </c>
      <c r="G1337" t="s">
        <v>6</v>
      </c>
      <c r="H1337" t="s">
        <v>7</v>
      </c>
      <c r="I1337" t="s">
        <v>8</v>
      </c>
      <c r="J1337" t="s">
        <v>403</v>
      </c>
      <c r="K1337" t="s">
        <v>404</v>
      </c>
      <c r="L1337" t="s">
        <v>408</v>
      </c>
      <c r="M1337" t="s">
        <v>12</v>
      </c>
      <c r="N1337" s="2">
        <v>0</v>
      </c>
      <c r="O1337" s="2">
        <v>0</v>
      </c>
      <c r="P1337" s="2">
        <v>503.26</v>
      </c>
      <c r="Q1337" s="2">
        <v>503.26</v>
      </c>
      <c r="R1337" s="2">
        <v>0</v>
      </c>
      <c r="S1337" s="2">
        <v>0</v>
      </c>
      <c r="T1337" s="2">
        <v>0</v>
      </c>
      <c r="U1337" s="2">
        <v>503.26</v>
      </c>
      <c r="V1337" s="2">
        <v>503.26</v>
      </c>
      <c r="W1337" s="2">
        <v>503.26</v>
      </c>
    </row>
    <row r="1338" spans="1:23" outlineLevel="2" x14ac:dyDescent="0.2">
      <c r="A1338" t="s">
        <v>402</v>
      </c>
      <c r="B1338" t="s">
        <v>39</v>
      </c>
      <c r="C1338" t="s">
        <v>40</v>
      </c>
      <c r="D1338" t="s">
        <v>77</v>
      </c>
      <c r="E1338" t="s">
        <v>78</v>
      </c>
      <c r="F1338" t="s">
        <v>5</v>
      </c>
      <c r="G1338" t="s">
        <v>6</v>
      </c>
      <c r="H1338" t="s">
        <v>7</v>
      </c>
      <c r="I1338" t="s">
        <v>8</v>
      </c>
      <c r="J1338" t="s">
        <v>403</v>
      </c>
      <c r="K1338" t="s">
        <v>404</v>
      </c>
      <c r="L1338" t="s">
        <v>409</v>
      </c>
      <c r="M1338" t="s">
        <v>12</v>
      </c>
      <c r="N1338" s="2">
        <v>0</v>
      </c>
      <c r="O1338" s="2">
        <v>28000</v>
      </c>
      <c r="P1338" s="2">
        <v>0</v>
      </c>
      <c r="Q1338" s="2">
        <v>28000</v>
      </c>
      <c r="R1338" s="2">
        <v>0</v>
      </c>
      <c r="S1338" s="2">
        <v>28000</v>
      </c>
      <c r="T1338" s="2">
        <v>9796.17</v>
      </c>
      <c r="U1338" s="2">
        <v>0</v>
      </c>
      <c r="V1338" s="2">
        <v>18203.830000000002</v>
      </c>
      <c r="W1338" s="2">
        <v>0</v>
      </c>
    </row>
    <row r="1339" spans="1:23" outlineLevel="2" x14ac:dyDescent="0.2">
      <c r="A1339" t="s">
        <v>402</v>
      </c>
      <c r="B1339" t="s">
        <v>31</v>
      </c>
      <c r="C1339" t="s">
        <v>32</v>
      </c>
      <c r="D1339" t="s">
        <v>33</v>
      </c>
      <c r="E1339" t="s">
        <v>34</v>
      </c>
      <c r="F1339" t="s">
        <v>5</v>
      </c>
      <c r="G1339" t="s">
        <v>6</v>
      </c>
      <c r="H1339" t="s">
        <v>7</v>
      </c>
      <c r="I1339" t="s">
        <v>8</v>
      </c>
      <c r="J1339" t="s">
        <v>403</v>
      </c>
      <c r="K1339" t="s">
        <v>404</v>
      </c>
      <c r="L1339" t="s">
        <v>407</v>
      </c>
      <c r="M1339" t="s">
        <v>12</v>
      </c>
      <c r="N1339" s="2">
        <v>12200</v>
      </c>
      <c r="O1339" s="2">
        <v>0</v>
      </c>
      <c r="P1339" s="2">
        <v>0</v>
      </c>
      <c r="Q1339" s="2">
        <v>12200</v>
      </c>
      <c r="R1339" s="2">
        <v>0</v>
      </c>
      <c r="S1339" s="2">
        <v>6725.93</v>
      </c>
      <c r="T1339" s="2">
        <v>6725.93</v>
      </c>
      <c r="U1339" s="2">
        <v>5474.07</v>
      </c>
      <c r="V1339" s="2">
        <v>5474.07</v>
      </c>
      <c r="W1339" s="2">
        <v>5474.07</v>
      </c>
    </row>
    <row r="1340" spans="1:23" outlineLevel="2" x14ac:dyDescent="0.2">
      <c r="A1340" t="s">
        <v>402</v>
      </c>
      <c r="B1340" t="s">
        <v>1</v>
      </c>
      <c r="C1340" t="s">
        <v>2</v>
      </c>
      <c r="D1340" t="s">
        <v>410</v>
      </c>
      <c r="E1340" t="s">
        <v>411</v>
      </c>
      <c r="F1340" t="s">
        <v>5</v>
      </c>
      <c r="G1340" t="s">
        <v>6</v>
      </c>
      <c r="H1340" t="s">
        <v>7</v>
      </c>
      <c r="I1340" t="s">
        <v>8</v>
      </c>
      <c r="J1340" t="s">
        <v>403</v>
      </c>
      <c r="K1340" t="s">
        <v>404</v>
      </c>
      <c r="L1340" t="s">
        <v>408</v>
      </c>
      <c r="M1340" t="s">
        <v>15</v>
      </c>
      <c r="N1340" s="2">
        <v>200000</v>
      </c>
      <c r="O1340" s="2">
        <v>0</v>
      </c>
      <c r="P1340" s="2">
        <v>-87172.6</v>
      </c>
      <c r="Q1340" s="2">
        <v>112827.4</v>
      </c>
      <c r="R1340" s="2">
        <v>0</v>
      </c>
      <c r="S1340" s="2">
        <v>112827.4</v>
      </c>
      <c r="T1340" s="2">
        <v>69288</v>
      </c>
      <c r="U1340" s="2">
        <v>0</v>
      </c>
      <c r="V1340" s="2">
        <v>43539.4</v>
      </c>
      <c r="W1340" s="2">
        <v>0</v>
      </c>
    </row>
    <row r="1341" spans="1:23" outlineLevel="2" x14ac:dyDescent="0.2">
      <c r="A1341" t="s">
        <v>402</v>
      </c>
      <c r="B1341" t="s">
        <v>39</v>
      </c>
      <c r="C1341" t="s">
        <v>58</v>
      </c>
      <c r="D1341" t="s">
        <v>137</v>
      </c>
      <c r="E1341" t="s">
        <v>138</v>
      </c>
      <c r="F1341" t="s">
        <v>5</v>
      </c>
      <c r="G1341" t="s">
        <v>6</v>
      </c>
      <c r="H1341" t="s">
        <v>7</v>
      </c>
      <c r="I1341" t="s">
        <v>8</v>
      </c>
      <c r="J1341" t="s">
        <v>403</v>
      </c>
      <c r="K1341" t="s">
        <v>404</v>
      </c>
      <c r="L1341" t="s">
        <v>406</v>
      </c>
      <c r="M1341" t="s">
        <v>12</v>
      </c>
      <c r="N1341" s="2">
        <v>12000</v>
      </c>
      <c r="O1341" s="2">
        <v>0</v>
      </c>
      <c r="P1341" s="2">
        <v>0</v>
      </c>
      <c r="Q1341" s="2">
        <v>12000</v>
      </c>
      <c r="R1341" s="2">
        <v>0</v>
      </c>
      <c r="S1341" s="2">
        <v>12000</v>
      </c>
      <c r="T1341" s="2">
        <v>8256.5400000000009</v>
      </c>
      <c r="U1341" s="2">
        <v>0</v>
      </c>
      <c r="V1341" s="2">
        <v>3743.46</v>
      </c>
      <c r="W1341" s="2">
        <v>0</v>
      </c>
    </row>
    <row r="1342" spans="1:23" outlineLevel="2" x14ac:dyDescent="0.2">
      <c r="A1342" t="s">
        <v>402</v>
      </c>
      <c r="B1342" t="s">
        <v>39</v>
      </c>
      <c r="C1342" t="s">
        <v>58</v>
      </c>
      <c r="D1342" t="s">
        <v>59</v>
      </c>
      <c r="E1342" t="s">
        <v>60</v>
      </c>
      <c r="F1342" t="s">
        <v>5</v>
      </c>
      <c r="G1342" t="s">
        <v>6</v>
      </c>
      <c r="H1342" t="s">
        <v>7</v>
      </c>
      <c r="I1342" t="s">
        <v>8</v>
      </c>
      <c r="J1342" t="s">
        <v>403</v>
      </c>
      <c r="K1342" t="s">
        <v>404</v>
      </c>
      <c r="L1342" t="s">
        <v>406</v>
      </c>
      <c r="M1342" t="s">
        <v>12</v>
      </c>
      <c r="N1342" s="2">
        <v>10000</v>
      </c>
      <c r="O1342" s="2">
        <v>0</v>
      </c>
      <c r="P1342" s="2">
        <v>-4000</v>
      </c>
      <c r="Q1342" s="2">
        <v>6000</v>
      </c>
      <c r="R1342" s="2">
        <v>0</v>
      </c>
      <c r="S1342" s="2">
        <v>6000</v>
      </c>
      <c r="T1342" s="2">
        <v>3001.25</v>
      </c>
      <c r="U1342" s="2">
        <v>0</v>
      </c>
      <c r="V1342" s="2">
        <v>2998.75</v>
      </c>
      <c r="W1342" s="2">
        <v>0</v>
      </c>
    </row>
    <row r="1343" spans="1:23" outlineLevel="2" x14ac:dyDescent="0.2">
      <c r="A1343" t="s">
        <v>402</v>
      </c>
      <c r="B1343" t="s">
        <v>31</v>
      </c>
      <c r="C1343" t="s">
        <v>79</v>
      </c>
      <c r="D1343" t="s">
        <v>80</v>
      </c>
      <c r="E1343" t="s">
        <v>81</v>
      </c>
      <c r="F1343" t="s">
        <v>5</v>
      </c>
      <c r="G1343" t="s">
        <v>6</v>
      </c>
      <c r="H1343" t="s">
        <v>7</v>
      </c>
      <c r="I1343" t="s">
        <v>8</v>
      </c>
      <c r="J1343" t="s">
        <v>403</v>
      </c>
      <c r="K1343" t="s">
        <v>404</v>
      </c>
      <c r="L1343" t="s">
        <v>405</v>
      </c>
      <c r="M1343" t="s">
        <v>12</v>
      </c>
      <c r="N1343" s="2">
        <v>15000</v>
      </c>
      <c r="O1343" s="2">
        <v>0</v>
      </c>
      <c r="P1343" s="2">
        <v>0</v>
      </c>
      <c r="Q1343" s="2">
        <v>15000</v>
      </c>
      <c r="R1343" s="2">
        <v>0</v>
      </c>
      <c r="S1343" s="2">
        <v>15000</v>
      </c>
      <c r="T1343" s="2">
        <v>5724.4</v>
      </c>
      <c r="U1343" s="2">
        <v>0</v>
      </c>
      <c r="V1343" s="2">
        <v>9275.6</v>
      </c>
      <c r="W1343" s="2">
        <v>0</v>
      </c>
    </row>
    <row r="1344" spans="1:23" outlineLevel="2" x14ac:dyDescent="0.2">
      <c r="A1344" t="s">
        <v>402</v>
      </c>
      <c r="B1344" t="s">
        <v>31</v>
      </c>
      <c r="C1344" t="s">
        <v>79</v>
      </c>
      <c r="D1344" t="s">
        <v>115</v>
      </c>
      <c r="E1344" t="s">
        <v>116</v>
      </c>
      <c r="F1344" t="s">
        <v>5</v>
      </c>
      <c r="G1344" t="s">
        <v>6</v>
      </c>
      <c r="H1344" t="s">
        <v>7</v>
      </c>
      <c r="I1344" t="s">
        <v>8</v>
      </c>
      <c r="J1344" t="s">
        <v>403</v>
      </c>
      <c r="K1344" t="s">
        <v>404</v>
      </c>
      <c r="L1344" t="s">
        <v>405</v>
      </c>
      <c r="M1344" t="s">
        <v>12</v>
      </c>
      <c r="N1344" s="2">
        <v>5600</v>
      </c>
      <c r="O1344" s="2">
        <v>0</v>
      </c>
      <c r="P1344" s="2">
        <v>0</v>
      </c>
      <c r="Q1344" s="2">
        <v>5600</v>
      </c>
      <c r="R1344" s="2">
        <v>0</v>
      </c>
      <c r="S1344" s="2">
        <v>5600</v>
      </c>
      <c r="T1344" s="2">
        <v>1054.26</v>
      </c>
      <c r="U1344" s="2">
        <v>0</v>
      </c>
      <c r="V1344" s="2">
        <v>4545.74</v>
      </c>
      <c r="W1344" s="2">
        <v>0</v>
      </c>
    </row>
    <row r="1345" spans="1:23" outlineLevel="2" x14ac:dyDescent="0.2">
      <c r="A1345" t="s">
        <v>402</v>
      </c>
      <c r="B1345" t="s">
        <v>31</v>
      </c>
      <c r="C1345" t="s">
        <v>79</v>
      </c>
      <c r="D1345" t="s">
        <v>131</v>
      </c>
      <c r="E1345" t="s">
        <v>132</v>
      </c>
      <c r="F1345" t="s">
        <v>5</v>
      </c>
      <c r="G1345" t="s">
        <v>6</v>
      </c>
      <c r="H1345" t="s">
        <v>7</v>
      </c>
      <c r="I1345" t="s">
        <v>8</v>
      </c>
      <c r="J1345" t="s">
        <v>403</v>
      </c>
      <c r="K1345" t="s">
        <v>404</v>
      </c>
      <c r="L1345" t="s">
        <v>405</v>
      </c>
      <c r="M1345" t="s">
        <v>12</v>
      </c>
      <c r="N1345" s="2">
        <v>14000</v>
      </c>
      <c r="O1345" s="2">
        <v>0</v>
      </c>
      <c r="P1345" s="2">
        <v>0</v>
      </c>
      <c r="Q1345" s="2">
        <v>14000</v>
      </c>
      <c r="R1345" s="2">
        <v>0</v>
      </c>
      <c r="S1345" s="2">
        <v>14000</v>
      </c>
      <c r="T1345" s="2">
        <v>8640.66</v>
      </c>
      <c r="U1345" s="2">
        <v>0</v>
      </c>
      <c r="V1345" s="2">
        <v>5359.34</v>
      </c>
      <c r="W1345" s="2">
        <v>0</v>
      </c>
    </row>
    <row r="1346" spans="1:23" outlineLevel="2" x14ac:dyDescent="0.2">
      <c r="A1346" t="s">
        <v>402</v>
      </c>
      <c r="B1346" t="s">
        <v>39</v>
      </c>
      <c r="C1346" t="s">
        <v>66</v>
      </c>
      <c r="D1346" t="s">
        <v>67</v>
      </c>
      <c r="E1346" t="s">
        <v>68</v>
      </c>
      <c r="F1346" t="s">
        <v>5</v>
      </c>
      <c r="G1346" t="s">
        <v>6</v>
      </c>
      <c r="H1346" t="s">
        <v>7</v>
      </c>
      <c r="I1346" t="s">
        <v>8</v>
      </c>
      <c r="J1346" t="s">
        <v>403</v>
      </c>
      <c r="K1346" t="s">
        <v>404</v>
      </c>
      <c r="L1346" t="s">
        <v>412</v>
      </c>
      <c r="M1346" t="s">
        <v>12</v>
      </c>
      <c r="N1346" s="2">
        <v>3600</v>
      </c>
      <c r="O1346" s="2">
        <v>0</v>
      </c>
      <c r="P1346" s="2">
        <v>0</v>
      </c>
      <c r="Q1346" s="2">
        <v>3600</v>
      </c>
      <c r="R1346" s="2">
        <v>0</v>
      </c>
      <c r="S1346" s="2">
        <v>3600</v>
      </c>
      <c r="T1346" s="2">
        <v>1886.51</v>
      </c>
      <c r="U1346" s="2">
        <v>0</v>
      </c>
      <c r="V1346" s="2">
        <v>1713.49</v>
      </c>
      <c r="W1346" s="2">
        <v>0</v>
      </c>
    </row>
    <row r="1347" spans="1:23" outlineLevel="2" x14ac:dyDescent="0.2">
      <c r="A1347" t="s">
        <v>402</v>
      </c>
      <c r="B1347" t="s">
        <v>39</v>
      </c>
      <c r="C1347" t="s">
        <v>58</v>
      </c>
      <c r="D1347" t="s">
        <v>143</v>
      </c>
      <c r="E1347" t="s">
        <v>144</v>
      </c>
      <c r="F1347" t="s">
        <v>5</v>
      </c>
      <c r="G1347" t="s">
        <v>6</v>
      </c>
      <c r="H1347" t="s">
        <v>7</v>
      </c>
      <c r="I1347" t="s">
        <v>8</v>
      </c>
      <c r="J1347" t="s">
        <v>403</v>
      </c>
      <c r="K1347" t="s">
        <v>404</v>
      </c>
      <c r="L1347" t="s">
        <v>406</v>
      </c>
      <c r="M1347" t="s">
        <v>12</v>
      </c>
      <c r="N1347" s="2">
        <v>8500</v>
      </c>
      <c r="O1347" s="2">
        <v>3500</v>
      </c>
      <c r="P1347" s="2">
        <v>0</v>
      </c>
      <c r="Q1347" s="2">
        <v>12000</v>
      </c>
      <c r="R1347" s="2">
        <v>0</v>
      </c>
      <c r="S1347" s="2">
        <v>9092.34</v>
      </c>
      <c r="T1347" s="2">
        <v>8422.34</v>
      </c>
      <c r="U1347" s="2">
        <v>2907.66</v>
      </c>
      <c r="V1347" s="2">
        <v>3577.66</v>
      </c>
      <c r="W1347" s="2">
        <v>2907.66</v>
      </c>
    </row>
    <row r="1348" spans="1:23" outlineLevel="2" x14ac:dyDescent="0.2">
      <c r="A1348" t="s">
        <v>402</v>
      </c>
      <c r="B1348" t="s">
        <v>31</v>
      </c>
      <c r="C1348" t="s">
        <v>79</v>
      </c>
      <c r="D1348" t="s">
        <v>127</v>
      </c>
      <c r="E1348" t="s">
        <v>128</v>
      </c>
      <c r="F1348" t="s">
        <v>5</v>
      </c>
      <c r="G1348" t="s">
        <v>6</v>
      </c>
      <c r="H1348" t="s">
        <v>7</v>
      </c>
      <c r="I1348" t="s">
        <v>8</v>
      </c>
      <c r="J1348" t="s">
        <v>403</v>
      </c>
      <c r="K1348" t="s">
        <v>404</v>
      </c>
      <c r="L1348" t="s">
        <v>405</v>
      </c>
      <c r="M1348" t="s">
        <v>12</v>
      </c>
      <c r="N1348" s="2">
        <v>16000</v>
      </c>
      <c r="O1348" s="2">
        <v>0</v>
      </c>
      <c r="P1348" s="2">
        <v>0</v>
      </c>
      <c r="Q1348" s="2">
        <v>16000</v>
      </c>
      <c r="R1348" s="2">
        <v>0</v>
      </c>
      <c r="S1348" s="2">
        <v>16000</v>
      </c>
      <c r="T1348" s="2">
        <v>9028.49</v>
      </c>
      <c r="U1348" s="2">
        <v>0</v>
      </c>
      <c r="V1348" s="2">
        <v>6971.51</v>
      </c>
      <c r="W1348" s="2">
        <v>0</v>
      </c>
    </row>
    <row r="1349" spans="1:23" outlineLevel="2" x14ac:dyDescent="0.2">
      <c r="A1349" t="s">
        <v>402</v>
      </c>
      <c r="B1349" t="s">
        <v>39</v>
      </c>
      <c r="C1349" t="s">
        <v>58</v>
      </c>
      <c r="D1349" t="s">
        <v>135</v>
      </c>
      <c r="E1349" t="s">
        <v>136</v>
      </c>
      <c r="F1349" t="s">
        <v>5</v>
      </c>
      <c r="G1349" t="s">
        <v>6</v>
      </c>
      <c r="H1349" t="s">
        <v>7</v>
      </c>
      <c r="I1349" t="s">
        <v>8</v>
      </c>
      <c r="J1349" t="s">
        <v>403</v>
      </c>
      <c r="K1349" t="s">
        <v>404</v>
      </c>
      <c r="L1349" t="s">
        <v>406</v>
      </c>
      <c r="M1349" t="s">
        <v>12</v>
      </c>
      <c r="N1349" s="2">
        <v>16800</v>
      </c>
      <c r="O1349" s="2">
        <v>-7800</v>
      </c>
      <c r="P1349" s="2">
        <v>0</v>
      </c>
      <c r="Q1349" s="2">
        <v>9000</v>
      </c>
      <c r="R1349" s="2">
        <v>0</v>
      </c>
      <c r="S1349" s="2">
        <v>9000</v>
      </c>
      <c r="T1349" s="2">
        <v>7409.08</v>
      </c>
      <c r="U1349" s="2">
        <v>0</v>
      </c>
      <c r="V1349" s="2">
        <v>1590.92</v>
      </c>
      <c r="W1349" s="2">
        <v>0</v>
      </c>
    </row>
    <row r="1350" spans="1:23" outlineLevel="2" x14ac:dyDescent="0.2">
      <c r="A1350" t="s">
        <v>402</v>
      </c>
      <c r="B1350" t="s">
        <v>1</v>
      </c>
      <c r="C1350" t="s">
        <v>91</v>
      </c>
      <c r="D1350" t="s">
        <v>92</v>
      </c>
      <c r="E1350" t="s">
        <v>93</v>
      </c>
      <c r="F1350" t="s">
        <v>5</v>
      </c>
      <c r="G1350" t="s">
        <v>6</v>
      </c>
      <c r="H1350" t="s">
        <v>7</v>
      </c>
      <c r="I1350" t="s">
        <v>8</v>
      </c>
      <c r="J1350" t="s">
        <v>403</v>
      </c>
      <c r="K1350" t="s">
        <v>404</v>
      </c>
      <c r="L1350" t="s">
        <v>413</v>
      </c>
      <c r="M1350" t="s">
        <v>15</v>
      </c>
      <c r="N1350" s="2">
        <v>4150.6899999999996</v>
      </c>
      <c r="O1350" s="2">
        <v>4000</v>
      </c>
      <c r="P1350" s="2">
        <v>0</v>
      </c>
      <c r="Q1350" s="2">
        <v>8150.69</v>
      </c>
      <c r="R1350" s="2">
        <v>0</v>
      </c>
      <c r="S1350" s="2">
        <v>8150.69</v>
      </c>
      <c r="T1350" s="2">
        <v>4077.16</v>
      </c>
      <c r="U1350" s="2">
        <v>0</v>
      </c>
      <c r="V1350" s="2">
        <v>4073.53</v>
      </c>
      <c r="W1350" s="2">
        <v>0</v>
      </c>
    </row>
    <row r="1351" spans="1:23" outlineLevel="2" x14ac:dyDescent="0.2">
      <c r="A1351" t="s">
        <v>402</v>
      </c>
      <c r="B1351" t="s">
        <v>31</v>
      </c>
      <c r="C1351" t="s">
        <v>79</v>
      </c>
      <c r="D1351" t="s">
        <v>113</v>
      </c>
      <c r="E1351" t="s">
        <v>114</v>
      </c>
      <c r="F1351" t="s">
        <v>5</v>
      </c>
      <c r="G1351" t="s">
        <v>6</v>
      </c>
      <c r="H1351" t="s">
        <v>7</v>
      </c>
      <c r="I1351" t="s">
        <v>8</v>
      </c>
      <c r="J1351" t="s">
        <v>403</v>
      </c>
      <c r="K1351" t="s">
        <v>404</v>
      </c>
      <c r="L1351" t="s">
        <v>405</v>
      </c>
      <c r="M1351" t="s">
        <v>12</v>
      </c>
      <c r="N1351" s="2">
        <v>10000</v>
      </c>
      <c r="O1351" s="2">
        <v>0</v>
      </c>
      <c r="P1351" s="2">
        <v>0</v>
      </c>
      <c r="Q1351" s="2">
        <v>10000</v>
      </c>
      <c r="R1351" s="2">
        <v>0</v>
      </c>
      <c r="S1351" s="2">
        <v>0</v>
      </c>
      <c r="T1351" s="2">
        <v>0</v>
      </c>
      <c r="U1351" s="2">
        <v>10000</v>
      </c>
      <c r="V1351" s="2">
        <v>10000</v>
      </c>
      <c r="W1351" s="2">
        <v>10000</v>
      </c>
    </row>
    <row r="1352" spans="1:23" outlineLevel="2" x14ac:dyDescent="0.2">
      <c r="A1352" t="s">
        <v>402</v>
      </c>
      <c r="B1352" t="s">
        <v>1</v>
      </c>
      <c r="C1352" t="s">
        <v>2</v>
      </c>
      <c r="D1352" t="s">
        <v>3</v>
      </c>
      <c r="E1352" t="s">
        <v>4</v>
      </c>
      <c r="F1352" t="s">
        <v>5</v>
      </c>
      <c r="G1352" t="s">
        <v>6</v>
      </c>
      <c r="H1352" t="s">
        <v>7</v>
      </c>
      <c r="I1352" t="s">
        <v>8</v>
      </c>
      <c r="J1352" t="s">
        <v>403</v>
      </c>
      <c r="K1352" t="s">
        <v>404</v>
      </c>
      <c r="L1352" t="s">
        <v>408</v>
      </c>
      <c r="M1352" t="s">
        <v>15</v>
      </c>
      <c r="N1352" s="2">
        <v>6000</v>
      </c>
      <c r="O1352" s="2">
        <v>-3360</v>
      </c>
      <c r="P1352" s="2">
        <v>-503.26</v>
      </c>
      <c r="Q1352" s="2">
        <v>2136.7399999999998</v>
      </c>
      <c r="R1352" s="2">
        <v>0</v>
      </c>
      <c r="S1352" s="2">
        <v>2136.7399999999998</v>
      </c>
      <c r="T1352" s="2">
        <v>1477.08</v>
      </c>
      <c r="U1352" s="2">
        <v>0</v>
      </c>
      <c r="V1352" s="2">
        <v>659.66</v>
      </c>
      <c r="W1352" s="2">
        <v>0</v>
      </c>
    </row>
    <row r="1353" spans="1:23" outlineLevel="2" x14ac:dyDescent="0.2">
      <c r="A1353" t="s">
        <v>402</v>
      </c>
      <c r="B1353" t="s">
        <v>39</v>
      </c>
      <c r="C1353" t="s">
        <v>58</v>
      </c>
      <c r="D1353" t="s">
        <v>149</v>
      </c>
      <c r="E1353" t="s">
        <v>150</v>
      </c>
      <c r="F1353" t="s">
        <v>5</v>
      </c>
      <c r="G1353" t="s">
        <v>6</v>
      </c>
      <c r="H1353" t="s">
        <v>7</v>
      </c>
      <c r="I1353" t="s">
        <v>8</v>
      </c>
      <c r="J1353" t="s">
        <v>403</v>
      </c>
      <c r="K1353" t="s">
        <v>404</v>
      </c>
      <c r="L1353" t="s">
        <v>406</v>
      </c>
      <c r="M1353" t="s">
        <v>12</v>
      </c>
      <c r="N1353" s="2">
        <v>33000</v>
      </c>
      <c r="O1353" s="2">
        <v>-7950.88</v>
      </c>
      <c r="P1353" s="2">
        <v>0</v>
      </c>
      <c r="Q1353" s="2">
        <v>25049.119999999999</v>
      </c>
      <c r="R1353" s="2">
        <v>0</v>
      </c>
      <c r="S1353" s="2">
        <v>25049.119999999999</v>
      </c>
      <c r="T1353" s="2">
        <v>22101.65</v>
      </c>
      <c r="U1353" s="2">
        <v>0</v>
      </c>
      <c r="V1353" s="2">
        <v>2947.47</v>
      </c>
      <c r="W1353" s="2">
        <v>0</v>
      </c>
    </row>
    <row r="1354" spans="1:23" outlineLevel="2" x14ac:dyDescent="0.2">
      <c r="A1354" t="s">
        <v>402</v>
      </c>
      <c r="B1354" t="s">
        <v>39</v>
      </c>
      <c r="C1354" t="s">
        <v>70</v>
      </c>
      <c r="D1354" t="s">
        <v>89</v>
      </c>
      <c r="E1354" t="s">
        <v>90</v>
      </c>
      <c r="F1354" t="s">
        <v>5</v>
      </c>
      <c r="G1354" t="s">
        <v>6</v>
      </c>
      <c r="H1354" t="s">
        <v>7</v>
      </c>
      <c r="I1354" t="s">
        <v>8</v>
      </c>
      <c r="J1354" t="s">
        <v>403</v>
      </c>
      <c r="K1354" t="s">
        <v>404</v>
      </c>
      <c r="L1354" t="s">
        <v>414</v>
      </c>
      <c r="M1354" t="s">
        <v>12</v>
      </c>
      <c r="N1354" s="2">
        <v>50000</v>
      </c>
      <c r="O1354" s="2">
        <v>0</v>
      </c>
      <c r="P1354" s="2">
        <v>0</v>
      </c>
      <c r="Q1354" s="2">
        <v>50000</v>
      </c>
      <c r="R1354" s="2">
        <v>0</v>
      </c>
      <c r="S1354" s="2">
        <v>50000</v>
      </c>
      <c r="T1354" s="2">
        <v>41677.29</v>
      </c>
      <c r="U1354" s="2">
        <v>0</v>
      </c>
      <c r="V1354" s="2">
        <v>8322.7099999999991</v>
      </c>
      <c r="W1354" s="2">
        <v>0</v>
      </c>
    </row>
    <row r="1355" spans="1:23" outlineLevel="2" x14ac:dyDescent="0.2">
      <c r="A1355" t="s">
        <v>402</v>
      </c>
      <c r="B1355" t="s">
        <v>39</v>
      </c>
      <c r="C1355" t="s">
        <v>58</v>
      </c>
      <c r="D1355" t="s">
        <v>147</v>
      </c>
      <c r="E1355" t="s">
        <v>148</v>
      </c>
      <c r="F1355" t="s">
        <v>5</v>
      </c>
      <c r="G1355" t="s">
        <v>6</v>
      </c>
      <c r="H1355" t="s">
        <v>7</v>
      </c>
      <c r="I1355" t="s">
        <v>8</v>
      </c>
      <c r="J1355" t="s">
        <v>403</v>
      </c>
      <c r="K1355" t="s">
        <v>404</v>
      </c>
      <c r="L1355" t="s">
        <v>406</v>
      </c>
      <c r="M1355" t="s">
        <v>12</v>
      </c>
      <c r="N1355" s="2">
        <v>10000</v>
      </c>
      <c r="O1355" s="2">
        <v>14259</v>
      </c>
      <c r="P1355" s="2">
        <v>0</v>
      </c>
      <c r="Q1355" s="2">
        <v>24259</v>
      </c>
      <c r="R1355" s="2">
        <v>0</v>
      </c>
      <c r="S1355" s="2">
        <v>24259</v>
      </c>
      <c r="T1355" s="2">
        <v>15055.35</v>
      </c>
      <c r="U1355" s="2">
        <v>0</v>
      </c>
      <c r="V1355" s="2">
        <v>9203.65</v>
      </c>
      <c r="W1355" s="2">
        <v>0</v>
      </c>
    </row>
    <row r="1356" spans="1:23" outlineLevel="2" x14ac:dyDescent="0.2">
      <c r="A1356" t="s">
        <v>402</v>
      </c>
      <c r="B1356" t="s">
        <v>39</v>
      </c>
      <c r="C1356" t="s">
        <v>58</v>
      </c>
      <c r="D1356" t="s">
        <v>145</v>
      </c>
      <c r="E1356" t="s">
        <v>146</v>
      </c>
      <c r="F1356" t="s">
        <v>5</v>
      </c>
      <c r="G1356" t="s">
        <v>6</v>
      </c>
      <c r="H1356" t="s">
        <v>7</v>
      </c>
      <c r="I1356" t="s">
        <v>8</v>
      </c>
      <c r="J1356" t="s">
        <v>403</v>
      </c>
      <c r="K1356" t="s">
        <v>404</v>
      </c>
      <c r="L1356" t="s">
        <v>406</v>
      </c>
      <c r="M1356" t="s">
        <v>12</v>
      </c>
      <c r="N1356" s="2">
        <v>7000</v>
      </c>
      <c r="O1356" s="2">
        <v>2000</v>
      </c>
      <c r="P1356" s="2">
        <v>0</v>
      </c>
      <c r="Q1356" s="2">
        <v>9000</v>
      </c>
      <c r="R1356" s="2">
        <v>0</v>
      </c>
      <c r="S1356" s="2">
        <v>9000</v>
      </c>
      <c r="T1356" s="2">
        <v>3876.48</v>
      </c>
      <c r="U1356" s="2">
        <v>0</v>
      </c>
      <c r="V1356" s="2">
        <v>5123.5200000000004</v>
      </c>
      <c r="W1356" s="2">
        <v>0</v>
      </c>
    </row>
    <row r="1357" spans="1:23" outlineLevel="2" x14ac:dyDescent="0.2">
      <c r="A1357" t="s">
        <v>402</v>
      </c>
      <c r="B1357" t="s">
        <v>31</v>
      </c>
      <c r="C1357" t="s">
        <v>79</v>
      </c>
      <c r="D1357" t="s">
        <v>111</v>
      </c>
      <c r="E1357" t="s">
        <v>112</v>
      </c>
      <c r="F1357" t="s">
        <v>5</v>
      </c>
      <c r="G1357" t="s">
        <v>6</v>
      </c>
      <c r="H1357" t="s">
        <v>7</v>
      </c>
      <c r="I1357" t="s">
        <v>8</v>
      </c>
      <c r="J1357" t="s">
        <v>403</v>
      </c>
      <c r="K1357" t="s">
        <v>404</v>
      </c>
      <c r="L1357" t="s">
        <v>405</v>
      </c>
      <c r="M1357" t="s">
        <v>12</v>
      </c>
      <c r="N1357" s="2">
        <v>8000</v>
      </c>
      <c r="O1357" s="2">
        <v>0</v>
      </c>
      <c r="P1357" s="2">
        <v>0</v>
      </c>
      <c r="Q1357" s="2">
        <v>8000</v>
      </c>
      <c r="R1357" s="2">
        <v>0</v>
      </c>
      <c r="S1357" s="2">
        <v>8000</v>
      </c>
      <c r="T1357" s="2">
        <v>2265.8200000000002</v>
      </c>
      <c r="U1357" s="2">
        <v>0</v>
      </c>
      <c r="V1357" s="2">
        <v>5734.18</v>
      </c>
      <c r="W1357" s="2">
        <v>0</v>
      </c>
    </row>
    <row r="1358" spans="1:23" outlineLevel="2" x14ac:dyDescent="0.2">
      <c r="A1358" t="s">
        <v>402</v>
      </c>
      <c r="B1358" t="s">
        <v>31</v>
      </c>
      <c r="C1358" t="s">
        <v>79</v>
      </c>
      <c r="D1358" t="s">
        <v>113</v>
      </c>
      <c r="E1358" t="s">
        <v>114</v>
      </c>
      <c r="F1358" t="s">
        <v>5</v>
      </c>
      <c r="G1358" t="s">
        <v>6</v>
      </c>
      <c r="H1358" t="s">
        <v>7</v>
      </c>
      <c r="I1358" t="s">
        <v>8</v>
      </c>
      <c r="J1358" t="s">
        <v>403</v>
      </c>
      <c r="K1358" t="s">
        <v>415</v>
      </c>
      <c r="L1358" t="s">
        <v>416</v>
      </c>
      <c r="M1358" t="s">
        <v>12</v>
      </c>
      <c r="N1358" s="2">
        <v>9000</v>
      </c>
      <c r="O1358" s="2">
        <v>0</v>
      </c>
      <c r="P1358" s="2">
        <v>0</v>
      </c>
      <c r="Q1358" s="2">
        <v>9000</v>
      </c>
      <c r="R1358" s="2">
        <v>0</v>
      </c>
      <c r="S1358" s="2">
        <v>0</v>
      </c>
      <c r="T1358" s="2">
        <v>0</v>
      </c>
      <c r="U1358" s="2">
        <v>9000</v>
      </c>
      <c r="V1358" s="2">
        <v>9000</v>
      </c>
      <c r="W1358" s="2">
        <v>9000</v>
      </c>
    </row>
    <row r="1359" spans="1:23" outlineLevel="2" x14ac:dyDescent="0.2">
      <c r="A1359" t="s">
        <v>402</v>
      </c>
      <c r="B1359" t="s">
        <v>31</v>
      </c>
      <c r="C1359" t="s">
        <v>79</v>
      </c>
      <c r="D1359" t="s">
        <v>125</v>
      </c>
      <c r="E1359" t="s">
        <v>126</v>
      </c>
      <c r="F1359" t="s">
        <v>5</v>
      </c>
      <c r="G1359" t="s">
        <v>6</v>
      </c>
      <c r="H1359" t="s">
        <v>7</v>
      </c>
      <c r="I1359" t="s">
        <v>8</v>
      </c>
      <c r="J1359" t="s">
        <v>403</v>
      </c>
      <c r="K1359" t="s">
        <v>415</v>
      </c>
      <c r="L1359" t="s">
        <v>416</v>
      </c>
      <c r="M1359" t="s">
        <v>12</v>
      </c>
      <c r="N1359" s="2">
        <v>5811.51</v>
      </c>
      <c r="O1359" s="2">
        <v>0</v>
      </c>
      <c r="P1359" s="2">
        <v>0</v>
      </c>
      <c r="Q1359" s="2">
        <v>5811.51</v>
      </c>
      <c r="R1359" s="2">
        <v>0</v>
      </c>
      <c r="S1359" s="2">
        <v>4307.6000000000004</v>
      </c>
      <c r="T1359" s="2">
        <v>2382.3200000000002</v>
      </c>
      <c r="U1359" s="2">
        <v>1503.91</v>
      </c>
      <c r="V1359" s="2">
        <v>3429.19</v>
      </c>
      <c r="W1359" s="2">
        <v>1503.91</v>
      </c>
    </row>
    <row r="1360" spans="1:23" outlineLevel="2" x14ac:dyDescent="0.2">
      <c r="A1360" t="s">
        <v>402</v>
      </c>
      <c r="B1360" t="s">
        <v>39</v>
      </c>
      <c r="C1360" t="s">
        <v>40</v>
      </c>
      <c r="D1360" t="s">
        <v>77</v>
      </c>
      <c r="E1360" t="s">
        <v>78</v>
      </c>
      <c r="F1360" t="s">
        <v>5</v>
      </c>
      <c r="G1360" t="s">
        <v>6</v>
      </c>
      <c r="H1360" t="s">
        <v>7</v>
      </c>
      <c r="I1360" t="s">
        <v>8</v>
      </c>
      <c r="J1360" t="s">
        <v>403</v>
      </c>
      <c r="K1360" t="s">
        <v>415</v>
      </c>
      <c r="L1360" t="s">
        <v>417</v>
      </c>
      <c r="M1360" t="s">
        <v>12</v>
      </c>
      <c r="N1360" s="2">
        <v>0</v>
      </c>
      <c r="O1360" s="2">
        <v>55000</v>
      </c>
      <c r="P1360" s="2">
        <v>0</v>
      </c>
      <c r="Q1360" s="2">
        <v>55000</v>
      </c>
      <c r="R1360" s="2">
        <v>0</v>
      </c>
      <c r="S1360" s="2">
        <v>55000</v>
      </c>
      <c r="T1360" s="2">
        <v>38443.15</v>
      </c>
      <c r="U1360" s="2">
        <v>0</v>
      </c>
      <c r="V1360" s="2">
        <v>16556.849999999999</v>
      </c>
      <c r="W1360" s="2">
        <v>0</v>
      </c>
    </row>
    <row r="1361" spans="1:23" outlineLevel="2" x14ac:dyDescent="0.2">
      <c r="A1361" t="s">
        <v>402</v>
      </c>
      <c r="B1361" t="s">
        <v>31</v>
      </c>
      <c r="C1361" t="s">
        <v>79</v>
      </c>
      <c r="D1361" t="s">
        <v>131</v>
      </c>
      <c r="E1361" t="s">
        <v>132</v>
      </c>
      <c r="F1361" t="s">
        <v>5</v>
      </c>
      <c r="G1361" t="s">
        <v>6</v>
      </c>
      <c r="H1361" t="s">
        <v>7</v>
      </c>
      <c r="I1361" t="s">
        <v>8</v>
      </c>
      <c r="J1361" t="s">
        <v>403</v>
      </c>
      <c r="K1361" t="s">
        <v>415</v>
      </c>
      <c r="L1361" t="s">
        <v>416</v>
      </c>
      <c r="M1361" t="s">
        <v>12</v>
      </c>
      <c r="N1361" s="2">
        <v>18000</v>
      </c>
      <c r="O1361" s="2">
        <v>0</v>
      </c>
      <c r="P1361" s="2">
        <v>0</v>
      </c>
      <c r="Q1361" s="2">
        <v>18000</v>
      </c>
      <c r="R1361" s="2">
        <v>0</v>
      </c>
      <c r="S1361" s="2">
        <v>18000</v>
      </c>
      <c r="T1361" s="2">
        <v>11053.93</v>
      </c>
      <c r="U1361" s="2">
        <v>0</v>
      </c>
      <c r="V1361" s="2">
        <v>6946.07</v>
      </c>
      <c r="W1361" s="2">
        <v>0</v>
      </c>
    </row>
    <row r="1362" spans="1:23" outlineLevel="2" x14ac:dyDescent="0.2">
      <c r="A1362" t="s">
        <v>402</v>
      </c>
      <c r="B1362" t="s">
        <v>31</v>
      </c>
      <c r="C1362" t="s">
        <v>79</v>
      </c>
      <c r="D1362" t="s">
        <v>111</v>
      </c>
      <c r="E1362" t="s">
        <v>112</v>
      </c>
      <c r="F1362" t="s">
        <v>5</v>
      </c>
      <c r="G1362" t="s">
        <v>6</v>
      </c>
      <c r="H1362" t="s">
        <v>7</v>
      </c>
      <c r="I1362" t="s">
        <v>8</v>
      </c>
      <c r="J1362" t="s">
        <v>403</v>
      </c>
      <c r="K1362" t="s">
        <v>415</v>
      </c>
      <c r="L1362" t="s">
        <v>416</v>
      </c>
      <c r="M1362" t="s">
        <v>12</v>
      </c>
      <c r="N1362" s="2">
        <v>9000</v>
      </c>
      <c r="O1362" s="2">
        <v>0</v>
      </c>
      <c r="P1362" s="2">
        <v>0</v>
      </c>
      <c r="Q1362" s="2">
        <v>9000</v>
      </c>
      <c r="R1362" s="2">
        <v>0</v>
      </c>
      <c r="S1362" s="2">
        <v>9000</v>
      </c>
      <c r="T1362" s="2">
        <v>2963.85</v>
      </c>
      <c r="U1362" s="2">
        <v>0</v>
      </c>
      <c r="V1362" s="2">
        <v>6036.15</v>
      </c>
      <c r="W1362" s="2">
        <v>0</v>
      </c>
    </row>
    <row r="1363" spans="1:23" outlineLevel="2" x14ac:dyDescent="0.2">
      <c r="A1363" t="s">
        <v>402</v>
      </c>
      <c r="B1363" t="s">
        <v>31</v>
      </c>
      <c r="C1363" t="s">
        <v>79</v>
      </c>
      <c r="D1363" t="s">
        <v>117</v>
      </c>
      <c r="E1363" t="s">
        <v>118</v>
      </c>
      <c r="F1363" t="s">
        <v>5</v>
      </c>
      <c r="G1363" t="s">
        <v>6</v>
      </c>
      <c r="H1363" t="s">
        <v>7</v>
      </c>
      <c r="I1363" t="s">
        <v>8</v>
      </c>
      <c r="J1363" t="s">
        <v>403</v>
      </c>
      <c r="K1363" t="s">
        <v>415</v>
      </c>
      <c r="L1363" t="s">
        <v>416</v>
      </c>
      <c r="M1363" t="s">
        <v>12</v>
      </c>
      <c r="N1363" s="2">
        <v>24700</v>
      </c>
      <c r="O1363" s="2">
        <v>0</v>
      </c>
      <c r="P1363" s="2">
        <v>0</v>
      </c>
      <c r="Q1363" s="2">
        <v>24700</v>
      </c>
      <c r="R1363" s="2">
        <v>0</v>
      </c>
      <c r="S1363" s="2">
        <v>24700</v>
      </c>
      <c r="T1363" s="2">
        <v>9549.0499999999993</v>
      </c>
      <c r="U1363" s="2">
        <v>0</v>
      </c>
      <c r="V1363" s="2">
        <v>15150.95</v>
      </c>
      <c r="W1363" s="2">
        <v>0</v>
      </c>
    </row>
    <row r="1364" spans="1:23" outlineLevel="2" x14ac:dyDescent="0.2">
      <c r="A1364" t="s">
        <v>402</v>
      </c>
      <c r="B1364" t="s">
        <v>31</v>
      </c>
      <c r="C1364" t="s">
        <v>79</v>
      </c>
      <c r="D1364" t="s">
        <v>127</v>
      </c>
      <c r="E1364" t="s">
        <v>128</v>
      </c>
      <c r="F1364" t="s">
        <v>5</v>
      </c>
      <c r="G1364" t="s">
        <v>6</v>
      </c>
      <c r="H1364" t="s">
        <v>7</v>
      </c>
      <c r="I1364" t="s">
        <v>8</v>
      </c>
      <c r="J1364" t="s">
        <v>403</v>
      </c>
      <c r="K1364" t="s">
        <v>415</v>
      </c>
      <c r="L1364" t="s">
        <v>416</v>
      </c>
      <c r="M1364" t="s">
        <v>12</v>
      </c>
      <c r="N1364" s="2">
        <v>9000</v>
      </c>
      <c r="O1364" s="2">
        <v>0</v>
      </c>
      <c r="P1364" s="2">
        <v>0</v>
      </c>
      <c r="Q1364" s="2">
        <v>9000</v>
      </c>
      <c r="R1364" s="2">
        <v>0</v>
      </c>
      <c r="S1364" s="2">
        <v>9000</v>
      </c>
      <c r="T1364" s="2">
        <v>3368.66</v>
      </c>
      <c r="U1364" s="2">
        <v>0</v>
      </c>
      <c r="V1364" s="2">
        <v>5631.34</v>
      </c>
      <c r="W1364" s="2">
        <v>0</v>
      </c>
    </row>
    <row r="1365" spans="1:23" outlineLevel="2" x14ac:dyDescent="0.2">
      <c r="A1365" t="s">
        <v>402</v>
      </c>
      <c r="B1365" t="s">
        <v>39</v>
      </c>
      <c r="C1365" t="s">
        <v>70</v>
      </c>
      <c r="D1365" t="s">
        <v>89</v>
      </c>
      <c r="E1365" t="s">
        <v>90</v>
      </c>
      <c r="F1365" t="s">
        <v>5</v>
      </c>
      <c r="G1365" t="s">
        <v>6</v>
      </c>
      <c r="H1365" t="s">
        <v>7</v>
      </c>
      <c r="I1365" t="s">
        <v>8</v>
      </c>
      <c r="J1365" t="s">
        <v>403</v>
      </c>
      <c r="K1365" t="s">
        <v>415</v>
      </c>
      <c r="L1365" t="s">
        <v>418</v>
      </c>
      <c r="M1365" t="s">
        <v>12</v>
      </c>
      <c r="N1365" s="2">
        <v>50000</v>
      </c>
      <c r="O1365" s="2">
        <v>0</v>
      </c>
      <c r="P1365" s="2">
        <v>0</v>
      </c>
      <c r="Q1365" s="2">
        <v>50000</v>
      </c>
      <c r="R1365" s="2">
        <v>0</v>
      </c>
      <c r="S1365" s="2">
        <v>50000</v>
      </c>
      <c r="T1365" s="2">
        <v>43671.89</v>
      </c>
      <c r="U1365" s="2">
        <v>0</v>
      </c>
      <c r="V1365" s="2">
        <v>6328.11</v>
      </c>
      <c r="W1365" s="2">
        <v>0</v>
      </c>
    </row>
    <row r="1366" spans="1:23" outlineLevel="2" x14ac:dyDescent="0.2">
      <c r="A1366" t="s">
        <v>402</v>
      </c>
      <c r="B1366" t="s">
        <v>39</v>
      </c>
      <c r="C1366" t="s">
        <v>58</v>
      </c>
      <c r="D1366" t="s">
        <v>137</v>
      </c>
      <c r="E1366" t="s">
        <v>138</v>
      </c>
      <c r="F1366" t="s">
        <v>5</v>
      </c>
      <c r="G1366" t="s">
        <v>6</v>
      </c>
      <c r="H1366" t="s">
        <v>7</v>
      </c>
      <c r="I1366" t="s">
        <v>8</v>
      </c>
      <c r="J1366" t="s">
        <v>403</v>
      </c>
      <c r="K1366" t="s">
        <v>415</v>
      </c>
      <c r="L1366" t="s">
        <v>419</v>
      </c>
      <c r="M1366" t="s">
        <v>12</v>
      </c>
      <c r="N1366" s="2">
        <v>17000</v>
      </c>
      <c r="O1366" s="2">
        <v>0</v>
      </c>
      <c r="P1366" s="2">
        <v>0</v>
      </c>
      <c r="Q1366" s="2">
        <v>17000</v>
      </c>
      <c r="R1366" s="2">
        <v>0</v>
      </c>
      <c r="S1366" s="2">
        <v>17000</v>
      </c>
      <c r="T1366" s="2">
        <v>11551.04</v>
      </c>
      <c r="U1366" s="2">
        <v>0</v>
      </c>
      <c r="V1366" s="2">
        <v>5448.96</v>
      </c>
      <c r="W1366" s="2">
        <v>0</v>
      </c>
    </row>
    <row r="1367" spans="1:23" outlineLevel="2" x14ac:dyDescent="0.2">
      <c r="A1367" t="s">
        <v>402</v>
      </c>
      <c r="B1367" t="s">
        <v>31</v>
      </c>
      <c r="C1367" t="s">
        <v>79</v>
      </c>
      <c r="D1367" t="s">
        <v>115</v>
      </c>
      <c r="E1367" t="s">
        <v>116</v>
      </c>
      <c r="F1367" t="s">
        <v>5</v>
      </c>
      <c r="G1367" t="s">
        <v>6</v>
      </c>
      <c r="H1367" t="s">
        <v>7</v>
      </c>
      <c r="I1367" t="s">
        <v>8</v>
      </c>
      <c r="J1367" t="s">
        <v>403</v>
      </c>
      <c r="K1367" t="s">
        <v>415</v>
      </c>
      <c r="L1367" t="s">
        <v>416</v>
      </c>
      <c r="M1367" t="s">
        <v>12</v>
      </c>
      <c r="N1367" s="2">
        <v>6600</v>
      </c>
      <c r="O1367" s="2">
        <v>0</v>
      </c>
      <c r="P1367" s="2">
        <v>0</v>
      </c>
      <c r="Q1367" s="2">
        <v>6600</v>
      </c>
      <c r="R1367" s="2">
        <v>0</v>
      </c>
      <c r="S1367" s="2">
        <v>6600</v>
      </c>
      <c r="T1367" s="2">
        <v>2685.53</v>
      </c>
      <c r="U1367" s="2">
        <v>0</v>
      </c>
      <c r="V1367" s="2">
        <v>3914.47</v>
      </c>
      <c r="W1367" s="2">
        <v>0</v>
      </c>
    </row>
    <row r="1368" spans="1:23" outlineLevel="2" x14ac:dyDescent="0.2">
      <c r="A1368" t="s">
        <v>402</v>
      </c>
      <c r="B1368" t="s">
        <v>39</v>
      </c>
      <c r="C1368" t="s">
        <v>66</v>
      </c>
      <c r="D1368" t="s">
        <v>67</v>
      </c>
      <c r="E1368" t="s">
        <v>68</v>
      </c>
      <c r="F1368" t="s">
        <v>5</v>
      </c>
      <c r="G1368" t="s">
        <v>6</v>
      </c>
      <c r="H1368" t="s">
        <v>7</v>
      </c>
      <c r="I1368" t="s">
        <v>8</v>
      </c>
      <c r="J1368" t="s">
        <v>403</v>
      </c>
      <c r="K1368" t="s">
        <v>415</v>
      </c>
      <c r="L1368" t="s">
        <v>420</v>
      </c>
      <c r="M1368" t="s">
        <v>12</v>
      </c>
      <c r="N1368" s="2">
        <v>16000</v>
      </c>
      <c r="O1368" s="2">
        <v>-2500</v>
      </c>
      <c r="P1368" s="2">
        <v>0</v>
      </c>
      <c r="Q1368" s="2">
        <v>13500</v>
      </c>
      <c r="R1368" s="2">
        <v>0</v>
      </c>
      <c r="S1368" s="2">
        <v>13500</v>
      </c>
      <c r="T1368" s="2">
        <v>11800.7</v>
      </c>
      <c r="U1368" s="2">
        <v>0</v>
      </c>
      <c r="V1368" s="2">
        <v>1699.3</v>
      </c>
      <c r="W1368" s="2">
        <v>0</v>
      </c>
    </row>
    <row r="1369" spans="1:23" outlineLevel="2" x14ac:dyDescent="0.2">
      <c r="A1369" t="s">
        <v>402</v>
      </c>
      <c r="B1369" t="s">
        <v>39</v>
      </c>
      <c r="C1369" t="s">
        <v>58</v>
      </c>
      <c r="D1369" t="s">
        <v>139</v>
      </c>
      <c r="E1369" t="s">
        <v>140</v>
      </c>
      <c r="F1369" t="s">
        <v>5</v>
      </c>
      <c r="G1369" t="s">
        <v>6</v>
      </c>
      <c r="H1369" t="s">
        <v>7</v>
      </c>
      <c r="I1369" t="s">
        <v>8</v>
      </c>
      <c r="J1369" t="s">
        <v>403</v>
      </c>
      <c r="K1369" t="s">
        <v>415</v>
      </c>
      <c r="L1369" t="s">
        <v>419</v>
      </c>
      <c r="M1369" t="s">
        <v>12</v>
      </c>
      <c r="N1369" s="2">
        <v>41900</v>
      </c>
      <c r="O1369" s="2">
        <v>-20000</v>
      </c>
      <c r="P1369" s="2">
        <v>0</v>
      </c>
      <c r="Q1369" s="2">
        <v>21900</v>
      </c>
      <c r="R1369" s="2">
        <v>0</v>
      </c>
      <c r="S1369" s="2">
        <v>21900</v>
      </c>
      <c r="T1369" s="2">
        <v>16316.07</v>
      </c>
      <c r="U1369" s="2">
        <v>0</v>
      </c>
      <c r="V1369" s="2">
        <v>5583.93</v>
      </c>
      <c r="W1369" s="2">
        <v>0</v>
      </c>
    </row>
    <row r="1370" spans="1:23" outlineLevel="2" x14ac:dyDescent="0.2">
      <c r="A1370" t="s">
        <v>402</v>
      </c>
      <c r="B1370" t="s">
        <v>39</v>
      </c>
      <c r="C1370" t="s">
        <v>58</v>
      </c>
      <c r="D1370" t="s">
        <v>147</v>
      </c>
      <c r="E1370" t="s">
        <v>148</v>
      </c>
      <c r="F1370" t="s">
        <v>5</v>
      </c>
      <c r="G1370" t="s">
        <v>6</v>
      </c>
      <c r="H1370" t="s">
        <v>7</v>
      </c>
      <c r="I1370" t="s">
        <v>8</v>
      </c>
      <c r="J1370" t="s">
        <v>403</v>
      </c>
      <c r="K1370" t="s">
        <v>415</v>
      </c>
      <c r="L1370" t="s">
        <v>419</v>
      </c>
      <c r="M1370" t="s">
        <v>12</v>
      </c>
      <c r="N1370" s="2">
        <v>24000</v>
      </c>
      <c r="O1370" s="2">
        <v>-7259</v>
      </c>
      <c r="P1370" s="2">
        <v>0</v>
      </c>
      <c r="Q1370" s="2">
        <v>16741</v>
      </c>
      <c r="R1370" s="2">
        <v>0</v>
      </c>
      <c r="S1370" s="2">
        <v>16741</v>
      </c>
      <c r="T1370" s="2">
        <v>15830.55</v>
      </c>
      <c r="U1370" s="2">
        <v>0</v>
      </c>
      <c r="V1370" s="2">
        <v>910.45</v>
      </c>
      <c r="W1370" s="2">
        <v>0</v>
      </c>
    </row>
    <row r="1371" spans="1:23" outlineLevel="2" x14ac:dyDescent="0.2">
      <c r="A1371" t="s">
        <v>402</v>
      </c>
      <c r="B1371" t="s">
        <v>39</v>
      </c>
      <c r="C1371" t="s">
        <v>58</v>
      </c>
      <c r="D1371" t="s">
        <v>135</v>
      </c>
      <c r="E1371" t="s">
        <v>136</v>
      </c>
      <c r="F1371" t="s">
        <v>5</v>
      </c>
      <c r="G1371" t="s">
        <v>6</v>
      </c>
      <c r="H1371" t="s">
        <v>7</v>
      </c>
      <c r="I1371" t="s">
        <v>8</v>
      </c>
      <c r="J1371" t="s">
        <v>403</v>
      </c>
      <c r="K1371" t="s">
        <v>415</v>
      </c>
      <c r="L1371" t="s">
        <v>419</v>
      </c>
      <c r="M1371" t="s">
        <v>12</v>
      </c>
      <c r="N1371" s="2">
        <v>37200</v>
      </c>
      <c r="O1371" s="2">
        <v>-15000</v>
      </c>
      <c r="P1371" s="2">
        <v>0</v>
      </c>
      <c r="Q1371" s="2">
        <v>22200</v>
      </c>
      <c r="R1371" s="2">
        <v>0</v>
      </c>
      <c r="S1371" s="2">
        <v>22200</v>
      </c>
      <c r="T1371" s="2">
        <v>19955.75</v>
      </c>
      <c r="U1371" s="2">
        <v>0</v>
      </c>
      <c r="V1371" s="2">
        <v>2244.25</v>
      </c>
      <c r="W1371" s="2">
        <v>0</v>
      </c>
    </row>
    <row r="1372" spans="1:23" outlineLevel="2" x14ac:dyDescent="0.2">
      <c r="A1372" t="s">
        <v>402</v>
      </c>
      <c r="B1372" t="s">
        <v>39</v>
      </c>
      <c r="C1372" t="s">
        <v>58</v>
      </c>
      <c r="D1372" t="s">
        <v>145</v>
      </c>
      <c r="E1372" t="s">
        <v>146</v>
      </c>
      <c r="F1372" t="s">
        <v>5</v>
      </c>
      <c r="G1372" t="s">
        <v>6</v>
      </c>
      <c r="H1372" t="s">
        <v>7</v>
      </c>
      <c r="I1372" t="s">
        <v>8</v>
      </c>
      <c r="J1372" t="s">
        <v>403</v>
      </c>
      <c r="K1372" t="s">
        <v>415</v>
      </c>
      <c r="L1372" t="s">
        <v>419</v>
      </c>
      <c r="M1372" t="s">
        <v>12</v>
      </c>
      <c r="N1372" s="2">
        <v>13050</v>
      </c>
      <c r="O1372" s="2">
        <v>0</v>
      </c>
      <c r="P1372" s="2">
        <v>0</v>
      </c>
      <c r="Q1372" s="2">
        <v>13050</v>
      </c>
      <c r="R1372" s="2">
        <v>0</v>
      </c>
      <c r="S1372" s="2">
        <v>13050</v>
      </c>
      <c r="T1372" s="2">
        <v>3674.7</v>
      </c>
      <c r="U1372" s="2">
        <v>0</v>
      </c>
      <c r="V1372" s="2">
        <v>9375.2999999999993</v>
      </c>
      <c r="W1372" s="2">
        <v>0</v>
      </c>
    </row>
    <row r="1373" spans="1:23" outlineLevel="2" x14ac:dyDescent="0.2">
      <c r="A1373" t="s">
        <v>402</v>
      </c>
      <c r="B1373" t="s">
        <v>39</v>
      </c>
      <c r="C1373" t="s">
        <v>58</v>
      </c>
      <c r="D1373" t="s">
        <v>149</v>
      </c>
      <c r="E1373" t="s">
        <v>150</v>
      </c>
      <c r="F1373" t="s">
        <v>5</v>
      </c>
      <c r="G1373" t="s">
        <v>6</v>
      </c>
      <c r="H1373" t="s">
        <v>7</v>
      </c>
      <c r="I1373" t="s">
        <v>8</v>
      </c>
      <c r="J1373" t="s">
        <v>403</v>
      </c>
      <c r="K1373" t="s">
        <v>415</v>
      </c>
      <c r="L1373" t="s">
        <v>419</v>
      </c>
      <c r="M1373" t="s">
        <v>12</v>
      </c>
      <c r="N1373" s="2">
        <v>30000</v>
      </c>
      <c r="O1373" s="2">
        <v>0</v>
      </c>
      <c r="P1373" s="2">
        <v>-4375.2700000000004</v>
      </c>
      <c r="Q1373" s="2">
        <v>25624.73</v>
      </c>
      <c r="R1373" s="2">
        <v>0</v>
      </c>
      <c r="S1373" s="2">
        <v>25624.73</v>
      </c>
      <c r="T1373" s="2">
        <v>21395.54</v>
      </c>
      <c r="U1373" s="2">
        <v>0</v>
      </c>
      <c r="V1373" s="2">
        <v>4229.1899999999996</v>
      </c>
      <c r="W1373" s="2">
        <v>0</v>
      </c>
    </row>
    <row r="1374" spans="1:23" outlineLevel="2" x14ac:dyDescent="0.2">
      <c r="A1374" t="s">
        <v>402</v>
      </c>
      <c r="B1374" t="s">
        <v>53</v>
      </c>
      <c r="C1374" t="s">
        <v>54</v>
      </c>
      <c r="D1374" t="s">
        <v>55</v>
      </c>
      <c r="E1374" t="s">
        <v>56</v>
      </c>
      <c r="F1374" t="s">
        <v>5</v>
      </c>
      <c r="G1374" t="s">
        <v>6</v>
      </c>
      <c r="H1374" t="s">
        <v>7</v>
      </c>
      <c r="I1374" t="s">
        <v>8</v>
      </c>
      <c r="J1374" t="s">
        <v>403</v>
      </c>
      <c r="K1374" t="s">
        <v>415</v>
      </c>
      <c r="L1374" t="s">
        <v>421</v>
      </c>
      <c r="M1374" t="s">
        <v>12</v>
      </c>
      <c r="N1374" s="2">
        <v>1000</v>
      </c>
      <c r="O1374" s="2">
        <v>1659.14</v>
      </c>
      <c r="P1374" s="2">
        <v>0</v>
      </c>
      <c r="Q1374" s="2">
        <v>2659.14</v>
      </c>
      <c r="R1374" s="2">
        <v>0</v>
      </c>
      <c r="S1374" s="2">
        <v>2659.14</v>
      </c>
      <c r="T1374" s="2">
        <v>1977.21</v>
      </c>
      <c r="U1374" s="2">
        <v>0</v>
      </c>
      <c r="V1374" s="2">
        <v>681.93</v>
      </c>
      <c r="W1374" s="2">
        <v>0</v>
      </c>
    </row>
    <row r="1375" spans="1:23" outlineLevel="2" x14ac:dyDescent="0.2">
      <c r="A1375" t="s">
        <v>402</v>
      </c>
      <c r="B1375" t="s">
        <v>1</v>
      </c>
      <c r="C1375" t="s">
        <v>2</v>
      </c>
      <c r="D1375" t="s">
        <v>410</v>
      </c>
      <c r="E1375" t="s">
        <v>411</v>
      </c>
      <c r="F1375" t="s">
        <v>5</v>
      </c>
      <c r="G1375" t="s">
        <v>6</v>
      </c>
      <c r="H1375" t="s">
        <v>7</v>
      </c>
      <c r="I1375" t="s">
        <v>8</v>
      </c>
      <c r="J1375" t="s">
        <v>403</v>
      </c>
      <c r="K1375" t="s">
        <v>415</v>
      </c>
      <c r="L1375" t="s">
        <v>422</v>
      </c>
      <c r="M1375" t="s">
        <v>15</v>
      </c>
      <c r="N1375" s="2">
        <v>600000</v>
      </c>
      <c r="O1375" s="2">
        <v>-14924.19</v>
      </c>
      <c r="P1375" s="2">
        <v>-113404.41</v>
      </c>
      <c r="Q1375" s="2">
        <v>471671.4</v>
      </c>
      <c r="R1375" s="2">
        <v>0</v>
      </c>
      <c r="S1375" s="2">
        <v>471671.4</v>
      </c>
      <c r="T1375" s="2">
        <v>376698.16</v>
      </c>
      <c r="U1375" s="2">
        <v>0</v>
      </c>
      <c r="V1375" s="2">
        <v>94973.24</v>
      </c>
      <c r="W1375" s="2">
        <v>0</v>
      </c>
    </row>
    <row r="1376" spans="1:23" outlineLevel="2" x14ac:dyDescent="0.2">
      <c r="A1376" t="s">
        <v>402</v>
      </c>
      <c r="B1376" t="s">
        <v>39</v>
      </c>
      <c r="C1376" t="s">
        <v>58</v>
      </c>
      <c r="D1376" t="s">
        <v>143</v>
      </c>
      <c r="E1376" t="s">
        <v>144</v>
      </c>
      <c r="F1376" t="s">
        <v>5</v>
      </c>
      <c r="G1376" t="s">
        <v>6</v>
      </c>
      <c r="H1376" t="s">
        <v>7</v>
      </c>
      <c r="I1376" t="s">
        <v>8</v>
      </c>
      <c r="J1376" t="s">
        <v>403</v>
      </c>
      <c r="K1376" t="s">
        <v>415</v>
      </c>
      <c r="L1376" t="s">
        <v>419</v>
      </c>
      <c r="M1376" t="s">
        <v>12</v>
      </c>
      <c r="N1376" s="2">
        <v>17000</v>
      </c>
      <c r="O1376" s="2">
        <v>0</v>
      </c>
      <c r="P1376" s="2">
        <v>0</v>
      </c>
      <c r="Q1376" s="2">
        <v>17000</v>
      </c>
      <c r="R1376" s="2">
        <v>0</v>
      </c>
      <c r="S1376" s="2">
        <v>14622.78</v>
      </c>
      <c r="T1376" s="2">
        <v>13002.06</v>
      </c>
      <c r="U1376" s="2">
        <v>2377.2199999999998</v>
      </c>
      <c r="V1376" s="2">
        <v>3997.94</v>
      </c>
      <c r="W1376" s="2">
        <v>2377.2199999999998</v>
      </c>
    </row>
    <row r="1377" spans="1:23" outlineLevel="2" x14ac:dyDescent="0.2">
      <c r="A1377" t="s">
        <v>402</v>
      </c>
      <c r="B1377" t="s">
        <v>39</v>
      </c>
      <c r="C1377" t="s">
        <v>58</v>
      </c>
      <c r="D1377" t="s">
        <v>59</v>
      </c>
      <c r="E1377" t="s">
        <v>60</v>
      </c>
      <c r="F1377" t="s">
        <v>5</v>
      </c>
      <c r="G1377" t="s">
        <v>6</v>
      </c>
      <c r="H1377" t="s">
        <v>7</v>
      </c>
      <c r="I1377" t="s">
        <v>8</v>
      </c>
      <c r="J1377" t="s">
        <v>403</v>
      </c>
      <c r="K1377" t="s">
        <v>415</v>
      </c>
      <c r="L1377" t="s">
        <v>419</v>
      </c>
      <c r="M1377" t="s">
        <v>12</v>
      </c>
      <c r="N1377" s="2">
        <v>10000</v>
      </c>
      <c r="O1377" s="2">
        <v>0</v>
      </c>
      <c r="P1377" s="2">
        <v>0</v>
      </c>
      <c r="Q1377" s="2">
        <v>10000</v>
      </c>
      <c r="R1377" s="2">
        <v>0</v>
      </c>
      <c r="S1377" s="2">
        <v>10000</v>
      </c>
      <c r="T1377" s="2">
        <v>9641.8700000000008</v>
      </c>
      <c r="U1377" s="2">
        <v>0</v>
      </c>
      <c r="V1377" s="2">
        <v>358.13</v>
      </c>
      <c r="W1377" s="2">
        <v>0</v>
      </c>
    </row>
    <row r="1378" spans="1:23" outlineLevel="2" x14ac:dyDescent="0.2">
      <c r="A1378" t="s">
        <v>402</v>
      </c>
      <c r="B1378" t="s">
        <v>31</v>
      </c>
      <c r="C1378" t="s">
        <v>32</v>
      </c>
      <c r="D1378" t="s">
        <v>33</v>
      </c>
      <c r="E1378" t="s">
        <v>34</v>
      </c>
      <c r="F1378" t="s">
        <v>5</v>
      </c>
      <c r="G1378" t="s">
        <v>6</v>
      </c>
      <c r="H1378" t="s">
        <v>7</v>
      </c>
      <c r="I1378" t="s">
        <v>8</v>
      </c>
      <c r="J1378" t="s">
        <v>403</v>
      </c>
      <c r="K1378" t="s">
        <v>415</v>
      </c>
      <c r="L1378" t="s">
        <v>423</v>
      </c>
      <c r="M1378" t="s">
        <v>12</v>
      </c>
      <c r="N1378" s="2">
        <v>15000</v>
      </c>
      <c r="O1378" s="2">
        <v>-3000</v>
      </c>
      <c r="P1378" s="2">
        <v>0</v>
      </c>
      <c r="Q1378" s="2">
        <v>12000</v>
      </c>
      <c r="R1378" s="2">
        <v>0</v>
      </c>
      <c r="S1378" s="2">
        <v>8061.53</v>
      </c>
      <c r="T1378" s="2">
        <v>8061.53</v>
      </c>
      <c r="U1378" s="2">
        <v>3938.47</v>
      </c>
      <c r="V1378" s="2">
        <v>3938.47</v>
      </c>
      <c r="W1378" s="2">
        <v>3938.47</v>
      </c>
    </row>
    <row r="1379" spans="1:23" outlineLevel="2" x14ac:dyDescent="0.2">
      <c r="A1379" t="s">
        <v>402</v>
      </c>
      <c r="B1379" t="s">
        <v>1</v>
      </c>
      <c r="C1379" t="s">
        <v>91</v>
      </c>
      <c r="D1379" t="s">
        <v>92</v>
      </c>
      <c r="E1379" t="s">
        <v>93</v>
      </c>
      <c r="F1379" t="s">
        <v>5</v>
      </c>
      <c r="G1379" t="s">
        <v>6</v>
      </c>
      <c r="H1379" t="s">
        <v>7</v>
      </c>
      <c r="I1379" t="s">
        <v>8</v>
      </c>
      <c r="J1379" t="s">
        <v>403</v>
      </c>
      <c r="K1379" t="s">
        <v>415</v>
      </c>
      <c r="L1379" t="s">
        <v>424</v>
      </c>
      <c r="M1379" t="s">
        <v>15</v>
      </c>
      <c r="N1379" s="2">
        <v>11716.85</v>
      </c>
      <c r="O1379" s="2">
        <v>9000</v>
      </c>
      <c r="P1379" s="2">
        <v>0</v>
      </c>
      <c r="Q1379" s="2">
        <v>20716.849999999999</v>
      </c>
      <c r="R1379" s="2">
        <v>0</v>
      </c>
      <c r="S1379" s="2">
        <v>20716.849999999999</v>
      </c>
      <c r="T1379" s="2">
        <v>14617.22</v>
      </c>
      <c r="U1379" s="2">
        <v>0</v>
      </c>
      <c r="V1379" s="2">
        <v>6099.63</v>
      </c>
      <c r="W1379" s="2">
        <v>0</v>
      </c>
    </row>
    <row r="1380" spans="1:23" outlineLevel="2" x14ac:dyDescent="0.2">
      <c r="A1380" t="s">
        <v>402</v>
      </c>
      <c r="B1380" t="s">
        <v>31</v>
      </c>
      <c r="C1380" t="s">
        <v>79</v>
      </c>
      <c r="D1380" t="s">
        <v>133</v>
      </c>
      <c r="E1380" t="s">
        <v>134</v>
      </c>
      <c r="F1380" t="s">
        <v>5</v>
      </c>
      <c r="G1380" t="s">
        <v>6</v>
      </c>
      <c r="H1380" t="s">
        <v>7</v>
      </c>
      <c r="I1380" t="s">
        <v>8</v>
      </c>
      <c r="J1380" t="s">
        <v>403</v>
      </c>
      <c r="K1380" t="s">
        <v>415</v>
      </c>
      <c r="L1380" t="s">
        <v>416</v>
      </c>
      <c r="M1380" t="s">
        <v>12</v>
      </c>
      <c r="N1380" s="2">
        <v>15000</v>
      </c>
      <c r="O1380" s="2">
        <v>0</v>
      </c>
      <c r="P1380" s="2">
        <v>0</v>
      </c>
      <c r="Q1380" s="2">
        <v>15000</v>
      </c>
      <c r="R1380" s="2">
        <v>0</v>
      </c>
      <c r="S1380" s="2">
        <v>15000</v>
      </c>
      <c r="T1380" s="2">
        <v>8887.39</v>
      </c>
      <c r="U1380" s="2">
        <v>0</v>
      </c>
      <c r="V1380" s="2">
        <v>6112.61</v>
      </c>
      <c r="W1380" s="2">
        <v>0</v>
      </c>
    </row>
    <row r="1381" spans="1:23" outlineLevel="2" x14ac:dyDescent="0.2">
      <c r="A1381" t="s">
        <v>402</v>
      </c>
      <c r="B1381" t="s">
        <v>31</v>
      </c>
      <c r="C1381" t="s">
        <v>32</v>
      </c>
      <c r="D1381" t="s">
        <v>75</v>
      </c>
      <c r="E1381" t="s">
        <v>76</v>
      </c>
      <c r="F1381" t="s">
        <v>5</v>
      </c>
      <c r="G1381" t="s">
        <v>6</v>
      </c>
      <c r="H1381" t="s">
        <v>7</v>
      </c>
      <c r="I1381" t="s">
        <v>8</v>
      </c>
      <c r="J1381" t="s">
        <v>403</v>
      </c>
      <c r="K1381" t="s">
        <v>415</v>
      </c>
      <c r="L1381" t="s">
        <v>423</v>
      </c>
      <c r="M1381" t="s">
        <v>12</v>
      </c>
      <c r="N1381" s="2">
        <v>18000</v>
      </c>
      <c r="O1381" s="2">
        <v>0</v>
      </c>
      <c r="P1381" s="2">
        <v>0</v>
      </c>
      <c r="Q1381" s="2">
        <v>18000</v>
      </c>
      <c r="R1381" s="2">
        <v>0</v>
      </c>
      <c r="S1381" s="2">
        <v>18000</v>
      </c>
      <c r="T1381" s="2">
        <v>13710.07</v>
      </c>
      <c r="U1381" s="2">
        <v>0</v>
      </c>
      <c r="V1381" s="2">
        <v>4289.93</v>
      </c>
      <c r="W1381" s="2">
        <v>0</v>
      </c>
    </row>
    <row r="1382" spans="1:23" outlineLevel="2" x14ac:dyDescent="0.2">
      <c r="A1382" t="s">
        <v>402</v>
      </c>
      <c r="B1382" t="s">
        <v>1</v>
      </c>
      <c r="C1382" t="s">
        <v>2</v>
      </c>
      <c r="D1382" t="s">
        <v>3</v>
      </c>
      <c r="E1382" t="s">
        <v>4</v>
      </c>
      <c r="F1382" t="s">
        <v>5</v>
      </c>
      <c r="G1382" t="s">
        <v>6</v>
      </c>
      <c r="H1382" t="s">
        <v>7</v>
      </c>
      <c r="I1382" t="s">
        <v>8</v>
      </c>
      <c r="J1382" t="s">
        <v>403</v>
      </c>
      <c r="K1382" t="s">
        <v>415</v>
      </c>
      <c r="L1382" t="s">
        <v>422</v>
      </c>
      <c r="M1382" t="s">
        <v>12</v>
      </c>
      <c r="N1382" s="2">
        <v>0</v>
      </c>
      <c r="O1382" s="2">
        <v>0</v>
      </c>
      <c r="P1382" s="2">
        <v>10950.89</v>
      </c>
      <c r="Q1382" s="2">
        <v>10950.89</v>
      </c>
      <c r="R1382" s="2">
        <v>0</v>
      </c>
      <c r="S1382" s="2">
        <v>0</v>
      </c>
      <c r="T1382" s="2">
        <v>0</v>
      </c>
      <c r="U1382" s="2">
        <v>10950.89</v>
      </c>
      <c r="V1382" s="2">
        <v>10950.89</v>
      </c>
      <c r="W1382" s="2">
        <v>10950.89</v>
      </c>
    </row>
    <row r="1383" spans="1:23" outlineLevel="2" x14ac:dyDescent="0.2">
      <c r="A1383" t="s">
        <v>402</v>
      </c>
      <c r="B1383" t="s">
        <v>1</v>
      </c>
      <c r="C1383" t="s">
        <v>2</v>
      </c>
      <c r="D1383" t="s">
        <v>410</v>
      </c>
      <c r="E1383" t="s">
        <v>411</v>
      </c>
      <c r="F1383" t="s">
        <v>5</v>
      </c>
      <c r="G1383" t="s">
        <v>6</v>
      </c>
      <c r="H1383" t="s">
        <v>7</v>
      </c>
      <c r="I1383" t="s">
        <v>8</v>
      </c>
      <c r="J1383" t="s">
        <v>403</v>
      </c>
      <c r="K1383" t="s">
        <v>415</v>
      </c>
      <c r="L1383" t="s">
        <v>422</v>
      </c>
      <c r="M1383" t="s">
        <v>12</v>
      </c>
      <c r="N1383" s="2">
        <v>0</v>
      </c>
      <c r="O1383" s="2">
        <v>0</v>
      </c>
      <c r="P1383" s="2">
        <v>73404.41</v>
      </c>
      <c r="Q1383" s="2">
        <v>73404.41</v>
      </c>
      <c r="R1383" s="2">
        <v>0</v>
      </c>
      <c r="S1383" s="2">
        <v>20000</v>
      </c>
      <c r="T1383" s="2">
        <v>0</v>
      </c>
      <c r="U1383" s="2">
        <v>53404.41</v>
      </c>
      <c r="V1383" s="2">
        <v>73404.41</v>
      </c>
      <c r="W1383" s="2">
        <v>53404.41</v>
      </c>
    </row>
    <row r="1384" spans="1:23" outlineLevel="2" x14ac:dyDescent="0.2">
      <c r="A1384" t="s">
        <v>402</v>
      </c>
      <c r="B1384" t="s">
        <v>31</v>
      </c>
      <c r="C1384" t="s">
        <v>79</v>
      </c>
      <c r="D1384" t="s">
        <v>80</v>
      </c>
      <c r="E1384" t="s">
        <v>81</v>
      </c>
      <c r="F1384" t="s">
        <v>5</v>
      </c>
      <c r="G1384" t="s">
        <v>6</v>
      </c>
      <c r="H1384" t="s">
        <v>7</v>
      </c>
      <c r="I1384" t="s">
        <v>8</v>
      </c>
      <c r="J1384" t="s">
        <v>403</v>
      </c>
      <c r="K1384" t="s">
        <v>415</v>
      </c>
      <c r="L1384" t="s">
        <v>416</v>
      </c>
      <c r="M1384" t="s">
        <v>12</v>
      </c>
      <c r="N1384" s="2">
        <v>28000</v>
      </c>
      <c r="O1384" s="2">
        <v>0</v>
      </c>
      <c r="P1384" s="2">
        <v>0</v>
      </c>
      <c r="Q1384" s="2">
        <v>28000</v>
      </c>
      <c r="R1384" s="2">
        <v>0</v>
      </c>
      <c r="S1384" s="2">
        <v>28000</v>
      </c>
      <c r="T1384" s="2">
        <v>13373.48</v>
      </c>
      <c r="U1384" s="2">
        <v>0</v>
      </c>
      <c r="V1384" s="2">
        <v>14626.52</v>
      </c>
      <c r="W1384" s="2">
        <v>0</v>
      </c>
    </row>
    <row r="1385" spans="1:23" outlineLevel="2" x14ac:dyDescent="0.2">
      <c r="A1385" t="s">
        <v>402</v>
      </c>
      <c r="B1385" t="s">
        <v>31</v>
      </c>
      <c r="C1385" t="s">
        <v>32</v>
      </c>
      <c r="D1385" t="s">
        <v>123</v>
      </c>
      <c r="E1385" t="s">
        <v>124</v>
      </c>
      <c r="F1385" t="s">
        <v>5</v>
      </c>
      <c r="G1385" t="s">
        <v>6</v>
      </c>
      <c r="H1385" t="s">
        <v>7</v>
      </c>
      <c r="I1385" t="s">
        <v>8</v>
      </c>
      <c r="J1385" t="s">
        <v>403</v>
      </c>
      <c r="K1385" t="s">
        <v>415</v>
      </c>
      <c r="L1385" t="s">
        <v>423</v>
      </c>
      <c r="M1385" t="s">
        <v>12</v>
      </c>
      <c r="N1385" s="2">
        <v>11000</v>
      </c>
      <c r="O1385" s="2">
        <v>0</v>
      </c>
      <c r="P1385" s="2">
        <v>0</v>
      </c>
      <c r="Q1385" s="2">
        <v>11000</v>
      </c>
      <c r="R1385" s="2">
        <v>0</v>
      </c>
      <c r="S1385" s="2">
        <v>11000</v>
      </c>
      <c r="T1385" s="2">
        <v>9721.08</v>
      </c>
      <c r="U1385" s="2">
        <v>0</v>
      </c>
      <c r="V1385" s="2">
        <v>1278.92</v>
      </c>
      <c r="W1385" s="2">
        <v>0</v>
      </c>
    </row>
    <row r="1386" spans="1:23" outlineLevel="2" x14ac:dyDescent="0.2">
      <c r="A1386" t="s">
        <v>402</v>
      </c>
      <c r="B1386" t="s">
        <v>1</v>
      </c>
      <c r="C1386" t="s">
        <v>2</v>
      </c>
      <c r="D1386" t="s">
        <v>3</v>
      </c>
      <c r="E1386" t="s">
        <v>4</v>
      </c>
      <c r="F1386" t="s">
        <v>5</v>
      </c>
      <c r="G1386" t="s">
        <v>6</v>
      </c>
      <c r="H1386" t="s">
        <v>7</v>
      </c>
      <c r="I1386" t="s">
        <v>8</v>
      </c>
      <c r="J1386" t="s">
        <v>403</v>
      </c>
      <c r="K1386" t="s">
        <v>415</v>
      </c>
      <c r="L1386" t="s">
        <v>422</v>
      </c>
      <c r="M1386" t="s">
        <v>15</v>
      </c>
      <c r="N1386" s="2">
        <v>37500</v>
      </c>
      <c r="O1386" s="2">
        <v>1000</v>
      </c>
      <c r="P1386" s="2">
        <v>-10950.89</v>
      </c>
      <c r="Q1386" s="2">
        <v>27549.11</v>
      </c>
      <c r="R1386" s="2">
        <v>0</v>
      </c>
      <c r="S1386" s="2">
        <v>27549.11</v>
      </c>
      <c r="T1386" s="2">
        <v>27491.47</v>
      </c>
      <c r="U1386" s="2">
        <v>0</v>
      </c>
      <c r="V1386" s="2">
        <v>57.64</v>
      </c>
      <c r="W1386" s="2">
        <v>0</v>
      </c>
    </row>
    <row r="1387" spans="1:23" outlineLevel="2" x14ac:dyDescent="0.2">
      <c r="A1387" t="s">
        <v>402</v>
      </c>
      <c r="B1387" t="s">
        <v>39</v>
      </c>
      <c r="C1387" t="s">
        <v>58</v>
      </c>
      <c r="D1387" t="s">
        <v>129</v>
      </c>
      <c r="E1387" t="s">
        <v>130</v>
      </c>
      <c r="F1387" t="s">
        <v>5</v>
      </c>
      <c r="G1387" t="s">
        <v>6</v>
      </c>
      <c r="H1387" t="s">
        <v>7</v>
      </c>
      <c r="I1387" t="s">
        <v>8</v>
      </c>
      <c r="J1387" t="s">
        <v>403</v>
      </c>
      <c r="K1387" t="s">
        <v>415</v>
      </c>
      <c r="L1387" t="s">
        <v>419</v>
      </c>
      <c r="M1387" t="s">
        <v>12</v>
      </c>
      <c r="N1387" s="2">
        <v>4200</v>
      </c>
      <c r="O1387" s="2">
        <v>-1543.9</v>
      </c>
      <c r="P1387" s="2">
        <v>0</v>
      </c>
      <c r="Q1387" s="2">
        <v>2656.1</v>
      </c>
      <c r="R1387" s="2">
        <v>0</v>
      </c>
      <c r="S1387" s="2">
        <v>2656.1</v>
      </c>
      <c r="T1387" s="2">
        <v>2238.04</v>
      </c>
      <c r="U1387" s="2">
        <v>0</v>
      </c>
      <c r="V1387" s="2">
        <v>418.06</v>
      </c>
      <c r="W1387" s="2">
        <v>0</v>
      </c>
    </row>
    <row r="1388" spans="1:23" outlineLevel="2" x14ac:dyDescent="0.2">
      <c r="A1388" t="s">
        <v>402</v>
      </c>
      <c r="B1388" t="s">
        <v>53</v>
      </c>
      <c r="C1388" t="s">
        <v>54</v>
      </c>
      <c r="D1388" t="s">
        <v>55</v>
      </c>
      <c r="E1388" t="s">
        <v>56</v>
      </c>
      <c r="F1388" t="s">
        <v>5</v>
      </c>
      <c r="G1388" t="s">
        <v>6</v>
      </c>
      <c r="H1388" t="s">
        <v>7</v>
      </c>
      <c r="I1388" t="s">
        <v>8</v>
      </c>
      <c r="J1388" t="s">
        <v>403</v>
      </c>
      <c r="K1388" t="s">
        <v>425</v>
      </c>
      <c r="L1388" t="s">
        <v>426</v>
      </c>
      <c r="M1388" t="s">
        <v>12</v>
      </c>
      <c r="N1388" s="2">
        <v>1500</v>
      </c>
      <c r="O1388" s="2">
        <v>4206.6000000000004</v>
      </c>
      <c r="P1388" s="2">
        <v>0</v>
      </c>
      <c r="Q1388" s="2">
        <v>5706.6</v>
      </c>
      <c r="R1388" s="2">
        <v>0</v>
      </c>
      <c r="S1388" s="2">
        <v>5706.41</v>
      </c>
      <c r="T1388" s="2">
        <v>2295.02</v>
      </c>
      <c r="U1388" s="2">
        <v>0.19</v>
      </c>
      <c r="V1388" s="2">
        <v>3411.58</v>
      </c>
      <c r="W1388" s="2">
        <v>0.19</v>
      </c>
    </row>
    <row r="1389" spans="1:23" outlineLevel="2" x14ac:dyDescent="0.2">
      <c r="A1389" t="s">
        <v>402</v>
      </c>
      <c r="B1389" t="s">
        <v>39</v>
      </c>
      <c r="C1389" t="s">
        <v>40</v>
      </c>
      <c r="D1389" t="s">
        <v>77</v>
      </c>
      <c r="E1389" t="s">
        <v>78</v>
      </c>
      <c r="F1389" t="s">
        <v>5</v>
      </c>
      <c r="G1389" t="s">
        <v>6</v>
      </c>
      <c r="H1389" t="s">
        <v>7</v>
      </c>
      <c r="I1389" t="s">
        <v>8</v>
      </c>
      <c r="J1389" t="s">
        <v>403</v>
      </c>
      <c r="K1389" t="s">
        <v>425</v>
      </c>
      <c r="L1389" t="s">
        <v>427</v>
      </c>
      <c r="M1389" t="s">
        <v>12</v>
      </c>
      <c r="N1389" s="2">
        <v>273995.59000000003</v>
      </c>
      <c r="O1389" s="2">
        <v>-71152.69</v>
      </c>
      <c r="P1389" s="2">
        <v>-30609.59</v>
      </c>
      <c r="Q1389" s="2">
        <v>172233.31</v>
      </c>
      <c r="R1389" s="2">
        <v>19233.310000000001</v>
      </c>
      <c r="S1389" s="2">
        <v>153000</v>
      </c>
      <c r="T1389" s="2">
        <v>107801.37</v>
      </c>
      <c r="U1389" s="2">
        <v>19233.310000000001</v>
      </c>
      <c r="V1389" s="2">
        <v>64431.94</v>
      </c>
      <c r="W1389" s="2">
        <v>0</v>
      </c>
    </row>
    <row r="1390" spans="1:23" outlineLevel="2" x14ac:dyDescent="0.2">
      <c r="A1390" t="s">
        <v>402</v>
      </c>
      <c r="B1390" t="s">
        <v>39</v>
      </c>
      <c r="C1390" t="s">
        <v>58</v>
      </c>
      <c r="D1390" t="s">
        <v>149</v>
      </c>
      <c r="E1390" t="s">
        <v>150</v>
      </c>
      <c r="F1390" t="s">
        <v>5</v>
      </c>
      <c r="G1390" t="s">
        <v>6</v>
      </c>
      <c r="H1390" t="s">
        <v>7</v>
      </c>
      <c r="I1390" t="s">
        <v>8</v>
      </c>
      <c r="J1390" t="s">
        <v>403</v>
      </c>
      <c r="K1390" t="s">
        <v>425</v>
      </c>
      <c r="L1390" t="s">
        <v>428</v>
      </c>
      <c r="M1390" t="s">
        <v>12</v>
      </c>
      <c r="N1390" s="2">
        <v>12000</v>
      </c>
      <c r="O1390" s="2">
        <v>0</v>
      </c>
      <c r="P1390" s="2">
        <v>-6352.87</v>
      </c>
      <c r="Q1390" s="2">
        <v>5647.13</v>
      </c>
      <c r="R1390" s="2">
        <v>0</v>
      </c>
      <c r="S1390" s="2">
        <v>5647.13</v>
      </c>
      <c r="T1390" s="2">
        <v>5314.92</v>
      </c>
      <c r="U1390" s="2">
        <v>0</v>
      </c>
      <c r="V1390" s="2">
        <v>332.21</v>
      </c>
      <c r="W1390" s="2">
        <v>0</v>
      </c>
    </row>
    <row r="1391" spans="1:23" outlineLevel="2" x14ac:dyDescent="0.2">
      <c r="A1391" t="s">
        <v>402</v>
      </c>
      <c r="B1391" t="s">
        <v>31</v>
      </c>
      <c r="C1391" t="s">
        <v>79</v>
      </c>
      <c r="D1391" t="s">
        <v>127</v>
      </c>
      <c r="E1391" t="s">
        <v>128</v>
      </c>
      <c r="F1391" t="s">
        <v>5</v>
      </c>
      <c r="G1391" t="s">
        <v>6</v>
      </c>
      <c r="H1391" t="s">
        <v>7</v>
      </c>
      <c r="I1391" t="s">
        <v>8</v>
      </c>
      <c r="J1391" t="s">
        <v>403</v>
      </c>
      <c r="K1391" t="s">
        <v>425</v>
      </c>
      <c r="L1391" t="s">
        <v>429</v>
      </c>
      <c r="M1391" t="s">
        <v>12</v>
      </c>
      <c r="N1391" s="2">
        <v>4100</v>
      </c>
      <c r="O1391" s="2">
        <v>0</v>
      </c>
      <c r="P1391" s="2">
        <v>0</v>
      </c>
      <c r="Q1391" s="2">
        <v>4100</v>
      </c>
      <c r="R1391" s="2">
        <v>0</v>
      </c>
      <c r="S1391" s="2">
        <v>4100</v>
      </c>
      <c r="T1391" s="2">
        <v>880.71</v>
      </c>
      <c r="U1391" s="2">
        <v>0</v>
      </c>
      <c r="V1391" s="2">
        <v>3219.29</v>
      </c>
      <c r="W1391" s="2">
        <v>0</v>
      </c>
    </row>
    <row r="1392" spans="1:23" outlineLevel="2" x14ac:dyDescent="0.2">
      <c r="A1392" t="s">
        <v>402</v>
      </c>
      <c r="B1392" t="s">
        <v>39</v>
      </c>
      <c r="C1392" t="s">
        <v>58</v>
      </c>
      <c r="D1392" t="s">
        <v>139</v>
      </c>
      <c r="E1392" t="s">
        <v>140</v>
      </c>
      <c r="F1392" t="s">
        <v>5</v>
      </c>
      <c r="G1392" t="s">
        <v>6</v>
      </c>
      <c r="H1392" t="s">
        <v>7</v>
      </c>
      <c r="I1392" t="s">
        <v>8</v>
      </c>
      <c r="J1392" t="s">
        <v>403</v>
      </c>
      <c r="K1392" t="s">
        <v>425</v>
      </c>
      <c r="L1392" t="s">
        <v>428</v>
      </c>
      <c r="M1392" t="s">
        <v>12</v>
      </c>
      <c r="N1392" s="2">
        <v>5000</v>
      </c>
      <c r="O1392" s="2">
        <v>0</v>
      </c>
      <c r="P1392" s="2">
        <v>0</v>
      </c>
      <c r="Q1392" s="2">
        <v>5000</v>
      </c>
      <c r="R1392" s="2">
        <v>0</v>
      </c>
      <c r="S1392" s="2">
        <v>3177.28</v>
      </c>
      <c r="T1392" s="2">
        <v>2569.14</v>
      </c>
      <c r="U1392" s="2">
        <v>1822.72</v>
      </c>
      <c r="V1392" s="2">
        <v>2430.86</v>
      </c>
      <c r="W1392" s="2">
        <v>1822.72</v>
      </c>
    </row>
    <row r="1393" spans="1:23" outlineLevel="2" x14ac:dyDescent="0.2">
      <c r="A1393" t="s">
        <v>402</v>
      </c>
      <c r="B1393" t="s">
        <v>1</v>
      </c>
      <c r="C1393" t="s">
        <v>2</v>
      </c>
      <c r="D1393" t="s">
        <v>410</v>
      </c>
      <c r="E1393" t="s">
        <v>411</v>
      </c>
      <c r="F1393" t="s">
        <v>5</v>
      </c>
      <c r="G1393" t="s">
        <v>6</v>
      </c>
      <c r="H1393" t="s">
        <v>7</v>
      </c>
      <c r="I1393" t="s">
        <v>8</v>
      </c>
      <c r="J1393" t="s">
        <v>403</v>
      </c>
      <c r="K1393" t="s">
        <v>425</v>
      </c>
      <c r="L1393" t="s">
        <v>430</v>
      </c>
      <c r="M1393" t="s">
        <v>15</v>
      </c>
      <c r="N1393" s="2">
        <v>150000</v>
      </c>
      <c r="O1393" s="2">
        <v>0</v>
      </c>
      <c r="P1393" s="2">
        <v>-37619.71</v>
      </c>
      <c r="Q1393" s="2">
        <v>112380.29</v>
      </c>
      <c r="R1393" s="2">
        <v>0</v>
      </c>
      <c r="S1393" s="2">
        <v>112380.29</v>
      </c>
      <c r="T1393" s="2">
        <v>106790.07</v>
      </c>
      <c r="U1393" s="2">
        <v>0</v>
      </c>
      <c r="V1393" s="2">
        <v>5590.22</v>
      </c>
      <c r="W1393" s="2">
        <v>0</v>
      </c>
    </row>
    <row r="1394" spans="1:23" outlineLevel="2" x14ac:dyDescent="0.2">
      <c r="A1394" t="s">
        <v>402</v>
      </c>
      <c r="B1394" t="s">
        <v>39</v>
      </c>
      <c r="C1394" t="s">
        <v>58</v>
      </c>
      <c r="D1394" t="s">
        <v>145</v>
      </c>
      <c r="E1394" t="s">
        <v>146</v>
      </c>
      <c r="F1394" t="s">
        <v>5</v>
      </c>
      <c r="G1394" t="s">
        <v>6</v>
      </c>
      <c r="H1394" t="s">
        <v>7</v>
      </c>
      <c r="I1394" t="s">
        <v>8</v>
      </c>
      <c r="J1394" t="s">
        <v>403</v>
      </c>
      <c r="K1394" t="s">
        <v>425</v>
      </c>
      <c r="L1394" t="s">
        <v>428</v>
      </c>
      <c r="M1394" t="s">
        <v>12</v>
      </c>
      <c r="N1394" s="2">
        <v>9210.66</v>
      </c>
      <c r="O1394" s="2">
        <v>-921.06</v>
      </c>
      <c r="P1394" s="2">
        <v>0</v>
      </c>
      <c r="Q1394" s="2">
        <v>8289.6</v>
      </c>
      <c r="R1394" s="2">
        <v>74.64</v>
      </c>
      <c r="S1394" s="2">
        <v>8214.9599999999991</v>
      </c>
      <c r="T1394" s="2">
        <v>2237.08</v>
      </c>
      <c r="U1394" s="2">
        <v>74.64</v>
      </c>
      <c r="V1394" s="2">
        <v>6052.52</v>
      </c>
      <c r="W1394" s="2">
        <v>0</v>
      </c>
    </row>
    <row r="1395" spans="1:23" outlineLevel="2" x14ac:dyDescent="0.2">
      <c r="A1395" t="s">
        <v>402</v>
      </c>
      <c r="B1395" t="s">
        <v>31</v>
      </c>
      <c r="C1395" t="s">
        <v>79</v>
      </c>
      <c r="D1395" t="s">
        <v>133</v>
      </c>
      <c r="E1395" t="s">
        <v>134</v>
      </c>
      <c r="F1395" t="s">
        <v>5</v>
      </c>
      <c r="G1395" t="s">
        <v>6</v>
      </c>
      <c r="H1395" t="s">
        <v>7</v>
      </c>
      <c r="I1395" t="s">
        <v>8</v>
      </c>
      <c r="J1395" t="s">
        <v>403</v>
      </c>
      <c r="K1395" t="s">
        <v>425</v>
      </c>
      <c r="L1395" t="s">
        <v>429</v>
      </c>
      <c r="M1395" t="s">
        <v>12</v>
      </c>
      <c r="N1395" s="2">
        <v>2000</v>
      </c>
      <c r="O1395" s="2">
        <v>0</v>
      </c>
      <c r="P1395" s="2">
        <v>0</v>
      </c>
      <c r="Q1395" s="2">
        <v>2000</v>
      </c>
      <c r="R1395" s="2">
        <v>0</v>
      </c>
      <c r="S1395" s="2">
        <v>2000</v>
      </c>
      <c r="T1395" s="2">
        <v>437.59</v>
      </c>
      <c r="U1395" s="2">
        <v>0</v>
      </c>
      <c r="V1395" s="2">
        <v>1562.41</v>
      </c>
      <c r="W1395" s="2">
        <v>0</v>
      </c>
    </row>
    <row r="1396" spans="1:23" outlineLevel="2" x14ac:dyDescent="0.2">
      <c r="A1396" t="s">
        <v>402</v>
      </c>
      <c r="B1396" t="s">
        <v>31</v>
      </c>
      <c r="C1396" t="s">
        <v>79</v>
      </c>
      <c r="D1396" t="s">
        <v>80</v>
      </c>
      <c r="E1396" t="s">
        <v>81</v>
      </c>
      <c r="F1396" t="s">
        <v>5</v>
      </c>
      <c r="G1396" t="s">
        <v>6</v>
      </c>
      <c r="H1396" t="s">
        <v>7</v>
      </c>
      <c r="I1396" t="s">
        <v>8</v>
      </c>
      <c r="J1396" t="s">
        <v>403</v>
      </c>
      <c r="K1396" t="s">
        <v>425</v>
      </c>
      <c r="L1396" t="s">
        <v>429</v>
      </c>
      <c r="M1396" t="s">
        <v>12</v>
      </c>
      <c r="N1396" s="2">
        <v>20000</v>
      </c>
      <c r="O1396" s="2">
        <v>0</v>
      </c>
      <c r="P1396" s="2">
        <v>0</v>
      </c>
      <c r="Q1396" s="2">
        <v>20000</v>
      </c>
      <c r="R1396" s="2">
        <v>0</v>
      </c>
      <c r="S1396" s="2">
        <v>20000</v>
      </c>
      <c r="T1396" s="2">
        <v>10847.05</v>
      </c>
      <c r="U1396" s="2">
        <v>0</v>
      </c>
      <c r="V1396" s="2">
        <v>9152.9500000000007</v>
      </c>
      <c r="W1396" s="2">
        <v>0</v>
      </c>
    </row>
    <row r="1397" spans="1:23" outlineLevel="2" x14ac:dyDescent="0.2">
      <c r="A1397" t="s">
        <v>402</v>
      </c>
      <c r="B1397" t="s">
        <v>1</v>
      </c>
      <c r="C1397" t="s">
        <v>91</v>
      </c>
      <c r="D1397" t="s">
        <v>92</v>
      </c>
      <c r="E1397" t="s">
        <v>93</v>
      </c>
      <c r="F1397" t="s">
        <v>5</v>
      </c>
      <c r="G1397" t="s">
        <v>6</v>
      </c>
      <c r="H1397" t="s">
        <v>7</v>
      </c>
      <c r="I1397" t="s">
        <v>8</v>
      </c>
      <c r="J1397" t="s">
        <v>403</v>
      </c>
      <c r="K1397" t="s">
        <v>425</v>
      </c>
      <c r="L1397" t="s">
        <v>431</v>
      </c>
      <c r="M1397" t="s">
        <v>12</v>
      </c>
      <c r="N1397" s="2">
        <v>0</v>
      </c>
      <c r="O1397" s="2">
        <v>0</v>
      </c>
      <c r="P1397" s="2">
        <v>10.130000000000001</v>
      </c>
      <c r="Q1397" s="2">
        <v>10.130000000000001</v>
      </c>
      <c r="R1397" s="2">
        <v>0</v>
      </c>
      <c r="S1397" s="2">
        <v>0</v>
      </c>
      <c r="T1397" s="2">
        <v>0</v>
      </c>
      <c r="U1397" s="2">
        <v>10.130000000000001</v>
      </c>
      <c r="V1397" s="2">
        <v>10.130000000000001</v>
      </c>
      <c r="W1397" s="2">
        <v>10.130000000000001</v>
      </c>
    </row>
    <row r="1398" spans="1:23" outlineLevel="2" x14ac:dyDescent="0.2">
      <c r="A1398" t="s">
        <v>402</v>
      </c>
      <c r="B1398" t="s">
        <v>1</v>
      </c>
      <c r="C1398" t="s">
        <v>2</v>
      </c>
      <c r="D1398" t="s">
        <v>20</v>
      </c>
      <c r="E1398" t="s">
        <v>21</v>
      </c>
      <c r="F1398" t="s">
        <v>5</v>
      </c>
      <c r="G1398" t="s">
        <v>6</v>
      </c>
      <c r="H1398" t="s">
        <v>7</v>
      </c>
      <c r="I1398" t="s">
        <v>8</v>
      </c>
      <c r="J1398" t="s">
        <v>403</v>
      </c>
      <c r="K1398" t="s">
        <v>425</v>
      </c>
      <c r="L1398" t="s">
        <v>430</v>
      </c>
      <c r="M1398" t="s">
        <v>15</v>
      </c>
      <c r="N1398" s="2">
        <v>1700</v>
      </c>
      <c r="O1398" s="2">
        <v>0</v>
      </c>
      <c r="P1398" s="2">
        <v>-1700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</row>
    <row r="1399" spans="1:23" outlineLevel="2" x14ac:dyDescent="0.2">
      <c r="A1399" t="s">
        <v>402</v>
      </c>
      <c r="B1399" t="s">
        <v>39</v>
      </c>
      <c r="C1399" t="s">
        <v>58</v>
      </c>
      <c r="D1399" t="s">
        <v>135</v>
      </c>
      <c r="E1399" t="s">
        <v>136</v>
      </c>
      <c r="F1399" t="s">
        <v>5</v>
      </c>
      <c r="G1399" t="s">
        <v>6</v>
      </c>
      <c r="H1399" t="s">
        <v>7</v>
      </c>
      <c r="I1399" t="s">
        <v>8</v>
      </c>
      <c r="J1399" t="s">
        <v>403</v>
      </c>
      <c r="K1399" t="s">
        <v>425</v>
      </c>
      <c r="L1399" t="s">
        <v>428</v>
      </c>
      <c r="M1399" t="s">
        <v>12</v>
      </c>
      <c r="N1399" s="2">
        <v>10000</v>
      </c>
      <c r="O1399" s="2">
        <v>-5500</v>
      </c>
      <c r="P1399" s="2">
        <v>0</v>
      </c>
      <c r="Q1399" s="2">
        <v>4500</v>
      </c>
      <c r="R1399" s="2">
        <v>0</v>
      </c>
      <c r="S1399" s="2">
        <v>4500</v>
      </c>
      <c r="T1399" s="2">
        <v>4064.79</v>
      </c>
      <c r="U1399" s="2">
        <v>0</v>
      </c>
      <c r="V1399" s="2">
        <v>435.21</v>
      </c>
      <c r="W1399" s="2">
        <v>0</v>
      </c>
    </row>
    <row r="1400" spans="1:23" outlineLevel="2" x14ac:dyDescent="0.2">
      <c r="A1400" t="s">
        <v>402</v>
      </c>
      <c r="B1400" t="s">
        <v>39</v>
      </c>
      <c r="C1400" t="s">
        <v>58</v>
      </c>
      <c r="D1400" t="s">
        <v>147</v>
      </c>
      <c r="E1400" t="s">
        <v>148</v>
      </c>
      <c r="F1400" t="s">
        <v>5</v>
      </c>
      <c r="G1400" t="s">
        <v>6</v>
      </c>
      <c r="H1400" t="s">
        <v>7</v>
      </c>
      <c r="I1400" t="s">
        <v>8</v>
      </c>
      <c r="J1400" t="s">
        <v>403</v>
      </c>
      <c r="K1400" t="s">
        <v>425</v>
      </c>
      <c r="L1400" t="s">
        <v>428</v>
      </c>
      <c r="M1400" t="s">
        <v>12</v>
      </c>
      <c r="N1400" s="2">
        <v>3700</v>
      </c>
      <c r="O1400" s="2">
        <v>0</v>
      </c>
      <c r="P1400" s="2">
        <v>0</v>
      </c>
      <c r="Q1400" s="2">
        <v>3700</v>
      </c>
      <c r="R1400" s="2">
        <v>0</v>
      </c>
      <c r="S1400" s="2">
        <v>3700</v>
      </c>
      <c r="T1400" s="2">
        <v>1924.46</v>
      </c>
      <c r="U1400" s="2">
        <v>0</v>
      </c>
      <c r="V1400" s="2">
        <v>1775.54</v>
      </c>
      <c r="W1400" s="2">
        <v>0</v>
      </c>
    </row>
    <row r="1401" spans="1:23" outlineLevel="2" x14ac:dyDescent="0.2">
      <c r="A1401" t="s">
        <v>402</v>
      </c>
      <c r="B1401" t="s">
        <v>1</v>
      </c>
      <c r="C1401" t="s">
        <v>2</v>
      </c>
      <c r="D1401" t="s">
        <v>410</v>
      </c>
      <c r="E1401" t="s">
        <v>411</v>
      </c>
      <c r="F1401" t="s">
        <v>5</v>
      </c>
      <c r="G1401" t="s">
        <v>6</v>
      </c>
      <c r="H1401" t="s">
        <v>7</v>
      </c>
      <c r="I1401" t="s">
        <v>8</v>
      </c>
      <c r="J1401" t="s">
        <v>403</v>
      </c>
      <c r="K1401" t="s">
        <v>425</v>
      </c>
      <c r="L1401" t="s">
        <v>430</v>
      </c>
      <c r="M1401" t="s">
        <v>12</v>
      </c>
      <c r="N1401" s="2">
        <v>0</v>
      </c>
      <c r="O1401" s="2">
        <v>45000</v>
      </c>
      <c r="P1401" s="2">
        <v>2058.15</v>
      </c>
      <c r="Q1401" s="2">
        <v>47058.15</v>
      </c>
      <c r="R1401" s="2">
        <v>0</v>
      </c>
      <c r="S1401" s="2">
        <v>45000</v>
      </c>
      <c r="T1401" s="2">
        <v>15067.64</v>
      </c>
      <c r="U1401" s="2">
        <v>2058.15</v>
      </c>
      <c r="V1401" s="2">
        <v>31990.51</v>
      </c>
      <c r="W1401" s="2">
        <v>2058.15</v>
      </c>
    </row>
    <row r="1402" spans="1:23" outlineLevel="2" x14ac:dyDescent="0.2">
      <c r="A1402" t="s">
        <v>402</v>
      </c>
      <c r="B1402" t="s">
        <v>31</v>
      </c>
      <c r="C1402" t="s">
        <v>79</v>
      </c>
      <c r="D1402" t="s">
        <v>117</v>
      </c>
      <c r="E1402" t="s">
        <v>118</v>
      </c>
      <c r="F1402" t="s">
        <v>5</v>
      </c>
      <c r="G1402" t="s">
        <v>6</v>
      </c>
      <c r="H1402" t="s">
        <v>7</v>
      </c>
      <c r="I1402" t="s">
        <v>8</v>
      </c>
      <c r="J1402" t="s">
        <v>403</v>
      </c>
      <c r="K1402" t="s">
        <v>425</v>
      </c>
      <c r="L1402" t="s">
        <v>429</v>
      </c>
      <c r="M1402" t="s">
        <v>12</v>
      </c>
      <c r="N1402" s="2">
        <v>5000</v>
      </c>
      <c r="O1402" s="2">
        <v>1000</v>
      </c>
      <c r="P1402" s="2">
        <v>0</v>
      </c>
      <c r="Q1402" s="2">
        <v>6000</v>
      </c>
      <c r="R1402" s="2">
        <v>108</v>
      </c>
      <c r="S1402" s="2">
        <v>5892</v>
      </c>
      <c r="T1402" s="2">
        <v>4654.37</v>
      </c>
      <c r="U1402" s="2">
        <v>108</v>
      </c>
      <c r="V1402" s="2">
        <v>1345.63</v>
      </c>
      <c r="W1402" s="2">
        <v>0</v>
      </c>
    </row>
    <row r="1403" spans="1:23" outlineLevel="2" x14ac:dyDescent="0.2">
      <c r="A1403" t="s">
        <v>402</v>
      </c>
      <c r="B1403" t="s">
        <v>39</v>
      </c>
      <c r="C1403" t="s">
        <v>58</v>
      </c>
      <c r="D1403" t="s">
        <v>143</v>
      </c>
      <c r="E1403" t="s">
        <v>144</v>
      </c>
      <c r="F1403" t="s">
        <v>5</v>
      </c>
      <c r="G1403" t="s">
        <v>6</v>
      </c>
      <c r="H1403" t="s">
        <v>7</v>
      </c>
      <c r="I1403" t="s">
        <v>8</v>
      </c>
      <c r="J1403" t="s">
        <v>403</v>
      </c>
      <c r="K1403" t="s">
        <v>425</v>
      </c>
      <c r="L1403" t="s">
        <v>428</v>
      </c>
      <c r="M1403" t="s">
        <v>12</v>
      </c>
      <c r="N1403" s="2">
        <v>8500</v>
      </c>
      <c r="O1403" s="2">
        <v>-300</v>
      </c>
      <c r="P1403" s="2">
        <v>-5000</v>
      </c>
      <c r="Q1403" s="2">
        <v>3200</v>
      </c>
      <c r="R1403" s="2">
        <v>0</v>
      </c>
      <c r="S1403" s="2">
        <v>2434.09</v>
      </c>
      <c r="T1403" s="2">
        <v>2184.09</v>
      </c>
      <c r="U1403" s="2">
        <v>765.91</v>
      </c>
      <c r="V1403" s="2">
        <v>1015.91</v>
      </c>
      <c r="W1403" s="2">
        <v>765.91</v>
      </c>
    </row>
    <row r="1404" spans="1:23" outlineLevel="2" x14ac:dyDescent="0.2">
      <c r="A1404" t="s">
        <v>402</v>
      </c>
      <c r="B1404" t="s">
        <v>39</v>
      </c>
      <c r="C1404" t="s">
        <v>58</v>
      </c>
      <c r="D1404" t="s">
        <v>59</v>
      </c>
      <c r="E1404" t="s">
        <v>60</v>
      </c>
      <c r="F1404" t="s">
        <v>5</v>
      </c>
      <c r="G1404" t="s">
        <v>6</v>
      </c>
      <c r="H1404" t="s">
        <v>7</v>
      </c>
      <c r="I1404" t="s">
        <v>8</v>
      </c>
      <c r="J1404" t="s">
        <v>403</v>
      </c>
      <c r="K1404" t="s">
        <v>425</v>
      </c>
      <c r="L1404" t="s">
        <v>428</v>
      </c>
      <c r="M1404" t="s">
        <v>12</v>
      </c>
      <c r="N1404" s="2">
        <v>4000</v>
      </c>
      <c r="O1404" s="2">
        <v>0</v>
      </c>
      <c r="P1404" s="2">
        <v>-1500</v>
      </c>
      <c r="Q1404" s="2">
        <v>2500</v>
      </c>
      <c r="R1404" s="2">
        <v>0</v>
      </c>
      <c r="S1404" s="2">
        <v>2500</v>
      </c>
      <c r="T1404" s="2">
        <v>1032.42</v>
      </c>
      <c r="U1404" s="2">
        <v>0</v>
      </c>
      <c r="V1404" s="2">
        <v>1467.58</v>
      </c>
      <c r="W1404" s="2">
        <v>0</v>
      </c>
    </row>
    <row r="1405" spans="1:23" outlineLevel="2" x14ac:dyDescent="0.2">
      <c r="A1405" t="s">
        <v>402</v>
      </c>
      <c r="B1405" t="s">
        <v>1</v>
      </c>
      <c r="C1405" t="s">
        <v>2</v>
      </c>
      <c r="D1405" t="s">
        <v>13</v>
      </c>
      <c r="E1405" t="s">
        <v>14</v>
      </c>
      <c r="F1405" t="s">
        <v>5</v>
      </c>
      <c r="G1405" t="s">
        <v>6</v>
      </c>
      <c r="H1405" t="s">
        <v>7</v>
      </c>
      <c r="I1405" t="s">
        <v>8</v>
      </c>
      <c r="J1405" t="s">
        <v>403</v>
      </c>
      <c r="K1405" t="s">
        <v>425</v>
      </c>
      <c r="L1405" t="s">
        <v>430</v>
      </c>
      <c r="M1405" t="s">
        <v>15</v>
      </c>
      <c r="N1405" s="2">
        <v>12285.16</v>
      </c>
      <c r="O1405" s="2">
        <v>0</v>
      </c>
      <c r="P1405" s="2">
        <v>-12285.16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</row>
    <row r="1406" spans="1:23" outlineLevel="2" x14ac:dyDescent="0.2">
      <c r="A1406" t="s">
        <v>402</v>
      </c>
      <c r="B1406" t="s">
        <v>1</v>
      </c>
      <c r="C1406" t="s">
        <v>91</v>
      </c>
      <c r="D1406" t="s">
        <v>92</v>
      </c>
      <c r="E1406" t="s">
        <v>93</v>
      </c>
      <c r="F1406" t="s">
        <v>5</v>
      </c>
      <c r="G1406" t="s">
        <v>6</v>
      </c>
      <c r="H1406" t="s">
        <v>7</v>
      </c>
      <c r="I1406" t="s">
        <v>8</v>
      </c>
      <c r="J1406" t="s">
        <v>403</v>
      </c>
      <c r="K1406" t="s">
        <v>425</v>
      </c>
      <c r="L1406" t="s">
        <v>431</v>
      </c>
      <c r="M1406" t="s">
        <v>15</v>
      </c>
      <c r="N1406" s="2">
        <v>5000</v>
      </c>
      <c r="O1406" s="2">
        <v>658.56</v>
      </c>
      <c r="P1406" s="2">
        <v>-10.130000000000001</v>
      </c>
      <c r="Q1406" s="2">
        <v>5648.43</v>
      </c>
      <c r="R1406" s="2">
        <v>778.72</v>
      </c>
      <c r="S1406" s="2">
        <v>4869.71</v>
      </c>
      <c r="T1406" s="2">
        <v>3586.16</v>
      </c>
      <c r="U1406" s="2">
        <v>778.72</v>
      </c>
      <c r="V1406" s="2">
        <v>2062.27</v>
      </c>
      <c r="W1406" s="2">
        <v>0</v>
      </c>
    </row>
    <row r="1407" spans="1:23" outlineLevel="2" x14ac:dyDescent="0.2">
      <c r="A1407" t="s">
        <v>402</v>
      </c>
      <c r="B1407" t="s">
        <v>39</v>
      </c>
      <c r="C1407" t="s">
        <v>66</v>
      </c>
      <c r="D1407" t="s">
        <v>67</v>
      </c>
      <c r="E1407" t="s">
        <v>68</v>
      </c>
      <c r="F1407" t="s">
        <v>5</v>
      </c>
      <c r="G1407" t="s">
        <v>6</v>
      </c>
      <c r="H1407" t="s">
        <v>7</v>
      </c>
      <c r="I1407" t="s">
        <v>8</v>
      </c>
      <c r="J1407" t="s">
        <v>403</v>
      </c>
      <c r="K1407" t="s">
        <v>425</v>
      </c>
      <c r="L1407" t="s">
        <v>432</v>
      </c>
      <c r="M1407" t="s">
        <v>12</v>
      </c>
      <c r="N1407" s="2">
        <v>10600</v>
      </c>
      <c r="O1407" s="2">
        <v>-1688</v>
      </c>
      <c r="P1407" s="2">
        <v>0</v>
      </c>
      <c r="Q1407" s="2">
        <v>8912</v>
      </c>
      <c r="R1407" s="2">
        <v>0</v>
      </c>
      <c r="S1407" s="2">
        <v>8912</v>
      </c>
      <c r="T1407" s="2">
        <v>6520.04</v>
      </c>
      <c r="U1407" s="2">
        <v>0</v>
      </c>
      <c r="V1407" s="2">
        <v>2391.96</v>
      </c>
      <c r="W1407" s="2">
        <v>0</v>
      </c>
    </row>
    <row r="1408" spans="1:23" outlineLevel="2" x14ac:dyDescent="0.2">
      <c r="A1408" t="s">
        <v>402</v>
      </c>
      <c r="B1408" t="s">
        <v>31</v>
      </c>
      <c r="C1408" t="s">
        <v>32</v>
      </c>
      <c r="D1408" t="s">
        <v>75</v>
      </c>
      <c r="E1408" t="s">
        <v>76</v>
      </c>
      <c r="F1408" t="s">
        <v>5</v>
      </c>
      <c r="G1408" t="s">
        <v>6</v>
      </c>
      <c r="H1408" t="s">
        <v>7</v>
      </c>
      <c r="I1408" t="s">
        <v>8</v>
      </c>
      <c r="J1408" t="s">
        <v>403</v>
      </c>
      <c r="K1408" t="s">
        <v>425</v>
      </c>
      <c r="L1408" t="s">
        <v>433</v>
      </c>
      <c r="M1408" t="s">
        <v>12</v>
      </c>
      <c r="N1408" s="2">
        <v>6000</v>
      </c>
      <c r="O1408" s="2">
        <v>0</v>
      </c>
      <c r="P1408" s="2">
        <v>0</v>
      </c>
      <c r="Q1408" s="2">
        <v>6000</v>
      </c>
      <c r="R1408" s="2">
        <v>0</v>
      </c>
      <c r="S1408" s="2">
        <v>6000</v>
      </c>
      <c r="T1408" s="2">
        <v>4485.03</v>
      </c>
      <c r="U1408" s="2">
        <v>0</v>
      </c>
      <c r="V1408" s="2">
        <v>1514.97</v>
      </c>
      <c r="W1408" s="2">
        <v>0</v>
      </c>
    </row>
    <row r="1409" spans="1:23" outlineLevel="2" x14ac:dyDescent="0.2">
      <c r="A1409" t="s">
        <v>402</v>
      </c>
      <c r="B1409" t="s">
        <v>31</v>
      </c>
      <c r="C1409" t="s">
        <v>32</v>
      </c>
      <c r="D1409" t="s">
        <v>123</v>
      </c>
      <c r="E1409" t="s">
        <v>124</v>
      </c>
      <c r="F1409" t="s">
        <v>5</v>
      </c>
      <c r="G1409" t="s">
        <v>6</v>
      </c>
      <c r="H1409" t="s">
        <v>7</v>
      </c>
      <c r="I1409" t="s">
        <v>8</v>
      </c>
      <c r="J1409" t="s">
        <v>403</v>
      </c>
      <c r="K1409" t="s">
        <v>425</v>
      </c>
      <c r="L1409" t="s">
        <v>433</v>
      </c>
      <c r="M1409" t="s">
        <v>12</v>
      </c>
      <c r="N1409" s="2">
        <v>4000</v>
      </c>
      <c r="O1409" s="2">
        <v>0</v>
      </c>
      <c r="P1409" s="2">
        <v>0</v>
      </c>
      <c r="Q1409" s="2">
        <v>4000</v>
      </c>
      <c r="R1409" s="2">
        <v>0</v>
      </c>
      <c r="S1409" s="2">
        <v>4000</v>
      </c>
      <c r="T1409" s="2">
        <v>3374.82</v>
      </c>
      <c r="U1409" s="2">
        <v>0</v>
      </c>
      <c r="V1409" s="2">
        <v>625.17999999999995</v>
      </c>
      <c r="W1409" s="2">
        <v>0</v>
      </c>
    </row>
    <row r="1410" spans="1:23" outlineLevel="2" x14ac:dyDescent="0.2">
      <c r="A1410" t="s">
        <v>402</v>
      </c>
      <c r="B1410" t="s">
        <v>39</v>
      </c>
      <c r="C1410" t="s">
        <v>58</v>
      </c>
      <c r="D1410" t="s">
        <v>129</v>
      </c>
      <c r="E1410" t="s">
        <v>130</v>
      </c>
      <c r="F1410" t="s">
        <v>5</v>
      </c>
      <c r="G1410" t="s">
        <v>6</v>
      </c>
      <c r="H1410" t="s">
        <v>7</v>
      </c>
      <c r="I1410" t="s">
        <v>8</v>
      </c>
      <c r="J1410" t="s">
        <v>403</v>
      </c>
      <c r="K1410" t="s">
        <v>425</v>
      </c>
      <c r="L1410" t="s">
        <v>428</v>
      </c>
      <c r="M1410" t="s">
        <v>12</v>
      </c>
      <c r="N1410" s="2">
        <v>250</v>
      </c>
      <c r="O1410" s="2">
        <v>-152.91</v>
      </c>
      <c r="P1410" s="2">
        <v>0</v>
      </c>
      <c r="Q1410" s="2">
        <v>97.09</v>
      </c>
      <c r="R1410" s="2">
        <v>0</v>
      </c>
      <c r="S1410" s="2">
        <v>97.09</v>
      </c>
      <c r="T1410" s="2">
        <v>88.11</v>
      </c>
      <c r="U1410" s="2">
        <v>0</v>
      </c>
      <c r="V1410" s="2">
        <v>8.98</v>
      </c>
      <c r="W1410" s="2">
        <v>0</v>
      </c>
    </row>
    <row r="1411" spans="1:23" outlineLevel="2" x14ac:dyDescent="0.2">
      <c r="A1411" t="s">
        <v>402</v>
      </c>
      <c r="B1411" t="s">
        <v>31</v>
      </c>
      <c r="C1411" t="s">
        <v>79</v>
      </c>
      <c r="D1411" t="s">
        <v>125</v>
      </c>
      <c r="E1411" t="s">
        <v>126</v>
      </c>
      <c r="F1411" t="s">
        <v>5</v>
      </c>
      <c r="G1411" t="s">
        <v>6</v>
      </c>
      <c r="H1411" t="s">
        <v>7</v>
      </c>
      <c r="I1411" t="s">
        <v>8</v>
      </c>
      <c r="J1411" t="s">
        <v>403</v>
      </c>
      <c r="K1411" t="s">
        <v>425</v>
      </c>
      <c r="L1411" t="s">
        <v>429</v>
      </c>
      <c r="M1411" t="s">
        <v>12</v>
      </c>
      <c r="N1411" s="2">
        <v>700</v>
      </c>
      <c r="O1411" s="2">
        <v>0</v>
      </c>
      <c r="P1411" s="2">
        <v>-159.9</v>
      </c>
      <c r="Q1411" s="2">
        <v>540.1</v>
      </c>
      <c r="R1411" s="2">
        <v>0</v>
      </c>
      <c r="S1411" s="2">
        <v>540.1</v>
      </c>
      <c r="T1411" s="2">
        <v>441.82</v>
      </c>
      <c r="U1411" s="2">
        <v>0</v>
      </c>
      <c r="V1411" s="2">
        <v>98.28</v>
      </c>
      <c r="W1411" s="2">
        <v>0</v>
      </c>
    </row>
    <row r="1412" spans="1:23" outlineLevel="2" x14ac:dyDescent="0.2">
      <c r="A1412" t="s">
        <v>402</v>
      </c>
      <c r="B1412" t="s">
        <v>39</v>
      </c>
      <c r="C1412" t="s">
        <v>58</v>
      </c>
      <c r="D1412" t="s">
        <v>137</v>
      </c>
      <c r="E1412" t="s">
        <v>138</v>
      </c>
      <c r="F1412" t="s">
        <v>5</v>
      </c>
      <c r="G1412" t="s">
        <v>6</v>
      </c>
      <c r="H1412" t="s">
        <v>7</v>
      </c>
      <c r="I1412" t="s">
        <v>8</v>
      </c>
      <c r="J1412" t="s">
        <v>403</v>
      </c>
      <c r="K1412" t="s">
        <v>425</v>
      </c>
      <c r="L1412" t="s">
        <v>428</v>
      </c>
      <c r="M1412" t="s">
        <v>12</v>
      </c>
      <c r="N1412" s="2">
        <v>6000</v>
      </c>
      <c r="O1412" s="2">
        <v>0</v>
      </c>
      <c r="P1412" s="2">
        <v>0</v>
      </c>
      <c r="Q1412" s="2">
        <v>6000</v>
      </c>
      <c r="R1412" s="2">
        <v>0</v>
      </c>
      <c r="S1412" s="2">
        <v>6000</v>
      </c>
      <c r="T1412" s="2">
        <v>3082.79</v>
      </c>
      <c r="U1412" s="2">
        <v>0</v>
      </c>
      <c r="V1412" s="2">
        <v>2917.21</v>
      </c>
      <c r="W1412" s="2">
        <v>0</v>
      </c>
    </row>
    <row r="1413" spans="1:23" outlineLevel="2" x14ac:dyDescent="0.2">
      <c r="A1413" t="s">
        <v>402</v>
      </c>
      <c r="B1413" t="s">
        <v>31</v>
      </c>
      <c r="C1413" t="s">
        <v>79</v>
      </c>
      <c r="D1413" t="s">
        <v>115</v>
      </c>
      <c r="E1413" t="s">
        <v>116</v>
      </c>
      <c r="F1413" t="s">
        <v>5</v>
      </c>
      <c r="G1413" t="s">
        <v>6</v>
      </c>
      <c r="H1413" t="s">
        <v>7</v>
      </c>
      <c r="I1413" t="s">
        <v>8</v>
      </c>
      <c r="J1413" t="s">
        <v>403</v>
      </c>
      <c r="K1413" t="s">
        <v>425</v>
      </c>
      <c r="L1413" t="s">
        <v>429</v>
      </c>
      <c r="M1413" t="s">
        <v>12</v>
      </c>
      <c r="N1413" s="2">
        <v>500</v>
      </c>
      <c r="O1413" s="2">
        <v>0</v>
      </c>
      <c r="P1413" s="2">
        <v>0</v>
      </c>
      <c r="Q1413" s="2">
        <v>500</v>
      </c>
      <c r="R1413" s="2">
        <v>0</v>
      </c>
      <c r="S1413" s="2">
        <v>500</v>
      </c>
      <c r="T1413" s="2">
        <v>355.16</v>
      </c>
      <c r="U1413" s="2">
        <v>0</v>
      </c>
      <c r="V1413" s="2">
        <v>144.84</v>
      </c>
      <c r="W1413" s="2">
        <v>0</v>
      </c>
    </row>
    <row r="1414" spans="1:23" outlineLevel="2" x14ac:dyDescent="0.2">
      <c r="A1414" t="s">
        <v>402</v>
      </c>
      <c r="B1414" t="s">
        <v>1</v>
      </c>
      <c r="C1414" t="s">
        <v>2</v>
      </c>
      <c r="D1414" t="s">
        <v>20</v>
      </c>
      <c r="E1414" t="s">
        <v>21</v>
      </c>
      <c r="F1414" t="s">
        <v>5</v>
      </c>
      <c r="G1414" t="s">
        <v>6</v>
      </c>
      <c r="H1414" t="s">
        <v>7</v>
      </c>
      <c r="I1414" t="s">
        <v>8</v>
      </c>
      <c r="J1414" t="s">
        <v>403</v>
      </c>
      <c r="K1414" t="s">
        <v>425</v>
      </c>
      <c r="L1414" t="s">
        <v>430</v>
      </c>
      <c r="M1414" t="s">
        <v>12</v>
      </c>
      <c r="N1414" s="2">
        <v>0</v>
      </c>
      <c r="O1414" s="2">
        <v>0</v>
      </c>
      <c r="P1414" s="2">
        <v>1700</v>
      </c>
      <c r="Q1414" s="2">
        <v>1700</v>
      </c>
      <c r="R1414" s="2">
        <v>0</v>
      </c>
      <c r="S1414" s="2">
        <v>0</v>
      </c>
      <c r="T1414" s="2">
        <v>0</v>
      </c>
      <c r="U1414" s="2">
        <v>1700</v>
      </c>
      <c r="V1414" s="2">
        <v>1700</v>
      </c>
      <c r="W1414" s="2">
        <v>1700</v>
      </c>
    </row>
    <row r="1415" spans="1:23" outlineLevel="2" x14ac:dyDescent="0.2">
      <c r="A1415" t="s">
        <v>402</v>
      </c>
      <c r="B1415" t="s">
        <v>39</v>
      </c>
      <c r="C1415" t="s">
        <v>70</v>
      </c>
      <c r="D1415" t="s">
        <v>89</v>
      </c>
      <c r="E1415" t="s">
        <v>90</v>
      </c>
      <c r="F1415" t="s">
        <v>5</v>
      </c>
      <c r="G1415" t="s">
        <v>6</v>
      </c>
      <c r="H1415" t="s">
        <v>7</v>
      </c>
      <c r="I1415" t="s">
        <v>8</v>
      </c>
      <c r="J1415" t="s">
        <v>403</v>
      </c>
      <c r="K1415" t="s">
        <v>425</v>
      </c>
      <c r="L1415" t="s">
        <v>434</v>
      </c>
      <c r="M1415" t="s">
        <v>12</v>
      </c>
      <c r="N1415" s="2">
        <v>20000</v>
      </c>
      <c r="O1415" s="2">
        <v>0</v>
      </c>
      <c r="P1415" s="2">
        <v>0</v>
      </c>
      <c r="Q1415" s="2">
        <v>20000</v>
      </c>
      <c r="R1415" s="2">
        <v>0</v>
      </c>
      <c r="S1415" s="2">
        <v>20000</v>
      </c>
      <c r="T1415" s="2">
        <v>17083.3</v>
      </c>
      <c r="U1415" s="2">
        <v>0</v>
      </c>
      <c r="V1415" s="2">
        <v>2916.7</v>
      </c>
      <c r="W1415" s="2">
        <v>0</v>
      </c>
    </row>
    <row r="1416" spans="1:23" outlineLevel="2" x14ac:dyDescent="0.2">
      <c r="A1416" t="s">
        <v>402</v>
      </c>
      <c r="B1416" t="s">
        <v>31</v>
      </c>
      <c r="C1416" t="s">
        <v>79</v>
      </c>
      <c r="D1416" t="s">
        <v>113</v>
      </c>
      <c r="E1416" t="s">
        <v>114</v>
      </c>
      <c r="F1416" t="s">
        <v>5</v>
      </c>
      <c r="G1416" t="s">
        <v>6</v>
      </c>
      <c r="H1416" t="s">
        <v>7</v>
      </c>
      <c r="I1416" t="s">
        <v>8</v>
      </c>
      <c r="J1416" t="s">
        <v>403</v>
      </c>
      <c r="K1416" t="s">
        <v>425</v>
      </c>
      <c r="L1416" t="s">
        <v>429</v>
      </c>
      <c r="M1416" t="s">
        <v>12</v>
      </c>
      <c r="N1416" s="2">
        <v>500</v>
      </c>
      <c r="O1416" s="2">
        <v>0</v>
      </c>
      <c r="P1416" s="2">
        <v>0</v>
      </c>
      <c r="Q1416" s="2">
        <v>500</v>
      </c>
      <c r="R1416" s="2">
        <v>0</v>
      </c>
      <c r="S1416" s="2">
        <v>500</v>
      </c>
      <c r="T1416" s="2">
        <v>457.2</v>
      </c>
      <c r="U1416" s="2">
        <v>0</v>
      </c>
      <c r="V1416" s="2">
        <v>42.8</v>
      </c>
      <c r="W1416" s="2">
        <v>0</v>
      </c>
    </row>
    <row r="1417" spans="1:23" outlineLevel="2" x14ac:dyDescent="0.2">
      <c r="A1417" t="s">
        <v>402</v>
      </c>
      <c r="B1417" t="s">
        <v>31</v>
      </c>
      <c r="C1417" t="s">
        <v>32</v>
      </c>
      <c r="D1417" t="s">
        <v>33</v>
      </c>
      <c r="E1417" t="s">
        <v>34</v>
      </c>
      <c r="F1417" t="s">
        <v>5</v>
      </c>
      <c r="G1417" t="s">
        <v>6</v>
      </c>
      <c r="H1417" t="s">
        <v>7</v>
      </c>
      <c r="I1417" t="s">
        <v>8</v>
      </c>
      <c r="J1417" t="s">
        <v>403</v>
      </c>
      <c r="K1417" t="s">
        <v>425</v>
      </c>
      <c r="L1417" t="s">
        <v>433</v>
      </c>
      <c r="M1417" t="s">
        <v>12</v>
      </c>
      <c r="N1417" s="2">
        <v>18000</v>
      </c>
      <c r="O1417" s="2">
        <v>-9000</v>
      </c>
      <c r="P1417" s="2">
        <v>0</v>
      </c>
      <c r="Q1417" s="2">
        <v>9000</v>
      </c>
      <c r="R1417" s="2">
        <v>0</v>
      </c>
      <c r="S1417" s="2">
        <v>6273.79</v>
      </c>
      <c r="T1417" s="2">
        <v>5761.76</v>
      </c>
      <c r="U1417" s="2">
        <v>2726.21</v>
      </c>
      <c r="V1417" s="2">
        <v>3238.24</v>
      </c>
      <c r="W1417" s="2">
        <v>2726.21</v>
      </c>
    </row>
    <row r="1418" spans="1:23" outlineLevel="2" x14ac:dyDescent="0.2">
      <c r="A1418" t="s">
        <v>402</v>
      </c>
      <c r="B1418" t="s">
        <v>31</v>
      </c>
      <c r="C1418" t="s">
        <v>79</v>
      </c>
      <c r="D1418" t="s">
        <v>131</v>
      </c>
      <c r="E1418" t="s">
        <v>132</v>
      </c>
      <c r="F1418" t="s">
        <v>5</v>
      </c>
      <c r="G1418" t="s">
        <v>6</v>
      </c>
      <c r="H1418" t="s">
        <v>7</v>
      </c>
      <c r="I1418" t="s">
        <v>8</v>
      </c>
      <c r="J1418" t="s">
        <v>403</v>
      </c>
      <c r="K1418" t="s">
        <v>425</v>
      </c>
      <c r="L1418" t="s">
        <v>429</v>
      </c>
      <c r="M1418" t="s">
        <v>12</v>
      </c>
      <c r="N1418" s="2">
        <v>1400</v>
      </c>
      <c r="O1418" s="2">
        <v>0</v>
      </c>
      <c r="P1418" s="2">
        <v>0</v>
      </c>
      <c r="Q1418" s="2">
        <v>1400</v>
      </c>
      <c r="R1418" s="2">
        <v>0</v>
      </c>
      <c r="S1418" s="2">
        <v>1400</v>
      </c>
      <c r="T1418" s="2">
        <v>945.39</v>
      </c>
      <c r="U1418" s="2">
        <v>0</v>
      </c>
      <c r="V1418" s="2">
        <v>454.61</v>
      </c>
      <c r="W1418" s="2">
        <v>0</v>
      </c>
    </row>
    <row r="1419" spans="1:23" outlineLevel="2" x14ac:dyDescent="0.2">
      <c r="A1419" t="s">
        <v>402</v>
      </c>
      <c r="B1419" t="s">
        <v>1</v>
      </c>
      <c r="C1419" t="s">
        <v>91</v>
      </c>
      <c r="D1419" t="s">
        <v>92</v>
      </c>
      <c r="E1419" t="s">
        <v>93</v>
      </c>
      <c r="F1419" t="s">
        <v>5</v>
      </c>
      <c r="G1419" t="s">
        <v>6</v>
      </c>
      <c r="H1419" t="s">
        <v>7</v>
      </c>
      <c r="I1419" t="s">
        <v>8</v>
      </c>
      <c r="J1419" t="s">
        <v>403</v>
      </c>
      <c r="K1419" t="s">
        <v>435</v>
      </c>
      <c r="L1419" t="s">
        <v>436</v>
      </c>
      <c r="M1419" t="s">
        <v>12</v>
      </c>
      <c r="N1419" s="2">
        <v>0</v>
      </c>
      <c r="O1419" s="2">
        <v>0</v>
      </c>
      <c r="P1419" s="2">
        <v>302.08</v>
      </c>
      <c r="Q1419" s="2">
        <v>302.08</v>
      </c>
      <c r="R1419" s="2">
        <v>0</v>
      </c>
      <c r="S1419" s="2">
        <v>0</v>
      </c>
      <c r="T1419" s="2">
        <v>0</v>
      </c>
      <c r="U1419" s="2">
        <v>302.08</v>
      </c>
      <c r="V1419" s="2">
        <v>302.08</v>
      </c>
      <c r="W1419" s="2">
        <v>302.08</v>
      </c>
    </row>
    <row r="1420" spans="1:23" outlineLevel="2" x14ac:dyDescent="0.2">
      <c r="A1420" t="s">
        <v>402</v>
      </c>
      <c r="B1420" t="s">
        <v>39</v>
      </c>
      <c r="C1420" t="s">
        <v>95</v>
      </c>
      <c r="D1420" t="s">
        <v>96</v>
      </c>
      <c r="E1420" t="s">
        <v>97</v>
      </c>
      <c r="F1420" t="s">
        <v>5</v>
      </c>
      <c r="G1420" t="s">
        <v>6</v>
      </c>
      <c r="H1420" t="s">
        <v>7</v>
      </c>
      <c r="I1420" t="s">
        <v>8</v>
      </c>
      <c r="J1420" t="s">
        <v>403</v>
      </c>
      <c r="K1420" t="s">
        <v>435</v>
      </c>
      <c r="L1420" t="s">
        <v>437</v>
      </c>
      <c r="M1420" t="s">
        <v>12</v>
      </c>
      <c r="N1420" s="2">
        <v>46000</v>
      </c>
      <c r="O1420" s="2">
        <v>0</v>
      </c>
      <c r="P1420" s="2">
        <v>0</v>
      </c>
      <c r="Q1420" s="2">
        <v>46000</v>
      </c>
      <c r="R1420" s="2">
        <v>0</v>
      </c>
      <c r="S1420" s="2">
        <v>11584</v>
      </c>
      <c r="T1420" s="2">
        <v>3920</v>
      </c>
      <c r="U1420" s="2">
        <v>34416</v>
      </c>
      <c r="V1420" s="2">
        <v>42080</v>
      </c>
      <c r="W1420" s="2">
        <v>34416</v>
      </c>
    </row>
    <row r="1421" spans="1:23" outlineLevel="2" x14ac:dyDescent="0.2">
      <c r="A1421" t="s">
        <v>402</v>
      </c>
      <c r="B1421" t="s">
        <v>1</v>
      </c>
      <c r="C1421" t="s">
        <v>16</v>
      </c>
      <c r="D1421" t="s">
        <v>62</v>
      </c>
      <c r="E1421" t="s">
        <v>63</v>
      </c>
      <c r="F1421" t="s">
        <v>5</v>
      </c>
      <c r="G1421" t="s">
        <v>6</v>
      </c>
      <c r="H1421" t="s">
        <v>7</v>
      </c>
      <c r="I1421" t="s">
        <v>8</v>
      </c>
      <c r="J1421" t="s">
        <v>403</v>
      </c>
      <c r="K1421" t="s">
        <v>435</v>
      </c>
      <c r="L1421" t="s">
        <v>438</v>
      </c>
      <c r="M1421" t="s">
        <v>15</v>
      </c>
      <c r="N1421" s="2">
        <v>100</v>
      </c>
      <c r="O1421" s="2">
        <v>0</v>
      </c>
      <c r="P1421" s="2">
        <v>-100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</row>
    <row r="1422" spans="1:23" outlineLevel="2" x14ac:dyDescent="0.2">
      <c r="A1422" t="s">
        <v>402</v>
      </c>
      <c r="B1422" t="s">
        <v>1</v>
      </c>
      <c r="C1422" t="s">
        <v>2</v>
      </c>
      <c r="D1422" t="s">
        <v>410</v>
      </c>
      <c r="E1422" t="s">
        <v>411</v>
      </c>
      <c r="F1422" t="s">
        <v>5</v>
      </c>
      <c r="G1422" t="s">
        <v>6</v>
      </c>
      <c r="H1422" t="s">
        <v>7</v>
      </c>
      <c r="I1422" t="s">
        <v>8</v>
      </c>
      <c r="J1422" t="s">
        <v>403</v>
      </c>
      <c r="K1422" t="s">
        <v>435</v>
      </c>
      <c r="L1422" t="s">
        <v>439</v>
      </c>
      <c r="M1422" t="s">
        <v>15</v>
      </c>
      <c r="N1422" s="2">
        <v>100000</v>
      </c>
      <c r="O1422" s="2">
        <v>-28930.55</v>
      </c>
      <c r="P1422" s="2">
        <v>0</v>
      </c>
      <c r="Q1422" s="2">
        <v>71069.45</v>
      </c>
      <c r="R1422" s="2">
        <v>35192.68</v>
      </c>
      <c r="S1422" s="2">
        <v>35876.769999999997</v>
      </c>
      <c r="T1422" s="2">
        <v>6377.46</v>
      </c>
      <c r="U1422" s="2">
        <v>35192.68</v>
      </c>
      <c r="V1422" s="2">
        <v>64691.99</v>
      </c>
      <c r="W1422" s="2">
        <v>0</v>
      </c>
    </row>
    <row r="1423" spans="1:23" outlineLevel="2" x14ac:dyDescent="0.2">
      <c r="A1423" t="s">
        <v>402</v>
      </c>
      <c r="B1423" t="s">
        <v>39</v>
      </c>
      <c r="C1423" t="s">
        <v>58</v>
      </c>
      <c r="D1423" t="s">
        <v>149</v>
      </c>
      <c r="E1423" t="s">
        <v>150</v>
      </c>
      <c r="F1423" t="s">
        <v>5</v>
      </c>
      <c r="G1423" t="s">
        <v>6</v>
      </c>
      <c r="H1423" t="s">
        <v>7</v>
      </c>
      <c r="I1423" t="s">
        <v>8</v>
      </c>
      <c r="J1423" t="s">
        <v>403</v>
      </c>
      <c r="K1423" t="s">
        <v>435</v>
      </c>
      <c r="L1423" t="s">
        <v>440</v>
      </c>
      <c r="M1423" t="s">
        <v>12</v>
      </c>
      <c r="N1423" s="2">
        <v>25</v>
      </c>
      <c r="O1423" s="2">
        <v>0</v>
      </c>
      <c r="P1423" s="2">
        <v>-25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</row>
    <row r="1424" spans="1:23" outlineLevel="2" x14ac:dyDescent="0.2">
      <c r="A1424" t="s">
        <v>402</v>
      </c>
      <c r="B1424" t="s">
        <v>1</v>
      </c>
      <c r="C1424" t="s">
        <v>91</v>
      </c>
      <c r="D1424" t="s">
        <v>92</v>
      </c>
      <c r="E1424" t="s">
        <v>93</v>
      </c>
      <c r="F1424" t="s">
        <v>5</v>
      </c>
      <c r="G1424" t="s">
        <v>6</v>
      </c>
      <c r="H1424" t="s">
        <v>7</v>
      </c>
      <c r="I1424" t="s">
        <v>8</v>
      </c>
      <c r="J1424" t="s">
        <v>403</v>
      </c>
      <c r="K1424" t="s">
        <v>435</v>
      </c>
      <c r="L1424" t="s">
        <v>436</v>
      </c>
      <c r="M1424" t="s">
        <v>15</v>
      </c>
      <c r="N1424" s="2">
        <v>273000</v>
      </c>
      <c r="O1424" s="2">
        <v>-45441.24</v>
      </c>
      <c r="P1424" s="2">
        <v>-302.08</v>
      </c>
      <c r="Q1424" s="2">
        <v>227256.68</v>
      </c>
      <c r="R1424" s="2">
        <v>30000</v>
      </c>
      <c r="S1424" s="2">
        <v>197256.68</v>
      </c>
      <c r="T1424" s="2">
        <v>171966.69</v>
      </c>
      <c r="U1424" s="2">
        <v>30000</v>
      </c>
      <c r="V1424" s="2">
        <v>55289.99</v>
      </c>
      <c r="W1424" s="2">
        <v>0</v>
      </c>
    </row>
    <row r="1425" spans="1:23" outlineLevel="2" x14ac:dyDescent="0.2">
      <c r="A1425" t="s">
        <v>402</v>
      </c>
      <c r="B1425" t="s">
        <v>1</v>
      </c>
      <c r="C1425" t="s">
        <v>2</v>
      </c>
      <c r="D1425" t="s">
        <v>3</v>
      </c>
      <c r="E1425" t="s">
        <v>4</v>
      </c>
      <c r="F1425" t="s">
        <v>5</v>
      </c>
      <c r="G1425" t="s">
        <v>6</v>
      </c>
      <c r="H1425" t="s">
        <v>7</v>
      </c>
      <c r="I1425" t="s">
        <v>8</v>
      </c>
      <c r="J1425" t="s">
        <v>403</v>
      </c>
      <c r="K1425" t="s">
        <v>435</v>
      </c>
      <c r="L1425" t="s">
        <v>439</v>
      </c>
      <c r="M1425" t="s">
        <v>12</v>
      </c>
      <c r="N1425" s="2">
        <v>0</v>
      </c>
      <c r="O1425" s="2">
        <v>0</v>
      </c>
      <c r="P1425" s="2">
        <v>73.38</v>
      </c>
      <c r="Q1425" s="2">
        <v>73.38</v>
      </c>
      <c r="R1425" s="2">
        <v>0</v>
      </c>
      <c r="S1425" s="2">
        <v>0</v>
      </c>
      <c r="T1425" s="2">
        <v>0</v>
      </c>
      <c r="U1425" s="2">
        <v>73.38</v>
      </c>
      <c r="V1425" s="2">
        <v>73.38</v>
      </c>
      <c r="W1425" s="2">
        <v>73.38</v>
      </c>
    </row>
    <row r="1426" spans="1:23" outlineLevel="2" x14ac:dyDescent="0.2">
      <c r="A1426" t="s">
        <v>402</v>
      </c>
      <c r="B1426" t="s">
        <v>31</v>
      </c>
      <c r="C1426" t="s">
        <v>79</v>
      </c>
      <c r="D1426" t="s">
        <v>113</v>
      </c>
      <c r="E1426" t="s">
        <v>114</v>
      </c>
      <c r="F1426" t="s">
        <v>5</v>
      </c>
      <c r="G1426" t="s">
        <v>6</v>
      </c>
      <c r="H1426" t="s">
        <v>7</v>
      </c>
      <c r="I1426" t="s">
        <v>8</v>
      </c>
      <c r="J1426" t="s">
        <v>403</v>
      </c>
      <c r="K1426" t="s">
        <v>435</v>
      </c>
      <c r="L1426" t="s">
        <v>441</v>
      </c>
      <c r="M1426" t="s">
        <v>12</v>
      </c>
      <c r="N1426" s="2">
        <v>1000</v>
      </c>
      <c r="O1426" s="2">
        <v>0</v>
      </c>
      <c r="P1426" s="2">
        <v>0</v>
      </c>
      <c r="Q1426" s="2">
        <v>1000</v>
      </c>
      <c r="R1426" s="2">
        <v>0</v>
      </c>
      <c r="S1426" s="2">
        <v>0</v>
      </c>
      <c r="T1426" s="2">
        <v>0</v>
      </c>
      <c r="U1426" s="2">
        <v>1000</v>
      </c>
      <c r="V1426" s="2">
        <v>1000</v>
      </c>
      <c r="W1426" s="2">
        <v>1000</v>
      </c>
    </row>
    <row r="1427" spans="1:23" outlineLevel="2" x14ac:dyDescent="0.2">
      <c r="A1427" t="s">
        <v>402</v>
      </c>
      <c r="B1427" t="s">
        <v>39</v>
      </c>
      <c r="C1427" t="s">
        <v>58</v>
      </c>
      <c r="D1427" t="s">
        <v>145</v>
      </c>
      <c r="E1427" t="s">
        <v>146</v>
      </c>
      <c r="F1427" t="s">
        <v>5</v>
      </c>
      <c r="G1427" t="s">
        <v>6</v>
      </c>
      <c r="H1427" t="s">
        <v>7</v>
      </c>
      <c r="I1427" t="s">
        <v>8</v>
      </c>
      <c r="J1427" t="s">
        <v>403</v>
      </c>
      <c r="K1427" t="s">
        <v>435</v>
      </c>
      <c r="L1427" t="s">
        <v>440</v>
      </c>
      <c r="M1427" t="s">
        <v>12</v>
      </c>
      <c r="N1427" s="2">
        <v>5800</v>
      </c>
      <c r="O1427" s="2">
        <v>-594.24</v>
      </c>
      <c r="P1427" s="2">
        <v>0</v>
      </c>
      <c r="Q1427" s="2">
        <v>5205.76</v>
      </c>
      <c r="R1427" s="2">
        <v>151.69</v>
      </c>
      <c r="S1427" s="2">
        <v>3232.07</v>
      </c>
      <c r="T1427" s="2">
        <v>2407.67</v>
      </c>
      <c r="U1427" s="2">
        <v>1973.69</v>
      </c>
      <c r="V1427" s="2">
        <v>2798.09</v>
      </c>
      <c r="W1427" s="2">
        <v>1822</v>
      </c>
    </row>
    <row r="1428" spans="1:23" outlineLevel="2" x14ac:dyDescent="0.2">
      <c r="A1428" t="s">
        <v>402</v>
      </c>
      <c r="B1428" t="s">
        <v>39</v>
      </c>
      <c r="C1428" t="s">
        <v>40</v>
      </c>
      <c r="D1428" t="s">
        <v>77</v>
      </c>
      <c r="E1428" t="s">
        <v>78</v>
      </c>
      <c r="F1428" t="s">
        <v>5</v>
      </c>
      <c r="G1428" t="s">
        <v>6</v>
      </c>
      <c r="H1428" t="s">
        <v>7</v>
      </c>
      <c r="I1428" t="s">
        <v>8</v>
      </c>
      <c r="J1428" t="s">
        <v>403</v>
      </c>
      <c r="K1428" t="s">
        <v>435</v>
      </c>
      <c r="L1428" t="s">
        <v>442</v>
      </c>
      <c r="M1428" t="s">
        <v>12</v>
      </c>
      <c r="N1428" s="2">
        <v>0</v>
      </c>
      <c r="O1428" s="2">
        <v>516550.44</v>
      </c>
      <c r="P1428" s="2">
        <v>-164332.39000000001</v>
      </c>
      <c r="Q1428" s="2">
        <v>352218.05</v>
      </c>
      <c r="R1428" s="2">
        <v>82279.58</v>
      </c>
      <c r="S1428" s="2">
        <v>146589.17000000001</v>
      </c>
      <c r="T1428" s="2">
        <v>146489.17000000001</v>
      </c>
      <c r="U1428" s="2">
        <v>205628.88</v>
      </c>
      <c r="V1428" s="2">
        <v>205728.88</v>
      </c>
      <c r="W1428" s="2">
        <v>123349.3</v>
      </c>
    </row>
    <row r="1429" spans="1:23" outlineLevel="2" x14ac:dyDescent="0.2">
      <c r="A1429" t="s">
        <v>402</v>
      </c>
      <c r="B1429" t="s">
        <v>1</v>
      </c>
      <c r="C1429" t="s">
        <v>2</v>
      </c>
      <c r="D1429" t="s">
        <v>3</v>
      </c>
      <c r="E1429" t="s">
        <v>4</v>
      </c>
      <c r="F1429" t="s">
        <v>5</v>
      </c>
      <c r="G1429" t="s">
        <v>6</v>
      </c>
      <c r="H1429" t="s">
        <v>7</v>
      </c>
      <c r="I1429" t="s">
        <v>8</v>
      </c>
      <c r="J1429" t="s">
        <v>403</v>
      </c>
      <c r="K1429" t="s">
        <v>435</v>
      </c>
      <c r="L1429" t="s">
        <v>439</v>
      </c>
      <c r="M1429" t="s">
        <v>15</v>
      </c>
      <c r="N1429" s="2">
        <v>500</v>
      </c>
      <c r="O1429" s="2">
        <v>-320</v>
      </c>
      <c r="P1429" s="2">
        <v>-73.38</v>
      </c>
      <c r="Q1429" s="2">
        <v>106.62</v>
      </c>
      <c r="R1429" s="2">
        <v>0</v>
      </c>
      <c r="S1429" s="2">
        <v>106.62</v>
      </c>
      <c r="T1429" s="2">
        <v>106.61</v>
      </c>
      <c r="U1429" s="2">
        <v>0</v>
      </c>
      <c r="V1429" s="2">
        <v>0.01</v>
      </c>
      <c r="W1429" s="2">
        <v>0</v>
      </c>
    </row>
    <row r="1430" spans="1:23" outlineLevel="2" x14ac:dyDescent="0.2">
      <c r="A1430" t="s">
        <v>402</v>
      </c>
      <c r="B1430" t="s">
        <v>1</v>
      </c>
      <c r="C1430" t="s">
        <v>16</v>
      </c>
      <c r="D1430" t="s">
        <v>62</v>
      </c>
      <c r="E1430" t="s">
        <v>63</v>
      </c>
      <c r="F1430" t="s">
        <v>5</v>
      </c>
      <c r="G1430" t="s">
        <v>6</v>
      </c>
      <c r="H1430" t="s">
        <v>7</v>
      </c>
      <c r="I1430" t="s">
        <v>8</v>
      </c>
      <c r="J1430" t="s">
        <v>403</v>
      </c>
      <c r="K1430" t="s">
        <v>435</v>
      </c>
      <c r="L1430" t="s">
        <v>438</v>
      </c>
      <c r="M1430" t="s">
        <v>12</v>
      </c>
      <c r="N1430" s="2">
        <v>0</v>
      </c>
      <c r="O1430" s="2">
        <v>0</v>
      </c>
      <c r="P1430" s="2">
        <v>100</v>
      </c>
      <c r="Q1430" s="2">
        <v>100</v>
      </c>
      <c r="R1430" s="2">
        <v>0</v>
      </c>
      <c r="S1430" s="2">
        <v>0</v>
      </c>
      <c r="T1430" s="2">
        <v>0</v>
      </c>
      <c r="U1430" s="2">
        <v>100</v>
      </c>
      <c r="V1430" s="2">
        <v>100</v>
      </c>
      <c r="W1430" s="2">
        <v>100</v>
      </c>
    </row>
    <row r="1431" spans="1:23" outlineLevel="2" x14ac:dyDescent="0.2">
      <c r="A1431" t="s">
        <v>402</v>
      </c>
      <c r="B1431" t="s">
        <v>39</v>
      </c>
      <c r="C1431" t="s">
        <v>58</v>
      </c>
      <c r="D1431" t="s">
        <v>135</v>
      </c>
      <c r="E1431" t="s">
        <v>136</v>
      </c>
      <c r="F1431" t="s">
        <v>5</v>
      </c>
      <c r="G1431" t="s">
        <v>6</v>
      </c>
      <c r="H1431" t="s">
        <v>7</v>
      </c>
      <c r="I1431" t="s">
        <v>8</v>
      </c>
      <c r="J1431" t="s">
        <v>403</v>
      </c>
      <c r="K1431" t="s">
        <v>435</v>
      </c>
      <c r="L1431" t="s">
        <v>440</v>
      </c>
      <c r="M1431" t="s">
        <v>12</v>
      </c>
      <c r="N1431" s="2">
        <v>0</v>
      </c>
      <c r="O1431" s="2">
        <v>1260</v>
      </c>
      <c r="P1431" s="2">
        <v>0</v>
      </c>
      <c r="Q1431" s="2">
        <v>1260</v>
      </c>
      <c r="R1431" s="2">
        <v>168</v>
      </c>
      <c r="S1431" s="2">
        <v>1092</v>
      </c>
      <c r="T1431" s="2">
        <v>0</v>
      </c>
      <c r="U1431" s="2">
        <v>168</v>
      </c>
      <c r="V1431" s="2">
        <v>1260</v>
      </c>
      <c r="W1431" s="2">
        <v>0</v>
      </c>
    </row>
    <row r="1432" spans="1:23" outlineLevel="2" x14ac:dyDescent="0.2">
      <c r="A1432" t="s">
        <v>402</v>
      </c>
      <c r="B1432" t="s">
        <v>39</v>
      </c>
      <c r="C1432" t="s">
        <v>58</v>
      </c>
      <c r="D1432" t="s">
        <v>149</v>
      </c>
      <c r="E1432" t="s">
        <v>150</v>
      </c>
      <c r="F1432" t="s">
        <v>5</v>
      </c>
      <c r="G1432" t="s">
        <v>6</v>
      </c>
      <c r="H1432" t="s">
        <v>7</v>
      </c>
      <c r="I1432" t="s">
        <v>8</v>
      </c>
      <c r="J1432" t="s">
        <v>403</v>
      </c>
      <c r="K1432" t="s">
        <v>443</v>
      </c>
      <c r="L1432" t="s">
        <v>444</v>
      </c>
      <c r="M1432" t="s">
        <v>12</v>
      </c>
      <c r="N1432" s="2">
        <v>95000</v>
      </c>
      <c r="O1432" s="2">
        <v>-8500</v>
      </c>
      <c r="P1432" s="2">
        <v>-3363.37</v>
      </c>
      <c r="Q1432" s="2">
        <v>83136.63</v>
      </c>
      <c r="R1432" s="2">
        <v>0</v>
      </c>
      <c r="S1432" s="2">
        <v>83136.63</v>
      </c>
      <c r="T1432" s="2">
        <v>37878.639999999999</v>
      </c>
      <c r="U1432" s="2">
        <v>0</v>
      </c>
      <c r="V1432" s="2">
        <v>45257.99</v>
      </c>
      <c r="W1432" s="2">
        <v>0</v>
      </c>
    </row>
    <row r="1433" spans="1:23" outlineLevel="2" x14ac:dyDescent="0.2">
      <c r="A1433" t="s">
        <v>402</v>
      </c>
      <c r="B1433" t="s">
        <v>1</v>
      </c>
      <c r="C1433" t="s">
        <v>2</v>
      </c>
      <c r="D1433" t="s">
        <v>410</v>
      </c>
      <c r="E1433" t="s">
        <v>411</v>
      </c>
      <c r="F1433" t="s">
        <v>5</v>
      </c>
      <c r="G1433" t="s">
        <v>6</v>
      </c>
      <c r="H1433" t="s">
        <v>7</v>
      </c>
      <c r="I1433" t="s">
        <v>8</v>
      </c>
      <c r="J1433" t="s">
        <v>403</v>
      </c>
      <c r="K1433" t="s">
        <v>443</v>
      </c>
      <c r="L1433" t="s">
        <v>445</v>
      </c>
      <c r="M1433" t="s">
        <v>12</v>
      </c>
      <c r="N1433" s="2">
        <v>0</v>
      </c>
      <c r="O1433" s="2">
        <v>0</v>
      </c>
      <c r="P1433" s="2">
        <v>11253.15</v>
      </c>
      <c r="Q1433" s="2">
        <v>11253.15</v>
      </c>
      <c r="R1433" s="2">
        <v>0</v>
      </c>
      <c r="S1433" s="2">
        <v>0</v>
      </c>
      <c r="T1433" s="2">
        <v>0</v>
      </c>
      <c r="U1433" s="2">
        <v>11253.15</v>
      </c>
      <c r="V1433" s="2">
        <v>11253.15</v>
      </c>
      <c r="W1433" s="2">
        <v>11253.15</v>
      </c>
    </row>
    <row r="1434" spans="1:23" outlineLevel="2" x14ac:dyDescent="0.2">
      <c r="A1434" t="s">
        <v>402</v>
      </c>
      <c r="B1434" t="s">
        <v>1</v>
      </c>
      <c r="C1434" t="s">
        <v>2</v>
      </c>
      <c r="D1434" t="s">
        <v>3</v>
      </c>
      <c r="E1434" t="s">
        <v>4</v>
      </c>
      <c r="F1434" t="s">
        <v>5</v>
      </c>
      <c r="G1434" t="s">
        <v>6</v>
      </c>
      <c r="H1434" t="s">
        <v>7</v>
      </c>
      <c r="I1434" t="s">
        <v>8</v>
      </c>
      <c r="J1434" t="s">
        <v>403</v>
      </c>
      <c r="K1434" t="s">
        <v>443</v>
      </c>
      <c r="L1434" t="s">
        <v>445</v>
      </c>
      <c r="M1434" t="s">
        <v>12</v>
      </c>
      <c r="N1434" s="2">
        <v>0</v>
      </c>
      <c r="O1434" s="2">
        <v>0</v>
      </c>
      <c r="P1434" s="2">
        <v>504.43</v>
      </c>
      <c r="Q1434" s="2">
        <v>504.43</v>
      </c>
      <c r="R1434" s="2">
        <v>0</v>
      </c>
      <c r="S1434" s="2">
        <v>21.25</v>
      </c>
      <c r="T1434" s="2">
        <v>0</v>
      </c>
      <c r="U1434" s="2">
        <v>483.18</v>
      </c>
      <c r="V1434" s="2">
        <v>504.43</v>
      </c>
      <c r="W1434" s="2">
        <v>483.18</v>
      </c>
    </row>
    <row r="1435" spans="1:23" outlineLevel="2" x14ac:dyDescent="0.2">
      <c r="A1435" t="s">
        <v>402</v>
      </c>
      <c r="B1435" t="s">
        <v>39</v>
      </c>
      <c r="C1435" t="s">
        <v>58</v>
      </c>
      <c r="D1435" t="s">
        <v>59</v>
      </c>
      <c r="E1435" t="s">
        <v>60</v>
      </c>
      <c r="F1435" t="s">
        <v>5</v>
      </c>
      <c r="G1435" t="s">
        <v>6</v>
      </c>
      <c r="H1435" t="s">
        <v>7</v>
      </c>
      <c r="I1435" t="s">
        <v>8</v>
      </c>
      <c r="J1435" t="s">
        <v>403</v>
      </c>
      <c r="K1435" t="s">
        <v>443</v>
      </c>
      <c r="L1435" t="s">
        <v>444</v>
      </c>
      <c r="M1435" t="s">
        <v>12</v>
      </c>
      <c r="N1435" s="2">
        <v>39000</v>
      </c>
      <c r="O1435" s="2">
        <v>-8257.2000000000007</v>
      </c>
      <c r="P1435" s="2">
        <v>-10000</v>
      </c>
      <c r="Q1435" s="2">
        <v>20742.8</v>
      </c>
      <c r="R1435" s="2">
        <v>0</v>
      </c>
      <c r="S1435" s="2">
        <v>18990</v>
      </c>
      <c r="T1435" s="2">
        <v>4897.82</v>
      </c>
      <c r="U1435" s="2">
        <v>1752.8</v>
      </c>
      <c r="V1435" s="2">
        <v>15844.98</v>
      </c>
      <c r="W1435" s="2">
        <v>1752.8</v>
      </c>
    </row>
    <row r="1436" spans="1:23" outlineLevel="2" x14ac:dyDescent="0.2">
      <c r="A1436" t="s">
        <v>402</v>
      </c>
      <c r="B1436" t="s">
        <v>39</v>
      </c>
      <c r="C1436" t="s">
        <v>58</v>
      </c>
      <c r="D1436" t="s">
        <v>129</v>
      </c>
      <c r="E1436" t="s">
        <v>130</v>
      </c>
      <c r="F1436" t="s">
        <v>5</v>
      </c>
      <c r="G1436" t="s">
        <v>6</v>
      </c>
      <c r="H1436" t="s">
        <v>7</v>
      </c>
      <c r="I1436" t="s">
        <v>8</v>
      </c>
      <c r="J1436" t="s">
        <v>403</v>
      </c>
      <c r="K1436" t="s">
        <v>443</v>
      </c>
      <c r="L1436" t="s">
        <v>444</v>
      </c>
      <c r="M1436" t="s">
        <v>12</v>
      </c>
      <c r="N1436" s="2">
        <v>24200</v>
      </c>
      <c r="O1436" s="2">
        <v>-15128.75</v>
      </c>
      <c r="P1436" s="2">
        <v>0</v>
      </c>
      <c r="Q1436" s="2">
        <v>9071.25</v>
      </c>
      <c r="R1436" s="2">
        <v>0</v>
      </c>
      <c r="S1436" s="2">
        <v>9071.25</v>
      </c>
      <c r="T1436" s="2">
        <v>6879.58</v>
      </c>
      <c r="U1436" s="2">
        <v>0</v>
      </c>
      <c r="V1436" s="2">
        <v>2191.67</v>
      </c>
      <c r="W1436" s="2">
        <v>0</v>
      </c>
    </row>
    <row r="1437" spans="1:23" outlineLevel="2" x14ac:dyDescent="0.2">
      <c r="A1437" t="s">
        <v>402</v>
      </c>
      <c r="B1437" t="s">
        <v>39</v>
      </c>
      <c r="C1437" t="s">
        <v>58</v>
      </c>
      <c r="D1437" t="s">
        <v>137</v>
      </c>
      <c r="E1437" t="s">
        <v>138</v>
      </c>
      <c r="F1437" t="s">
        <v>5</v>
      </c>
      <c r="G1437" t="s">
        <v>6</v>
      </c>
      <c r="H1437" t="s">
        <v>7</v>
      </c>
      <c r="I1437" t="s">
        <v>8</v>
      </c>
      <c r="J1437" t="s">
        <v>403</v>
      </c>
      <c r="K1437" t="s">
        <v>443</v>
      </c>
      <c r="L1437" t="s">
        <v>444</v>
      </c>
      <c r="M1437" t="s">
        <v>12</v>
      </c>
      <c r="N1437" s="2">
        <v>60000</v>
      </c>
      <c r="O1437" s="2">
        <v>-23000</v>
      </c>
      <c r="P1437" s="2">
        <v>0</v>
      </c>
      <c r="Q1437" s="2">
        <v>37000</v>
      </c>
      <c r="R1437" s="2">
        <v>0</v>
      </c>
      <c r="S1437" s="2">
        <v>37000</v>
      </c>
      <c r="T1437" s="2">
        <v>7099.68</v>
      </c>
      <c r="U1437" s="2">
        <v>0</v>
      </c>
      <c r="V1437" s="2">
        <v>29900.32</v>
      </c>
      <c r="W1437" s="2">
        <v>0</v>
      </c>
    </row>
    <row r="1438" spans="1:23" outlineLevel="2" x14ac:dyDescent="0.2">
      <c r="A1438" t="s">
        <v>402</v>
      </c>
      <c r="B1438" t="s">
        <v>1</v>
      </c>
      <c r="C1438" t="s">
        <v>2</v>
      </c>
      <c r="D1438" t="s">
        <v>3</v>
      </c>
      <c r="E1438" t="s">
        <v>4</v>
      </c>
      <c r="F1438" t="s">
        <v>5</v>
      </c>
      <c r="G1438" t="s">
        <v>6</v>
      </c>
      <c r="H1438" t="s">
        <v>7</v>
      </c>
      <c r="I1438" t="s">
        <v>8</v>
      </c>
      <c r="J1438" t="s">
        <v>403</v>
      </c>
      <c r="K1438" t="s">
        <v>443</v>
      </c>
      <c r="L1438" t="s">
        <v>445</v>
      </c>
      <c r="M1438" t="s">
        <v>15</v>
      </c>
      <c r="N1438" s="2">
        <v>81500</v>
      </c>
      <c r="O1438" s="2">
        <v>-2950.45</v>
      </c>
      <c r="P1438" s="2">
        <v>-504.43</v>
      </c>
      <c r="Q1438" s="2">
        <v>78045.119999999995</v>
      </c>
      <c r="R1438" s="2">
        <v>2250</v>
      </c>
      <c r="S1438" s="2">
        <v>75795.12</v>
      </c>
      <c r="T1438" s="2">
        <v>46113.51</v>
      </c>
      <c r="U1438" s="2">
        <v>2250</v>
      </c>
      <c r="V1438" s="2">
        <v>31931.61</v>
      </c>
      <c r="W1438" s="2">
        <v>0</v>
      </c>
    </row>
    <row r="1439" spans="1:23" outlineLevel="2" x14ac:dyDescent="0.2">
      <c r="A1439" t="s">
        <v>402</v>
      </c>
      <c r="B1439" t="s">
        <v>1</v>
      </c>
      <c r="C1439" t="s">
        <v>91</v>
      </c>
      <c r="D1439" t="s">
        <v>92</v>
      </c>
      <c r="E1439" t="s">
        <v>93</v>
      </c>
      <c r="F1439" t="s">
        <v>5</v>
      </c>
      <c r="G1439" t="s">
        <v>6</v>
      </c>
      <c r="H1439" t="s">
        <v>7</v>
      </c>
      <c r="I1439" t="s">
        <v>8</v>
      </c>
      <c r="J1439" t="s">
        <v>403</v>
      </c>
      <c r="K1439" t="s">
        <v>443</v>
      </c>
      <c r="L1439" t="s">
        <v>446</v>
      </c>
      <c r="M1439" t="s">
        <v>15</v>
      </c>
      <c r="N1439" s="2">
        <v>59900</v>
      </c>
      <c r="O1439" s="2">
        <v>-11747.09</v>
      </c>
      <c r="P1439" s="2">
        <v>0</v>
      </c>
      <c r="Q1439" s="2">
        <v>48152.91</v>
      </c>
      <c r="R1439" s="2">
        <v>0</v>
      </c>
      <c r="S1439" s="2">
        <v>48152.91</v>
      </c>
      <c r="T1439" s="2">
        <v>34588.71</v>
      </c>
      <c r="U1439" s="2">
        <v>0</v>
      </c>
      <c r="V1439" s="2">
        <v>13564.2</v>
      </c>
      <c r="W1439" s="2">
        <v>0</v>
      </c>
    </row>
    <row r="1440" spans="1:23" outlineLevel="2" x14ac:dyDescent="0.2">
      <c r="A1440" t="s">
        <v>402</v>
      </c>
      <c r="B1440" t="s">
        <v>1</v>
      </c>
      <c r="C1440" t="s">
        <v>2</v>
      </c>
      <c r="D1440" t="s">
        <v>410</v>
      </c>
      <c r="E1440" t="s">
        <v>411</v>
      </c>
      <c r="F1440" t="s">
        <v>5</v>
      </c>
      <c r="G1440" t="s">
        <v>6</v>
      </c>
      <c r="H1440" t="s">
        <v>7</v>
      </c>
      <c r="I1440" t="s">
        <v>8</v>
      </c>
      <c r="J1440" t="s">
        <v>403</v>
      </c>
      <c r="K1440" t="s">
        <v>443</v>
      </c>
      <c r="L1440" t="s">
        <v>445</v>
      </c>
      <c r="M1440" t="s">
        <v>15</v>
      </c>
      <c r="N1440" s="2">
        <v>400000</v>
      </c>
      <c r="O1440" s="2">
        <v>0</v>
      </c>
      <c r="P1440" s="2">
        <v>-156457.65</v>
      </c>
      <c r="Q1440" s="2">
        <v>243542.35</v>
      </c>
      <c r="R1440" s="2">
        <v>4030</v>
      </c>
      <c r="S1440" s="2">
        <v>239512.35</v>
      </c>
      <c r="T1440" s="2">
        <v>126517.84</v>
      </c>
      <c r="U1440" s="2">
        <v>4030</v>
      </c>
      <c r="V1440" s="2">
        <v>117024.51</v>
      </c>
      <c r="W1440" s="2">
        <v>0</v>
      </c>
    </row>
    <row r="1441" spans="1:23" outlineLevel="2" x14ac:dyDescent="0.2">
      <c r="A1441" t="s">
        <v>402</v>
      </c>
      <c r="B1441" t="s">
        <v>31</v>
      </c>
      <c r="C1441" t="s">
        <v>32</v>
      </c>
      <c r="D1441" t="s">
        <v>75</v>
      </c>
      <c r="E1441" t="s">
        <v>76</v>
      </c>
      <c r="F1441" t="s">
        <v>5</v>
      </c>
      <c r="G1441" t="s">
        <v>6</v>
      </c>
      <c r="H1441" t="s">
        <v>7</v>
      </c>
      <c r="I1441" t="s">
        <v>8</v>
      </c>
      <c r="J1441" t="s">
        <v>403</v>
      </c>
      <c r="K1441" t="s">
        <v>443</v>
      </c>
      <c r="L1441" t="s">
        <v>447</v>
      </c>
      <c r="M1441" t="s">
        <v>12</v>
      </c>
      <c r="N1441" s="2">
        <v>30000</v>
      </c>
      <c r="O1441" s="2">
        <v>0</v>
      </c>
      <c r="P1441" s="2">
        <v>-727.68</v>
      </c>
      <c r="Q1441" s="2">
        <v>29272.32</v>
      </c>
      <c r="R1441" s="2">
        <v>0</v>
      </c>
      <c r="S1441" s="2">
        <v>20648.72</v>
      </c>
      <c r="T1441" s="2">
        <v>17316.060000000001</v>
      </c>
      <c r="U1441" s="2">
        <v>8623.6</v>
      </c>
      <c r="V1441" s="2">
        <v>11956.26</v>
      </c>
      <c r="W1441" s="2">
        <v>8623.6</v>
      </c>
    </row>
    <row r="1442" spans="1:23" outlineLevel="2" x14ac:dyDescent="0.2">
      <c r="A1442" t="s">
        <v>402</v>
      </c>
      <c r="B1442" t="s">
        <v>39</v>
      </c>
      <c r="C1442" t="s">
        <v>58</v>
      </c>
      <c r="D1442" t="s">
        <v>147</v>
      </c>
      <c r="E1442" t="s">
        <v>148</v>
      </c>
      <c r="F1442" t="s">
        <v>5</v>
      </c>
      <c r="G1442" t="s">
        <v>6</v>
      </c>
      <c r="H1442" t="s">
        <v>7</v>
      </c>
      <c r="I1442" t="s">
        <v>8</v>
      </c>
      <c r="J1442" t="s">
        <v>403</v>
      </c>
      <c r="K1442" t="s">
        <v>443</v>
      </c>
      <c r="L1442" t="s">
        <v>444</v>
      </c>
      <c r="M1442" t="s">
        <v>12</v>
      </c>
      <c r="N1442" s="2">
        <v>33000</v>
      </c>
      <c r="O1442" s="2">
        <v>0</v>
      </c>
      <c r="P1442" s="2">
        <v>0</v>
      </c>
      <c r="Q1442" s="2">
        <v>33000</v>
      </c>
      <c r="R1442" s="2">
        <v>404.62</v>
      </c>
      <c r="S1442" s="2">
        <v>28490</v>
      </c>
      <c r="T1442" s="2">
        <v>5753.85</v>
      </c>
      <c r="U1442" s="2">
        <v>4510</v>
      </c>
      <c r="V1442" s="2">
        <v>27246.15</v>
      </c>
      <c r="W1442" s="2">
        <v>4105.38</v>
      </c>
    </row>
    <row r="1443" spans="1:23" outlineLevel="2" x14ac:dyDescent="0.2">
      <c r="A1443" t="s">
        <v>402</v>
      </c>
      <c r="B1443" t="s">
        <v>31</v>
      </c>
      <c r="C1443" t="s">
        <v>32</v>
      </c>
      <c r="D1443" t="s">
        <v>33</v>
      </c>
      <c r="E1443" t="s">
        <v>34</v>
      </c>
      <c r="F1443" t="s">
        <v>5</v>
      </c>
      <c r="G1443" t="s">
        <v>6</v>
      </c>
      <c r="H1443" t="s">
        <v>7</v>
      </c>
      <c r="I1443" t="s">
        <v>8</v>
      </c>
      <c r="J1443" t="s">
        <v>403</v>
      </c>
      <c r="K1443" t="s">
        <v>443</v>
      </c>
      <c r="L1443" t="s">
        <v>447</v>
      </c>
      <c r="M1443" t="s">
        <v>12</v>
      </c>
      <c r="N1443" s="2">
        <v>70000</v>
      </c>
      <c r="O1443" s="2">
        <v>-40980</v>
      </c>
      <c r="P1443" s="2">
        <v>0</v>
      </c>
      <c r="Q1443" s="2">
        <v>29020</v>
      </c>
      <c r="R1443" s="2">
        <v>0</v>
      </c>
      <c r="S1443" s="2">
        <v>11220</v>
      </c>
      <c r="T1443" s="2">
        <v>10336.81</v>
      </c>
      <c r="U1443" s="2">
        <v>17800</v>
      </c>
      <c r="V1443" s="2">
        <v>18683.189999999999</v>
      </c>
      <c r="W1443" s="2">
        <v>17800</v>
      </c>
    </row>
    <row r="1444" spans="1:23" outlineLevel="2" x14ac:dyDescent="0.2">
      <c r="A1444" t="s">
        <v>402</v>
      </c>
      <c r="B1444" t="s">
        <v>39</v>
      </c>
      <c r="C1444" t="s">
        <v>58</v>
      </c>
      <c r="D1444" t="s">
        <v>135</v>
      </c>
      <c r="E1444" t="s">
        <v>136</v>
      </c>
      <c r="F1444" t="s">
        <v>5</v>
      </c>
      <c r="G1444" t="s">
        <v>6</v>
      </c>
      <c r="H1444" t="s">
        <v>7</v>
      </c>
      <c r="I1444" t="s">
        <v>8</v>
      </c>
      <c r="J1444" t="s">
        <v>403</v>
      </c>
      <c r="K1444" t="s">
        <v>443</v>
      </c>
      <c r="L1444" t="s">
        <v>444</v>
      </c>
      <c r="M1444" t="s">
        <v>12</v>
      </c>
      <c r="N1444" s="2">
        <v>65000</v>
      </c>
      <c r="O1444" s="2">
        <v>-15504</v>
      </c>
      <c r="P1444" s="2">
        <v>-22943.47</v>
      </c>
      <c r="Q1444" s="2">
        <v>26552.53</v>
      </c>
      <c r="R1444" s="2">
        <v>0</v>
      </c>
      <c r="S1444" s="2">
        <v>26552.53</v>
      </c>
      <c r="T1444" s="2">
        <v>18209.43</v>
      </c>
      <c r="U1444" s="2">
        <v>0</v>
      </c>
      <c r="V1444" s="2">
        <v>8343.1</v>
      </c>
      <c r="W1444" s="2">
        <v>0</v>
      </c>
    </row>
    <row r="1445" spans="1:23" outlineLevel="2" x14ac:dyDescent="0.2">
      <c r="A1445" t="s">
        <v>402</v>
      </c>
      <c r="B1445" t="s">
        <v>39</v>
      </c>
      <c r="C1445" t="s">
        <v>58</v>
      </c>
      <c r="D1445" t="s">
        <v>145</v>
      </c>
      <c r="E1445" t="s">
        <v>146</v>
      </c>
      <c r="F1445" t="s">
        <v>5</v>
      </c>
      <c r="G1445" t="s">
        <v>6</v>
      </c>
      <c r="H1445" t="s">
        <v>7</v>
      </c>
      <c r="I1445" t="s">
        <v>8</v>
      </c>
      <c r="J1445" t="s">
        <v>403</v>
      </c>
      <c r="K1445" t="s">
        <v>443</v>
      </c>
      <c r="L1445" t="s">
        <v>444</v>
      </c>
      <c r="M1445" t="s">
        <v>12</v>
      </c>
      <c r="N1445" s="2">
        <v>53170</v>
      </c>
      <c r="O1445" s="2">
        <v>-11312.08</v>
      </c>
      <c r="P1445" s="2">
        <v>0</v>
      </c>
      <c r="Q1445" s="2">
        <v>41857.919999999998</v>
      </c>
      <c r="R1445" s="2">
        <v>0</v>
      </c>
      <c r="S1445" s="2">
        <v>21583.94</v>
      </c>
      <c r="T1445" s="2">
        <v>13375.38</v>
      </c>
      <c r="U1445" s="2">
        <v>20273.98</v>
      </c>
      <c r="V1445" s="2">
        <v>28482.54</v>
      </c>
      <c r="W1445" s="2">
        <v>20273.98</v>
      </c>
    </row>
    <row r="1446" spans="1:23" outlineLevel="2" x14ac:dyDescent="0.2">
      <c r="A1446" t="s">
        <v>402</v>
      </c>
      <c r="B1446" t="s">
        <v>39</v>
      </c>
      <c r="C1446" t="s">
        <v>58</v>
      </c>
      <c r="D1446" t="s">
        <v>143</v>
      </c>
      <c r="E1446" t="s">
        <v>144</v>
      </c>
      <c r="F1446" t="s">
        <v>5</v>
      </c>
      <c r="G1446" t="s">
        <v>6</v>
      </c>
      <c r="H1446" t="s">
        <v>7</v>
      </c>
      <c r="I1446" t="s">
        <v>8</v>
      </c>
      <c r="J1446" t="s">
        <v>403</v>
      </c>
      <c r="K1446" t="s">
        <v>443</v>
      </c>
      <c r="L1446" t="s">
        <v>444</v>
      </c>
      <c r="M1446" t="s">
        <v>12</v>
      </c>
      <c r="N1446" s="2">
        <v>31800</v>
      </c>
      <c r="O1446" s="2">
        <v>-4300</v>
      </c>
      <c r="P1446" s="2">
        <v>0</v>
      </c>
      <c r="Q1446" s="2">
        <v>27500</v>
      </c>
      <c r="R1446" s="2">
        <v>0</v>
      </c>
      <c r="S1446" s="2">
        <v>27500</v>
      </c>
      <c r="T1446" s="2">
        <v>20000</v>
      </c>
      <c r="U1446" s="2">
        <v>0</v>
      </c>
      <c r="V1446" s="2">
        <v>7500</v>
      </c>
      <c r="W1446" s="2">
        <v>0</v>
      </c>
    </row>
    <row r="1447" spans="1:23" outlineLevel="2" x14ac:dyDescent="0.2">
      <c r="A1447" t="s">
        <v>402</v>
      </c>
      <c r="B1447" t="s">
        <v>1</v>
      </c>
      <c r="C1447" t="s">
        <v>91</v>
      </c>
      <c r="D1447" t="s">
        <v>92</v>
      </c>
      <c r="E1447" t="s">
        <v>93</v>
      </c>
      <c r="F1447" t="s">
        <v>5</v>
      </c>
      <c r="G1447" t="s">
        <v>6</v>
      </c>
      <c r="H1447" t="s">
        <v>7</v>
      </c>
      <c r="I1447" t="s">
        <v>8</v>
      </c>
      <c r="J1447" t="s">
        <v>403</v>
      </c>
      <c r="K1447" t="s">
        <v>448</v>
      </c>
      <c r="L1447" t="s">
        <v>449</v>
      </c>
      <c r="M1447" t="s">
        <v>15</v>
      </c>
      <c r="N1447" s="2">
        <v>4370</v>
      </c>
      <c r="O1447" s="2">
        <v>3568</v>
      </c>
      <c r="P1447" s="2">
        <v>0</v>
      </c>
      <c r="Q1447" s="2">
        <v>7938</v>
      </c>
      <c r="R1447" s="2">
        <v>0</v>
      </c>
      <c r="S1447" s="2">
        <v>7938</v>
      </c>
      <c r="T1447" s="2">
        <v>4670.3999999999996</v>
      </c>
      <c r="U1447" s="2">
        <v>0</v>
      </c>
      <c r="V1447" s="2">
        <v>3267.6</v>
      </c>
      <c r="W1447" s="2">
        <v>0</v>
      </c>
    </row>
    <row r="1448" spans="1:23" outlineLevel="2" x14ac:dyDescent="0.2">
      <c r="A1448" t="s">
        <v>402</v>
      </c>
      <c r="B1448" t="s">
        <v>39</v>
      </c>
      <c r="C1448" t="s">
        <v>70</v>
      </c>
      <c r="D1448" t="s">
        <v>89</v>
      </c>
      <c r="E1448" t="s">
        <v>90</v>
      </c>
      <c r="F1448" t="s">
        <v>5</v>
      </c>
      <c r="G1448" t="s">
        <v>6</v>
      </c>
      <c r="H1448" t="s">
        <v>7</v>
      </c>
      <c r="I1448" t="s">
        <v>8</v>
      </c>
      <c r="J1448" t="s">
        <v>403</v>
      </c>
      <c r="K1448" t="s">
        <v>448</v>
      </c>
      <c r="L1448" t="s">
        <v>450</v>
      </c>
      <c r="M1448" t="s">
        <v>12</v>
      </c>
      <c r="N1448" s="2">
        <v>500</v>
      </c>
      <c r="O1448" s="2">
        <v>678</v>
      </c>
      <c r="P1448" s="2">
        <v>0</v>
      </c>
      <c r="Q1448" s="2">
        <v>1178</v>
      </c>
      <c r="R1448" s="2">
        <v>0</v>
      </c>
      <c r="S1448" s="2">
        <v>111.38</v>
      </c>
      <c r="T1448" s="2">
        <v>111.38</v>
      </c>
      <c r="U1448" s="2">
        <v>1066.6199999999999</v>
      </c>
      <c r="V1448" s="2">
        <v>1066.6199999999999</v>
      </c>
      <c r="W1448" s="2">
        <v>1066.6199999999999</v>
      </c>
    </row>
    <row r="1449" spans="1:23" outlineLevel="2" x14ac:dyDescent="0.2">
      <c r="A1449" t="s">
        <v>402</v>
      </c>
      <c r="B1449" t="s">
        <v>1</v>
      </c>
      <c r="C1449" t="s">
        <v>2</v>
      </c>
      <c r="D1449" t="s">
        <v>410</v>
      </c>
      <c r="E1449" t="s">
        <v>411</v>
      </c>
      <c r="F1449" t="s">
        <v>5</v>
      </c>
      <c r="G1449" t="s">
        <v>6</v>
      </c>
      <c r="H1449" t="s">
        <v>7</v>
      </c>
      <c r="I1449" t="s">
        <v>8</v>
      </c>
      <c r="J1449" t="s">
        <v>403</v>
      </c>
      <c r="K1449" t="s">
        <v>448</v>
      </c>
      <c r="L1449" t="s">
        <v>451</v>
      </c>
      <c r="M1449" t="s">
        <v>15</v>
      </c>
      <c r="N1449" s="2">
        <v>1000</v>
      </c>
      <c r="O1449" s="2">
        <v>0</v>
      </c>
      <c r="P1449" s="2">
        <v>0</v>
      </c>
      <c r="Q1449" s="2">
        <v>1000</v>
      </c>
      <c r="R1449" s="2">
        <v>0</v>
      </c>
      <c r="S1449" s="2">
        <v>1000</v>
      </c>
      <c r="T1449" s="2">
        <v>0</v>
      </c>
      <c r="U1449" s="2">
        <v>0</v>
      </c>
      <c r="V1449" s="2">
        <v>1000</v>
      </c>
      <c r="W1449" s="2">
        <v>0</v>
      </c>
    </row>
    <row r="1450" spans="1:23" outlineLevel="2" x14ac:dyDescent="0.2">
      <c r="A1450" t="s">
        <v>402</v>
      </c>
      <c r="B1450" t="s">
        <v>31</v>
      </c>
      <c r="C1450" t="s">
        <v>79</v>
      </c>
      <c r="D1450" t="s">
        <v>133</v>
      </c>
      <c r="E1450" t="s">
        <v>134</v>
      </c>
      <c r="F1450" t="s">
        <v>5</v>
      </c>
      <c r="G1450" t="s">
        <v>6</v>
      </c>
      <c r="H1450" t="s">
        <v>7</v>
      </c>
      <c r="I1450" t="s">
        <v>8</v>
      </c>
      <c r="J1450" t="s">
        <v>403</v>
      </c>
      <c r="K1450" t="s">
        <v>448</v>
      </c>
      <c r="L1450" t="s">
        <v>452</v>
      </c>
      <c r="M1450" t="s">
        <v>12</v>
      </c>
      <c r="N1450" s="2">
        <v>180</v>
      </c>
      <c r="O1450" s="2">
        <v>0</v>
      </c>
      <c r="P1450" s="2">
        <v>-120</v>
      </c>
      <c r="Q1450" s="2">
        <v>60</v>
      </c>
      <c r="R1450" s="2">
        <v>0</v>
      </c>
      <c r="S1450" s="2">
        <v>60</v>
      </c>
      <c r="T1450" s="2">
        <v>60</v>
      </c>
      <c r="U1450" s="2">
        <v>0</v>
      </c>
      <c r="V1450" s="2">
        <v>0</v>
      </c>
      <c r="W1450" s="2">
        <v>0</v>
      </c>
    </row>
    <row r="1451" spans="1:23" outlineLevel="2" x14ac:dyDescent="0.2">
      <c r="A1451" t="s">
        <v>402</v>
      </c>
      <c r="B1451" t="s">
        <v>31</v>
      </c>
      <c r="C1451" t="s">
        <v>79</v>
      </c>
      <c r="D1451" t="s">
        <v>111</v>
      </c>
      <c r="E1451" t="s">
        <v>112</v>
      </c>
      <c r="F1451" t="s">
        <v>5</v>
      </c>
      <c r="G1451" t="s">
        <v>6</v>
      </c>
      <c r="H1451" t="s">
        <v>7</v>
      </c>
      <c r="I1451" t="s">
        <v>8</v>
      </c>
      <c r="J1451" t="s">
        <v>403</v>
      </c>
      <c r="K1451" t="s">
        <v>453</v>
      </c>
      <c r="L1451" t="s">
        <v>454</v>
      </c>
      <c r="M1451" t="s">
        <v>12</v>
      </c>
      <c r="N1451" s="2">
        <v>1120</v>
      </c>
      <c r="O1451" s="2">
        <v>0</v>
      </c>
      <c r="P1451" s="2">
        <v>0</v>
      </c>
      <c r="Q1451" s="2">
        <v>1120</v>
      </c>
      <c r="R1451" s="2">
        <v>0</v>
      </c>
      <c r="S1451" s="2">
        <v>492.8</v>
      </c>
      <c r="T1451" s="2">
        <v>0</v>
      </c>
      <c r="U1451" s="2">
        <v>627.20000000000005</v>
      </c>
      <c r="V1451" s="2">
        <v>1120</v>
      </c>
      <c r="W1451" s="2">
        <v>627.20000000000005</v>
      </c>
    </row>
    <row r="1452" spans="1:23" outlineLevel="2" x14ac:dyDescent="0.2">
      <c r="A1452" t="s">
        <v>402</v>
      </c>
      <c r="B1452" t="s">
        <v>39</v>
      </c>
      <c r="C1452" t="s">
        <v>58</v>
      </c>
      <c r="D1452" t="s">
        <v>135</v>
      </c>
      <c r="E1452" t="s">
        <v>136</v>
      </c>
      <c r="F1452" t="s">
        <v>5</v>
      </c>
      <c r="G1452" t="s">
        <v>6</v>
      </c>
      <c r="H1452" t="s">
        <v>7</v>
      </c>
      <c r="I1452" t="s">
        <v>8</v>
      </c>
      <c r="J1452" t="s">
        <v>403</v>
      </c>
      <c r="K1452" t="s">
        <v>453</v>
      </c>
      <c r="L1452" t="s">
        <v>455</v>
      </c>
      <c r="M1452" t="s">
        <v>12</v>
      </c>
      <c r="N1452" s="2">
        <v>0</v>
      </c>
      <c r="O1452" s="2">
        <v>1344</v>
      </c>
      <c r="P1452" s="2">
        <v>0</v>
      </c>
      <c r="Q1452" s="2">
        <v>1344</v>
      </c>
      <c r="R1452" s="2">
        <v>168</v>
      </c>
      <c r="S1452" s="2">
        <v>1052.8</v>
      </c>
      <c r="T1452" s="2">
        <v>0</v>
      </c>
      <c r="U1452" s="2">
        <v>291.2</v>
      </c>
      <c r="V1452" s="2">
        <v>1344</v>
      </c>
      <c r="W1452" s="2">
        <v>123.2</v>
      </c>
    </row>
    <row r="1453" spans="1:23" outlineLevel="2" x14ac:dyDescent="0.2">
      <c r="A1453" t="s">
        <v>402</v>
      </c>
      <c r="B1453" t="s">
        <v>1</v>
      </c>
      <c r="C1453" t="s">
        <v>2</v>
      </c>
      <c r="D1453" t="s">
        <v>410</v>
      </c>
      <c r="E1453" t="s">
        <v>411</v>
      </c>
      <c r="F1453" t="s">
        <v>5</v>
      </c>
      <c r="G1453" t="s">
        <v>6</v>
      </c>
      <c r="H1453" t="s">
        <v>7</v>
      </c>
      <c r="I1453" t="s">
        <v>8</v>
      </c>
      <c r="J1453" t="s">
        <v>403</v>
      </c>
      <c r="K1453" t="s">
        <v>453</v>
      </c>
      <c r="L1453" t="s">
        <v>456</v>
      </c>
      <c r="M1453" t="s">
        <v>15</v>
      </c>
      <c r="N1453" s="2">
        <v>8000</v>
      </c>
      <c r="O1453" s="2">
        <v>0</v>
      </c>
      <c r="P1453" s="2">
        <v>0</v>
      </c>
      <c r="Q1453" s="2">
        <v>8000</v>
      </c>
      <c r="R1453" s="2">
        <v>2510.48</v>
      </c>
      <c r="S1453" s="2">
        <v>5489.52</v>
      </c>
      <c r="T1453" s="2">
        <v>4489.5200000000004</v>
      </c>
      <c r="U1453" s="2">
        <v>2510.48</v>
      </c>
      <c r="V1453" s="2">
        <v>3510.48</v>
      </c>
      <c r="W1453" s="2">
        <v>0</v>
      </c>
    </row>
    <row r="1454" spans="1:23" outlineLevel="2" x14ac:dyDescent="0.2">
      <c r="A1454" t="s">
        <v>402</v>
      </c>
      <c r="B1454" t="s">
        <v>1</v>
      </c>
      <c r="C1454" t="s">
        <v>2</v>
      </c>
      <c r="D1454" t="s">
        <v>3</v>
      </c>
      <c r="E1454" t="s">
        <v>4</v>
      </c>
      <c r="F1454" t="s">
        <v>5</v>
      </c>
      <c r="G1454" t="s">
        <v>6</v>
      </c>
      <c r="H1454" t="s">
        <v>7</v>
      </c>
      <c r="I1454" t="s">
        <v>8</v>
      </c>
      <c r="J1454" t="s">
        <v>403</v>
      </c>
      <c r="K1454" t="s">
        <v>453</v>
      </c>
      <c r="L1454" t="s">
        <v>456</v>
      </c>
      <c r="M1454" t="s">
        <v>12</v>
      </c>
      <c r="N1454" s="2">
        <v>0</v>
      </c>
      <c r="O1454" s="2">
        <v>0</v>
      </c>
      <c r="P1454" s="2">
        <v>600</v>
      </c>
      <c r="Q1454" s="2">
        <v>600</v>
      </c>
      <c r="R1454" s="2">
        <v>0</v>
      </c>
      <c r="S1454" s="2">
        <v>0</v>
      </c>
      <c r="T1454" s="2">
        <v>0</v>
      </c>
      <c r="U1454" s="2">
        <v>600</v>
      </c>
      <c r="V1454" s="2">
        <v>600</v>
      </c>
      <c r="W1454" s="2">
        <v>600</v>
      </c>
    </row>
    <row r="1455" spans="1:23" outlineLevel="2" x14ac:dyDescent="0.2">
      <c r="A1455" t="s">
        <v>402</v>
      </c>
      <c r="B1455" t="s">
        <v>31</v>
      </c>
      <c r="C1455" t="s">
        <v>32</v>
      </c>
      <c r="D1455" t="s">
        <v>33</v>
      </c>
      <c r="E1455" t="s">
        <v>34</v>
      </c>
      <c r="F1455" t="s">
        <v>5</v>
      </c>
      <c r="G1455" t="s">
        <v>6</v>
      </c>
      <c r="H1455" t="s">
        <v>7</v>
      </c>
      <c r="I1455" t="s">
        <v>8</v>
      </c>
      <c r="J1455" t="s">
        <v>403</v>
      </c>
      <c r="K1455" t="s">
        <v>453</v>
      </c>
      <c r="L1455" t="s">
        <v>457</v>
      </c>
      <c r="M1455" t="s">
        <v>12</v>
      </c>
      <c r="N1455" s="2">
        <v>3000</v>
      </c>
      <c r="O1455" s="2">
        <v>-1400</v>
      </c>
      <c r="P1455" s="2">
        <v>0</v>
      </c>
      <c r="Q1455" s="2">
        <v>1600</v>
      </c>
      <c r="R1455" s="2">
        <v>0</v>
      </c>
      <c r="S1455" s="2">
        <v>972.16</v>
      </c>
      <c r="T1455" s="2">
        <v>0</v>
      </c>
      <c r="U1455" s="2">
        <v>627.84</v>
      </c>
      <c r="V1455" s="2">
        <v>1600</v>
      </c>
      <c r="W1455" s="2">
        <v>627.84</v>
      </c>
    </row>
    <row r="1456" spans="1:23" outlineLevel="2" x14ac:dyDescent="0.2">
      <c r="A1456" t="s">
        <v>402</v>
      </c>
      <c r="B1456" t="s">
        <v>31</v>
      </c>
      <c r="C1456" t="s">
        <v>79</v>
      </c>
      <c r="D1456" t="s">
        <v>117</v>
      </c>
      <c r="E1456" t="s">
        <v>118</v>
      </c>
      <c r="F1456" t="s">
        <v>5</v>
      </c>
      <c r="G1456" t="s">
        <v>6</v>
      </c>
      <c r="H1456" t="s">
        <v>7</v>
      </c>
      <c r="I1456" t="s">
        <v>8</v>
      </c>
      <c r="J1456" t="s">
        <v>403</v>
      </c>
      <c r="K1456" t="s">
        <v>453</v>
      </c>
      <c r="L1456" t="s">
        <v>454</v>
      </c>
      <c r="M1456" t="s">
        <v>12</v>
      </c>
      <c r="N1456" s="2">
        <v>800</v>
      </c>
      <c r="O1456" s="2">
        <v>0</v>
      </c>
      <c r="P1456" s="2">
        <v>0</v>
      </c>
      <c r="Q1456" s="2">
        <v>800</v>
      </c>
      <c r="R1456" s="2">
        <v>1.8</v>
      </c>
      <c r="S1456" s="2">
        <v>543.20000000000005</v>
      </c>
      <c r="T1456" s="2">
        <v>0</v>
      </c>
      <c r="U1456" s="2">
        <v>256.8</v>
      </c>
      <c r="V1456" s="2">
        <v>800</v>
      </c>
      <c r="W1456" s="2">
        <v>255</v>
      </c>
    </row>
    <row r="1457" spans="1:23" outlineLevel="2" x14ac:dyDescent="0.2">
      <c r="A1457" t="s">
        <v>402</v>
      </c>
      <c r="B1457" t="s">
        <v>1</v>
      </c>
      <c r="C1457" t="s">
        <v>2</v>
      </c>
      <c r="D1457" t="s">
        <v>3</v>
      </c>
      <c r="E1457" t="s">
        <v>4</v>
      </c>
      <c r="F1457" t="s">
        <v>5</v>
      </c>
      <c r="G1457" t="s">
        <v>6</v>
      </c>
      <c r="H1457" t="s">
        <v>7</v>
      </c>
      <c r="I1457" t="s">
        <v>8</v>
      </c>
      <c r="J1457" t="s">
        <v>403</v>
      </c>
      <c r="K1457" t="s">
        <v>453</v>
      </c>
      <c r="L1457" t="s">
        <v>456</v>
      </c>
      <c r="M1457" t="s">
        <v>15</v>
      </c>
      <c r="N1457" s="2">
        <v>0</v>
      </c>
      <c r="O1457" s="2">
        <v>600</v>
      </c>
      <c r="P1457" s="2">
        <v>-600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</row>
    <row r="1458" spans="1:23" outlineLevel="2" x14ac:dyDescent="0.2">
      <c r="A1458" t="s">
        <v>402</v>
      </c>
      <c r="B1458" t="s">
        <v>31</v>
      </c>
      <c r="C1458" t="s">
        <v>79</v>
      </c>
      <c r="D1458" t="s">
        <v>80</v>
      </c>
      <c r="E1458" t="s">
        <v>81</v>
      </c>
      <c r="F1458" t="s">
        <v>5</v>
      </c>
      <c r="G1458" t="s">
        <v>6</v>
      </c>
      <c r="H1458" t="s">
        <v>7</v>
      </c>
      <c r="I1458" t="s">
        <v>8</v>
      </c>
      <c r="J1458" t="s">
        <v>403</v>
      </c>
      <c r="K1458" t="s">
        <v>453</v>
      </c>
      <c r="L1458" t="s">
        <v>454</v>
      </c>
      <c r="M1458" t="s">
        <v>12</v>
      </c>
      <c r="N1458" s="2">
        <v>2000</v>
      </c>
      <c r="O1458" s="2">
        <v>0</v>
      </c>
      <c r="P1458" s="2">
        <v>0</v>
      </c>
      <c r="Q1458" s="2">
        <v>2000</v>
      </c>
      <c r="R1458" s="2">
        <v>0</v>
      </c>
      <c r="S1458" s="2">
        <v>1973.44</v>
      </c>
      <c r="T1458" s="2">
        <v>0</v>
      </c>
      <c r="U1458" s="2">
        <v>26.56</v>
      </c>
      <c r="V1458" s="2">
        <v>2000</v>
      </c>
      <c r="W1458" s="2">
        <v>26.56</v>
      </c>
    </row>
    <row r="1459" spans="1:23" outlineLevel="2" x14ac:dyDescent="0.2">
      <c r="A1459" t="s">
        <v>402</v>
      </c>
      <c r="B1459" t="s">
        <v>39</v>
      </c>
      <c r="C1459" t="s">
        <v>58</v>
      </c>
      <c r="D1459" t="s">
        <v>139</v>
      </c>
      <c r="E1459" t="s">
        <v>140</v>
      </c>
      <c r="F1459" t="s">
        <v>5</v>
      </c>
      <c r="G1459" t="s">
        <v>6</v>
      </c>
      <c r="H1459" t="s">
        <v>7</v>
      </c>
      <c r="I1459" t="s">
        <v>8</v>
      </c>
      <c r="J1459" t="s">
        <v>403</v>
      </c>
      <c r="K1459" t="s">
        <v>453</v>
      </c>
      <c r="L1459" t="s">
        <v>455</v>
      </c>
      <c r="M1459" t="s">
        <v>12</v>
      </c>
      <c r="N1459" s="2">
        <v>0</v>
      </c>
      <c r="O1459" s="2">
        <v>2000</v>
      </c>
      <c r="P1459" s="2">
        <v>0</v>
      </c>
      <c r="Q1459" s="2">
        <v>2000</v>
      </c>
      <c r="R1459" s="2">
        <v>358.96</v>
      </c>
      <c r="S1459" s="2">
        <v>725.2</v>
      </c>
      <c r="T1459" s="2">
        <v>0</v>
      </c>
      <c r="U1459" s="2">
        <v>1274.8</v>
      </c>
      <c r="V1459" s="2">
        <v>2000</v>
      </c>
      <c r="W1459" s="2">
        <v>915.84</v>
      </c>
    </row>
    <row r="1460" spans="1:23" outlineLevel="2" x14ac:dyDescent="0.2">
      <c r="A1460" t="s">
        <v>402</v>
      </c>
      <c r="B1460" t="s">
        <v>39</v>
      </c>
      <c r="C1460" t="s">
        <v>58</v>
      </c>
      <c r="D1460" t="s">
        <v>143</v>
      </c>
      <c r="E1460" t="s">
        <v>144</v>
      </c>
      <c r="F1460" t="s">
        <v>5</v>
      </c>
      <c r="G1460" t="s">
        <v>6</v>
      </c>
      <c r="H1460" t="s">
        <v>7</v>
      </c>
      <c r="I1460" t="s">
        <v>8</v>
      </c>
      <c r="J1460" t="s">
        <v>403</v>
      </c>
      <c r="K1460" t="s">
        <v>453</v>
      </c>
      <c r="L1460" t="s">
        <v>455</v>
      </c>
      <c r="M1460" t="s">
        <v>12</v>
      </c>
      <c r="N1460" s="2">
        <v>0</v>
      </c>
      <c r="O1460" s="2">
        <v>500</v>
      </c>
      <c r="P1460" s="2">
        <v>0</v>
      </c>
      <c r="Q1460" s="2">
        <v>500</v>
      </c>
      <c r="R1460" s="2">
        <v>0</v>
      </c>
      <c r="S1460" s="2">
        <v>0</v>
      </c>
      <c r="T1460" s="2">
        <v>0</v>
      </c>
      <c r="U1460" s="2">
        <v>500</v>
      </c>
      <c r="V1460" s="2">
        <v>500</v>
      </c>
      <c r="W1460" s="2">
        <v>500</v>
      </c>
    </row>
    <row r="1461" spans="1:23" outlineLevel="2" x14ac:dyDescent="0.2">
      <c r="A1461" t="s">
        <v>402</v>
      </c>
      <c r="B1461" t="s">
        <v>39</v>
      </c>
      <c r="C1461" t="s">
        <v>95</v>
      </c>
      <c r="D1461" t="s">
        <v>96</v>
      </c>
      <c r="E1461" t="s">
        <v>97</v>
      </c>
      <c r="F1461" t="s">
        <v>5</v>
      </c>
      <c r="G1461" t="s">
        <v>6</v>
      </c>
      <c r="H1461" t="s">
        <v>7</v>
      </c>
      <c r="I1461" t="s">
        <v>8</v>
      </c>
      <c r="J1461" t="s">
        <v>403</v>
      </c>
      <c r="K1461" t="s">
        <v>453</v>
      </c>
      <c r="L1461" t="s">
        <v>458</v>
      </c>
      <c r="M1461" t="s">
        <v>12</v>
      </c>
      <c r="N1461" s="2">
        <v>19000</v>
      </c>
      <c r="O1461" s="2">
        <v>-10000</v>
      </c>
      <c r="P1461" s="2">
        <v>0</v>
      </c>
      <c r="Q1461" s="2">
        <v>9000</v>
      </c>
      <c r="R1461" s="2">
        <v>9000</v>
      </c>
      <c r="S1461" s="2">
        <v>0</v>
      </c>
      <c r="T1461" s="2">
        <v>0</v>
      </c>
      <c r="U1461" s="2">
        <v>9000</v>
      </c>
      <c r="V1461" s="2">
        <v>9000</v>
      </c>
      <c r="W1461" s="2">
        <v>0</v>
      </c>
    </row>
    <row r="1462" spans="1:23" outlineLevel="2" x14ac:dyDescent="0.2">
      <c r="A1462" t="s">
        <v>402</v>
      </c>
      <c r="B1462" t="s">
        <v>31</v>
      </c>
      <c r="C1462" t="s">
        <v>32</v>
      </c>
      <c r="D1462" t="s">
        <v>75</v>
      </c>
      <c r="E1462" t="s">
        <v>76</v>
      </c>
      <c r="F1462" t="s">
        <v>5</v>
      </c>
      <c r="G1462" t="s">
        <v>6</v>
      </c>
      <c r="H1462" t="s">
        <v>7</v>
      </c>
      <c r="I1462" t="s">
        <v>8</v>
      </c>
      <c r="J1462" t="s">
        <v>403</v>
      </c>
      <c r="K1462" t="s">
        <v>453</v>
      </c>
      <c r="L1462" t="s">
        <v>457</v>
      </c>
      <c r="M1462" t="s">
        <v>12</v>
      </c>
      <c r="N1462" s="2">
        <v>600</v>
      </c>
      <c r="O1462" s="2">
        <v>2100</v>
      </c>
      <c r="P1462" s="2">
        <v>0</v>
      </c>
      <c r="Q1462" s="2">
        <v>2700</v>
      </c>
      <c r="R1462" s="2">
        <v>0</v>
      </c>
      <c r="S1462" s="2">
        <v>1848.56</v>
      </c>
      <c r="T1462" s="2">
        <v>1848.56</v>
      </c>
      <c r="U1462" s="2">
        <v>851.44</v>
      </c>
      <c r="V1462" s="2">
        <v>851.44</v>
      </c>
      <c r="W1462" s="2">
        <v>851.44</v>
      </c>
    </row>
    <row r="1463" spans="1:23" outlineLevel="2" x14ac:dyDescent="0.2">
      <c r="A1463" t="s">
        <v>402</v>
      </c>
      <c r="B1463" t="s">
        <v>39</v>
      </c>
      <c r="C1463" t="s">
        <v>58</v>
      </c>
      <c r="D1463" t="s">
        <v>149</v>
      </c>
      <c r="E1463" t="s">
        <v>150</v>
      </c>
      <c r="F1463" t="s">
        <v>5</v>
      </c>
      <c r="G1463" t="s">
        <v>6</v>
      </c>
      <c r="H1463" t="s">
        <v>7</v>
      </c>
      <c r="I1463" t="s">
        <v>8</v>
      </c>
      <c r="J1463" t="s">
        <v>403</v>
      </c>
      <c r="K1463" t="s">
        <v>453</v>
      </c>
      <c r="L1463" t="s">
        <v>455</v>
      </c>
      <c r="M1463" t="s">
        <v>12</v>
      </c>
      <c r="N1463" s="2">
        <v>2000</v>
      </c>
      <c r="O1463" s="2">
        <v>0</v>
      </c>
      <c r="P1463" s="2">
        <v>0</v>
      </c>
      <c r="Q1463" s="2">
        <v>2000</v>
      </c>
      <c r="R1463" s="2">
        <v>0</v>
      </c>
      <c r="S1463" s="2">
        <v>1919.12</v>
      </c>
      <c r="T1463" s="2">
        <v>0</v>
      </c>
      <c r="U1463" s="2">
        <v>80.88</v>
      </c>
      <c r="V1463" s="2">
        <v>2000</v>
      </c>
      <c r="W1463" s="2">
        <v>80.88</v>
      </c>
    </row>
    <row r="1464" spans="1:23" outlineLevel="2" x14ac:dyDescent="0.2">
      <c r="A1464" t="s">
        <v>402</v>
      </c>
      <c r="B1464" t="s">
        <v>31</v>
      </c>
      <c r="C1464" t="s">
        <v>79</v>
      </c>
      <c r="D1464" t="s">
        <v>115</v>
      </c>
      <c r="E1464" t="s">
        <v>116</v>
      </c>
      <c r="F1464" t="s">
        <v>5</v>
      </c>
      <c r="G1464" t="s">
        <v>6</v>
      </c>
      <c r="H1464" t="s">
        <v>7</v>
      </c>
      <c r="I1464" t="s">
        <v>8</v>
      </c>
      <c r="J1464" t="s">
        <v>403</v>
      </c>
      <c r="K1464" t="s">
        <v>459</v>
      </c>
      <c r="L1464" t="s">
        <v>460</v>
      </c>
      <c r="M1464" t="s">
        <v>12</v>
      </c>
      <c r="N1464" s="2">
        <v>1500</v>
      </c>
      <c r="O1464" s="2">
        <v>0</v>
      </c>
      <c r="P1464" s="2">
        <v>-1500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</row>
    <row r="1465" spans="1:23" outlineLevel="2" x14ac:dyDescent="0.2">
      <c r="A1465" t="s">
        <v>402</v>
      </c>
      <c r="B1465" t="s">
        <v>39</v>
      </c>
      <c r="C1465" t="s">
        <v>70</v>
      </c>
      <c r="D1465" t="s">
        <v>89</v>
      </c>
      <c r="E1465" t="s">
        <v>90</v>
      </c>
      <c r="F1465" t="s">
        <v>5</v>
      </c>
      <c r="G1465" t="s">
        <v>6</v>
      </c>
      <c r="H1465" t="s">
        <v>7</v>
      </c>
      <c r="I1465" t="s">
        <v>8</v>
      </c>
      <c r="J1465" t="s">
        <v>403</v>
      </c>
      <c r="K1465" t="s">
        <v>459</v>
      </c>
      <c r="L1465" t="s">
        <v>461</v>
      </c>
      <c r="M1465" t="s">
        <v>12</v>
      </c>
      <c r="N1465" s="2">
        <v>200</v>
      </c>
      <c r="O1465" s="2">
        <v>0</v>
      </c>
      <c r="P1465" s="2">
        <v>0</v>
      </c>
      <c r="Q1465" s="2">
        <v>200</v>
      </c>
      <c r="R1465" s="2">
        <v>0</v>
      </c>
      <c r="S1465" s="2">
        <v>200</v>
      </c>
      <c r="T1465" s="2">
        <v>31.19</v>
      </c>
      <c r="U1465" s="2">
        <v>0</v>
      </c>
      <c r="V1465" s="2">
        <v>168.81</v>
      </c>
      <c r="W1465" s="2">
        <v>0</v>
      </c>
    </row>
    <row r="1466" spans="1:23" outlineLevel="2" x14ac:dyDescent="0.2">
      <c r="A1466" t="s">
        <v>402</v>
      </c>
      <c r="B1466" t="s">
        <v>31</v>
      </c>
      <c r="C1466" t="s">
        <v>79</v>
      </c>
      <c r="D1466" t="s">
        <v>127</v>
      </c>
      <c r="E1466" t="s">
        <v>128</v>
      </c>
      <c r="F1466" t="s">
        <v>5</v>
      </c>
      <c r="G1466" t="s">
        <v>6</v>
      </c>
      <c r="H1466" t="s">
        <v>7</v>
      </c>
      <c r="I1466" t="s">
        <v>8</v>
      </c>
      <c r="J1466" t="s">
        <v>403</v>
      </c>
      <c r="K1466" t="s">
        <v>459</v>
      </c>
      <c r="L1466" t="s">
        <v>460</v>
      </c>
      <c r="M1466" t="s">
        <v>12</v>
      </c>
      <c r="N1466" s="2">
        <v>2000</v>
      </c>
      <c r="O1466" s="2">
        <v>-2000</v>
      </c>
      <c r="P1466" s="2">
        <v>0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</row>
    <row r="1467" spans="1:23" outlineLevel="2" x14ac:dyDescent="0.2">
      <c r="A1467" t="s">
        <v>402</v>
      </c>
      <c r="B1467" t="s">
        <v>1</v>
      </c>
      <c r="C1467" t="s">
        <v>2</v>
      </c>
      <c r="D1467" t="s">
        <v>410</v>
      </c>
      <c r="E1467" t="s">
        <v>411</v>
      </c>
      <c r="F1467" t="s">
        <v>5</v>
      </c>
      <c r="G1467" t="s">
        <v>6</v>
      </c>
      <c r="H1467" t="s">
        <v>7</v>
      </c>
      <c r="I1467" t="s">
        <v>8</v>
      </c>
      <c r="J1467" t="s">
        <v>403</v>
      </c>
      <c r="K1467" t="s">
        <v>459</v>
      </c>
      <c r="L1467" t="s">
        <v>462</v>
      </c>
      <c r="M1467" t="s">
        <v>15</v>
      </c>
      <c r="N1467" s="2">
        <v>1000</v>
      </c>
      <c r="O1467" s="2">
        <v>5264</v>
      </c>
      <c r="P1467" s="2">
        <v>0</v>
      </c>
      <c r="Q1467" s="2">
        <v>6264</v>
      </c>
      <c r="R1467" s="2">
        <v>964</v>
      </c>
      <c r="S1467" s="2">
        <v>5300</v>
      </c>
      <c r="T1467" s="2">
        <v>344.12</v>
      </c>
      <c r="U1467" s="2">
        <v>964</v>
      </c>
      <c r="V1467" s="2">
        <v>5919.88</v>
      </c>
      <c r="W1467" s="2">
        <v>0</v>
      </c>
    </row>
    <row r="1468" spans="1:23" outlineLevel="2" x14ac:dyDescent="0.2">
      <c r="A1468" t="s">
        <v>402</v>
      </c>
      <c r="B1468" t="s">
        <v>1</v>
      </c>
      <c r="C1468" t="s">
        <v>2</v>
      </c>
      <c r="D1468" t="s">
        <v>463</v>
      </c>
      <c r="E1468" t="s">
        <v>464</v>
      </c>
      <c r="F1468" t="s">
        <v>5</v>
      </c>
      <c r="G1468" t="s">
        <v>6</v>
      </c>
      <c r="H1468" t="s">
        <v>7</v>
      </c>
      <c r="I1468" t="s">
        <v>8</v>
      </c>
      <c r="J1468" t="s">
        <v>403</v>
      </c>
      <c r="K1468" t="s">
        <v>459</v>
      </c>
      <c r="L1468" t="s">
        <v>462</v>
      </c>
      <c r="M1468" t="s">
        <v>15</v>
      </c>
      <c r="N1468" s="2">
        <v>12000</v>
      </c>
      <c r="O1468" s="2">
        <v>0</v>
      </c>
      <c r="P1468" s="2">
        <v>-12000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</row>
    <row r="1469" spans="1:23" outlineLevel="2" x14ac:dyDescent="0.2">
      <c r="A1469" t="s">
        <v>402</v>
      </c>
      <c r="B1469" t="s">
        <v>39</v>
      </c>
      <c r="C1469" t="s">
        <v>58</v>
      </c>
      <c r="D1469" t="s">
        <v>59</v>
      </c>
      <c r="E1469" t="s">
        <v>60</v>
      </c>
      <c r="F1469" t="s">
        <v>5</v>
      </c>
      <c r="G1469" t="s">
        <v>6</v>
      </c>
      <c r="H1469" t="s">
        <v>7</v>
      </c>
      <c r="I1469" t="s">
        <v>8</v>
      </c>
      <c r="J1469" t="s">
        <v>403</v>
      </c>
      <c r="K1469" t="s">
        <v>459</v>
      </c>
      <c r="L1469" t="s">
        <v>465</v>
      </c>
      <c r="M1469" t="s">
        <v>12</v>
      </c>
      <c r="N1469" s="2">
        <v>5700</v>
      </c>
      <c r="O1469" s="2">
        <v>0</v>
      </c>
      <c r="P1469" s="2">
        <v>-2000</v>
      </c>
      <c r="Q1469" s="2">
        <v>3700</v>
      </c>
      <c r="R1469" s="2">
        <v>3432.93</v>
      </c>
      <c r="S1469" s="2">
        <v>0</v>
      </c>
      <c r="T1469" s="2">
        <v>0</v>
      </c>
      <c r="U1469" s="2">
        <v>3700</v>
      </c>
      <c r="V1469" s="2">
        <v>3700</v>
      </c>
      <c r="W1469" s="2">
        <v>267.07</v>
      </c>
    </row>
    <row r="1470" spans="1:23" outlineLevel="2" x14ac:dyDescent="0.2">
      <c r="A1470" t="s">
        <v>402</v>
      </c>
      <c r="B1470" t="s">
        <v>39</v>
      </c>
      <c r="C1470" t="s">
        <v>58</v>
      </c>
      <c r="D1470" t="s">
        <v>143</v>
      </c>
      <c r="E1470" t="s">
        <v>144</v>
      </c>
      <c r="F1470" t="s">
        <v>5</v>
      </c>
      <c r="G1470" t="s">
        <v>6</v>
      </c>
      <c r="H1470" t="s">
        <v>7</v>
      </c>
      <c r="I1470" t="s">
        <v>8</v>
      </c>
      <c r="J1470" t="s">
        <v>403</v>
      </c>
      <c r="K1470" t="s">
        <v>459</v>
      </c>
      <c r="L1470" t="s">
        <v>465</v>
      </c>
      <c r="M1470" t="s">
        <v>12</v>
      </c>
      <c r="N1470" s="2">
        <v>2000</v>
      </c>
      <c r="O1470" s="2">
        <v>0</v>
      </c>
      <c r="P1470" s="2">
        <v>0</v>
      </c>
      <c r="Q1470" s="2">
        <v>2000</v>
      </c>
      <c r="R1470" s="2">
        <v>0</v>
      </c>
      <c r="S1470" s="2">
        <v>2000</v>
      </c>
      <c r="T1470" s="2">
        <v>1296.99</v>
      </c>
      <c r="U1470" s="2">
        <v>0</v>
      </c>
      <c r="V1470" s="2">
        <v>703.01</v>
      </c>
      <c r="W1470" s="2">
        <v>0</v>
      </c>
    </row>
    <row r="1471" spans="1:23" outlineLevel="2" x14ac:dyDescent="0.2">
      <c r="A1471" t="s">
        <v>402</v>
      </c>
      <c r="B1471" t="s">
        <v>53</v>
      </c>
      <c r="C1471" t="s">
        <v>54</v>
      </c>
      <c r="D1471" t="s">
        <v>55</v>
      </c>
      <c r="E1471" t="s">
        <v>56</v>
      </c>
      <c r="F1471" t="s">
        <v>5</v>
      </c>
      <c r="G1471" t="s">
        <v>6</v>
      </c>
      <c r="H1471" t="s">
        <v>7</v>
      </c>
      <c r="I1471" t="s">
        <v>8</v>
      </c>
      <c r="J1471" t="s">
        <v>403</v>
      </c>
      <c r="K1471" t="s">
        <v>459</v>
      </c>
      <c r="L1471" t="s">
        <v>466</v>
      </c>
      <c r="M1471" t="s">
        <v>12</v>
      </c>
      <c r="N1471" s="2">
        <v>1000</v>
      </c>
      <c r="O1471" s="2">
        <v>-817.5</v>
      </c>
      <c r="P1471" s="2">
        <v>0</v>
      </c>
      <c r="Q1471" s="2">
        <v>182.5</v>
      </c>
      <c r="R1471" s="2">
        <v>0</v>
      </c>
      <c r="S1471" s="2">
        <v>182.5</v>
      </c>
      <c r="T1471" s="2">
        <v>0</v>
      </c>
      <c r="U1471" s="2">
        <v>0</v>
      </c>
      <c r="V1471" s="2">
        <v>182.5</v>
      </c>
      <c r="W1471" s="2">
        <v>0</v>
      </c>
    </row>
    <row r="1472" spans="1:23" outlineLevel="2" x14ac:dyDescent="0.2">
      <c r="A1472" t="s">
        <v>402</v>
      </c>
      <c r="B1472" t="s">
        <v>1</v>
      </c>
      <c r="C1472" t="s">
        <v>2</v>
      </c>
      <c r="D1472" t="s">
        <v>3</v>
      </c>
      <c r="E1472" t="s">
        <v>4</v>
      </c>
      <c r="F1472" t="s">
        <v>5</v>
      </c>
      <c r="G1472" t="s">
        <v>6</v>
      </c>
      <c r="H1472" t="s">
        <v>7</v>
      </c>
      <c r="I1472" t="s">
        <v>8</v>
      </c>
      <c r="J1472" t="s">
        <v>403</v>
      </c>
      <c r="K1472" t="s">
        <v>459</v>
      </c>
      <c r="L1472" t="s">
        <v>462</v>
      </c>
      <c r="M1472" t="s">
        <v>15</v>
      </c>
      <c r="N1472" s="2">
        <v>0</v>
      </c>
      <c r="O1472" s="2">
        <v>768.73</v>
      </c>
      <c r="P1472" s="2">
        <v>0</v>
      </c>
      <c r="Q1472" s="2">
        <v>768.73</v>
      </c>
      <c r="R1472" s="2">
        <v>718.73</v>
      </c>
      <c r="S1472" s="2">
        <v>50</v>
      </c>
      <c r="T1472" s="2">
        <v>50</v>
      </c>
      <c r="U1472" s="2">
        <v>718.73</v>
      </c>
      <c r="V1472" s="2">
        <v>718.73</v>
      </c>
      <c r="W1472" s="2">
        <v>0</v>
      </c>
    </row>
    <row r="1473" spans="1:23" outlineLevel="2" x14ac:dyDescent="0.2">
      <c r="A1473" t="s">
        <v>402</v>
      </c>
      <c r="B1473" t="s">
        <v>1</v>
      </c>
      <c r="C1473" t="s">
        <v>2</v>
      </c>
      <c r="D1473" t="s">
        <v>13</v>
      </c>
      <c r="E1473" t="s">
        <v>14</v>
      </c>
      <c r="F1473" t="s">
        <v>5</v>
      </c>
      <c r="G1473" t="s">
        <v>6</v>
      </c>
      <c r="H1473" t="s">
        <v>7</v>
      </c>
      <c r="I1473" t="s">
        <v>8</v>
      </c>
      <c r="J1473" t="s">
        <v>403</v>
      </c>
      <c r="K1473" t="s">
        <v>459</v>
      </c>
      <c r="L1473" t="s">
        <v>462</v>
      </c>
      <c r="M1473" t="s">
        <v>12</v>
      </c>
      <c r="N1473" s="2">
        <v>0</v>
      </c>
      <c r="O1473" s="2">
        <v>0</v>
      </c>
      <c r="P1473" s="2">
        <v>5000</v>
      </c>
      <c r="Q1473" s="2">
        <v>5000</v>
      </c>
      <c r="R1473" s="2">
        <v>0</v>
      </c>
      <c r="S1473" s="2">
        <v>0</v>
      </c>
      <c r="T1473" s="2">
        <v>0</v>
      </c>
      <c r="U1473" s="2">
        <v>5000</v>
      </c>
      <c r="V1473" s="2">
        <v>5000</v>
      </c>
      <c r="W1473" s="2">
        <v>5000</v>
      </c>
    </row>
    <row r="1474" spans="1:23" outlineLevel="2" x14ac:dyDescent="0.2">
      <c r="A1474" t="s">
        <v>402</v>
      </c>
      <c r="B1474" t="s">
        <v>39</v>
      </c>
      <c r="C1474" t="s">
        <v>95</v>
      </c>
      <c r="D1474" t="s">
        <v>96</v>
      </c>
      <c r="E1474" t="s">
        <v>97</v>
      </c>
      <c r="F1474" t="s">
        <v>5</v>
      </c>
      <c r="G1474" t="s">
        <v>6</v>
      </c>
      <c r="H1474" t="s">
        <v>7</v>
      </c>
      <c r="I1474" t="s">
        <v>8</v>
      </c>
      <c r="J1474" t="s">
        <v>403</v>
      </c>
      <c r="K1474" t="s">
        <v>459</v>
      </c>
      <c r="L1474" t="s">
        <v>467</v>
      </c>
      <c r="M1474" t="s">
        <v>12</v>
      </c>
      <c r="N1474" s="2">
        <v>18000</v>
      </c>
      <c r="O1474" s="2">
        <v>-18000</v>
      </c>
      <c r="P1474" s="2">
        <v>0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</row>
    <row r="1475" spans="1:23" outlineLevel="2" x14ac:dyDescent="0.2">
      <c r="A1475" t="s">
        <v>402</v>
      </c>
      <c r="B1475" t="s">
        <v>1</v>
      </c>
      <c r="C1475" t="s">
        <v>91</v>
      </c>
      <c r="D1475" t="s">
        <v>92</v>
      </c>
      <c r="E1475" t="s">
        <v>93</v>
      </c>
      <c r="F1475" t="s">
        <v>5</v>
      </c>
      <c r="G1475" t="s">
        <v>6</v>
      </c>
      <c r="H1475" t="s">
        <v>7</v>
      </c>
      <c r="I1475" t="s">
        <v>8</v>
      </c>
      <c r="J1475" t="s">
        <v>403</v>
      </c>
      <c r="K1475" t="s">
        <v>459</v>
      </c>
      <c r="L1475" t="s">
        <v>468</v>
      </c>
      <c r="M1475" t="s">
        <v>12</v>
      </c>
      <c r="N1475" s="2">
        <v>0</v>
      </c>
      <c r="O1475" s="2">
        <v>0</v>
      </c>
      <c r="P1475" s="2">
        <v>11081.14</v>
      </c>
      <c r="Q1475" s="2">
        <v>11081.14</v>
      </c>
      <c r="R1475" s="2">
        <v>0</v>
      </c>
      <c r="S1475" s="2">
        <v>0</v>
      </c>
      <c r="T1475" s="2">
        <v>0</v>
      </c>
      <c r="U1475" s="2">
        <v>11081.14</v>
      </c>
      <c r="V1475" s="2">
        <v>11081.14</v>
      </c>
      <c r="W1475" s="2">
        <v>11081.14</v>
      </c>
    </row>
    <row r="1476" spans="1:23" outlineLevel="2" x14ac:dyDescent="0.2">
      <c r="A1476" t="s">
        <v>402</v>
      </c>
      <c r="B1476" t="s">
        <v>1</v>
      </c>
      <c r="C1476" t="s">
        <v>2</v>
      </c>
      <c r="D1476" t="s">
        <v>13</v>
      </c>
      <c r="E1476" t="s">
        <v>14</v>
      </c>
      <c r="F1476" t="s">
        <v>5</v>
      </c>
      <c r="G1476" t="s">
        <v>6</v>
      </c>
      <c r="H1476" t="s">
        <v>7</v>
      </c>
      <c r="I1476" t="s">
        <v>8</v>
      </c>
      <c r="J1476" t="s">
        <v>403</v>
      </c>
      <c r="K1476" t="s">
        <v>459</v>
      </c>
      <c r="L1476" t="s">
        <v>462</v>
      </c>
      <c r="M1476" t="s">
        <v>15</v>
      </c>
      <c r="N1476" s="2">
        <v>4900</v>
      </c>
      <c r="O1476" s="2">
        <v>11666.83</v>
      </c>
      <c r="P1476" s="2">
        <v>-9900.7999999999993</v>
      </c>
      <c r="Q1476" s="2">
        <v>6666.03</v>
      </c>
      <c r="R1476" s="2">
        <v>0</v>
      </c>
      <c r="S1476" s="2">
        <v>6666.03</v>
      </c>
      <c r="T1476" s="2">
        <v>6666.03</v>
      </c>
      <c r="U1476" s="2">
        <v>0</v>
      </c>
      <c r="V1476" s="2">
        <v>0</v>
      </c>
      <c r="W1476" s="2">
        <v>0</v>
      </c>
    </row>
    <row r="1477" spans="1:23" outlineLevel="2" x14ac:dyDescent="0.2">
      <c r="A1477" t="s">
        <v>402</v>
      </c>
      <c r="B1477" t="s">
        <v>1</v>
      </c>
      <c r="C1477" t="s">
        <v>91</v>
      </c>
      <c r="D1477" t="s">
        <v>92</v>
      </c>
      <c r="E1477" t="s">
        <v>93</v>
      </c>
      <c r="F1477" t="s">
        <v>5</v>
      </c>
      <c r="G1477" t="s">
        <v>6</v>
      </c>
      <c r="H1477" t="s">
        <v>7</v>
      </c>
      <c r="I1477" t="s">
        <v>8</v>
      </c>
      <c r="J1477" t="s">
        <v>403</v>
      </c>
      <c r="K1477" t="s">
        <v>459</v>
      </c>
      <c r="L1477" t="s">
        <v>468</v>
      </c>
      <c r="M1477" t="s">
        <v>15</v>
      </c>
      <c r="N1477" s="2">
        <v>10000</v>
      </c>
      <c r="O1477" s="2">
        <v>12610.54</v>
      </c>
      <c r="P1477" s="2">
        <v>-11081.14</v>
      </c>
      <c r="Q1477" s="2">
        <v>11529.4</v>
      </c>
      <c r="R1477" s="2">
        <v>3506.2</v>
      </c>
      <c r="S1477" s="2">
        <v>8023.2</v>
      </c>
      <c r="T1477" s="2">
        <v>7986.5</v>
      </c>
      <c r="U1477" s="2">
        <v>3506.2</v>
      </c>
      <c r="V1477" s="2">
        <v>3542.9</v>
      </c>
      <c r="W1477" s="2">
        <v>0</v>
      </c>
    </row>
    <row r="1478" spans="1:23" outlineLevel="2" x14ac:dyDescent="0.2">
      <c r="A1478" t="s">
        <v>402</v>
      </c>
      <c r="B1478" t="s">
        <v>39</v>
      </c>
      <c r="C1478" t="s">
        <v>58</v>
      </c>
      <c r="D1478" t="s">
        <v>135</v>
      </c>
      <c r="E1478" t="s">
        <v>136</v>
      </c>
      <c r="F1478" t="s">
        <v>5</v>
      </c>
      <c r="G1478" t="s">
        <v>6</v>
      </c>
      <c r="H1478" t="s">
        <v>7</v>
      </c>
      <c r="I1478" t="s">
        <v>8</v>
      </c>
      <c r="J1478" t="s">
        <v>403</v>
      </c>
      <c r="K1478" t="s">
        <v>459</v>
      </c>
      <c r="L1478" t="s">
        <v>465</v>
      </c>
      <c r="M1478" t="s">
        <v>12</v>
      </c>
      <c r="N1478" s="2">
        <v>0</v>
      </c>
      <c r="O1478" s="2">
        <v>2531.0500000000002</v>
      </c>
      <c r="P1478" s="2">
        <v>-2531.0500000000002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</row>
    <row r="1479" spans="1:23" outlineLevel="2" x14ac:dyDescent="0.2">
      <c r="A1479" t="s">
        <v>402</v>
      </c>
      <c r="B1479" t="s">
        <v>39</v>
      </c>
      <c r="C1479" t="s">
        <v>66</v>
      </c>
      <c r="D1479" t="s">
        <v>67</v>
      </c>
      <c r="E1479" t="s">
        <v>68</v>
      </c>
      <c r="F1479" t="s">
        <v>5</v>
      </c>
      <c r="G1479" t="s">
        <v>6</v>
      </c>
      <c r="H1479" t="s">
        <v>7</v>
      </c>
      <c r="I1479" t="s">
        <v>8</v>
      </c>
      <c r="J1479" t="s">
        <v>403</v>
      </c>
      <c r="K1479" t="s">
        <v>459</v>
      </c>
      <c r="L1479" t="s">
        <v>469</v>
      </c>
      <c r="M1479" t="s">
        <v>12</v>
      </c>
      <c r="N1479" s="2">
        <v>7000</v>
      </c>
      <c r="O1479" s="2">
        <v>2031.25</v>
      </c>
      <c r="P1479" s="2">
        <v>0</v>
      </c>
      <c r="Q1479" s="2">
        <v>9031.25</v>
      </c>
      <c r="R1479" s="2">
        <v>0</v>
      </c>
      <c r="S1479" s="2">
        <v>9031.23</v>
      </c>
      <c r="T1479" s="2">
        <v>5095.37</v>
      </c>
      <c r="U1479" s="2">
        <v>0.02</v>
      </c>
      <c r="V1479" s="2">
        <v>3935.88</v>
      </c>
      <c r="W1479" s="2">
        <v>0.02</v>
      </c>
    </row>
    <row r="1480" spans="1:23" outlineLevel="2" x14ac:dyDescent="0.2">
      <c r="A1480" t="s">
        <v>402</v>
      </c>
      <c r="B1480" t="s">
        <v>31</v>
      </c>
      <c r="C1480" t="s">
        <v>79</v>
      </c>
      <c r="D1480" t="s">
        <v>113</v>
      </c>
      <c r="E1480" t="s">
        <v>114</v>
      </c>
      <c r="F1480" t="s">
        <v>5</v>
      </c>
      <c r="G1480" t="s">
        <v>6</v>
      </c>
      <c r="H1480" t="s">
        <v>7</v>
      </c>
      <c r="I1480" t="s">
        <v>8</v>
      </c>
      <c r="J1480" t="s">
        <v>403</v>
      </c>
      <c r="K1480" t="s">
        <v>459</v>
      </c>
      <c r="L1480" t="s">
        <v>460</v>
      </c>
      <c r="M1480" t="s">
        <v>12</v>
      </c>
      <c r="N1480" s="2">
        <v>3000</v>
      </c>
      <c r="O1480" s="2">
        <v>4000</v>
      </c>
      <c r="P1480" s="2">
        <v>0</v>
      </c>
      <c r="Q1480" s="2">
        <v>7000</v>
      </c>
      <c r="R1480" s="2">
        <v>0.01</v>
      </c>
      <c r="S1480" s="2">
        <v>6999.99</v>
      </c>
      <c r="T1480" s="2">
        <v>3136</v>
      </c>
      <c r="U1480" s="2">
        <v>0.01</v>
      </c>
      <c r="V1480" s="2">
        <v>3864</v>
      </c>
      <c r="W1480" s="2">
        <v>0</v>
      </c>
    </row>
    <row r="1481" spans="1:23" outlineLevel="2" x14ac:dyDescent="0.2">
      <c r="A1481" t="s">
        <v>402</v>
      </c>
      <c r="B1481" t="s">
        <v>31</v>
      </c>
      <c r="C1481" t="s">
        <v>32</v>
      </c>
      <c r="D1481" t="s">
        <v>33</v>
      </c>
      <c r="E1481" t="s">
        <v>34</v>
      </c>
      <c r="F1481" t="s">
        <v>5</v>
      </c>
      <c r="G1481" t="s">
        <v>6</v>
      </c>
      <c r="H1481" t="s">
        <v>7</v>
      </c>
      <c r="I1481" t="s">
        <v>8</v>
      </c>
      <c r="J1481" t="s">
        <v>403</v>
      </c>
      <c r="K1481" t="s">
        <v>459</v>
      </c>
      <c r="L1481" t="s">
        <v>470</v>
      </c>
      <c r="M1481" t="s">
        <v>12</v>
      </c>
      <c r="N1481" s="2">
        <v>35000</v>
      </c>
      <c r="O1481" s="2">
        <v>0</v>
      </c>
      <c r="P1481" s="2">
        <v>0</v>
      </c>
      <c r="Q1481" s="2">
        <v>35000</v>
      </c>
      <c r="R1481" s="2">
        <v>0</v>
      </c>
      <c r="S1481" s="2">
        <v>11926.96</v>
      </c>
      <c r="T1481" s="2">
        <v>6804</v>
      </c>
      <c r="U1481" s="2">
        <v>23073.040000000001</v>
      </c>
      <c r="V1481" s="2">
        <v>28196</v>
      </c>
      <c r="W1481" s="2">
        <v>23073.040000000001</v>
      </c>
    </row>
    <row r="1482" spans="1:23" outlineLevel="2" x14ac:dyDescent="0.2">
      <c r="A1482" t="s">
        <v>402</v>
      </c>
      <c r="B1482" t="s">
        <v>31</v>
      </c>
      <c r="C1482" t="s">
        <v>107</v>
      </c>
      <c r="D1482" t="s">
        <v>108</v>
      </c>
      <c r="E1482" t="s">
        <v>109</v>
      </c>
      <c r="F1482" t="s">
        <v>5</v>
      </c>
      <c r="G1482" t="s">
        <v>6</v>
      </c>
      <c r="H1482" t="s">
        <v>7</v>
      </c>
      <c r="I1482" t="s">
        <v>8</v>
      </c>
      <c r="J1482" t="s">
        <v>403</v>
      </c>
      <c r="K1482" t="s">
        <v>459</v>
      </c>
      <c r="L1482" t="s">
        <v>471</v>
      </c>
      <c r="M1482" t="s">
        <v>12</v>
      </c>
      <c r="N1482" s="2">
        <v>8000</v>
      </c>
      <c r="O1482" s="2">
        <v>0</v>
      </c>
      <c r="P1482" s="2">
        <v>-8000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</row>
    <row r="1483" spans="1:23" outlineLevel="2" x14ac:dyDescent="0.2">
      <c r="A1483" t="s">
        <v>402</v>
      </c>
      <c r="B1483" t="s">
        <v>31</v>
      </c>
      <c r="C1483" t="s">
        <v>79</v>
      </c>
      <c r="D1483" t="s">
        <v>117</v>
      </c>
      <c r="E1483" t="s">
        <v>118</v>
      </c>
      <c r="F1483" t="s">
        <v>5</v>
      </c>
      <c r="G1483" t="s">
        <v>6</v>
      </c>
      <c r="H1483" t="s">
        <v>7</v>
      </c>
      <c r="I1483" t="s">
        <v>8</v>
      </c>
      <c r="J1483" t="s">
        <v>403</v>
      </c>
      <c r="K1483" t="s">
        <v>459</v>
      </c>
      <c r="L1483" t="s">
        <v>460</v>
      </c>
      <c r="M1483" t="s">
        <v>12</v>
      </c>
      <c r="N1483" s="2">
        <v>10000</v>
      </c>
      <c r="O1483" s="2">
        <v>2700</v>
      </c>
      <c r="P1483" s="2">
        <v>0</v>
      </c>
      <c r="Q1483" s="2">
        <v>12700</v>
      </c>
      <c r="R1483" s="2">
        <v>0</v>
      </c>
      <c r="S1483" s="2">
        <v>12575.6</v>
      </c>
      <c r="T1483" s="2">
        <v>12573.55</v>
      </c>
      <c r="U1483" s="2">
        <v>124.4</v>
      </c>
      <c r="V1483" s="2">
        <v>126.45</v>
      </c>
      <c r="W1483" s="2">
        <v>124.4</v>
      </c>
    </row>
    <row r="1484" spans="1:23" outlineLevel="2" x14ac:dyDescent="0.2">
      <c r="A1484" t="s">
        <v>402</v>
      </c>
      <c r="B1484" t="s">
        <v>39</v>
      </c>
      <c r="C1484" t="s">
        <v>40</v>
      </c>
      <c r="D1484" t="s">
        <v>41</v>
      </c>
      <c r="E1484" t="s">
        <v>42</v>
      </c>
      <c r="F1484" t="s">
        <v>5</v>
      </c>
      <c r="G1484" t="s">
        <v>6</v>
      </c>
      <c r="H1484" t="s">
        <v>7</v>
      </c>
      <c r="I1484" t="s">
        <v>8</v>
      </c>
      <c r="J1484" t="s">
        <v>403</v>
      </c>
      <c r="K1484" t="s">
        <v>459</v>
      </c>
      <c r="L1484" t="s">
        <v>472</v>
      </c>
      <c r="M1484" t="s">
        <v>12</v>
      </c>
      <c r="N1484" s="2">
        <v>1750</v>
      </c>
      <c r="O1484" s="2">
        <v>0</v>
      </c>
      <c r="P1484" s="2">
        <v>-1750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</row>
    <row r="1485" spans="1:23" outlineLevel="2" x14ac:dyDescent="0.2">
      <c r="A1485" t="s">
        <v>402</v>
      </c>
      <c r="B1485" t="s">
        <v>31</v>
      </c>
      <c r="C1485" t="s">
        <v>79</v>
      </c>
      <c r="D1485" t="s">
        <v>80</v>
      </c>
      <c r="E1485" t="s">
        <v>81</v>
      </c>
      <c r="F1485" t="s">
        <v>5</v>
      </c>
      <c r="G1485" t="s">
        <v>6</v>
      </c>
      <c r="H1485" t="s">
        <v>7</v>
      </c>
      <c r="I1485" t="s">
        <v>8</v>
      </c>
      <c r="J1485" t="s">
        <v>403</v>
      </c>
      <c r="K1485" t="s">
        <v>459</v>
      </c>
      <c r="L1485" t="s">
        <v>460</v>
      </c>
      <c r="M1485" t="s">
        <v>12</v>
      </c>
      <c r="N1485" s="2">
        <v>7000</v>
      </c>
      <c r="O1485" s="2">
        <v>0</v>
      </c>
      <c r="P1485" s="2">
        <v>-2800</v>
      </c>
      <c r="Q1485" s="2">
        <v>4200</v>
      </c>
      <c r="R1485" s="2">
        <v>0</v>
      </c>
      <c r="S1485" s="2">
        <v>2958.14</v>
      </c>
      <c r="T1485" s="2">
        <v>0</v>
      </c>
      <c r="U1485" s="2">
        <v>1241.8599999999999</v>
      </c>
      <c r="V1485" s="2">
        <v>4200</v>
      </c>
      <c r="W1485" s="2">
        <v>1241.8599999999999</v>
      </c>
    </row>
    <row r="1486" spans="1:23" outlineLevel="2" x14ac:dyDescent="0.2">
      <c r="A1486" t="s">
        <v>402</v>
      </c>
      <c r="B1486" t="s">
        <v>39</v>
      </c>
      <c r="C1486" t="s">
        <v>40</v>
      </c>
      <c r="D1486" t="s">
        <v>77</v>
      </c>
      <c r="E1486" t="s">
        <v>78</v>
      </c>
      <c r="F1486" t="s">
        <v>5</v>
      </c>
      <c r="G1486" t="s">
        <v>6</v>
      </c>
      <c r="H1486" t="s">
        <v>7</v>
      </c>
      <c r="I1486" t="s">
        <v>8</v>
      </c>
      <c r="J1486" t="s">
        <v>403</v>
      </c>
      <c r="K1486" t="s">
        <v>459</v>
      </c>
      <c r="L1486" t="s">
        <v>472</v>
      </c>
      <c r="M1486" t="s">
        <v>12</v>
      </c>
      <c r="N1486" s="2">
        <v>161055.12</v>
      </c>
      <c r="O1486" s="2">
        <v>7056</v>
      </c>
      <c r="P1486" s="2">
        <v>-495.97</v>
      </c>
      <c r="Q1486" s="2">
        <v>167615.15</v>
      </c>
      <c r="R1486" s="2">
        <v>7449.98</v>
      </c>
      <c r="S1486" s="2">
        <v>15950.29</v>
      </c>
      <c r="T1486" s="2">
        <v>15578.55</v>
      </c>
      <c r="U1486" s="2">
        <v>151664.85999999999</v>
      </c>
      <c r="V1486" s="2">
        <v>152036.6</v>
      </c>
      <c r="W1486" s="2">
        <v>144214.88</v>
      </c>
    </row>
    <row r="1487" spans="1:23" outlineLevel="2" x14ac:dyDescent="0.2">
      <c r="A1487" t="s">
        <v>402</v>
      </c>
      <c r="B1487" t="s">
        <v>39</v>
      </c>
      <c r="C1487" t="s">
        <v>58</v>
      </c>
      <c r="D1487" t="s">
        <v>149</v>
      </c>
      <c r="E1487" t="s">
        <v>150</v>
      </c>
      <c r="F1487" t="s">
        <v>5</v>
      </c>
      <c r="G1487" t="s">
        <v>6</v>
      </c>
      <c r="H1487" t="s">
        <v>7</v>
      </c>
      <c r="I1487" t="s">
        <v>8</v>
      </c>
      <c r="J1487" t="s">
        <v>403</v>
      </c>
      <c r="K1487" t="s">
        <v>459</v>
      </c>
      <c r="L1487" t="s">
        <v>465</v>
      </c>
      <c r="M1487" t="s">
        <v>12</v>
      </c>
      <c r="N1487" s="2">
        <v>55000</v>
      </c>
      <c r="O1487" s="2">
        <v>-18743.46</v>
      </c>
      <c r="P1487" s="2">
        <v>-29294.93</v>
      </c>
      <c r="Q1487" s="2">
        <v>6961.61</v>
      </c>
      <c r="R1487" s="2">
        <v>0</v>
      </c>
      <c r="S1487" s="2">
        <v>6825.61</v>
      </c>
      <c r="T1487" s="2">
        <v>6460.6</v>
      </c>
      <c r="U1487" s="2">
        <v>136</v>
      </c>
      <c r="V1487" s="2">
        <v>501.01</v>
      </c>
      <c r="W1487" s="2">
        <v>136</v>
      </c>
    </row>
    <row r="1488" spans="1:23" outlineLevel="2" x14ac:dyDescent="0.2">
      <c r="A1488" t="s">
        <v>402</v>
      </c>
      <c r="B1488" t="s">
        <v>39</v>
      </c>
      <c r="C1488" t="s">
        <v>58</v>
      </c>
      <c r="D1488" t="s">
        <v>147</v>
      </c>
      <c r="E1488" t="s">
        <v>148</v>
      </c>
      <c r="F1488" t="s">
        <v>5</v>
      </c>
      <c r="G1488" t="s">
        <v>6</v>
      </c>
      <c r="H1488" t="s">
        <v>7</v>
      </c>
      <c r="I1488" t="s">
        <v>8</v>
      </c>
      <c r="J1488" t="s">
        <v>403</v>
      </c>
      <c r="K1488" t="s">
        <v>459</v>
      </c>
      <c r="L1488" t="s">
        <v>465</v>
      </c>
      <c r="M1488" t="s">
        <v>12</v>
      </c>
      <c r="N1488" s="2">
        <v>15000</v>
      </c>
      <c r="O1488" s="2">
        <v>-3000</v>
      </c>
      <c r="P1488" s="2">
        <v>-4160</v>
      </c>
      <c r="Q1488" s="2">
        <v>7840</v>
      </c>
      <c r="R1488" s="2">
        <v>11.88</v>
      </c>
      <c r="S1488" s="2">
        <v>7828.12</v>
      </c>
      <c r="T1488" s="2">
        <v>3553.36</v>
      </c>
      <c r="U1488" s="2">
        <v>11.88</v>
      </c>
      <c r="V1488" s="2">
        <v>4286.6400000000003</v>
      </c>
      <c r="W1488" s="2">
        <v>0</v>
      </c>
    </row>
    <row r="1489" spans="1:23" outlineLevel="2" x14ac:dyDescent="0.2">
      <c r="A1489" t="s">
        <v>402</v>
      </c>
      <c r="B1489" t="s">
        <v>1</v>
      </c>
      <c r="C1489" t="s">
        <v>16</v>
      </c>
      <c r="D1489" t="s">
        <v>62</v>
      </c>
      <c r="E1489" t="s">
        <v>63</v>
      </c>
      <c r="F1489" t="s">
        <v>5</v>
      </c>
      <c r="G1489" t="s">
        <v>6</v>
      </c>
      <c r="H1489" t="s">
        <v>7</v>
      </c>
      <c r="I1489" t="s">
        <v>8</v>
      </c>
      <c r="J1489" t="s">
        <v>403</v>
      </c>
      <c r="K1489" t="s">
        <v>459</v>
      </c>
      <c r="L1489" t="s">
        <v>473</v>
      </c>
      <c r="M1489" t="s">
        <v>15</v>
      </c>
      <c r="N1489" s="2">
        <v>300</v>
      </c>
      <c r="O1489" s="2">
        <v>0</v>
      </c>
      <c r="P1489" s="2">
        <v>-300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</row>
    <row r="1490" spans="1:23" outlineLevel="2" x14ac:dyDescent="0.2">
      <c r="A1490" t="s">
        <v>402</v>
      </c>
      <c r="B1490" t="s">
        <v>1</v>
      </c>
      <c r="C1490" t="s">
        <v>2</v>
      </c>
      <c r="D1490" t="s">
        <v>474</v>
      </c>
      <c r="E1490" t="s">
        <v>475</v>
      </c>
      <c r="F1490" t="s">
        <v>5</v>
      </c>
      <c r="G1490" t="s">
        <v>6</v>
      </c>
      <c r="H1490" t="s">
        <v>7</v>
      </c>
      <c r="I1490" t="s">
        <v>8</v>
      </c>
      <c r="J1490" t="s">
        <v>403</v>
      </c>
      <c r="K1490" t="s">
        <v>459</v>
      </c>
      <c r="L1490" t="s">
        <v>462</v>
      </c>
      <c r="M1490" t="s">
        <v>15</v>
      </c>
      <c r="N1490" s="2">
        <v>2100</v>
      </c>
      <c r="O1490" s="2">
        <v>0</v>
      </c>
      <c r="P1490" s="2">
        <v>-2100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</row>
    <row r="1491" spans="1:23" outlineLevel="2" x14ac:dyDescent="0.2">
      <c r="A1491" t="s">
        <v>402</v>
      </c>
      <c r="B1491" t="s">
        <v>31</v>
      </c>
      <c r="C1491" t="s">
        <v>79</v>
      </c>
      <c r="D1491" t="s">
        <v>133</v>
      </c>
      <c r="E1491" t="s">
        <v>134</v>
      </c>
      <c r="F1491" t="s">
        <v>5</v>
      </c>
      <c r="G1491" t="s">
        <v>6</v>
      </c>
      <c r="H1491" t="s">
        <v>7</v>
      </c>
      <c r="I1491" t="s">
        <v>8</v>
      </c>
      <c r="J1491" t="s">
        <v>403</v>
      </c>
      <c r="K1491" t="s">
        <v>459</v>
      </c>
      <c r="L1491" t="s">
        <v>460</v>
      </c>
      <c r="M1491" t="s">
        <v>12</v>
      </c>
      <c r="N1491" s="2">
        <v>130</v>
      </c>
      <c r="O1491" s="2">
        <v>0</v>
      </c>
      <c r="P1491" s="2">
        <v>-130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</row>
    <row r="1492" spans="1:23" outlineLevel="2" x14ac:dyDescent="0.2">
      <c r="A1492" t="s">
        <v>402</v>
      </c>
      <c r="B1492" t="s">
        <v>31</v>
      </c>
      <c r="C1492" t="s">
        <v>107</v>
      </c>
      <c r="D1492" t="s">
        <v>108</v>
      </c>
      <c r="E1492" t="s">
        <v>109</v>
      </c>
      <c r="F1492" t="s">
        <v>5</v>
      </c>
      <c r="G1492" t="s">
        <v>6</v>
      </c>
      <c r="H1492" t="s">
        <v>7</v>
      </c>
      <c r="I1492" t="s">
        <v>8</v>
      </c>
      <c r="J1492" t="s">
        <v>403</v>
      </c>
      <c r="K1492" t="s">
        <v>476</v>
      </c>
      <c r="L1492" t="s">
        <v>477</v>
      </c>
      <c r="M1492" t="s">
        <v>12</v>
      </c>
      <c r="N1492" s="2">
        <v>9200</v>
      </c>
      <c r="O1492" s="2">
        <v>0</v>
      </c>
      <c r="P1492" s="2">
        <v>-9200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</row>
    <row r="1493" spans="1:23" outlineLevel="2" x14ac:dyDescent="0.2">
      <c r="A1493" t="s">
        <v>402</v>
      </c>
      <c r="B1493" t="s">
        <v>31</v>
      </c>
      <c r="C1493" t="s">
        <v>79</v>
      </c>
      <c r="D1493" t="s">
        <v>117</v>
      </c>
      <c r="E1493" t="s">
        <v>118</v>
      </c>
      <c r="F1493" t="s">
        <v>5</v>
      </c>
      <c r="G1493" t="s">
        <v>6</v>
      </c>
      <c r="H1493" t="s">
        <v>7</v>
      </c>
      <c r="I1493" t="s">
        <v>8</v>
      </c>
      <c r="J1493" t="s">
        <v>403</v>
      </c>
      <c r="K1493" t="s">
        <v>476</v>
      </c>
      <c r="L1493" t="s">
        <v>478</v>
      </c>
      <c r="M1493" t="s">
        <v>12</v>
      </c>
      <c r="N1493" s="2">
        <v>41000</v>
      </c>
      <c r="O1493" s="2">
        <v>-15237</v>
      </c>
      <c r="P1493" s="2">
        <v>0</v>
      </c>
      <c r="Q1493" s="2">
        <v>25763</v>
      </c>
      <c r="R1493" s="2">
        <v>617.4</v>
      </c>
      <c r="S1493" s="2">
        <v>23144.799999999999</v>
      </c>
      <c r="T1493" s="2">
        <v>11761.12</v>
      </c>
      <c r="U1493" s="2">
        <v>2618.1999999999998</v>
      </c>
      <c r="V1493" s="2">
        <v>14001.88</v>
      </c>
      <c r="W1493" s="2">
        <v>2000.8</v>
      </c>
    </row>
    <row r="1494" spans="1:23" outlineLevel="2" x14ac:dyDescent="0.2">
      <c r="A1494" t="s">
        <v>402</v>
      </c>
      <c r="B1494" t="s">
        <v>31</v>
      </c>
      <c r="C1494" t="s">
        <v>79</v>
      </c>
      <c r="D1494" t="s">
        <v>113</v>
      </c>
      <c r="E1494" t="s">
        <v>114</v>
      </c>
      <c r="F1494" t="s">
        <v>5</v>
      </c>
      <c r="G1494" t="s">
        <v>6</v>
      </c>
      <c r="H1494" t="s">
        <v>7</v>
      </c>
      <c r="I1494" t="s">
        <v>8</v>
      </c>
      <c r="J1494" t="s">
        <v>403</v>
      </c>
      <c r="K1494" t="s">
        <v>476</v>
      </c>
      <c r="L1494" t="s">
        <v>478</v>
      </c>
      <c r="M1494" t="s">
        <v>12</v>
      </c>
      <c r="N1494" s="2">
        <v>3000</v>
      </c>
      <c r="O1494" s="2">
        <v>0</v>
      </c>
      <c r="P1494" s="2">
        <v>-2000</v>
      </c>
      <c r="Q1494" s="2">
        <v>1000</v>
      </c>
      <c r="R1494" s="2">
        <v>0</v>
      </c>
      <c r="S1494" s="2">
        <v>1000</v>
      </c>
      <c r="T1494" s="2">
        <v>0</v>
      </c>
      <c r="U1494" s="2">
        <v>0</v>
      </c>
      <c r="V1494" s="2">
        <v>1000</v>
      </c>
      <c r="W1494" s="2">
        <v>0</v>
      </c>
    </row>
    <row r="1495" spans="1:23" outlineLevel="2" x14ac:dyDescent="0.2">
      <c r="A1495" t="s">
        <v>402</v>
      </c>
      <c r="B1495" t="s">
        <v>31</v>
      </c>
      <c r="C1495" t="s">
        <v>79</v>
      </c>
      <c r="D1495" t="s">
        <v>133</v>
      </c>
      <c r="E1495" t="s">
        <v>134</v>
      </c>
      <c r="F1495" t="s">
        <v>5</v>
      </c>
      <c r="G1495" t="s">
        <v>6</v>
      </c>
      <c r="H1495" t="s">
        <v>7</v>
      </c>
      <c r="I1495" t="s">
        <v>8</v>
      </c>
      <c r="J1495" t="s">
        <v>403</v>
      </c>
      <c r="K1495" t="s">
        <v>476</v>
      </c>
      <c r="L1495" t="s">
        <v>478</v>
      </c>
      <c r="M1495" t="s">
        <v>12</v>
      </c>
      <c r="N1495" s="2">
        <v>7000</v>
      </c>
      <c r="O1495" s="2">
        <v>0</v>
      </c>
      <c r="P1495" s="2">
        <v>-7000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0</v>
      </c>
      <c r="W1495" s="2">
        <v>0</v>
      </c>
    </row>
    <row r="1496" spans="1:23" outlineLevel="2" x14ac:dyDescent="0.2">
      <c r="A1496" t="s">
        <v>402</v>
      </c>
      <c r="B1496" t="s">
        <v>31</v>
      </c>
      <c r="C1496" t="s">
        <v>79</v>
      </c>
      <c r="D1496" t="s">
        <v>80</v>
      </c>
      <c r="E1496" t="s">
        <v>81</v>
      </c>
      <c r="F1496" t="s">
        <v>5</v>
      </c>
      <c r="G1496" t="s">
        <v>6</v>
      </c>
      <c r="H1496" t="s">
        <v>7</v>
      </c>
      <c r="I1496" t="s">
        <v>8</v>
      </c>
      <c r="J1496" t="s">
        <v>403</v>
      </c>
      <c r="K1496" t="s">
        <v>476</v>
      </c>
      <c r="L1496" t="s">
        <v>478</v>
      </c>
      <c r="M1496" t="s">
        <v>12</v>
      </c>
      <c r="N1496" s="2">
        <v>8000</v>
      </c>
      <c r="O1496" s="2">
        <v>-4800</v>
      </c>
      <c r="P1496" s="2">
        <v>-3200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</row>
    <row r="1497" spans="1:23" outlineLevel="2" x14ac:dyDescent="0.2">
      <c r="A1497" t="s">
        <v>402</v>
      </c>
      <c r="B1497" t="s">
        <v>1</v>
      </c>
      <c r="C1497" t="s">
        <v>91</v>
      </c>
      <c r="D1497" t="s">
        <v>92</v>
      </c>
      <c r="E1497" t="s">
        <v>93</v>
      </c>
      <c r="F1497" t="s">
        <v>5</v>
      </c>
      <c r="G1497" t="s">
        <v>6</v>
      </c>
      <c r="H1497" t="s">
        <v>7</v>
      </c>
      <c r="I1497" t="s">
        <v>8</v>
      </c>
      <c r="J1497" t="s">
        <v>403</v>
      </c>
      <c r="K1497" t="s">
        <v>476</v>
      </c>
      <c r="L1497" t="s">
        <v>479</v>
      </c>
      <c r="M1497" t="s">
        <v>15</v>
      </c>
      <c r="N1497" s="2">
        <v>10000</v>
      </c>
      <c r="O1497" s="2">
        <v>-10000</v>
      </c>
      <c r="P1497" s="2">
        <v>0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</row>
    <row r="1498" spans="1:23" outlineLevel="2" x14ac:dyDescent="0.2">
      <c r="A1498" t="s">
        <v>402</v>
      </c>
      <c r="B1498" t="s">
        <v>1</v>
      </c>
      <c r="C1498" t="s">
        <v>91</v>
      </c>
      <c r="D1498" t="s">
        <v>92</v>
      </c>
      <c r="E1498" t="s">
        <v>93</v>
      </c>
      <c r="F1498" t="s">
        <v>5</v>
      </c>
      <c r="G1498" t="s">
        <v>6</v>
      </c>
      <c r="H1498" t="s">
        <v>7</v>
      </c>
      <c r="I1498" t="s">
        <v>8</v>
      </c>
      <c r="J1498" t="s">
        <v>403</v>
      </c>
      <c r="K1498" t="s">
        <v>480</v>
      </c>
      <c r="L1498" t="s">
        <v>481</v>
      </c>
      <c r="M1498" t="s">
        <v>12</v>
      </c>
      <c r="N1498" s="2">
        <v>0</v>
      </c>
      <c r="O1498" s="2">
        <v>0</v>
      </c>
      <c r="P1498" s="2">
        <v>2800</v>
      </c>
      <c r="Q1498" s="2">
        <v>2800</v>
      </c>
      <c r="R1498" s="2">
        <v>0</v>
      </c>
      <c r="S1498" s="2">
        <v>0</v>
      </c>
      <c r="T1498" s="2">
        <v>0</v>
      </c>
      <c r="U1498" s="2">
        <v>2800</v>
      </c>
      <c r="V1498" s="2">
        <v>2800</v>
      </c>
      <c r="W1498" s="2">
        <v>2800</v>
      </c>
    </row>
    <row r="1499" spans="1:23" outlineLevel="2" x14ac:dyDescent="0.2">
      <c r="A1499" t="s">
        <v>402</v>
      </c>
      <c r="B1499" t="s">
        <v>31</v>
      </c>
      <c r="C1499" t="s">
        <v>32</v>
      </c>
      <c r="D1499" t="s">
        <v>33</v>
      </c>
      <c r="E1499" t="s">
        <v>34</v>
      </c>
      <c r="F1499" t="s">
        <v>5</v>
      </c>
      <c r="G1499" t="s">
        <v>6</v>
      </c>
      <c r="H1499" t="s">
        <v>7</v>
      </c>
      <c r="I1499" t="s">
        <v>8</v>
      </c>
      <c r="J1499" t="s">
        <v>403</v>
      </c>
      <c r="K1499" t="s">
        <v>480</v>
      </c>
      <c r="L1499" t="s">
        <v>482</v>
      </c>
      <c r="M1499" t="s">
        <v>12</v>
      </c>
      <c r="N1499" s="2">
        <v>5000</v>
      </c>
      <c r="O1499" s="2">
        <v>-5000</v>
      </c>
      <c r="P1499" s="2">
        <v>0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</row>
    <row r="1500" spans="1:23" outlineLevel="2" x14ac:dyDescent="0.2">
      <c r="A1500" t="s">
        <v>402</v>
      </c>
      <c r="B1500" t="s">
        <v>39</v>
      </c>
      <c r="C1500" t="s">
        <v>58</v>
      </c>
      <c r="D1500" t="s">
        <v>135</v>
      </c>
      <c r="E1500" t="s">
        <v>136</v>
      </c>
      <c r="F1500" t="s">
        <v>5</v>
      </c>
      <c r="G1500" t="s">
        <v>6</v>
      </c>
      <c r="H1500" t="s">
        <v>7</v>
      </c>
      <c r="I1500" t="s">
        <v>8</v>
      </c>
      <c r="J1500" t="s">
        <v>403</v>
      </c>
      <c r="K1500" t="s">
        <v>480</v>
      </c>
      <c r="L1500" t="s">
        <v>483</v>
      </c>
      <c r="M1500" t="s">
        <v>12</v>
      </c>
      <c r="N1500" s="2">
        <v>0</v>
      </c>
      <c r="O1500" s="2">
        <v>1500</v>
      </c>
      <c r="P1500" s="2">
        <v>0</v>
      </c>
      <c r="Q1500" s="2">
        <v>1500</v>
      </c>
      <c r="R1500" s="2">
        <v>0</v>
      </c>
      <c r="S1500" s="2">
        <v>1021.44</v>
      </c>
      <c r="T1500" s="2">
        <v>0</v>
      </c>
      <c r="U1500" s="2">
        <v>478.56</v>
      </c>
      <c r="V1500" s="2">
        <v>1500</v>
      </c>
      <c r="W1500" s="2">
        <v>478.56</v>
      </c>
    </row>
    <row r="1501" spans="1:23" outlineLevel="2" x14ac:dyDescent="0.2">
      <c r="A1501" t="s">
        <v>402</v>
      </c>
      <c r="B1501" t="s">
        <v>1</v>
      </c>
      <c r="C1501" t="s">
        <v>91</v>
      </c>
      <c r="D1501" t="s">
        <v>92</v>
      </c>
      <c r="E1501" t="s">
        <v>93</v>
      </c>
      <c r="F1501" t="s">
        <v>5</v>
      </c>
      <c r="G1501" t="s">
        <v>6</v>
      </c>
      <c r="H1501" t="s">
        <v>7</v>
      </c>
      <c r="I1501" t="s">
        <v>8</v>
      </c>
      <c r="J1501" t="s">
        <v>403</v>
      </c>
      <c r="K1501" t="s">
        <v>480</v>
      </c>
      <c r="L1501" t="s">
        <v>481</v>
      </c>
      <c r="M1501" t="s">
        <v>15</v>
      </c>
      <c r="N1501" s="2">
        <v>0</v>
      </c>
      <c r="O1501" s="2">
        <v>2800</v>
      </c>
      <c r="P1501" s="2">
        <v>-2800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</row>
    <row r="1502" spans="1:23" outlineLevel="2" x14ac:dyDescent="0.2">
      <c r="A1502" t="s">
        <v>402</v>
      </c>
      <c r="B1502" t="s">
        <v>1</v>
      </c>
      <c r="C1502" t="s">
        <v>2</v>
      </c>
      <c r="D1502" t="s">
        <v>410</v>
      </c>
      <c r="E1502" t="s">
        <v>411</v>
      </c>
      <c r="F1502" t="s">
        <v>5</v>
      </c>
      <c r="G1502" t="s">
        <v>6</v>
      </c>
      <c r="H1502" t="s">
        <v>7</v>
      </c>
      <c r="I1502" t="s">
        <v>8</v>
      </c>
      <c r="J1502" t="s">
        <v>403</v>
      </c>
      <c r="K1502" t="s">
        <v>480</v>
      </c>
      <c r="L1502" t="s">
        <v>484</v>
      </c>
      <c r="M1502" t="s">
        <v>15</v>
      </c>
      <c r="N1502" s="2">
        <v>7500</v>
      </c>
      <c r="O1502" s="2">
        <v>0</v>
      </c>
      <c r="P1502" s="2">
        <v>-7500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</row>
    <row r="1503" spans="1:23" outlineLevel="2" x14ac:dyDescent="0.2">
      <c r="A1503" t="s">
        <v>402</v>
      </c>
      <c r="B1503" t="s">
        <v>31</v>
      </c>
      <c r="C1503" t="s">
        <v>79</v>
      </c>
      <c r="D1503" t="s">
        <v>83</v>
      </c>
      <c r="E1503" t="s">
        <v>84</v>
      </c>
      <c r="F1503" t="s">
        <v>5</v>
      </c>
      <c r="G1503" t="s">
        <v>6</v>
      </c>
      <c r="H1503" t="s">
        <v>7</v>
      </c>
      <c r="I1503" t="s">
        <v>8</v>
      </c>
      <c r="J1503" t="s">
        <v>403</v>
      </c>
      <c r="K1503" t="s">
        <v>480</v>
      </c>
      <c r="L1503" t="s">
        <v>485</v>
      </c>
      <c r="M1503" t="s">
        <v>12</v>
      </c>
      <c r="N1503" s="2">
        <v>2000</v>
      </c>
      <c r="O1503" s="2">
        <v>-36.85</v>
      </c>
      <c r="P1503" s="2">
        <v>0</v>
      </c>
      <c r="Q1503" s="2">
        <v>1963.15</v>
      </c>
      <c r="R1503" s="2">
        <v>0</v>
      </c>
      <c r="S1503" s="2">
        <v>0</v>
      </c>
      <c r="T1503" s="2">
        <v>0</v>
      </c>
      <c r="U1503" s="2">
        <v>1963.15</v>
      </c>
      <c r="V1503" s="2">
        <v>1963.15</v>
      </c>
      <c r="W1503" s="2">
        <v>1963.15</v>
      </c>
    </row>
    <row r="1504" spans="1:23" outlineLevel="2" x14ac:dyDescent="0.2">
      <c r="A1504" t="s">
        <v>402</v>
      </c>
      <c r="B1504" t="s">
        <v>31</v>
      </c>
      <c r="C1504" t="s">
        <v>32</v>
      </c>
      <c r="D1504" t="s">
        <v>75</v>
      </c>
      <c r="E1504" t="s">
        <v>76</v>
      </c>
      <c r="F1504" t="s">
        <v>5</v>
      </c>
      <c r="G1504" t="s">
        <v>6</v>
      </c>
      <c r="H1504" t="s">
        <v>7</v>
      </c>
      <c r="I1504" t="s">
        <v>8</v>
      </c>
      <c r="J1504" t="s">
        <v>403</v>
      </c>
      <c r="K1504" t="s">
        <v>480</v>
      </c>
      <c r="L1504" t="s">
        <v>482</v>
      </c>
      <c r="M1504" t="s">
        <v>12</v>
      </c>
      <c r="N1504" s="2">
        <v>500</v>
      </c>
      <c r="O1504" s="2">
        <v>0</v>
      </c>
      <c r="P1504" s="2">
        <v>-500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</row>
    <row r="1505" spans="1:23" outlineLevel="2" x14ac:dyDescent="0.2">
      <c r="A1505" t="s">
        <v>402</v>
      </c>
      <c r="B1505" t="s">
        <v>1</v>
      </c>
      <c r="C1505" t="s">
        <v>2</v>
      </c>
      <c r="D1505" t="s">
        <v>3</v>
      </c>
      <c r="E1505" t="s">
        <v>4</v>
      </c>
      <c r="F1505" t="s">
        <v>5</v>
      </c>
      <c r="G1505" t="s">
        <v>6</v>
      </c>
      <c r="H1505" t="s">
        <v>7</v>
      </c>
      <c r="I1505" t="s">
        <v>8</v>
      </c>
      <c r="J1505" t="s">
        <v>403</v>
      </c>
      <c r="K1505" t="s">
        <v>480</v>
      </c>
      <c r="L1505" t="s">
        <v>484</v>
      </c>
      <c r="M1505" t="s">
        <v>15</v>
      </c>
      <c r="N1505" s="2">
        <v>1200</v>
      </c>
      <c r="O1505" s="2">
        <v>-1200</v>
      </c>
      <c r="P1505" s="2">
        <v>0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</row>
    <row r="1506" spans="1:23" outlineLevel="2" x14ac:dyDescent="0.2">
      <c r="A1506" t="s">
        <v>402</v>
      </c>
      <c r="B1506" t="s">
        <v>39</v>
      </c>
      <c r="C1506" t="s">
        <v>58</v>
      </c>
      <c r="D1506" t="s">
        <v>139</v>
      </c>
      <c r="E1506" t="s">
        <v>140</v>
      </c>
      <c r="F1506" t="s">
        <v>5</v>
      </c>
      <c r="G1506" t="s">
        <v>6</v>
      </c>
      <c r="H1506" t="s">
        <v>7</v>
      </c>
      <c r="I1506" t="s">
        <v>8</v>
      </c>
      <c r="J1506" t="s">
        <v>403</v>
      </c>
      <c r="K1506" t="s">
        <v>480</v>
      </c>
      <c r="L1506" t="s">
        <v>483</v>
      </c>
      <c r="M1506" t="s">
        <v>12</v>
      </c>
      <c r="N1506" s="2">
        <v>1000</v>
      </c>
      <c r="O1506" s="2">
        <v>-1000</v>
      </c>
      <c r="P1506" s="2">
        <v>0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</row>
    <row r="1507" spans="1:23" outlineLevel="2" x14ac:dyDescent="0.2">
      <c r="A1507" t="s">
        <v>402</v>
      </c>
      <c r="B1507" t="s">
        <v>39</v>
      </c>
      <c r="C1507" t="s">
        <v>58</v>
      </c>
      <c r="D1507" t="s">
        <v>149</v>
      </c>
      <c r="E1507" t="s">
        <v>150</v>
      </c>
      <c r="F1507" t="s">
        <v>5</v>
      </c>
      <c r="G1507" t="s">
        <v>6</v>
      </c>
      <c r="H1507" t="s">
        <v>7</v>
      </c>
      <c r="I1507" t="s">
        <v>8</v>
      </c>
      <c r="J1507" t="s">
        <v>403</v>
      </c>
      <c r="K1507" t="s">
        <v>480</v>
      </c>
      <c r="L1507" t="s">
        <v>483</v>
      </c>
      <c r="M1507" t="s">
        <v>12</v>
      </c>
      <c r="N1507" s="2">
        <v>3000</v>
      </c>
      <c r="O1507" s="2">
        <v>0</v>
      </c>
      <c r="P1507" s="2">
        <v>0</v>
      </c>
      <c r="Q1507" s="2">
        <v>3000</v>
      </c>
      <c r="R1507" s="2">
        <v>0</v>
      </c>
      <c r="S1507" s="2">
        <v>0</v>
      </c>
      <c r="T1507" s="2">
        <v>0</v>
      </c>
      <c r="U1507" s="2">
        <v>3000</v>
      </c>
      <c r="V1507" s="2">
        <v>3000</v>
      </c>
      <c r="W1507" s="2">
        <v>3000</v>
      </c>
    </row>
    <row r="1508" spans="1:23" outlineLevel="2" x14ac:dyDescent="0.2">
      <c r="A1508" t="s">
        <v>402</v>
      </c>
      <c r="B1508" t="s">
        <v>39</v>
      </c>
      <c r="C1508" t="s">
        <v>40</v>
      </c>
      <c r="D1508" t="s">
        <v>77</v>
      </c>
      <c r="E1508" t="s">
        <v>78</v>
      </c>
      <c r="F1508" t="s">
        <v>5</v>
      </c>
      <c r="G1508" t="s">
        <v>6</v>
      </c>
      <c r="H1508" t="s">
        <v>7</v>
      </c>
      <c r="I1508" t="s">
        <v>8</v>
      </c>
      <c r="J1508" t="s">
        <v>403</v>
      </c>
      <c r="K1508" t="s">
        <v>486</v>
      </c>
      <c r="L1508" t="s">
        <v>487</v>
      </c>
      <c r="M1508" t="s">
        <v>12</v>
      </c>
      <c r="N1508" s="2">
        <v>1576573.21</v>
      </c>
      <c r="O1508" s="2">
        <v>-1273276.07</v>
      </c>
      <c r="P1508" s="2">
        <v>-303297.14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</row>
    <row r="1509" spans="1:23" outlineLevel="2" x14ac:dyDescent="0.2">
      <c r="A1509" t="s">
        <v>402</v>
      </c>
      <c r="B1509" t="s">
        <v>39</v>
      </c>
      <c r="C1509" t="s">
        <v>66</v>
      </c>
      <c r="D1509" t="s">
        <v>67</v>
      </c>
      <c r="E1509" t="s">
        <v>68</v>
      </c>
      <c r="F1509" t="s">
        <v>5</v>
      </c>
      <c r="G1509" t="s">
        <v>6</v>
      </c>
      <c r="H1509" t="s">
        <v>7</v>
      </c>
      <c r="I1509" t="s">
        <v>8</v>
      </c>
      <c r="J1509" t="s">
        <v>403</v>
      </c>
      <c r="K1509" t="s">
        <v>486</v>
      </c>
      <c r="L1509" t="s">
        <v>488</v>
      </c>
      <c r="M1509" t="s">
        <v>12</v>
      </c>
      <c r="N1509" s="2">
        <v>570990.34</v>
      </c>
      <c r="O1509" s="2">
        <v>34525.620000000003</v>
      </c>
      <c r="P1509" s="2">
        <v>0</v>
      </c>
      <c r="Q1509" s="2">
        <v>605515.96</v>
      </c>
      <c r="R1509" s="2">
        <v>21385.040000000001</v>
      </c>
      <c r="S1509" s="2">
        <v>584130.92000000004</v>
      </c>
      <c r="T1509" s="2">
        <v>543881.23</v>
      </c>
      <c r="U1509" s="2">
        <v>21385.040000000001</v>
      </c>
      <c r="V1509" s="2">
        <v>61634.73</v>
      </c>
      <c r="W1509" s="2">
        <v>0</v>
      </c>
    </row>
    <row r="1510" spans="1:23" outlineLevel="2" x14ac:dyDescent="0.2">
      <c r="A1510" t="s">
        <v>402</v>
      </c>
      <c r="B1510" t="s">
        <v>39</v>
      </c>
      <c r="C1510" t="s">
        <v>58</v>
      </c>
      <c r="D1510" t="s">
        <v>137</v>
      </c>
      <c r="E1510" t="s">
        <v>138</v>
      </c>
      <c r="F1510" t="s">
        <v>5</v>
      </c>
      <c r="G1510" t="s">
        <v>6</v>
      </c>
      <c r="H1510" t="s">
        <v>7</v>
      </c>
      <c r="I1510" t="s">
        <v>8</v>
      </c>
      <c r="J1510" t="s">
        <v>403</v>
      </c>
      <c r="K1510" t="s">
        <v>486</v>
      </c>
      <c r="L1510" t="s">
        <v>489</v>
      </c>
      <c r="M1510" t="s">
        <v>12</v>
      </c>
      <c r="N1510" s="2">
        <v>211000</v>
      </c>
      <c r="O1510" s="2">
        <v>-13881.12</v>
      </c>
      <c r="P1510" s="2">
        <v>0</v>
      </c>
      <c r="Q1510" s="2">
        <v>197118.88</v>
      </c>
      <c r="R1510" s="2">
        <v>0</v>
      </c>
      <c r="S1510" s="2">
        <v>197118.88</v>
      </c>
      <c r="T1510" s="2">
        <v>82132.850000000006</v>
      </c>
      <c r="U1510" s="2">
        <v>0</v>
      </c>
      <c r="V1510" s="2">
        <v>114986.03</v>
      </c>
      <c r="W1510" s="2">
        <v>0</v>
      </c>
    </row>
    <row r="1511" spans="1:23" outlineLevel="2" x14ac:dyDescent="0.2">
      <c r="A1511" t="s">
        <v>402</v>
      </c>
      <c r="B1511" t="s">
        <v>31</v>
      </c>
      <c r="C1511" t="s">
        <v>79</v>
      </c>
      <c r="D1511" t="s">
        <v>133</v>
      </c>
      <c r="E1511" t="s">
        <v>134</v>
      </c>
      <c r="F1511" t="s">
        <v>5</v>
      </c>
      <c r="G1511" t="s">
        <v>6</v>
      </c>
      <c r="H1511" t="s">
        <v>7</v>
      </c>
      <c r="I1511" t="s">
        <v>8</v>
      </c>
      <c r="J1511" t="s">
        <v>403</v>
      </c>
      <c r="K1511" t="s">
        <v>486</v>
      </c>
      <c r="L1511" t="s">
        <v>490</v>
      </c>
      <c r="M1511" t="s">
        <v>12</v>
      </c>
      <c r="N1511" s="2">
        <v>98560</v>
      </c>
      <c r="O1511" s="2">
        <v>0</v>
      </c>
      <c r="P1511" s="2">
        <v>0</v>
      </c>
      <c r="Q1511" s="2">
        <v>98560</v>
      </c>
      <c r="R1511" s="2">
        <v>0</v>
      </c>
      <c r="S1511" s="2">
        <v>70240</v>
      </c>
      <c r="T1511" s="2">
        <v>58664.38</v>
      </c>
      <c r="U1511" s="2">
        <v>28320</v>
      </c>
      <c r="V1511" s="2">
        <v>39895.620000000003</v>
      </c>
      <c r="W1511" s="2">
        <v>28320</v>
      </c>
    </row>
    <row r="1512" spans="1:23" outlineLevel="2" x14ac:dyDescent="0.2">
      <c r="A1512" t="s">
        <v>402</v>
      </c>
      <c r="B1512" t="s">
        <v>31</v>
      </c>
      <c r="C1512" t="s">
        <v>79</v>
      </c>
      <c r="D1512" t="s">
        <v>80</v>
      </c>
      <c r="E1512" t="s">
        <v>81</v>
      </c>
      <c r="F1512" t="s">
        <v>5</v>
      </c>
      <c r="G1512" t="s">
        <v>6</v>
      </c>
      <c r="H1512" t="s">
        <v>7</v>
      </c>
      <c r="I1512" t="s">
        <v>8</v>
      </c>
      <c r="J1512" t="s">
        <v>403</v>
      </c>
      <c r="K1512" t="s">
        <v>486</v>
      </c>
      <c r="L1512" t="s">
        <v>490</v>
      </c>
      <c r="M1512" t="s">
        <v>12</v>
      </c>
      <c r="N1512" s="2">
        <v>105000</v>
      </c>
      <c r="O1512" s="2">
        <v>-25000</v>
      </c>
      <c r="P1512" s="2">
        <v>-7104.9</v>
      </c>
      <c r="Q1512" s="2">
        <v>72895.100000000006</v>
      </c>
      <c r="R1512" s="2">
        <v>0</v>
      </c>
      <c r="S1512" s="2">
        <v>69437.759999999995</v>
      </c>
      <c r="T1512" s="2">
        <v>57864.800000000003</v>
      </c>
      <c r="U1512" s="2">
        <v>3457.34</v>
      </c>
      <c r="V1512" s="2">
        <v>15030.3</v>
      </c>
      <c r="W1512" s="2">
        <v>3457.34</v>
      </c>
    </row>
    <row r="1513" spans="1:23" outlineLevel="2" x14ac:dyDescent="0.2">
      <c r="A1513" t="s">
        <v>402</v>
      </c>
      <c r="B1513" t="s">
        <v>39</v>
      </c>
      <c r="C1513" t="s">
        <v>58</v>
      </c>
      <c r="D1513" t="s">
        <v>59</v>
      </c>
      <c r="E1513" t="s">
        <v>60</v>
      </c>
      <c r="F1513" t="s">
        <v>5</v>
      </c>
      <c r="G1513" t="s">
        <v>6</v>
      </c>
      <c r="H1513" t="s">
        <v>7</v>
      </c>
      <c r="I1513" t="s">
        <v>8</v>
      </c>
      <c r="J1513" t="s">
        <v>403</v>
      </c>
      <c r="K1513" t="s">
        <v>486</v>
      </c>
      <c r="L1513" t="s">
        <v>489</v>
      </c>
      <c r="M1513" t="s">
        <v>12</v>
      </c>
      <c r="N1513" s="2">
        <v>171000</v>
      </c>
      <c r="O1513" s="2">
        <v>-1642.8</v>
      </c>
      <c r="P1513" s="2">
        <v>-7623.38</v>
      </c>
      <c r="Q1513" s="2">
        <v>161733.82</v>
      </c>
      <c r="R1513" s="2">
        <v>0</v>
      </c>
      <c r="S1513" s="2">
        <v>161733.82</v>
      </c>
      <c r="T1513" s="2">
        <v>122151.36</v>
      </c>
      <c r="U1513" s="2">
        <v>0</v>
      </c>
      <c r="V1513" s="2">
        <v>39582.46</v>
      </c>
      <c r="W1513" s="2">
        <v>0</v>
      </c>
    </row>
    <row r="1514" spans="1:23" outlineLevel="2" x14ac:dyDescent="0.2">
      <c r="A1514" t="s">
        <v>402</v>
      </c>
      <c r="B1514" t="s">
        <v>1</v>
      </c>
      <c r="C1514" t="s">
        <v>2</v>
      </c>
      <c r="D1514" t="s">
        <v>3</v>
      </c>
      <c r="E1514" t="s">
        <v>4</v>
      </c>
      <c r="F1514" t="s">
        <v>5</v>
      </c>
      <c r="G1514" t="s">
        <v>6</v>
      </c>
      <c r="H1514" t="s">
        <v>7</v>
      </c>
      <c r="I1514" t="s">
        <v>8</v>
      </c>
      <c r="J1514" t="s">
        <v>403</v>
      </c>
      <c r="K1514" t="s">
        <v>486</v>
      </c>
      <c r="L1514" t="s">
        <v>491</v>
      </c>
      <c r="M1514" t="s">
        <v>15</v>
      </c>
      <c r="N1514" s="2">
        <v>134000</v>
      </c>
      <c r="O1514" s="2">
        <v>17128.36</v>
      </c>
      <c r="P1514" s="2">
        <v>-7945.12</v>
      </c>
      <c r="Q1514" s="2">
        <v>143183.24</v>
      </c>
      <c r="R1514" s="2">
        <v>0.01</v>
      </c>
      <c r="S1514" s="2">
        <v>143183.23000000001</v>
      </c>
      <c r="T1514" s="2">
        <v>97778.59</v>
      </c>
      <c r="U1514" s="2">
        <v>0.01</v>
      </c>
      <c r="V1514" s="2">
        <v>45404.65</v>
      </c>
      <c r="W1514" s="2">
        <v>0</v>
      </c>
    </row>
    <row r="1515" spans="1:23" outlineLevel="2" x14ac:dyDescent="0.2">
      <c r="A1515" t="s">
        <v>402</v>
      </c>
      <c r="B1515" t="s">
        <v>39</v>
      </c>
      <c r="C1515" t="s">
        <v>58</v>
      </c>
      <c r="D1515" t="s">
        <v>135</v>
      </c>
      <c r="E1515" t="s">
        <v>136</v>
      </c>
      <c r="F1515" t="s">
        <v>5</v>
      </c>
      <c r="G1515" t="s">
        <v>6</v>
      </c>
      <c r="H1515" t="s">
        <v>7</v>
      </c>
      <c r="I1515" t="s">
        <v>8</v>
      </c>
      <c r="J1515" t="s">
        <v>403</v>
      </c>
      <c r="K1515" t="s">
        <v>486</v>
      </c>
      <c r="L1515" t="s">
        <v>489</v>
      </c>
      <c r="M1515" t="s">
        <v>12</v>
      </c>
      <c r="N1515" s="2">
        <v>380000</v>
      </c>
      <c r="O1515" s="2">
        <v>-66741.23</v>
      </c>
      <c r="P1515" s="2">
        <v>-31171.94</v>
      </c>
      <c r="Q1515" s="2">
        <v>282086.83</v>
      </c>
      <c r="R1515" s="2">
        <v>0</v>
      </c>
      <c r="S1515" s="2">
        <v>282086.82</v>
      </c>
      <c r="T1515" s="2">
        <v>225957.48</v>
      </c>
      <c r="U1515" s="2">
        <v>0.01</v>
      </c>
      <c r="V1515" s="2">
        <v>56129.35</v>
      </c>
      <c r="W1515" s="2">
        <v>0.01</v>
      </c>
    </row>
    <row r="1516" spans="1:23" outlineLevel="2" x14ac:dyDescent="0.2">
      <c r="A1516" t="s">
        <v>402</v>
      </c>
      <c r="B1516" t="s">
        <v>1</v>
      </c>
      <c r="C1516" t="s">
        <v>91</v>
      </c>
      <c r="D1516" t="s">
        <v>92</v>
      </c>
      <c r="E1516" t="s">
        <v>93</v>
      </c>
      <c r="F1516" t="s">
        <v>5</v>
      </c>
      <c r="G1516" t="s">
        <v>6</v>
      </c>
      <c r="H1516" t="s">
        <v>7</v>
      </c>
      <c r="I1516" t="s">
        <v>8</v>
      </c>
      <c r="J1516" t="s">
        <v>403</v>
      </c>
      <c r="K1516" t="s">
        <v>486</v>
      </c>
      <c r="L1516" t="s">
        <v>492</v>
      </c>
      <c r="M1516" t="s">
        <v>15</v>
      </c>
      <c r="N1516" s="2">
        <v>180000</v>
      </c>
      <c r="O1516" s="2">
        <v>44412.83</v>
      </c>
      <c r="P1516" s="2">
        <v>0</v>
      </c>
      <c r="Q1516" s="2">
        <v>224412.83</v>
      </c>
      <c r="R1516" s="2">
        <v>9941.65</v>
      </c>
      <c r="S1516" s="2">
        <v>214471.18</v>
      </c>
      <c r="T1516" s="2">
        <v>176428.49</v>
      </c>
      <c r="U1516" s="2">
        <v>9941.65</v>
      </c>
      <c r="V1516" s="2">
        <v>47984.34</v>
      </c>
      <c r="W1516" s="2">
        <v>0</v>
      </c>
    </row>
    <row r="1517" spans="1:23" outlineLevel="2" x14ac:dyDescent="0.2">
      <c r="A1517" t="s">
        <v>402</v>
      </c>
      <c r="B1517" t="s">
        <v>31</v>
      </c>
      <c r="C1517" t="s">
        <v>79</v>
      </c>
      <c r="D1517" t="s">
        <v>117</v>
      </c>
      <c r="E1517" t="s">
        <v>118</v>
      </c>
      <c r="F1517" t="s">
        <v>5</v>
      </c>
      <c r="G1517" t="s">
        <v>6</v>
      </c>
      <c r="H1517" t="s">
        <v>7</v>
      </c>
      <c r="I1517" t="s">
        <v>8</v>
      </c>
      <c r="J1517" t="s">
        <v>403</v>
      </c>
      <c r="K1517" t="s">
        <v>486</v>
      </c>
      <c r="L1517" t="s">
        <v>490</v>
      </c>
      <c r="M1517" t="s">
        <v>12</v>
      </c>
      <c r="N1517" s="2">
        <v>184800</v>
      </c>
      <c r="O1517" s="2">
        <v>-60346.720000000001</v>
      </c>
      <c r="P1517" s="2">
        <v>0</v>
      </c>
      <c r="Q1517" s="2">
        <v>124453.28</v>
      </c>
      <c r="R1517" s="2">
        <v>0</v>
      </c>
      <c r="S1517" s="2">
        <v>124453.28</v>
      </c>
      <c r="T1517" s="2">
        <v>103711</v>
      </c>
      <c r="U1517" s="2">
        <v>0</v>
      </c>
      <c r="V1517" s="2">
        <v>20742.28</v>
      </c>
      <c r="W1517" s="2">
        <v>0</v>
      </c>
    </row>
    <row r="1518" spans="1:23" outlineLevel="2" x14ac:dyDescent="0.2">
      <c r="A1518" t="s">
        <v>402</v>
      </c>
      <c r="B1518" t="s">
        <v>1</v>
      </c>
      <c r="C1518" t="s">
        <v>2</v>
      </c>
      <c r="D1518" t="s">
        <v>3</v>
      </c>
      <c r="E1518" t="s">
        <v>4</v>
      </c>
      <c r="F1518" t="s">
        <v>5</v>
      </c>
      <c r="G1518" t="s">
        <v>6</v>
      </c>
      <c r="H1518" t="s">
        <v>7</v>
      </c>
      <c r="I1518" t="s">
        <v>8</v>
      </c>
      <c r="J1518" t="s">
        <v>403</v>
      </c>
      <c r="K1518" t="s">
        <v>486</v>
      </c>
      <c r="L1518" t="s">
        <v>491</v>
      </c>
      <c r="M1518" t="s">
        <v>12</v>
      </c>
      <c r="N1518" s="2">
        <v>0</v>
      </c>
      <c r="O1518" s="2">
        <v>0</v>
      </c>
      <c r="P1518" s="2">
        <v>7945.12</v>
      </c>
      <c r="Q1518" s="2">
        <v>7945.12</v>
      </c>
      <c r="R1518" s="2">
        <v>0</v>
      </c>
      <c r="S1518" s="2">
        <v>7140</v>
      </c>
      <c r="T1518" s="2">
        <v>0</v>
      </c>
      <c r="U1518" s="2">
        <v>805.12</v>
      </c>
      <c r="V1518" s="2">
        <v>7945.12</v>
      </c>
      <c r="W1518" s="2">
        <v>805.12</v>
      </c>
    </row>
    <row r="1519" spans="1:23" outlineLevel="2" x14ac:dyDescent="0.2">
      <c r="A1519" t="s">
        <v>402</v>
      </c>
      <c r="B1519" t="s">
        <v>1</v>
      </c>
      <c r="C1519" t="s">
        <v>2</v>
      </c>
      <c r="D1519" t="s">
        <v>410</v>
      </c>
      <c r="E1519" t="s">
        <v>411</v>
      </c>
      <c r="F1519" t="s">
        <v>5</v>
      </c>
      <c r="G1519" t="s">
        <v>6</v>
      </c>
      <c r="H1519" t="s">
        <v>7</v>
      </c>
      <c r="I1519" t="s">
        <v>8</v>
      </c>
      <c r="J1519" t="s">
        <v>403</v>
      </c>
      <c r="K1519" t="s">
        <v>486</v>
      </c>
      <c r="L1519" t="s">
        <v>491</v>
      </c>
      <c r="M1519" t="s">
        <v>15</v>
      </c>
      <c r="N1519" s="2">
        <v>5000000</v>
      </c>
      <c r="O1519" s="2">
        <v>-1314.29</v>
      </c>
      <c r="P1519" s="2">
        <v>-1536765.71</v>
      </c>
      <c r="Q1519" s="2">
        <v>3461920</v>
      </c>
      <c r="R1519" s="2">
        <v>0</v>
      </c>
      <c r="S1519" s="2">
        <v>3461920</v>
      </c>
      <c r="T1519" s="2">
        <v>2884933.3</v>
      </c>
      <c r="U1519" s="2">
        <v>0</v>
      </c>
      <c r="V1519" s="2">
        <v>576986.69999999995</v>
      </c>
      <c r="W1519" s="2">
        <v>0</v>
      </c>
    </row>
    <row r="1520" spans="1:23" outlineLevel="2" x14ac:dyDescent="0.2">
      <c r="A1520" t="s">
        <v>402</v>
      </c>
      <c r="B1520" t="s">
        <v>31</v>
      </c>
      <c r="C1520" t="s">
        <v>79</v>
      </c>
      <c r="D1520" t="s">
        <v>125</v>
      </c>
      <c r="E1520" t="s">
        <v>126</v>
      </c>
      <c r="F1520" t="s">
        <v>5</v>
      </c>
      <c r="G1520" t="s">
        <v>6</v>
      </c>
      <c r="H1520" t="s">
        <v>7</v>
      </c>
      <c r="I1520" t="s">
        <v>8</v>
      </c>
      <c r="J1520" t="s">
        <v>403</v>
      </c>
      <c r="K1520" t="s">
        <v>486</v>
      </c>
      <c r="L1520" t="s">
        <v>490</v>
      </c>
      <c r="M1520" t="s">
        <v>12</v>
      </c>
      <c r="N1520" s="2">
        <v>122000</v>
      </c>
      <c r="O1520" s="2">
        <v>-188.78</v>
      </c>
      <c r="P1520" s="2">
        <v>-27000</v>
      </c>
      <c r="Q1520" s="2">
        <v>94811.22</v>
      </c>
      <c r="R1520" s="2">
        <v>0</v>
      </c>
      <c r="S1520" s="2">
        <v>94254.79</v>
      </c>
      <c r="T1520" s="2">
        <v>77479.960000000006</v>
      </c>
      <c r="U1520" s="2">
        <v>556.42999999999995</v>
      </c>
      <c r="V1520" s="2">
        <v>17331.259999999998</v>
      </c>
      <c r="W1520" s="2">
        <v>556.42999999999995</v>
      </c>
    </row>
    <row r="1521" spans="1:23" outlineLevel="2" x14ac:dyDescent="0.2">
      <c r="A1521" t="s">
        <v>402</v>
      </c>
      <c r="B1521" t="s">
        <v>39</v>
      </c>
      <c r="C1521" t="s">
        <v>58</v>
      </c>
      <c r="D1521" t="s">
        <v>139</v>
      </c>
      <c r="E1521" t="s">
        <v>140</v>
      </c>
      <c r="F1521" t="s">
        <v>5</v>
      </c>
      <c r="G1521" t="s">
        <v>6</v>
      </c>
      <c r="H1521" t="s">
        <v>7</v>
      </c>
      <c r="I1521" t="s">
        <v>8</v>
      </c>
      <c r="J1521" t="s">
        <v>403</v>
      </c>
      <c r="K1521" t="s">
        <v>486</v>
      </c>
      <c r="L1521" t="s">
        <v>489</v>
      </c>
      <c r="M1521" t="s">
        <v>12</v>
      </c>
      <c r="N1521" s="2">
        <v>528000</v>
      </c>
      <c r="O1521" s="2">
        <v>-58700</v>
      </c>
      <c r="P1521" s="2">
        <v>0</v>
      </c>
      <c r="Q1521" s="2">
        <v>469300</v>
      </c>
      <c r="R1521" s="2">
        <v>40098.589999999997</v>
      </c>
      <c r="S1521" s="2">
        <v>428000</v>
      </c>
      <c r="T1521" s="2">
        <v>360419.37</v>
      </c>
      <c r="U1521" s="2">
        <v>41300</v>
      </c>
      <c r="V1521" s="2">
        <v>108880.63</v>
      </c>
      <c r="W1521" s="2">
        <v>1201.4100000000001</v>
      </c>
    </row>
    <row r="1522" spans="1:23" outlineLevel="2" x14ac:dyDescent="0.2">
      <c r="A1522" t="s">
        <v>402</v>
      </c>
      <c r="B1522" t="s">
        <v>31</v>
      </c>
      <c r="C1522" t="s">
        <v>79</v>
      </c>
      <c r="D1522" t="s">
        <v>113</v>
      </c>
      <c r="E1522" t="s">
        <v>114</v>
      </c>
      <c r="F1522" t="s">
        <v>5</v>
      </c>
      <c r="G1522" t="s">
        <v>6</v>
      </c>
      <c r="H1522" t="s">
        <v>7</v>
      </c>
      <c r="I1522" t="s">
        <v>8</v>
      </c>
      <c r="J1522" t="s">
        <v>403</v>
      </c>
      <c r="K1522" t="s">
        <v>486</v>
      </c>
      <c r="L1522" t="s">
        <v>490</v>
      </c>
      <c r="M1522" t="s">
        <v>12</v>
      </c>
      <c r="N1522" s="2">
        <v>150000</v>
      </c>
      <c r="O1522" s="2">
        <v>-29000</v>
      </c>
      <c r="P1522" s="2">
        <v>0</v>
      </c>
      <c r="Q1522" s="2">
        <v>121000</v>
      </c>
      <c r="R1522" s="2">
        <v>9000</v>
      </c>
      <c r="S1522" s="2">
        <v>112000</v>
      </c>
      <c r="T1522" s="2">
        <v>93333.3</v>
      </c>
      <c r="U1522" s="2">
        <v>9000</v>
      </c>
      <c r="V1522" s="2">
        <v>27666.7</v>
      </c>
      <c r="W1522" s="2">
        <v>0</v>
      </c>
    </row>
    <row r="1523" spans="1:23" outlineLevel="2" x14ac:dyDescent="0.2">
      <c r="A1523" t="s">
        <v>402</v>
      </c>
      <c r="B1523" t="s">
        <v>39</v>
      </c>
      <c r="C1523" t="s">
        <v>58</v>
      </c>
      <c r="D1523" t="s">
        <v>145</v>
      </c>
      <c r="E1523" t="s">
        <v>146</v>
      </c>
      <c r="F1523" t="s">
        <v>5</v>
      </c>
      <c r="G1523" t="s">
        <v>6</v>
      </c>
      <c r="H1523" t="s">
        <v>7</v>
      </c>
      <c r="I1523" t="s">
        <v>8</v>
      </c>
      <c r="J1523" t="s">
        <v>403</v>
      </c>
      <c r="K1523" t="s">
        <v>486</v>
      </c>
      <c r="L1523" t="s">
        <v>489</v>
      </c>
      <c r="M1523" t="s">
        <v>12</v>
      </c>
      <c r="N1523" s="2">
        <v>330000</v>
      </c>
      <c r="O1523" s="2">
        <v>31145.83</v>
      </c>
      <c r="P1523" s="2">
        <v>0</v>
      </c>
      <c r="Q1523" s="2">
        <v>361145.83</v>
      </c>
      <c r="R1523" s="2">
        <v>0</v>
      </c>
      <c r="S1523" s="2">
        <v>260910.05</v>
      </c>
      <c r="T1523" s="2">
        <v>195558.03</v>
      </c>
      <c r="U1523" s="2">
        <v>100235.78</v>
      </c>
      <c r="V1523" s="2">
        <v>165587.79999999999</v>
      </c>
      <c r="W1523" s="2">
        <v>100235.78</v>
      </c>
    </row>
    <row r="1524" spans="1:23" outlineLevel="2" x14ac:dyDescent="0.2">
      <c r="A1524" t="s">
        <v>402</v>
      </c>
      <c r="B1524" t="s">
        <v>39</v>
      </c>
      <c r="C1524" t="s">
        <v>58</v>
      </c>
      <c r="D1524" t="s">
        <v>129</v>
      </c>
      <c r="E1524" t="s">
        <v>130</v>
      </c>
      <c r="F1524" t="s">
        <v>5</v>
      </c>
      <c r="G1524" t="s">
        <v>6</v>
      </c>
      <c r="H1524" t="s">
        <v>7</v>
      </c>
      <c r="I1524" t="s">
        <v>8</v>
      </c>
      <c r="J1524" t="s">
        <v>403</v>
      </c>
      <c r="K1524" t="s">
        <v>486</v>
      </c>
      <c r="L1524" t="s">
        <v>489</v>
      </c>
      <c r="M1524" t="s">
        <v>12</v>
      </c>
      <c r="N1524" s="2">
        <v>33000</v>
      </c>
      <c r="O1524" s="2">
        <v>0</v>
      </c>
      <c r="P1524" s="2">
        <v>-5840.76</v>
      </c>
      <c r="Q1524" s="2">
        <v>27159.24</v>
      </c>
      <c r="R1524" s="2">
        <v>196.16</v>
      </c>
      <c r="S1524" s="2">
        <v>25749.14</v>
      </c>
      <c r="T1524" s="2">
        <v>20382.04</v>
      </c>
      <c r="U1524" s="2">
        <v>1410.1</v>
      </c>
      <c r="V1524" s="2">
        <v>6777.2</v>
      </c>
      <c r="W1524" s="2">
        <v>1213.94</v>
      </c>
    </row>
    <row r="1525" spans="1:23" outlineLevel="2" x14ac:dyDescent="0.2">
      <c r="A1525" t="s">
        <v>402</v>
      </c>
      <c r="B1525" t="s">
        <v>31</v>
      </c>
      <c r="C1525" t="s">
        <v>79</v>
      </c>
      <c r="D1525" t="s">
        <v>115</v>
      </c>
      <c r="E1525" t="s">
        <v>116</v>
      </c>
      <c r="F1525" t="s">
        <v>5</v>
      </c>
      <c r="G1525" t="s">
        <v>6</v>
      </c>
      <c r="H1525" t="s">
        <v>7</v>
      </c>
      <c r="I1525" t="s">
        <v>8</v>
      </c>
      <c r="J1525" t="s">
        <v>403</v>
      </c>
      <c r="K1525" t="s">
        <v>486</v>
      </c>
      <c r="L1525" t="s">
        <v>490</v>
      </c>
      <c r="M1525" t="s">
        <v>12</v>
      </c>
      <c r="N1525" s="2">
        <v>108305</v>
      </c>
      <c r="O1525" s="2">
        <v>-19713</v>
      </c>
      <c r="P1525" s="2">
        <v>0</v>
      </c>
      <c r="Q1525" s="2">
        <v>88592</v>
      </c>
      <c r="R1525" s="2">
        <v>39326.129999999997</v>
      </c>
      <c r="S1525" s="2">
        <v>49265.87</v>
      </c>
      <c r="T1525" s="2">
        <v>39349.230000000003</v>
      </c>
      <c r="U1525" s="2">
        <v>39326.129999999997</v>
      </c>
      <c r="V1525" s="2">
        <v>49242.77</v>
      </c>
      <c r="W1525" s="2">
        <v>0</v>
      </c>
    </row>
    <row r="1526" spans="1:23" outlineLevel="2" x14ac:dyDescent="0.2">
      <c r="A1526" t="s">
        <v>402</v>
      </c>
      <c r="B1526" t="s">
        <v>31</v>
      </c>
      <c r="C1526" t="s">
        <v>32</v>
      </c>
      <c r="D1526" t="s">
        <v>123</v>
      </c>
      <c r="E1526" t="s">
        <v>124</v>
      </c>
      <c r="F1526" t="s">
        <v>5</v>
      </c>
      <c r="G1526" t="s">
        <v>6</v>
      </c>
      <c r="H1526" t="s">
        <v>7</v>
      </c>
      <c r="I1526" t="s">
        <v>8</v>
      </c>
      <c r="J1526" t="s">
        <v>403</v>
      </c>
      <c r="K1526" t="s">
        <v>486</v>
      </c>
      <c r="L1526" t="s">
        <v>493</v>
      </c>
      <c r="M1526" t="s">
        <v>12</v>
      </c>
      <c r="N1526" s="2">
        <v>97000</v>
      </c>
      <c r="O1526" s="2">
        <v>-32708.39</v>
      </c>
      <c r="P1526" s="2">
        <v>0</v>
      </c>
      <c r="Q1526" s="2">
        <v>64291.61</v>
      </c>
      <c r="R1526" s="2">
        <v>0</v>
      </c>
      <c r="S1526" s="2">
        <v>64291.61</v>
      </c>
      <c r="T1526" s="2">
        <v>52839.44</v>
      </c>
      <c r="U1526" s="2">
        <v>0</v>
      </c>
      <c r="V1526" s="2">
        <v>11452.17</v>
      </c>
      <c r="W1526" s="2">
        <v>0</v>
      </c>
    </row>
    <row r="1527" spans="1:23" outlineLevel="2" x14ac:dyDescent="0.2">
      <c r="A1527" t="s">
        <v>402</v>
      </c>
      <c r="B1527" t="s">
        <v>31</v>
      </c>
      <c r="C1527" t="s">
        <v>79</v>
      </c>
      <c r="D1527" t="s">
        <v>127</v>
      </c>
      <c r="E1527" t="s">
        <v>128</v>
      </c>
      <c r="F1527" t="s">
        <v>5</v>
      </c>
      <c r="G1527" t="s">
        <v>6</v>
      </c>
      <c r="H1527" t="s">
        <v>7</v>
      </c>
      <c r="I1527" t="s">
        <v>8</v>
      </c>
      <c r="J1527" t="s">
        <v>403</v>
      </c>
      <c r="K1527" t="s">
        <v>486</v>
      </c>
      <c r="L1527" t="s">
        <v>490</v>
      </c>
      <c r="M1527" t="s">
        <v>12</v>
      </c>
      <c r="N1527" s="2">
        <v>167000</v>
      </c>
      <c r="O1527" s="2">
        <v>-47272</v>
      </c>
      <c r="P1527" s="2">
        <v>0</v>
      </c>
      <c r="Q1527" s="2">
        <v>119728</v>
      </c>
      <c r="R1527" s="2">
        <v>0</v>
      </c>
      <c r="S1527" s="2">
        <v>119728</v>
      </c>
      <c r="T1527" s="2">
        <v>95201.29</v>
      </c>
      <c r="U1527" s="2">
        <v>0</v>
      </c>
      <c r="V1527" s="2">
        <v>24526.71</v>
      </c>
      <c r="W1527" s="2">
        <v>0</v>
      </c>
    </row>
    <row r="1528" spans="1:23" outlineLevel="2" x14ac:dyDescent="0.2">
      <c r="A1528" t="s">
        <v>402</v>
      </c>
      <c r="B1528" t="s">
        <v>31</v>
      </c>
      <c r="C1528" t="s">
        <v>32</v>
      </c>
      <c r="D1528" t="s">
        <v>75</v>
      </c>
      <c r="E1528" t="s">
        <v>76</v>
      </c>
      <c r="F1528" t="s">
        <v>5</v>
      </c>
      <c r="G1528" t="s">
        <v>6</v>
      </c>
      <c r="H1528" t="s">
        <v>7</v>
      </c>
      <c r="I1528" t="s">
        <v>8</v>
      </c>
      <c r="J1528" t="s">
        <v>403</v>
      </c>
      <c r="K1528" t="s">
        <v>486</v>
      </c>
      <c r="L1528" t="s">
        <v>493</v>
      </c>
      <c r="M1528" t="s">
        <v>12</v>
      </c>
      <c r="N1528" s="2">
        <v>92000</v>
      </c>
      <c r="O1528" s="2">
        <v>41100</v>
      </c>
      <c r="P1528" s="2">
        <v>-25000</v>
      </c>
      <c r="Q1528" s="2">
        <v>108100</v>
      </c>
      <c r="R1528" s="2">
        <v>6533.35</v>
      </c>
      <c r="S1528" s="2">
        <v>77412.13</v>
      </c>
      <c r="T1528" s="2">
        <v>64011.89</v>
      </c>
      <c r="U1528" s="2">
        <v>30687.87</v>
      </c>
      <c r="V1528" s="2">
        <v>44088.11</v>
      </c>
      <c r="W1528" s="2">
        <v>24154.52</v>
      </c>
    </row>
    <row r="1529" spans="1:23" outlineLevel="2" x14ac:dyDescent="0.2">
      <c r="A1529" t="s">
        <v>402</v>
      </c>
      <c r="B1529" t="s">
        <v>39</v>
      </c>
      <c r="C1529" t="s">
        <v>58</v>
      </c>
      <c r="D1529" t="s">
        <v>149</v>
      </c>
      <c r="E1529" t="s">
        <v>150</v>
      </c>
      <c r="F1529" t="s">
        <v>5</v>
      </c>
      <c r="G1529" t="s">
        <v>6</v>
      </c>
      <c r="H1529" t="s">
        <v>7</v>
      </c>
      <c r="I1529" t="s">
        <v>8</v>
      </c>
      <c r="J1529" t="s">
        <v>403</v>
      </c>
      <c r="K1529" t="s">
        <v>486</v>
      </c>
      <c r="L1529" t="s">
        <v>489</v>
      </c>
      <c r="M1529" t="s">
        <v>12</v>
      </c>
      <c r="N1529" s="2">
        <v>525000</v>
      </c>
      <c r="O1529" s="2">
        <v>-15655.55</v>
      </c>
      <c r="P1529" s="2">
        <v>-85239.33</v>
      </c>
      <c r="Q1529" s="2">
        <v>424105.12</v>
      </c>
      <c r="R1529" s="2">
        <v>0</v>
      </c>
      <c r="S1529" s="2">
        <v>416605.12</v>
      </c>
      <c r="T1529" s="2">
        <v>350323.55</v>
      </c>
      <c r="U1529" s="2">
        <v>7500</v>
      </c>
      <c r="V1529" s="2">
        <v>73781.570000000007</v>
      </c>
      <c r="W1529" s="2">
        <v>7500</v>
      </c>
    </row>
    <row r="1530" spans="1:23" outlineLevel="2" x14ac:dyDescent="0.2">
      <c r="A1530" t="s">
        <v>402</v>
      </c>
      <c r="B1530" t="s">
        <v>39</v>
      </c>
      <c r="C1530" t="s">
        <v>58</v>
      </c>
      <c r="D1530" t="s">
        <v>143</v>
      </c>
      <c r="E1530" t="s">
        <v>144</v>
      </c>
      <c r="F1530" t="s">
        <v>5</v>
      </c>
      <c r="G1530" t="s">
        <v>6</v>
      </c>
      <c r="H1530" t="s">
        <v>7</v>
      </c>
      <c r="I1530" t="s">
        <v>8</v>
      </c>
      <c r="J1530" t="s">
        <v>403</v>
      </c>
      <c r="K1530" t="s">
        <v>486</v>
      </c>
      <c r="L1530" t="s">
        <v>489</v>
      </c>
      <c r="M1530" t="s">
        <v>12</v>
      </c>
      <c r="N1530" s="2">
        <v>400000</v>
      </c>
      <c r="O1530" s="2">
        <v>21831.66</v>
      </c>
      <c r="P1530" s="2">
        <v>-10000</v>
      </c>
      <c r="Q1530" s="2">
        <v>411831.66</v>
      </c>
      <c r="R1530" s="2">
        <v>0</v>
      </c>
      <c r="S1530" s="2">
        <v>403110.40000000002</v>
      </c>
      <c r="T1530" s="2">
        <v>403110.40000000002</v>
      </c>
      <c r="U1530" s="2">
        <v>8721.26</v>
      </c>
      <c r="V1530" s="2">
        <v>8721.26</v>
      </c>
      <c r="W1530" s="2">
        <v>8721.26</v>
      </c>
    </row>
    <row r="1531" spans="1:23" outlineLevel="2" x14ac:dyDescent="0.2">
      <c r="A1531" t="s">
        <v>402</v>
      </c>
      <c r="B1531" t="s">
        <v>31</v>
      </c>
      <c r="C1531" t="s">
        <v>79</v>
      </c>
      <c r="D1531" t="s">
        <v>111</v>
      </c>
      <c r="E1531" t="s">
        <v>112</v>
      </c>
      <c r="F1531" t="s">
        <v>5</v>
      </c>
      <c r="G1531" t="s">
        <v>6</v>
      </c>
      <c r="H1531" t="s">
        <v>7</v>
      </c>
      <c r="I1531" t="s">
        <v>8</v>
      </c>
      <c r="J1531" t="s">
        <v>403</v>
      </c>
      <c r="K1531" t="s">
        <v>486</v>
      </c>
      <c r="L1531" t="s">
        <v>490</v>
      </c>
      <c r="M1531" t="s">
        <v>12</v>
      </c>
      <c r="N1531" s="2">
        <v>60000</v>
      </c>
      <c r="O1531" s="2">
        <v>0</v>
      </c>
      <c r="P1531" s="2">
        <v>-24526.240000000002</v>
      </c>
      <c r="Q1531" s="2">
        <v>35473.760000000002</v>
      </c>
      <c r="R1531" s="2">
        <v>0</v>
      </c>
      <c r="S1531" s="2">
        <v>35473.760000000002</v>
      </c>
      <c r="T1531" s="2">
        <v>14804.64</v>
      </c>
      <c r="U1531" s="2">
        <v>0</v>
      </c>
      <c r="V1531" s="2">
        <v>20669.12</v>
      </c>
      <c r="W1531" s="2">
        <v>0</v>
      </c>
    </row>
    <row r="1532" spans="1:23" outlineLevel="2" x14ac:dyDescent="0.2">
      <c r="A1532" t="s">
        <v>402</v>
      </c>
      <c r="B1532" t="s">
        <v>39</v>
      </c>
      <c r="C1532" t="s">
        <v>58</v>
      </c>
      <c r="D1532" t="s">
        <v>147</v>
      </c>
      <c r="E1532" t="s">
        <v>148</v>
      </c>
      <c r="F1532" t="s">
        <v>5</v>
      </c>
      <c r="G1532" t="s">
        <v>6</v>
      </c>
      <c r="H1532" t="s">
        <v>7</v>
      </c>
      <c r="I1532" t="s">
        <v>8</v>
      </c>
      <c r="J1532" t="s">
        <v>403</v>
      </c>
      <c r="K1532" t="s">
        <v>486</v>
      </c>
      <c r="L1532" t="s">
        <v>489</v>
      </c>
      <c r="M1532" t="s">
        <v>12</v>
      </c>
      <c r="N1532" s="2">
        <v>312000</v>
      </c>
      <c r="O1532" s="2">
        <v>0</v>
      </c>
      <c r="P1532" s="2">
        <v>-721.76</v>
      </c>
      <c r="Q1532" s="2">
        <v>311278.24</v>
      </c>
      <c r="R1532" s="2">
        <v>0</v>
      </c>
      <c r="S1532" s="2">
        <v>311278.24</v>
      </c>
      <c r="T1532" s="2">
        <v>254539.76</v>
      </c>
      <c r="U1532" s="2">
        <v>0</v>
      </c>
      <c r="V1532" s="2">
        <v>56738.48</v>
      </c>
      <c r="W1532" s="2">
        <v>0</v>
      </c>
    </row>
    <row r="1533" spans="1:23" outlineLevel="2" x14ac:dyDescent="0.2">
      <c r="A1533" t="s">
        <v>402</v>
      </c>
      <c r="B1533" t="s">
        <v>39</v>
      </c>
      <c r="C1533" t="s">
        <v>66</v>
      </c>
      <c r="D1533" t="s">
        <v>67</v>
      </c>
      <c r="E1533" t="s">
        <v>68</v>
      </c>
      <c r="F1533" t="s">
        <v>5</v>
      </c>
      <c r="G1533" t="s">
        <v>6</v>
      </c>
      <c r="H1533" t="s">
        <v>7</v>
      </c>
      <c r="I1533" t="s">
        <v>8</v>
      </c>
      <c r="J1533" t="s">
        <v>403</v>
      </c>
      <c r="K1533" t="s">
        <v>486</v>
      </c>
      <c r="L1533" t="s">
        <v>488</v>
      </c>
      <c r="M1533" t="s">
        <v>15</v>
      </c>
      <c r="N1533" s="2">
        <v>0</v>
      </c>
      <c r="O1533" s="2">
        <v>12405.04</v>
      </c>
      <c r="P1533" s="2">
        <v>0</v>
      </c>
      <c r="Q1533" s="2">
        <v>12405.04</v>
      </c>
      <c r="R1533" s="2">
        <v>12405.04</v>
      </c>
      <c r="S1533" s="2">
        <v>0</v>
      </c>
      <c r="T1533" s="2">
        <v>0</v>
      </c>
      <c r="U1533" s="2">
        <v>12405.04</v>
      </c>
      <c r="V1533" s="2">
        <v>12405.04</v>
      </c>
      <c r="W1533" s="2">
        <v>0</v>
      </c>
    </row>
    <row r="1534" spans="1:23" outlineLevel="2" x14ac:dyDescent="0.2">
      <c r="A1534" t="s">
        <v>402</v>
      </c>
      <c r="B1534" t="s">
        <v>31</v>
      </c>
      <c r="C1534" t="s">
        <v>79</v>
      </c>
      <c r="D1534" t="s">
        <v>131</v>
      </c>
      <c r="E1534" t="s">
        <v>132</v>
      </c>
      <c r="F1534" t="s">
        <v>5</v>
      </c>
      <c r="G1534" t="s">
        <v>6</v>
      </c>
      <c r="H1534" t="s">
        <v>7</v>
      </c>
      <c r="I1534" t="s">
        <v>8</v>
      </c>
      <c r="J1534" t="s">
        <v>403</v>
      </c>
      <c r="K1534" t="s">
        <v>486</v>
      </c>
      <c r="L1534" t="s">
        <v>490</v>
      </c>
      <c r="M1534" t="s">
        <v>12</v>
      </c>
      <c r="N1534" s="2">
        <v>200000</v>
      </c>
      <c r="O1534" s="2">
        <v>0</v>
      </c>
      <c r="P1534" s="2">
        <v>0</v>
      </c>
      <c r="Q1534" s="2">
        <v>200000</v>
      </c>
      <c r="R1534" s="2">
        <v>0</v>
      </c>
      <c r="S1534" s="2">
        <v>198844.79999999999</v>
      </c>
      <c r="T1534" s="2">
        <v>165704</v>
      </c>
      <c r="U1534" s="2">
        <v>1155.2</v>
      </c>
      <c r="V1534" s="2">
        <v>34296</v>
      </c>
      <c r="W1534" s="2">
        <v>1155.2</v>
      </c>
    </row>
    <row r="1535" spans="1:23" outlineLevel="2" x14ac:dyDescent="0.2">
      <c r="A1535" t="s">
        <v>402</v>
      </c>
      <c r="B1535" t="s">
        <v>31</v>
      </c>
      <c r="C1535" t="s">
        <v>32</v>
      </c>
      <c r="D1535" t="s">
        <v>33</v>
      </c>
      <c r="E1535" t="s">
        <v>34</v>
      </c>
      <c r="F1535" t="s">
        <v>5</v>
      </c>
      <c r="G1535" t="s">
        <v>6</v>
      </c>
      <c r="H1535" t="s">
        <v>7</v>
      </c>
      <c r="I1535" t="s">
        <v>8</v>
      </c>
      <c r="J1535" t="s">
        <v>403</v>
      </c>
      <c r="K1535" t="s">
        <v>486</v>
      </c>
      <c r="L1535" t="s">
        <v>493</v>
      </c>
      <c r="M1535" t="s">
        <v>12</v>
      </c>
      <c r="N1535" s="2">
        <v>150000</v>
      </c>
      <c r="O1535" s="2">
        <v>-25154.560000000001</v>
      </c>
      <c r="P1535" s="2">
        <v>0</v>
      </c>
      <c r="Q1535" s="2">
        <v>124845.44</v>
      </c>
      <c r="R1535" s="2">
        <v>10956.96</v>
      </c>
      <c r="S1535" s="2">
        <v>98840</v>
      </c>
      <c r="T1535" s="2">
        <v>98840</v>
      </c>
      <c r="U1535" s="2">
        <v>26005.439999999999</v>
      </c>
      <c r="V1535" s="2">
        <v>26005.439999999999</v>
      </c>
      <c r="W1535" s="2">
        <v>15048.48</v>
      </c>
    </row>
    <row r="1536" spans="1:23" outlineLevel="2" x14ac:dyDescent="0.2">
      <c r="A1536" t="s">
        <v>402</v>
      </c>
      <c r="B1536" t="s">
        <v>39</v>
      </c>
      <c r="C1536" t="s">
        <v>58</v>
      </c>
      <c r="D1536" t="s">
        <v>59</v>
      </c>
      <c r="E1536" t="s">
        <v>60</v>
      </c>
      <c r="F1536" t="s">
        <v>5</v>
      </c>
      <c r="G1536" t="s">
        <v>6</v>
      </c>
      <c r="H1536" t="s">
        <v>7</v>
      </c>
      <c r="I1536" t="s">
        <v>8</v>
      </c>
      <c r="J1536" t="s">
        <v>403</v>
      </c>
      <c r="K1536" t="s">
        <v>494</v>
      </c>
      <c r="L1536" t="s">
        <v>495</v>
      </c>
      <c r="M1536" t="s">
        <v>12</v>
      </c>
      <c r="N1536" s="2">
        <v>90000</v>
      </c>
      <c r="O1536" s="2">
        <v>0</v>
      </c>
      <c r="P1536" s="2">
        <v>0</v>
      </c>
      <c r="Q1536" s="2">
        <v>90000</v>
      </c>
      <c r="R1536" s="2">
        <v>0</v>
      </c>
      <c r="S1536" s="2">
        <v>89989.54</v>
      </c>
      <c r="T1536" s="2">
        <v>30526.11</v>
      </c>
      <c r="U1536" s="2">
        <v>10.46</v>
      </c>
      <c r="V1536" s="2">
        <v>59473.89</v>
      </c>
      <c r="W1536" s="2">
        <v>10.46</v>
      </c>
    </row>
    <row r="1537" spans="1:23" outlineLevel="2" x14ac:dyDescent="0.2">
      <c r="A1537" t="s">
        <v>402</v>
      </c>
      <c r="B1537" t="s">
        <v>1</v>
      </c>
      <c r="C1537" t="s">
        <v>2</v>
      </c>
      <c r="D1537" t="s">
        <v>410</v>
      </c>
      <c r="E1537" t="s">
        <v>411</v>
      </c>
      <c r="F1537" t="s">
        <v>5</v>
      </c>
      <c r="G1537" t="s">
        <v>6</v>
      </c>
      <c r="H1537" t="s">
        <v>7</v>
      </c>
      <c r="I1537" t="s">
        <v>8</v>
      </c>
      <c r="J1537" t="s">
        <v>403</v>
      </c>
      <c r="K1537" t="s">
        <v>494</v>
      </c>
      <c r="L1537" t="s">
        <v>496</v>
      </c>
      <c r="M1537" t="s">
        <v>15</v>
      </c>
      <c r="N1537" s="2">
        <v>3200000</v>
      </c>
      <c r="O1537" s="2">
        <v>0</v>
      </c>
      <c r="P1537" s="2">
        <v>-404054.51</v>
      </c>
      <c r="Q1537" s="2">
        <v>2795945.49</v>
      </c>
      <c r="R1537" s="2">
        <v>0.01</v>
      </c>
      <c r="S1537" s="2">
        <v>2795945.48</v>
      </c>
      <c r="T1537" s="2">
        <v>2145607.48</v>
      </c>
      <c r="U1537" s="2">
        <v>0.01</v>
      </c>
      <c r="V1537" s="2">
        <v>650338.01</v>
      </c>
      <c r="W1537" s="2">
        <v>0</v>
      </c>
    </row>
    <row r="1538" spans="1:23" outlineLevel="2" x14ac:dyDescent="0.2">
      <c r="A1538" t="s">
        <v>402</v>
      </c>
      <c r="B1538" t="s">
        <v>39</v>
      </c>
      <c r="C1538" t="s">
        <v>58</v>
      </c>
      <c r="D1538" t="s">
        <v>145</v>
      </c>
      <c r="E1538" t="s">
        <v>146</v>
      </c>
      <c r="F1538" t="s">
        <v>5</v>
      </c>
      <c r="G1538" t="s">
        <v>6</v>
      </c>
      <c r="H1538" t="s">
        <v>7</v>
      </c>
      <c r="I1538" t="s">
        <v>8</v>
      </c>
      <c r="J1538" t="s">
        <v>403</v>
      </c>
      <c r="K1538" t="s">
        <v>494</v>
      </c>
      <c r="L1538" t="s">
        <v>495</v>
      </c>
      <c r="M1538" t="s">
        <v>12</v>
      </c>
      <c r="N1538" s="2">
        <v>147000</v>
      </c>
      <c r="O1538" s="2">
        <v>4873.8599999999997</v>
      </c>
      <c r="P1538" s="2">
        <v>0</v>
      </c>
      <c r="Q1538" s="2">
        <v>151873.85999999999</v>
      </c>
      <c r="R1538" s="2">
        <v>7.4</v>
      </c>
      <c r="S1538" s="2">
        <v>151866.46</v>
      </c>
      <c r="T1538" s="2">
        <v>98403.96</v>
      </c>
      <c r="U1538" s="2">
        <v>7.4</v>
      </c>
      <c r="V1538" s="2">
        <v>53469.9</v>
      </c>
      <c r="W1538" s="2">
        <v>0</v>
      </c>
    </row>
    <row r="1539" spans="1:23" outlineLevel="2" x14ac:dyDescent="0.2">
      <c r="A1539" t="s">
        <v>402</v>
      </c>
      <c r="B1539" t="s">
        <v>1</v>
      </c>
      <c r="C1539" t="s">
        <v>91</v>
      </c>
      <c r="D1539" t="s">
        <v>92</v>
      </c>
      <c r="E1539" t="s">
        <v>93</v>
      </c>
      <c r="F1539" t="s">
        <v>5</v>
      </c>
      <c r="G1539" t="s">
        <v>6</v>
      </c>
      <c r="H1539" t="s">
        <v>7</v>
      </c>
      <c r="I1539" t="s">
        <v>8</v>
      </c>
      <c r="J1539" t="s">
        <v>403</v>
      </c>
      <c r="K1539" t="s">
        <v>494</v>
      </c>
      <c r="L1539" t="s">
        <v>497</v>
      </c>
      <c r="M1539" t="s">
        <v>12</v>
      </c>
      <c r="N1539" s="2">
        <v>0</v>
      </c>
      <c r="O1539" s="2">
        <v>0</v>
      </c>
      <c r="P1539" s="2">
        <v>1483.5</v>
      </c>
      <c r="Q1539" s="2">
        <v>1483.5</v>
      </c>
      <c r="R1539" s="2">
        <v>0</v>
      </c>
      <c r="S1539" s="2">
        <v>0</v>
      </c>
      <c r="T1539" s="2">
        <v>0</v>
      </c>
      <c r="U1539" s="2">
        <v>1483.5</v>
      </c>
      <c r="V1539" s="2">
        <v>1483.5</v>
      </c>
      <c r="W1539" s="2">
        <v>1483.5</v>
      </c>
    </row>
    <row r="1540" spans="1:23" outlineLevel="2" x14ac:dyDescent="0.2">
      <c r="A1540" t="s">
        <v>402</v>
      </c>
      <c r="B1540" t="s">
        <v>39</v>
      </c>
      <c r="C1540" t="s">
        <v>58</v>
      </c>
      <c r="D1540" t="s">
        <v>129</v>
      </c>
      <c r="E1540" t="s">
        <v>130</v>
      </c>
      <c r="F1540" t="s">
        <v>5</v>
      </c>
      <c r="G1540" t="s">
        <v>6</v>
      </c>
      <c r="H1540" t="s">
        <v>7</v>
      </c>
      <c r="I1540" t="s">
        <v>8</v>
      </c>
      <c r="J1540" t="s">
        <v>403</v>
      </c>
      <c r="K1540" t="s">
        <v>494</v>
      </c>
      <c r="L1540" t="s">
        <v>495</v>
      </c>
      <c r="M1540" t="s">
        <v>12</v>
      </c>
      <c r="N1540" s="2">
        <v>11000</v>
      </c>
      <c r="O1540" s="2">
        <v>-3586.73</v>
      </c>
      <c r="P1540" s="2">
        <v>0</v>
      </c>
      <c r="Q1540" s="2">
        <v>7413.27</v>
      </c>
      <c r="R1540" s="2">
        <v>0</v>
      </c>
      <c r="S1540" s="2">
        <v>7413.27</v>
      </c>
      <c r="T1540" s="2">
        <v>6382.42</v>
      </c>
      <c r="U1540" s="2">
        <v>0</v>
      </c>
      <c r="V1540" s="2">
        <v>1030.8499999999999</v>
      </c>
      <c r="W1540" s="2">
        <v>0</v>
      </c>
    </row>
    <row r="1541" spans="1:23" outlineLevel="2" x14ac:dyDescent="0.2">
      <c r="A1541" t="s">
        <v>402</v>
      </c>
      <c r="B1541" t="s">
        <v>31</v>
      </c>
      <c r="C1541" t="s">
        <v>79</v>
      </c>
      <c r="D1541" t="s">
        <v>125</v>
      </c>
      <c r="E1541" t="s">
        <v>126</v>
      </c>
      <c r="F1541" t="s">
        <v>5</v>
      </c>
      <c r="G1541" t="s">
        <v>6</v>
      </c>
      <c r="H1541" t="s">
        <v>7</v>
      </c>
      <c r="I1541" t="s">
        <v>8</v>
      </c>
      <c r="J1541" t="s">
        <v>403</v>
      </c>
      <c r="K1541" t="s">
        <v>494</v>
      </c>
      <c r="L1541" t="s">
        <v>498</v>
      </c>
      <c r="M1541" t="s">
        <v>12</v>
      </c>
      <c r="N1541" s="2">
        <v>63000</v>
      </c>
      <c r="O1541" s="2">
        <v>0</v>
      </c>
      <c r="P1541" s="2">
        <v>-805.19</v>
      </c>
      <c r="Q1541" s="2">
        <v>62194.81</v>
      </c>
      <c r="R1541" s="2">
        <v>0</v>
      </c>
      <c r="S1541" s="2">
        <v>62194.81</v>
      </c>
      <c r="T1541" s="2">
        <v>30406.37</v>
      </c>
      <c r="U1541" s="2">
        <v>0</v>
      </c>
      <c r="V1541" s="2">
        <v>31788.44</v>
      </c>
      <c r="W1541" s="2">
        <v>0</v>
      </c>
    </row>
    <row r="1542" spans="1:23" outlineLevel="2" x14ac:dyDescent="0.2">
      <c r="A1542" t="s">
        <v>402</v>
      </c>
      <c r="B1542" t="s">
        <v>39</v>
      </c>
      <c r="C1542" t="s">
        <v>40</v>
      </c>
      <c r="D1542" t="s">
        <v>77</v>
      </c>
      <c r="E1542" t="s">
        <v>78</v>
      </c>
      <c r="F1542" t="s">
        <v>5</v>
      </c>
      <c r="G1542" t="s">
        <v>6</v>
      </c>
      <c r="H1542" t="s">
        <v>7</v>
      </c>
      <c r="I1542" t="s">
        <v>8</v>
      </c>
      <c r="J1542" t="s">
        <v>403</v>
      </c>
      <c r="K1542" t="s">
        <v>494</v>
      </c>
      <c r="L1542" t="s">
        <v>499</v>
      </c>
      <c r="M1542" t="s">
        <v>12</v>
      </c>
      <c r="N1542" s="2">
        <v>413177.28</v>
      </c>
      <c r="O1542" s="2">
        <v>149305.28</v>
      </c>
      <c r="P1542" s="2">
        <v>0</v>
      </c>
      <c r="Q1542" s="2">
        <v>562482.56000000006</v>
      </c>
      <c r="R1542" s="2">
        <v>58077.62</v>
      </c>
      <c r="S1542" s="2">
        <v>503763.05</v>
      </c>
      <c r="T1542" s="2">
        <v>316560.8</v>
      </c>
      <c r="U1542" s="2">
        <v>58719.51</v>
      </c>
      <c r="V1542" s="2">
        <v>245921.76</v>
      </c>
      <c r="W1542" s="2">
        <v>641.89</v>
      </c>
    </row>
    <row r="1543" spans="1:23" outlineLevel="2" x14ac:dyDescent="0.2">
      <c r="A1543" t="s">
        <v>402</v>
      </c>
      <c r="B1543" t="s">
        <v>31</v>
      </c>
      <c r="C1543" t="s">
        <v>79</v>
      </c>
      <c r="D1543" t="s">
        <v>111</v>
      </c>
      <c r="E1543" t="s">
        <v>112</v>
      </c>
      <c r="F1543" t="s">
        <v>5</v>
      </c>
      <c r="G1543" t="s">
        <v>6</v>
      </c>
      <c r="H1543" t="s">
        <v>7</v>
      </c>
      <c r="I1543" t="s">
        <v>8</v>
      </c>
      <c r="J1543" t="s">
        <v>403</v>
      </c>
      <c r="K1543" t="s">
        <v>494</v>
      </c>
      <c r="L1543" t="s">
        <v>498</v>
      </c>
      <c r="M1543" t="s">
        <v>12</v>
      </c>
      <c r="N1543" s="2">
        <v>41000</v>
      </c>
      <c r="O1543" s="2">
        <v>0</v>
      </c>
      <c r="P1543" s="2">
        <v>-12300</v>
      </c>
      <c r="Q1543" s="2">
        <v>28700</v>
      </c>
      <c r="R1543" s="2">
        <v>0</v>
      </c>
      <c r="S1543" s="2">
        <v>28700</v>
      </c>
      <c r="T1543" s="2">
        <v>0</v>
      </c>
      <c r="U1543" s="2">
        <v>0</v>
      </c>
      <c r="V1543" s="2">
        <v>28700</v>
      </c>
      <c r="W1543" s="2">
        <v>0</v>
      </c>
    </row>
    <row r="1544" spans="1:23" outlineLevel="2" x14ac:dyDescent="0.2">
      <c r="A1544" t="s">
        <v>402</v>
      </c>
      <c r="B1544" t="s">
        <v>39</v>
      </c>
      <c r="C1544" t="s">
        <v>58</v>
      </c>
      <c r="D1544" t="s">
        <v>139</v>
      </c>
      <c r="E1544" t="s">
        <v>140</v>
      </c>
      <c r="F1544" t="s">
        <v>5</v>
      </c>
      <c r="G1544" t="s">
        <v>6</v>
      </c>
      <c r="H1544" t="s">
        <v>7</v>
      </c>
      <c r="I1544" t="s">
        <v>8</v>
      </c>
      <c r="J1544" t="s">
        <v>403</v>
      </c>
      <c r="K1544" t="s">
        <v>494</v>
      </c>
      <c r="L1544" t="s">
        <v>495</v>
      </c>
      <c r="M1544" t="s">
        <v>12</v>
      </c>
      <c r="N1544" s="2">
        <v>196000</v>
      </c>
      <c r="O1544" s="2">
        <v>0</v>
      </c>
      <c r="P1544" s="2">
        <v>-102.46</v>
      </c>
      <c r="Q1544" s="2">
        <v>195897.54</v>
      </c>
      <c r="R1544" s="2">
        <v>0</v>
      </c>
      <c r="S1544" s="2">
        <v>195897.54</v>
      </c>
      <c r="T1544" s="2">
        <v>116724.65</v>
      </c>
      <c r="U1544" s="2">
        <v>0</v>
      </c>
      <c r="V1544" s="2">
        <v>79172.89</v>
      </c>
      <c r="W1544" s="2">
        <v>0</v>
      </c>
    </row>
    <row r="1545" spans="1:23" outlineLevel="2" x14ac:dyDescent="0.2">
      <c r="A1545" t="s">
        <v>402</v>
      </c>
      <c r="B1545" t="s">
        <v>39</v>
      </c>
      <c r="C1545" t="s">
        <v>58</v>
      </c>
      <c r="D1545" t="s">
        <v>135</v>
      </c>
      <c r="E1545" t="s">
        <v>136</v>
      </c>
      <c r="F1545" t="s">
        <v>5</v>
      </c>
      <c r="G1545" t="s">
        <v>6</v>
      </c>
      <c r="H1545" t="s">
        <v>7</v>
      </c>
      <c r="I1545" t="s">
        <v>8</v>
      </c>
      <c r="J1545" t="s">
        <v>403</v>
      </c>
      <c r="K1545" t="s">
        <v>494</v>
      </c>
      <c r="L1545" t="s">
        <v>495</v>
      </c>
      <c r="M1545" t="s">
        <v>12</v>
      </c>
      <c r="N1545" s="2">
        <v>125000</v>
      </c>
      <c r="O1545" s="2">
        <v>-576.36</v>
      </c>
      <c r="P1545" s="2">
        <v>-38709.56</v>
      </c>
      <c r="Q1545" s="2">
        <v>85714.08</v>
      </c>
      <c r="R1545" s="2">
        <v>0</v>
      </c>
      <c r="S1545" s="2">
        <v>85714.06</v>
      </c>
      <c r="T1545" s="2">
        <v>64976.800000000003</v>
      </c>
      <c r="U1545" s="2">
        <v>0.02</v>
      </c>
      <c r="V1545" s="2">
        <v>20737.28</v>
      </c>
      <c r="W1545" s="2">
        <v>0.02</v>
      </c>
    </row>
    <row r="1546" spans="1:23" outlineLevel="2" x14ac:dyDescent="0.2">
      <c r="A1546" t="s">
        <v>402</v>
      </c>
      <c r="B1546" t="s">
        <v>31</v>
      </c>
      <c r="C1546" t="s">
        <v>79</v>
      </c>
      <c r="D1546" t="s">
        <v>113</v>
      </c>
      <c r="E1546" t="s">
        <v>114</v>
      </c>
      <c r="F1546" t="s">
        <v>5</v>
      </c>
      <c r="G1546" t="s">
        <v>6</v>
      </c>
      <c r="H1546" t="s">
        <v>7</v>
      </c>
      <c r="I1546" t="s">
        <v>8</v>
      </c>
      <c r="J1546" t="s">
        <v>403</v>
      </c>
      <c r="K1546" t="s">
        <v>494</v>
      </c>
      <c r="L1546" t="s">
        <v>498</v>
      </c>
      <c r="M1546" t="s">
        <v>12</v>
      </c>
      <c r="N1546" s="2">
        <v>120000</v>
      </c>
      <c r="O1546" s="2">
        <v>-8000</v>
      </c>
      <c r="P1546" s="2">
        <v>0</v>
      </c>
      <c r="Q1546" s="2">
        <v>112000</v>
      </c>
      <c r="R1546" s="2">
        <v>112</v>
      </c>
      <c r="S1546" s="2">
        <v>111888</v>
      </c>
      <c r="T1546" s="2">
        <v>59673.599999999999</v>
      </c>
      <c r="U1546" s="2">
        <v>112</v>
      </c>
      <c r="V1546" s="2">
        <v>52326.400000000001</v>
      </c>
      <c r="W1546" s="2">
        <v>0</v>
      </c>
    </row>
    <row r="1547" spans="1:23" outlineLevel="2" x14ac:dyDescent="0.2">
      <c r="A1547" t="s">
        <v>402</v>
      </c>
      <c r="B1547" t="s">
        <v>31</v>
      </c>
      <c r="C1547" t="s">
        <v>79</v>
      </c>
      <c r="D1547" t="s">
        <v>80</v>
      </c>
      <c r="E1547" t="s">
        <v>81</v>
      </c>
      <c r="F1547" t="s">
        <v>5</v>
      </c>
      <c r="G1547" t="s">
        <v>6</v>
      </c>
      <c r="H1547" t="s">
        <v>7</v>
      </c>
      <c r="I1547" t="s">
        <v>8</v>
      </c>
      <c r="J1547" t="s">
        <v>403</v>
      </c>
      <c r="K1547" t="s">
        <v>494</v>
      </c>
      <c r="L1547" t="s">
        <v>498</v>
      </c>
      <c r="M1547" t="s">
        <v>12</v>
      </c>
      <c r="N1547" s="2">
        <v>121000</v>
      </c>
      <c r="O1547" s="2">
        <v>-600</v>
      </c>
      <c r="P1547" s="2">
        <v>-1825.44</v>
      </c>
      <c r="Q1547" s="2">
        <v>118574.56</v>
      </c>
      <c r="R1547" s="2">
        <v>0</v>
      </c>
      <c r="S1547" s="2">
        <v>117957.1</v>
      </c>
      <c r="T1547" s="2">
        <v>60569.13</v>
      </c>
      <c r="U1547" s="2">
        <v>617.46</v>
      </c>
      <c r="V1547" s="2">
        <v>58005.43</v>
      </c>
      <c r="W1547" s="2">
        <v>617.46</v>
      </c>
    </row>
    <row r="1548" spans="1:23" outlineLevel="2" x14ac:dyDescent="0.2">
      <c r="A1548" t="s">
        <v>402</v>
      </c>
      <c r="B1548" t="s">
        <v>31</v>
      </c>
      <c r="C1548" t="s">
        <v>32</v>
      </c>
      <c r="D1548" t="s">
        <v>123</v>
      </c>
      <c r="E1548" t="s">
        <v>124</v>
      </c>
      <c r="F1548" t="s">
        <v>5</v>
      </c>
      <c r="G1548" t="s">
        <v>6</v>
      </c>
      <c r="H1548" t="s">
        <v>7</v>
      </c>
      <c r="I1548" t="s">
        <v>8</v>
      </c>
      <c r="J1548" t="s">
        <v>403</v>
      </c>
      <c r="K1548" t="s">
        <v>494</v>
      </c>
      <c r="L1548" t="s">
        <v>500</v>
      </c>
      <c r="M1548" t="s">
        <v>12</v>
      </c>
      <c r="N1548" s="2">
        <v>78000</v>
      </c>
      <c r="O1548" s="2">
        <v>32708.39</v>
      </c>
      <c r="P1548" s="2">
        <v>0</v>
      </c>
      <c r="Q1548" s="2">
        <v>110708.39</v>
      </c>
      <c r="R1548" s="2">
        <v>3800.01</v>
      </c>
      <c r="S1548" s="2">
        <v>68879.839999999997</v>
      </c>
      <c r="T1548" s="2">
        <v>50505.61</v>
      </c>
      <c r="U1548" s="2">
        <v>41828.550000000003</v>
      </c>
      <c r="V1548" s="2">
        <v>60202.78</v>
      </c>
      <c r="W1548" s="2">
        <v>38028.54</v>
      </c>
    </row>
    <row r="1549" spans="1:23" outlineLevel="2" x14ac:dyDescent="0.2">
      <c r="A1549" t="s">
        <v>402</v>
      </c>
      <c r="B1549" t="s">
        <v>39</v>
      </c>
      <c r="C1549" t="s">
        <v>58</v>
      </c>
      <c r="D1549" t="s">
        <v>147</v>
      </c>
      <c r="E1549" t="s">
        <v>148</v>
      </c>
      <c r="F1549" t="s">
        <v>5</v>
      </c>
      <c r="G1549" t="s">
        <v>6</v>
      </c>
      <c r="H1549" t="s">
        <v>7</v>
      </c>
      <c r="I1549" t="s">
        <v>8</v>
      </c>
      <c r="J1549" t="s">
        <v>403</v>
      </c>
      <c r="K1549" t="s">
        <v>494</v>
      </c>
      <c r="L1549" t="s">
        <v>495</v>
      </c>
      <c r="M1549" t="s">
        <v>12</v>
      </c>
      <c r="N1549" s="2">
        <v>186000</v>
      </c>
      <c r="O1549" s="2">
        <v>-7095.2</v>
      </c>
      <c r="P1549" s="2">
        <v>0</v>
      </c>
      <c r="Q1549" s="2">
        <v>178904.8</v>
      </c>
      <c r="R1549" s="2">
        <v>0</v>
      </c>
      <c r="S1549" s="2">
        <v>172396.47</v>
      </c>
      <c r="T1549" s="2">
        <v>89304.37</v>
      </c>
      <c r="U1549" s="2">
        <v>6508.33</v>
      </c>
      <c r="V1549" s="2">
        <v>89600.43</v>
      </c>
      <c r="W1549" s="2">
        <v>6508.33</v>
      </c>
    </row>
    <row r="1550" spans="1:23" outlineLevel="2" x14ac:dyDescent="0.2">
      <c r="A1550" t="s">
        <v>402</v>
      </c>
      <c r="B1550" t="s">
        <v>39</v>
      </c>
      <c r="C1550" t="s">
        <v>58</v>
      </c>
      <c r="D1550" t="s">
        <v>149</v>
      </c>
      <c r="E1550" t="s">
        <v>150</v>
      </c>
      <c r="F1550" t="s">
        <v>5</v>
      </c>
      <c r="G1550" t="s">
        <v>6</v>
      </c>
      <c r="H1550" t="s">
        <v>7</v>
      </c>
      <c r="I1550" t="s">
        <v>8</v>
      </c>
      <c r="J1550" t="s">
        <v>403</v>
      </c>
      <c r="K1550" t="s">
        <v>494</v>
      </c>
      <c r="L1550" t="s">
        <v>495</v>
      </c>
      <c r="M1550" t="s">
        <v>12</v>
      </c>
      <c r="N1550" s="2">
        <v>157000</v>
      </c>
      <c r="O1550" s="2">
        <v>0</v>
      </c>
      <c r="P1550" s="2">
        <v>-909.59</v>
      </c>
      <c r="Q1550" s="2">
        <v>156090.41</v>
      </c>
      <c r="R1550" s="2">
        <v>0</v>
      </c>
      <c r="S1550" s="2">
        <v>156090.41</v>
      </c>
      <c r="T1550" s="2">
        <v>91052.71</v>
      </c>
      <c r="U1550" s="2">
        <v>0</v>
      </c>
      <c r="V1550" s="2">
        <v>65037.7</v>
      </c>
      <c r="W1550" s="2">
        <v>0</v>
      </c>
    </row>
    <row r="1551" spans="1:23" outlineLevel="2" x14ac:dyDescent="0.2">
      <c r="A1551" t="s">
        <v>402</v>
      </c>
      <c r="B1551" t="s">
        <v>31</v>
      </c>
      <c r="C1551" t="s">
        <v>79</v>
      </c>
      <c r="D1551" t="s">
        <v>115</v>
      </c>
      <c r="E1551" t="s">
        <v>116</v>
      </c>
      <c r="F1551" t="s">
        <v>5</v>
      </c>
      <c r="G1551" t="s">
        <v>6</v>
      </c>
      <c r="H1551" t="s">
        <v>7</v>
      </c>
      <c r="I1551" t="s">
        <v>8</v>
      </c>
      <c r="J1551" t="s">
        <v>403</v>
      </c>
      <c r="K1551" t="s">
        <v>494</v>
      </c>
      <c r="L1551" t="s">
        <v>498</v>
      </c>
      <c r="M1551" t="s">
        <v>12</v>
      </c>
      <c r="N1551" s="2">
        <v>69000</v>
      </c>
      <c r="O1551" s="2">
        <v>0</v>
      </c>
      <c r="P1551" s="2">
        <v>-1898.45</v>
      </c>
      <c r="Q1551" s="2">
        <v>67101.55</v>
      </c>
      <c r="R1551" s="2">
        <v>0</v>
      </c>
      <c r="S1551" s="2">
        <v>67101.55</v>
      </c>
      <c r="T1551" s="2">
        <v>27008.35</v>
      </c>
      <c r="U1551" s="2">
        <v>0</v>
      </c>
      <c r="V1551" s="2">
        <v>40093.199999999997</v>
      </c>
      <c r="W1551" s="2">
        <v>0</v>
      </c>
    </row>
    <row r="1552" spans="1:23" outlineLevel="2" x14ac:dyDescent="0.2">
      <c r="A1552" t="s">
        <v>402</v>
      </c>
      <c r="B1552" t="s">
        <v>31</v>
      </c>
      <c r="C1552" t="s">
        <v>79</v>
      </c>
      <c r="D1552" t="s">
        <v>131</v>
      </c>
      <c r="E1552" t="s">
        <v>132</v>
      </c>
      <c r="F1552" t="s">
        <v>5</v>
      </c>
      <c r="G1552" t="s">
        <v>6</v>
      </c>
      <c r="H1552" t="s">
        <v>7</v>
      </c>
      <c r="I1552" t="s">
        <v>8</v>
      </c>
      <c r="J1552" t="s">
        <v>403</v>
      </c>
      <c r="K1552" t="s">
        <v>494</v>
      </c>
      <c r="L1552" t="s">
        <v>498</v>
      </c>
      <c r="M1552" t="s">
        <v>12</v>
      </c>
      <c r="N1552" s="2">
        <v>180000</v>
      </c>
      <c r="O1552" s="2">
        <v>0</v>
      </c>
      <c r="P1552" s="2">
        <v>0</v>
      </c>
      <c r="Q1552" s="2">
        <v>180000</v>
      </c>
      <c r="R1552" s="2">
        <v>0</v>
      </c>
      <c r="S1552" s="2">
        <v>173722.75</v>
      </c>
      <c r="T1552" s="2">
        <v>73083.77</v>
      </c>
      <c r="U1552" s="2">
        <v>6277.25</v>
      </c>
      <c r="V1552" s="2">
        <v>106916.23</v>
      </c>
      <c r="W1552" s="2">
        <v>6277.25</v>
      </c>
    </row>
    <row r="1553" spans="1:23" outlineLevel="2" x14ac:dyDescent="0.2">
      <c r="A1553" t="s">
        <v>402</v>
      </c>
      <c r="B1553" t="s">
        <v>31</v>
      </c>
      <c r="C1553" t="s">
        <v>79</v>
      </c>
      <c r="D1553" t="s">
        <v>117</v>
      </c>
      <c r="E1553" t="s">
        <v>118</v>
      </c>
      <c r="F1553" t="s">
        <v>5</v>
      </c>
      <c r="G1553" t="s">
        <v>6</v>
      </c>
      <c r="H1553" t="s">
        <v>7</v>
      </c>
      <c r="I1553" t="s">
        <v>8</v>
      </c>
      <c r="J1553" t="s">
        <v>403</v>
      </c>
      <c r="K1553" t="s">
        <v>494</v>
      </c>
      <c r="L1553" t="s">
        <v>498</v>
      </c>
      <c r="M1553" t="s">
        <v>12</v>
      </c>
      <c r="N1553" s="2">
        <v>179021</v>
      </c>
      <c r="O1553" s="2">
        <v>-29000</v>
      </c>
      <c r="P1553" s="2">
        <v>0</v>
      </c>
      <c r="Q1553" s="2">
        <v>150021</v>
      </c>
      <c r="R1553" s="2">
        <v>0</v>
      </c>
      <c r="S1553" s="2">
        <v>123076.8</v>
      </c>
      <c r="T1553" s="2">
        <v>104428.8</v>
      </c>
      <c r="U1553" s="2">
        <v>26944.2</v>
      </c>
      <c r="V1553" s="2">
        <v>45592.2</v>
      </c>
      <c r="W1553" s="2">
        <v>26944.2</v>
      </c>
    </row>
    <row r="1554" spans="1:23" outlineLevel="2" x14ac:dyDescent="0.2">
      <c r="A1554" t="s">
        <v>402</v>
      </c>
      <c r="B1554" t="s">
        <v>1</v>
      </c>
      <c r="C1554" t="s">
        <v>91</v>
      </c>
      <c r="D1554" t="s">
        <v>92</v>
      </c>
      <c r="E1554" t="s">
        <v>93</v>
      </c>
      <c r="F1554" t="s">
        <v>5</v>
      </c>
      <c r="G1554" t="s">
        <v>6</v>
      </c>
      <c r="H1554" t="s">
        <v>7</v>
      </c>
      <c r="I1554" t="s">
        <v>8</v>
      </c>
      <c r="J1554" t="s">
        <v>403</v>
      </c>
      <c r="K1554" t="s">
        <v>494</v>
      </c>
      <c r="L1554" t="s">
        <v>497</v>
      </c>
      <c r="M1554" t="s">
        <v>15</v>
      </c>
      <c r="N1554" s="2">
        <v>68000</v>
      </c>
      <c r="O1554" s="2">
        <v>-4083.35</v>
      </c>
      <c r="P1554" s="2">
        <v>-1483.5</v>
      </c>
      <c r="Q1554" s="2">
        <v>62433.15</v>
      </c>
      <c r="R1554" s="2">
        <v>302.39999999999998</v>
      </c>
      <c r="S1554" s="2">
        <v>62130.75</v>
      </c>
      <c r="T1554" s="2">
        <v>48989.07</v>
      </c>
      <c r="U1554" s="2">
        <v>302.39999999999998</v>
      </c>
      <c r="V1554" s="2">
        <v>13444.08</v>
      </c>
      <c r="W1554" s="2">
        <v>0</v>
      </c>
    </row>
    <row r="1555" spans="1:23" outlineLevel="2" x14ac:dyDescent="0.2">
      <c r="A1555" t="s">
        <v>402</v>
      </c>
      <c r="B1555" t="s">
        <v>1</v>
      </c>
      <c r="C1555" t="s">
        <v>2</v>
      </c>
      <c r="D1555" t="s">
        <v>410</v>
      </c>
      <c r="E1555" t="s">
        <v>411</v>
      </c>
      <c r="F1555" t="s">
        <v>5</v>
      </c>
      <c r="G1555" t="s">
        <v>6</v>
      </c>
      <c r="H1555" t="s">
        <v>7</v>
      </c>
      <c r="I1555" t="s">
        <v>8</v>
      </c>
      <c r="J1555" t="s">
        <v>403</v>
      </c>
      <c r="K1555" t="s">
        <v>494</v>
      </c>
      <c r="L1555" t="s">
        <v>496</v>
      </c>
      <c r="M1555" t="s">
        <v>12</v>
      </c>
      <c r="N1555" s="2">
        <v>0</v>
      </c>
      <c r="O1555" s="2">
        <v>0</v>
      </c>
      <c r="P1555" s="2">
        <v>0.01</v>
      </c>
      <c r="Q1555" s="2">
        <v>0.01</v>
      </c>
      <c r="R1555" s="2">
        <v>0</v>
      </c>
      <c r="S1555" s="2">
        <v>0</v>
      </c>
      <c r="T1555" s="2">
        <v>0</v>
      </c>
      <c r="U1555" s="2">
        <v>0.01</v>
      </c>
      <c r="V1555" s="2">
        <v>0.01</v>
      </c>
      <c r="W1555" s="2">
        <v>0.01</v>
      </c>
    </row>
    <row r="1556" spans="1:23" outlineLevel="2" x14ac:dyDescent="0.2">
      <c r="A1556" t="s">
        <v>402</v>
      </c>
      <c r="B1556" t="s">
        <v>39</v>
      </c>
      <c r="C1556" t="s">
        <v>58</v>
      </c>
      <c r="D1556" t="s">
        <v>143</v>
      </c>
      <c r="E1556" t="s">
        <v>144</v>
      </c>
      <c r="F1556" t="s">
        <v>5</v>
      </c>
      <c r="G1556" t="s">
        <v>6</v>
      </c>
      <c r="H1556" t="s">
        <v>7</v>
      </c>
      <c r="I1556" t="s">
        <v>8</v>
      </c>
      <c r="J1556" t="s">
        <v>403</v>
      </c>
      <c r="K1556" t="s">
        <v>494</v>
      </c>
      <c r="L1556" t="s">
        <v>495</v>
      </c>
      <c r="M1556" t="s">
        <v>12</v>
      </c>
      <c r="N1556" s="2">
        <v>94000</v>
      </c>
      <c r="O1556" s="2">
        <v>-300</v>
      </c>
      <c r="P1556" s="2">
        <v>0</v>
      </c>
      <c r="Q1556" s="2">
        <v>93700</v>
      </c>
      <c r="R1556" s="2">
        <v>0</v>
      </c>
      <c r="S1556" s="2">
        <v>93687.679999999993</v>
      </c>
      <c r="T1556" s="2">
        <v>58554.82</v>
      </c>
      <c r="U1556" s="2">
        <v>12.32</v>
      </c>
      <c r="V1556" s="2">
        <v>35145.18</v>
      </c>
      <c r="W1556" s="2">
        <v>12.32</v>
      </c>
    </row>
    <row r="1557" spans="1:23" outlineLevel="2" x14ac:dyDescent="0.2">
      <c r="A1557" t="s">
        <v>402</v>
      </c>
      <c r="B1557" t="s">
        <v>1</v>
      </c>
      <c r="C1557" t="s">
        <v>2</v>
      </c>
      <c r="D1557" t="s">
        <v>3</v>
      </c>
      <c r="E1557" t="s">
        <v>4</v>
      </c>
      <c r="F1557" t="s">
        <v>5</v>
      </c>
      <c r="G1557" t="s">
        <v>6</v>
      </c>
      <c r="H1557" t="s">
        <v>7</v>
      </c>
      <c r="I1557" t="s">
        <v>8</v>
      </c>
      <c r="J1557" t="s">
        <v>403</v>
      </c>
      <c r="K1557" t="s">
        <v>494</v>
      </c>
      <c r="L1557" t="s">
        <v>496</v>
      </c>
      <c r="M1557" t="s">
        <v>15</v>
      </c>
      <c r="N1557" s="2">
        <v>93000</v>
      </c>
      <c r="O1557" s="2">
        <v>-8178.01</v>
      </c>
      <c r="P1557" s="2">
        <v>-3494.44</v>
      </c>
      <c r="Q1557" s="2">
        <v>81327.55</v>
      </c>
      <c r="R1557" s="2">
        <v>22831.41</v>
      </c>
      <c r="S1557" s="2">
        <v>58496.14</v>
      </c>
      <c r="T1557" s="2">
        <v>58496.14</v>
      </c>
      <c r="U1557" s="2">
        <v>22831.41</v>
      </c>
      <c r="V1557" s="2">
        <v>22831.41</v>
      </c>
      <c r="W1557" s="2">
        <v>0</v>
      </c>
    </row>
    <row r="1558" spans="1:23" outlineLevel="2" x14ac:dyDescent="0.2">
      <c r="A1558" t="s">
        <v>402</v>
      </c>
      <c r="B1558" t="s">
        <v>39</v>
      </c>
      <c r="C1558" t="s">
        <v>70</v>
      </c>
      <c r="D1558" t="s">
        <v>89</v>
      </c>
      <c r="E1558" t="s">
        <v>90</v>
      </c>
      <c r="F1558" t="s">
        <v>5</v>
      </c>
      <c r="G1558" t="s">
        <v>6</v>
      </c>
      <c r="H1558" t="s">
        <v>7</v>
      </c>
      <c r="I1558" t="s">
        <v>8</v>
      </c>
      <c r="J1558" t="s">
        <v>403</v>
      </c>
      <c r="K1558" t="s">
        <v>494</v>
      </c>
      <c r="L1558" t="s">
        <v>501</v>
      </c>
      <c r="M1558" t="s">
        <v>12</v>
      </c>
      <c r="N1558" s="2">
        <v>234000</v>
      </c>
      <c r="O1558" s="2">
        <v>18753</v>
      </c>
      <c r="P1558" s="2">
        <v>0</v>
      </c>
      <c r="Q1558" s="2">
        <v>252753</v>
      </c>
      <c r="R1558" s="2">
        <v>0</v>
      </c>
      <c r="S1558" s="2">
        <v>252498.5</v>
      </c>
      <c r="T1558" s="2">
        <v>212631.39</v>
      </c>
      <c r="U1558" s="2">
        <v>254.5</v>
      </c>
      <c r="V1558" s="2">
        <v>40121.61</v>
      </c>
      <c r="W1558" s="2">
        <v>254.5</v>
      </c>
    </row>
    <row r="1559" spans="1:23" outlineLevel="2" x14ac:dyDescent="0.2">
      <c r="A1559" t="s">
        <v>402</v>
      </c>
      <c r="B1559" t="s">
        <v>31</v>
      </c>
      <c r="C1559" t="s">
        <v>79</v>
      </c>
      <c r="D1559" t="s">
        <v>133</v>
      </c>
      <c r="E1559" t="s">
        <v>134</v>
      </c>
      <c r="F1559" t="s">
        <v>5</v>
      </c>
      <c r="G1559" t="s">
        <v>6</v>
      </c>
      <c r="H1559" t="s">
        <v>7</v>
      </c>
      <c r="I1559" t="s">
        <v>8</v>
      </c>
      <c r="J1559" t="s">
        <v>403</v>
      </c>
      <c r="K1559" t="s">
        <v>494</v>
      </c>
      <c r="L1559" t="s">
        <v>498</v>
      </c>
      <c r="M1559" t="s">
        <v>12</v>
      </c>
      <c r="N1559" s="2">
        <v>113000</v>
      </c>
      <c r="O1559" s="2">
        <v>0</v>
      </c>
      <c r="P1559" s="2">
        <v>0</v>
      </c>
      <c r="Q1559" s="2">
        <v>113000</v>
      </c>
      <c r="R1559" s="2">
        <v>0</v>
      </c>
      <c r="S1559" s="2">
        <v>89510.399999999994</v>
      </c>
      <c r="T1559" s="2">
        <v>19207.439999999999</v>
      </c>
      <c r="U1559" s="2">
        <v>23489.599999999999</v>
      </c>
      <c r="V1559" s="2">
        <v>93792.56</v>
      </c>
      <c r="W1559" s="2">
        <v>23489.599999999999</v>
      </c>
    </row>
    <row r="1560" spans="1:23" outlineLevel="2" x14ac:dyDescent="0.2">
      <c r="A1560" t="s">
        <v>402</v>
      </c>
      <c r="B1560" t="s">
        <v>39</v>
      </c>
      <c r="C1560" t="s">
        <v>66</v>
      </c>
      <c r="D1560" t="s">
        <v>67</v>
      </c>
      <c r="E1560" t="s">
        <v>68</v>
      </c>
      <c r="F1560" t="s">
        <v>5</v>
      </c>
      <c r="G1560" t="s">
        <v>6</v>
      </c>
      <c r="H1560" t="s">
        <v>7</v>
      </c>
      <c r="I1560" t="s">
        <v>8</v>
      </c>
      <c r="J1560" t="s">
        <v>403</v>
      </c>
      <c r="K1560" t="s">
        <v>494</v>
      </c>
      <c r="L1560" t="s">
        <v>502</v>
      </c>
      <c r="M1560" t="s">
        <v>12</v>
      </c>
      <c r="N1560" s="2">
        <v>168000</v>
      </c>
      <c r="O1560" s="2">
        <v>-11672.15</v>
      </c>
      <c r="P1560" s="2">
        <v>0</v>
      </c>
      <c r="Q1560" s="2">
        <v>156327.85</v>
      </c>
      <c r="R1560" s="2">
        <v>0</v>
      </c>
      <c r="S1560" s="2">
        <v>156327.85</v>
      </c>
      <c r="T1560" s="2">
        <v>124657.3</v>
      </c>
      <c r="U1560" s="2">
        <v>0</v>
      </c>
      <c r="V1560" s="2">
        <v>31670.55</v>
      </c>
      <c r="W1560" s="2">
        <v>0</v>
      </c>
    </row>
    <row r="1561" spans="1:23" outlineLevel="2" x14ac:dyDescent="0.2">
      <c r="A1561" t="s">
        <v>402</v>
      </c>
      <c r="B1561" t="s">
        <v>1</v>
      </c>
      <c r="C1561" t="s">
        <v>2</v>
      </c>
      <c r="D1561" t="s">
        <v>3</v>
      </c>
      <c r="E1561" t="s">
        <v>4</v>
      </c>
      <c r="F1561" t="s">
        <v>5</v>
      </c>
      <c r="G1561" t="s">
        <v>6</v>
      </c>
      <c r="H1561" t="s">
        <v>7</v>
      </c>
      <c r="I1561" t="s">
        <v>8</v>
      </c>
      <c r="J1561" t="s">
        <v>403</v>
      </c>
      <c r="K1561" t="s">
        <v>494</v>
      </c>
      <c r="L1561" t="s">
        <v>496</v>
      </c>
      <c r="M1561" t="s">
        <v>12</v>
      </c>
      <c r="N1561" s="2">
        <v>0</v>
      </c>
      <c r="O1561" s="2">
        <v>0</v>
      </c>
      <c r="P1561" s="2">
        <v>3494.44</v>
      </c>
      <c r="Q1561" s="2">
        <v>3494.44</v>
      </c>
      <c r="R1561" s="2">
        <v>0</v>
      </c>
      <c r="S1561" s="2">
        <v>0</v>
      </c>
      <c r="T1561" s="2">
        <v>0</v>
      </c>
      <c r="U1561" s="2">
        <v>3494.44</v>
      </c>
      <c r="V1561" s="2">
        <v>3494.44</v>
      </c>
      <c r="W1561" s="2">
        <v>3494.44</v>
      </c>
    </row>
    <row r="1562" spans="1:23" outlineLevel="2" x14ac:dyDescent="0.2">
      <c r="A1562" t="s">
        <v>402</v>
      </c>
      <c r="B1562" t="s">
        <v>39</v>
      </c>
      <c r="C1562" t="s">
        <v>58</v>
      </c>
      <c r="D1562" t="s">
        <v>137</v>
      </c>
      <c r="E1562" t="s">
        <v>138</v>
      </c>
      <c r="F1562" t="s">
        <v>5</v>
      </c>
      <c r="G1562" t="s">
        <v>6</v>
      </c>
      <c r="H1562" t="s">
        <v>7</v>
      </c>
      <c r="I1562" t="s">
        <v>8</v>
      </c>
      <c r="J1562" t="s">
        <v>403</v>
      </c>
      <c r="K1562" t="s">
        <v>494</v>
      </c>
      <c r="L1562" t="s">
        <v>495</v>
      </c>
      <c r="M1562" t="s">
        <v>12</v>
      </c>
      <c r="N1562" s="2">
        <v>82000</v>
      </c>
      <c r="O1562" s="2">
        <v>-10.49</v>
      </c>
      <c r="P1562" s="2">
        <v>0</v>
      </c>
      <c r="Q1562" s="2">
        <v>81989.509999999995</v>
      </c>
      <c r="R1562" s="2">
        <v>0</v>
      </c>
      <c r="S1562" s="2">
        <v>81989.509999999995</v>
      </c>
      <c r="T1562" s="2">
        <v>44695.839999999997</v>
      </c>
      <c r="U1562" s="2">
        <v>0</v>
      </c>
      <c r="V1562" s="2">
        <v>37293.67</v>
      </c>
      <c r="W1562" s="2">
        <v>0</v>
      </c>
    </row>
    <row r="1563" spans="1:23" outlineLevel="2" x14ac:dyDescent="0.2">
      <c r="A1563" t="s">
        <v>402</v>
      </c>
      <c r="B1563" t="s">
        <v>31</v>
      </c>
      <c r="C1563" t="s">
        <v>32</v>
      </c>
      <c r="D1563" t="s">
        <v>75</v>
      </c>
      <c r="E1563" t="s">
        <v>76</v>
      </c>
      <c r="F1563" t="s">
        <v>5</v>
      </c>
      <c r="G1563" t="s">
        <v>6</v>
      </c>
      <c r="H1563" t="s">
        <v>7</v>
      </c>
      <c r="I1563" t="s">
        <v>8</v>
      </c>
      <c r="J1563" t="s">
        <v>403</v>
      </c>
      <c r="K1563" t="s">
        <v>494</v>
      </c>
      <c r="L1563" t="s">
        <v>500</v>
      </c>
      <c r="M1563" t="s">
        <v>12</v>
      </c>
      <c r="N1563" s="2">
        <v>133380</v>
      </c>
      <c r="O1563" s="2">
        <v>-67700</v>
      </c>
      <c r="P1563" s="2">
        <v>0</v>
      </c>
      <c r="Q1563" s="2">
        <v>65680</v>
      </c>
      <c r="R1563" s="2">
        <v>283.88</v>
      </c>
      <c r="S1563" s="2">
        <v>61201.53</v>
      </c>
      <c r="T1563" s="2">
        <v>44128.01</v>
      </c>
      <c r="U1563" s="2">
        <v>4478.47</v>
      </c>
      <c r="V1563" s="2">
        <v>21551.99</v>
      </c>
      <c r="W1563" s="2">
        <v>4194.59</v>
      </c>
    </row>
    <row r="1564" spans="1:23" outlineLevel="2" x14ac:dyDescent="0.2">
      <c r="A1564" t="s">
        <v>402</v>
      </c>
      <c r="B1564" t="s">
        <v>31</v>
      </c>
      <c r="C1564" t="s">
        <v>79</v>
      </c>
      <c r="D1564" t="s">
        <v>127</v>
      </c>
      <c r="E1564" t="s">
        <v>128</v>
      </c>
      <c r="F1564" t="s">
        <v>5</v>
      </c>
      <c r="G1564" t="s">
        <v>6</v>
      </c>
      <c r="H1564" t="s">
        <v>7</v>
      </c>
      <c r="I1564" t="s">
        <v>8</v>
      </c>
      <c r="J1564" t="s">
        <v>403</v>
      </c>
      <c r="K1564" t="s">
        <v>494</v>
      </c>
      <c r="L1564" t="s">
        <v>498</v>
      </c>
      <c r="M1564" t="s">
        <v>12</v>
      </c>
      <c r="N1564" s="2">
        <v>110000</v>
      </c>
      <c r="O1564" s="2">
        <v>-44643.33</v>
      </c>
      <c r="P1564" s="2">
        <v>0</v>
      </c>
      <c r="Q1564" s="2">
        <v>65356.67</v>
      </c>
      <c r="R1564" s="2">
        <v>14195.9</v>
      </c>
      <c r="S1564" s="2">
        <v>51160.77</v>
      </c>
      <c r="T1564" s="2">
        <v>36242.370000000003</v>
      </c>
      <c r="U1564" s="2">
        <v>14195.9</v>
      </c>
      <c r="V1564" s="2">
        <v>29114.3</v>
      </c>
      <c r="W1564" s="2">
        <v>0</v>
      </c>
    </row>
    <row r="1565" spans="1:23" outlineLevel="2" x14ac:dyDescent="0.2">
      <c r="A1565" t="s">
        <v>402</v>
      </c>
      <c r="B1565" t="s">
        <v>31</v>
      </c>
      <c r="C1565" t="s">
        <v>32</v>
      </c>
      <c r="D1565" t="s">
        <v>33</v>
      </c>
      <c r="E1565" t="s">
        <v>34</v>
      </c>
      <c r="F1565" t="s">
        <v>5</v>
      </c>
      <c r="G1565" t="s">
        <v>6</v>
      </c>
      <c r="H1565" t="s">
        <v>7</v>
      </c>
      <c r="I1565" t="s">
        <v>8</v>
      </c>
      <c r="J1565" t="s">
        <v>403</v>
      </c>
      <c r="K1565" t="s">
        <v>503</v>
      </c>
      <c r="L1565" t="s">
        <v>504</v>
      </c>
      <c r="M1565" t="s">
        <v>12</v>
      </c>
      <c r="N1565" s="2">
        <v>1500</v>
      </c>
      <c r="O1565" s="2">
        <v>0</v>
      </c>
      <c r="P1565" s="2">
        <v>0</v>
      </c>
      <c r="Q1565" s="2">
        <v>1500</v>
      </c>
      <c r="R1565" s="2">
        <v>0</v>
      </c>
      <c r="S1565" s="2">
        <v>0</v>
      </c>
      <c r="T1565" s="2">
        <v>0</v>
      </c>
      <c r="U1565" s="2">
        <v>1500</v>
      </c>
      <c r="V1565" s="2">
        <v>1500</v>
      </c>
      <c r="W1565" s="2">
        <v>1500</v>
      </c>
    </row>
    <row r="1566" spans="1:23" outlineLevel="2" x14ac:dyDescent="0.2">
      <c r="A1566" t="s">
        <v>402</v>
      </c>
      <c r="B1566" t="s">
        <v>1</v>
      </c>
      <c r="C1566" t="s">
        <v>2</v>
      </c>
      <c r="D1566" t="s">
        <v>505</v>
      </c>
      <c r="E1566" t="s">
        <v>506</v>
      </c>
      <c r="F1566" t="s">
        <v>5</v>
      </c>
      <c r="G1566" t="s">
        <v>6</v>
      </c>
      <c r="H1566" t="s">
        <v>7</v>
      </c>
      <c r="I1566" t="s">
        <v>8</v>
      </c>
      <c r="J1566" t="s">
        <v>403</v>
      </c>
      <c r="K1566" t="s">
        <v>507</v>
      </c>
      <c r="L1566" t="s">
        <v>508</v>
      </c>
      <c r="M1566" t="s">
        <v>15</v>
      </c>
      <c r="N1566" s="2">
        <v>16000</v>
      </c>
      <c r="O1566" s="2">
        <v>0</v>
      </c>
      <c r="P1566" s="2">
        <v>-16000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</row>
    <row r="1567" spans="1:23" outlineLevel="2" x14ac:dyDescent="0.2">
      <c r="A1567" t="s">
        <v>402</v>
      </c>
      <c r="B1567" t="s">
        <v>1</v>
      </c>
      <c r="C1567" t="s">
        <v>16</v>
      </c>
      <c r="D1567" t="s">
        <v>17</v>
      </c>
      <c r="E1567" t="s">
        <v>18</v>
      </c>
      <c r="F1567" t="s">
        <v>5</v>
      </c>
      <c r="G1567" t="s">
        <v>6</v>
      </c>
      <c r="H1567" t="s">
        <v>7</v>
      </c>
      <c r="I1567" t="s">
        <v>8</v>
      </c>
      <c r="J1567" t="s">
        <v>403</v>
      </c>
      <c r="K1567" t="s">
        <v>507</v>
      </c>
      <c r="L1567" t="s">
        <v>509</v>
      </c>
      <c r="M1567" t="s">
        <v>15</v>
      </c>
      <c r="N1567" s="2">
        <v>24700</v>
      </c>
      <c r="O1567" s="2">
        <v>0</v>
      </c>
      <c r="P1567" s="2">
        <v>-24700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</row>
    <row r="1568" spans="1:23" outlineLevel="2" x14ac:dyDescent="0.2">
      <c r="A1568" t="s">
        <v>402</v>
      </c>
      <c r="B1568" t="s">
        <v>1</v>
      </c>
      <c r="C1568" t="s">
        <v>2</v>
      </c>
      <c r="D1568" t="s">
        <v>463</v>
      </c>
      <c r="E1568" t="s">
        <v>464</v>
      </c>
      <c r="F1568" t="s">
        <v>5</v>
      </c>
      <c r="G1568" t="s">
        <v>6</v>
      </c>
      <c r="H1568" t="s">
        <v>7</v>
      </c>
      <c r="I1568" t="s">
        <v>8</v>
      </c>
      <c r="J1568" t="s">
        <v>403</v>
      </c>
      <c r="K1568" t="s">
        <v>507</v>
      </c>
      <c r="L1568" t="s">
        <v>508</v>
      </c>
      <c r="M1568" t="s">
        <v>15</v>
      </c>
      <c r="N1568" s="2">
        <v>28000</v>
      </c>
      <c r="O1568" s="2">
        <v>0</v>
      </c>
      <c r="P1568" s="2">
        <v>-28000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</row>
    <row r="1569" spans="1:23" outlineLevel="2" x14ac:dyDescent="0.2">
      <c r="A1569" t="s">
        <v>402</v>
      </c>
      <c r="B1569" t="s">
        <v>53</v>
      </c>
      <c r="C1569" t="s">
        <v>54</v>
      </c>
      <c r="D1569" t="s">
        <v>55</v>
      </c>
      <c r="E1569" t="s">
        <v>56</v>
      </c>
      <c r="F1569" t="s">
        <v>5</v>
      </c>
      <c r="G1569" t="s">
        <v>6</v>
      </c>
      <c r="H1569" t="s">
        <v>7</v>
      </c>
      <c r="I1569" t="s">
        <v>8</v>
      </c>
      <c r="J1569" t="s">
        <v>403</v>
      </c>
      <c r="K1569" t="s">
        <v>507</v>
      </c>
      <c r="L1569" t="s">
        <v>510</v>
      </c>
      <c r="M1569" t="s">
        <v>12</v>
      </c>
      <c r="N1569" s="2">
        <v>5400</v>
      </c>
      <c r="O1569" s="2">
        <v>-5400</v>
      </c>
      <c r="P1569" s="2">
        <v>0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</row>
    <row r="1570" spans="1:23" outlineLevel="2" x14ac:dyDescent="0.2">
      <c r="A1570" t="s">
        <v>402</v>
      </c>
      <c r="B1570" t="s">
        <v>39</v>
      </c>
      <c r="C1570" t="s">
        <v>95</v>
      </c>
      <c r="D1570" t="s">
        <v>96</v>
      </c>
      <c r="E1570" t="s">
        <v>97</v>
      </c>
      <c r="F1570" t="s">
        <v>5</v>
      </c>
      <c r="G1570" t="s">
        <v>6</v>
      </c>
      <c r="H1570" t="s">
        <v>7</v>
      </c>
      <c r="I1570" t="s">
        <v>8</v>
      </c>
      <c r="J1570" t="s">
        <v>403</v>
      </c>
      <c r="K1570" t="s">
        <v>507</v>
      </c>
      <c r="L1570" t="s">
        <v>511</v>
      </c>
      <c r="M1570" t="s">
        <v>12</v>
      </c>
      <c r="N1570" s="2">
        <v>14000</v>
      </c>
      <c r="O1570" s="2">
        <v>-14000</v>
      </c>
      <c r="P1570" s="2">
        <v>0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</row>
    <row r="1571" spans="1:23" outlineLevel="2" x14ac:dyDescent="0.2">
      <c r="A1571" t="s">
        <v>402</v>
      </c>
      <c r="B1571" t="s">
        <v>1</v>
      </c>
      <c r="C1571" t="s">
        <v>16</v>
      </c>
      <c r="D1571" t="s">
        <v>103</v>
      </c>
      <c r="E1571" t="s">
        <v>104</v>
      </c>
      <c r="F1571" t="s">
        <v>5</v>
      </c>
      <c r="G1571" t="s">
        <v>6</v>
      </c>
      <c r="H1571" t="s">
        <v>7</v>
      </c>
      <c r="I1571" t="s">
        <v>8</v>
      </c>
      <c r="J1571" t="s">
        <v>403</v>
      </c>
      <c r="K1571" t="s">
        <v>512</v>
      </c>
      <c r="L1571" t="s">
        <v>513</v>
      </c>
      <c r="M1571" t="s">
        <v>12</v>
      </c>
      <c r="N1571" s="2">
        <v>0</v>
      </c>
      <c r="O1571" s="2">
        <v>0</v>
      </c>
      <c r="P1571" s="2">
        <v>42272.73</v>
      </c>
      <c r="Q1571" s="2">
        <v>42272.73</v>
      </c>
      <c r="R1571" s="2">
        <v>0</v>
      </c>
      <c r="S1571" s="2">
        <v>0</v>
      </c>
      <c r="T1571" s="2">
        <v>0</v>
      </c>
      <c r="U1571" s="2">
        <v>42272.73</v>
      </c>
      <c r="V1571" s="2">
        <v>42272.73</v>
      </c>
      <c r="W1571" s="2">
        <v>42272.73</v>
      </c>
    </row>
    <row r="1572" spans="1:23" outlineLevel="2" x14ac:dyDescent="0.2">
      <c r="A1572" t="s">
        <v>402</v>
      </c>
      <c r="B1572" t="s">
        <v>1</v>
      </c>
      <c r="C1572" t="s">
        <v>2</v>
      </c>
      <c r="D1572" t="s">
        <v>20</v>
      </c>
      <c r="E1572" t="s">
        <v>21</v>
      </c>
      <c r="F1572" t="s">
        <v>5</v>
      </c>
      <c r="G1572" t="s">
        <v>6</v>
      </c>
      <c r="H1572" t="s">
        <v>7</v>
      </c>
      <c r="I1572" t="s">
        <v>8</v>
      </c>
      <c r="J1572" t="s">
        <v>403</v>
      </c>
      <c r="K1572" t="s">
        <v>512</v>
      </c>
      <c r="L1572" t="s">
        <v>514</v>
      </c>
      <c r="M1572" t="s">
        <v>15</v>
      </c>
      <c r="N1572" s="2">
        <v>1000</v>
      </c>
      <c r="O1572" s="2">
        <v>-313.22000000000003</v>
      </c>
      <c r="P1572" s="2">
        <v>-686.78</v>
      </c>
      <c r="Q1572" s="2">
        <v>0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</row>
    <row r="1573" spans="1:23" outlineLevel="2" x14ac:dyDescent="0.2">
      <c r="A1573" t="s">
        <v>402</v>
      </c>
      <c r="B1573" t="s">
        <v>1</v>
      </c>
      <c r="C1573" t="s">
        <v>16</v>
      </c>
      <c r="D1573" t="s">
        <v>103</v>
      </c>
      <c r="E1573" t="s">
        <v>104</v>
      </c>
      <c r="F1573" t="s">
        <v>5</v>
      </c>
      <c r="G1573" t="s">
        <v>6</v>
      </c>
      <c r="H1573" t="s">
        <v>7</v>
      </c>
      <c r="I1573" t="s">
        <v>8</v>
      </c>
      <c r="J1573" t="s">
        <v>403</v>
      </c>
      <c r="K1573" t="s">
        <v>512</v>
      </c>
      <c r="L1573" t="s">
        <v>513</v>
      </c>
      <c r="M1573" t="s">
        <v>15</v>
      </c>
      <c r="N1573" s="2">
        <v>42272.73</v>
      </c>
      <c r="O1573" s="2">
        <v>0</v>
      </c>
      <c r="P1573" s="2">
        <v>-42272.73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</row>
    <row r="1574" spans="1:23" outlineLevel="2" x14ac:dyDescent="0.2">
      <c r="A1574" t="s">
        <v>402</v>
      </c>
      <c r="B1574" t="s">
        <v>39</v>
      </c>
      <c r="C1574" t="s">
        <v>40</v>
      </c>
      <c r="D1574" t="s">
        <v>77</v>
      </c>
      <c r="E1574" t="s">
        <v>78</v>
      </c>
      <c r="F1574" t="s">
        <v>5</v>
      </c>
      <c r="G1574" t="s">
        <v>6</v>
      </c>
      <c r="H1574" t="s">
        <v>7</v>
      </c>
      <c r="I1574" t="s">
        <v>8</v>
      </c>
      <c r="J1574" t="s">
        <v>403</v>
      </c>
      <c r="K1574" t="s">
        <v>512</v>
      </c>
      <c r="L1574" t="s">
        <v>515</v>
      </c>
      <c r="M1574" t="s">
        <v>12</v>
      </c>
      <c r="N1574" s="2">
        <v>282141.90000000002</v>
      </c>
      <c r="O1574" s="2">
        <v>-19233.310000000001</v>
      </c>
      <c r="P1574" s="2">
        <v>0</v>
      </c>
      <c r="Q1574" s="2">
        <v>262908.59000000003</v>
      </c>
      <c r="R1574" s="2">
        <v>10049.69</v>
      </c>
      <c r="S1574" s="2">
        <v>221193.96</v>
      </c>
      <c r="T1574" s="2">
        <v>175020.36</v>
      </c>
      <c r="U1574" s="2">
        <v>41714.629999999997</v>
      </c>
      <c r="V1574" s="2">
        <v>87888.23</v>
      </c>
      <c r="W1574" s="2">
        <v>31664.94</v>
      </c>
    </row>
    <row r="1575" spans="1:23" outlineLevel="2" x14ac:dyDescent="0.2">
      <c r="A1575" t="s">
        <v>402</v>
      </c>
      <c r="B1575" t="s">
        <v>31</v>
      </c>
      <c r="C1575" t="s">
        <v>79</v>
      </c>
      <c r="D1575" t="s">
        <v>117</v>
      </c>
      <c r="E1575" t="s">
        <v>118</v>
      </c>
      <c r="F1575" t="s">
        <v>5</v>
      </c>
      <c r="G1575" t="s">
        <v>6</v>
      </c>
      <c r="H1575" t="s">
        <v>7</v>
      </c>
      <c r="I1575" t="s">
        <v>8</v>
      </c>
      <c r="J1575" t="s">
        <v>403</v>
      </c>
      <c r="K1575" t="s">
        <v>512</v>
      </c>
      <c r="L1575" t="s">
        <v>516</v>
      </c>
      <c r="M1575" t="s">
        <v>12</v>
      </c>
      <c r="N1575" s="2">
        <v>800</v>
      </c>
      <c r="O1575" s="2">
        <v>0</v>
      </c>
      <c r="P1575" s="2">
        <v>0</v>
      </c>
      <c r="Q1575" s="2">
        <v>800</v>
      </c>
      <c r="R1575" s="2">
        <v>0</v>
      </c>
      <c r="S1575" s="2">
        <v>0</v>
      </c>
      <c r="T1575" s="2">
        <v>0</v>
      </c>
      <c r="U1575" s="2">
        <v>800</v>
      </c>
      <c r="V1575" s="2">
        <v>800</v>
      </c>
      <c r="W1575" s="2">
        <v>800</v>
      </c>
    </row>
    <row r="1576" spans="1:23" outlineLevel="2" x14ac:dyDescent="0.2">
      <c r="A1576" t="s">
        <v>402</v>
      </c>
      <c r="B1576" t="s">
        <v>1</v>
      </c>
      <c r="C1576" t="s">
        <v>2</v>
      </c>
      <c r="D1576" t="s">
        <v>20</v>
      </c>
      <c r="E1576" t="s">
        <v>21</v>
      </c>
      <c r="F1576" t="s">
        <v>5</v>
      </c>
      <c r="G1576" t="s">
        <v>6</v>
      </c>
      <c r="H1576" t="s">
        <v>7</v>
      </c>
      <c r="I1576" t="s">
        <v>8</v>
      </c>
      <c r="J1576" t="s">
        <v>403</v>
      </c>
      <c r="K1576" t="s">
        <v>512</v>
      </c>
      <c r="L1576" t="s">
        <v>514</v>
      </c>
      <c r="M1576" t="s">
        <v>12</v>
      </c>
      <c r="N1576" s="2">
        <v>0</v>
      </c>
      <c r="O1576" s="2">
        <v>0</v>
      </c>
      <c r="P1576" s="2">
        <v>686.78</v>
      </c>
      <c r="Q1576" s="2">
        <v>686.78</v>
      </c>
      <c r="R1576" s="2">
        <v>0</v>
      </c>
      <c r="S1576" s="2">
        <v>0</v>
      </c>
      <c r="T1576" s="2">
        <v>0</v>
      </c>
      <c r="U1576" s="2">
        <v>686.78</v>
      </c>
      <c r="V1576" s="2">
        <v>686.78</v>
      </c>
      <c r="W1576" s="2">
        <v>686.78</v>
      </c>
    </row>
    <row r="1577" spans="1:23" outlineLevel="2" x14ac:dyDescent="0.2">
      <c r="A1577" t="s">
        <v>402</v>
      </c>
      <c r="B1577" t="s">
        <v>39</v>
      </c>
      <c r="C1577" t="s">
        <v>95</v>
      </c>
      <c r="D1577" t="s">
        <v>96</v>
      </c>
      <c r="E1577" t="s">
        <v>97</v>
      </c>
      <c r="F1577" t="s">
        <v>5</v>
      </c>
      <c r="G1577" t="s">
        <v>6</v>
      </c>
      <c r="H1577" t="s">
        <v>7</v>
      </c>
      <c r="I1577" t="s">
        <v>8</v>
      </c>
      <c r="J1577" t="s">
        <v>403</v>
      </c>
      <c r="K1577" t="s">
        <v>517</v>
      </c>
      <c r="L1577" t="s">
        <v>518</v>
      </c>
      <c r="M1577" t="s">
        <v>12</v>
      </c>
      <c r="N1577" s="2">
        <v>5824</v>
      </c>
      <c r="O1577" s="2">
        <v>-5824</v>
      </c>
      <c r="P1577" s="2">
        <v>0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</row>
    <row r="1578" spans="1:23" outlineLevel="2" x14ac:dyDescent="0.2">
      <c r="A1578" t="s">
        <v>402</v>
      </c>
      <c r="B1578" t="s">
        <v>39</v>
      </c>
      <c r="C1578" t="s">
        <v>58</v>
      </c>
      <c r="D1578" t="s">
        <v>139</v>
      </c>
      <c r="E1578" t="s">
        <v>140</v>
      </c>
      <c r="F1578" t="s">
        <v>5</v>
      </c>
      <c r="G1578" t="s">
        <v>6</v>
      </c>
      <c r="H1578" t="s">
        <v>7</v>
      </c>
      <c r="I1578" t="s">
        <v>8</v>
      </c>
      <c r="J1578" t="s">
        <v>403</v>
      </c>
      <c r="K1578" t="s">
        <v>519</v>
      </c>
      <c r="L1578" t="s">
        <v>520</v>
      </c>
      <c r="M1578" t="s">
        <v>12</v>
      </c>
      <c r="N1578" s="2">
        <v>0</v>
      </c>
      <c r="O1578" s="2">
        <v>2050</v>
      </c>
      <c r="P1578" s="2">
        <v>-1250</v>
      </c>
      <c r="Q1578" s="2">
        <v>800</v>
      </c>
      <c r="R1578" s="2">
        <v>0</v>
      </c>
      <c r="S1578" s="2">
        <v>445.98</v>
      </c>
      <c r="T1578" s="2">
        <v>0</v>
      </c>
      <c r="U1578" s="2">
        <v>354.02</v>
      </c>
      <c r="V1578" s="2">
        <v>800</v>
      </c>
      <c r="W1578" s="2">
        <v>354.02</v>
      </c>
    </row>
    <row r="1579" spans="1:23" outlineLevel="2" x14ac:dyDescent="0.2">
      <c r="A1579" t="s">
        <v>402</v>
      </c>
      <c r="B1579" t="s">
        <v>39</v>
      </c>
      <c r="C1579" t="s">
        <v>58</v>
      </c>
      <c r="D1579" t="s">
        <v>143</v>
      </c>
      <c r="E1579" t="s">
        <v>144</v>
      </c>
      <c r="F1579" t="s">
        <v>5</v>
      </c>
      <c r="G1579" t="s">
        <v>6</v>
      </c>
      <c r="H1579" t="s">
        <v>7</v>
      </c>
      <c r="I1579" t="s">
        <v>8</v>
      </c>
      <c r="J1579" t="s">
        <v>403</v>
      </c>
      <c r="K1579" t="s">
        <v>521</v>
      </c>
      <c r="L1579" t="s">
        <v>522</v>
      </c>
      <c r="M1579" t="s">
        <v>12</v>
      </c>
      <c r="N1579" s="2">
        <v>0</v>
      </c>
      <c r="O1579" s="2">
        <v>7840</v>
      </c>
      <c r="P1579" s="2">
        <v>0</v>
      </c>
      <c r="Q1579" s="2">
        <v>7840</v>
      </c>
      <c r="R1579" s="2">
        <v>0</v>
      </c>
      <c r="S1579" s="2">
        <v>7840</v>
      </c>
      <c r="T1579" s="2">
        <v>3920</v>
      </c>
      <c r="U1579" s="2">
        <v>0</v>
      </c>
      <c r="V1579" s="2">
        <v>3920</v>
      </c>
      <c r="W1579" s="2">
        <v>0</v>
      </c>
    </row>
    <row r="1580" spans="1:23" outlineLevel="2" x14ac:dyDescent="0.2">
      <c r="A1580" t="s">
        <v>402</v>
      </c>
      <c r="B1580" t="s">
        <v>39</v>
      </c>
      <c r="C1580" t="s">
        <v>58</v>
      </c>
      <c r="D1580" t="s">
        <v>137</v>
      </c>
      <c r="E1580" t="s">
        <v>138</v>
      </c>
      <c r="F1580" t="s">
        <v>5</v>
      </c>
      <c r="G1580" t="s">
        <v>6</v>
      </c>
      <c r="H1580" t="s">
        <v>7</v>
      </c>
      <c r="I1580" t="s">
        <v>8</v>
      </c>
      <c r="J1580" t="s">
        <v>403</v>
      </c>
      <c r="K1580" t="s">
        <v>521</v>
      </c>
      <c r="L1580" t="s">
        <v>522</v>
      </c>
      <c r="M1580" t="s">
        <v>12</v>
      </c>
      <c r="N1580" s="2">
        <v>2000</v>
      </c>
      <c r="O1580" s="2">
        <v>0</v>
      </c>
      <c r="P1580" s="2">
        <v>0</v>
      </c>
      <c r="Q1580" s="2">
        <v>2000</v>
      </c>
      <c r="R1580" s="2">
        <v>212.48</v>
      </c>
      <c r="S1580" s="2">
        <v>1787.52</v>
      </c>
      <c r="T1580" s="2">
        <v>1787.52</v>
      </c>
      <c r="U1580" s="2">
        <v>212.48</v>
      </c>
      <c r="V1580" s="2">
        <v>212.48</v>
      </c>
      <c r="W1580" s="2">
        <v>0</v>
      </c>
    </row>
    <row r="1581" spans="1:23" outlineLevel="2" x14ac:dyDescent="0.2">
      <c r="A1581" t="s">
        <v>402</v>
      </c>
      <c r="B1581" t="s">
        <v>39</v>
      </c>
      <c r="C1581" t="s">
        <v>58</v>
      </c>
      <c r="D1581" t="s">
        <v>135</v>
      </c>
      <c r="E1581" t="s">
        <v>136</v>
      </c>
      <c r="F1581" t="s">
        <v>5</v>
      </c>
      <c r="G1581" t="s">
        <v>6</v>
      </c>
      <c r="H1581" t="s">
        <v>7</v>
      </c>
      <c r="I1581" t="s">
        <v>8</v>
      </c>
      <c r="J1581" t="s">
        <v>403</v>
      </c>
      <c r="K1581" t="s">
        <v>521</v>
      </c>
      <c r="L1581" t="s">
        <v>522</v>
      </c>
      <c r="M1581" t="s">
        <v>12</v>
      </c>
      <c r="N1581" s="2">
        <v>2000</v>
      </c>
      <c r="O1581" s="2">
        <v>-500</v>
      </c>
      <c r="P1581" s="2">
        <v>-44</v>
      </c>
      <c r="Q1581" s="2">
        <v>1456</v>
      </c>
      <c r="R1581" s="2">
        <v>0</v>
      </c>
      <c r="S1581" s="2">
        <v>1456</v>
      </c>
      <c r="T1581" s="2">
        <v>1456</v>
      </c>
      <c r="U1581" s="2">
        <v>0</v>
      </c>
      <c r="V1581" s="2">
        <v>0</v>
      </c>
      <c r="W1581" s="2">
        <v>0</v>
      </c>
    </row>
    <row r="1582" spans="1:23" outlineLevel="2" x14ac:dyDescent="0.2">
      <c r="A1582" t="s">
        <v>402</v>
      </c>
      <c r="B1582" t="s">
        <v>1</v>
      </c>
      <c r="C1582" t="s">
        <v>2</v>
      </c>
      <c r="D1582" t="s">
        <v>410</v>
      </c>
      <c r="E1582" t="s">
        <v>411</v>
      </c>
      <c r="F1582" t="s">
        <v>5</v>
      </c>
      <c r="G1582" t="s">
        <v>6</v>
      </c>
      <c r="H1582" t="s">
        <v>7</v>
      </c>
      <c r="I1582" t="s">
        <v>8</v>
      </c>
      <c r="J1582" t="s">
        <v>403</v>
      </c>
      <c r="K1582" t="s">
        <v>523</v>
      </c>
      <c r="L1582" t="s">
        <v>524</v>
      </c>
      <c r="M1582" t="s">
        <v>15</v>
      </c>
      <c r="N1582" s="2">
        <v>60000</v>
      </c>
      <c r="O1582" s="2">
        <v>0</v>
      </c>
      <c r="P1582" s="2">
        <v>-60000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</row>
    <row r="1583" spans="1:23" outlineLevel="2" x14ac:dyDescent="0.2">
      <c r="A1583" t="s">
        <v>402</v>
      </c>
      <c r="B1583" t="s">
        <v>39</v>
      </c>
      <c r="C1583" t="s">
        <v>40</v>
      </c>
      <c r="D1583" t="s">
        <v>41</v>
      </c>
      <c r="E1583" t="s">
        <v>42</v>
      </c>
      <c r="F1583" t="s">
        <v>5</v>
      </c>
      <c r="G1583" t="s">
        <v>6</v>
      </c>
      <c r="H1583" t="s">
        <v>7</v>
      </c>
      <c r="I1583" t="s">
        <v>8</v>
      </c>
      <c r="J1583" t="s">
        <v>403</v>
      </c>
      <c r="K1583" t="s">
        <v>523</v>
      </c>
      <c r="L1583" t="s">
        <v>525</v>
      </c>
      <c r="M1583" t="s">
        <v>12</v>
      </c>
      <c r="N1583" s="2">
        <v>5500</v>
      </c>
      <c r="O1583" s="2">
        <v>0</v>
      </c>
      <c r="P1583" s="2">
        <v>0</v>
      </c>
      <c r="Q1583" s="2">
        <v>5500</v>
      </c>
      <c r="R1583" s="2">
        <v>0</v>
      </c>
      <c r="S1583" s="2">
        <v>5500</v>
      </c>
      <c r="T1583" s="2">
        <v>5500</v>
      </c>
      <c r="U1583" s="2">
        <v>0</v>
      </c>
      <c r="V1583" s="2">
        <v>0</v>
      </c>
      <c r="W1583" s="2">
        <v>0</v>
      </c>
    </row>
    <row r="1584" spans="1:23" outlineLevel="2" x14ac:dyDescent="0.2">
      <c r="A1584" t="s">
        <v>402</v>
      </c>
      <c r="B1584" t="s">
        <v>1</v>
      </c>
      <c r="C1584" t="s">
        <v>2</v>
      </c>
      <c r="D1584" t="s">
        <v>410</v>
      </c>
      <c r="E1584" t="s">
        <v>411</v>
      </c>
      <c r="F1584" t="s">
        <v>5</v>
      </c>
      <c r="G1584" t="s">
        <v>6</v>
      </c>
      <c r="H1584" t="s">
        <v>7</v>
      </c>
      <c r="I1584" t="s">
        <v>8</v>
      </c>
      <c r="J1584" t="s">
        <v>403</v>
      </c>
      <c r="K1584" t="s">
        <v>526</v>
      </c>
      <c r="L1584" t="s">
        <v>527</v>
      </c>
      <c r="M1584" t="s">
        <v>15</v>
      </c>
      <c r="N1584" s="2">
        <v>2000</v>
      </c>
      <c r="O1584" s="2">
        <v>0</v>
      </c>
      <c r="P1584" s="2">
        <v>0</v>
      </c>
      <c r="Q1584" s="2">
        <v>2000</v>
      </c>
      <c r="R1584" s="2">
        <v>0</v>
      </c>
      <c r="S1584" s="2">
        <v>2000</v>
      </c>
      <c r="T1584" s="2">
        <v>762.42</v>
      </c>
      <c r="U1584" s="2">
        <v>0</v>
      </c>
      <c r="V1584" s="2">
        <v>1237.58</v>
      </c>
      <c r="W1584" s="2">
        <v>0</v>
      </c>
    </row>
    <row r="1585" spans="1:23" outlineLevel="2" x14ac:dyDescent="0.2">
      <c r="A1585" t="s">
        <v>402</v>
      </c>
      <c r="B1585" t="s">
        <v>31</v>
      </c>
      <c r="C1585" t="s">
        <v>32</v>
      </c>
      <c r="D1585" t="s">
        <v>141</v>
      </c>
      <c r="E1585" t="s">
        <v>142</v>
      </c>
      <c r="F1585" t="s">
        <v>5</v>
      </c>
      <c r="G1585" t="s">
        <v>6</v>
      </c>
      <c r="H1585" t="s">
        <v>7</v>
      </c>
      <c r="I1585" t="s">
        <v>8</v>
      </c>
      <c r="J1585" t="s">
        <v>403</v>
      </c>
      <c r="K1585" t="s">
        <v>526</v>
      </c>
      <c r="L1585" t="s">
        <v>528</v>
      </c>
      <c r="M1585" t="s">
        <v>12</v>
      </c>
      <c r="N1585" s="2">
        <v>0</v>
      </c>
      <c r="O1585" s="2">
        <v>700</v>
      </c>
      <c r="P1585" s="2">
        <v>0</v>
      </c>
      <c r="Q1585" s="2">
        <v>700</v>
      </c>
      <c r="R1585" s="2">
        <v>700</v>
      </c>
      <c r="S1585" s="2">
        <v>0</v>
      </c>
      <c r="T1585" s="2">
        <v>0</v>
      </c>
      <c r="U1585" s="2">
        <v>700</v>
      </c>
      <c r="V1585" s="2">
        <v>700</v>
      </c>
      <c r="W1585" s="2">
        <v>0</v>
      </c>
    </row>
    <row r="1586" spans="1:23" outlineLevel="2" x14ac:dyDescent="0.2">
      <c r="A1586" t="s">
        <v>402</v>
      </c>
      <c r="B1586" t="s">
        <v>1</v>
      </c>
      <c r="C1586" t="s">
        <v>2</v>
      </c>
      <c r="D1586" t="s">
        <v>20</v>
      </c>
      <c r="E1586" t="s">
        <v>21</v>
      </c>
      <c r="F1586" t="s">
        <v>5</v>
      </c>
      <c r="G1586" t="s">
        <v>6</v>
      </c>
      <c r="H1586" t="s">
        <v>7</v>
      </c>
      <c r="I1586" t="s">
        <v>8</v>
      </c>
      <c r="J1586" t="s">
        <v>403</v>
      </c>
      <c r="K1586" t="s">
        <v>526</v>
      </c>
      <c r="L1586" t="s">
        <v>527</v>
      </c>
      <c r="M1586" t="s">
        <v>15</v>
      </c>
      <c r="N1586" s="2">
        <v>4000</v>
      </c>
      <c r="O1586" s="2">
        <v>313.22000000000003</v>
      </c>
      <c r="P1586" s="2">
        <v>-3008</v>
      </c>
      <c r="Q1586" s="2">
        <v>1305.22</v>
      </c>
      <c r="R1586" s="2">
        <v>74.39</v>
      </c>
      <c r="S1586" s="2">
        <v>1230.83</v>
      </c>
      <c r="T1586" s="2">
        <v>1230.83</v>
      </c>
      <c r="U1586" s="2">
        <v>74.39</v>
      </c>
      <c r="V1586" s="2">
        <v>74.39</v>
      </c>
      <c r="W1586" s="2">
        <v>0</v>
      </c>
    </row>
    <row r="1587" spans="1:23" outlineLevel="2" x14ac:dyDescent="0.2">
      <c r="A1587" t="s">
        <v>402</v>
      </c>
      <c r="B1587" t="s">
        <v>1</v>
      </c>
      <c r="C1587" t="s">
        <v>2</v>
      </c>
      <c r="D1587" t="s">
        <v>20</v>
      </c>
      <c r="E1587" t="s">
        <v>21</v>
      </c>
      <c r="F1587" t="s">
        <v>5</v>
      </c>
      <c r="G1587" t="s">
        <v>6</v>
      </c>
      <c r="H1587" t="s">
        <v>7</v>
      </c>
      <c r="I1587" t="s">
        <v>8</v>
      </c>
      <c r="J1587" t="s">
        <v>403</v>
      </c>
      <c r="K1587" t="s">
        <v>526</v>
      </c>
      <c r="L1587" t="s">
        <v>527</v>
      </c>
      <c r="M1587" t="s">
        <v>12</v>
      </c>
      <c r="N1587" s="2">
        <v>0</v>
      </c>
      <c r="O1587" s="2">
        <v>0</v>
      </c>
      <c r="P1587" s="2">
        <v>3008</v>
      </c>
      <c r="Q1587" s="2">
        <v>3008</v>
      </c>
      <c r="R1587" s="2">
        <v>0</v>
      </c>
      <c r="S1587" s="2">
        <v>0</v>
      </c>
      <c r="T1587" s="2">
        <v>0</v>
      </c>
      <c r="U1587" s="2">
        <v>3008</v>
      </c>
      <c r="V1587" s="2">
        <v>3008</v>
      </c>
      <c r="W1587" s="2">
        <v>3008</v>
      </c>
    </row>
    <row r="1588" spans="1:23" outlineLevel="2" x14ac:dyDescent="0.2">
      <c r="A1588" t="s">
        <v>402</v>
      </c>
      <c r="B1588" t="s">
        <v>39</v>
      </c>
      <c r="C1588" t="s">
        <v>66</v>
      </c>
      <c r="D1588" t="s">
        <v>67</v>
      </c>
      <c r="E1588" t="s">
        <v>68</v>
      </c>
      <c r="F1588" t="s">
        <v>5</v>
      </c>
      <c r="G1588" t="s">
        <v>6</v>
      </c>
      <c r="H1588" t="s">
        <v>7</v>
      </c>
      <c r="I1588" t="s">
        <v>8</v>
      </c>
      <c r="J1588" t="s">
        <v>403</v>
      </c>
      <c r="K1588" t="s">
        <v>526</v>
      </c>
      <c r="L1588" t="s">
        <v>529</v>
      </c>
      <c r="M1588" t="s">
        <v>12</v>
      </c>
      <c r="N1588" s="2">
        <v>1000</v>
      </c>
      <c r="O1588" s="2">
        <v>-792.5</v>
      </c>
      <c r="P1588" s="2">
        <v>0</v>
      </c>
      <c r="Q1588" s="2">
        <v>207.5</v>
      </c>
      <c r="R1588" s="2">
        <v>0</v>
      </c>
      <c r="S1588" s="2">
        <v>9.5500000000000007</v>
      </c>
      <c r="T1588" s="2">
        <v>9.5500000000000007</v>
      </c>
      <c r="U1588" s="2">
        <v>197.95</v>
      </c>
      <c r="V1588" s="2">
        <v>197.95</v>
      </c>
      <c r="W1588" s="2">
        <v>197.95</v>
      </c>
    </row>
    <row r="1589" spans="1:23" outlineLevel="2" x14ac:dyDescent="0.2">
      <c r="A1589" t="s">
        <v>402</v>
      </c>
      <c r="B1589" t="s">
        <v>1</v>
      </c>
      <c r="C1589" t="s">
        <v>16</v>
      </c>
      <c r="D1589" t="s">
        <v>62</v>
      </c>
      <c r="E1589" t="s">
        <v>63</v>
      </c>
      <c r="F1589" t="s">
        <v>5</v>
      </c>
      <c r="G1589" t="s">
        <v>6</v>
      </c>
      <c r="H1589" t="s">
        <v>7</v>
      </c>
      <c r="I1589" t="s">
        <v>8</v>
      </c>
      <c r="J1589" t="s">
        <v>403</v>
      </c>
      <c r="K1589" t="s">
        <v>530</v>
      </c>
      <c r="L1589" t="s">
        <v>531</v>
      </c>
      <c r="M1589" t="s">
        <v>12</v>
      </c>
      <c r="N1589" s="2">
        <v>0</v>
      </c>
      <c r="O1589" s="2">
        <v>0</v>
      </c>
      <c r="P1589" s="2">
        <v>21713.22</v>
      </c>
      <c r="Q1589" s="2">
        <v>21713.22</v>
      </c>
      <c r="R1589" s="2">
        <v>0</v>
      </c>
      <c r="S1589" s="2">
        <v>0</v>
      </c>
      <c r="T1589" s="2">
        <v>0</v>
      </c>
      <c r="U1589" s="2">
        <v>21713.22</v>
      </c>
      <c r="V1589" s="2">
        <v>21713.22</v>
      </c>
      <c r="W1589" s="2">
        <v>21713.22</v>
      </c>
    </row>
    <row r="1590" spans="1:23" outlineLevel="2" x14ac:dyDescent="0.2">
      <c r="A1590" t="s">
        <v>402</v>
      </c>
      <c r="B1590" t="s">
        <v>39</v>
      </c>
      <c r="C1590" t="s">
        <v>66</v>
      </c>
      <c r="D1590" t="s">
        <v>67</v>
      </c>
      <c r="E1590" t="s">
        <v>68</v>
      </c>
      <c r="F1590" t="s">
        <v>5</v>
      </c>
      <c r="G1590" t="s">
        <v>6</v>
      </c>
      <c r="H1590" t="s">
        <v>7</v>
      </c>
      <c r="I1590" t="s">
        <v>8</v>
      </c>
      <c r="J1590" t="s">
        <v>403</v>
      </c>
      <c r="K1590" t="s">
        <v>530</v>
      </c>
      <c r="L1590" t="s">
        <v>532</v>
      </c>
      <c r="M1590" t="s">
        <v>12</v>
      </c>
      <c r="N1590" s="2">
        <v>5000</v>
      </c>
      <c r="O1590" s="2">
        <v>-5000</v>
      </c>
      <c r="P1590" s="2">
        <v>0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</row>
    <row r="1591" spans="1:23" outlineLevel="2" x14ac:dyDescent="0.2">
      <c r="A1591" t="s">
        <v>402</v>
      </c>
      <c r="B1591" t="s">
        <v>1</v>
      </c>
      <c r="C1591" t="s">
        <v>16</v>
      </c>
      <c r="D1591" t="s">
        <v>62</v>
      </c>
      <c r="E1591" t="s">
        <v>63</v>
      </c>
      <c r="F1591" t="s">
        <v>5</v>
      </c>
      <c r="G1591" t="s">
        <v>6</v>
      </c>
      <c r="H1591" t="s">
        <v>7</v>
      </c>
      <c r="I1591" t="s">
        <v>8</v>
      </c>
      <c r="J1591" t="s">
        <v>403</v>
      </c>
      <c r="K1591" t="s">
        <v>530</v>
      </c>
      <c r="L1591" t="s">
        <v>531</v>
      </c>
      <c r="M1591" t="s">
        <v>15</v>
      </c>
      <c r="N1591" s="2">
        <v>30000</v>
      </c>
      <c r="O1591" s="2">
        <v>0</v>
      </c>
      <c r="P1591" s="2">
        <v>-25482.82</v>
      </c>
      <c r="Q1591" s="2">
        <v>4517.18</v>
      </c>
      <c r="R1591" s="2">
        <v>0</v>
      </c>
      <c r="S1591" s="2">
        <v>4517.18</v>
      </c>
      <c r="T1591" s="2">
        <v>4517.18</v>
      </c>
      <c r="U1591" s="2">
        <v>0</v>
      </c>
      <c r="V1591" s="2">
        <v>0</v>
      </c>
      <c r="W1591" s="2">
        <v>0</v>
      </c>
    </row>
    <row r="1592" spans="1:23" outlineLevel="2" x14ac:dyDescent="0.2">
      <c r="A1592" t="s">
        <v>402</v>
      </c>
      <c r="B1592" t="s">
        <v>39</v>
      </c>
      <c r="C1592" t="s">
        <v>66</v>
      </c>
      <c r="D1592" t="s">
        <v>67</v>
      </c>
      <c r="E1592" t="s">
        <v>68</v>
      </c>
      <c r="F1592" t="s">
        <v>5</v>
      </c>
      <c r="G1592" t="s">
        <v>6</v>
      </c>
      <c r="H1592" t="s">
        <v>7</v>
      </c>
      <c r="I1592" t="s">
        <v>8</v>
      </c>
      <c r="J1592" t="s">
        <v>403</v>
      </c>
      <c r="K1592" t="s">
        <v>533</v>
      </c>
      <c r="L1592" t="s">
        <v>534</v>
      </c>
      <c r="M1592" t="s">
        <v>12</v>
      </c>
      <c r="N1592" s="2">
        <v>500</v>
      </c>
      <c r="O1592" s="2">
        <v>-200</v>
      </c>
      <c r="P1592" s="2">
        <v>0</v>
      </c>
      <c r="Q1592" s="2">
        <v>300</v>
      </c>
      <c r="R1592" s="2">
        <v>0</v>
      </c>
      <c r="S1592" s="2">
        <v>0</v>
      </c>
      <c r="T1592" s="2">
        <v>0</v>
      </c>
      <c r="U1592" s="2">
        <v>300</v>
      </c>
      <c r="V1592" s="2">
        <v>300</v>
      </c>
      <c r="W1592" s="2">
        <v>300</v>
      </c>
    </row>
    <row r="1593" spans="1:23" outlineLevel="2" x14ac:dyDescent="0.2">
      <c r="A1593" t="s">
        <v>402</v>
      </c>
      <c r="B1593" t="s">
        <v>1</v>
      </c>
      <c r="C1593" t="s">
        <v>2</v>
      </c>
      <c r="D1593" t="s">
        <v>20</v>
      </c>
      <c r="E1593" t="s">
        <v>21</v>
      </c>
      <c r="F1593" t="s">
        <v>5</v>
      </c>
      <c r="G1593" t="s">
        <v>6</v>
      </c>
      <c r="H1593" t="s">
        <v>7</v>
      </c>
      <c r="I1593" t="s">
        <v>8</v>
      </c>
      <c r="J1593" t="s">
        <v>403</v>
      </c>
      <c r="K1593" t="s">
        <v>533</v>
      </c>
      <c r="L1593" t="s">
        <v>535</v>
      </c>
      <c r="M1593" t="s">
        <v>15</v>
      </c>
      <c r="N1593" s="2">
        <v>6200</v>
      </c>
      <c r="O1593" s="2">
        <v>0</v>
      </c>
      <c r="P1593" s="2">
        <v>0</v>
      </c>
      <c r="Q1593" s="2">
        <v>6200</v>
      </c>
      <c r="R1593" s="2">
        <v>0</v>
      </c>
      <c r="S1593" s="2">
        <v>160</v>
      </c>
      <c r="T1593" s="2">
        <v>160</v>
      </c>
      <c r="U1593" s="2">
        <v>6040</v>
      </c>
      <c r="V1593" s="2">
        <v>6040</v>
      </c>
      <c r="W1593" s="2">
        <v>6040</v>
      </c>
    </row>
    <row r="1594" spans="1:23" outlineLevel="2" x14ac:dyDescent="0.2">
      <c r="A1594" t="s">
        <v>402</v>
      </c>
      <c r="B1594" t="s">
        <v>1</v>
      </c>
      <c r="C1594" t="s">
        <v>2</v>
      </c>
      <c r="D1594" t="s">
        <v>20</v>
      </c>
      <c r="E1594" t="s">
        <v>21</v>
      </c>
      <c r="F1594" t="s">
        <v>5</v>
      </c>
      <c r="G1594" t="s">
        <v>6</v>
      </c>
      <c r="H1594" t="s">
        <v>7</v>
      </c>
      <c r="I1594" t="s">
        <v>8</v>
      </c>
      <c r="J1594" t="s">
        <v>403</v>
      </c>
      <c r="K1594" t="s">
        <v>536</v>
      </c>
      <c r="L1594" t="s">
        <v>537</v>
      </c>
      <c r="M1594" t="s">
        <v>15</v>
      </c>
      <c r="N1594" s="2">
        <v>5100</v>
      </c>
      <c r="O1594" s="2">
        <v>0</v>
      </c>
      <c r="P1594" s="2">
        <v>0</v>
      </c>
      <c r="Q1594" s="2">
        <v>5100</v>
      </c>
      <c r="R1594" s="2">
        <v>0</v>
      </c>
      <c r="S1594" s="2">
        <v>2107.15</v>
      </c>
      <c r="T1594" s="2">
        <v>2107.15</v>
      </c>
      <c r="U1594" s="2">
        <v>2992.85</v>
      </c>
      <c r="V1594" s="2">
        <v>2992.85</v>
      </c>
      <c r="W1594" s="2">
        <v>2992.85</v>
      </c>
    </row>
    <row r="1595" spans="1:23" outlineLevel="2" x14ac:dyDescent="0.2">
      <c r="A1595" t="s">
        <v>402</v>
      </c>
      <c r="B1595" t="s">
        <v>39</v>
      </c>
      <c r="C1595" t="s">
        <v>66</v>
      </c>
      <c r="D1595" t="s">
        <v>67</v>
      </c>
      <c r="E1595" t="s">
        <v>68</v>
      </c>
      <c r="F1595" t="s">
        <v>5</v>
      </c>
      <c r="G1595" t="s">
        <v>6</v>
      </c>
      <c r="H1595" t="s">
        <v>7</v>
      </c>
      <c r="I1595" t="s">
        <v>8</v>
      </c>
      <c r="J1595" t="s">
        <v>403</v>
      </c>
      <c r="K1595" t="s">
        <v>536</v>
      </c>
      <c r="L1595" t="s">
        <v>538</v>
      </c>
      <c r="M1595" t="s">
        <v>12</v>
      </c>
      <c r="N1595" s="2">
        <v>1500</v>
      </c>
      <c r="O1595" s="2">
        <v>-1500</v>
      </c>
      <c r="P1595" s="2">
        <v>0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</row>
    <row r="1596" spans="1:23" outlineLevel="2" x14ac:dyDescent="0.2">
      <c r="A1596" t="s">
        <v>402</v>
      </c>
      <c r="B1596" t="s">
        <v>1</v>
      </c>
      <c r="C1596" t="s">
        <v>2</v>
      </c>
      <c r="D1596" t="s">
        <v>25</v>
      </c>
      <c r="E1596" t="s">
        <v>26</v>
      </c>
      <c r="F1596" t="s">
        <v>5</v>
      </c>
      <c r="G1596" t="s">
        <v>6</v>
      </c>
      <c r="H1596" t="s">
        <v>7</v>
      </c>
      <c r="I1596" t="s">
        <v>8</v>
      </c>
      <c r="J1596" t="s">
        <v>403</v>
      </c>
      <c r="K1596" t="s">
        <v>539</v>
      </c>
      <c r="L1596" t="s">
        <v>540</v>
      </c>
      <c r="M1596" t="s">
        <v>15</v>
      </c>
      <c r="N1596" s="2">
        <v>25000</v>
      </c>
      <c r="O1596" s="2">
        <v>0</v>
      </c>
      <c r="P1596" s="2">
        <v>-25000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</row>
    <row r="1597" spans="1:23" outlineLevel="2" x14ac:dyDescent="0.2">
      <c r="A1597" t="s">
        <v>402</v>
      </c>
      <c r="B1597" t="s">
        <v>31</v>
      </c>
      <c r="C1597" t="s">
        <v>32</v>
      </c>
      <c r="D1597" t="s">
        <v>33</v>
      </c>
      <c r="E1597" t="s">
        <v>34</v>
      </c>
      <c r="F1597" t="s">
        <v>5</v>
      </c>
      <c r="G1597" t="s">
        <v>6</v>
      </c>
      <c r="H1597" t="s">
        <v>7</v>
      </c>
      <c r="I1597" t="s">
        <v>8</v>
      </c>
      <c r="J1597" t="s">
        <v>403</v>
      </c>
      <c r="K1597" t="s">
        <v>539</v>
      </c>
      <c r="L1597" t="s">
        <v>541</v>
      </c>
      <c r="M1597" t="s">
        <v>12</v>
      </c>
      <c r="N1597" s="2">
        <v>15000</v>
      </c>
      <c r="O1597" s="2">
        <v>32040.959999999999</v>
      </c>
      <c r="P1597" s="2">
        <v>0</v>
      </c>
      <c r="Q1597" s="2">
        <v>47040.959999999999</v>
      </c>
      <c r="R1597" s="2">
        <v>0</v>
      </c>
      <c r="S1597" s="2">
        <v>43070.04</v>
      </c>
      <c r="T1597" s="2">
        <v>42903.16</v>
      </c>
      <c r="U1597" s="2">
        <v>3970.92</v>
      </c>
      <c r="V1597" s="2">
        <v>4137.8</v>
      </c>
      <c r="W1597" s="2">
        <v>3970.92</v>
      </c>
    </row>
    <row r="1598" spans="1:23" outlineLevel="2" x14ac:dyDescent="0.2">
      <c r="A1598" t="s">
        <v>402</v>
      </c>
      <c r="B1598" t="s">
        <v>39</v>
      </c>
      <c r="C1598" t="s">
        <v>58</v>
      </c>
      <c r="D1598" t="s">
        <v>135</v>
      </c>
      <c r="E1598" t="s">
        <v>136</v>
      </c>
      <c r="F1598" t="s">
        <v>5</v>
      </c>
      <c r="G1598" t="s">
        <v>6</v>
      </c>
      <c r="H1598" t="s">
        <v>7</v>
      </c>
      <c r="I1598" t="s">
        <v>8</v>
      </c>
      <c r="J1598" t="s">
        <v>403</v>
      </c>
      <c r="K1598" t="s">
        <v>539</v>
      </c>
      <c r="L1598" t="s">
        <v>542</v>
      </c>
      <c r="M1598" t="s">
        <v>12</v>
      </c>
      <c r="N1598" s="2">
        <v>53000</v>
      </c>
      <c r="O1598" s="2">
        <v>-47861.06</v>
      </c>
      <c r="P1598" s="2">
        <v>-200</v>
      </c>
      <c r="Q1598" s="2">
        <v>4938.9399999999996</v>
      </c>
      <c r="R1598" s="2">
        <v>0</v>
      </c>
      <c r="S1598" s="2">
        <v>4938.9399999999996</v>
      </c>
      <c r="T1598" s="2">
        <v>3949.12</v>
      </c>
      <c r="U1598" s="2">
        <v>0</v>
      </c>
      <c r="V1598" s="2">
        <v>989.82</v>
      </c>
      <c r="W1598" s="2">
        <v>0</v>
      </c>
    </row>
    <row r="1599" spans="1:23" outlineLevel="2" x14ac:dyDescent="0.2">
      <c r="A1599" t="s">
        <v>402</v>
      </c>
      <c r="B1599" t="s">
        <v>39</v>
      </c>
      <c r="C1599" t="s">
        <v>95</v>
      </c>
      <c r="D1599" t="s">
        <v>96</v>
      </c>
      <c r="E1599" t="s">
        <v>97</v>
      </c>
      <c r="F1599" t="s">
        <v>5</v>
      </c>
      <c r="G1599" t="s">
        <v>6</v>
      </c>
      <c r="H1599" t="s">
        <v>7</v>
      </c>
      <c r="I1599" t="s">
        <v>8</v>
      </c>
      <c r="J1599" t="s">
        <v>403</v>
      </c>
      <c r="K1599" t="s">
        <v>539</v>
      </c>
      <c r="L1599" t="s">
        <v>543</v>
      </c>
      <c r="M1599" t="s">
        <v>12</v>
      </c>
      <c r="N1599" s="2">
        <v>60000</v>
      </c>
      <c r="O1599" s="2">
        <v>-1687.05</v>
      </c>
      <c r="P1599" s="2">
        <v>-49908</v>
      </c>
      <c r="Q1599" s="2">
        <v>8404.9500000000007</v>
      </c>
      <c r="R1599" s="2">
        <v>0</v>
      </c>
      <c r="S1599" s="2">
        <v>0</v>
      </c>
      <c r="T1599" s="2">
        <v>0</v>
      </c>
      <c r="U1599" s="2">
        <v>8404.9500000000007</v>
      </c>
      <c r="V1599" s="2">
        <v>8404.9500000000007</v>
      </c>
      <c r="W1599" s="2">
        <v>8404.9500000000007</v>
      </c>
    </row>
    <row r="1600" spans="1:23" outlineLevel="2" x14ac:dyDescent="0.2">
      <c r="A1600" t="s">
        <v>402</v>
      </c>
      <c r="B1600" t="s">
        <v>31</v>
      </c>
      <c r="C1600" t="s">
        <v>79</v>
      </c>
      <c r="D1600" t="s">
        <v>111</v>
      </c>
      <c r="E1600" t="s">
        <v>112</v>
      </c>
      <c r="F1600" t="s">
        <v>5</v>
      </c>
      <c r="G1600" t="s">
        <v>6</v>
      </c>
      <c r="H1600" t="s">
        <v>7</v>
      </c>
      <c r="I1600" t="s">
        <v>8</v>
      </c>
      <c r="J1600" t="s">
        <v>403</v>
      </c>
      <c r="K1600" t="s">
        <v>539</v>
      </c>
      <c r="L1600" t="s">
        <v>544</v>
      </c>
      <c r="M1600" t="s">
        <v>12</v>
      </c>
      <c r="N1600" s="2">
        <v>10000</v>
      </c>
      <c r="O1600" s="2">
        <v>0</v>
      </c>
      <c r="P1600" s="2">
        <v>0</v>
      </c>
      <c r="Q1600" s="2">
        <v>10000</v>
      </c>
      <c r="R1600" s="2">
        <v>0</v>
      </c>
      <c r="S1600" s="2">
        <v>10000</v>
      </c>
      <c r="T1600" s="2">
        <v>0</v>
      </c>
      <c r="U1600" s="2">
        <v>0</v>
      </c>
      <c r="V1600" s="2">
        <v>10000</v>
      </c>
      <c r="W1600" s="2">
        <v>0</v>
      </c>
    </row>
    <row r="1601" spans="1:23" outlineLevel="2" x14ac:dyDescent="0.2">
      <c r="A1601" t="s">
        <v>402</v>
      </c>
      <c r="B1601" t="s">
        <v>39</v>
      </c>
      <c r="C1601" t="s">
        <v>58</v>
      </c>
      <c r="D1601" t="s">
        <v>137</v>
      </c>
      <c r="E1601" t="s">
        <v>138</v>
      </c>
      <c r="F1601" t="s">
        <v>5</v>
      </c>
      <c r="G1601" t="s">
        <v>6</v>
      </c>
      <c r="H1601" t="s">
        <v>7</v>
      </c>
      <c r="I1601" t="s">
        <v>8</v>
      </c>
      <c r="J1601" t="s">
        <v>403</v>
      </c>
      <c r="K1601" t="s">
        <v>539</v>
      </c>
      <c r="L1601" t="s">
        <v>542</v>
      </c>
      <c r="M1601" t="s">
        <v>12</v>
      </c>
      <c r="N1601" s="2">
        <v>100000</v>
      </c>
      <c r="O1601" s="2">
        <v>-28501.26</v>
      </c>
      <c r="P1601" s="2">
        <v>0</v>
      </c>
      <c r="Q1601" s="2">
        <v>71498.740000000005</v>
      </c>
      <c r="R1601" s="2">
        <v>4270.22</v>
      </c>
      <c r="S1601" s="2">
        <v>6515.38</v>
      </c>
      <c r="T1601" s="2">
        <v>0</v>
      </c>
      <c r="U1601" s="2">
        <v>64983.360000000001</v>
      </c>
      <c r="V1601" s="2">
        <v>71498.740000000005</v>
      </c>
      <c r="W1601" s="2">
        <v>60713.14</v>
      </c>
    </row>
    <row r="1602" spans="1:23" outlineLevel="2" x14ac:dyDescent="0.2">
      <c r="A1602" t="s">
        <v>402</v>
      </c>
      <c r="B1602" t="s">
        <v>31</v>
      </c>
      <c r="C1602" t="s">
        <v>107</v>
      </c>
      <c r="D1602" t="s">
        <v>108</v>
      </c>
      <c r="E1602" t="s">
        <v>109</v>
      </c>
      <c r="F1602" t="s">
        <v>5</v>
      </c>
      <c r="G1602" t="s">
        <v>6</v>
      </c>
      <c r="H1602" t="s">
        <v>7</v>
      </c>
      <c r="I1602" t="s">
        <v>8</v>
      </c>
      <c r="J1602" t="s">
        <v>403</v>
      </c>
      <c r="K1602" t="s">
        <v>539</v>
      </c>
      <c r="L1602" t="s">
        <v>545</v>
      </c>
      <c r="M1602" t="s">
        <v>12</v>
      </c>
      <c r="N1602" s="2">
        <v>15000</v>
      </c>
      <c r="O1602" s="2">
        <v>0</v>
      </c>
      <c r="P1602" s="2">
        <v>-15000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</row>
    <row r="1603" spans="1:23" outlineLevel="2" x14ac:dyDescent="0.2">
      <c r="A1603" t="s">
        <v>402</v>
      </c>
      <c r="B1603" t="s">
        <v>31</v>
      </c>
      <c r="C1603" t="s">
        <v>79</v>
      </c>
      <c r="D1603" t="s">
        <v>83</v>
      </c>
      <c r="E1603" t="s">
        <v>84</v>
      </c>
      <c r="F1603" t="s">
        <v>5</v>
      </c>
      <c r="G1603" t="s">
        <v>6</v>
      </c>
      <c r="H1603" t="s">
        <v>7</v>
      </c>
      <c r="I1603" t="s">
        <v>8</v>
      </c>
      <c r="J1603" t="s">
        <v>403</v>
      </c>
      <c r="K1603" t="s">
        <v>539</v>
      </c>
      <c r="L1603" t="s">
        <v>544</v>
      </c>
      <c r="M1603" t="s">
        <v>12</v>
      </c>
      <c r="N1603" s="2">
        <v>445300</v>
      </c>
      <c r="O1603" s="2">
        <v>-268103.18</v>
      </c>
      <c r="P1603" s="2">
        <v>-65000</v>
      </c>
      <c r="Q1603" s="2">
        <v>112196.82</v>
      </c>
      <c r="R1603" s="2">
        <v>0</v>
      </c>
      <c r="S1603" s="2">
        <v>0</v>
      </c>
      <c r="T1603" s="2">
        <v>0</v>
      </c>
      <c r="U1603" s="2">
        <v>112196.82</v>
      </c>
      <c r="V1603" s="2">
        <v>112196.82</v>
      </c>
      <c r="W1603" s="2">
        <v>112196.82</v>
      </c>
    </row>
    <row r="1604" spans="1:23" outlineLevel="2" x14ac:dyDescent="0.2">
      <c r="A1604" t="s">
        <v>402</v>
      </c>
      <c r="B1604" t="s">
        <v>1</v>
      </c>
      <c r="C1604" t="s">
        <v>91</v>
      </c>
      <c r="D1604" t="s">
        <v>92</v>
      </c>
      <c r="E1604" t="s">
        <v>93</v>
      </c>
      <c r="F1604" t="s">
        <v>5</v>
      </c>
      <c r="G1604" t="s">
        <v>6</v>
      </c>
      <c r="H1604" t="s">
        <v>7</v>
      </c>
      <c r="I1604" t="s">
        <v>8</v>
      </c>
      <c r="J1604" t="s">
        <v>403</v>
      </c>
      <c r="K1604" t="s">
        <v>539</v>
      </c>
      <c r="L1604" t="s">
        <v>546</v>
      </c>
      <c r="M1604" t="s">
        <v>15</v>
      </c>
      <c r="N1604" s="2">
        <v>6000</v>
      </c>
      <c r="O1604" s="2">
        <v>5802.78</v>
      </c>
      <c r="P1604" s="2">
        <v>-3252.86</v>
      </c>
      <c r="Q1604" s="2">
        <v>8549.92</v>
      </c>
      <c r="R1604" s="2">
        <v>0</v>
      </c>
      <c r="S1604" s="2">
        <v>8549.92</v>
      </c>
      <c r="T1604" s="2">
        <v>8221.3700000000008</v>
      </c>
      <c r="U1604" s="2">
        <v>0</v>
      </c>
      <c r="V1604" s="2">
        <v>328.55</v>
      </c>
      <c r="W1604" s="2">
        <v>0</v>
      </c>
    </row>
    <row r="1605" spans="1:23" outlineLevel="2" x14ac:dyDescent="0.2">
      <c r="A1605" t="s">
        <v>402</v>
      </c>
      <c r="B1605" t="s">
        <v>31</v>
      </c>
      <c r="C1605" t="s">
        <v>79</v>
      </c>
      <c r="D1605" t="s">
        <v>113</v>
      </c>
      <c r="E1605" t="s">
        <v>114</v>
      </c>
      <c r="F1605" t="s">
        <v>5</v>
      </c>
      <c r="G1605" t="s">
        <v>6</v>
      </c>
      <c r="H1605" t="s">
        <v>7</v>
      </c>
      <c r="I1605" t="s">
        <v>8</v>
      </c>
      <c r="J1605" t="s">
        <v>403</v>
      </c>
      <c r="K1605" t="s">
        <v>539</v>
      </c>
      <c r="L1605" t="s">
        <v>544</v>
      </c>
      <c r="M1605" t="s">
        <v>12</v>
      </c>
      <c r="N1605" s="2">
        <v>33700</v>
      </c>
      <c r="O1605" s="2">
        <v>12500</v>
      </c>
      <c r="P1605" s="2">
        <v>0</v>
      </c>
      <c r="Q1605" s="2">
        <v>46200</v>
      </c>
      <c r="R1605" s="2">
        <v>121.29</v>
      </c>
      <c r="S1605" s="2">
        <v>16587.11</v>
      </c>
      <c r="T1605" s="2">
        <v>8092</v>
      </c>
      <c r="U1605" s="2">
        <v>29612.89</v>
      </c>
      <c r="V1605" s="2">
        <v>38108</v>
      </c>
      <c r="W1605" s="2">
        <v>29491.599999999999</v>
      </c>
    </row>
    <row r="1606" spans="1:23" outlineLevel="2" x14ac:dyDescent="0.2">
      <c r="A1606" t="s">
        <v>402</v>
      </c>
      <c r="B1606" t="s">
        <v>1</v>
      </c>
      <c r="C1606" t="s">
        <v>91</v>
      </c>
      <c r="D1606" t="s">
        <v>92</v>
      </c>
      <c r="E1606" t="s">
        <v>93</v>
      </c>
      <c r="F1606" t="s">
        <v>5</v>
      </c>
      <c r="G1606" t="s">
        <v>6</v>
      </c>
      <c r="H1606" t="s">
        <v>7</v>
      </c>
      <c r="I1606" t="s">
        <v>8</v>
      </c>
      <c r="J1606" t="s">
        <v>403</v>
      </c>
      <c r="K1606" t="s">
        <v>539</v>
      </c>
      <c r="L1606" t="s">
        <v>546</v>
      </c>
      <c r="M1606" t="s">
        <v>12</v>
      </c>
      <c r="N1606" s="2">
        <v>0</v>
      </c>
      <c r="O1606" s="2">
        <v>0</v>
      </c>
      <c r="P1606" s="2">
        <v>3252.86</v>
      </c>
      <c r="Q1606" s="2">
        <v>3252.86</v>
      </c>
      <c r="R1606" s="2">
        <v>0</v>
      </c>
      <c r="S1606" s="2">
        <v>0</v>
      </c>
      <c r="T1606" s="2">
        <v>0</v>
      </c>
      <c r="U1606" s="2">
        <v>3252.86</v>
      </c>
      <c r="V1606" s="2">
        <v>3252.86</v>
      </c>
      <c r="W1606" s="2">
        <v>3252.86</v>
      </c>
    </row>
    <row r="1607" spans="1:23" outlineLevel="2" x14ac:dyDescent="0.2">
      <c r="A1607" t="s">
        <v>402</v>
      </c>
      <c r="B1607" t="s">
        <v>31</v>
      </c>
      <c r="C1607" t="s">
        <v>32</v>
      </c>
      <c r="D1607" t="s">
        <v>141</v>
      </c>
      <c r="E1607" t="s">
        <v>142</v>
      </c>
      <c r="F1607" t="s">
        <v>5</v>
      </c>
      <c r="G1607" t="s">
        <v>6</v>
      </c>
      <c r="H1607" t="s">
        <v>7</v>
      </c>
      <c r="I1607" t="s">
        <v>8</v>
      </c>
      <c r="J1607" t="s">
        <v>403</v>
      </c>
      <c r="K1607" t="s">
        <v>539</v>
      </c>
      <c r="L1607" t="s">
        <v>541</v>
      </c>
      <c r="M1607" t="s">
        <v>12</v>
      </c>
      <c r="N1607" s="2">
        <v>100000</v>
      </c>
      <c r="O1607" s="2">
        <v>-8810</v>
      </c>
      <c r="P1607" s="2">
        <v>0</v>
      </c>
      <c r="Q1607" s="2">
        <v>91190</v>
      </c>
      <c r="R1607" s="2">
        <v>0</v>
      </c>
      <c r="S1607" s="2">
        <v>0</v>
      </c>
      <c r="T1607" s="2">
        <v>0</v>
      </c>
      <c r="U1607" s="2">
        <v>91190</v>
      </c>
      <c r="V1607" s="2">
        <v>91190</v>
      </c>
      <c r="W1607" s="2">
        <v>91190</v>
      </c>
    </row>
    <row r="1608" spans="1:23" outlineLevel="2" x14ac:dyDescent="0.2">
      <c r="A1608" t="s">
        <v>402</v>
      </c>
      <c r="B1608" t="s">
        <v>39</v>
      </c>
      <c r="C1608" t="s">
        <v>66</v>
      </c>
      <c r="D1608" t="s">
        <v>121</v>
      </c>
      <c r="E1608" t="s">
        <v>122</v>
      </c>
      <c r="F1608" t="s">
        <v>5</v>
      </c>
      <c r="G1608" t="s">
        <v>6</v>
      </c>
      <c r="H1608" t="s">
        <v>7</v>
      </c>
      <c r="I1608" t="s">
        <v>8</v>
      </c>
      <c r="J1608" t="s">
        <v>403</v>
      </c>
      <c r="K1608" t="s">
        <v>539</v>
      </c>
      <c r="L1608" t="s">
        <v>547</v>
      </c>
      <c r="M1608" t="s">
        <v>12</v>
      </c>
      <c r="N1608" s="2">
        <v>5000</v>
      </c>
      <c r="O1608" s="2">
        <v>0</v>
      </c>
      <c r="P1608" s="2">
        <v>-2500</v>
      </c>
      <c r="Q1608" s="2">
        <v>2500</v>
      </c>
      <c r="R1608" s="2">
        <v>0</v>
      </c>
      <c r="S1608" s="2">
        <v>0</v>
      </c>
      <c r="T1608" s="2">
        <v>0</v>
      </c>
      <c r="U1608" s="2">
        <v>2500</v>
      </c>
      <c r="V1608" s="2">
        <v>2500</v>
      </c>
      <c r="W1608" s="2">
        <v>2500</v>
      </c>
    </row>
    <row r="1609" spans="1:23" outlineLevel="2" x14ac:dyDescent="0.2">
      <c r="A1609" t="s">
        <v>402</v>
      </c>
      <c r="B1609" t="s">
        <v>39</v>
      </c>
      <c r="C1609" t="s">
        <v>58</v>
      </c>
      <c r="D1609" t="s">
        <v>149</v>
      </c>
      <c r="E1609" t="s">
        <v>150</v>
      </c>
      <c r="F1609" t="s">
        <v>5</v>
      </c>
      <c r="G1609" t="s">
        <v>6</v>
      </c>
      <c r="H1609" t="s">
        <v>7</v>
      </c>
      <c r="I1609" t="s">
        <v>8</v>
      </c>
      <c r="J1609" t="s">
        <v>403</v>
      </c>
      <c r="K1609" t="s">
        <v>539</v>
      </c>
      <c r="L1609" t="s">
        <v>542</v>
      </c>
      <c r="M1609" t="s">
        <v>12</v>
      </c>
      <c r="N1609" s="2">
        <v>24000</v>
      </c>
      <c r="O1609" s="2">
        <v>0</v>
      </c>
      <c r="P1609" s="2">
        <v>-24000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</row>
    <row r="1610" spans="1:23" outlineLevel="2" x14ac:dyDescent="0.2">
      <c r="A1610" t="s">
        <v>402</v>
      </c>
      <c r="B1610" t="s">
        <v>39</v>
      </c>
      <c r="C1610" t="s">
        <v>70</v>
      </c>
      <c r="D1610" t="s">
        <v>89</v>
      </c>
      <c r="E1610" t="s">
        <v>90</v>
      </c>
      <c r="F1610" t="s">
        <v>5</v>
      </c>
      <c r="G1610" t="s">
        <v>6</v>
      </c>
      <c r="H1610" t="s">
        <v>7</v>
      </c>
      <c r="I1610" t="s">
        <v>8</v>
      </c>
      <c r="J1610" t="s">
        <v>403</v>
      </c>
      <c r="K1610" t="s">
        <v>539</v>
      </c>
      <c r="L1610" t="s">
        <v>548</v>
      </c>
      <c r="M1610" t="s">
        <v>12</v>
      </c>
      <c r="N1610" s="2">
        <v>100000</v>
      </c>
      <c r="O1610" s="2">
        <v>-99800</v>
      </c>
      <c r="P1610" s="2">
        <v>0</v>
      </c>
      <c r="Q1610" s="2">
        <v>200</v>
      </c>
      <c r="R1610" s="2">
        <v>0</v>
      </c>
      <c r="S1610" s="2">
        <v>200</v>
      </c>
      <c r="T1610" s="2">
        <v>0</v>
      </c>
      <c r="U1610" s="2">
        <v>0</v>
      </c>
      <c r="V1610" s="2">
        <v>200</v>
      </c>
      <c r="W1610" s="2">
        <v>0</v>
      </c>
    </row>
    <row r="1611" spans="1:23" outlineLevel="2" x14ac:dyDescent="0.2">
      <c r="A1611" t="s">
        <v>402</v>
      </c>
      <c r="B1611" t="s">
        <v>31</v>
      </c>
      <c r="C1611" t="s">
        <v>79</v>
      </c>
      <c r="D1611" t="s">
        <v>117</v>
      </c>
      <c r="E1611" t="s">
        <v>118</v>
      </c>
      <c r="F1611" t="s">
        <v>5</v>
      </c>
      <c r="G1611" t="s">
        <v>6</v>
      </c>
      <c r="H1611" t="s">
        <v>7</v>
      </c>
      <c r="I1611" t="s">
        <v>8</v>
      </c>
      <c r="J1611" t="s">
        <v>403</v>
      </c>
      <c r="K1611" t="s">
        <v>539</v>
      </c>
      <c r="L1611" t="s">
        <v>544</v>
      </c>
      <c r="M1611" t="s">
        <v>12</v>
      </c>
      <c r="N1611" s="2">
        <v>30936</v>
      </c>
      <c r="O1611" s="2">
        <v>106583.72</v>
      </c>
      <c r="P1611" s="2">
        <v>0</v>
      </c>
      <c r="Q1611" s="2">
        <v>137519.72</v>
      </c>
      <c r="R1611" s="2">
        <v>6.27</v>
      </c>
      <c r="S1611" s="2">
        <v>62714.53</v>
      </c>
      <c r="T1611" s="2">
        <v>43504.33</v>
      </c>
      <c r="U1611" s="2">
        <v>74805.19</v>
      </c>
      <c r="V1611" s="2">
        <v>94015.39</v>
      </c>
      <c r="W1611" s="2">
        <v>74798.92</v>
      </c>
    </row>
    <row r="1612" spans="1:23" outlineLevel="2" x14ac:dyDescent="0.2">
      <c r="A1612" t="s">
        <v>402</v>
      </c>
      <c r="B1612" t="s">
        <v>39</v>
      </c>
      <c r="C1612" t="s">
        <v>58</v>
      </c>
      <c r="D1612" t="s">
        <v>59</v>
      </c>
      <c r="E1612" t="s">
        <v>60</v>
      </c>
      <c r="F1612" t="s">
        <v>5</v>
      </c>
      <c r="G1612" t="s">
        <v>6</v>
      </c>
      <c r="H1612" t="s">
        <v>7</v>
      </c>
      <c r="I1612" t="s">
        <v>8</v>
      </c>
      <c r="J1612" t="s">
        <v>403</v>
      </c>
      <c r="K1612" t="s">
        <v>539</v>
      </c>
      <c r="L1612" t="s">
        <v>542</v>
      </c>
      <c r="M1612" t="s">
        <v>12</v>
      </c>
      <c r="N1612" s="2">
        <v>24000</v>
      </c>
      <c r="O1612" s="2">
        <v>0</v>
      </c>
      <c r="P1612" s="2">
        <v>-16000</v>
      </c>
      <c r="Q1612" s="2">
        <v>8000</v>
      </c>
      <c r="R1612" s="2">
        <v>356</v>
      </c>
      <c r="S1612" s="2">
        <v>7644</v>
      </c>
      <c r="T1612" s="2">
        <v>0</v>
      </c>
      <c r="U1612" s="2">
        <v>356</v>
      </c>
      <c r="V1612" s="2">
        <v>8000</v>
      </c>
      <c r="W1612" s="2">
        <v>0</v>
      </c>
    </row>
    <row r="1613" spans="1:23" outlineLevel="2" x14ac:dyDescent="0.2">
      <c r="A1613" t="s">
        <v>402</v>
      </c>
      <c r="B1613" t="s">
        <v>31</v>
      </c>
      <c r="C1613" t="s">
        <v>79</v>
      </c>
      <c r="D1613" t="s">
        <v>131</v>
      </c>
      <c r="E1613" t="s">
        <v>132</v>
      </c>
      <c r="F1613" t="s">
        <v>5</v>
      </c>
      <c r="G1613" t="s">
        <v>6</v>
      </c>
      <c r="H1613" t="s">
        <v>7</v>
      </c>
      <c r="I1613" t="s">
        <v>8</v>
      </c>
      <c r="J1613" t="s">
        <v>403</v>
      </c>
      <c r="K1613" t="s">
        <v>539</v>
      </c>
      <c r="L1613" t="s">
        <v>544</v>
      </c>
      <c r="M1613" t="s">
        <v>12</v>
      </c>
      <c r="N1613" s="2">
        <v>42180</v>
      </c>
      <c r="O1613" s="2">
        <v>-5824</v>
      </c>
      <c r="P1613" s="2">
        <v>0</v>
      </c>
      <c r="Q1613" s="2">
        <v>36356</v>
      </c>
      <c r="R1613" s="2">
        <v>0</v>
      </c>
      <c r="S1613" s="2">
        <v>0</v>
      </c>
      <c r="T1613" s="2">
        <v>0</v>
      </c>
      <c r="U1613" s="2">
        <v>36356</v>
      </c>
      <c r="V1613" s="2">
        <v>36356</v>
      </c>
      <c r="W1613" s="2">
        <v>36356</v>
      </c>
    </row>
    <row r="1614" spans="1:23" outlineLevel="2" x14ac:dyDescent="0.2">
      <c r="A1614" t="s">
        <v>402</v>
      </c>
      <c r="B1614" t="s">
        <v>1</v>
      </c>
      <c r="C1614" t="s">
        <v>2</v>
      </c>
      <c r="D1614" t="s">
        <v>410</v>
      </c>
      <c r="E1614" t="s">
        <v>411</v>
      </c>
      <c r="F1614" t="s">
        <v>5</v>
      </c>
      <c r="G1614" t="s">
        <v>6</v>
      </c>
      <c r="H1614" t="s">
        <v>7</v>
      </c>
      <c r="I1614" t="s">
        <v>8</v>
      </c>
      <c r="J1614" t="s">
        <v>403</v>
      </c>
      <c r="K1614" t="s">
        <v>539</v>
      </c>
      <c r="L1614" t="s">
        <v>540</v>
      </c>
      <c r="M1614" t="s">
        <v>15</v>
      </c>
      <c r="N1614" s="2">
        <v>325000</v>
      </c>
      <c r="O1614" s="2">
        <v>7840</v>
      </c>
      <c r="P1614" s="2">
        <v>-181237.37</v>
      </c>
      <c r="Q1614" s="2">
        <v>151602.63</v>
      </c>
      <c r="R1614" s="2">
        <v>593.4</v>
      </c>
      <c r="S1614" s="2">
        <v>151009.23000000001</v>
      </c>
      <c r="T1614" s="2">
        <v>74588.3</v>
      </c>
      <c r="U1614" s="2">
        <v>593.4</v>
      </c>
      <c r="V1614" s="2">
        <v>77014.33</v>
      </c>
      <c r="W1614" s="2">
        <v>0</v>
      </c>
    </row>
    <row r="1615" spans="1:23" outlineLevel="2" x14ac:dyDescent="0.2">
      <c r="A1615" t="s">
        <v>402</v>
      </c>
      <c r="B1615" t="s">
        <v>31</v>
      </c>
      <c r="C1615" t="s">
        <v>79</v>
      </c>
      <c r="D1615" t="s">
        <v>127</v>
      </c>
      <c r="E1615" t="s">
        <v>128</v>
      </c>
      <c r="F1615" t="s">
        <v>5</v>
      </c>
      <c r="G1615" t="s">
        <v>6</v>
      </c>
      <c r="H1615" t="s">
        <v>7</v>
      </c>
      <c r="I1615" t="s">
        <v>8</v>
      </c>
      <c r="J1615" t="s">
        <v>403</v>
      </c>
      <c r="K1615" t="s">
        <v>539</v>
      </c>
      <c r="L1615" t="s">
        <v>544</v>
      </c>
      <c r="M1615" t="s">
        <v>12</v>
      </c>
      <c r="N1615" s="2">
        <v>4000</v>
      </c>
      <c r="O1615" s="2">
        <v>96915.33</v>
      </c>
      <c r="P1615" s="2">
        <v>0</v>
      </c>
      <c r="Q1615" s="2">
        <v>100915.33</v>
      </c>
      <c r="R1615" s="2">
        <v>0</v>
      </c>
      <c r="S1615" s="2">
        <v>7000</v>
      </c>
      <c r="T1615" s="2">
        <v>0</v>
      </c>
      <c r="U1615" s="2">
        <v>93915.33</v>
      </c>
      <c r="V1615" s="2">
        <v>100915.33</v>
      </c>
      <c r="W1615" s="2">
        <v>93915.33</v>
      </c>
    </row>
    <row r="1616" spans="1:23" outlineLevel="2" x14ac:dyDescent="0.2">
      <c r="A1616" t="s">
        <v>402</v>
      </c>
      <c r="B1616" t="s">
        <v>1</v>
      </c>
      <c r="C1616" t="s">
        <v>2</v>
      </c>
      <c r="D1616" t="s">
        <v>3</v>
      </c>
      <c r="E1616" t="s">
        <v>4</v>
      </c>
      <c r="F1616" t="s">
        <v>5</v>
      </c>
      <c r="G1616" t="s">
        <v>6</v>
      </c>
      <c r="H1616" t="s">
        <v>7</v>
      </c>
      <c r="I1616" t="s">
        <v>8</v>
      </c>
      <c r="J1616" t="s">
        <v>403</v>
      </c>
      <c r="K1616" t="s">
        <v>539</v>
      </c>
      <c r="L1616" t="s">
        <v>540</v>
      </c>
      <c r="M1616" t="s">
        <v>15</v>
      </c>
      <c r="N1616" s="2">
        <v>0</v>
      </c>
      <c r="O1616" s="2">
        <v>24548.18</v>
      </c>
      <c r="P1616" s="2">
        <v>-37.14</v>
      </c>
      <c r="Q1616" s="2">
        <v>24511.040000000001</v>
      </c>
      <c r="R1616" s="2">
        <v>12542.81</v>
      </c>
      <c r="S1616" s="2">
        <v>11968.23</v>
      </c>
      <c r="T1616" s="2">
        <v>5742.91</v>
      </c>
      <c r="U1616" s="2">
        <v>12542.81</v>
      </c>
      <c r="V1616" s="2">
        <v>18768.13</v>
      </c>
      <c r="W1616" s="2">
        <v>0</v>
      </c>
    </row>
    <row r="1617" spans="1:23" outlineLevel="2" x14ac:dyDescent="0.2">
      <c r="A1617" t="s">
        <v>402</v>
      </c>
      <c r="B1617" t="s">
        <v>39</v>
      </c>
      <c r="C1617" t="s">
        <v>58</v>
      </c>
      <c r="D1617" t="s">
        <v>143</v>
      </c>
      <c r="E1617" t="s">
        <v>144</v>
      </c>
      <c r="F1617" t="s">
        <v>5</v>
      </c>
      <c r="G1617" t="s">
        <v>6</v>
      </c>
      <c r="H1617" t="s">
        <v>7</v>
      </c>
      <c r="I1617" t="s">
        <v>8</v>
      </c>
      <c r="J1617" t="s">
        <v>403</v>
      </c>
      <c r="K1617" t="s">
        <v>539</v>
      </c>
      <c r="L1617" t="s">
        <v>542</v>
      </c>
      <c r="M1617" t="s">
        <v>12</v>
      </c>
      <c r="N1617" s="2">
        <v>100000</v>
      </c>
      <c r="O1617" s="2">
        <v>-49271.66</v>
      </c>
      <c r="P1617" s="2">
        <v>-10000</v>
      </c>
      <c r="Q1617" s="2">
        <v>40728.339999999997</v>
      </c>
      <c r="R1617" s="2">
        <v>7110.89</v>
      </c>
      <c r="S1617" s="2">
        <v>31070.35</v>
      </c>
      <c r="T1617" s="2">
        <v>18372.330000000002</v>
      </c>
      <c r="U1617" s="2">
        <v>9657.99</v>
      </c>
      <c r="V1617" s="2">
        <v>22356.01</v>
      </c>
      <c r="W1617" s="2">
        <v>2547.1</v>
      </c>
    </row>
    <row r="1618" spans="1:23" outlineLevel="2" x14ac:dyDescent="0.2">
      <c r="A1618" t="s">
        <v>402</v>
      </c>
      <c r="B1618" t="s">
        <v>39</v>
      </c>
      <c r="C1618" t="s">
        <v>58</v>
      </c>
      <c r="D1618" t="s">
        <v>145</v>
      </c>
      <c r="E1618" t="s">
        <v>146</v>
      </c>
      <c r="F1618" t="s">
        <v>5</v>
      </c>
      <c r="G1618" t="s">
        <v>6</v>
      </c>
      <c r="H1618" t="s">
        <v>7</v>
      </c>
      <c r="I1618" t="s">
        <v>8</v>
      </c>
      <c r="J1618" t="s">
        <v>403</v>
      </c>
      <c r="K1618" t="s">
        <v>539</v>
      </c>
      <c r="L1618" t="s">
        <v>542</v>
      </c>
      <c r="M1618" t="s">
        <v>12</v>
      </c>
      <c r="N1618" s="2">
        <v>44500</v>
      </c>
      <c r="O1618" s="2">
        <v>0</v>
      </c>
      <c r="P1618" s="2">
        <v>-36660</v>
      </c>
      <c r="Q1618" s="2">
        <v>7840</v>
      </c>
      <c r="R1618" s="2">
        <v>0</v>
      </c>
      <c r="S1618" s="2">
        <v>6923.3</v>
      </c>
      <c r="T1618" s="2">
        <v>0</v>
      </c>
      <c r="U1618" s="2">
        <v>916.7</v>
      </c>
      <c r="V1618" s="2">
        <v>7840</v>
      </c>
      <c r="W1618" s="2">
        <v>916.7</v>
      </c>
    </row>
    <row r="1619" spans="1:23" outlineLevel="2" x14ac:dyDescent="0.2">
      <c r="A1619" t="s">
        <v>402</v>
      </c>
      <c r="B1619" t="s">
        <v>39</v>
      </c>
      <c r="C1619" t="s">
        <v>66</v>
      </c>
      <c r="D1619" t="s">
        <v>67</v>
      </c>
      <c r="E1619" t="s">
        <v>68</v>
      </c>
      <c r="F1619" t="s">
        <v>5</v>
      </c>
      <c r="G1619" t="s">
        <v>6</v>
      </c>
      <c r="H1619" t="s">
        <v>7</v>
      </c>
      <c r="I1619" t="s">
        <v>8</v>
      </c>
      <c r="J1619" t="s">
        <v>403</v>
      </c>
      <c r="K1619" t="s">
        <v>539</v>
      </c>
      <c r="L1619" t="s">
        <v>547</v>
      </c>
      <c r="M1619" t="s">
        <v>12</v>
      </c>
      <c r="N1619" s="2">
        <v>50</v>
      </c>
      <c r="O1619" s="2">
        <v>-50</v>
      </c>
      <c r="P1619" s="2">
        <v>0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</row>
    <row r="1620" spans="1:23" outlineLevel="2" x14ac:dyDescent="0.2">
      <c r="A1620" t="s">
        <v>402</v>
      </c>
      <c r="B1620" t="s">
        <v>31</v>
      </c>
      <c r="C1620" t="s">
        <v>79</v>
      </c>
      <c r="D1620" t="s">
        <v>115</v>
      </c>
      <c r="E1620" t="s">
        <v>116</v>
      </c>
      <c r="F1620" t="s">
        <v>5</v>
      </c>
      <c r="G1620" t="s">
        <v>6</v>
      </c>
      <c r="H1620" t="s">
        <v>7</v>
      </c>
      <c r="I1620" t="s">
        <v>8</v>
      </c>
      <c r="J1620" t="s">
        <v>403</v>
      </c>
      <c r="K1620" t="s">
        <v>539</v>
      </c>
      <c r="L1620" t="s">
        <v>544</v>
      </c>
      <c r="M1620" t="s">
        <v>12</v>
      </c>
      <c r="N1620" s="2">
        <v>13345</v>
      </c>
      <c r="O1620" s="2">
        <v>19713</v>
      </c>
      <c r="P1620" s="2">
        <v>0</v>
      </c>
      <c r="Q1620" s="2">
        <v>33058</v>
      </c>
      <c r="R1620" s="2">
        <v>0</v>
      </c>
      <c r="S1620" s="2">
        <v>32995.68</v>
      </c>
      <c r="T1620" s="2">
        <v>0</v>
      </c>
      <c r="U1620" s="2">
        <v>62.32</v>
      </c>
      <c r="V1620" s="2">
        <v>33058</v>
      </c>
      <c r="W1620" s="2">
        <v>62.32</v>
      </c>
    </row>
    <row r="1621" spans="1:23" outlineLevel="2" x14ac:dyDescent="0.2">
      <c r="A1621" t="s">
        <v>402</v>
      </c>
      <c r="B1621" t="s">
        <v>39</v>
      </c>
      <c r="C1621" t="s">
        <v>58</v>
      </c>
      <c r="D1621" t="s">
        <v>129</v>
      </c>
      <c r="E1621" t="s">
        <v>130</v>
      </c>
      <c r="F1621" t="s">
        <v>5</v>
      </c>
      <c r="G1621" t="s">
        <v>6</v>
      </c>
      <c r="H1621" t="s">
        <v>7</v>
      </c>
      <c r="I1621" t="s">
        <v>8</v>
      </c>
      <c r="J1621" t="s">
        <v>403</v>
      </c>
      <c r="K1621" t="s">
        <v>539</v>
      </c>
      <c r="L1621" t="s">
        <v>542</v>
      </c>
      <c r="M1621" t="s">
        <v>12</v>
      </c>
      <c r="N1621" s="2">
        <v>50000</v>
      </c>
      <c r="O1621" s="2">
        <v>-14000</v>
      </c>
      <c r="P1621" s="2">
        <v>-30000</v>
      </c>
      <c r="Q1621" s="2">
        <v>6000</v>
      </c>
      <c r="R1621" s="2">
        <v>0</v>
      </c>
      <c r="S1621" s="2">
        <v>6000</v>
      </c>
      <c r="T1621" s="2">
        <v>5999.84</v>
      </c>
      <c r="U1621" s="2">
        <v>0</v>
      </c>
      <c r="V1621" s="2">
        <v>0.16</v>
      </c>
      <c r="W1621" s="2">
        <v>0</v>
      </c>
    </row>
    <row r="1622" spans="1:23" outlineLevel="2" x14ac:dyDescent="0.2">
      <c r="A1622" t="s">
        <v>402</v>
      </c>
      <c r="B1622" t="s">
        <v>39</v>
      </c>
      <c r="C1622" t="s">
        <v>40</v>
      </c>
      <c r="D1622" t="s">
        <v>41</v>
      </c>
      <c r="E1622" t="s">
        <v>42</v>
      </c>
      <c r="F1622" t="s">
        <v>5</v>
      </c>
      <c r="G1622" t="s">
        <v>6</v>
      </c>
      <c r="H1622" t="s">
        <v>7</v>
      </c>
      <c r="I1622" t="s">
        <v>8</v>
      </c>
      <c r="J1622" t="s">
        <v>403</v>
      </c>
      <c r="K1622" t="s">
        <v>539</v>
      </c>
      <c r="L1622" t="s">
        <v>549</v>
      </c>
      <c r="M1622" t="s">
        <v>12</v>
      </c>
      <c r="N1622" s="2">
        <v>50000</v>
      </c>
      <c r="O1622" s="2">
        <v>0</v>
      </c>
      <c r="P1622" s="2">
        <v>-40000</v>
      </c>
      <c r="Q1622" s="2">
        <v>10000</v>
      </c>
      <c r="R1622" s="2">
        <v>0</v>
      </c>
      <c r="S1622" s="2">
        <v>0</v>
      </c>
      <c r="T1622" s="2">
        <v>0</v>
      </c>
      <c r="U1622" s="2">
        <v>10000</v>
      </c>
      <c r="V1622" s="2">
        <v>10000</v>
      </c>
      <c r="W1622" s="2">
        <v>10000</v>
      </c>
    </row>
    <row r="1623" spans="1:23" outlineLevel="2" x14ac:dyDescent="0.2">
      <c r="A1623" t="s">
        <v>402</v>
      </c>
      <c r="B1623" t="s">
        <v>1</v>
      </c>
      <c r="C1623" t="s">
        <v>2</v>
      </c>
      <c r="D1623" t="s">
        <v>3</v>
      </c>
      <c r="E1623" t="s">
        <v>4</v>
      </c>
      <c r="F1623" t="s">
        <v>5</v>
      </c>
      <c r="G1623" t="s">
        <v>6</v>
      </c>
      <c r="H1623" t="s">
        <v>7</v>
      </c>
      <c r="I1623" t="s">
        <v>8</v>
      </c>
      <c r="J1623" t="s">
        <v>403</v>
      </c>
      <c r="K1623" t="s">
        <v>539</v>
      </c>
      <c r="L1623" t="s">
        <v>540</v>
      </c>
      <c r="M1623" t="s">
        <v>12</v>
      </c>
      <c r="N1623" s="2">
        <v>0</v>
      </c>
      <c r="O1623" s="2">
        <v>0</v>
      </c>
      <c r="P1623" s="2">
        <v>37.14</v>
      </c>
      <c r="Q1623" s="2">
        <v>37.14</v>
      </c>
      <c r="R1623" s="2">
        <v>0</v>
      </c>
      <c r="S1623" s="2">
        <v>0</v>
      </c>
      <c r="T1623" s="2">
        <v>0</v>
      </c>
      <c r="U1623" s="2">
        <v>37.14</v>
      </c>
      <c r="V1623" s="2">
        <v>37.14</v>
      </c>
      <c r="W1623" s="2">
        <v>37.14</v>
      </c>
    </row>
    <row r="1624" spans="1:23" outlineLevel="2" x14ac:dyDescent="0.2">
      <c r="A1624" t="s">
        <v>402</v>
      </c>
      <c r="B1624" t="s">
        <v>31</v>
      </c>
      <c r="C1624" t="s">
        <v>79</v>
      </c>
      <c r="D1624" t="s">
        <v>80</v>
      </c>
      <c r="E1624" t="s">
        <v>81</v>
      </c>
      <c r="F1624" t="s">
        <v>5</v>
      </c>
      <c r="G1624" t="s">
        <v>6</v>
      </c>
      <c r="H1624" t="s">
        <v>7</v>
      </c>
      <c r="I1624" t="s">
        <v>8</v>
      </c>
      <c r="J1624" t="s">
        <v>403</v>
      </c>
      <c r="K1624" t="s">
        <v>539</v>
      </c>
      <c r="L1624" t="s">
        <v>544</v>
      </c>
      <c r="M1624" t="s">
        <v>12</v>
      </c>
      <c r="N1624" s="2">
        <v>30000</v>
      </c>
      <c r="O1624" s="2">
        <v>14800</v>
      </c>
      <c r="P1624" s="2">
        <v>0</v>
      </c>
      <c r="Q1624" s="2">
        <v>44800</v>
      </c>
      <c r="R1624" s="2">
        <v>933.6</v>
      </c>
      <c r="S1624" s="2">
        <v>25866.39</v>
      </c>
      <c r="T1624" s="2">
        <v>4406.6400000000003</v>
      </c>
      <c r="U1624" s="2">
        <v>18933.61</v>
      </c>
      <c r="V1624" s="2">
        <v>40393.360000000001</v>
      </c>
      <c r="W1624" s="2">
        <v>18000.009999999998</v>
      </c>
    </row>
    <row r="1625" spans="1:23" outlineLevel="2" x14ac:dyDescent="0.2">
      <c r="A1625" t="s">
        <v>402</v>
      </c>
      <c r="B1625" t="s">
        <v>39</v>
      </c>
      <c r="C1625" t="s">
        <v>40</v>
      </c>
      <c r="D1625" t="s">
        <v>77</v>
      </c>
      <c r="E1625" t="s">
        <v>78</v>
      </c>
      <c r="F1625" t="s">
        <v>5</v>
      </c>
      <c r="G1625" t="s">
        <v>6</v>
      </c>
      <c r="H1625" t="s">
        <v>7</v>
      </c>
      <c r="I1625" t="s">
        <v>8</v>
      </c>
      <c r="J1625" t="s">
        <v>403</v>
      </c>
      <c r="K1625" t="s">
        <v>539</v>
      </c>
      <c r="L1625" t="s">
        <v>549</v>
      </c>
      <c r="M1625" t="s">
        <v>12</v>
      </c>
      <c r="N1625" s="2">
        <v>0</v>
      </c>
      <c r="O1625" s="2">
        <v>158333.32999999999</v>
      </c>
      <c r="P1625" s="2">
        <v>0</v>
      </c>
      <c r="Q1625" s="2">
        <v>158333.32999999999</v>
      </c>
      <c r="R1625" s="2">
        <v>18230.59</v>
      </c>
      <c r="S1625" s="2">
        <v>33675.96</v>
      </c>
      <c r="T1625" s="2">
        <v>33675.96</v>
      </c>
      <c r="U1625" s="2">
        <v>124657.37</v>
      </c>
      <c r="V1625" s="2">
        <v>124657.37</v>
      </c>
      <c r="W1625" s="2">
        <v>106426.78</v>
      </c>
    </row>
    <row r="1626" spans="1:23" outlineLevel="2" x14ac:dyDescent="0.2">
      <c r="A1626" t="s">
        <v>402</v>
      </c>
      <c r="B1626" t="s">
        <v>39</v>
      </c>
      <c r="C1626" t="s">
        <v>58</v>
      </c>
      <c r="D1626" t="s">
        <v>147</v>
      </c>
      <c r="E1626" t="s">
        <v>148</v>
      </c>
      <c r="F1626" t="s">
        <v>5</v>
      </c>
      <c r="G1626" t="s">
        <v>6</v>
      </c>
      <c r="H1626" t="s">
        <v>7</v>
      </c>
      <c r="I1626" t="s">
        <v>8</v>
      </c>
      <c r="J1626" t="s">
        <v>403</v>
      </c>
      <c r="K1626" t="s">
        <v>539</v>
      </c>
      <c r="L1626" t="s">
        <v>542</v>
      </c>
      <c r="M1626" t="s">
        <v>12</v>
      </c>
      <c r="N1626" s="2">
        <v>7000</v>
      </c>
      <c r="O1626" s="2">
        <v>0</v>
      </c>
      <c r="P1626" s="2">
        <v>-4000</v>
      </c>
      <c r="Q1626" s="2">
        <v>3000</v>
      </c>
      <c r="R1626" s="2">
        <v>0</v>
      </c>
      <c r="S1626" s="2">
        <v>0</v>
      </c>
      <c r="T1626" s="2">
        <v>0</v>
      </c>
      <c r="U1626" s="2">
        <v>3000</v>
      </c>
      <c r="V1626" s="2">
        <v>3000</v>
      </c>
      <c r="W1626" s="2">
        <v>3000</v>
      </c>
    </row>
    <row r="1627" spans="1:23" outlineLevel="2" x14ac:dyDescent="0.2">
      <c r="A1627" t="s">
        <v>402</v>
      </c>
      <c r="B1627" t="s">
        <v>39</v>
      </c>
      <c r="C1627" t="s">
        <v>58</v>
      </c>
      <c r="D1627" t="s">
        <v>139</v>
      </c>
      <c r="E1627" t="s">
        <v>140</v>
      </c>
      <c r="F1627" t="s">
        <v>5</v>
      </c>
      <c r="G1627" t="s">
        <v>6</v>
      </c>
      <c r="H1627" t="s">
        <v>7</v>
      </c>
      <c r="I1627" t="s">
        <v>8</v>
      </c>
      <c r="J1627" t="s">
        <v>403</v>
      </c>
      <c r="K1627" t="s">
        <v>539</v>
      </c>
      <c r="L1627" t="s">
        <v>542</v>
      </c>
      <c r="M1627" t="s">
        <v>12</v>
      </c>
      <c r="N1627" s="2">
        <v>100000</v>
      </c>
      <c r="O1627" s="2">
        <v>-12951.64</v>
      </c>
      <c r="P1627" s="2">
        <v>-61548.35</v>
      </c>
      <c r="Q1627" s="2">
        <v>25500.01</v>
      </c>
      <c r="R1627" s="2">
        <v>1370.89</v>
      </c>
      <c r="S1627" s="2">
        <v>24027.57</v>
      </c>
      <c r="T1627" s="2">
        <v>0</v>
      </c>
      <c r="U1627" s="2">
        <v>1472.44</v>
      </c>
      <c r="V1627" s="2">
        <v>25500.01</v>
      </c>
      <c r="W1627" s="2">
        <v>101.55</v>
      </c>
    </row>
    <row r="1628" spans="1:23" outlineLevel="2" x14ac:dyDescent="0.2">
      <c r="A1628" t="s">
        <v>402</v>
      </c>
      <c r="B1628" t="s">
        <v>31</v>
      </c>
      <c r="C1628" t="s">
        <v>79</v>
      </c>
      <c r="D1628" t="s">
        <v>113</v>
      </c>
      <c r="E1628" t="s">
        <v>114</v>
      </c>
      <c r="F1628" t="s">
        <v>5</v>
      </c>
      <c r="G1628" t="s">
        <v>6</v>
      </c>
      <c r="H1628" t="s">
        <v>7</v>
      </c>
      <c r="I1628" t="s">
        <v>8</v>
      </c>
      <c r="J1628" t="s">
        <v>403</v>
      </c>
      <c r="K1628" t="s">
        <v>550</v>
      </c>
      <c r="L1628" t="s">
        <v>551</v>
      </c>
      <c r="M1628" t="s">
        <v>12</v>
      </c>
      <c r="N1628" s="2">
        <v>5000</v>
      </c>
      <c r="O1628" s="2">
        <v>2000</v>
      </c>
      <c r="P1628" s="2">
        <v>0</v>
      </c>
      <c r="Q1628" s="2">
        <v>7000</v>
      </c>
      <c r="R1628" s="2">
        <v>3.25</v>
      </c>
      <c r="S1628" s="2">
        <v>6940.75</v>
      </c>
      <c r="T1628" s="2">
        <v>6940.75</v>
      </c>
      <c r="U1628" s="2">
        <v>59.25</v>
      </c>
      <c r="V1628" s="2">
        <v>59.25</v>
      </c>
      <c r="W1628" s="2">
        <v>56</v>
      </c>
    </row>
    <row r="1629" spans="1:23" outlineLevel="2" x14ac:dyDescent="0.2">
      <c r="A1629" t="s">
        <v>402</v>
      </c>
      <c r="B1629" t="s">
        <v>39</v>
      </c>
      <c r="C1629" t="s">
        <v>40</v>
      </c>
      <c r="D1629" t="s">
        <v>77</v>
      </c>
      <c r="E1629" t="s">
        <v>78</v>
      </c>
      <c r="F1629" t="s">
        <v>5</v>
      </c>
      <c r="G1629" t="s">
        <v>6</v>
      </c>
      <c r="H1629" t="s">
        <v>7</v>
      </c>
      <c r="I1629" t="s">
        <v>8</v>
      </c>
      <c r="J1629" t="s">
        <v>403</v>
      </c>
      <c r="K1629" t="s">
        <v>550</v>
      </c>
      <c r="L1629" t="s">
        <v>552</v>
      </c>
      <c r="M1629" t="s">
        <v>12</v>
      </c>
      <c r="N1629" s="2">
        <v>0</v>
      </c>
      <c r="O1629" s="2">
        <v>40200</v>
      </c>
      <c r="P1629" s="2">
        <v>0</v>
      </c>
      <c r="Q1629" s="2">
        <v>40200</v>
      </c>
      <c r="R1629" s="2">
        <v>0</v>
      </c>
      <c r="S1629" s="2">
        <v>200</v>
      </c>
      <c r="T1629" s="2">
        <v>48.52</v>
      </c>
      <c r="U1629" s="2">
        <v>40000</v>
      </c>
      <c r="V1629" s="2">
        <v>40151.480000000003</v>
      </c>
      <c r="W1629" s="2">
        <v>40000</v>
      </c>
    </row>
    <row r="1630" spans="1:23" outlineLevel="2" x14ac:dyDescent="0.2">
      <c r="A1630" t="s">
        <v>402</v>
      </c>
      <c r="B1630" t="s">
        <v>39</v>
      </c>
      <c r="C1630" t="s">
        <v>58</v>
      </c>
      <c r="D1630" t="s">
        <v>135</v>
      </c>
      <c r="E1630" t="s">
        <v>136</v>
      </c>
      <c r="F1630" t="s">
        <v>5</v>
      </c>
      <c r="G1630" t="s">
        <v>6</v>
      </c>
      <c r="H1630" t="s">
        <v>7</v>
      </c>
      <c r="I1630" t="s">
        <v>8</v>
      </c>
      <c r="J1630" t="s">
        <v>403</v>
      </c>
      <c r="K1630" t="s">
        <v>550</v>
      </c>
      <c r="L1630" t="s">
        <v>553</v>
      </c>
      <c r="M1630" t="s">
        <v>12</v>
      </c>
      <c r="N1630" s="2">
        <v>0</v>
      </c>
      <c r="O1630" s="2">
        <v>2080</v>
      </c>
      <c r="P1630" s="2">
        <v>0</v>
      </c>
      <c r="Q1630" s="2">
        <v>2080</v>
      </c>
      <c r="R1630" s="2">
        <v>0</v>
      </c>
      <c r="S1630" s="2">
        <v>1159.82</v>
      </c>
      <c r="T1630" s="2">
        <v>0</v>
      </c>
      <c r="U1630" s="2">
        <v>920.18</v>
      </c>
      <c r="V1630" s="2">
        <v>2080</v>
      </c>
      <c r="W1630" s="2">
        <v>920.18</v>
      </c>
    </row>
    <row r="1631" spans="1:23" outlineLevel="2" x14ac:dyDescent="0.2">
      <c r="A1631" t="s">
        <v>402</v>
      </c>
      <c r="B1631" t="s">
        <v>31</v>
      </c>
      <c r="C1631" t="s">
        <v>79</v>
      </c>
      <c r="D1631" t="s">
        <v>117</v>
      </c>
      <c r="E1631" t="s">
        <v>118</v>
      </c>
      <c r="F1631" t="s">
        <v>5</v>
      </c>
      <c r="G1631" t="s">
        <v>6</v>
      </c>
      <c r="H1631" t="s">
        <v>7</v>
      </c>
      <c r="I1631" t="s">
        <v>8</v>
      </c>
      <c r="J1631" t="s">
        <v>403</v>
      </c>
      <c r="K1631" t="s">
        <v>550</v>
      </c>
      <c r="L1631" t="s">
        <v>551</v>
      </c>
      <c r="M1631" t="s">
        <v>12</v>
      </c>
      <c r="N1631" s="2">
        <v>17000</v>
      </c>
      <c r="O1631" s="2">
        <v>0</v>
      </c>
      <c r="P1631" s="2">
        <v>0</v>
      </c>
      <c r="Q1631" s="2">
        <v>17000</v>
      </c>
      <c r="R1631" s="2">
        <v>1533.84</v>
      </c>
      <c r="S1631" s="2">
        <v>12782</v>
      </c>
      <c r="T1631" s="2">
        <v>0</v>
      </c>
      <c r="U1631" s="2">
        <v>4218</v>
      </c>
      <c r="V1631" s="2">
        <v>17000</v>
      </c>
      <c r="W1631" s="2">
        <v>2684.16</v>
      </c>
    </row>
    <row r="1632" spans="1:23" outlineLevel="2" x14ac:dyDescent="0.2">
      <c r="A1632" t="s">
        <v>402</v>
      </c>
      <c r="B1632" t="s">
        <v>1</v>
      </c>
      <c r="C1632" t="s">
        <v>2</v>
      </c>
      <c r="D1632" t="s">
        <v>13</v>
      </c>
      <c r="E1632" t="s">
        <v>14</v>
      </c>
      <c r="F1632" t="s">
        <v>5</v>
      </c>
      <c r="G1632" t="s">
        <v>6</v>
      </c>
      <c r="H1632" t="s">
        <v>7</v>
      </c>
      <c r="I1632" t="s">
        <v>8</v>
      </c>
      <c r="J1632" t="s">
        <v>403</v>
      </c>
      <c r="K1632" t="s">
        <v>550</v>
      </c>
      <c r="L1632" t="s">
        <v>554</v>
      </c>
      <c r="M1632" t="s">
        <v>15</v>
      </c>
      <c r="N1632" s="2">
        <v>2000</v>
      </c>
      <c r="O1632" s="2">
        <v>0</v>
      </c>
      <c r="P1632" s="2">
        <v>-2000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</row>
    <row r="1633" spans="1:23" outlineLevel="2" x14ac:dyDescent="0.2">
      <c r="A1633" t="s">
        <v>402</v>
      </c>
      <c r="B1633" t="s">
        <v>39</v>
      </c>
      <c r="C1633" t="s">
        <v>58</v>
      </c>
      <c r="D1633" t="s">
        <v>145</v>
      </c>
      <c r="E1633" t="s">
        <v>146</v>
      </c>
      <c r="F1633" t="s">
        <v>5</v>
      </c>
      <c r="G1633" t="s">
        <v>6</v>
      </c>
      <c r="H1633" t="s">
        <v>7</v>
      </c>
      <c r="I1633" t="s">
        <v>8</v>
      </c>
      <c r="J1633" t="s">
        <v>403</v>
      </c>
      <c r="K1633" t="s">
        <v>550</v>
      </c>
      <c r="L1633" t="s">
        <v>553</v>
      </c>
      <c r="M1633" t="s">
        <v>12</v>
      </c>
      <c r="N1633" s="2">
        <v>1500</v>
      </c>
      <c r="O1633" s="2">
        <v>3011.68</v>
      </c>
      <c r="P1633" s="2">
        <v>-1500</v>
      </c>
      <c r="Q1633" s="2">
        <v>3011.68</v>
      </c>
      <c r="R1633" s="2">
        <v>0</v>
      </c>
      <c r="S1633" s="2">
        <v>3011.68</v>
      </c>
      <c r="T1633" s="2">
        <v>0</v>
      </c>
      <c r="U1633" s="2">
        <v>0</v>
      </c>
      <c r="V1633" s="2">
        <v>3011.68</v>
      </c>
      <c r="W1633" s="2">
        <v>0</v>
      </c>
    </row>
    <row r="1634" spans="1:23" outlineLevel="2" x14ac:dyDescent="0.2">
      <c r="A1634" t="s">
        <v>402</v>
      </c>
      <c r="B1634" t="s">
        <v>31</v>
      </c>
      <c r="C1634" t="s">
        <v>32</v>
      </c>
      <c r="D1634" t="s">
        <v>33</v>
      </c>
      <c r="E1634" t="s">
        <v>34</v>
      </c>
      <c r="F1634" t="s">
        <v>5</v>
      </c>
      <c r="G1634" t="s">
        <v>6</v>
      </c>
      <c r="H1634" t="s">
        <v>7</v>
      </c>
      <c r="I1634" t="s">
        <v>8</v>
      </c>
      <c r="J1634" t="s">
        <v>403</v>
      </c>
      <c r="K1634" t="s">
        <v>550</v>
      </c>
      <c r="L1634" t="s">
        <v>555</v>
      </c>
      <c r="M1634" t="s">
        <v>12</v>
      </c>
      <c r="N1634" s="2">
        <v>5000</v>
      </c>
      <c r="O1634" s="2">
        <v>-5000</v>
      </c>
      <c r="P1634" s="2">
        <v>0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</row>
    <row r="1635" spans="1:23" outlineLevel="2" x14ac:dyDescent="0.2">
      <c r="A1635" t="s">
        <v>402</v>
      </c>
      <c r="B1635" t="s">
        <v>1</v>
      </c>
      <c r="C1635" t="s">
        <v>2</v>
      </c>
      <c r="D1635" t="s">
        <v>410</v>
      </c>
      <c r="E1635" t="s">
        <v>411</v>
      </c>
      <c r="F1635" t="s">
        <v>5</v>
      </c>
      <c r="G1635" t="s">
        <v>6</v>
      </c>
      <c r="H1635" t="s">
        <v>7</v>
      </c>
      <c r="I1635" t="s">
        <v>8</v>
      </c>
      <c r="J1635" t="s">
        <v>403</v>
      </c>
      <c r="K1635" t="s">
        <v>550</v>
      </c>
      <c r="L1635" t="s">
        <v>554</v>
      </c>
      <c r="M1635" t="s">
        <v>15</v>
      </c>
      <c r="N1635" s="2">
        <v>5000</v>
      </c>
      <c r="O1635" s="2">
        <v>0</v>
      </c>
      <c r="P1635" s="2">
        <v>-4000</v>
      </c>
      <c r="Q1635" s="2">
        <v>1000</v>
      </c>
      <c r="R1635" s="2">
        <v>0</v>
      </c>
      <c r="S1635" s="2">
        <v>1000</v>
      </c>
      <c r="T1635" s="2">
        <v>0</v>
      </c>
      <c r="U1635" s="2">
        <v>0</v>
      </c>
      <c r="V1635" s="2">
        <v>1000</v>
      </c>
      <c r="W1635" s="2">
        <v>0</v>
      </c>
    </row>
    <row r="1636" spans="1:23" outlineLevel="2" x14ac:dyDescent="0.2">
      <c r="A1636" t="s">
        <v>402</v>
      </c>
      <c r="B1636" t="s">
        <v>39</v>
      </c>
      <c r="C1636" t="s">
        <v>58</v>
      </c>
      <c r="D1636" t="s">
        <v>149</v>
      </c>
      <c r="E1636" t="s">
        <v>150</v>
      </c>
      <c r="F1636" t="s">
        <v>5</v>
      </c>
      <c r="G1636" t="s">
        <v>6</v>
      </c>
      <c r="H1636" t="s">
        <v>7</v>
      </c>
      <c r="I1636" t="s">
        <v>8</v>
      </c>
      <c r="J1636" t="s">
        <v>403</v>
      </c>
      <c r="K1636" t="s">
        <v>550</v>
      </c>
      <c r="L1636" t="s">
        <v>553</v>
      </c>
      <c r="M1636" t="s">
        <v>12</v>
      </c>
      <c r="N1636" s="2">
        <v>3000</v>
      </c>
      <c r="O1636" s="2">
        <v>0</v>
      </c>
      <c r="P1636" s="2">
        <v>-3000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</row>
    <row r="1637" spans="1:23" outlineLevel="2" x14ac:dyDescent="0.2">
      <c r="A1637" t="s">
        <v>402</v>
      </c>
      <c r="B1637" t="s">
        <v>1</v>
      </c>
      <c r="C1637" t="s">
        <v>2</v>
      </c>
      <c r="D1637" t="s">
        <v>3</v>
      </c>
      <c r="E1637" t="s">
        <v>4</v>
      </c>
      <c r="F1637" t="s">
        <v>5</v>
      </c>
      <c r="G1637" t="s">
        <v>6</v>
      </c>
      <c r="H1637" t="s">
        <v>7</v>
      </c>
      <c r="I1637" t="s">
        <v>8</v>
      </c>
      <c r="J1637" t="s">
        <v>403</v>
      </c>
      <c r="K1637" t="s">
        <v>550</v>
      </c>
      <c r="L1637" t="s">
        <v>554</v>
      </c>
      <c r="M1637" t="s">
        <v>15</v>
      </c>
      <c r="N1637" s="2">
        <v>0</v>
      </c>
      <c r="O1637" s="2">
        <v>380.8</v>
      </c>
      <c r="P1637" s="2">
        <v>0</v>
      </c>
      <c r="Q1637" s="2">
        <v>380.8</v>
      </c>
      <c r="R1637" s="2">
        <v>224</v>
      </c>
      <c r="S1637" s="2">
        <v>156.80000000000001</v>
      </c>
      <c r="T1637" s="2">
        <v>156.80000000000001</v>
      </c>
      <c r="U1637" s="2">
        <v>224</v>
      </c>
      <c r="V1637" s="2">
        <v>224</v>
      </c>
      <c r="W1637" s="2">
        <v>0</v>
      </c>
    </row>
    <row r="1638" spans="1:23" outlineLevel="2" x14ac:dyDescent="0.2">
      <c r="A1638" t="s">
        <v>402</v>
      </c>
      <c r="B1638" t="s">
        <v>39</v>
      </c>
      <c r="C1638" t="s">
        <v>66</v>
      </c>
      <c r="D1638" t="s">
        <v>67</v>
      </c>
      <c r="E1638" t="s">
        <v>68</v>
      </c>
      <c r="F1638" t="s">
        <v>5</v>
      </c>
      <c r="G1638" t="s">
        <v>6</v>
      </c>
      <c r="H1638" t="s">
        <v>7</v>
      </c>
      <c r="I1638" t="s">
        <v>8</v>
      </c>
      <c r="J1638" t="s">
        <v>403</v>
      </c>
      <c r="K1638" t="s">
        <v>550</v>
      </c>
      <c r="L1638" t="s">
        <v>556</v>
      </c>
      <c r="M1638" t="s">
        <v>12</v>
      </c>
      <c r="N1638" s="2">
        <v>50</v>
      </c>
      <c r="O1638" s="2">
        <v>-50</v>
      </c>
      <c r="P1638" s="2">
        <v>0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</row>
    <row r="1639" spans="1:23" outlineLevel="2" x14ac:dyDescent="0.2">
      <c r="A1639" t="s">
        <v>402</v>
      </c>
      <c r="B1639" t="s">
        <v>31</v>
      </c>
      <c r="C1639" t="s">
        <v>79</v>
      </c>
      <c r="D1639" t="s">
        <v>83</v>
      </c>
      <c r="E1639" t="s">
        <v>84</v>
      </c>
      <c r="F1639" t="s">
        <v>5</v>
      </c>
      <c r="G1639" t="s">
        <v>6</v>
      </c>
      <c r="H1639" t="s">
        <v>7</v>
      </c>
      <c r="I1639" t="s">
        <v>8</v>
      </c>
      <c r="J1639" t="s">
        <v>403</v>
      </c>
      <c r="K1639" t="s">
        <v>550</v>
      </c>
      <c r="L1639" t="s">
        <v>551</v>
      </c>
      <c r="M1639" t="s">
        <v>12</v>
      </c>
      <c r="N1639" s="2">
        <v>4000</v>
      </c>
      <c r="O1639" s="2">
        <v>0</v>
      </c>
      <c r="P1639" s="2">
        <v>-4000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</row>
    <row r="1640" spans="1:23" outlineLevel="2" x14ac:dyDescent="0.2">
      <c r="A1640" t="s">
        <v>402</v>
      </c>
      <c r="B1640" t="s">
        <v>31</v>
      </c>
      <c r="C1640" t="s">
        <v>79</v>
      </c>
      <c r="D1640" t="s">
        <v>127</v>
      </c>
      <c r="E1640" t="s">
        <v>128</v>
      </c>
      <c r="F1640" t="s">
        <v>5</v>
      </c>
      <c r="G1640" t="s">
        <v>6</v>
      </c>
      <c r="H1640" t="s">
        <v>7</v>
      </c>
      <c r="I1640" t="s">
        <v>8</v>
      </c>
      <c r="J1640" t="s">
        <v>403</v>
      </c>
      <c r="K1640" t="s">
        <v>550</v>
      </c>
      <c r="L1640" t="s">
        <v>551</v>
      </c>
      <c r="M1640" t="s">
        <v>12</v>
      </c>
      <c r="N1640" s="2">
        <v>600</v>
      </c>
      <c r="O1640" s="2">
        <v>-600</v>
      </c>
      <c r="P1640" s="2">
        <v>0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</row>
    <row r="1641" spans="1:23" outlineLevel="2" x14ac:dyDescent="0.2">
      <c r="A1641" t="s">
        <v>402</v>
      </c>
      <c r="B1641" t="s">
        <v>39</v>
      </c>
      <c r="C1641" t="s">
        <v>70</v>
      </c>
      <c r="D1641" t="s">
        <v>89</v>
      </c>
      <c r="E1641" t="s">
        <v>90</v>
      </c>
      <c r="F1641" t="s">
        <v>5</v>
      </c>
      <c r="G1641" t="s">
        <v>6</v>
      </c>
      <c r="H1641" t="s">
        <v>7</v>
      </c>
      <c r="I1641" t="s">
        <v>8</v>
      </c>
      <c r="J1641" t="s">
        <v>403</v>
      </c>
      <c r="K1641" t="s">
        <v>550</v>
      </c>
      <c r="L1641" t="s">
        <v>557</v>
      </c>
      <c r="M1641" t="s">
        <v>12</v>
      </c>
      <c r="N1641" s="2">
        <v>17000</v>
      </c>
      <c r="O1641" s="2">
        <v>-1211.5</v>
      </c>
      <c r="P1641" s="2">
        <v>-15588.5</v>
      </c>
      <c r="Q1641" s="2">
        <v>200</v>
      </c>
      <c r="R1641" s="2">
        <v>0</v>
      </c>
      <c r="S1641" s="2">
        <v>200</v>
      </c>
      <c r="T1641" s="2">
        <v>0</v>
      </c>
      <c r="U1641" s="2">
        <v>0</v>
      </c>
      <c r="V1641" s="2">
        <v>200</v>
      </c>
      <c r="W1641" s="2">
        <v>0</v>
      </c>
    </row>
    <row r="1642" spans="1:23" outlineLevel="2" x14ac:dyDescent="0.2">
      <c r="A1642" t="s">
        <v>402</v>
      </c>
      <c r="B1642" t="s">
        <v>39</v>
      </c>
      <c r="C1642" t="s">
        <v>58</v>
      </c>
      <c r="D1642" t="s">
        <v>143</v>
      </c>
      <c r="E1642" t="s">
        <v>144</v>
      </c>
      <c r="F1642" t="s">
        <v>5</v>
      </c>
      <c r="G1642" t="s">
        <v>6</v>
      </c>
      <c r="H1642" t="s">
        <v>7</v>
      </c>
      <c r="I1642" t="s">
        <v>8</v>
      </c>
      <c r="J1642" t="s">
        <v>403</v>
      </c>
      <c r="K1642" t="s">
        <v>558</v>
      </c>
      <c r="L1642" t="s">
        <v>559</v>
      </c>
      <c r="M1642" t="s">
        <v>12</v>
      </c>
      <c r="N1642" s="2">
        <v>3000</v>
      </c>
      <c r="O1642" s="2">
        <v>-1000</v>
      </c>
      <c r="P1642" s="2">
        <v>-1440</v>
      </c>
      <c r="Q1642" s="2">
        <v>560</v>
      </c>
      <c r="R1642" s="2">
        <v>0</v>
      </c>
      <c r="S1642" s="2">
        <v>560</v>
      </c>
      <c r="T1642" s="2">
        <v>560</v>
      </c>
      <c r="U1642" s="2">
        <v>0</v>
      </c>
      <c r="V1642" s="2">
        <v>0</v>
      </c>
      <c r="W1642" s="2">
        <v>0</v>
      </c>
    </row>
    <row r="1643" spans="1:23" outlineLevel="2" x14ac:dyDescent="0.2">
      <c r="A1643" t="s">
        <v>402</v>
      </c>
      <c r="B1643" t="s">
        <v>39</v>
      </c>
      <c r="C1643" t="s">
        <v>66</v>
      </c>
      <c r="D1643" t="s">
        <v>67</v>
      </c>
      <c r="E1643" t="s">
        <v>68</v>
      </c>
      <c r="F1643" t="s">
        <v>5</v>
      </c>
      <c r="G1643" t="s">
        <v>6</v>
      </c>
      <c r="H1643" t="s">
        <v>7</v>
      </c>
      <c r="I1643" t="s">
        <v>8</v>
      </c>
      <c r="J1643" t="s">
        <v>403</v>
      </c>
      <c r="K1643" t="s">
        <v>558</v>
      </c>
      <c r="L1643" t="s">
        <v>560</v>
      </c>
      <c r="M1643" t="s">
        <v>12</v>
      </c>
      <c r="N1643" s="2">
        <v>23874.22</v>
      </c>
      <c r="O1643" s="2">
        <v>-11397.24</v>
      </c>
      <c r="P1643" s="2">
        <v>0</v>
      </c>
      <c r="Q1643" s="2">
        <v>12476.98</v>
      </c>
      <c r="R1643" s="2">
        <v>0</v>
      </c>
      <c r="S1643" s="2">
        <v>12476.98</v>
      </c>
      <c r="T1643" s="2">
        <v>7094</v>
      </c>
      <c r="U1643" s="2">
        <v>0</v>
      </c>
      <c r="V1643" s="2">
        <v>5382.98</v>
      </c>
      <c r="W1643" s="2">
        <v>0</v>
      </c>
    </row>
    <row r="1644" spans="1:23" outlineLevel="2" x14ac:dyDescent="0.2">
      <c r="A1644" t="s">
        <v>402</v>
      </c>
      <c r="B1644" t="s">
        <v>39</v>
      </c>
      <c r="C1644" t="s">
        <v>58</v>
      </c>
      <c r="D1644" t="s">
        <v>59</v>
      </c>
      <c r="E1644" t="s">
        <v>60</v>
      </c>
      <c r="F1644" t="s">
        <v>5</v>
      </c>
      <c r="G1644" t="s">
        <v>6</v>
      </c>
      <c r="H1644" t="s">
        <v>7</v>
      </c>
      <c r="I1644" t="s">
        <v>8</v>
      </c>
      <c r="J1644" t="s">
        <v>403</v>
      </c>
      <c r="K1644" t="s">
        <v>558</v>
      </c>
      <c r="L1644" t="s">
        <v>559</v>
      </c>
      <c r="M1644" t="s">
        <v>12</v>
      </c>
      <c r="N1644" s="2">
        <v>0</v>
      </c>
      <c r="O1644" s="2">
        <v>5124.3</v>
      </c>
      <c r="P1644" s="2">
        <v>0</v>
      </c>
      <c r="Q1644" s="2">
        <v>5124.3</v>
      </c>
      <c r="R1644" s="2">
        <v>0</v>
      </c>
      <c r="S1644" s="2">
        <v>5124.29</v>
      </c>
      <c r="T1644" s="2">
        <v>5124.29</v>
      </c>
      <c r="U1644" s="2">
        <v>0.01</v>
      </c>
      <c r="V1644" s="2">
        <v>0.01</v>
      </c>
      <c r="W1644" s="2">
        <v>0.01</v>
      </c>
    </row>
    <row r="1645" spans="1:23" outlineLevel="2" x14ac:dyDescent="0.2">
      <c r="A1645" t="s">
        <v>402</v>
      </c>
      <c r="B1645" t="s">
        <v>31</v>
      </c>
      <c r="C1645" t="s">
        <v>79</v>
      </c>
      <c r="D1645" t="s">
        <v>83</v>
      </c>
      <c r="E1645" t="s">
        <v>84</v>
      </c>
      <c r="F1645" t="s">
        <v>5</v>
      </c>
      <c r="G1645" t="s">
        <v>6</v>
      </c>
      <c r="H1645" t="s">
        <v>7</v>
      </c>
      <c r="I1645" t="s">
        <v>8</v>
      </c>
      <c r="J1645" t="s">
        <v>403</v>
      </c>
      <c r="K1645" t="s">
        <v>558</v>
      </c>
      <c r="L1645" t="s">
        <v>561</v>
      </c>
      <c r="M1645" t="s">
        <v>12</v>
      </c>
      <c r="N1645" s="2">
        <v>14000</v>
      </c>
      <c r="O1645" s="2">
        <v>0</v>
      </c>
      <c r="P1645" s="2">
        <v>-14000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</row>
    <row r="1646" spans="1:23" outlineLevel="2" x14ac:dyDescent="0.2">
      <c r="A1646" t="s">
        <v>402</v>
      </c>
      <c r="B1646" t="s">
        <v>39</v>
      </c>
      <c r="C1646" t="s">
        <v>70</v>
      </c>
      <c r="D1646" t="s">
        <v>89</v>
      </c>
      <c r="E1646" t="s">
        <v>90</v>
      </c>
      <c r="F1646" t="s">
        <v>5</v>
      </c>
      <c r="G1646" t="s">
        <v>6</v>
      </c>
      <c r="H1646" t="s">
        <v>7</v>
      </c>
      <c r="I1646" t="s">
        <v>8</v>
      </c>
      <c r="J1646" t="s">
        <v>403</v>
      </c>
      <c r="K1646" t="s">
        <v>558</v>
      </c>
      <c r="L1646" t="s">
        <v>562</v>
      </c>
      <c r="M1646" t="s">
        <v>12</v>
      </c>
      <c r="N1646" s="2">
        <v>10000</v>
      </c>
      <c r="O1646" s="2">
        <v>-1850</v>
      </c>
      <c r="P1646" s="2">
        <v>0</v>
      </c>
      <c r="Q1646" s="2">
        <v>8150</v>
      </c>
      <c r="R1646" s="2">
        <v>0</v>
      </c>
      <c r="S1646" s="2">
        <v>200</v>
      </c>
      <c r="T1646" s="2">
        <v>0</v>
      </c>
      <c r="U1646" s="2">
        <v>7950</v>
      </c>
      <c r="V1646" s="2">
        <v>8150</v>
      </c>
      <c r="W1646" s="2">
        <v>7950</v>
      </c>
    </row>
    <row r="1647" spans="1:23" outlineLevel="2" x14ac:dyDescent="0.2">
      <c r="A1647" t="s">
        <v>402</v>
      </c>
      <c r="B1647" t="s">
        <v>31</v>
      </c>
      <c r="C1647" t="s">
        <v>32</v>
      </c>
      <c r="D1647" t="s">
        <v>33</v>
      </c>
      <c r="E1647" t="s">
        <v>34</v>
      </c>
      <c r="F1647" t="s">
        <v>5</v>
      </c>
      <c r="G1647" t="s">
        <v>6</v>
      </c>
      <c r="H1647" t="s">
        <v>7</v>
      </c>
      <c r="I1647" t="s">
        <v>8</v>
      </c>
      <c r="J1647" t="s">
        <v>403</v>
      </c>
      <c r="K1647" t="s">
        <v>558</v>
      </c>
      <c r="L1647" t="s">
        <v>563</v>
      </c>
      <c r="M1647" t="s">
        <v>12</v>
      </c>
      <c r="N1647" s="2">
        <v>170000</v>
      </c>
      <c r="O1647" s="2">
        <v>-119040.96000000001</v>
      </c>
      <c r="P1647" s="2">
        <v>0</v>
      </c>
      <c r="Q1647" s="2">
        <v>50959.040000000001</v>
      </c>
      <c r="R1647" s="2">
        <v>0</v>
      </c>
      <c r="S1647" s="2">
        <v>31054.74</v>
      </c>
      <c r="T1647" s="2">
        <v>16775.560000000001</v>
      </c>
      <c r="U1647" s="2">
        <v>19904.3</v>
      </c>
      <c r="V1647" s="2">
        <v>34183.480000000003</v>
      </c>
      <c r="W1647" s="2">
        <v>19904.3</v>
      </c>
    </row>
    <row r="1648" spans="1:23" outlineLevel="2" x14ac:dyDescent="0.2">
      <c r="A1648" t="s">
        <v>402</v>
      </c>
      <c r="B1648" t="s">
        <v>31</v>
      </c>
      <c r="C1648" t="s">
        <v>79</v>
      </c>
      <c r="D1648" t="s">
        <v>127</v>
      </c>
      <c r="E1648" t="s">
        <v>128</v>
      </c>
      <c r="F1648" t="s">
        <v>5</v>
      </c>
      <c r="G1648" t="s">
        <v>6</v>
      </c>
      <c r="H1648" t="s">
        <v>7</v>
      </c>
      <c r="I1648" t="s">
        <v>8</v>
      </c>
      <c r="J1648" t="s">
        <v>403</v>
      </c>
      <c r="K1648" t="s">
        <v>558</v>
      </c>
      <c r="L1648" t="s">
        <v>561</v>
      </c>
      <c r="M1648" t="s">
        <v>12</v>
      </c>
      <c r="N1648" s="2">
        <v>500</v>
      </c>
      <c r="O1648" s="2">
        <v>-500</v>
      </c>
      <c r="P1648" s="2">
        <v>0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</row>
    <row r="1649" spans="1:23" outlineLevel="2" x14ac:dyDescent="0.2">
      <c r="A1649" t="s">
        <v>402</v>
      </c>
      <c r="B1649" t="s">
        <v>39</v>
      </c>
      <c r="C1649" t="s">
        <v>95</v>
      </c>
      <c r="D1649" t="s">
        <v>96</v>
      </c>
      <c r="E1649" t="s">
        <v>97</v>
      </c>
      <c r="F1649" t="s">
        <v>5</v>
      </c>
      <c r="G1649" t="s">
        <v>6</v>
      </c>
      <c r="H1649" t="s">
        <v>7</v>
      </c>
      <c r="I1649" t="s">
        <v>8</v>
      </c>
      <c r="J1649" t="s">
        <v>403</v>
      </c>
      <c r="K1649" t="s">
        <v>558</v>
      </c>
      <c r="L1649" t="s">
        <v>564</v>
      </c>
      <c r="M1649" t="s">
        <v>12</v>
      </c>
      <c r="N1649" s="2">
        <v>6000</v>
      </c>
      <c r="O1649" s="2">
        <v>11750</v>
      </c>
      <c r="P1649" s="2">
        <v>0</v>
      </c>
      <c r="Q1649" s="2">
        <v>17750</v>
      </c>
      <c r="R1649" s="2">
        <v>0</v>
      </c>
      <c r="S1649" s="2">
        <v>0</v>
      </c>
      <c r="T1649" s="2">
        <v>0</v>
      </c>
      <c r="U1649" s="2">
        <v>17750</v>
      </c>
      <c r="V1649" s="2">
        <v>17750</v>
      </c>
      <c r="W1649" s="2">
        <v>17750</v>
      </c>
    </row>
    <row r="1650" spans="1:23" outlineLevel="2" x14ac:dyDescent="0.2">
      <c r="A1650" t="s">
        <v>402</v>
      </c>
      <c r="B1650" t="s">
        <v>39</v>
      </c>
      <c r="C1650" t="s">
        <v>58</v>
      </c>
      <c r="D1650" t="s">
        <v>139</v>
      </c>
      <c r="E1650" t="s">
        <v>140</v>
      </c>
      <c r="F1650" t="s">
        <v>5</v>
      </c>
      <c r="G1650" t="s">
        <v>6</v>
      </c>
      <c r="H1650" t="s">
        <v>7</v>
      </c>
      <c r="I1650" t="s">
        <v>8</v>
      </c>
      <c r="J1650" t="s">
        <v>403</v>
      </c>
      <c r="K1650" t="s">
        <v>558</v>
      </c>
      <c r="L1650" t="s">
        <v>559</v>
      </c>
      <c r="M1650" t="s">
        <v>12</v>
      </c>
      <c r="N1650" s="2">
        <v>0</v>
      </c>
      <c r="O1650" s="2">
        <v>6200</v>
      </c>
      <c r="P1650" s="2">
        <v>-2700</v>
      </c>
      <c r="Q1650" s="2">
        <v>3500</v>
      </c>
      <c r="R1650" s="2">
        <v>480.16</v>
      </c>
      <c r="S1650" s="2">
        <v>2646.56</v>
      </c>
      <c r="T1650" s="2">
        <v>0</v>
      </c>
      <c r="U1650" s="2">
        <v>853.44</v>
      </c>
      <c r="V1650" s="2">
        <v>3500</v>
      </c>
      <c r="W1650" s="2">
        <v>373.28</v>
      </c>
    </row>
    <row r="1651" spans="1:23" outlineLevel="2" x14ac:dyDescent="0.2">
      <c r="A1651" t="s">
        <v>402</v>
      </c>
      <c r="B1651" t="s">
        <v>39</v>
      </c>
      <c r="C1651" t="s">
        <v>58</v>
      </c>
      <c r="D1651" t="s">
        <v>147</v>
      </c>
      <c r="E1651" t="s">
        <v>148</v>
      </c>
      <c r="F1651" t="s">
        <v>5</v>
      </c>
      <c r="G1651" t="s">
        <v>6</v>
      </c>
      <c r="H1651" t="s">
        <v>7</v>
      </c>
      <c r="I1651" t="s">
        <v>8</v>
      </c>
      <c r="J1651" t="s">
        <v>403</v>
      </c>
      <c r="K1651" t="s">
        <v>558</v>
      </c>
      <c r="L1651" t="s">
        <v>559</v>
      </c>
      <c r="M1651" t="s">
        <v>12</v>
      </c>
      <c r="N1651" s="2">
        <v>5000</v>
      </c>
      <c r="O1651" s="2">
        <v>0</v>
      </c>
      <c r="P1651" s="2">
        <v>-1900</v>
      </c>
      <c r="Q1651" s="2">
        <v>3100</v>
      </c>
      <c r="R1651" s="2">
        <v>481.44</v>
      </c>
      <c r="S1651" s="2">
        <v>2618.56</v>
      </c>
      <c r="T1651" s="2">
        <v>2618.56</v>
      </c>
      <c r="U1651" s="2">
        <v>481.44</v>
      </c>
      <c r="V1651" s="2">
        <v>481.44</v>
      </c>
      <c r="W1651" s="2">
        <v>0</v>
      </c>
    </row>
    <row r="1652" spans="1:23" outlineLevel="2" x14ac:dyDescent="0.2">
      <c r="A1652" t="s">
        <v>402</v>
      </c>
      <c r="B1652" t="s">
        <v>31</v>
      </c>
      <c r="C1652" t="s">
        <v>79</v>
      </c>
      <c r="D1652" t="s">
        <v>115</v>
      </c>
      <c r="E1652" t="s">
        <v>116</v>
      </c>
      <c r="F1652" t="s">
        <v>5</v>
      </c>
      <c r="G1652" t="s">
        <v>6</v>
      </c>
      <c r="H1652" t="s">
        <v>7</v>
      </c>
      <c r="I1652" t="s">
        <v>8</v>
      </c>
      <c r="J1652" t="s">
        <v>403</v>
      </c>
      <c r="K1652" t="s">
        <v>558</v>
      </c>
      <c r="L1652" t="s">
        <v>561</v>
      </c>
      <c r="M1652" t="s">
        <v>12</v>
      </c>
      <c r="N1652" s="2">
        <v>1000</v>
      </c>
      <c r="O1652" s="2">
        <v>0</v>
      </c>
      <c r="P1652" s="2">
        <v>0</v>
      </c>
      <c r="Q1652" s="2">
        <v>1000</v>
      </c>
      <c r="R1652" s="2">
        <v>0</v>
      </c>
      <c r="S1652" s="2">
        <v>0</v>
      </c>
      <c r="T1652" s="2">
        <v>0</v>
      </c>
      <c r="U1652" s="2">
        <v>1000</v>
      </c>
      <c r="V1652" s="2">
        <v>1000</v>
      </c>
      <c r="W1652" s="2">
        <v>1000</v>
      </c>
    </row>
    <row r="1653" spans="1:23" outlineLevel="2" x14ac:dyDescent="0.2">
      <c r="A1653" t="s">
        <v>402</v>
      </c>
      <c r="B1653" t="s">
        <v>53</v>
      </c>
      <c r="C1653" t="s">
        <v>54</v>
      </c>
      <c r="D1653" t="s">
        <v>55</v>
      </c>
      <c r="E1653" t="s">
        <v>56</v>
      </c>
      <c r="F1653" t="s">
        <v>5</v>
      </c>
      <c r="G1653" t="s">
        <v>6</v>
      </c>
      <c r="H1653" t="s">
        <v>7</v>
      </c>
      <c r="I1653" t="s">
        <v>8</v>
      </c>
      <c r="J1653" t="s">
        <v>403</v>
      </c>
      <c r="K1653" t="s">
        <v>558</v>
      </c>
      <c r="L1653" t="s">
        <v>565</v>
      </c>
      <c r="M1653" t="s">
        <v>12</v>
      </c>
      <c r="N1653" s="2">
        <v>7500</v>
      </c>
      <c r="O1653" s="2">
        <v>-2586</v>
      </c>
      <c r="P1653" s="2">
        <v>0</v>
      </c>
      <c r="Q1653" s="2">
        <v>4914</v>
      </c>
      <c r="R1653" s="2">
        <v>0</v>
      </c>
      <c r="S1653" s="2">
        <v>4914</v>
      </c>
      <c r="T1653" s="2">
        <v>4914</v>
      </c>
      <c r="U1653" s="2">
        <v>0</v>
      </c>
      <c r="V1653" s="2">
        <v>0</v>
      </c>
      <c r="W1653" s="2">
        <v>0</v>
      </c>
    </row>
    <row r="1654" spans="1:23" outlineLevel="2" x14ac:dyDescent="0.2">
      <c r="A1654" t="s">
        <v>402</v>
      </c>
      <c r="B1654" t="s">
        <v>1</v>
      </c>
      <c r="C1654" t="s">
        <v>2</v>
      </c>
      <c r="D1654" t="s">
        <v>3</v>
      </c>
      <c r="E1654" t="s">
        <v>4</v>
      </c>
      <c r="F1654" t="s">
        <v>5</v>
      </c>
      <c r="G1654" t="s">
        <v>6</v>
      </c>
      <c r="H1654" t="s">
        <v>7</v>
      </c>
      <c r="I1654" t="s">
        <v>8</v>
      </c>
      <c r="J1654" t="s">
        <v>403</v>
      </c>
      <c r="K1654" t="s">
        <v>558</v>
      </c>
      <c r="L1654" t="s">
        <v>566</v>
      </c>
      <c r="M1654" t="s">
        <v>15</v>
      </c>
      <c r="N1654" s="2">
        <v>1000</v>
      </c>
      <c r="O1654" s="2">
        <v>1020.14</v>
      </c>
      <c r="P1654" s="2">
        <v>-350.4</v>
      </c>
      <c r="Q1654" s="2">
        <v>1669.74</v>
      </c>
      <c r="R1654" s="2">
        <v>0</v>
      </c>
      <c r="S1654" s="2">
        <v>1669.74</v>
      </c>
      <c r="T1654" s="2">
        <v>1285.82</v>
      </c>
      <c r="U1654" s="2">
        <v>0</v>
      </c>
      <c r="V1654" s="2">
        <v>383.92</v>
      </c>
      <c r="W1654" s="2">
        <v>0</v>
      </c>
    </row>
    <row r="1655" spans="1:23" outlineLevel="2" x14ac:dyDescent="0.2">
      <c r="A1655" t="s">
        <v>402</v>
      </c>
      <c r="B1655" t="s">
        <v>1</v>
      </c>
      <c r="C1655" t="s">
        <v>91</v>
      </c>
      <c r="D1655" t="s">
        <v>92</v>
      </c>
      <c r="E1655" t="s">
        <v>93</v>
      </c>
      <c r="F1655" t="s">
        <v>5</v>
      </c>
      <c r="G1655" t="s">
        <v>6</v>
      </c>
      <c r="H1655" t="s">
        <v>7</v>
      </c>
      <c r="I1655" t="s">
        <v>8</v>
      </c>
      <c r="J1655" t="s">
        <v>403</v>
      </c>
      <c r="K1655" t="s">
        <v>558</v>
      </c>
      <c r="L1655" t="s">
        <v>567</v>
      </c>
      <c r="M1655" t="s">
        <v>12</v>
      </c>
      <c r="N1655" s="2">
        <v>0</v>
      </c>
      <c r="O1655" s="2">
        <v>0</v>
      </c>
      <c r="P1655" s="2">
        <v>253.12</v>
      </c>
      <c r="Q1655" s="2">
        <v>253.12</v>
      </c>
      <c r="R1655" s="2">
        <v>0</v>
      </c>
      <c r="S1655" s="2">
        <v>0</v>
      </c>
      <c r="T1655" s="2">
        <v>0</v>
      </c>
      <c r="U1655" s="2">
        <v>253.12</v>
      </c>
      <c r="V1655" s="2">
        <v>253.12</v>
      </c>
      <c r="W1655" s="2">
        <v>253.12</v>
      </c>
    </row>
    <row r="1656" spans="1:23" outlineLevel="2" x14ac:dyDescent="0.2">
      <c r="A1656" t="s">
        <v>402</v>
      </c>
      <c r="B1656" t="s">
        <v>31</v>
      </c>
      <c r="C1656" t="s">
        <v>79</v>
      </c>
      <c r="D1656" t="s">
        <v>113</v>
      </c>
      <c r="E1656" t="s">
        <v>114</v>
      </c>
      <c r="F1656" t="s">
        <v>5</v>
      </c>
      <c r="G1656" t="s">
        <v>6</v>
      </c>
      <c r="H1656" t="s">
        <v>7</v>
      </c>
      <c r="I1656" t="s">
        <v>8</v>
      </c>
      <c r="J1656" t="s">
        <v>403</v>
      </c>
      <c r="K1656" t="s">
        <v>558</v>
      </c>
      <c r="L1656" t="s">
        <v>561</v>
      </c>
      <c r="M1656" t="s">
        <v>12</v>
      </c>
      <c r="N1656" s="2">
        <v>2000</v>
      </c>
      <c r="O1656" s="2">
        <v>1500</v>
      </c>
      <c r="P1656" s="2">
        <v>0</v>
      </c>
      <c r="Q1656" s="2">
        <v>3500</v>
      </c>
      <c r="R1656" s="2">
        <v>0.72</v>
      </c>
      <c r="S1656" s="2">
        <v>3437.28</v>
      </c>
      <c r="T1656" s="2">
        <v>3274.88</v>
      </c>
      <c r="U1656" s="2">
        <v>62.72</v>
      </c>
      <c r="V1656" s="2">
        <v>225.12</v>
      </c>
      <c r="W1656" s="2">
        <v>62</v>
      </c>
    </row>
    <row r="1657" spans="1:23" outlineLevel="2" x14ac:dyDescent="0.2">
      <c r="A1657" t="s">
        <v>402</v>
      </c>
      <c r="B1657" t="s">
        <v>31</v>
      </c>
      <c r="C1657" t="s">
        <v>79</v>
      </c>
      <c r="D1657" t="s">
        <v>131</v>
      </c>
      <c r="E1657" t="s">
        <v>132</v>
      </c>
      <c r="F1657" t="s">
        <v>5</v>
      </c>
      <c r="G1657" t="s">
        <v>6</v>
      </c>
      <c r="H1657" t="s">
        <v>7</v>
      </c>
      <c r="I1657" t="s">
        <v>8</v>
      </c>
      <c r="J1657" t="s">
        <v>403</v>
      </c>
      <c r="K1657" t="s">
        <v>558</v>
      </c>
      <c r="L1657" t="s">
        <v>561</v>
      </c>
      <c r="M1657" t="s">
        <v>12</v>
      </c>
      <c r="N1657" s="2">
        <v>0</v>
      </c>
      <c r="O1657" s="2">
        <v>5824</v>
      </c>
      <c r="P1657" s="2">
        <v>0</v>
      </c>
      <c r="Q1657" s="2">
        <v>5824</v>
      </c>
      <c r="R1657" s="2">
        <v>0</v>
      </c>
      <c r="S1657" s="2">
        <v>5824</v>
      </c>
      <c r="T1657" s="2">
        <v>0</v>
      </c>
      <c r="U1657" s="2">
        <v>0</v>
      </c>
      <c r="V1657" s="2">
        <v>5824</v>
      </c>
      <c r="W1657" s="2">
        <v>0</v>
      </c>
    </row>
    <row r="1658" spans="1:23" outlineLevel="2" x14ac:dyDescent="0.2">
      <c r="A1658" t="s">
        <v>402</v>
      </c>
      <c r="B1658" t="s">
        <v>1</v>
      </c>
      <c r="C1658" t="s">
        <v>2</v>
      </c>
      <c r="D1658" t="s">
        <v>3</v>
      </c>
      <c r="E1658" t="s">
        <v>4</v>
      </c>
      <c r="F1658" t="s">
        <v>5</v>
      </c>
      <c r="G1658" t="s">
        <v>6</v>
      </c>
      <c r="H1658" t="s">
        <v>7</v>
      </c>
      <c r="I1658" t="s">
        <v>8</v>
      </c>
      <c r="J1658" t="s">
        <v>403</v>
      </c>
      <c r="K1658" t="s">
        <v>558</v>
      </c>
      <c r="L1658" t="s">
        <v>566</v>
      </c>
      <c r="M1658" t="s">
        <v>12</v>
      </c>
      <c r="N1658" s="2">
        <v>0</v>
      </c>
      <c r="O1658" s="2">
        <v>0</v>
      </c>
      <c r="P1658" s="2">
        <v>350.4</v>
      </c>
      <c r="Q1658" s="2">
        <v>350.4</v>
      </c>
      <c r="R1658" s="2">
        <v>0</v>
      </c>
      <c r="S1658" s="2">
        <v>0</v>
      </c>
      <c r="T1658" s="2">
        <v>0</v>
      </c>
      <c r="U1658" s="2">
        <v>350.4</v>
      </c>
      <c r="V1658" s="2">
        <v>350.4</v>
      </c>
      <c r="W1658" s="2">
        <v>350.4</v>
      </c>
    </row>
    <row r="1659" spans="1:23" outlineLevel="2" x14ac:dyDescent="0.2">
      <c r="A1659" t="s">
        <v>402</v>
      </c>
      <c r="B1659" t="s">
        <v>31</v>
      </c>
      <c r="C1659" t="s">
        <v>79</v>
      </c>
      <c r="D1659" t="s">
        <v>117</v>
      </c>
      <c r="E1659" t="s">
        <v>118</v>
      </c>
      <c r="F1659" t="s">
        <v>5</v>
      </c>
      <c r="G1659" t="s">
        <v>6</v>
      </c>
      <c r="H1659" t="s">
        <v>7</v>
      </c>
      <c r="I1659" t="s">
        <v>8</v>
      </c>
      <c r="J1659" t="s">
        <v>403</v>
      </c>
      <c r="K1659" t="s">
        <v>558</v>
      </c>
      <c r="L1659" t="s">
        <v>561</v>
      </c>
      <c r="M1659" t="s">
        <v>12</v>
      </c>
      <c r="N1659" s="2">
        <v>6000</v>
      </c>
      <c r="O1659" s="2">
        <v>1000</v>
      </c>
      <c r="P1659" s="2">
        <v>0</v>
      </c>
      <c r="Q1659" s="2">
        <v>7000</v>
      </c>
      <c r="R1659" s="2">
        <v>981.73</v>
      </c>
      <c r="S1659" s="2">
        <v>3046.27</v>
      </c>
      <c r="T1659" s="2">
        <v>1657.53</v>
      </c>
      <c r="U1659" s="2">
        <v>3953.73</v>
      </c>
      <c r="V1659" s="2">
        <v>5342.47</v>
      </c>
      <c r="W1659" s="2">
        <v>2972</v>
      </c>
    </row>
    <row r="1660" spans="1:23" outlineLevel="2" x14ac:dyDescent="0.2">
      <c r="A1660" t="s">
        <v>402</v>
      </c>
      <c r="B1660" t="s">
        <v>39</v>
      </c>
      <c r="C1660" t="s">
        <v>58</v>
      </c>
      <c r="D1660" t="s">
        <v>145</v>
      </c>
      <c r="E1660" t="s">
        <v>146</v>
      </c>
      <c r="F1660" t="s">
        <v>5</v>
      </c>
      <c r="G1660" t="s">
        <v>6</v>
      </c>
      <c r="H1660" t="s">
        <v>7</v>
      </c>
      <c r="I1660" t="s">
        <v>8</v>
      </c>
      <c r="J1660" t="s">
        <v>403</v>
      </c>
      <c r="K1660" t="s">
        <v>558</v>
      </c>
      <c r="L1660" t="s">
        <v>559</v>
      </c>
      <c r="M1660" t="s">
        <v>12</v>
      </c>
      <c r="N1660" s="2">
        <v>12000</v>
      </c>
      <c r="O1660" s="2">
        <v>0</v>
      </c>
      <c r="P1660" s="2">
        <v>0</v>
      </c>
      <c r="Q1660" s="2">
        <v>12000</v>
      </c>
      <c r="R1660" s="2">
        <v>0.01</v>
      </c>
      <c r="S1660" s="2">
        <v>11757.33</v>
      </c>
      <c r="T1660" s="2">
        <v>5075.84</v>
      </c>
      <c r="U1660" s="2">
        <v>242.67</v>
      </c>
      <c r="V1660" s="2">
        <v>6924.16</v>
      </c>
      <c r="W1660" s="2">
        <v>242.66</v>
      </c>
    </row>
    <row r="1661" spans="1:23" outlineLevel="2" x14ac:dyDescent="0.2">
      <c r="A1661" t="s">
        <v>402</v>
      </c>
      <c r="B1661" t="s">
        <v>39</v>
      </c>
      <c r="C1661" t="s">
        <v>58</v>
      </c>
      <c r="D1661" t="s">
        <v>135</v>
      </c>
      <c r="E1661" t="s">
        <v>136</v>
      </c>
      <c r="F1661" t="s">
        <v>5</v>
      </c>
      <c r="G1661" t="s">
        <v>6</v>
      </c>
      <c r="H1661" t="s">
        <v>7</v>
      </c>
      <c r="I1661" t="s">
        <v>8</v>
      </c>
      <c r="J1661" t="s">
        <v>403</v>
      </c>
      <c r="K1661" t="s">
        <v>558</v>
      </c>
      <c r="L1661" t="s">
        <v>559</v>
      </c>
      <c r="M1661" t="s">
        <v>12</v>
      </c>
      <c r="N1661" s="2">
        <v>3000</v>
      </c>
      <c r="O1661" s="2">
        <v>16734.12</v>
      </c>
      <c r="P1661" s="2">
        <v>0</v>
      </c>
      <c r="Q1661" s="2">
        <v>19734.12</v>
      </c>
      <c r="R1661" s="2">
        <v>265.44</v>
      </c>
      <c r="S1661" s="2">
        <v>17488.82</v>
      </c>
      <c r="T1661" s="2">
        <v>106</v>
      </c>
      <c r="U1661" s="2">
        <v>2245.3000000000002</v>
      </c>
      <c r="V1661" s="2">
        <v>19628.12</v>
      </c>
      <c r="W1661" s="2">
        <v>1979.86</v>
      </c>
    </row>
    <row r="1662" spans="1:23" outlineLevel="2" x14ac:dyDescent="0.2">
      <c r="A1662" t="s">
        <v>402</v>
      </c>
      <c r="B1662" t="s">
        <v>1</v>
      </c>
      <c r="C1662" t="s">
        <v>2</v>
      </c>
      <c r="D1662" t="s">
        <v>410</v>
      </c>
      <c r="E1662" t="s">
        <v>411</v>
      </c>
      <c r="F1662" t="s">
        <v>5</v>
      </c>
      <c r="G1662" t="s">
        <v>6</v>
      </c>
      <c r="H1662" t="s">
        <v>7</v>
      </c>
      <c r="I1662" t="s">
        <v>8</v>
      </c>
      <c r="J1662" t="s">
        <v>403</v>
      </c>
      <c r="K1662" t="s">
        <v>558</v>
      </c>
      <c r="L1662" t="s">
        <v>566</v>
      </c>
      <c r="M1662" t="s">
        <v>15</v>
      </c>
      <c r="N1662" s="2">
        <v>184512</v>
      </c>
      <c r="O1662" s="2">
        <v>-11586.45</v>
      </c>
      <c r="P1662" s="2">
        <v>-69849.05</v>
      </c>
      <c r="Q1662" s="2">
        <v>103076.5</v>
      </c>
      <c r="R1662" s="2">
        <v>8014.24</v>
      </c>
      <c r="S1662" s="2">
        <v>90669.54</v>
      </c>
      <c r="T1662" s="2">
        <v>69409.649999999994</v>
      </c>
      <c r="U1662" s="2">
        <v>12406.96</v>
      </c>
      <c r="V1662" s="2">
        <v>33666.85</v>
      </c>
      <c r="W1662" s="2">
        <v>4392.72</v>
      </c>
    </row>
    <row r="1663" spans="1:23" outlineLevel="2" x14ac:dyDescent="0.2">
      <c r="A1663" t="s">
        <v>402</v>
      </c>
      <c r="B1663" t="s">
        <v>31</v>
      </c>
      <c r="C1663" t="s">
        <v>79</v>
      </c>
      <c r="D1663" t="s">
        <v>80</v>
      </c>
      <c r="E1663" t="s">
        <v>81</v>
      </c>
      <c r="F1663" t="s">
        <v>5</v>
      </c>
      <c r="G1663" t="s">
        <v>6</v>
      </c>
      <c r="H1663" t="s">
        <v>7</v>
      </c>
      <c r="I1663" t="s">
        <v>8</v>
      </c>
      <c r="J1663" t="s">
        <v>403</v>
      </c>
      <c r="K1663" t="s">
        <v>558</v>
      </c>
      <c r="L1663" t="s">
        <v>561</v>
      </c>
      <c r="M1663" t="s">
        <v>12</v>
      </c>
      <c r="N1663" s="2">
        <v>5000</v>
      </c>
      <c r="O1663" s="2">
        <v>0</v>
      </c>
      <c r="P1663" s="2">
        <v>0</v>
      </c>
      <c r="Q1663" s="2">
        <v>5000</v>
      </c>
      <c r="R1663" s="2">
        <v>0</v>
      </c>
      <c r="S1663" s="2">
        <v>1198.4000000000001</v>
      </c>
      <c r="T1663" s="2">
        <v>0</v>
      </c>
      <c r="U1663" s="2">
        <v>3801.6</v>
      </c>
      <c r="V1663" s="2">
        <v>5000</v>
      </c>
      <c r="W1663" s="2">
        <v>3801.6</v>
      </c>
    </row>
    <row r="1664" spans="1:23" outlineLevel="2" x14ac:dyDescent="0.2">
      <c r="A1664" t="s">
        <v>402</v>
      </c>
      <c r="B1664" t="s">
        <v>1</v>
      </c>
      <c r="C1664" t="s">
        <v>91</v>
      </c>
      <c r="D1664" t="s">
        <v>92</v>
      </c>
      <c r="E1664" t="s">
        <v>93</v>
      </c>
      <c r="F1664" t="s">
        <v>5</v>
      </c>
      <c r="G1664" t="s">
        <v>6</v>
      </c>
      <c r="H1664" t="s">
        <v>7</v>
      </c>
      <c r="I1664" t="s">
        <v>8</v>
      </c>
      <c r="J1664" t="s">
        <v>403</v>
      </c>
      <c r="K1664" t="s">
        <v>558</v>
      </c>
      <c r="L1664" t="s">
        <v>567</v>
      </c>
      <c r="M1664" t="s">
        <v>15</v>
      </c>
      <c r="N1664" s="2">
        <v>1300</v>
      </c>
      <c r="O1664" s="2">
        <v>1980</v>
      </c>
      <c r="P1664" s="2">
        <v>-253.12</v>
      </c>
      <c r="Q1664" s="2">
        <v>3026.88</v>
      </c>
      <c r="R1664" s="2">
        <v>931.8</v>
      </c>
      <c r="S1664" s="2">
        <v>2095.08</v>
      </c>
      <c r="T1664" s="2">
        <v>1281.28</v>
      </c>
      <c r="U1664" s="2">
        <v>931.8</v>
      </c>
      <c r="V1664" s="2">
        <v>1745.6</v>
      </c>
      <c r="W1664" s="2">
        <v>0</v>
      </c>
    </row>
    <row r="1665" spans="1:23" outlineLevel="2" x14ac:dyDescent="0.2">
      <c r="A1665" t="s">
        <v>402</v>
      </c>
      <c r="B1665" t="s">
        <v>39</v>
      </c>
      <c r="C1665" t="s">
        <v>58</v>
      </c>
      <c r="D1665" t="s">
        <v>149</v>
      </c>
      <c r="E1665" t="s">
        <v>150</v>
      </c>
      <c r="F1665" t="s">
        <v>5</v>
      </c>
      <c r="G1665" t="s">
        <v>6</v>
      </c>
      <c r="H1665" t="s">
        <v>7</v>
      </c>
      <c r="I1665" t="s">
        <v>8</v>
      </c>
      <c r="J1665" t="s">
        <v>403</v>
      </c>
      <c r="K1665" t="s">
        <v>558</v>
      </c>
      <c r="L1665" t="s">
        <v>559</v>
      </c>
      <c r="M1665" t="s">
        <v>12</v>
      </c>
      <c r="N1665" s="2">
        <v>10000</v>
      </c>
      <c r="O1665" s="2">
        <v>0</v>
      </c>
      <c r="P1665" s="2">
        <v>-3360</v>
      </c>
      <c r="Q1665" s="2">
        <v>6640</v>
      </c>
      <c r="R1665" s="2">
        <v>0</v>
      </c>
      <c r="S1665" s="2">
        <v>5431.2</v>
      </c>
      <c r="T1665" s="2">
        <v>28</v>
      </c>
      <c r="U1665" s="2">
        <v>1208.8</v>
      </c>
      <c r="V1665" s="2">
        <v>6612</v>
      </c>
      <c r="W1665" s="2">
        <v>1208.8</v>
      </c>
    </row>
    <row r="1666" spans="1:23" outlineLevel="2" x14ac:dyDescent="0.2">
      <c r="A1666" t="s">
        <v>402</v>
      </c>
      <c r="B1666" t="s">
        <v>1</v>
      </c>
      <c r="C1666" t="s">
        <v>91</v>
      </c>
      <c r="D1666" t="s">
        <v>92</v>
      </c>
      <c r="E1666" t="s">
        <v>93</v>
      </c>
      <c r="F1666" t="s">
        <v>5</v>
      </c>
      <c r="G1666" t="s">
        <v>6</v>
      </c>
      <c r="H1666" t="s">
        <v>7</v>
      </c>
      <c r="I1666" t="s">
        <v>8</v>
      </c>
      <c r="J1666" t="s">
        <v>403</v>
      </c>
      <c r="K1666" t="s">
        <v>568</v>
      </c>
      <c r="L1666" t="s">
        <v>569</v>
      </c>
      <c r="M1666" t="s">
        <v>12</v>
      </c>
      <c r="N1666" s="2">
        <v>0</v>
      </c>
      <c r="O1666" s="2">
        <v>0</v>
      </c>
      <c r="P1666" s="2">
        <v>8338.17</v>
      </c>
      <c r="Q1666" s="2">
        <v>8338.17</v>
      </c>
      <c r="R1666" s="2">
        <v>0</v>
      </c>
      <c r="S1666" s="2">
        <v>0</v>
      </c>
      <c r="T1666" s="2">
        <v>0</v>
      </c>
      <c r="U1666" s="2">
        <v>8338.17</v>
      </c>
      <c r="V1666" s="2">
        <v>8338.17</v>
      </c>
      <c r="W1666" s="2">
        <v>8338.17</v>
      </c>
    </row>
    <row r="1667" spans="1:23" outlineLevel="2" x14ac:dyDescent="0.2">
      <c r="A1667" t="s">
        <v>402</v>
      </c>
      <c r="B1667" t="s">
        <v>39</v>
      </c>
      <c r="C1667" t="s">
        <v>58</v>
      </c>
      <c r="D1667" t="s">
        <v>139</v>
      </c>
      <c r="E1667" t="s">
        <v>140</v>
      </c>
      <c r="F1667" t="s">
        <v>5</v>
      </c>
      <c r="G1667" t="s">
        <v>6</v>
      </c>
      <c r="H1667" t="s">
        <v>7</v>
      </c>
      <c r="I1667" t="s">
        <v>8</v>
      </c>
      <c r="J1667" t="s">
        <v>403</v>
      </c>
      <c r="K1667" t="s">
        <v>568</v>
      </c>
      <c r="L1667" t="s">
        <v>570</v>
      </c>
      <c r="M1667" t="s">
        <v>12</v>
      </c>
      <c r="N1667" s="2">
        <v>0</v>
      </c>
      <c r="O1667" s="2">
        <v>10000</v>
      </c>
      <c r="P1667" s="2">
        <v>0</v>
      </c>
      <c r="Q1667" s="2">
        <v>10000</v>
      </c>
      <c r="R1667" s="2">
        <v>0</v>
      </c>
      <c r="S1667" s="2">
        <v>10000</v>
      </c>
      <c r="T1667" s="2">
        <v>6744.98</v>
      </c>
      <c r="U1667" s="2">
        <v>0</v>
      </c>
      <c r="V1667" s="2">
        <v>3255.02</v>
      </c>
      <c r="W1667" s="2">
        <v>0</v>
      </c>
    </row>
    <row r="1668" spans="1:23" outlineLevel="2" x14ac:dyDescent="0.2">
      <c r="A1668" t="s">
        <v>402</v>
      </c>
      <c r="B1668" t="s">
        <v>39</v>
      </c>
      <c r="C1668" t="s">
        <v>58</v>
      </c>
      <c r="D1668" t="s">
        <v>129</v>
      </c>
      <c r="E1668" t="s">
        <v>130</v>
      </c>
      <c r="F1668" t="s">
        <v>5</v>
      </c>
      <c r="G1668" t="s">
        <v>6</v>
      </c>
      <c r="H1668" t="s">
        <v>7</v>
      </c>
      <c r="I1668" t="s">
        <v>8</v>
      </c>
      <c r="J1668" t="s">
        <v>403</v>
      </c>
      <c r="K1668" t="s">
        <v>568</v>
      </c>
      <c r="L1668" t="s">
        <v>570</v>
      </c>
      <c r="M1668" t="s">
        <v>12</v>
      </c>
      <c r="N1668" s="2">
        <v>0</v>
      </c>
      <c r="O1668" s="2">
        <v>266</v>
      </c>
      <c r="P1668" s="2">
        <v>0</v>
      </c>
      <c r="Q1668" s="2">
        <v>266</v>
      </c>
      <c r="R1668" s="2">
        <v>0</v>
      </c>
      <c r="S1668" s="2">
        <v>266</v>
      </c>
      <c r="T1668" s="2">
        <v>266</v>
      </c>
      <c r="U1668" s="2">
        <v>0</v>
      </c>
      <c r="V1668" s="2">
        <v>0</v>
      </c>
      <c r="W1668" s="2">
        <v>0</v>
      </c>
    </row>
    <row r="1669" spans="1:23" outlineLevel="2" x14ac:dyDescent="0.2">
      <c r="A1669" t="s">
        <v>402</v>
      </c>
      <c r="B1669" t="s">
        <v>31</v>
      </c>
      <c r="C1669" t="s">
        <v>79</v>
      </c>
      <c r="D1669" t="s">
        <v>113</v>
      </c>
      <c r="E1669" t="s">
        <v>114</v>
      </c>
      <c r="F1669" t="s">
        <v>5</v>
      </c>
      <c r="G1669" t="s">
        <v>6</v>
      </c>
      <c r="H1669" t="s">
        <v>7</v>
      </c>
      <c r="I1669" t="s">
        <v>8</v>
      </c>
      <c r="J1669" t="s">
        <v>403</v>
      </c>
      <c r="K1669" t="s">
        <v>568</v>
      </c>
      <c r="L1669" t="s">
        <v>571</v>
      </c>
      <c r="M1669" t="s">
        <v>12</v>
      </c>
      <c r="N1669" s="2">
        <v>600</v>
      </c>
      <c r="O1669" s="2">
        <v>0</v>
      </c>
      <c r="P1669" s="2">
        <v>0</v>
      </c>
      <c r="Q1669" s="2">
        <v>600</v>
      </c>
      <c r="R1669" s="2">
        <v>0</v>
      </c>
      <c r="S1669" s="2">
        <v>300.16000000000003</v>
      </c>
      <c r="T1669" s="2">
        <v>0</v>
      </c>
      <c r="U1669" s="2">
        <v>299.83999999999997</v>
      </c>
      <c r="V1669" s="2">
        <v>600</v>
      </c>
      <c r="W1669" s="2">
        <v>299.83999999999997</v>
      </c>
    </row>
    <row r="1670" spans="1:23" outlineLevel="2" x14ac:dyDescent="0.2">
      <c r="A1670" t="s">
        <v>402</v>
      </c>
      <c r="B1670" t="s">
        <v>31</v>
      </c>
      <c r="C1670" t="s">
        <v>32</v>
      </c>
      <c r="D1670" t="s">
        <v>33</v>
      </c>
      <c r="E1670" t="s">
        <v>34</v>
      </c>
      <c r="F1670" t="s">
        <v>5</v>
      </c>
      <c r="G1670" t="s">
        <v>6</v>
      </c>
      <c r="H1670" t="s">
        <v>7</v>
      </c>
      <c r="I1670" t="s">
        <v>8</v>
      </c>
      <c r="J1670" t="s">
        <v>403</v>
      </c>
      <c r="K1670" t="s">
        <v>568</v>
      </c>
      <c r="L1670" t="s">
        <v>572</v>
      </c>
      <c r="M1670" t="s">
        <v>12</v>
      </c>
      <c r="N1670" s="2">
        <v>16000</v>
      </c>
      <c r="O1670" s="2">
        <v>-3000</v>
      </c>
      <c r="P1670" s="2">
        <v>0</v>
      </c>
      <c r="Q1670" s="2">
        <v>13000</v>
      </c>
      <c r="R1670" s="2">
        <v>2084.3200000000002</v>
      </c>
      <c r="S1670" s="2">
        <v>4249.88</v>
      </c>
      <c r="T1670" s="2">
        <v>647.4</v>
      </c>
      <c r="U1670" s="2">
        <v>8750.1200000000008</v>
      </c>
      <c r="V1670" s="2">
        <v>12352.6</v>
      </c>
      <c r="W1670" s="2">
        <v>6665.8</v>
      </c>
    </row>
    <row r="1671" spans="1:23" outlineLevel="2" x14ac:dyDescent="0.2">
      <c r="A1671" t="s">
        <v>402</v>
      </c>
      <c r="B1671" t="s">
        <v>39</v>
      </c>
      <c r="C1671" t="s">
        <v>58</v>
      </c>
      <c r="D1671" t="s">
        <v>137</v>
      </c>
      <c r="E1671" t="s">
        <v>138</v>
      </c>
      <c r="F1671" t="s">
        <v>5</v>
      </c>
      <c r="G1671" t="s">
        <v>6</v>
      </c>
      <c r="H1671" t="s">
        <v>7</v>
      </c>
      <c r="I1671" t="s">
        <v>8</v>
      </c>
      <c r="J1671" t="s">
        <v>403</v>
      </c>
      <c r="K1671" t="s">
        <v>568</v>
      </c>
      <c r="L1671" t="s">
        <v>570</v>
      </c>
      <c r="M1671" t="s">
        <v>12</v>
      </c>
      <c r="N1671" s="2">
        <v>0</v>
      </c>
      <c r="O1671" s="2">
        <v>18836.599999999999</v>
      </c>
      <c r="P1671" s="2">
        <v>0</v>
      </c>
      <c r="Q1671" s="2">
        <v>18836.599999999999</v>
      </c>
      <c r="R1671" s="2">
        <v>0</v>
      </c>
      <c r="S1671" s="2">
        <v>0</v>
      </c>
      <c r="T1671" s="2">
        <v>0</v>
      </c>
      <c r="U1671" s="2">
        <v>18836.599999999999</v>
      </c>
      <c r="V1671" s="2">
        <v>18836.599999999999</v>
      </c>
      <c r="W1671" s="2">
        <v>18836.599999999999</v>
      </c>
    </row>
    <row r="1672" spans="1:23" outlineLevel="2" x14ac:dyDescent="0.2">
      <c r="A1672" t="s">
        <v>402</v>
      </c>
      <c r="B1672" t="s">
        <v>53</v>
      </c>
      <c r="C1672" t="s">
        <v>54</v>
      </c>
      <c r="D1672" t="s">
        <v>55</v>
      </c>
      <c r="E1672" t="s">
        <v>56</v>
      </c>
      <c r="F1672" t="s">
        <v>5</v>
      </c>
      <c r="G1672" t="s">
        <v>6</v>
      </c>
      <c r="H1672" t="s">
        <v>7</v>
      </c>
      <c r="I1672" t="s">
        <v>8</v>
      </c>
      <c r="J1672" t="s">
        <v>403</v>
      </c>
      <c r="K1672" t="s">
        <v>568</v>
      </c>
      <c r="L1672" t="s">
        <v>573</v>
      </c>
      <c r="M1672" t="s">
        <v>12</v>
      </c>
      <c r="N1672" s="2">
        <v>7500</v>
      </c>
      <c r="O1672" s="2">
        <v>7864.76</v>
      </c>
      <c r="P1672" s="2">
        <v>0</v>
      </c>
      <c r="Q1672" s="2">
        <v>15364.76</v>
      </c>
      <c r="R1672" s="2">
        <v>0</v>
      </c>
      <c r="S1672" s="2">
        <v>7498.69</v>
      </c>
      <c r="T1672" s="2">
        <v>323.69</v>
      </c>
      <c r="U1672" s="2">
        <v>7866.07</v>
      </c>
      <c r="V1672" s="2">
        <v>15041.07</v>
      </c>
      <c r="W1672" s="2">
        <v>7866.07</v>
      </c>
    </row>
    <row r="1673" spans="1:23" outlineLevel="2" x14ac:dyDescent="0.2">
      <c r="A1673" t="s">
        <v>402</v>
      </c>
      <c r="B1673" t="s">
        <v>31</v>
      </c>
      <c r="C1673" t="s">
        <v>79</v>
      </c>
      <c r="D1673" t="s">
        <v>80</v>
      </c>
      <c r="E1673" t="s">
        <v>81</v>
      </c>
      <c r="F1673" t="s">
        <v>5</v>
      </c>
      <c r="G1673" t="s">
        <v>6</v>
      </c>
      <c r="H1673" t="s">
        <v>7</v>
      </c>
      <c r="I1673" t="s">
        <v>8</v>
      </c>
      <c r="J1673" t="s">
        <v>403</v>
      </c>
      <c r="K1673" t="s">
        <v>568</v>
      </c>
      <c r="L1673" t="s">
        <v>571</v>
      </c>
      <c r="M1673" t="s">
        <v>12</v>
      </c>
      <c r="N1673" s="2">
        <v>4000</v>
      </c>
      <c r="O1673" s="2">
        <v>0</v>
      </c>
      <c r="P1673" s="2">
        <v>0</v>
      </c>
      <c r="Q1673" s="2">
        <v>4000</v>
      </c>
      <c r="R1673" s="2">
        <v>0</v>
      </c>
      <c r="S1673" s="2">
        <v>3404.48</v>
      </c>
      <c r="T1673" s="2">
        <v>1851.36</v>
      </c>
      <c r="U1673" s="2">
        <v>595.52</v>
      </c>
      <c r="V1673" s="2">
        <v>2148.64</v>
      </c>
      <c r="W1673" s="2">
        <v>595.52</v>
      </c>
    </row>
    <row r="1674" spans="1:23" outlineLevel="2" x14ac:dyDescent="0.2">
      <c r="A1674" t="s">
        <v>402</v>
      </c>
      <c r="B1674" t="s">
        <v>39</v>
      </c>
      <c r="C1674" t="s">
        <v>58</v>
      </c>
      <c r="D1674" t="s">
        <v>147</v>
      </c>
      <c r="E1674" t="s">
        <v>148</v>
      </c>
      <c r="F1674" t="s">
        <v>5</v>
      </c>
      <c r="G1674" t="s">
        <v>6</v>
      </c>
      <c r="H1674" t="s">
        <v>7</v>
      </c>
      <c r="I1674" t="s">
        <v>8</v>
      </c>
      <c r="J1674" t="s">
        <v>403</v>
      </c>
      <c r="K1674" t="s">
        <v>568</v>
      </c>
      <c r="L1674" t="s">
        <v>570</v>
      </c>
      <c r="M1674" t="s">
        <v>12</v>
      </c>
      <c r="N1674" s="2">
        <v>27800</v>
      </c>
      <c r="O1674" s="2">
        <v>-4000</v>
      </c>
      <c r="P1674" s="2">
        <v>-7224</v>
      </c>
      <c r="Q1674" s="2">
        <v>16576</v>
      </c>
      <c r="R1674" s="2">
        <v>0</v>
      </c>
      <c r="S1674" s="2">
        <v>16576</v>
      </c>
      <c r="T1674" s="2">
        <v>7659.06</v>
      </c>
      <c r="U1674" s="2">
        <v>0</v>
      </c>
      <c r="V1674" s="2">
        <v>8916.94</v>
      </c>
      <c r="W1674" s="2">
        <v>0</v>
      </c>
    </row>
    <row r="1675" spans="1:23" outlineLevel="2" x14ac:dyDescent="0.2">
      <c r="A1675" t="s">
        <v>402</v>
      </c>
      <c r="B1675" t="s">
        <v>39</v>
      </c>
      <c r="C1675" t="s">
        <v>58</v>
      </c>
      <c r="D1675" t="s">
        <v>149</v>
      </c>
      <c r="E1675" t="s">
        <v>150</v>
      </c>
      <c r="F1675" t="s">
        <v>5</v>
      </c>
      <c r="G1675" t="s">
        <v>6</v>
      </c>
      <c r="H1675" t="s">
        <v>7</v>
      </c>
      <c r="I1675" t="s">
        <v>8</v>
      </c>
      <c r="J1675" t="s">
        <v>403</v>
      </c>
      <c r="K1675" t="s">
        <v>568</v>
      </c>
      <c r="L1675" t="s">
        <v>570</v>
      </c>
      <c r="M1675" t="s">
        <v>12</v>
      </c>
      <c r="N1675" s="2">
        <v>11000</v>
      </c>
      <c r="O1675" s="2">
        <v>8500</v>
      </c>
      <c r="P1675" s="2">
        <v>-5147.93</v>
      </c>
      <c r="Q1675" s="2">
        <v>14352.07</v>
      </c>
      <c r="R1675" s="2">
        <v>0</v>
      </c>
      <c r="S1675" s="2">
        <v>14188.07</v>
      </c>
      <c r="T1675" s="2">
        <v>5975.75</v>
      </c>
      <c r="U1675" s="2">
        <v>164</v>
      </c>
      <c r="V1675" s="2">
        <v>8376.32</v>
      </c>
      <c r="W1675" s="2">
        <v>164</v>
      </c>
    </row>
    <row r="1676" spans="1:23" outlineLevel="2" x14ac:dyDescent="0.2">
      <c r="A1676" t="s">
        <v>402</v>
      </c>
      <c r="B1676" t="s">
        <v>39</v>
      </c>
      <c r="C1676" t="s">
        <v>58</v>
      </c>
      <c r="D1676" t="s">
        <v>143</v>
      </c>
      <c r="E1676" t="s">
        <v>144</v>
      </c>
      <c r="F1676" t="s">
        <v>5</v>
      </c>
      <c r="G1676" t="s">
        <v>6</v>
      </c>
      <c r="H1676" t="s">
        <v>7</v>
      </c>
      <c r="I1676" t="s">
        <v>8</v>
      </c>
      <c r="J1676" t="s">
        <v>403</v>
      </c>
      <c r="K1676" t="s">
        <v>568</v>
      </c>
      <c r="L1676" t="s">
        <v>570</v>
      </c>
      <c r="M1676" t="s">
        <v>12</v>
      </c>
      <c r="N1676" s="2">
        <v>3000</v>
      </c>
      <c r="O1676" s="2">
        <v>3800</v>
      </c>
      <c r="P1676" s="2">
        <v>0</v>
      </c>
      <c r="Q1676" s="2">
        <v>6800</v>
      </c>
      <c r="R1676" s="2">
        <v>270</v>
      </c>
      <c r="S1676" s="2">
        <v>5509</v>
      </c>
      <c r="T1676" s="2">
        <v>2149</v>
      </c>
      <c r="U1676" s="2">
        <v>1291</v>
      </c>
      <c r="V1676" s="2">
        <v>4651</v>
      </c>
      <c r="W1676" s="2">
        <v>1021</v>
      </c>
    </row>
    <row r="1677" spans="1:23" outlineLevel="2" x14ac:dyDescent="0.2">
      <c r="A1677" t="s">
        <v>402</v>
      </c>
      <c r="B1677" t="s">
        <v>39</v>
      </c>
      <c r="C1677" t="s">
        <v>58</v>
      </c>
      <c r="D1677" t="s">
        <v>145</v>
      </c>
      <c r="E1677" t="s">
        <v>146</v>
      </c>
      <c r="F1677" t="s">
        <v>5</v>
      </c>
      <c r="G1677" t="s">
        <v>6</v>
      </c>
      <c r="H1677" t="s">
        <v>7</v>
      </c>
      <c r="I1677" t="s">
        <v>8</v>
      </c>
      <c r="J1677" t="s">
        <v>403</v>
      </c>
      <c r="K1677" t="s">
        <v>568</v>
      </c>
      <c r="L1677" t="s">
        <v>570</v>
      </c>
      <c r="M1677" t="s">
        <v>12</v>
      </c>
      <c r="N1677" s="2">
        <v>14000</v>
      </c>
      <c r="O1677" s="2">
        <v>1176.04</v>
      </c>
      <c r="P1677" s="2">
        <v>0</v>
      </c>
      <c r="Q1677" s="2">
        <v>15176.04</v>
      </c>
      <c r="R1677" s="2">
        <v>0</v>
      </c>
      <c r="S1677" s="2">
        <v>15176.04</v>
      </c>
      <c r="T1677" s="2">
        <v>2396.8000000000002</v>
      </c>
      <c r="U1677" s="2">
        <v>0</v>
      </c>
      <c r="V1677" s="2">
        <v>12779.24</v>
      </c>
      <c r="W1677" s="2">
        <v>0</v>
      </c>
    </row>
    <row r="1678" spans="1:23" outlineLevel="2" x14ac:dyDescent="0.2">
      <c r="A1678" t="s">
        <v>402</v>
      </c>
      <c r="B1678" t="s">
        <v>31</v>
      </c>
      <c r="C1678" t="s">
        <v>79</v>
      </c>
      <c r="D1678" t="s">
        <v>117</v>
      </c>
      <c r="E1678" t="s">
        <v>118</v>
      </c>
      <c r="F1678" t="s">
        <v>5</v>
      </c>
      <c r="G1678" t="s">
        <v>6</v>
      </c>
      <c r="H1678" t="s">
        <v>7</v>
      </c>
      <c r="I1678" t="s">
        <v>8</v>
      </c>
      <c r="J1678" t="s">
        <v>403</v>
      </c>
      <c r="K1678" t="s">
        <v>568</v>
      </c>
      <c r="L1678" t="s">
        <v>571</v>
      </c>
      <c r="M1678" t="s">
        <v>12</v>
      </c>
      <c r="N1678" s="2">
        <v>2000</v>
      </c>
      <c r="O1678" s="2">
        <v>0</v>
      </c>
      <c r="P1678" s="2">
        <v>0</v>
      </c>
      <c r="Q1678" s="2">
        <v>2000</v>
      </c>
      <c r="R1678" s="2">
        <v>0</v>
      </c>
      <c r="S1678" s="2">
        <v>340.48</v>
      </c>
      <c r="T1678" s="2">
        <v>340.48</v>
      </c>
      <c r="U1678" s="2">
        <v>1659.52</v>
      </c>
      <c r="V1678" s="2">
        <v>1659.52</v>
      </c>
      <c r="W1678" s="2">
        <v>1659.52</v>
      </c>
    </row>
    <row r="1679" spans="1:23" outlineLevel="2" x14ac:dyDescent="0.2">
      <c r="A1679" t="s">
        <v>402</v>
      </c>
      <c r="B1679" t="s">
        <v>31</v>
      </c>
      <c r="C1679" t="s">
        <v>79</v>
      </c>
      <c r="D1679" t="s">
        <v>133</v>
      </c>
      <c r="E1679" t="s">
        <v>134</v>
      </c>
      <c r="F1679" t="s">
        <v>5</v>
      </c>
      <c r="G1679" t="s">
        <v>6</v>
      </c>
      <c r="H1679" t="s">
        <v>7</v>
      </c>
      <c r="I1679" t="s">
        <v>8</v>
      </c>
      <c r="J1679" t="s">
        <v>403</v>
      </c>
      <c r="K1679" t="s">
        <v>568</v>
      </c>
      <c r="L1679" t="s">
        <v>571</v>
      </c>
      <c r="M1679" t="s">
        <v>12</v>
      </c>
      <c r="N1679" s="2">
        <v>1000</v>
      </c>
      <c r="O1679" s="2">
        <v>0</v>
      </c>
      <c r="P1679" s="2">
        <v>0</v>
      </c>
      <c r="Q1679" s="2">
        <v>1000</v>
      </c>
      <c r="R1679" s="2">
        <v>944</v>
      </c>
      <c r="S1679" s="2">
        <v>56</v>
      </c>
      <c r="T1679" s="2">
        <v>0</v>
      </c>
      <c r="U1679" s="2">
        <v>944</v>
      </c>
      <c r="V1679" s="2">
        <v>1000</v>
      </c>
      <c r="W1679" s="2">
        <v>0</v>
      </c>
    </row>
    <row r="1680" spans="1:23" outlineLevel="2" x14ac:dyDescent="0.2">
      <c r="A1680" t="s">
        <v>402</v>
      </c>
      <c r="B1680" t="s">
        <v>39</v>
      </c>
      <c r="C1680" t="s">
        <v>58</v>
      </c>
      <c r="D1680" t="s">
        <v>135</v>
      </c>
      <c r="E1680" t="s">
        <v>136</v>
      </c>
      <c r="F1680" t="s">
        <v>5</v>
      </c>
      <c r="G1680" t="s">
        <v>6</v>
      </c>
      <c r="H1680" t="s">
        <v>7</v>
      </c>
      <c r="I1680" t="s">
        <v>8</v>
      </c>
      <c r="J1680" t="s">
        <v>403</v>
      </c>
      <c r="K1680" t="s">
        <v>568</v>
      </c>
      <c r="L1680" t="s">
        <v>570</v>
      </c>
      <c r="M1680" t="s">
        <v>12</v>
      </c>
      <c r="N1680" s="2">
        <v>3000</v>
      </c>
      <c r="O1680" s="2">
        <v>7237.73</v>
      </c>
      <c r="P1680" s="2">
        <v>0</v>
      </c>
      <c r="Q1680" s="2">
        <v>10237.73</v>
      </c>
      <c r="R1680" s="2">
        <v>38.08</v>
      </c>
      <c r="S1680" s="2">
        <v>9888.7000000000007</v>
      </c>
      <c r="T1680" s="2">
        <v>30.27</v>
      </c>
      <c r="U1680" s="2">
        <v>349.03</v>
      </c>
      <c r="V1680" s="2">
        <v>10207.459999999999</v>
      </c>
      <c r="W1680" s="2">
        <v>310.95</v>
      </c>
    </row>
    <row r="1681" spans="1:23" outlineLevel="2" x14ac:dyDescent="0.2">
      <c r="A1681" t="s">
        <v>402</v>
      </c>
      <c r="B1681" t="s">
        <v>1</v>
      </c>
      <c r="C1681" t="s">
        <v>2</v>
      </c>
      <c r="D1681" t="s">
        <v>410</v>
      </c>
      <c r="E1681" t="s">
        <v>411</v>
      </c>
      <c r="F1681" t="s">
        <v>5</v>
      </c>
      <c r="G1681" t="s">
        <v>6</v>
      </c>
      <c r="H1681" t="s">
        <v>7</v>
      </c>
      <c r="I1681" t="s">
        <v>8</v>
      </c>
      <c r="J1681" t="s">
        <v>403</v>
      </c>
      <c r="K1681" t="s">
        <v>568</v>
      </c>
      <c r="L1681" t="s">
        <v>574</v>
      </c>
      <c r="M1681" t="s">
        <v>15</v>
      </c>
      <c r="N1681" s="2">
        <v>266406</v>
      </c>
      <c r="O1681" s="2">
        <v>0</v>
      </c>
      <c r="P1681" s="2">
        <v>-75345.89</v>
      </c>
      <c r="Q1681" s="2">
        <v>191060.11</v>
      </c>
      <c r="R1681" s="2">
        <v>407.33</v>
      </c>
      <c r="S1681" s="2">
        <v>190652.78</v>
      </c>
      <c r="T1681" s="2">
        <v>61286.9</v>
      </c>
      <c r="U1681" s="2">
        <v>407.33</v>
      </c>
      <c r="V1681" s="2">
        <v>129773.21</v>
      </c>
      <c r="W1681" s="2">
        <v>0</v>
      </c>
    </row>
    <row r="1682" spans="1:23" outlineLevel="2" x14ac:dyDescent="0.2">
      <c r="A1682" t="s">
        <v>402</v>
      </c>
      <c r="B1682" t="s">
        <v>31</v>
      </c>
      <c r="C1682" t="s">
        <v>32</v>
      </c>
      <c r="D1682" t="s">
        <v>75</v>
      </c>
      <c r="E1682" t="s">
        <v>76</v>
      </c>
      <c r="F1682" t="s">
        <v>5</v>
      </c>
      <c r="G1682" t="s">
        <v>6</v>
      </c>
      <c r="H1682" t="s">
        <v>7</v>
      </c>
      <c r="I1682" t="s">
        <v>8</v>
      </c>
      <c r="J1682" t="s">
        <v>403</v>
      </c>
      <c r="K1682" t="s">
        <v>568</v>
      </c>
      <c r="L1682" t="s">
        <v>572</v>
      </c>
      <c r="M1682" t="s">
        <v>12</v>
      </c>
      <c r="N1682" s="2">
        <v>10000</v>
      </c>
      <c r="O1682" s="2">
        <v>2000</v>
      </c>
      <c r="P1682" s="2">
        <v>-4800</v>
      </c>
      <c r="Q1682" s="2">
        <v>7200</v>
      </c>
      <c r="R1682" s="2">
        <v>5979.2</v>
      </c>
      <c r="S1682" s="2">
        <v>1220.8</v>
      </c>
      <c r="T1682" s="2">
        <v>1220.8</v>
      </c>
      <c r="U1682" s="2">
        <v>5979.2</v>
      </c>
      <c r="V1682" s="2">
        <v>5979.2</v>
      </c>
      <c r="W1682" s="2">
        <v>0</v>
      </c>
    </row>
    <row r="1683" spans="1:23" outlineLevel="2" x14ac:dyDescent="0.2">
      <c r="A1683" t="s">
        <v>402</v>
      </c>
      <c r="B1683" t="s">
        <v>31</v>
      </c>
      <c r="C1683" t="s">
        <v>79</v>
      </c>
      <c r="D1683" t="s">
        <v>131</v>
      </c>
      <c r="E1683" t="s">
        <v>132</v>
      </c>
      <c r="F1683" t="s">
        <v>5</v>
      </c>
      <c r="G1683" t="s">
        <v>6</v>
      </c>
      <c r="H1683" t="s">
        <v>7</v>
      </c>
      <c r="I1683" t="s">
        <v>8</v>
      </c>
      <c r="J1683" t="s">
        <v>403</v>
      </c>
      <c r="K1683" t="s">
        <v>568</v>
      </c>
      <c r="L1683" t="s">
        <v>571</v>
      </c>
      <c r="M1683" t="s">
        <v>12</v>
      </c>
      <c r="N1683" s="2">
        <v>900</v>
      </c>
      <c r="O1683" s="2">
        <v>0</v>
      </c>
      <c r="P1683" s="2">
        <v>0</v>
      </c>
      <c r="Q1683" s="2">
        <v>900</v>
      </c>
      <c r="R1683" s="2">
        <v>0</v>
      </c>
      <c r="S1683" s="2">
        <v>0</v>
      </c>
      <c r="T1683" s="2">
        <v>0</v>
      </c>
      <c r="U1683" s="2">
        <v>900</v>
      </c>
      <c r="V1683" s="2">
        <v>900</v>
      </c>
      <c r="W1683" s="2">
        <v>900</v>
      </c>
    </row>
    <row r="1684" spans="1:23" outlineLevel="2" x14ac:dyDescent="0.2">
      <c r="A1684" t="s">
        <v>402</v>
      </c>
      <c r="B1684" t="s">
        <v>39</v>
      </c>
      <c r="C1684" t="s">
        <v>58</v>
      </c>
      <c r="D1684" t="s">
        <v>59</v>
      </c>
      <c r="E1684" t="s">
        <v>60</v>
      </c>
      <c r="F1684" t="s">
        <v>5</v>
      </c>
      <c r="G1684" t="s">
        <v>6</v>
      </c>
      <c r="H1684" t="s">
        <v>7</v>
      </c>
      <c r="I1684" t="s">
        <v>8</v>
      </c>
      <c r="J1684" t="s">
        <v>403</v>
      </c>
      <c r="K1684" t="s">
        <v>568</v>
      </c>
      <c r="L1684" t="s">
        <v>570</v>
      </c>
      <c r="M1684" t="s">
        <v>12</v>
      </c>
      <c r="N1684" s="2">
        <v>5000</v>
      </c>
      <c r="O1684" s="2">
        <v>10375.700000000001</v>
      </c>
      <c r="P1684" s="2">
        <v>0</v>
      </c>
      <c r="Q1684" s="2">
        <v>15375.7</v>
      </c>
      <c r="R1684" s="2">
        <v>0</v>
      </c>
      <c r="S1684" s="2">
        <v>5463.92</v>
      </c>
      <c r="T1684" s="2">
        <v>5463.92</v>
      </c>
      <c r="U1684" s="2">
        <v>9911.7800000000007</v>
      </c>
      <c r="V1684" s="2">
        <v>9911.7800000000007</v>
      </c>
      <c r="W1684" s="2">
        <v>9911.7800000000007</v>
      </c>
    </row>
    <row r="1685" spans="1:23" outlineLevel="2" x14ac:dyDescent="0.2">
      <c r="A1685" t="s">
        <v>402</v>
      </c>
      <c r="B1685" t="s">
        <v>1</v>
      </c>
      <c r="C1685" t="s">
        <v>2</v>
      </c>
      <c r="D1685" t="s">
        <v>3</v>
      </c>
      <c r="E1685" t="s">
        <v>4</v>
      </c>
      <c r="F1685" t="s">
        <v>5</v>
      </c>
      <c r="G1685" t="s">
        <v>6</v>
      </c>
      <c r="H1685" t="s">
        <v>7</v>
      </c>
      <c r="I1685" t="s">
        <v>8</v>
      </c>
      <c r="J1685" t="s">
        <v>403</v>
      </c>
      <c r="K1685" t="s">
        <v>568</v>
      </c>
      <c r="L1685" t="s">
        <v>574</v>
      </c>
      <c r="M1685" t="s">
        <v>15</v>
      </c>
      <c r="N1685" s="2">
        <v>0</v>
      </c>
      <c r="O1685" s="2">
        <v>7151.98</v>
      </c>
      <c r="P1685" s="2">
        <v>0</v>
      </c>
      <c r="Q1685" s="2">
        <v>7151.98</v>
      </c>
      <c r="R1685" s="2">
        <v>0</v>
      </c>
      <c r="S1685" s="2">
        <v>7151.98</v>
      </c>
      <c r="T1685" s="2">
        <v>2097.48</v>
      </c>
      <c r="U1685" s="2">
        <v>0</v>
      </c>
      <c r="V1685" s="2">
        <v>5054.5</v>
      </c>
      <c r="W1685" s="2">
        <v>0</v>
      </c>
    </row>
    <row r="1686" spans="1:23" outlineLevel="2" x14ac:dyDescent="0.2">
      <c r="A1686" t="s">
        <v>402</v>
      </c>
      <c r="B1686" t="s">
        <v>39</v>
      </c>
      <c r="C1686" t="s">
        <v>66</v>
      </c>
      <c r="D1686" t="s">
        <v>67</v>
      </c>
      <c r="E1686" t="s">
        <v>68</v>
      </c>
      <c r="F1686" t="s">
        <v>5</v>
      </c>
      <c r="G1686" t="s">
        <v>6</v>
      </c>
      <c r="H1686" t="s">
        <v>7</v>
      </c>
      <c r="I1686" t="s">
        <v>8</v>
      </c>
      <c r="J1686" t="s">
        <v>403</v>
      </c>
      <c r="K1686" t="s">
        <v>568</v>
      </c>
      <c r="L1686" t="s">
        <v>575</v>
      </c>
      <c r="M1686" t="s">
        <v>12</v>
      </c>
      <c r="N1686" s="2">
        <v>7000</v>
      </c>
      <c r="O1686" s="2">
        <v>-931.84</v>
      </c>
      <c r="P1686" s="2">
        <v>0</v>
      </c>
      <c r="Q1686" s="2">
        <v>6068.16</v>
      </c>
      <c r="R1686" s="2">
        <v>0</v>
      </c>
      <c r="S1686" s="2">
        <v>6068.16</v>
      </c>
      <c r="T1686" s="2">
        <v>3728.48</v>
      </c>
      <c r="U1686" s="2">
        <v>0</v>
      </c>
      <c r="V1686" s="2">
        <v>2339.6799999999998</v>
      </c>
      <c r="W1686" s="2">
        <v>0</v>
      </c>
    </row>
    <row r="1687" spans="1:23" outlineLevel="2" x14ac:dyDescent="0.2">
      <c r="A1687" t="s">
        <v>402</v>
      </c>
      <c r="B1687" t="s">
        <v>1</v>
      </c>
      <c r="C1687" t="s">
        <v>91</v>
      </c>
      <c r="D1687" t="s">
        <v>92</v>
      </c>
      <c r="E1687" t="s">
        <v>93</v>
      </c>
      <c r="F1687" t="s">
        <v>5</v>
      </c>
      <c r="G1687" t="s">
        <v>6</v>
      </c>
      <c r="H1687" t="s">
        <v>7</v>
      </c>
      <c r="I1687" t="s">
        <v>8</v>
      </c>
      <c r="J1687" t="s">
        <v>403</v>
      </c>
      <c r="K1687" t="s">
        <v>568</v>
      </c>
      <c r="L1687" t="s">
        <v>569</v>
      </c>
      <c r="M1687" t="s">
        <v>15</v>
      </c>
      <c r="N1687" s="2">
        <v>0</v>
      </c>
      <c r="O1687" s="2">
        <v>14700</v>
      </c>
      <c r="P1687" s="2">
        <v>-8338.17</v>
      </c>
      <c r="Q1687" s="2">
        <v>6361.83</v>
      </c>
      <c r="R1687" s="2">
        <v>2280.21</v>
      </c>
      <c r="S1687" s="2">
        <v>4081.62</v>
      </c>
      <c r="T1687" s="2">
        <v>3510.88</v>
      </c>
      <c r="U1687" s="2">
        <v>2280.21</v>
      </c>
      <c r="V1687" s="2">
        <v>2850.95</v>
      </c>
      <c r="W1687" s="2">
        <v>0</v>
      </c>
    </row>
    <row r="1688" spans="1:23" outlineLevel="2" x14ac:dyDescent="0.2">
      <c r="A1688" t="s">
        <v>402</v>
      </c>
      <c r="B1688" t="s">
        <v>53</v>
      </c>
      <c r="C1688" t="s">
        <v>54</v>
      </c>
      <c r="D1688" t="s">
        <v>55</v>
      </c>
      <c r="E1688" t="s">
        <v>56</v>
      </c>
      <c r="F1688" t="s">
        <v>5</v>
      </c>
      <c r="G1688" t="s">
        <v>6</v>
      </c>
      <c r="H1688" t="s">
        <v>7</v>
      </c>
      <c r="I1688" t="s">
        <v>8</v>
      </c>
      <c r="J1688" t="s">
        <v>403</v>
      </c>
      <c r="K1688" t="s">
        <v>576</v>
      </c>
      <c r="L1688" t="s">
        <v>577</v>
      </c>
      <c r="M1688" t="s">
        <v>12</v>
      </c>
      <c r="N1688" s="2">
        <v>500</v>
      </c>
      <c r="O1688" s="2">
        <v>-500</v>
      </c>
      <c r="P1688" s="2">
        <v>0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</row>
    <row r="1689" spans="1:23" outlineLevel="2" x14ac:dyDescent="0.2">
      <c r="A1689" t="s">
        <v>402</v>
      </c>
      <c r="B1689" t="s">
        <v>31</v>
      </c>
      <c r="C1689" t="s">
        <v>79</v>
      </c>
      <c r="D1689" t="s">
        <v>113</v>
      </c>
      <c r="E1689" t="s">
        <v>114</v>
      </c>
      <c r="F1689" t="s">
        <v>5</v>
      </c>
      <c r="G1689" t="s">
        <v>6</v>
      </c>
      <c r="H1689" t="s">
        <v>7</v>
      </c>
      <c r="I1689" t="s">
        <v>8</v>
      </c>
      <c r="J1689" t="s">
        <v>403</v>
      </c>
      <c r="K1689" t="s">
        <v>578</v>
      </c>
      <c r="L1689" t="s">
        <v>579</v>
      </c>
      <c r="M1689" t="s">
        <v>12</v>
      </c>
      <c r="N1689" s="2">
        <v>0</v>
      </c>
      <c r="O1689" s="2">
        <v>4250</v>
      </c>
      <c r="P1689" s="2">
        <v>0</v>
      </c>
      <c r="Q1689" s="2">
        <v>4250</v>
      </c>
      <c r="R1689" s="2">
        <v>16.399999999999999</v>
      </c>
      <c r="S1689" s="2">
        <v>4233.6000000000004</v>
      </c>
      <c r="T1689" s="2">
        <v>2540.16</v>
      </c>
      <c r="U1689" s="2">
        <v>16.399999999999999</v>
      </c>
      <c r="V1689" s="2">
        <v>1709.84</v>
      </c>
      <c r="W1689" s="2">
        <v>0</v>
      </c>
    </row>
    <row r="1690" spans="1:23" outlineLevel="2" x14ac:dyDescent="0.2">
      <c r="A1690" t="s">
        <v>402</v>
      </c>
      <c r="B1690" t="s">
        <v>39</v>
      </c>
      <c r="C1690" t="s">
        <v>66</v>
      </c>
      <c r="D1690" t="s">
        <v>121</v>
      </c>
      <c r="E1690" t="s">
        <v>122</v>
      </c>
      <c r="F1690" t="s">
        <v>5</v>
      </c>
      <c r="G1690" t="s">
        <v>6</v>
      </c>
      <c r="H1690" t="s">
        <v>7</v>
      </c>
      <c r="I1690" t="s">
        <v>8</v>
      </c>
      <c r="J1690" t="s">
        <v>403</v>
      </c>
      <c r="K1690" t="s">
        <v>578</v>
      </c>
      <c r="L1690" t="s">
        <v>580</v>
      </c>
      <c r="M1690" t="s">
        <v>12</v>
      </c>
      <c r="N1690" s="2">
        <v>2000</v>
      </c>
      <c r="O1690" s="2">
        <v>0</v>
      </c>
      <c r="P1690" s="2">
        <v>-1000</v>
      </c>
      <c r="Q1690" s="2">
        <v>1000</v>
      </c>
      <c r="R1690" s="2">
        <v>0</v>
      </c>
      <c r="S1690" s="2">
        <v>0</v>
      </c>
      <c r="T1690" s="2">
        <v>0</v>
      </c>
      <c r="U1690" s="2">
        <v>1000</v>
      </c>
      <c r="V1690" s="2">
        <v>1000</v>
      </c>
      <c r="W1690" s="2">
        <v>1000</v>
      </c>
    </row>
    <row r="1691" spans="1:23" outlineLevel="2" x14ac:dyDescent="0.2">
      <c r="A1691" t="s">
        <v>402</v>
      </c>
      <c r="B1691" t="s">
        <v>39</v>
      </c>
      <c r="C1691" t="s">
        <v>40</v>
      </c>
      <c r="D1691" t="s">
        <v>77</v>
      </c>
      <c r="E1691" t="s">
        <v>78</v>
      </c>
      <c r="F1691" t="s">
        <v>5</v>
      </c>
      <c r="G1691" t="s">
        <v>6</v>
      </c>
      <c r="H1691" t="s">
        <v>7</v>
      </c>
      <c r="I1691" t="s">
        <v>8</v>
      </c>
      <c r="J1691" t="s">
        <v>403</v>
      </c>
      <c r="K1691" t="s">
        <v>578</v>
      </c>
      <c r="L1691" t="s">
        <v>581</v>
      </c>
      <c r="M1691" t="s">
        <v>12</v>
      </c>
      <c r="N1691" s="2">
        <v>0</v>
      </c>
      <c r="O1691" s="2">
        <v>56000</v>
      </c>
      <c r="P1691" s="2">
        <v>0</v>
      </c>
      <c r="Q1691" s="2">
        <v>56000</v>
      </c>
      <c r="R1691" s="2">
        <v>0.46</v>
      </c>
      <c r="S1691" s="2">
        <v>55999.54</v>
      </c>
      <c r="T1691" s="2">
        <v>20999.82</v>
      </c>
      <c r="U1691" s="2">
        <v>0.46</v>
      </c>
      <c r="V1691" s="2">
        <v>35000.18</v>
      </c>
      <c r="W1691" s="2">
        <v>0</v>
      </c>
    </row>
    <row r="1692" spans="1:23" outlineLevel="2" x14ac:dyDescent="0.2">
      <c r="A1692" t="s">
        <v>402</v>
      </c>
      <c r="B1692" t="s">
        <v>31</v>
      </c>
      <c r="C1692" t="s">
        <v>79</v>
      </c>
      <c r="D1692" t="s">
        <v>113</v>
      </c>
      <c r="E1692" t="s">
        <v>114</v>
      </c>
      <c r="F1692" t="s">
        <v>5</v>
      </c>
      <c r="G1692" t="s">
        <v>6</v>
      </c>
      <c r="H1692" t="s">
        <v>7</v>
      </c>
      <c r="I1692" t="s">
        <v>8</v>
      </c>
      <c r="J1692" t="s">
        <v>403</v>
      </c>
      <c r="K1692" t="s">
        <v>582</v>
      </c>
      <c r="L1692" t="s">
        <v>583</v>
      </c>
      <c r="M1692" t="s">
        <v>12</v>
      </c>
      <c r="N1692" s="2">
        <v>0</v>
      </c>
      <c r="O1692" s="2">
        <v>5000</v>
      </c>
      <c r="P1692" s="2">
        <v>-2500</v>
      </c>
      <c r="Q1692" s="2">
        <v>2500</v>
      </c>
      <c r="R1692" s="2">
        <v>0</v>
      </c>
      <c r="S1692" s="2">
        <v>0</v>
      </c>
      <c r="T1692" s="2">
        <v>0</v>
      </c>
      <c r="U1692" s="2">
        <v>2500</v>
      </c>
      <c r="V1692" s="2">
        <v>2500</v>
      </c>
      <c r="W1692" s="2">
        <v>2500</v>
      </c>
    </row>
    <row r="1693" spans="1:23" outlineLevel="2" x14ac:dyDescent="0.2">
      <c r="A1693" t="s">
        <v>402</v>
      </c>
      <c r="B1693" t="s">
        <v>1</v>
      </c>
      <c r="C1693" t="s">
        <v>91</v>
      </c>
      <c r="D1693" t="s">
        <v>92</v>
      </c>
      <c r="E1693" t="s">
        <v>93</v>
      </c>
      <c r="F1693" t="s">
        <v>5</v>
      </c>
      <c r="G1693" t="s">
        <v>6</v>
      </c>
      <c r="H1693" t="s">
        <v>7</v>
      </c>
      <c r="I1693" t="s">
        <v>8</v>
      </c>
      <c r="J1693" t="s">
        <v>403</v>
      </c>
      <c r="K1693" t="s">
        <v>584</v>
      </c>
      <c r="L1693" t="s">
        <v>585</v>
      </c>
      <c r="M1693" t="s">
        <v>15</v>
      </c>
      <c r="N1693" s="2">
        <v>160000</v>
      </c>
      <c r="O1693" s="2">
        <v>81291.98</v>
      </c>
      <c r="P1693" s="2">
        <v>-533.69000000000005</v>
      </c>
      <c r="Q1693" s="2">
        <v>240758.29</v>
      </c>
      <c r="R1693" s="2">
        <v>0.02</v>
      </c>
      <c r="S1693" s="2">
        <v>240758.27</v>
      </c>
      <c r="T1693" s="2">
        <v>194648.76</v>
      </c>
      <c r="U1693" s="2">
        <v>0.02</v>
      </c>
      <c r="V1693" s="2">
        <v>46109.53</v>
      </c>
      <c r="W1693" s="2">
        <v>0</v>
      </c>
    </row>
    <row r="1694" spans="1:23" outlineLevel="2" x14ac:dyDescent="0.2">
      <c r="A1694" t="s">
        <v>402</v>
      </c>
      <c r="B1694" t="s">
        <v>39</v>
      </c>
      <c r="C1694" t="s">
        <v>66</v>
      </c>
      <c r="D1694" t="s">
        <v>67</v>
      </c>
      <c r="E1694" t="s">
        <v>68</v>
      </c>
      <c r="F1694" t="s">
        <v>5</v>
      </c>
      <c r="G1694" t="s">
        <v>6</v>
      </c>
      <c r="H1694" t="s">
        <v>7</v>
      </c>
      <c r="I1694" t="s">
        <v>8</v>
      </c>
      <c r="J1694" t="s">
        <v>403</v>
      </c>
      <c r="K1694" t="s">
        <v>584</v>
      </c>
      <c r="L1694" t="s">
        <v>586</v>
      </c>
      <c r="M1694" t="s">
        <v>12</v>
      </c>
      <c r="N1694" s="2">
        <v>11201.44</v>
      </c>
      <c r="O1694" s="2">
        <v>-6021.44</v>
      </c>
      <c r="P1694" s="2">
        <v>0</v>
      </c>
      <c r="Q1694" s="2">
        <v>5180</v>
      </c>
      <c r="R1694" s="2">
        <v>0</v>
      </c>
      <c r="S1694" s="2">
        <v>5180</v>
      </c>
      <c r="T1694" s="2">
        <v>5100</v>
      </c>
      <c r="U1694" s="2">
        <v>0</v>
      </c>
      <c r="V1694" s="2">
        <v>80</v>
      </c>
      <c r="W1694" s="2">
        <v>0</v>
      </c>
    </row>
    <row r="1695" spans="1:23" outlineLevel="2" x14ac:dyDescent="0.2">
      <c r="A1695" t="s">
        <v>402</v>
      </c>
      <c r="B1695" t="s">
        <v>39</v>
      </c>
      <c r="C1695" t="s">
        <v>58</v>
      </c>
      <c r="D1695" t="s">
        <v>139</v>
      </c>
      <c r="E1695" t="s">
        <v>140</v>
      </c>
      <c r="F1695" t="s">
        <v>5</v>
      </c>
      <c r="G1695" t="s">
        <v>6</v>
      </c>
      <c r="H1695" t="s">
        <v>7</v>
      </c>
      <c r="I1695" t="s">
        <v>8</v>
      </c>
      <c r="J1695" t="s">
        <v>403</v>
      </c>
      <c r="K1695" t="s">
        <v>584</v>
      </c>
      <c r="L1695" t="s">
        <v>587</v>
      </c>
      <c r="M1695" t="s">
        <v>12</v>
      </c>
      <c r="N1695" s="2">
        <v>18000</v>
      </c>
      <c r="O1695" s="2">
        <v>0</v>
      </c>
      <c r="P1695" s="2">
        <v>0</v>
      </c>
      <c r="Q1695" s="2">
        <v>18000</v>
      </c>
      <c r="R1695" s="2">
        <v>257.67</v>
      </c>
      <c r="S1695" s="2">
        <v>17742.330000000002</v>
      </c>
      <c r="T1695" s="2">
        <v>17212.939999999999</v>
      </c>
      <c r="U1695" s="2">
        <v>257.67</v>
      </c>
      <c r="V1695" s="2">
        <v>787.06</v>
      </c>
      <c r="W1695" s="2">
        <v>0</v>
      </c>
    </row>
    <row r="1696" spans="1:23" outlineLevel="2" x14ac:dyDescent="0.2">
      <c r="A1696" t="s">
        <v>402</v>
      </c>
      <c r="B1696" t="s">
        <v>39</v>
      </c>
      <c r="C1696" t="s">
        <v>40</v>
      </c>
      <c r="D1696" t="s">
        <v>77</v>
      </c>
      <c r="E1696" t="s">
        <v>78</v>
      </c>
      <c r="F1696" t="s">
        <v>5</v>
      </c>
      <c r="G1696" t="s">
        <v>6</v>
      </c>
      <c r="H1696" t="s">
        <v>7</v>
      </c>
      <c r="I1696" t="s">
        <v>8</v>
      </c>
      <c r="J1696" t="s">
        <v>403</v>
      </c>
      <c r="K1696" t="s">
        <v>584</v>
      </c>
      <c r="L1696" t="s">
        <v>588</v>
      </c>
      <c r="M1696" t="s">
        <v>12</v>
      </c>
      <c r="N1696" s="2">
        <v>660156.9</v>
      </c>
      <c r="O1696" s="2">
        <v>232331.02</v>
      </c>
      <c r="P1696" s="2">
        <v>-150000</v>
      </c>
      <c r="Q1696" s="2">
        <v>742487.92</v>
      </c>
      <c r="R1696" s="2">
        <v>0.08</v>
      </c>
      <c r="S1696" s="2">
        <v>688253.92</v>
      </c>
      <c r="T1696" s="2">
        <v>456530.82</v>
      </c>
      <c r="U1696" s="2">
        <v>54234</v>
      </c>
      <c r="V1696" s="2">
        <v>285957.09999999998</v>
      </c>
      <c r="W1696" s="2">
        <v>54233.919999999998</v>
      </c>
    </row>
    <row r="1697" spans="1:23" outlineLevel="2" x14ac:dyDescent="0.2">
      <c r="A1697" t="s">
        <v>402</v>
      </c>
      <c r="B1697" t="s">
        <v>39</v>
      </c>
      <c r="C1697" t="s">
        <v>58</v>
      </c>
      <c r="D1697" t="s">
        <v>137</v>
      </c>
      <c r="E1697" t="s">
        <v>138</v>
      </c>
      <c r="F1697" t="s">
        <v>5</v>
      </c>
      <c r="G1697" t="s">
        <v>6</v>
      </c>
      <c r="H1697" t="s">
        <v>7</v>
      </c>
      <c r="I1697" t="s">
        <v>8</v>
      </c>
      <c r="J1697" t="s">
        <v>403</v>
      </c>
      <c r="K1697" t="s">
        <v>584</v>
      </c>
      <c r="L1697" t="s">
        <v>587</v>
      </c>
      <c r="M1697" t="s">
        <v>12</v>
      </c>
      <c r="N1697" s="2">
        <v>47000</v>
      </c>
      <c r="O1697" s="2">
        <v>5801.26</v>
      </c>
      <c r="P1697" s="2">
        <v>0</v>
      </c>
      <c r="Q1697" s="2">
        <v>52801.26</v>
      </c>
      <c r="R1697" s="2">
        <v>1414.52</v>
      </c>
      <c r="S1697" s="2">
        <v>51386.74</v>
      </c>
      <c r="T1697" s="2">
        <v>49006.720000000001</v>
      </c>
      <c r="U1697" s="2">
        <v>1414.52</v>
      </c>
      <c r="V1697" s="2">
        <v>3794.54</v>
      </c>
      <c r="W1697" s="2">
        <v>0</v>
      </c>
    </row>
    <row r="1698" spans="1:23" outlineLevel="2" x14ac:dyDescent="0.2">
      <c r="A1698" t="s">
        <v>402</v>
      </c>
      <c r="B1698" t="s">
        <v>39</v>
      </c>
      <c r="C1698" t="s">
        <v>58</v>
      </c>
      <c r="D1698" t="s">
        <v>129</v>
      </c>
      <c r="E1698" t="s">
        <v>130</v>
      </c>
      <c r="F1698" t="s">
        <v>5</v>
      </c>
      <c r="G1698" t="s">
        <v>6</v>
      </c>
      <c r="H1698" t="s">
        <v>7</v>
      </c>
      <c r="I1698" t="s">
        <v>8</v>
      </c>
      <c r="J1698" t="s">
        <v>403</v>
      </c>
      <c r="K1698" t="s">
        <v>584</v>
      </c>
      <c r="L1698" t="s">
        <v>587</v>
      </c>
      <c r="M1698" t="s">
        <v>12</v>
      </c>
      <c r="N1698" s="2">
        <v>80000</v>
      </c>
      <c r="O1698" s="2">
        <v>0</v>
      </c>
      <c r="P1698" s="2">
        <v>-9000</v>
      </c>
      <c r="Q1698" s="2">
        <v>71000</v>
      </c>
      <c r="R1698" s="2">
        <v>0</v>
      </c>
      <c r="S1698" s="2">
        <v>71000</v>
      </c>
      <c r="T1698" s="2">
        <v>68000</v>
      </c>
      <c r="U1698" s="2">
        <v>0</v>
      </c>
      <c r="V1698" s="2">
        <v>3000</v>
      </c>
      <c r="W1698" s="2">
        <v>0</v>
      </c>
    </row>
    <row r="1699" spans="1:23" outlineLevel="2" x14ac:dyDescent="0.2">
      <c r="A1699" t="s">
        <v>402</v>
      </c>
      <c r="B1699" t="s">
        <v>1</v>
      </c>
      <c r="C1699" t="s">
        <v>91</v>
      </c>
      <c r="D1699" t="s">
        <v>92</v>
      </c>
      <c r="E1699" t="s">
        <v>93</v>
      </c>
      <c r="F1699" t="s">
        <v>5</v>
      </c>
      <c r="G1699" t="s">
        <v>6</v>
      </c>
      <c r="H1699" t="s">
        <v>7</v>
      </c>
      <c r="I1699" t="s">
        <v>8</v>
      </c>
      <c r="J1699" t="s">
        <v>403</v>
      </c>
      <c r="K1699" t="s">
        <v>584</v>
      </c>
      <c r="L1699" t="s">
        <v>585</v>
      </c>
      <c r="M1699" t="s">
        <v>12</v>
      </c>
      <c r="N1699" s="2">
        <v>0</v>
      </c>
      <c r="O1699" s="2">
        <v>0</v>
      </c>
      <c r="P1699" s="2">
        <v>533.69000000000005</v>
      </c>
      <c r="Q1699" s="2">
        <v>533.69000000000005</v>
      </c>
      <c r="R1699" s="2">
        <v>0</v>
      </c>
      <c r="S1699" s="2">
        <v>0</v>
      </c>
      <c r="T1699" s="2">
        <v>0</v>
      </c>
      <c r="U1699" s="2">
        <v>533.69000000000005</v>
      </c>
      <c r="V1699" s="2">
        <v>533.69000000000005</v>
      </c>
      <c r="W1699" s="2">
        <v>533.69000000000005</v>
      </c>
    </row>
    <row r="1700" spans="1:23" outlineLevel="2" x14ac:dyDescent="0.2">
      <c r="A1700" t="s">
        <v>402</v>
      </c>
      <c r="B1700" t="s">
        <v>1</v>
      </c>
      <c r="C1700" t="s">
        <v>2</v>
      </c>
      <c r="D1700" t="s">
        <v>589</v>
      </c>
      <c r="E1700" t="s">
        <v>590</v>
      </c>
      <c r="F1700" t="s">
        <v>5</v>
      </c>
      <c r="G1700" t="s">
        <v>6</v>
      </c>
      <c r="H1700" t="s">
        <v>7</v>
      </c>
      <c r="I1700" t="s">
        <v>8</v>
      </c>
      <c r="J1700" t="s">
        <v>403</v>
      </c>
      <c r="K1700" t="s">
        <v>584</v>
      </c>
      <c r="L1700" t="s">
        <v>591</v>
      </c>
      <c r="M1700" t="s">
        <v>15</v>
      </c>
      <c r="N1700" s="2">
        <v>157000</v>
      </c>
      <c r="O1700" s="2">
        <v>0</v>
      </c>
      <c r="P1700" s="2">
        <v>-110500</v>
      </c>
      <c r="Q1700" s="2">
        <v>46500</v>
      </c>
      <c r="R1700" s="2">
        <v>0</v>
      </c>
      <c r="S1700" s="2">
        <v>46500</v>
      </c>
      <c r="T1700" s="2">
        <v>38548.230000000003</v>
      </c>
      <c r="U1700" s="2">
        <v>0</v>
      </c>
      <c r="V1700" s="2">
        <v>7951.77</v>
      </c>
      <c r="W1700" s="2">
        <v>0</v>
      </c>
    </row>
    <row r="1701" spans="1:23" outlineLevel="2" x14ac:dyDescent="0.2">
      <c r="A1701" t="s">
        <v>402</v>
      </c>
      <c r="B1701" t="s">
        <v>1</v>
      </c>
      <c r="C1701" t="s">
        <v>2</v>
      </c>
      <c r="D1701" t="s">
        <v>3</v>
      </c>
      <c r="E1701" t="s">
        <v>4</v>
      </c>
      <c r="F1701" t="s">
        <v>5</v>
      </c>
      <c r="G1701" t="s">
        <v>6</v>
      </c>
      <c r="H1701" t="s">
        <v>7</v>
      </c>
      <c r="I1701" t="s">
        <v>8</v>
      </c>
      <c r="J1701" t="s">
        <v>403</v>
      </c>
      <c r="K1701" t="s">
        <v>584</v>
      </c>
      <c r="L1701" t="s">
        <v>591</v>
      </c>
      <c r="M1701" t="s">
        <v>15</v>
      </c>
      <c r="N1701" s="2">
        <v>250000</v>
      </c>
      <c r="O1701" s="2">
        <v>99440</v>
      </c>
      <c r="P1701" s="2">
        <v>0</v>
      </c>
      <c r="Q1701" s="2">
        <v>349440</v>
      </c>
      <c r="R1701" s="2">
        <v>0</v>
      </c>
      <c r="S1701" s="2">
        <v>349440</v>
      </c>
      <c r="T1701" s="2">
        <v>320320</v>
      </c>
      <c r="U1701" s="2">
        <v>0</v>
      </c>
      <c r="V1701" s="2">
        <v>29120</v>
      </c>
      <c r="W1701" s="2">
        <v>0</v>
      </c>
    </row>
    <row r="1702" spans="1:23" outlineLevel="2" x14ac:dyDescent="0.2">
      <c r="A1702" t="s">
        <v>402</v>
      </c>
      <c r="B1702" t="s">
        <v>1</v>
      </c>
      <c r="C1702" t="s">
        <v>2</v>
      </c>
      <c r="D1702" t="s">
        <v>474</v>
      </c>
      <c r="E1702" t="s">
        <v>475</v>
      </c>
      <c r="F1702" t="s">
        <v>5</v>
      </c>
      <c r="G1702" t="s">
        <v>6</v>
      </c>
      <c r="H1702" t="s">
        <v>7</v>
      </c>
      <c r="I1702" t="s">
        <v>8</v>
      </c>
      <c r="J1702" t="s">
        <v>403</v>
      </c>
      <c r="K1702" t="s">
        <v>584</v>
      </c>
      <c r="L1702" t="s">
        <v>591</v>
      </c>
      <c r="M1702" t="s">
        <v>15</v>
      </c>
      <c r="N1702" s="2">
        <v>320</v>
      </c>
      <c r="O1702" s="2">
        <v>0</v>
      </c>
      <c r="P1702" s="2">
        <v>-320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</row>
    <row r="1703" spans="1:23" outlineLevel="2" x14ac:dyDescent="0.2">
      <c r="A1703" t="s">
        <v>402</v>
      </c>
      <c r="B1703" t="s">
        <v>1</v>
      </c>
      <c r="C1703" t="s">
        <v>2</v>
      </c>
      <c r="D1703" t="s">
        <v>589</v>
      </c>
      <c r="E1703" t="s">
        <v>590</v>
      </c>
      <c r="F1703" t="s">
        <v>5</v>
      </c>
      <c r="G1703" t="s">
        <v>6</v>
      </c>
      <c r="H1703" t="s">
        <v>7</v>
      </c>
      <c r="I1703" t="s">
        <v>8</v>
      </c>
      <c r="J1703" t="s">
        <v>403</v>
      </c>
      <c r="K1703" t="s">
        <v>584</v>
      </c>
      <c r="L1703" t="s">
        <v>591</v>
      </c>
      <c r="M1703" t="s">
        <v>12</v>
      </c>
      <c r="N1703" s="2">
        <v>0</v>
      </c>
      <c r="O1703" s="2">
        <v>0</v>
      </c>
      <c r="P1703" s="2">
        <v>110500</v>
      </c>
      <c r="Q1703" s="2">
        <v>110500</v>
      </c>
      <c r="R1703" s="2">
        <v>0</v>
      </c>
      <c r="S1703" s="2">
        <v>0</v>
      </c>
      <c r="T1703" s="2">
        <v>0</v>
      </c>
      <c r="U1703" s="2">
        <v>110500</v>
      </c>
      <c r="V1703" s="2">
        <v>110500</v>
      </c>
      <c r="W1703" s="2">
        <v>110500</v>
      </c>
    </row>
    <row r="1704" spans="1:23" outlineLevel="2" x14ac:dyDescent="0.2">
      <c r="A1704" t="s">
        <v>402</v>
      </c>
      <c r="B1704" t="s">
        <v>1</v>
      </c>
      <c r="C1704" t="s">
        <v>2</v>
      </c>
      <c r="D1704" t="s">
        <v>13</v>
      </c>
      <c r="E1704" t="s">
        <v>14</v>
      </c>
      <c r="F1704" t="s">
        <v>5</v>
      </c>
      <c r="G1704" t="s">
        <v>6</v>
      </c>
      <c r="H1704" t="s">
        <v>7</v>
      </c>
      <c r="I1704" t="s">
        <v>8</v>
      </c>
      <c r="J1704" t="s">
        <v>403</v>
      </c>
      <c r="K1704" t="s">
        <v>592</v>
      </c>
      <c r="L1704" t="s">
        <v>593</v>
      </c>
      <c r="M1704" t="s">
        <v>12</v>
      </c>
      <c r="N1704" s="2">
        <v>0</v>
      </c>
      <c r="O1704" s="2">
        <v>0</v>
      </c>
      <c r="P1704" s="2">
        <v>381.53</v>
      </c>
      <c r="Q1704" s="2">
        <v>381.53</v>
      </c>
      <c r="R1704" s="2">
        <v>0</v>
      </c>
      <c r="S1704" s="2">
        <v>0</v>
      </c>
      <c r="T1704" s="2">
        <v>0</v>
      </c>
      <c r="U1704" s="2">
        <v>381.53</v>
      </c>
      <c r="V1704" s="2">
        <v>381.53</v>
      </c>
      <c r="W1704" s="2">
        <v>381.53</v>
      </c>
    </row>
    <row r="1705" spans="1:23" outlineLevel="2" x14ac:dyDescent="0.2">
      <c r="A1705" t="s">
        <v>402</v>
      </c>
      <c r="B1705" t="s">
        <v>1</v>
      </c>
      <c r="C1705" t="s">
        <v>2</v>
      </c>
      <c r="D1705" t="s">
        <v>13</v>
      </c>
      <c r="E1705" t="s">
        <v>14</v>
      </c>
      <c r="F1705" t="s">
        <v>5</v>
      </c>
      <c r="G1705" t="s">
        <v>6</v>
      </c>
      <c r="H1705" t="s">
        <v>7</v>
      </c>
      <c r="I1705" t="s">
        <v>8</v>
      </c>
      <c r="J1705" t="s">
        <v>403</v>
      </c>
      <c r="K1705" t="s">
        <v>592</v>
      </c>
      <c r="L1705" t="s">
        <v>593</v>
      </c>
      <c r="M1705" t="s">
        <v>15</v>
      </c>
      <c r="N1705" s="2">
        <v>20000</v>
      </c>
      <c r="O1705" s="2">
        <v>-19618.47</v>
      </c>
      <c r="P1705" s="2">
        <v>-381.53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</row>
    <row r="1706" spans="1:23" outlineLevel="2" x14ac:dyDescent="0.2">
      <c r="A1706" t="s">
        <v>402</v>
      </c>
      <c r="B1706" t="s">
        <v>1</v>
      </c>
      <c r="C1706" t="s">
        <v>2</v>
      </c>
      <c r="D1706" t="s">
        <v>410</v>
      </c>
      <c r="E1706" t="s">
        <v>411</v>
      </c>
      <c r="F1706" t="s">
        <v>5</v>
      </c>
      <c r="G1706" t="s">
        <v>6</v>
      </c>
      <c r="H1706" t="s">
        <v>7</v>
      </c>
      <c r="I1706" t="s">
        <v>8</v>
      </c>
      <c r="J1706" t="s">
        <v>403</v>
      </c>
      <c r="K1706" t="s">
        <v>594</v>
      </c>
      <c r="L1706" t="s">
        <v>595</v>
      </c>
      <c r="M1706" t="s">
        <v>15</v>
      </c>
      <c r="N1706" s="2">
        <v>76802</v>
      </c>
      <c r="O1706" s="2">
        <v>0</v>
      </c>
      <c r="P1706" s="2">
        <v>-19663.560000000001</v>
      </c>
      <c r="Q1706" s="2">
        <v>57138.44</v>
      </c>
      <c r="R1706" s="2">
        <v>0</v>
      </c>
      <c r="S1706" s="2">
        <v>57138.44</v>
      </c>
      <c r="T1706" s="2">
        <v>6844.06</v>
      </c>
      <c r="U1706" s="2">
        <v>0</v>
      </c>
      <c r="V1706" s="2">
        <v>50294.38</v>
      </c>
      <c r="W1706" s="2">
        <v>0</v>
      </c>
    </row>
    <row r="1707" spans="1:23" outlineLevel="2" x14ac:dyDescent="0.2">
      <c r="A1707" t="s">
        <v>402</v>
      </c>
      <c r="B1707" t="s">
        <v>1</v>
      </c>
      <c r="C1707" t="s">
        <v>2</v>
      </c>
      <c r="D1707" t="s">
        <v>410</v>
      </c>
      <c r="E1707" t="s">
        <v>411</v>
      </c>
      <c r="F1707" t="s">
        <v>5</v>
      </c>
      <c r="G1707" t="s">
        <v>6</v>
      </c>
      <c r="H1707" t="s">
        <v>7</v>
      </c>
      <c r="I1707" t="s">
        <v>8</v>
      </c>
      <c r="J1707" t="s">
        <v>403</v>
      </c>
      <c r="K1707" t="s">
        <v>596</v>
      </c>
      <c r="L1707" t="s">
        <v>597</v>
      </c>
      <c r="M1707" t="s">
        <v>15</v>
      </c>
      <c r="N1707" s="2">
        <v>0</v>
      </c>
      <c r="O1707" s="2">
        <v>1314.29</v>
      </c>
      <c r="P1707" s="2">
        <v>0</v>
      </c>
      <c r="Q1707" s="2">
        <v>1314.29</v>
      </c>
      <c r="R1707" s="2">
        <v>0</v>
      </c>
      <c r="S1707" s="2">
        <v>1314.29</v>
      </c>
      <c r="T1707" s="2">
        <v>1314.29</v>
      </c>
      <c r="U1707" s="2">
        <v>0</v>
      </c>
      <c r="V1707" s="2">
        <v>0</v>
      </c>
      <c r="W1707" s="2">
        <v>0</v>
      </c>
    </row>
    <row r="1708" spans="1:23" outlineLevel="2" x14ac:dyDescent="0.2">
      <c r="A1708" t="s">
        <v>402</v>
      </c>
      <c r="B1708" t="s">
        <v>39</v>
      </c>
      <c r="C1708" t="s">
        <v>58</v>
      </c>
      <c r="D1708" t="s">
        <v>137</v>
      </c>
      <c r="E1708" t="s">
        <v>138</v>
      </c>
      <c r="F1708" t="s">
        <v>5</v>
      </c>
      <c r="G1708" t="s">
        <v>6</v>
      </c>
      <c r="H1708" t="s">
        <v>7</v>
      </c>
      <c r="I1708" t="s">
        <v>8</v>
      </c>
      <c r="J1708" t="s">
        <v>403</v>
      </c>
      <c r="K1708" t="s">
        <v>596</v>
      </c>
      <c r="L1708" t="s">
        <v>598</v>
      </c>
      <c r="M1708" t="s">
        <v>12</v>
      </c>
      <c r="N1708" s="2">
        <v>113000</v>
      </c>
      <c r="O1708" s="2">
        <v>-52722.23</v>
      </c>
      <c r="P1708" s="2">
        <v>0</v>
      </c>
      <c r="Q1708" s="2">
        <v>60277.77</v>
      </c>
      <c r="R1708" s="2">
        <v>0</v>
      </c>
      <c r="S1708" s="2">
        <v>60277.77</v>
      </c>
      <c r="T1708" s="2">
        <v>43055.55</v>
      </c>
      <c r="U1708" s="2">
        <v>0</v>
      </c>
      <c r="V1708" s="2">
        <v>17222.22</v>
      </c>
      <c r="W1708" s="2">
        <v>0</v>
      </c>
    </row>
    <row r="1709" spans="1:23" outlineLevel="2" x14ac:dyDescent="0.2">
      <c r="A1709" t="s">
        <v>402</v>
      </c>
      <c r="B1709" t="s">
        <v>39</v>
      </c>
      <c r="C1709" t="s">
        <v>58</v>
      </c>
      <c r="D1709" t="s">
        <v>143</v>
      </c>
      <c r="E1709" t="s">
        <v>144</v>
      </c>
      <c r="F1709" t="s">
        <v>5</v>
      </c>
      <c r="G1709" t="s">
        <v>6</v>
      </c>
      <c r="H1709" t="s">
        <v>7</v>
      </c>
      <c r="I1709" t="s">
        <v>8</v>
      </c>
      <c r="J1709" t="s">
        <v>403</v>
      </c>
      <c r="K1709" t="s">
        <v>596</v>
      </c>
      <c r="L1709" t="s">
        <v>598</v>
      </c>
      <c r="M1709" t="s">
        <v>12</v>
      </c>
      <c r="N1709" s="2">
        <v>94000</v>
      </c>
      <c r="O1709" s="2">
        <v>-12000</v>
      </c>
      <c r="P1709" s="2">
        <v>-662.7</v>
      </c>
      <c r="Q1709" s="2">
        <v>81337.3</v>
      </c>
      <c r="R1709" s="2">
        <v>5915.42</v>
      </c>
      <c r="S1709" s="2">
        <v>75421.88</v>
      </c>
      <c r="T1709" s="2">
        <v>59154.400000000001</v>
      </c>
      <c r="U1709" s="2">
        <v>5915.42</v>
      </c>
      <c r="V1709" s="2">
        <v>22182.9</v>
      </c>
      <c r="W1709" s="2">
        <v>0</v>
      </c>
    </row>
    <row r="1710" spans="1:23" outlineLevel="2" x14ac:dyDescent="0.2">
      <c r="A1710" t="s">
        <v>402</v>
      </c>
      <c r="B1710" t="s">
        <v>39</v>
      </c>
      <c r="C1710" t="s">
        <v>58</v>
      </c>
      <c r="D1710" t="s">
        <v>59</v>
      </c>
      <c r="E1710" t="s">
        <v>60</v>
      </c>
      <c r="F1710" t="s">
        <v>5</v>
      </c>
      <c r="G1710" t="s">
        <v>6</v>
      </c>
      <c r="H1710" t="s">
        <v>7</v>
      </c>
      <c r="I1710" t="s">
        <v>8</v>
      </c>
      <c r="J1710" t="s">
        <v>403</v>
      </c>
      <c r="K1710" t="s">
        <v>596</v>
      </c>
      <c r="L1710" t="s">
        <v>598</v>
      </c>
      <c r="M1710" t="s">
        <v>12</v>
      </c>
      <c r="N1710" s="2">
        <v>66000</v>
      </c>
      <c r="O1710" s="2">
        <v>-7600</v>
      </c>
      <c r="P1710" s="2">
        <v>-58400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</row>
    <row r="1711" spans="1:23" outlineLevel="2" x14ac:dyDescent="0.2">
      <c r="A1711" t="s">
        <v>402</v>
      </c>
      <c r="B1711" t="s">
        <v>39</v>
      </c>
      <c r="C1711" t="s">
        <v>58</v>
      </c>
      <c r="D1711" t="s">
        <v>129</v>
      </c>
      <c r="E1711" t="s">
        <v>130</v>
      </c>
      <c r="F1711" t="s">
        <v>5</v>
      </c>
      <c r="G1711" t="s">
        <v>6</v>
      </c>
      <c r="H1711" t="s">
        <v>7</v>
      </c>
      <c r="I1711" t="s">
        <v>8</v>
      </c>
      <c r="J1711" t="s">
        <v>403</v>
      </c>
      <c r="K1711" t="s">
        <v>596</v>
      </c>
      <c r="L1711" t="s">
        <v>598</v>
      </c>
      <c r="M1711" t="s">
        <v>12</v>
      </c>
      <c r="N1711" s="2">
        <v>6800</v>
      </c>
      <c r="O1711" s="2">
        <v>-3800</v>
      </c>
      <c r="P1711" s="2">
        <v>-3000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</row>
    <row r="1712" spans="1:23" outlineLevel="2" x14ac:dyDescent="0.2">
      <c r="A1712" t="s">
        <v>402</v>
      </c>
      <c r="B1712" t="s">
        <v>39</v>
      </c>
      <c r="C1712" t="s">
        <v>58</v>
      </c>
      <c r="D1712" t="s">
        <v>149</v>
      </c>
      <c r="E1712" t="s">
        <v>150</v>
      </c>
      <c r="F1712" t="s">
        <v>5</v>
      </c>
      <c r="G1712" t="s">
        <v>6</v>
      </c>
      <c r="H1712" t="s">
        <v>7</v>
      </c>
      <c r="I1712" t="s">
        <v>8</v>
      </c>
      <c r="J1712" t="s">
        <v>403</v>
      </c>
      <c r="K1712" t="s">
        <v>596</v>
      </c>
      <c r="L1712" t="s">
        <v>598</v>
      </c>
      <c r="M1712" t="s">
        <v>12</v>
      </c>
      <c r="N1712" s="2">
        <v>76000</v>
      </c>
      <c r="O1712" s="2">
        <v>0</v>
      </c>
      <c r="P1712" s="2">
        <v>-66583.66</v>
      </c>
      <c r="Q1712" s="2">
        <v>9416.34</v>
      </c>
      <c r="R1712" s="2">
        <v>0</v>
      </c>
      <c r="S1712" s="2">
        <v>9416.34</v>
      </c>
      <c r="T1712" s="2">
        <v>9416.34</v>
      </c>
      <c r="U1712" s="2">
        <v>0</v>
      </c>
      <c r="V1712" s="2">
        <v>0</v>
      </c>
      <c r="W1712" s="2">
        <v>0</v>
      </c>
    </row>
    <row r="1713" spans="1:23" outlineLevel="2" x14ac:dyDescent="0.2">
      <c r="A1713" t="s">
        <v>402</v>
      </c>
      <c r="B1713" t="s">
        <v>39</v>
      </c>
      <c r="C1713" t="s">
        <v>95</v>
      </c>
      <c r="D1713" t="s">
        <v>96</v>
      </c>
      <c r="E1713" t="s">
        <v>97</v>
      </c>
      <c r="F1713" t="s">
        <v>5</v>
      </c>
      <c r="G1713" t="s">
        <v>6</v>
      </c>
      <c r="H1713" t="s">
        <v>7</v>
      </c>
      <c r="I1713" t="s">
        <v>8</v>
      </c>
      <c r="J1713" t="s">
        <v>403</v>
      </c>
      <c r="K1713" t="s">
        <v>596</v>
      </c>
      <c r="L1713" t="s">
        <v>599</v>
      </c>
      <c r="M1713" t="s">
        <v>12</v>
      </c>
      <c r="N1713" s="2">
        <v>0</v>
      </c>
      <c r="O1713" s="2">
        <v>1595.05</v>
      </c>
      <c r="P1713" s="2">
        <v>0</v>
      </c>
      <c r="Q1713" s="2">
        <v>1595.05</v>
      </c>
      <c r="R1713" s="2">
        <v>0</v>
      </c>
      <c r="S1713" s="2">
        <v>1595.05</v>
      </c>
      <c r="T1713" s="2">
        <v>1595.05</v>
      </c>
      <c r="U1713" s="2">
        <v>0</v>
      </c>
      <c r="V1713" s="2">
        <v>0</v>
      </c>
      <c r="W1713" s="2">
        <v>0</v>
      </c>
    </row>
    <row r="1714" spans="1:23" outlineLevel="2" x14ac:dyDescent="0.2">
      <c r="A1714" t="s">
        <v>402</v>
      </c>
      <c r="B1714" t="s">
        <v>31</v>
      </c>
      <c r="C1714" t="s">
        <v>32</v>
      </c>
      <c r="D1714" t="s">
        <v>75</v>
      </c>
      <c r="E1714" t="s">
        <v>76</v>
      </c>
      <c r="F1714" t="s">
        <v>5</v>
      </c>
      <c r="G1714" t="s">
        <v>6</v>
      </c>
      <c r="H1714" t="s">
        <v>7</v>
      </c>
      <c r="I1714" t="s">
        <v>8</v>
      </c>
      <c r="J1714" t="s">
        <v>403</v>
      </c>
      <c r="K1714" t="s">
        <v>596</v>
      </c>
      <c r="L1714" t="s">
        <v>600</v>
      </c>
      <c r="M1714" t="s">
        <v>12</v>
      </c>
      <c r="N1714" s="2">
        <v>100</v>
      </c>
      <c r="O1714" s="2">
        <v>0</v>
      </c>
      <c r="P1714" s="2">
        <v>0</v>
      </c>
      <c r="Q1714" s="2">
        <v>100</v>
      </c>
      <c r="R1714" s="2">
        <v>0</v>
      </c>
      <c r="S1714" s="2">
        <v>0</v>
      </c>
      <c r="T1714" s="2">
        <v>0</v>
      </c>
      <c r="U1714" s="2">
        <v>100</v>
      </c>
      <c r="V1714" s="2">
        <v>100</v>
      </c>
      <c r="W1714" s="2">
        <v>100</v>
      </c>
    </row>
    <row r="1715" spans="1:23" outlineLevel="2" x14ac:dyDescent="0.2">
      <c r="A1715" t="s">
        <v>402</v>
      </c>
      <c r="B1715" t="s">
        <v>1</v>
      </c>
      <c r="C1715" t="s">
        <v>91</v>
      </c>
      <c r="D1715" t="s">
        <v>92</v>
      </c>
      <c r="E1715" t="s">
        <v>93</v>
      </c>
      <c r="F1715" t="s">
        <v>5</v>
      </c>
      <c r="G1715" t="s">
        <v>6</v>
      </c>
      <c r="H1715" t="s">
        <v>7</v>
      </c>
      <c r="I1715" t="s">
        <v>8</v>
      </c>
      <c r="J1715" t="s">
        <v>403</v>
      </c>
      <c r="K1715" t="s">
        <v>596</v>
      </c>
      <c r="L1715" t="s">
        <v>601</v>
      </c>
      <c r="M1715" t="s">
        <v>15</v>
      </c>
      <c r="N1715" s="2">
        <v>400000</v>
      </c>
      <c r="O1715" s="2">
        <v>-253887.47</v>
      </c>
      <c r="P1715" s="2">
        <v>0</v>
      </c>
      <c r="Q1715" s="2">
        <v>146112.53</v>
      </c>
      <c r="R1715" s="2">
        <v>0</v>
      </c>
      <c r="S1715" s="2">
        <v>146112.53</v>
      </c>
      <c r="T1715" s="2">
        <v>146112.51</v>
      </c>
      <c r="U1715" s="2">
        <v>0</v>
      </c>
      <c r="V1715" s="2">
        <v>0.02</v>
      </c>
      <c r="W1715" s="2">
        <v>0</v>
      </c>
    </row>
    <row r="1716" spans="1:23" outlineLevel="2" x14ac:dyDescent="0.2">
      <c r="A1716" t="s">
        <v>402</v>
      </c>
      <c r="B1716" t="s">
        <v>39</v>
      </c>
      <c r="C1716" t="s">
        <v>58</v>
      </c>
      <c r="D1716" t="s">
        <v>145</v>
      </c>
      <c r="E1716" t="s">
        <v>146</v>
      </c>
      <c r="F1716" t="s">
        <v>5</v>
      </c>
      <c r="G1716" t="s">
        <v>6</v>
      </c>
      <c r="H1716" t="s">
        <v>7</v>
      </c>
      <c r="I1716" t="s">
        <v>8</v>
      </c>
      <c r="J1716" t="s">
        <v>403</v>
      </c>
      <c r="K1716" t="s">
        <v>596</v>
      </c>
      <c r="L1716" t="s">
        <v>598</v>
      </c>
      <c r="M1716" t="s">
        <v>12</v>
      </c>
      <c r="N1716" s="2">
        <v>87500</v>
      </c>
      <c r="O1716" s="2">
        <v>-38874.11</v>
      </c>
      <c r="P1716" s="2">
        <v>-46069.19</v>
      </c>
      <c r="Q1716" s="2">
        <v>2556.6999999999998</v>
      </c>
      <c r="R1716" s="2">
        <v>0</v>
      </c>
      <c r="S1716" s="2">
        <v>2556.6999999999998</v>
      </c>
      <c r="T1716" s="2">
        <v>2556.6999999999998</v>
      </c>
      <c r="U1716" s="2">
        <v>0</v>
      </c>
      <c r="V1716" s="2">
        <v>0</v>
      </c>
      <c r="W1716" s="2">
        <v>0</v>
      </c>
    </row>
    <row r="1717" spans="1:23" outlineLevel="2" x14ac:dyDescent="0.2">
      <c r="A1717" t="s">
        <v>402</v>
      </c>
      <c r="B1717" t="s">
        <v>1</v>
      </c>
      <c r="C1717" t="s">
        <v>2</v>
      </c>
      <c r="D1717" t="s">
        <v>3</v>
      </c>
      <c r="E1717" t="s">
        <v>4</v>
      </c>
      <c r="F1717" t="s">
        <v>5</v>
      </c>
      <c r="G1717" t="s">
        <v>6</v>
      </c>
      <c r="H1717" t="s">
        <v>7</v>
      </c>
      <c r="I1717" t="s">
        <v>8</v>
      </c>
      <c r="J1717" t="s">
        <v>403</v>
      </c>
      <c r="K1717" t="s">
        <v>602</v>
      </c>
      <c r="L1717" t="s">
        <v>603</v>
      </c>
      <c r="M1717" t="s">
        <v>12</v>
      </c>
      <c r="N1717" s="2">
        <v>0</v>
      </c>
      <c r="O1717" s="2">
        <v>0</v>
      </c>
      <c r="P1717" s="2">
        <v>33.26</v>
      </c>
      <c r="Q1717" s="2">
        <v>33.26</v>
      </c>
      <c r="R1717" s="2">
        <v>0</v>
      </c>
      <c r="S1717" s="2">
        <v>0</v>
      </c>
      <c r="T1717" s="2">
        <v>0</v>
      </c>
      <c r="U1717" s="2">
        <v>33.26</v>
      </c>
      <c r="V1717" s="2">
        <v>33.26</v>
      </c>
      <c r="W1717" s="2">
        <v>33.26</v>
      </c>
    </row>
    <row r="1718" spans="1:23" outlineLevel="2" x14ac:dyDescent="0.2">
      <c r="A1718" t="s">
        <v>402</v>
      </c>
      <c r="B1718" t="s">
        <v>1</v>
      </c>
      <c r="C1718" t="s">
        <v>2</v>
      </c>
      <c r="D1718" t="s">
        <v>3</v>
      </c>
      <c r="E1718" t="s">
        <v>4</v>
      </c>
      <c r="F1718" t="s">
        <v>5</v>
      </c>
      <c r="G1718" t="s">
        <v>6</v>
      </c>
      <c r="H1718" t="s">
        <v>7</v>
      </c>
      <c r="I1718" t="s">
        <v>8</v>
      </c>
      <c r="J1718" t="s">
        <v>403</v>
      </c>
      <c r="K1718" t="s">
        <v>602</v>
      </c>
      <c r="L1718" t="s">
        <v>603</v>
      </c>
      <c r="M1718" t="s">
        <v>15</v>
      </c>
      <c r="N1718" s="2">
        <v>0</v>
      </c>
      <c r="O1718" s="2">
        <v>4513.26</v>
      </c>
      <c r="P1718" s="2">
        <v>-33.26</v>
      </c>
      <c r="Q1718" s="2">
        <v>4480</v>
      </c>
      <c r="R1718" s="2">
        <v>0</v>
      </c>
      <c r="S1718" s="2">
        <v>4480</v>
      </c>
      <c r="T1718" s="2">
        <v>0</v>
      </c>
      <c r="U1718" s="2">
        <v>0</v>
      </c>
      <c r="V1718" s="2">
        <v>4480</v>
      </c>
      <c r="W1718" s="2">
        <v>0</v>
      </c>
    </row>
    <row r="1719" spans="1:23" outlineLevel="2" x14ac:dyDescent="0.2">
      <c r="A1719" t="s">
        <v>402</v>
      </c>
      <c r="B1719" t="s">
        <v>1</v>
      </c>
      <c r="C1719" t="s">
        <v>2</v>
      </c>
      <c r="D1719" t="s">
        <v>474</v>
      </c>
      <c r="E1719" t="s">
        <v>475</v>
      </c>
      <c r="F1719" t="s">
        <v>5</v>
      </c>
      <c r="G1719" t="s">
        <v>6</v>
      </c>
      <c r="H1719" t="s">
        <v>7</v>
      </c>
      <c r="I1719" t="s">
        <v>8</v>
      </c>
      <c r="J1719" t="s">
        <v>403</v>
      </c>
      <c r="K1719" t="s">
        <v>604</v>
      </c>
      <c r="L1719" t="s">
        <v>605</v>
      </c>
      <c r="M1719" t="s">
        <v>12</v>
      </c>
      <c r="N1719" s="2">
        <v>0</v>
      </c>
      <c r="O1719" s="2">
        <v>0</v>
      </c>
      <c r="P1719" s="2">
        <v>89104</v>
      </c>
      <c r="Q1719" s="2">
        <v>89104</v>
      </c>
      <c r="R1719" s="2">
        <v>0</v>
      </c>
      <c r="S1719" s="2">
        <v>0</v>
      </c>
      <c r="T1719" s="2">
        <v>0</v>
      </c>
      <c r="U1719" s="2">
        <v>89104</v>
      </c>
      <c r="V1719" s="2">
        <v>89104</v>
      </c>
      <c r="W1719" s="2">
        <v>89104</v>
      </c>
    </row>
    <row r="1720" spans="1:23" outlineLevel="2" x14ac:dyDescent="0.2">
      <c r="A1720" t="s">
        <v>402</v>
      </c>
      <c r="B1720" t="s">
        <v>1</v>
      </c>
      <c r="C1720" t="s">
        <v>2</v>
      </c>
      <c r="D1720" t="s">
        <v>3</v>
      </c>
      <c r="E1720" t="s">
        <v>4</v>
      </c>
      <c r="F1720" t="s">
        <v>5</v>
      </c>
      <c r="G1720" t="s">
        <v>6</v>
      </c>
      <c r="H1720" t="s">
        <v>7</v>
      </c>
      <c r="I1720" t="s">
        <v>8</v>
      </c>
      <c r="J1720" t="s">
        <v>403</v>
      </c>
      <c r="K1720" t="s">
        <v>604</v>
      </c>
      <c r="L1720" t="s">
        <v>605</v>
      </c>
      <c r="M1720" t="s">
        <v>15</v>
      </c>
      <c r="N1720" s="2">
        <v>0</v>
      </c>
      <c r="O1720" s="2">
        <v>3920</v>
      </c>
      <c r="P1720" s="2">
        <v>0</v>
      </c>
      <c r="Q1720" s="2">
        <v>3920</v>
      </c>
      <c r="R1720" s="2">
        <v>0</v>
      </c>
      <c r="S1720" s="2">
        <v>3920</v>
      </c>
      <c r="T1720" s="2">
        <v>3920</v>
      </c>
      <c r="U1720" s="2">
        <v>0</v>
      </c>
      <c r="V1720" s="2">
        <v>0</v>
      </c>
      <c r="W1720" s="2">
        <v>0</v>
      </c>
    </row>
    <row r="1721" spans="1:23" outlineLevel="2" x14ac:dyDescent="0.2">
      <c r="A1721" t="s">
        <v>402</v>
      </c>
      <c r="B1721" t="s">
        <v>39</v>
      </c>
      <c r="C1721" t="s">
        <v>95</v>
      </c>
      <c r="D1721" t="s">
        <v>96</v>
      </c>
      <c r="E1721" t="s">
        <v>97</v>
      </c>
      <c r="F1721" t="s">
        <v>5</v>
      </c>
      <c r="G1721" t="s">
        <v>6</v>
      </c>
      <c r="H1721" t="s">
        <v>7</v>
      </c>
      <c r="I1721" t="s">
        <v>8</v>
      </c>
      <c r="J1721" t="s">
        <v>403</v>
      </c>
      <c r="K1721" t="s">
        <v>604</v>
      </c>
      <c r="L1721" t="s">
        <v>606</v>
      </c>
      <c r="M1721" t="s">
        <v>12</v>
      </c>
      <c r="N1721" s="2">
        <v>0</v>
      </c>
      <c r="O1721" s="2">
        <v>1344</v>
      </c>
      <c r="P1721" s="2">
        <v>0</v>
      </c>
      <c r="Q1721" s="2">
        <v>1344</v>
      </c>
      <c r="R1721" s="2">
        <v>0</v>
      </c>
      <c r="S1721" s="2">
        <v>0</v>
      </c>
      <c r="T1721" s="2">
        <v>0</v>
      </c>
      <c r="U1721" s="2">
        <v>1344</v>
      </c>
      <c r="V1721" s="2">
        <v>1344</v>
      </c>
      <c r="W1721" s="2">
        <v>1344</v>
      </c>
    </row>
    <row r="1722" spans="1:23" outlineLevel="2" x14ac:dyDescent="0.2">
      <c r="A1722" t="s">
        <v>402</v>
      </c>
      <c r="B1722" t="s">
        <v>1</v>
      </c>
      <c r="C1722" t="s">
        <v>2</v>
      </c>
      <c r="D1722" t="s">
        <v>474</v>
      </c>
      <c r="E1722" t="s">
        <v>475</v>
      </c>
      <c r="F1722" t="s">
        <v>5</v>
      </c>
      <c r="G1722" t="s">
        <v>6</v>
      </c>
      <c r="H1722" t="s">
        <v>7</v>
      </c>
      <c r="I1722" t="s">
        <v>8</v>
      </c>
      <c r="J1722" t="s">
        <v>403</v>
      </c>
      <c r="K1722" t="s">
        <v>604</v>
      </c>
      <c r="L1722" t="s">
        <v>605</v>
      </c>
      <c r="M1722" t="s">
        <v>15</v>
      </c>
      <c r="N1722" s="2">
        <v>650000</v>
      </c>
      <c r="O1722" s="2">
        <v>-896</v>
      </c>
      <c r="P1722" s="2">
        <v>-649104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</row>
    <row r="1723" spans="1:23" outlineLevel="2" x14ac:dyDescent="0.2">
      <c r="A1723" t="s">
        <v>402</v>
      </c>
      <c r="B1723" t="s">
        <v>1</v>
      </c>
      <c r="C1723" t="s">
        <v>2</v>
      </c>
      <c r="D1723" t="s">
        <v>25</v>
      </c>
      <c r="E1723" t="s">
        <v>26</v>
      </c>
      <c r="F1723" t="s">
        <v>5</v>
      </c>
      <c r="G1723" t="s">
        <v>6</v>
      </c>
      <c r="H1723" t="s">
        <v>7</v>
      </c>
      <c r="I1723" t="s">
        <v>8</v>
      </c>
      <c r="J1723" t="s">
        <v>403</v>
      </c>
      <c r="K1723" t="s">
        <v>607</v>
      </c>
      <c r="L1723" t="s">
        <v>608</v>
      </c>
      <c r="M1723" t="s">
        <v>15</v>
      </c>
      <c r="N1723" s="2">
        <v>12000</v>
      </c>
      <c r="O1723" s="2">
        <v>0</v>
      </c>
      <c r="P1723" s="2">
        <v>-12000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</row>
    <row r="1724" spans="1:23" outlineLevel="2" x14ac:dyDescent="0.2">
      <c r="A1724" t="s">
        <v>402</v>
      </c>
      <c r="B1724" t="s">
        <v>39</v>
      </c>
      <c r="C1724" t="s">
        <v>95</v>
      </c>
      <c r="D1724" t="s">
        <v>96</v>
      </c>
      <c r="E1724" t="s">
        <v>97</v>
      </c>
      <c r="F1724" t="s">
        <v>5</v>
      </c>
      <c r="G1724" t="s">
        <v>6</v>
      </c>
      <c r="H1724" t="s">
        <v>7</v>
      </c>
      <c r="I1724" t="s">
        <v>8</v>
      </c>
      <c r="J1724" t="s">
        <v>403</v>
      </c>
      <c r="K1724" t="s">
        <v>609</v>
      </c>
      <c r="L1724" t="s">
        <v>610</v>
      </c>
      <c r="M1724" t="s">
        <v>12</v>
      </c>
      <c r="N1724" s="2">
        <v>0</v>
      </c>
      <c r="O1724" s="2">
        <v>3396</v>
      </c>
      <c r="P1724" s="2">
        <v>0</v>
      </c>
      <c r="Q1724" s="2">
        <v>3396</v>
      </c>
      <c r="R1724" s="2">
        <v>0</v>
      </c>
      <c r="S1724" s="2">
        <v>3000</v>
      </c>
      <c r="T1724" s="2">
        <v>0</v>
      </c>
      <c r="U1724" s="2">
        <v>396</v>
      </c>
      <c r="V1724" s="2">
        <v>3396</v>
      </c>
      <c r="W1724" s="2">
        <v>396</v>
      </c>
    </row>
    <row r="1725" spans="1:23" outlineLevel="2" x14ac:dyDescent="0.2">
      <c r="A1725" t="s">
        <v>402</v>
      </c>
      <c r="B1725" t="s">
        <v>1</v>
      </c>
      <c r="C1725" t="s">
        <v>2</v>
      </c>
      <c r="D1725" t="s">
        <v>25</v>
      </c>
      <c r="E1725" t="s">
        <v>26</v>
      </c>
      <c r="F1725" t="s">
        <v>5</v>
      </c>
      <c r="G1725" t="s">
        <v>6</v>
      </c>
      <c r="H1725" t="s">
        <v>7</v>
      </c>
      <c r="I1725" t="s">
        <v>8</v>
      </c>
      <c r="J1725" t="s">
        <v>403</v>
      </c>
      <c r="K1725" t="s">
        <v>611</v>
      </c>
      <c r="L1725" t="s">
        <v>612</v>
      </c>
      <c r="M1725" t="s">
        <v>15</v>
      </c>
      <c r="N1725" s="2">
        <v>15000</v>
      </c>
      <c r="O1725" s="2">
        <v>0</v>
      </c>
      <c r="P1725" s="2">
        <v>-15000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</row>
    <row r="1726" spans="1:23" outlineLevel="2" x14ac:dyDescent="0.2">
      <c r="A1726" t="s">
        <v>402</v>
      </c>
      <c r="B1726" t="s">
        <v>39</v>
      </c>
      <c r="C1726" t="s">
        <v>58</v>
      </c>
      <c r="D1726" t="s">
        <v>135</v>
      </c>
      <c r="E1726" t="s">
        <v>136</v>
      </c>
      <c r="F1726" t="s">
        <v>5</v>
      </c>
      <c r="G1726" t="s">
        <v>6</v>
      </c>
      <c r="H1726" t="s">
        <v>7</v>
      </c>
      <c r="I1726" t="s">
        <v>8</v>
      </c>
      <c r="J1726" t="s">
        <v>403</v>
      </c>
      <c r="K1726" t="s">
        <v>613</v>
      </c>
      <c r="L1726" t="s">
        <v>614</v>
      </c>
      <c r="M1726" t="s">
        <v>12</v>
      </c>
      <c r="N1726" s="2">
        <v>0</v>
      </c>
      <c r="O1726" s="2">
        <v>16600</v>
      </c>
      <c r="P1726" s="2">
        <v>0</v>
      </c>
      <c r="Q1726" s="2">
        <v>16600</v>
      </c>
      <c r="R1726" s="2">
        <v>16184</v>
      </c>
      <c r="S1726" s="2">
        <v>78.400000000000006</v>
      </c>
      <c r="T1726" s="2">
        <v>78.400000000000006</v>
      </c>
      <c r="U1726" s="2">
        <v>16521.599999999999</v>
      </c>
      <c r="V1726" s="2">
        <v>16521.599999999999</v>
      </c>
      <c r="W1726" s="2">
        <v>337.6</v>
      </c>
    </row>
    <row r="1727" spans="1:23" outlineLevel="2" x14ac:dyDescent="0.2">
      <c r="A1727" t="s">
        <v>402</v>
      </c>
      <c r="B1727" t="s">
        <v>31</v>
      </c>
      <c r="C1727" t="s">
        <v>79</v>
      </c>
      <c r="D1727" t="s">
        <v>80</v>
      </c>
      <c r="E1727" t="s">
        <v>81</v>
      </c>
      <c r="F1727" t="s">
        <v>5</v>
      </c>
      <c r="G1727" t="s">
        <v>6</v>
      </c>
      <c r="H1727" t="s">
        <v>7</v>
      </c>
      <c r="I1727" t="s">
        <v>8</v>
      </c>
      <c r="J1727" t="s">
        <v>403</v>
      </c>
      <c r="K1727" t="s">
        <v>613</v>
      </c>
      <c r="L1727" t="s">
        <v>615</v>
      </c>
      <c r="M1727" t="s">
        <v>12</v>
      </c>
      <c r="N1727" s="2">
        <v>0</v>
      </c>
      <c r="O1727" s="2">
        <v>2300</v>
      </c>
      <c r="P1727" s="2">
        <v>0</v>
      </c>
      <c r="Q1727" s="2">
        <v>2300</v>
      </c>
      <c r="R1727" s="2">
        <v>0</v>
      </c>
      <c r="S1727" s="2">
        <v>2240</v>
      </c>
      <c r="T1727" s="2">
        <v>0</v>
      </c>
      <c r="U1727" s="2">
        <v>60</v>
      </c>
      <c r="V1727" s="2">
        <v>2300</v>
      </c>
      <c r="W1727" s="2">
        <v>60</v>
      </c>
    </row>
    <row r="1728" spans="1:23" outlineLevel="2" x14ac:dyDescent="0.2">
      <c r="A1728" t="s">
        <v>402</v>
      </c>
      <c r="B1728" t="s">
        <v>1</v>
      </c>
      <c r="C1728" t="s">
        <v>2</v>
      </c>
      <c r="D1728" t="s">
        <v>474</v>
      </c>
      <c r="E1728" t="s">
        <v>475</v>
      </c>
      <c r="F1728" t="s">
        <v>5</v>
      </c>
      <c r="G1728" t="s">
        <v>6</v>
      </c>
      <c r="H1728" t="s">
        <v>7</v>
      </c>
      <c r="I1728" t="s">
        <v>8</v>
      </c>
      <c r="J1728" t="s">
        <v>403</v>
      </c>
      <c r="K1728" t="s">
        <v>616</v>
      </c>
      <c r="L1728" t="s">
        <v>617</v>
      </c>
      <c r="M1728" t="s">
        <v>15</v>
      </c>
      <c r="N1728" s="2">
        <v>0</v>
      </c>
      <c r="O1728" s="2">
        <v>1321.6</v>
      </c>
      <c r="P1728" s="2">
        <v>-1321.6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</row>
    <row r="1729" spans="1:23" outlineLevel="2" x14ac:dyDescent="0.2">
      <c r="A1729" t="s">
        <v>402</v>
      </c>
      <c r="B1729" t="s">
        <v>1</v>
      </c>
      <c r="C1729" t="s">
        <v>91</v>
      </c>
      <c r="D1729" t="s">
        <v>92</v>
      </c>
      <c r="E1729" t="s">
        <v>93</v>
      </c>
      <c r="F1729" t="s">
        <v>5</v>
      </c>
      <c r="G1729" t="s">
        <v>6</v>
      </c>
      <c r="H1729" t="s">
        <v>7</v>
      </c>
      <c r="I1729" t="s">
        <v>8</v>
      </c>
      <c r="J1729" t="s">
        <v>403</v>
      </c>
      <c r="K1729" t="s">
        <v>618</v>
      </c>
      <c r="L1729" t="s">
        <v>619</v>
      </c>
      <c r="M1729" t="s">
        <v>12</v>
      </c>
      <c r="N1729" s="2">
        <v>0</v>
      </c>
      <c r="O1729" s="2">
        <v>0</v>
      </c>
      <c r="P1729" s="2">
        <v>2240</v>
      </c>
      <c r="Q1729" s="2">
        <v>2240</v>
      </c>
      <c r="R1729" s="2">
        <v>0</v>
      </c>
      <c r="S1729" s="2">
        <v>0</v>
      </c>
      <c r="T1729" s="2">
        <v>0</v>
      </c>
      <c r="U1729" s="2">
        <v>2240</v>
      </c>
      <c r="V1729" s="2">
        <v>2240</v>
      </c>
      <c r="W1729" s="2">
        <v>2240</v>
      </c>
    </row>
    <row r="1730" spans="1:23" outlineLevel="2" x14ac:dyDescent="0.2">
      <c r="A1730" t="s">
        <v>402</v>
      </c>
      <c r="B1730" t="s">
        <v>1</v>
      </c>
      <c r="C1730" t="s">
        <v>2</v>
      </c>
      <c r="D1730" t="s">
        <v>3</v>
      </c>
      <c r="E1730" t="s">
        <v>4</v>
      </c>
      <c r="F1730" t="s">
        <v>5</v>
      </c>
      <c r="G1730" t="s">
        <v>6</v>
      </c>
      <c r="H1730" t="s">
        <v>7</v>
      </c>
      <c r="I1730" t="s">
        <v>8</v>
      </c>
      <c r="J1730" t="s">
        <v>403</v>
      </c>
      <c r="K1730" t="s">
        <v>616</v>
      </c>
      <c r="L1730" t="s">
        <v>617</v>
      </c>
      <c r="M1730" t="s">
        <v>12</v>
      </c>
      <c r="N1730" s="2">
        <v>0</v>
      </c>
      <c r="O1730" s="2">
        <v>0</v>
      </c>
      <c r="P1730" s="2">
        <v>64.989999999999995</v>
      </c>
      <c r="Q1730" s="2">
        <v>64.989999999999995</v>
      </c>
      <c r="R1730" s="2">
        <v>0</v>
      </c>
      <c r="S1730" s="2">
        <v>0</v>
      </c>
      <c r="T1730" s="2">
        <v>0</v>
      </c>
      <c r="U1730" s="2">
        <v>64.989999999999995</v>
      </c>
      <c r="V1730" s="2">
        <v>64.989999999999995</v>
      </c>
      <c r="W1730" s="2">
        <v>64.989999999999995</v>
      </c>
    </row>
    <row r="1731" spans="1:23" outlineLevel="2" x14ac:dyDescent="0.2">
      <c r="A1731" t="s">
        <v>402</v>
      </c>
      <c r="B1731" t="s">
        <v>1</v>
      </c>
      <c r="C1731" t="s">
        <v>2</v>
      </c>
      <c r="D1731" t="s">
        <v>13</v>
      </c>
      <c r="E1731" t="s">
        <v>14</v>
      </c>
      <c r="F1731" t="s">
        <v>5</v>
      </c>
      <c r="G1731" t="s">
        <v>6</v>
      </c>
      <c r="H1731" t="s">
        <v>7</v>
      </c>
      <c r="I1731" t="s">
        <v>8</v>
      </c>
      <c r="J1731" t="s">
        <v>403</v>
      </c>
      <c r="K1731" t="s">
        <v>616</v>
      </c>
      <c r="L1731" t="s">
        <v>617</v>
      </c>
      <c r="M1731" t="s">
        <v>15</v>
      </c>
      <c r="N1731" s="2">
        <v>0</v>
      </c>
      <c r="O1731" s="2">
        <v>7951.64</v>
      </c>
      <c r="P1731" s="2">
        <v>-7951.64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</row>
    <row r="1732" spans="1:23" outlineLevel="2" x14ac:dyDescent="0.2">
      <c r="A1732" t="s">
        <v>402</v>
      </c>
      <c r="B1732" t="s">
        <v>39</v>
      </c>
      <c r="C1732" t="s">
        <v>58</v>
      </c>
      <c r="D1732" t="s">
        <v>149</v>
      </c>
      <c r="E1732" t="s">
        <v>150</v>
      </c>
      <c r="F1732" t="s">
        <v>5</v>
      </c>
      <c r="G1732" t="s">
        <v>6</v>
      </c>
      <c r="H1732" t="s">
        <v>7</v>
      </c>
      <c r="I1732" t="s">
        <v>8</v>
      </c>
      <c r="J1732" t="s">
        <v>403</v>
      </c>
      <c r="K1732" t="s">
        <v>616</v>
      </c>
      <c r="L1732" t="s">
        <v>620</v>
      </c>
      <c r="M1732" t="s">
        <v>12</v>
      </c>
      <c r="N1732" s="2">
        <v>0</v>
      </c>
      <c r="O1732" s="2">
        <v>8000</v>
      </c>
      <c r="P1732" s="2">
        <v>0</v>
      </c>
      <c r="Q1732" s="2">
        <v>8000</v>
      </c>
      <c r="R1732" s="2">
        <v>0</v>
      </c>
      <c r="S1732" s="2">
        <v>7095.2</v>
      </c>
      <c r="T1732" s="2">
        <v>0</v>
      </c>
      <c r="U1732" s="2">
        <v>904.8</v>
      </c>
      <c r="V1732" s="2">
        <v>8000</v>
      </c>
      <c r="W1732" s="2">
        <v>904.8</v>
      </c>
    </row>
    <row r="1733" spans="1:23" outlineLevel="2" x14ac:dyDescent="0.2">
      <c r="A1733" t="s">
        <v>402</v>
      </c>
      <c r="B1733" t="s">
        <v>39</v>
      </c>
      <c r="C1733" t="s">
        <v>58</v>
      </c>
      <c r="D1733" t="s">
        <v>59</v>
      </c>
      <c r="E1733" t="s">
        <v>60</v>
      </c>
      <c r="F1733" t="s">
        <v>5</v>
      </c>
      <c r="G1733" t="s">
        <v>6</v>
      </c>
      <c r="H1733" t="s">
        <v>7</v>
      </c>
      <c r="I1733" t="s">
        <v>8</v>
      </c>
      <c r="J1733" t="s">
        <v>403</v>
      </c>
      <c r="K1733" t="s">
        <v>616</v>
      </c>
      <c r="L1733" t="s">
        <v>620</v>
      </c>
      <c r="M1733" t="s">
        <v>12</v>
      </c>
      <c r="N1733" s="2">
        <v>0</v>
      </c>
      <c r="O1733" s="2">
        <v>5000</v>
      </c>
      <c r="P1733" s="2">
        <v>0</v>
      </c>
      <c r="Q1733" s="2">
        <v>5000</v>
      </c>
      <c r="R1733" s="2">
        <v>0</v>
      </c>
      <c r="S1733" s="2">
        <v>4771.2</v>
      </c>
      <c r="T1733" s="2">
        <v>0</v>
      </c>
      <c r="U1733" s="2">
        <v>228.8</v>
      </c>
      <c r="V1733" s="2">
        <v>5000</v>
      </c>
      <c r="W1733" s="2">
        <v>228.8</v>
      </c>
    </row>
    <row r="1734" spans="1:23" outlineLevel="2" x14ac:dyDescent="0.2">
      <c r="A1734" t="s">
        <v>402</v>
      </c>
      <c r="B1734" t="s">
        <v>39</v>
      </c>
      <c r="C1734" t="s">
        <v>58</v>
      </c>
      <c r="D1734" t="s">
        <v>137</v>
      </c>
      <c r="E1734" t="s">
        <v>138</v>
      </c>
      <c r="F1734" t="s">
        <v>5</v>
      </c>
      <c r="G1734" t="s">
        <v>6</v>
      </c>
      <c r="H1734" t="s">
        <v>7</v>
      </c>
      <c r="I1734" t="s">
        <v>8</v>
      </c>
      <c r="J1734" t="s">
        <v>403</v>
      </c>
      <c r="K1734" t="s">
        <v>616</v>
      </c>
      <c r="L1734" t="s">
        <v>620</v>
      </c>
      <c r="M1734" t="s">
        <v>12</v>
      </c>
      <c r="N1734" s="2">
        <v>0</v>
      </c>
      <c r="O1734" s="2">
        <v>7095.2</v>
      </c>
      <c r="P1734" s="2">
        <v>0</v>
      </c>
      <c r="Q1734" s="2">
        <v>7095.2</v>
      </c>
      <c r="R1734" s="2">
        <v>0</v>
      </c>
      <c r="S1734" s="2">
        <v>7095.2</v>
      </c>
      <c r="T1734" s="2">
        <v>0</v>
      </c>
      <c r="U1734" s="2">
        <v>0</v>
      </c>
      <c r="V1734" s="2">
        <v>7095.2</v>
      </c>
      <c r="W1734" s="2">
        <v>0</v>
      </c>
    </row>
    <row r="1735" spans="1:23" outlineLevel="2" x14ac:dyDescent="0.2">
      <c r="A1735" t="s">
        <v>402</v>
      </c>
      <c r="B1735" t="s">
        <v>1</v>
      </c>
      <c r="C1735" t="s">
        <v>2</v>
      </c>
      <c r="D1735" t="s">
        <v>25</v>
      </c>
      <c r="E1735" t="s">
        <v>26</v>
      </c>
      <c r="F1735" t="s">
        <v>5</v>
      </c>
      <c r="G1735" t="s">
        <v>6</v>
      </c>
      <c r="H1735" t="s">
        <v>7</v>
      </c>
      <c r="I1735" t="s">
        <v>8</v>
      </c>
      <c r="J1735" t="s">
        <v>403</v>
      </c>
      <c r="K1735" t="s">
        <v>616</v>
      </c>
      <c r="L1735" t="s">
        <v>617</v>
      </c>
      <c r="M1735" t="s">
        <v>15</v>
      </c>
      <c r="N1735" s="2">
        <v>160000</v>
      </c>
      <c r="O1735" s="2">
        <v>0</v>
      </c>
      <c r="P1735" s="2">
        <v>-160000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</row>
    <row r="1736" spans="1:23" outlineLevel="2" x14ac:dyDescent="0.2">
      <c r="A1736" t="s">
        <v>402</v>
      </c>
      <c r="B1736" t="s">
        <v>1</v>
      </c>
      <c r="C1736" t="s">
        <v>91</v>
      </c>
      <c r="D1736" t="s">
        <v>92</v>
      </c>
      <c r="E1736" t="s">
        <v>93</v>
      </c>
      <c r="F1736" t="s">
        <v>5</v>
      </c>
      <c r="G1736" t="s">
        <v>6</v>
      </c>
      <c r="H1736" t="s">
        <v>7</v>
      </c>
      <c r="I1736" t="s">
        <v>8</v>
      </c>
      <c r="J1736" t="s">
        <v>403</v>
      </c>
      <c r="K1736" t="s">
        <v>618</v>
      </c>
      <c r="L1736" t="s">
        <v>619</v>
      </c>
      <c r="M1736" t="s">
        <v>15</v>
      </c>
      <c r="N1736" s="2">
        <v>0</v>
      </c>
      <c r="O1736" s="2">
        <v>2240</v>
      </c>
      <c r="P1736" s="2">
        <v>-2240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</row>
    <row r="1737" spans="1:23" outlineLevel="2" x14ac:dyDescent="0.2">
      <c r="A1737" t="s">
        <v>402</v>
      </c>
      <c r="B1737" t="s">
        <v>1</v>
      </c>
      <c r="C1737" t="s">
        <v>2</v>
      </c>
      <c r="D1737" t="s">
        <v>13</v>
      </c>
      <c r="E1737" t="s">
        <v>14</v>
      </c>
      <c r="F1737" t="s">
        <v>5</v>
      </c>
      <c r="G1737" t="s">
        <v>6</v>
      </c>
      <c r="H1737" t="s">
        <v>7</v>
      </c>
      <c r="I1737" t="s">
        <v>8</v>
      </c>
      <c r="J1737" t="s">
        <v>403</v>
      </c>
      <c r="K1737" t="s">
        <v>616</v>
      </c>
      <c r="L1737" t="s">
        <v>617</v>
      </c>
      <c r="M1737" t="s">
        <v>12</v>
      </c>
      <c r="N1737" s="2">
        <v>0</v>
      </c>
      <c r="O1737" s="2">
        <v>0</v>
      </c>
      <c r="P1737" s="2">
        <v>7951.64</v>
      </c>
      <c r="Q1737" s="2">
        <v>7951.64</v>
      </c>
      <c r="R1737" s="2">
        <v>0</v>
      </c>
      <c r="S1737" s="2">
        <v>0</v>
      </c>
      <c r="T1737" s="2">
        <v>0</v>
      </c>
      <c r="U1737" s="2">
        <v>7951.64</v>
      </c>
      <c r="V1737" s="2">
        <v>7951.64</v>
      </c>
      <c r="W1737" s="2">
        <v>7951.64</v>
      </c>
    </row>
    <row r="1738" spans="1:23" outlineLevel="2" x14ac:dyDescent="0.2">
      <c r="A1738" t="s">
        <v>402</v>
      </c>
      <c r="B1738" t="s">
        <v>1</v>
      </c>
      <c r="C1738" t="s">
        <v>2</v>
      </c>
      <c r="D1738" t="s">
        <v>3</v>
      </c>
      <c r="E1738" t="s">
        <v>4</v>
      </c>
      <c r="F1738" t="s">
        <v>5</v>
      </c>
      <c r="G1738" t="s">
        <v>6</v>
      </c>
      <c r="H1738" t="s">
        <v>7</v>
      </c>
      <c r="I1738" t="s">
        <v>8</v>
      </c>
      <c r="J1738" t="s">
        <v>403</v>
      </c>
      <c r="K1738" t="s">
        <v>616</v>
      </c>
      <c r="L1738" t="s">
        <v>617</v>
      </c>
      <c r="M1738" t="s">
        <v>15</v>
      </c>
      <c r="N1738" s="2">
        <v>0</v>
      </c>
      <c r="O1738" s="2">
        <v>64.989999999999995</v>
      </c>
      <c r="P1738" s="2">
        <v>-64.989999999999995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</row>
    <row r="1739" spans="1:23" outlineLevel="2" x14ac:dyDescent="0.2">
      <c r="A1739" t="s">
        <v>402</v>
      </c>
      <c r="B1739" t="s">
        <v>39</v>
      </c>
      <c r="C1739" t="s">
        <v>58</v>
      </c>
      <c r="D1739" t="s">
        <v>147</v>
      </c>
      <c r="E1739" t="s">
        <v>148</v>
      </c>
      <c r="F1739" t="s">
        <v>5</v>
      </c>
      <c r="G1739" t="s">
        <v>6</v>
      </c>
      <c r="H1739" t="s">
        <v>7</v>
      </c>
      <c r="I1739" t="s">
        <v>8</v>
      </c>
      <c r="J1739" t="s">
        <v>403</v>
      </c>
      <c r="K1739" t="s">
        <v>616</v>
      </c>
      <c r="L1739" t="s">
        <v>620</v>
      </c>
      <c r="M1739" t="s">
        <v>12</v>
      </c>
      <c r="N1739" s="2">
        <v>0</v>
      </c>
      <c r="O1739" s="2">
        <v>7095.2</v>
      </c>
      <c r="P1739" s="2">
        <v>0</v>
      </c>
      <c r="Q1739" s="2">
        <v>7095.2</v>
      </c>
      <c r="R1739" s="2">
        <v>0</v>
      </c>
      <c r="S1739" s="2">
        <v>7095.2</v>
      </c>
      <c r="T1739" s="2">
        <v>0</v>
      </c>
      <c r="U1739" s="2">
        <v>0</v>
      </c>
      <c r="V1739" s="2">
        <v>7095.2</v>
      </c>
      <c r="W1739" s="2">
        <v>0</v>
      </c>
    </row>
    <row r="1740" spans="1:23" outlineLevel="2" x14ac:dyDescent="0.2">
      <c r="A1740" t="s">
        <v>402</v>
      </c>
      <c r="B1740" t="s">
        <v>39</v>
      </c>
      <c r="C1740" t="s">
        <v>58</v>
      </c>
      <c r="D1740" t="s">
        <v>139</v>
      </c>
      <c r="E1740" t="s">
        <v>140</v>
      </c>
      <c r="F1740" t="s">
        <v>5</v>
      </c>
      <c r="G1740" t="s">
        <v>6</v>
      </c>
      <c r="H1740" t="s">
        <v>7</v>
      </c>
      <c r="I1740" t="s">
        <v>8</v>
      </c>
      <c r="J1740" t="s">
        <v>403</v>
      </c>
      <c r="K1740" t="s">
        <v>616</v>
      </c>
      <c r="L1740" t="s">
        <v>620</v>
      </c>
      <c r="M1740" t="s">
        <v>12</v>
      </c>
      <c r="N1740" s="2">
        <v>0</v>
      </c>
      <c r="O1740" s="2">
        <v>7951.64</v>
      </c>
      <c r="P1740" s="2">
        <v>0</v>
      </c>
      <c r="Q1740" s="2">
        <v>7951.64</v>
      </c>
      <c r="R1740" s="2">
        <v>0</v>
      </c>
      <c r="S1740" s="2">
        <v>7560</v>
      </c>
      <c r="T1740" s="2">
        <v>0</v>
      </c>
      <c r="U1740" s="2">
        <v>391.64</v>
      </c>
      <c r="V1740" s="2">
        <v>7951.64</v>
      </c>
      <c r="W1740" s="2">
        <v>391.64</v>
      </c>
    </row>
    <row r="1741" spans="1:23" outlineLevel="2" x14ac:dyDescent="0.2">
      <c r="A1741" t="s">
        <v>402</v>
      </c>
      <c r="B1741" t="s">
        <v>53</v>
      </c>
      <c r="C1741" t="s">
        <v>54</v>
      </c>
      <c r="D1741" t="s">
        <v>55</v>
      </c>
      <c r="E1741" t="s">
        <v>56</v>
      </c>
      <c r="F1741" t="s">
        <v>5</v>
      </c>
      <c r="G1741" t="s">
        <v>6</v>
      </c>
      <c r="H1741" t="s">
        <v>7</v>
      </c>
      <c r="I1741" t="s">
        <v>8</v>
      </c>
      <c r="J1741" t="s">
        <v>403</v>
      </c>
      <c r="K1741" t="s">
        <v>621</v>
      </c>
      <c r="L1741" t="s">
        <v>622</v>
      </c>
      <c r="M1741" t="s">
        <v>12</v>
      </c>
      <c r="N1741" s="2">
        <v>8500</v>
      </c>
      <c r="O1741" s="2">
        <v>-2465.44</v>
      </c>
      <c r="P1741" s="2">
        <v>0</v>
      </c>
      <c r="Q1741" s="2">
        <v>6034.56</v>
      </c>
      <c r="R1741" s="2">
        <v>0</v>
      </c>
      <c r="S1741" s="2">
        <v>6034.56</v>
      </c>
      <c r="T1741" s="2">
        <v>386.4</v>
      </c>
      <c r="U1741" s="2">
        <v>0</v>
      </c>
      <c r="V1741" s="2">
        <v>5648.16</v>
      </c>
      <c r="W1741" s="2">
        <v>0</v>
      </c>
    </row>
    <row r="1742" spans="1:23" outlineLevel="2" x14ac:dyDescent="0.2">
      <c r="A1742" t="s">
        <v>402</v>
      </c>
      <c r="B1742" t="s">
        <v>1</v>
      </c>
      <c r="C1742" t="s">
        <v>2</v>
      </c>
      <c r="D1742" t="s">
        <v>410</v>
      </c>
      <c r="E1742" t="s">
        <v>411</v>
      </c>
      <c r="F1742" t="s">
        <v>5</v>
      </c>
      <c r="G1742" t="s">
        <v>6</v>
      </c>
      <c r="H1742" t="s">
        <v>7</v>
      </c>
      <c r="I1742" t="s">
        <v>8</v>
      </c>
      <c r="J1742" t="s">
        <v>403</v>
      </c>
      <c r="K1742" t="s">
        <v>621</v>
      </c>
      <c r="L1742" t="s">
        <v>623</v>
      </c>
      <c r="M1742" t="s">
        <v>15</v>
      </c>
      <c r="N1742" s="2">
        <v>1000</v>
      </c>
      <c r="O1742" s="2">
        <v>0</v>
      </c>
      <c r="P1742" s="2">
        <v>0</v>
      </c>
      <c r="Q1742" s="2">
        <v>1000</v>
      </c>
      <c r="R1742" s="2">
        <v>0</v>
      </c>
      <c r="S1742" s="2">
        <v>1000</v>
      </c>
      <c r="T1742" s="2">
        <v>0</v>
      </c>
      <c r="U1742" s="2">
        <v>0</v>
      </c>
      <c r="V1742" s="2">
        <v>1000</v>
      </c>
      <c r="W1742" s="2">
        <v>0</v>
      </c>
    </row>
    <row r="1743" spans="1:23" outlineLevel="2" x14ac:dyDescent="0.2">
      <c r="A1743" t="s">
        <v>402</v>
      </c>
      <c r="B1743" t="s">
        <v>31</v>
      </c>
      <c r="C1743" t="s">
        <v>79</v>
      </c>
      <c r="D1743" t="s">
        <v>111</v>
      </c>
      <c r="E1743" t="s">
        <v>112</v>
      </c>
      <c r="F1743" t="s">
        <v>5</v>
      </c>
      <c r="G1743" t="s">
        <v>6</v>
      </c>
      <c r="H1743" t="s">
        <v>7</v>
      </c>
      <c r="I1743" t="s">
        <v>8</v>
      </c>
      <c r="J1743" t="s">
        <v>403</v>
      </c>
      <c r="K1743" t="s">
        <v>621</v>
      </c>
      <c r="L1743" t="s">
        <v>624</v>
      </c>
      <c r="M1743" t="s">
        <v>12</v>
      </c>
      <c r="N1743" s="2">
        <v>1200</v>
      </c>
      <c r="O1743" s="2">
        <v>0</v>
      </c>
      <c r="P1743" s="2">
        <v>0</v>
      </c>
      <c r="Q1743" s="2">
        <v>1200</v>
      </c>
      <c r="R1743" s="2">
        <v>0</v>
      </c>
      <c r="S1743" s="2">
        <v>1008</v>
      </c>
      <c r="T1743" s="2">
        <v>0</v>
      </c>
      <c r="U1743" s="2">
        <v>192</v>
      </c>
      <c r="V1743" s="2">
        <v>1200</v>
      </c>
      <c r="W1743" s="2">
        <v>192</v>
      </c>
    </row>
    <row r="1744" spans="1:23" outlineLevel="2" x14ac:dyDescent="0.2">
      <c r="A1744" t="s">
        <v>402</v>
      </c>
      <c r="B1744" t="s">
        <v>39</v>
      </c>
      <c r="C1744" t="s">
        <v>95</v>
      </c>
      <c r="D1744" t="s">
        <v>96</v>
      </c>
      <c r="E1744" t="s">
        <v>97</v>
      </c>
      <c r="F1744" t="s">
        <v>5</v>
      </c>
      <c r="G1744" t="s">
        <v>6</v>
      </c>
      <c r="H1744" t="s">
        <v>7</v>
      </c>
      <c r="I1744" t="s">
        <v>8</v>
      </c>
      <c r="J1744" t="s">
        <v>403</v>
      </c>
      <c r="K1744" t="s">
        <v>621</v>
      </c>
      <c r="L1744" t="s">
        <v>625</v>
      </c>
      <c r="M1744" t="s">
        <v>12</v>
      </c>
      <c r="N1744" s="2">
        <v>0</v>
      </c>
      <c r="O1744" s="2">
        <v>5000</v>
      </c>
      <c r="P1744" s="2">
        <v>0</v>
      </c>
      <c r="Q1744" s="2">
        <v>5000</v>
      </c>
      <c r="R1744" s="2">
        <v>0</v>
      </c>
      <c r="S1744" s="2">
        <v>0</v>
      </c>
      <c r="T1744" s="2">
        <v>0</v>
      </c>
      <c r="U1744" s="2">
        <v>5000</v>
      </c>
      <c r="V1744" s="2">
        <v>5000</v>
      </c>
      <c r="W1744" s="2">
        <v>5000</v>
      </c>
    </row>
    <row r="1745" spans="1:23" outlineLevel="2" x14ac:dyDescent="0.2">
      <c r="A1745" t="s">
        <v>402</v>
      </c>
      <c r="B1745" t="s">
        <v>39</v>
      </c>
      <c r="C1745" t="s">
        <v>58</v>
      </c>
      <c r="D1745" t="s">
        <v>143</v>
      </c>
      <c r="E1745" t="s">
        <v>144</v>
      </c>
      <c r="F1745" t="s">
        <v>5</v>
      </c>
      <c r="G1745" t="s">
        <v>6</v>
      </c>
      <c r="H1745" t="s">
        <v>7</v>
      </c>
      <c r="I1745" t="s">
        <v>8</v>
      </c>
      <c r="J1745" t="s">
        <v>403</v>
      </c>
      <c r="K1745" t="s">
        <v>621</v>
      </c>
      <c r="L1745" t="s">
        <v>626</v>
      </c>
      <c r="M1745" t="s">
        <v>12</v>
      </c>
      <c r="N1745" s="2">
        <v>0</v>
      </c>
      <c r="O1745" s="2">
        <v>5500</v>
      </c>
      <c r="P1745" s="2">
        <v>-5432.8</v>
      </c>
      <c r="Q1745" s="2">
        <v>67.2</v>
      </c>
      <c r="R1745" s="2">
        <v>0</v>
      </c>
      <c r="S1745" s="2">
        <v>67.2</v>
      </c>
      <c r="T1745" s="2">
        <v>67.2</v>
      </c>
      <c r="U1745" s="2">
        <v>0</v>
      </c>
      <c r="V1745" s="2">
        <v>0</v>
      </c>
      <c r="W1745" s="2">
        <v>0</v>
      </c>
    </row>
    <row r="1746" spans="1:23" outlineLevel="2" x14ac:dyDescent="0.2">
      <c r="A1746" t="s">
        <v>402</v>
      </c>
      <c r="B1746" t="s">
        <v>1</v>
      </c>
      <c r="C1746" t="s">
        <v>91</v>
      </c>
      <c r="D1746" t="s">
        <v>92</v>
      </c>
      <c r="E1746" t="s">
        <v>93</v>
      </c>
      <c r="F1746" t="s">
        <v>5</v>
      </c>
      <c r="G1746" t="s">
        <v>6</v>
      </c>
      <c r="H1746" t="s">
        <v>7</v>
      </c>
      <c r="I1746" t="s">
        <v>8</v>
      </c>
      <c r="J1746" t="s">
        <v>403</v>
      </c>
      <c r="K1746" t="s">
        <v>621</v>
      </c>
      <c r="L1746" t="s">
        <v>627</v>
      </c>
      <c r="M1746" t="s">
        <v>12</v>
      </c>
      <c r="N1746" s="2">
        <v>0</v>
      </c>
      <c r="O1746" s="2">
        <v>0</v>
      </c>
      <c r="P1746" s="2">
        <v>5548.69</v>
      </c>
      <c r="Q1746" s="2">
        <v>5548.69</v>
      </c>
      <c r="R1746" s="2">
        <v>0</v>
      </c>
      <c r="S1746" s="2">
        <v>0</v>
      </c>
      <c r="T1746" s="2">
        <v>0</v>
      </c>
      <c r="U1746" s="2">
        <v>5548.69</v>
      </c>
      <c r="V1746" s="2">
        <v>5548.69</v>
      </c>
      <c r="W1746" s="2">
        <v>5548.69</v>
      </c>
    </row>
    <row r="1747" spans="1:23" outlineLevel="2" x14ac:dyDescent="0.2">
      <c r="A1747" t="s">
        <v>402</v>
      </c>
      <c r="B1747" t="s">
        <v>31</v>
      </c>
      <c r="C1747" t="s">
        <v>79</v>
      </c>
      <c r="D1747" t="s">
        <v>80</v>
      </c>
      <c r="E1747" t="s">
        <v>81</v>
      </c>
      <c r="F1747" t="s">
        <v>5</v>
      </c>
      <c r="G1747" t="s">
        <v>6</v>
      </c>
      <c r="H1747" t="s">
        <v>7</v>
      </c>
      <c r="I1747" t="s">
        <v>8</v>
      </c>
      <c r="J1747" t="s">
        <v>403</v>
      </c>
      <c r="K1747" t="s">
        <v>621</v>
      </c>
      <c r="L1747" t="s">
        <v>624</v>
      </c>
      <c r="M1747" t="s">
        <v>12</v>
      </c>
      <c r="N1747" s="2">
        <v>3000</v>
      </c>
      <c r="O1747" s="2">
        <v>4000</v>
      </c>
      <c r="P1747" s="2">
        <v>0</v>
      </c>
      <c r="Q1747" s="2">
        <v>7000</v>
      </c>
      <c r="R1747" s="2">
        <v>0</v>
      </c>
      <c r="S1747" s="2">
        <v>7000</v>
      </c>
      <c r="T1747" s="2">
        <v>0</v>
      </c>
      <c r="U1747" s="2">
        <v>0</v>
      </c>
      <c r="V1747" s="2">
        <v>7000</v>
      </c>
      <c r="W1747" s="2">
        <v>0</v>
      </c>
    </row>
    <row r="1748" spans="1:23" outlineLevel="2" x14ac:dyDescent="0.2">
      <c r="A1748" t="s">
        <v>402</v>
      </c>
      <c r="B1748" t="s">
        <v>39</v>
      </c>
      <c r="C1748" t="s">
        <v>58</v>
      </c>
      <c r="D1748" t="s">
        <v>145</v>
      </c>
      <c r="E1748" t="s">
        <v>146</v>
      </c>
      <c r="F1748" t="s">
        <v>5</v>
      </c>
      <c r="G1748" t="s">
        <v>6</v>
      </c>
      <c r="H1748" t="s">
        <v>7</v>
      </c>
      <c r="I1748" t="s">
        <v>8</v>
      </c>
      <c r="J1748" t="s">
        <v>403</v>
      </c>
      <c r="K1748" t="s">
        <v>621</v>
      </c>
      <c r="L1748" t="s">
        <v>626</v>
      </c>
      <c r="M1748" t="s">
        <v>12</v>
      </c>
      <c r="N1748" s="2">
        <v>7000</v>
      </c>
      <c r="O1748" s="2">
        <v>0</v>
      </c>
      <c r="P1748" s="2">
        <v>0</v>
      </c>
      <c r="Q1748" s="2">
        <v>7000</v>
      </c>
      <c r="R1748" s="2">
        <v>0</v>
      </c>
      <c r="S1748" s="2">
        <v>6566.18</v>
      </c>
      <c r="T1748" s="2">
        <v>0</v>
      </c>
      <c r="U1748" s="2">
        <v>433.82</v>
      </c>
      <c r="V1748" s="2">
        <v>7000</v>
      </c>
      <c r="W1748" s="2">
        <v>433.82</v>
      </c>
    </row>
    <row r="1749" spans="1:23" outlineLevel="2" x14ac:dyDescent="0.2">
      <c r="A1749" t="s">
        <v>402</v>
      </c>
      <c r="B1749" t="s">
        <v>39</v>
      </c>
      <c r="C1749" t="s">
        <v>58</v>
      </c>
      <c r="D1749" t="s">
        <v>147</v>
      </c>
      <c r="E1749" t="s">
        <v>148</v>
      </c>
      <c r="F1749" t="s">
        <v>5</v>
      </c>
      <c r="G1749" t="s">
        <v>6</v>
      </c>
      <c r="H1749" t="s">
        <v>7</v>
      </c>
      <c r="I1749" t="s">
        <v>8</v>
      </c>
      <c r="J1749" t="s">
        <v>403</v>
      </c>
      <c r="K1749" t="s">
        <v>621</v>
      </c>
      <c r="L1749" t="s">
        <v>626</v>
      </c>
      <c r="M1749" t="s">
        <v>12</v>
      </c>
      <c r="N1749" s="2">
        <v>15000</v>
      </c>
      <c r="O1749" s="2">
        <v>0</v>
      </c>
      <c r="P1749" s="2">
        <v>0</v>
      </c>
      <c r="Q1749" s="2">
        <v>15000</v>
      </c>
      <c r="R1749" s="2">
        <v>5277.28</v>
      </c>
      <c r="S1749" s="2">
        <v>9722.7199999999993</v>
      </c>
      <c r="T1749" s="2">
        <v>0</v>
      </c>
      <c r="U1749" s="2">
        <v>5277.28</v>
      </c>
      <c r="V1749" s="2">
        <v>15000</v>
      </c>
      <c r="W1749" s="2">
        <v>0</v>
      </c>
    </row>
    <row r="1750" spans="1:23" outlineLevel="2" x14ac:dyDescent="0.2">
      <c r="A1750" t="s">
        <v>402</v>
      </c>
      <c r="B1750" t="s">
        <v>31</v>
      </c>
      <c r="C1750" t="s">
        <v>79</v>
      </c>
      <c r="D1750" t="s">
        <v>115</v>
      </c>
      <c r="E1750" t="s">
        <v>116</v>
      </c>
      <c r="F1750" t="s">
        <v>5</v>
      </c>
      <c r="G1750" t="s">
        <v>6</v>
      </c>
      <c r="H1750" t="s">
        <v>7</v>
      </c>
      <c r="I1750" t="s">
        <v>8</v>
      </c>
      <c r="J1750" t="s">
        <v>403</v>
      </c>
      <c r="K1750" t="s">
        <v>621</v>
      </c>
      <c r="L1750" t="s">
        <v>624</v>
      </c>
      <c r="M1750" t="s">
        <v>12</v>
      </c>
      <c r="N1750" s="2">
        <v>3000</v>
      </c>
      <c r="O1750" s="2">
        <v>0</v>
      </c>
      <c r="P1750" s="2">
        <v>-3000</v>
      </c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</row>
    <row r="1751" spans="1:23" outlineLevel="2" x14ac:dyDescent="0.2">
      <c r="A1751" t="s">
        <v>402</v>
      </c>
      <c r="B1751" t="s">
        <v>31</v>
      </c>
      <c r="C1751" t="s">
        <v>79</v>
      </c>
      <c r="D1751" t="s">
        <v>113</v>
      </c>
      <c r="E1751" t="s">
        <v>114</v>
      </c>
      <c r="F1751" t="s">
        <v>5</v>
      </c>
      <c r="G1751" t="s">
        <v>6</v>
      </c>
      <c r="H1751" t="s">
        <v>7</v>
      </c>
      <c r="I1751" t="s">
        <v>8</v>
      </c>
      <c r="J1751" t="s">
        <v>403</v>
      </c>
      <c r="K1751" t="s">
        <v>621</v>
      </c>
      <c r="L1751" t="s">
        <v>624</v>
      </c>
      <c r="M1751" t="s">
        <v>12</v>
      </c>
      <c r="N1751" s="2">
        <v>4000</v>
      </c>
      <c r="O1751" s="2">
        <v>0</v>
      </c>
      <c r="P1751" s="2">
        <v>0</v>
      </c>
      <c r="Q1751" s="2">
        <v>4000</v>
      </c>
      <c r="R1751" s="2">
        <v>0</v>
      </c>
      <c r="S1751" s="2">
        <v>0</v>
      </c>
      <c r="T1751" s="2">
        <v>0</v>
      </c>
      <c r="U1751" s="2">
        <v>4000</v>
      </c>
      <c r="V1751" s="2">
        <v>4000</v>
      </c>
      <c r="W1751" s="2">
        <v>4000</v>
      </c>
    </row>
    <row r="1752" spans="1:23" outlineLevel="2" x14ac:dyDescent="0.2">
      <c r="A1752" t="s">
        <v>402</v>
      </c>
      <c r="B1752" t="s">
        <v>39</v>
      </c>
      <c r="C1752" t="s">
        <v>66</v>
      </c>
      <c r="D1752" t="s">
        <v>121</v>
      </c>
      <c r="E1752" t="s">
        <v>122</v>
      </c>
      <c r="F1752" t="s">
        <v>5</v>
      </c>
      <c r="G1752" t="s">
        <v>6</v>
      </c>
      <c r="H1752" t="s">
        <v>7</v>
      </c>
      <c r="I1752" t="s">
        <v>8</v>
      </c>
      <c r="J1752" t="s">
        <v>403</v>
      </c>
      <c r="K1752" t="s">
        <v>621</v>
      </c>
      <c r="L1752" t="s">
        <v>628</v>
      </c>
      <c r="M1752" t="s">
        <v>12</v>
      </c>
      <c r="N1752" s="2">
        <v>500</v>
      </c>
      <c r="O1752" s="2">
        <v>0</v>
      </c>
      <c r="P1752" s="2">
        <v>-250</v>
      </c>
      <c r="Q1752" s="2">
        <v>250</v>
      </c>
      <c r="R1752" s="2">
        <v>0.8</v>
      </c>
      <c r="S1752" s="2">
        <v>179.2</v>
      </c>
      <c r="T1752" s="2">
        <v>0</v>
      </c>
      <c r="U1752" s="2">
        <v>70.8</v>
      </c>
      <c r="V1752" s="2">
        <v>250</v>
      </c>
      <c r="W1752" s="2">
        <v>70</v>
      </c>
    </row>
    <row r="1753" spans="1:23" outlineLevel="2" x14ac:dyDescent="0.2">
      <c r="A1753" t="s">
        <v>402</v>
      </c>
      <c r="B1753" t="s">
        <v>39</v>
      </c>
      <c r="C1753" t="s">
        <v>58</v>
      </c>
      <c r="D1753" t="s">
        <v>59</v>
      </c>
      <c r="E1753" t="s">
        <v>60</v>
      </c>
      <c r="F1753" t="s">
        <v>5</v>
      </c>
      <c r="G1753" t="s">
        <v>6</v>
      </c>
      <c r="H1753" t="s">
        <v>7</v>
      </c>
      <c r="I1753" t="s">
        <v>8</v>
      </c>
      <c r="J1753" t="s">
        <v>403</v>
      </c>
      <c r="K1753" t="s">
        <v>621</v>
      </c>
      <c r="L1753" t="s">
        <v>626</v>
      </c>
      <c r="M1753" t="s">
        <v>12</v>
      </c>
      <c r="N1753" s="2">
        <v>7000</v>
      </c>
      <c r="O1753" s="2">
        <v>-2500</v>
      </c>
      <c r="P1753" s="2">
        <v>-2500</v>
      </c>
      <c r="Q1753" s="2">
        <v>2000</v>
      </c>
      <c r="R1753" s="2">
        <v>36.64</v>
      </c>
      <c r="S1753" s="2">
        <v>1963.36</v>
      </c>
      <c r="T1753" s="2">
        <v>0</v>
      </c>
      <c r="U1753" s="2">
        <v>36.64</v>
      </c>
      <c r="V1753" s="2">
        <v>2000</v>
      </c>
      <c r="W1753" s="2">
        <v>0</v>
      </c>
    </row>
    <row r="1754" spans="1:23" outlineLevel="2" x14ac:dyDescent="0.2">
      <c r="A1754" t="s">
        <v>402</v>
      </c>
      <c r="B1754" t="s">
        <v>1</v>
      </c>
      <c r="C1754" t="s">
        <v>2</v>
      </c>
      <c r="D1754" t="s">
        <v>3</v>
      </c>
      <c r="E1754" t="s">
        <v>4</v>
      </c>
      <c r="F1754" t="s">
        <v>5</v>
      </c>
      <c r="G1754" t="s">
        <v>6</v>
      </c>
      <c r="H1754" t="s">
        <v>7</v>
      </c>
      <c r="I1754" t="s">
        <v>8</v>
      </c>
      <c r="J1754" t="s">
        <v>403</v>
      </c>
      <c r="K1754" t="s">
        <v>621</v>
      </c>
      <c r="L1754" t="s">
        <v>623</v>
      </c>
      <c r="M1754" t="s">
        <v>15</v>
      </c>
      <c r="N1754" s="2">
        <v>0</v>
      </c>
      <c r="O1754" s="2">
        <v>11852.38</v>
      </c>
      <c r="P1754" s="2">
        <v>-1253.05</v>
      </c>
      <c r="Q1754" s="2">
        <v>10599.33</v>
      </c>
      <c r="R1754" s="2">
        <v>1658.89</v>
      </c>
      <c r="S1754" s="2">
        <v>8940.44</v>
      </c>
      <c r="T1754" s="2">
        <v>7081.15</v>
      </c>
      <c r="U1754" s="2">
        <v>1658.89</v>
      </c>
      <c r="V1754" s="2">
        <v>3518.18</v>
      </c>
      <c r="W1754" s="2">
        <v>0</v>
      </c>
    </row>
    <row r="1755" spans="1:23" outlineLevel="2" x14ac:dyDescent="0.2">
      <c r="A1755" t="s">
        <v>402</v>
      </c>
      <c r="B1755" t="s">
        <v>1</v>
      </c>
      <c r="C1755" t="s">
        <v>2</v>
      </c>
      <c r="D1755" t="s">
        <v>3</v>
      </c>
      <c r="E1755" t="s">
        <v>4</v>
      </c>
      <c r="F1755" t="s">
        <v>5</v>
      </c>
      <c r="G1755" t="s">
        <v>6</v>
      </c>
      <c r="H1755" t="s">
        <v>7</v>
      </c>
      <c r="I1755" t="s">
        <v>8</v>
      </c>
      <c r="J1755" t="s">
        <v>403</v>
      </c>
      <c r="K1755" t="s">
        <v>621</v>
      </c>
      <c r="L1755" t="s">
        <v>623</v>
      </c>
      <c r="M1755" t="s">
        <v>12</v>
      </c>
      <c r="N1755" s="2">
        <v>0</v>
      </c>
      <c r="O1755" s="2">
        <v>0</v>
      </c>
      <c r="P1755" s="2">
        <v>1253.05</v>
      </c>
      <c r="Q1755" s="2">
        <v>1253.05</v>
      </c>
      <c r="R1755" s="2">
        <v>0</v>
      </c>
      <c r="S1755" s="2">
        <v>0</v>
      </c>
      <c r="T1755" s="2">
        <v>0</v>
      </c>
      <c r="U1755" s="2">
        <v>1253.05</v>
      </c>
      <c r="V1755" s="2">
        <v>1253.05</v>
      </c>
      <c r="W1755" s="2">
        <v>1253.05</v>
      </c>
    </row>
    <row r="1756" spans="1:23" outlineLevel="2" x14ac:dyDescent="0.2">
      <c r="A1756" t="s">
        <v>402</v>
      </c>
      <c r="B1756" t="s">
        <v>39</v>
      </c>
      <c r="C1756" t="s">
        <v>58</v>
      </c>
      <c r="D1756" t="s">
        <v>139</v>
      </c>
      <c r="E1756" t="s">
        <v>140</v>
      </c>
      <c r="F1756" t="s">
        <v>5</v>
      </c>
      <c r="G1756" t="s">
        <v>6</v>
      </c>
      <c r="H1756" t="s">
        <v>7</v>
      </c>
      <c r="I1756" t="s">
        <v>8</v>
      </c>
      <c r="J1756" t="s">
        <v>403</v>
      </c>
      <c r="K1756" t="s">
        <v>621</v>
      </c>
      <c r="L1756" t="s">
        <v>626</v>
      </c>
      <c r="M1756" t="s">
        <v>12</v>
      </c>
      <c r="N1756" s="2">
        <v>0</v>
      </c>
      <c r="O1756" s="2">
        <v>5000</v>
      </c>
      <c r="P1756" s="2">
        <v>-3000</v>
      </c>
      <c r="Q1756" s="2">
        <v>2000</v>
      </c>
      <c r="R1756" s="2">
        <v>0</v>
      </c>
      <c r="S1756" s="2">
        <v>1996.96</v>
      </c>
      <c r="T1756" s="2">
        <v>0</v>
      </c>
      <c r="U1756" s="2">
        <v>3.04</v>
      </c>
      <c r="V1756" s="2">
        <v>2000</v>
      </c>
      <c r="W1756" s="2">
        <v>3.04</v>
      </c>
    </row>
    <row r="1757" spans="1:23" outlineLevel="2" x14ac:dyDescent="0.2">
      <c r="A1757" t="s">
        <v>402</v>
      </c>
      <c r="B1757" t="s">
        <v>39</v>
      </c>
      <c r="C1757" t="s">
        <v>66</v>
      </c>
      <c r="D1757" t="s">
        <v>67</v>
      </c>
      <c r="E1757" t="s">
        <v>68</v>
      </c>
      <c r="F1757" t="s">
        <v>5</v>
      </c>
      <c r="G1757" t="s">
        <v>6</v>
      </c>
      <c r="H1757" t="s">
        <v>7</v>
      </c>
      <c r="I1757" t="s">
        <v>8</v>
      </c>
      <c r="J1757" t="s">
        <v>403</v>
      </c>
      <c r="K1757" t="s">
        <v>621</v>
      </c>
      <c r="L1757" t="s">
        <v>628</v>
      </c>
      <c r="M1757" t="s">
        <v>12</v>
      </c>
      <c r="N1757" s="2">
        <v>7250</v>
      </c>
      <c r="O1757" s="2">
        <v>-150.32</v>
      </c>
      <c r="P1757" s="2">
        <v>0</v>
      </c>
      <c r="Q1757" s="2">
        <v>7099.68</v>
      </c>
      <c r="R1757" s="2">
        <v>0</v>
      </c>
      <c r="S1757" s="2">
        <v>7099.68</v>
      </c>
      <c r="T1757" s="2">
        <v>0</v>
      </c>
      <c r="U1757" s="2">
        <v>0</v>
      </c>
      <c r="V1757" s="2">
        <v>7099.68</v>
      </c>
      <c r="W1757" s="2">
        <v>0</v>
      </c>
    </row>
    <row r="1758" spans="1:23" outlineLevel="2" x14ac:dyDescent="0.2">
      <c r="A1758" t="s">
        <v>402</v>
      </c>
      <c r="B1758" t="s">
        <v>1</v>
      </c>
      <c r="C1758" t="s">
        <v>91</v>
      </c>
      <c r="D1758" t="s">
        <v>92</v>
      </c>
      <c r="E1758" t="s">
        <v>93</v>
      </c>
      <c r="F1758" t="s">
        <v>5</v>
      </c>
      <c r="G1758" t="s">
        <v>6</v>
      </c>
      <c r="H1758" t="s">
        <v>7</v>
      </c>
      <c r="I1758" t="s">
        <v>8</v>
      </c>
      <c r="J1758" t="s">
        <v>403</v>
      </c>
      <c r="K1758" t="s">
        <v>621</v>
      </c>
      <c r="L1758" t="s">
        <v>627</v>
      </c>
      <c r="M1758" t="s">
        <v>15</v>
      </c>
      <c r="N1758" s="2">
        <v>10000</v>
      </c>
      <c r="O1758" s="2">
        <v>-2000</v>
      </c>
      <c r="P1758" s="2">
        <v>-5548.69</v>
      </c>
      <c r="Q1758" s="2">
        <v>2451.31</v>
      </c>
      <c r="R1758" s="2">
        <v>800.43</v>
      </c>
      <c r="S1758" s="2">
        <v>1650.88</v>
      </c>
      <c r="T1758" s="2">
        <v>0</v>
      </c>
      <c r="U1758" s="2">
        <v>800.43</v>
      </c>
      <c r="V1758" s="2">
        <v>2451.31</v>
      </c>
      <c r="W1758" s="2">
        <v>0</v>
      </c>
    </row>
    <row r="1759" spans="1:23" outlineLevel="2" x14ac:dyDescent="0.2">
      <c r="A1759" t="s">
        <v>402</v>
      </c>
      <c r="B1759" t="s">
        <v>31</v>
      </c>
      <c r="C1759" t="s">
        <v>79</v>
      </c>
      <c r="D1759" t="s">
        <v>133</v>
      </c>
      <c r="E1759" t="s">
        <v>134</v>
      </c>
      <c r="F1759" t="s">
        <v>5</v>
      </c>
      <c r="G1759" t="s">
        <v>6</v>
      </c>
      <c r="H1759" t="s">
        <v>7</v>
      </c>
      <c r="I1759" t="s">
        <v>8</v>
      </c>
      <c r="J1759" t="s">
        <v>403</v>
      </c>
      <c r="K1759" t="s">
        <v>621</v>
      </c>
      <c r="L1759" t="s">
        <v>624</v>
      </c>
      <c r="M1759" t="s">
        <v>12</v>
      </c>
      <c r="N1759" s="2">
        <v>3000</v>
      </c>
      <c r="O1759" s="2">
        <v>0</v>
      </c>
      <c r="P1759" s="2">
        <v>0</v>
      </c>
      <c r="Q1759" s="2">
        <v>3000</v>
      </c>
      <c r="R1759" s="2">
        <v>2428.8000000000002</v>
      </c>
      <c r="S1759" s="2">
        <v>571.20000000000005</v>
      </c>
      <c r="T1759" s="2">
        <v>0</v>
      </c>
      <c r="U1759" s="2">
        <v>2428.8000000000002</v>
      </c>
      <c r="V1759" s="2">
        <v>3000</v>
      </c>
      <c r="W1759" s="2">
        <v>0</v>
      </c>
    </row>
    <row r="1760" spans="1:23" outlineLevel="2" x14ac:dyDescent="0.2">
      <c r="A1760" t="s">
        <v>402</v>
      </c>
      <c r="B1760" t="s">
        <v>39</v>
      </c>
      <c r="C1760" t="s">
        <v>58</v>
      </c>
      <c r="D1760" t="s">
        <v>129</v>
      </c>
      <c r="E1760" t="s">
        <v>130</v>
      </c>
      <c r="F1760" t="s">
        <v>5</v>
      </c>
      <c r="G1760" t="s">
        <v>6</v>
      </c>
      <c r="H1760" t="s">
        <v>7</v>
      </c>
      <c r="I1760" t="s">
        <v>8</v>
      </c>
      <c r="J1760" t="s">
        <v>403</v>
      </c>
      <c r="K1760" t="s">
        <v>621</v>
      </c>
      <c r="L1760" t="s">
        <v>626</v>
      </c>
      <c r="M1760" t="s">
        <v>12</v>
      </c>
      <c r="N1760" s="2">
        <v>700</v>
      </c>
      <c r="O1760" s="2">
        <v>1800</v>
      </c>
      <c r="P1760" s="2">
        <v>0</v>
      </c>
      <c r="Q1760" s="2">
        <v>2500</v>
      </c>
      <c r="R1760" s="2">
        <v>263.83999999999997</v>
      </c>
      <c r="S1760" s="2">
        <v>2236.16</v>
      </c>
      <c r="T1760" s="2">
        <v>0</v>
      </c>
      <c r="U1760" s="2">
        <v>263.83999999999997</v>
      </c>
      <c r="V1760" s="2">
        <v>2500</v>
      </c>
      <c r="W1760" s="2">
        <v>0</v>
      </c>
    </row>
    <row r="1761" spans="1:23" outlineLevel="2" x14ac:dyDescent="0.2">
      <c r="A1761" t="s">
        <v>402</v>
      </c>
      <c r="B1761" t="s">
        <v>39</v>
      </c>
      <c r="C1761" t="s">
        <v>58</v>
      </c>
      <c r="D1761" t="s">
        <v>137</v>
      </c>
      <c r="E1761" t="s">
        <v>138</v>
      </c>
      <c r="F1761" t="s">
        <v>5</v>
      </c>
      <c r="G1761" t="s">
        <v>6</v>
      </c>
      <c r="H1761" t="s">
        <v>7</v>
      </c>
      <c r="I1761" t="s">
        <v>8</v>
      </c>
      <c r="J1761" t="s">
        <v>403</v>
      </c>
      <c r="K1761" t="s">
        <v>621</v>
      </c>
      <c r="L1761" t="s">
        <v>626</v>
      </c>
      <c r="M1761" t="s">
        <v>12</v>
      </c>
      <c r="N1761" s="2">
        <v>3000</v>
      </c>
      <c r="O1761" s="2">
        <v>2700</v>
      </c>
      <c r="P1761" s="2">
        <v>0</v>
      </c>
      <c r="Q1761" s="2">
        <v>5700</v>
      </c>
      <c r="R1761" s="2">
        <v>0</v>
      </c>
      <c r="S1761" s="2">
        <v>5666.83</v>
      </c>
      <c r="T1761" s="2">
        <v>0</v>
      </c>
      <c r="U1761" s="2">
        <v>33.17</v>
      </c>
      <c r="V1761" s="2">
        <v>5700</v>
      </c>
      <c r="W1761" s="2">
        <v>33.17</v>
      </c>
    </row>
    <row r="1762" spans="1:23" outlineLevel="2" x14ac:dyDescent="0.2">
      <c r="A1762" t="s">
        <v>402</v>
      </c>
      <c r="B1762" t="s">
        <v>31</v>
      </c>
      <c r="C1762" t="s">
        <v>32</v>
      </c>
      <c r="D1762" t="s">
        <v>33</v>
      </c>
      <c r="E1762" t="s">
        <v>34</v>
      </c>
      <c r="F1762" t="s">
        <v>5</v>
      </c>
      <c r="G1762" t="s">
        <v>6</v>
      </c>
      <c r="H1762" t="s">
        <v>7</v>
      </c>
      <c r="I1762" t="s">
        <v>8</v>
      </c>
      <c r="J1762" t="s">
        <v>403</v>
      </c>
      <c r="K1762" t="s">
        <v>621</v>
      </c>
      <c r="L1762" t="s">
        <v>629</v>
      </c>
      <c r="M1762" t="s">
        <v>12</v>
      </c>
      <c r="N1762" s="2">
        <v>8000</v>
      </c>
      <c r="O1762" s="2">
        <v>-5751.43</v>
      </c>
      <c r="P1762" s="2">
        <v>0</v>
      </c>
      <c r="Q1762" s="2">
        <v>2248.5700000000002</v>
      </c>
      <c r="R1762" s="2">
        <v>0</v>
      </c>
      <c r="S1762" s="2">
        <v>2248.5700000000002</v>
      </c>
      <c r="T1762" s="2">
        <v>2019.97</v>
      </c>
      <c r="U1762" s="2">
        <v>0</v>
      </c>
      <c r="V1762" s="2">
        <v>228.6</v>
      </c>
      <c r="W1762" s="2">
        <v>0</v>
      </c>
    </row>
    <row r="1763" spans="1:23" outlineLevel="2" x14ac:dyDescent="0.2">
      <c r="A1763" t="s">
        <v>402</v>
      </c>
      <c r="B1763" t="s">
        <v>1</v>
      </c>
      <c r="C1763" t="s">
        <v>2</v>
      </c>
      <c r="D1763" t="s">
        <v>25</v>
      </c>
      <c r="E1763" t="s">
        <v>26</v>
      </c>
      <c r="F1763" t="s">
        <v>5</v>
      </c>
      <c r="G1763" t="s">
        <v>6</v>
      </c>
      <c r="H1763" t="s">
        <v>7</v>
      </c>
      <c r="I1763" t="s">
        <v>8</v>
      </c>
      <c r="J1763" t="s">
        <v>403</v>
      </c>
      <c r="K1763" t="s">
        <v>621</v>
      </c>
      <c r="L1763" t="s">
        <v>623</v>
      </c>
      <c r="M1763" t="s">
        <v>15</v>
      </c>
      <c r="N1763" s="2">
        <v>25000</v>
      </c>
      <c r="O1763" s="2">
        <v>0</v>
      </c>
      <c r="P1763" s="2">
        <v>-25000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</row>
    <row r="1764" spans="1:23" outlineLevel="2" x14ac:dyDescent="0.2">
      <c r="A1764" t="s">
        <v>402</v>
      </c>
      <c r="B1764" t="s">
        <v>31</v>
      </c>
      <c r="C1764" t="s">
        <v>79</v>
      </c>
      <c r="D1764" t="s">
        <v>117</v>
      </c>
      <c r="E1764" t="s">
        <v>118</v>
      </c>
      <c r="F1764" t="s">
        <v>5</v>
      </c>
      <c r="G1764" t="s">
        <v>6</v>
      </c>
      <c r="H1764" t="s">
        <v>7</v>
      </c>
      <c r="I1764" t="s">
        <v>8</v>
      </c>
      <c r="J1764" t="s">
        <v>403</v>
      </c>
      <c r="K1764" t="s">
        <v>621</v>
      </c>
      <c r="L1764" t="s">
        <v>624</v>
      </c>
      <c r="M1764" t="s">
        <v>12</v>
      </c>
      <c r="N1764" s="2">
        <v>3000</v>
      </c>
      <c r="O1764" s="2">
        <v>0</v>
      </c>
      <c r="P1764" s="2">
        <v>0</v>
      </c>
      <c r="Q1764" s="2">
        <v>3000</v>
      </c>
      <c r="R1764" s="2">
        <v>0</v>
      </c>
      <c r="S1764" s="2">
        <v>672</v>
      </c>
      <c r="T1764" s="2">
        <v>672</v>
      </c>
      <c r="U1764" s="2">
        <v>2328</v>
      </c>
      <c r="V1764" s="2">
        <v>2328</v>
      </c>
      <c r="W1764" s="2">
        <v>2328</v>
      </c>
    </row>
    <row r="1765" spans="1:23" outlineLevel="2" x14ac:dyDescent="0.2">
      <c r="A1765" t="s">
        <v>402</v>
      </c>
      <c r="B1765" t="s">
        <v>1</v>
      </c>
      <c r="C1765" t="s">
        <v>2</v>
      </c>
      <c r="D1765" t="s">
        <v>630</v>
      </c>
      <c r="E1765" t="s">
        <v>631</v>
      </c>
      <c r="F1765" t="s">
        <v>5</v>
      </c>
      <c r="G1765" t="s">
        <v>6</v>
      </c>
      <c r="H1765" t="s">
        <v>7</v>
      </c>
      <c r="I1765" t="s">
        <v>8</v>
      </c>
      <c r="J1765" t="s">
        <v>403</v>
      </c>
      <c r="K1765" t="s">
        <v>621</v>
      </c>
      <c r="L1765" t="s">
        <v>623</v>
      </c>
      <c r="M1765" t="s">
        <v>15</v>
      </c>
      <c r="N1765" s="2">
        <v>1000</v>
      </c>
      <c r="O1765" s="2">
        <v>0</v>
      </c>
      <c r="P1765" s="2">
        <v>-1000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</row>
    <row r="1766" spans="1:23" outlineLevel="2" x14ac:dyDescent="0.2">
      <c r="A1766" t="s">
        <v>402</v>
      </c>
      <c r="B1766" t="s">
        <v>39</v>
      </c>
      <c r="C1766" t="s">
        <v>58</v>
      </c>
      <c r="D1766" t="s">
        <v>135</v>
      </c>
      <c r="E1766" t="s">
        <v>136</v>
      </c>
      <c r="F1766" t="s">
        <v>5</v>
      </c>
      <c r="G1766" t="s">
        <v>6</v>
      </c>
      <c r="H1766" t="s">
        <v>7</v>
      </c>
      <c r="I1766" t="s">
        <v>8</v>
      </c>
      <c r="J1766" t="s">
        <v>403</v>
      </c>
      <c r="K1766" t="s">
        <v>621</v>
      </c>
      <c r="L1766" t="s">
        <v>626</v>
      </c>
      <c r="M1766" t="s">
        <v>12</v>
      </c>
      <c r="N1766" s="2">
        <v>1000</v>
      </c>
      <c r="O1766" s="2">
        <v>5000</v>
      </c>
      <c r="P1766" s="2">
        <v>0</v>
      </c>
      <c r="Q1766" s="2">
        <v>6000</v>
      </c>
      <c r="R1766" s="2">
        <v>0</v>
      </c>
      <c r="S1766" s="2">
        <v>5924.8</v>
      </c>
      <c r="T1766" s="2">
        <v>0</v>
      </c>
      <c r="U1766" s="2">
        <v>75.2</v>
      </c>
      <c r="V1766" s="2">
        <v>6000</v>
      </c>
      <c r="W1766" s="2">
        <v>75.2</v>
      </c>
    </row>
    <row r="1767" spans="1:23" outlineLevel="2" x14ac:dyDescent="0.2">
      <c r="A1767" t="s">
        <v>402</v>
      </c>
      <c r="B1767" t="s">
        <v>1</v>
      </c>
      <c r="C1767" t="s">
        <v>2</v>
      </c>
      <c r="D1767" t="s">
        <v>20</v>
      </c>
      <c r="E1767" t="s">
        <v>21</v>
      </c>
      <c r="F1767" t="s">
        <v>5</v>
      </c>
      <c r="G1767" t="s">
        <v>6</v>
      </c>
      <c r="H1767" t="s">
        <v>7</v>
      </c>
      <c r="I1767" t="s">
        <v>8</v>
      </c>
      <c r="J1767" t="s">
        <v>403</v>
      </c>
      <c r="K1767" t="s">
        <v>632</v>
      </c>
      <c r="L1767" t="s">
        <v>633</v>
      </c>
      <c r="M1767" t="s">
        <v>12</v>
      </c>
      <c r="N1767" s="2">
        <v>0</v>
      </c>
      <c r="O1767" s="2">
        <v>0</v>
      </c>
      <c r="P1767" s="2">
        <v>3000</v>
      </c>
      <c r="Q1767" s="2">
        <v>3000</v>
      </c>
      <c r="R1767" s="2">
        <v>0</v>
      </c>
      <c r="S1767" s="2">
        <v>0</v>
      </c>
      <c r="T1767" s="2">
        <v>0</v>
      </c>
      <c r="U1767" s="2">
        <v>3000</v>
      </c>
      <c r="V1767" s="2">
        <v>3000</v>
      </c>
      <c r="W1767" s="2">
        <v>3000</v>
      </c>
    </row>
    <row r="1768" spans="1:23" outlineLevel="2" x14ac:dyDescent="0.2">
      <c r="A1768" t="s">
        <v>402</v>
      </c>
      <c r="B1768" t="s">
        <v>1</v>
      </c>
      <c r="C1768" t="s">
        <v>16</v>
      </c>
      <c r="D1768" t="s">
        <v>62</v>
      </c>
      <c r="E1768" t="s">
        <v>63</v>
      </c>
      <c r="F1768" t="s">
        <v>5</v>
      </c>
      <c r="G1768" t="s">
        <v>6</v>
      </c>
      <c r="H1768" t="s">
        <v>7</v>
      </c>
      <c r="I1768" t="s">
        <v>8</v>
      </c>
      <c r="J1768" t="s">
        <v>403</v>
      </c>
      <c r="K1768" t="s">
        <v>632</v>
      </c>
      <c r="L1768" t="s">
        <v>634</v>
      </c>
      <c r="M1768" t="s">
        <v>12</v>
      </c>
      <c r="N1768" s="2">
        <v>0</v>
      </c>
      <c r="O1768" s="2">
        <v>0</v>
      </c>
      <c r="P1768" s="2">
        <v>1200</v>
      </c>
      <c r="Q1768" s="2">
        <v>1200</v>
      </c>
      <c r="R1768" s="2">
        <v>0</v>
      </c>
      <c r="S1768" s="2">
        <v>0</v>
      </c>
      <c r="T1768" s="2">
        <v>0</v>
      </c>
      <c r="U1768" s="2">
        <v>1200</v>
      </c>
      <c r="V1768" s="2">
        <v>1200</v>
      </c>
      <c r="W1768" s="2">
        <v>1200</v>
      </c>
    </row>
    <row r="1769" spans="1:23" outlineLevel="2" x14ac:dyDescent="0.2">
      <c r="A1769" t="s">
        <v>402</v>
      </c>
      <c r="B1769" t="s">
        <v>1</v>
      </c>
      <c r="C1769" t="s">
        <v>2</v>
      </c>
      <c r="D1769" t="s">
        <v>3</v>
      </c>
      <c r="E1769" t="s">
        <v>4</v>
      </c>
      <c r="F1769" t="s">
        <v>5</v>
      </c>
      <c r="G1769" t="s">
        <v>6</v>
      </c>
      <c r="H1769" t="s">
        <v>7</v>
      </c>
      <c r="I1769" t="s">
        <v>8</v>
      </c>
      <c r="J1769" t="s">
        <v>403</v>
      </c>
      <c r="K1769" t="s">
        <v>632</v>
      </c>
      <c r="L1769" t="s">
        <v>633</v>
      </c>
      <c r="M1769" t="s">
        <v>15</v>
      </c>
      <c r="N1769" s="2">
        <v>3600</v>
      </c>
      <c r="O1769" s="2">
        <v>-2640.96</v>
      </c>
      <c r="P1769" s="2">
        <v>-220.55</v>
      </c>
      <c r="Q1769" s="2">
        <v>738.49</v>
      </c>
      <c r="R1769" s="2">
        <v>0</v>
      </c>
      <c r="S1769" s="2">
        <v>738.49</v>
      </c>
      <c r="T1769" s="2">
        <v>19.45</v>
      </c>
      <c r="U1769" s="2">
        <v>0</v>
      </c>
      <c r="V1769" s="2">
        <v>719.04</v>
      </c>
      <c r="W1769" s="2">
        <v>0</v>
      </c>
    </row>
    <row r="1770" spans="1:23" outlineLevel="2" x14ac:dyDescent="0.2">
      <c r="A1770" t="s">
        <v>402</v>
      </c>
      <c r="B1770" t="s">
        <v>39</v>
      </c>
      <c r="C1770" t="s">
        <v>58</v>
      </c>
      <c r="D1770" t="s">
        <v>147</v>
      </c>
      <c r="E1770" t="s">
        <v>148</v>
      </c>
      <c r="F1770" t="s">
        <v>5</v>
      </c>
      <c r="G1770" t="s">
        <v>6</v>
      </c>
      <c r="H1770" t="s">
        <v>7</v>
      </c>
      <c r="I1770" t="s">
        <v>8</v>
      </c>
      <c r="J1770" t="s">
        <v>403</v>
      </c>
      <c r="K1770" t="s">
        <v>632</v>
      </c>
      <c r="L1770" t="s">
        <v>635</v>
      </c>
      <c r="M1770" t="s">
        <v>12</v>
      </c>
      <c r="N1770" s="2">
        <v>3000</v>
      </c>
      <c r="O1770" s="2">
        <v>0</v>
      </c>
      <c r="P1770" s="2">
        <v>-1000</v>
      </c>
      <c r="Q1770" s="2">
        <v>2000</v>
      </c>
      <c r="R1770" s="2">
        <v>1616.2</v>
      </c>
      <c r="S1770" s="2">
        <v>383.8</v>
      </c>
      <c r="T1770" s="2">
        <v>0</v>
      </c>
      <c r="U1770" s="2">
        <v>1616.2</v>
      </c>
      <c r="V1770" s="2">
        <v>2000</v>
      </c>
      <c r="W1770" s="2">
        <v>0</v>
      </c>
    </row>
    <row r="1771" spans="1:23" outlineLevel="2" x14ac:dyDescent="0.2">
      <c r="A1771" t="s">
        <v>402</v>
      </c>
      <c r="B1771" t="s">
        <v>39</v>
      </c>
      <c r="C1771" t="s">
        <v>58</v>
      </c>
      <c r="D1771" t="s">
        <v>135</v>
      </c>
      <c r="E1771" t="s">
        <v>136</v>
      </c>
      <c r="F1771" t="s">
        <v>5</v>
      </c>
      <c r="G1771" t="s">
        <v>6</v>
      </c>
      <c r="H1771" t="s">
        <v>7</v>
      </c>
      <c r="I1771" t="s">
        <v>8</v>
      </c>
      <c r="J1771" t="s">
        <v>403</v>
      </c>
      <c r="K1771" t="s">
        <v>632</v>
      </c>
      <c r="L1771" t="s">
        <v>635</v>
      </c>
      <c r="M1771" t="s">
        <v>12</v>
      </c>
      <c r="N1771" s="2">
        <v>0</v>
      </c>
      <c r="O1771" s="2">
        <v>120</v>
      </c>
      <c r="P1771" s="2">
        <v>-120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</row>
    <row r="1772" spans="1:23" outlineLevel="2" x14ac:dyDescent="0.2">
      <c r="A1772" t="s">
        <v>402</v>
      </c>
      <c r="B1772" t="s">
        <v>39</v>
      </c>
      <c r="C1772" t="s">
        <v>40</v>
      </c>
      <c r="D1772" t="s">
        <v>77</v>
      </c>
      <c r="E1772" t="s">
        <v>78</v>
      </c>
      <c r="F1772" t="s">
        <v>5</v>
      </c>
      <c r="G1772" t="s">
        <v>6</v>
      </c>
      <c r="H1772" t="s">
        <v>7</v>
      </c>
      <c r="I1772" t="s">
        <v>8</v>
      </c>
      <c r="J1772" t="s">
        <v>403</v>
      </c>
      <c r="K1772" t="s">
        <v>632</v>
      </c>
      <c r="L1772" t="s">
        <v>636</v>
      </c>
      <c r="M1772" t="s">
        <v>12</v>
      </c>
      <c r="N1772" s="2">
        <v>0</v>
      </c>
      <c r="O1772" s="2">
        <v>600</v>
      </c>
      <c r="P1772" s="2">
        <v>0</v>
      </c>
      <c r="Q1772" s="2">
        <v>600</v>
      </c>
      <c r="R1772" s="2">
        <v>0</v>
      </c>
      <c r="S1772" s="2">
        <v>600</v>
      </c>
      <c r="T1772" s="2">
        <v>217.44</v>
      </c>
      <c r="U1772" s="2">
        <v>0</v>
      </c>
      <c r="V1772" s="2">
        <v>382.56</v>
      </c>
      <c r="W1772" s="2">
        <v>0</v>
      </c>
    </row>
    <row r="1773" spans="1:23" outlineLevel="2" x14ac:dyDescent="0.2">
      <c r="A1773" t="s">
        <v>402</v>
      </c>
      <c r="B1773" t="s">
        <v>1</v>
      </c>
      <c r="C1773" t="s">
        <v>91</v>
      </c>
      <c r="D1773" t="s">
        <v>92</v>
      </c>
      <c r="E1773" t="s">
        <v>93</v>
      </c>
      <c r="F1773" t="s">
        <v>5</v>
      </c>
      <c r="G1773" t="s">
        <v>6</v>
      </c>
      <c r="H1773" t="s">
        <v>7</v>
      </c>
      <c r="I1773" t="s">
        <v>8</v>
      </c>
      <c r="J1773" t="s">
        <v>403</v>
      </c>
      <c r="K1773" t="s">
        <v>632</v>
      </c>
      <c r="L1773" t="s">
        <v>637</v>
      </c>
      <c r="M1773" t="s">
        <v>15</v>
      </c>
      <c r="N1773" s="2">
        <v>200</v>
      </c>
      <c r="O1773" s="2">
        <v>116.51</v>
      </c>
      <c r="P1773" s="2">
        <v>0</v>
      </c>
      <c r="Q1773" s="2">
        <v>316.51</v>
      </c>
      <c r="R1773" s="2">
        <v>0</v>
      </c>
      <c r="S1773" s="2">
        <v>316.51</v>
      </c>
      <c r="T1773" s="2">
        <v>316.51</v>
      </c>
      <c r="U1773" s="2">
        <v>0</v>
      </c>
      <c r="V1773" s="2">
        <v>0</v>
      </c>
      <c r="W1773" s="2">
        <v>0</v>
      </c>
    </row>
    <row r="1774" spans="1:23" outlineLevel="2" x14ac:dyDescent="0.2">
      <c r="A1774" t="s">
        <v>402</v>
      </c>
      <c r="B1774" t="s">
        <v>1</v>
      </c>
      <c r="C1774" t="s">
        <v>2</v>
      </c>
      <c r="D1774" t="s">
        <v>20</v>
      </c>
      <c r="E1774" t="s">
        <v>21</v>
      </c>
      <c r="F1774" t="s">
        <v>5</v>
      </c>
      <c r="G1774" t="s">
        <v>6</v>
      </c>
      <c r="H1774" t="s">
        <v>7</v>
      </c>
      <c r="I1774" t="s">
        <v>8</v>
      </c>
      <c r="J1774" t="s">
        <v>403</v>
      </c>
      <c r="K1774" t="s">
        <v>632</v>
      </c>
      <c r="L1774" t="s">
        <v>633</v>
      </c>
      <c r="M1774" t="s">
        <v>15</v>
      </c>
      <c r="N1774" s="2">
        <v>6000</v>
      </c>
      <c r="O1774" s="2">
        <v>0</v>
      </c>
      <c r="P1774" s="2">
        <v>-3000</v>
      </c>
      <c r="Q1774" s="2">
        <v>3000</v>
      </c>
      <c r="R1774" s="2">
        <v>0</v>
      </c>
      <c r="S1774" s="2">
        <v>0</v>
      </c>
      <c r="T1774" s="2">
        <v>0</v>
      </c>
      <c r="U1774" s="2">
        <v>3000</v>
      </c>
      <c r="V1774" s="2">
        <v>3000</v>
      </c>
      <c r="W1774" s="2">
        <v>3000</v>
      </c>
    </row>
    <row r="1775" spans="1:23" outlineLevel="2" x14ac:dyDescent="0.2">
      <c r="A1775" t="s">
        <v>402</v>
      </c>
      <c r="B1775" t="s">
        <v>1</v>
      </c>
      <c r="C1775" t="s">
        <v>2</v>
      </c>
      <c r="D1775" t="s">
        <v>3</v>
      </c>
      <c r="E1775" t="s">
        <v>4</v>
      </c>
      <c r="F1775" t="s">
        <v>5</v>
      </c>
      <c r="G1775" t="s">
        <v>6</v>
      </c>
      <c r="H1775" t="s">
        <v>7</v>
      </c>
      <c r="I1775" t="s">
        <v>8</v>
      </c>
      <c r="J1775" t="s">
        <v>403</v>
      </c>
      <c r="K1775" t="s">
        <v>632</v>
      </c>
      <c r="L1775" t="s">
        <v>633</v>
      </c>
      <c r="M1775" t="s">
        <v>12</v>
      </c>
      <c r="N1775" s="2">
        <v>0</v>
      </c>
      <c r="O1775" s="2">
        <v>0</v>
      </c>
      <c r="P1775" s="2">
        <v>220.55</v>
      </c>
      <c r="Q1775" s="2">
        <v>220.55</v>
      </c>
      <c r="R1775" s="2">
        <v>0</v>
      </c>
      <c r="S1775" s="2">
        <v>0</v>
      </c>
      <c r="T1775" s="2">
        <v>0</v>
      </c>
      <c r="U1775" s="2">
        <v>220.55</v>
      </c>
      <c r="V1775" s="2">
        <v>220.55</v>
      </c>
      <c r="W1775" s="2">
        <v>220.55</v>
      </c>
    </row>
    <row r="1776" spans="1:23" outlineLevel="2" x14ac:dyDescent="0.2">
      <c r="A1776" t="s">
        <v>402</v>
      </c>
      <c r="B1776" t="s">
        <v>39</v>
      </c>
      <c r="C1776" t="s">
        <v>70</v>
      </c>
      <c r="D1776" t="s">
        <v>89</v>
      </c>
      <c r="E1776" t="s">
        <v>90</v>
      </c>
      <c r="F1776" t="s">
        <v>5</v>
      </c>
      <c r="G1776" t="s">
        <v>6</v>
      </c>
      <c r="H1776" t="s">
        <v>7</v>
      </c>
      <c r="I1776" t="s">
        <v>8</v>
      </c>
      <c r="J1776" t="s">
        <v>403</v>
      </c>
      <c r="K1776" t="s">
        <v>632</v>
      </c>
      <c r="L1776" t="s">
        <v>638</v>
      </c>
      <c r="M1776" t="s">
        <v>12</v>
      </c>
      <c r="N1776" s="2">
        <v>200</v>
      </c>
      <c r="O1776" s="2">
        <v>0</v>
      </c>
      <c r="P1776" s="2">
        <v>0</v>
      </c>
      <c r="Q1776" s="2">
        <v>200</v>
      </c>
      <c r="R1776" s="2">
        <v>0</v>
      </c>
      <c r="S1776" s="2">
        <v>200</v>
      </c>
      <c r="T1776" s="2">
        <v>131.31</v>
      </c>
      <c r="U1776" s="2">
        <v>0</v>
      </c>
      <c r="V1776" s="2">
        <v>68.69</v>
      </c>
      <c r="W1776" s="2">
        <v>0</v>
      </c>
    </row>
    <row r="1777" spans="1:23" outlineLevel="2" x14ac:dyDescent="0.2">
      <c r="A1777" t="s">
        <v>402</v>
      </c>
      <c r="B1777" t="s">
        <v>39</v>
      </c>
      <c r="C1777" t="s">
        <v>66</v>
      </c>
      <c r="D1777" t="s">
        <v>67</v>
      </c>
      <c r="E1777" t="s">
        <v>68</v>
      </c>
      <c r="F1777" t="s">
        <v>5</v>
      </c>
      <c r="G1777" t="s">
        <v>6</v>
      </c>
      <c r="H1777" t="s">
        <v>7</v>
      </c>
      <c r="I1777" t="s">
        <v>8</v>
      </c>
      <c r="J1777" t="s">
        <v>403</v>
      </c>
      <c r="K1777" t="s">
        <v>632</v>
      </c>
      <c r="L1777" t="s">
        <v>639</v>
      </c>
      <c r="M1777" t="s">
        <v>12</v>
      </c>
      <c r="N1777" s="2">
        <v>50</v>
      </c>
      <c r="O1777" s="2">
        <v>-50</v>
      </c>
      <c r="P1777" s="2">
        <v>0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</row>
    <row r="1778" spans="1:23" outlineLevel="2" x14ac:dyDescent="0.2">
      <c r="A1778" t="s">
        <v>402</v>
      </c>
      <c r="B1778" t="s">
        <v>31</v>
      </c>
      <c r="C1778" t="s">
        <v>79</v>
      </c>
      <c r="D1778" t="s">
        <v>113</v>
      </c>
      <c r="E1778" t="s">
        <v>114</v>
      </c>
      <c r="F1778" t="s">
        <v>5</v>
      </c>
      <c r="G1778" t="s">
        <v>6</v>
      </c>
      <c r="H1778" t="s">
        <v>7</v>
      </c>
      <c r="I1778" t="s">
        <v>8</v>
      </c>
      <c r="J1778" t="s">
        <v>403</v>
      </c>
      <c r="K1778" t="s">
        <v>632</v>
      </c>
      <c r="L1778" t="s">
        <v>640</v>
      </c>
      <c r="M1778" t="s">
        <v>12</v>
      </c>
      <c r="N1778" s="2">
        <v>500</v>
      </c>
      <c r="O1778" s="2">
        <v>0</v>
      </c>
      <c r="P1778" s="2">
        <v>-500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</row>
    <row r="1779" spans="1:23" outlineLevel="2" x14ac:dyDescent="0.2">
      <c r="A1779" t="s">
        <v>402</v>
      </c>
      <c r="B1779" t="s">
        <v>1</v>
      </c>
      <c r="C1779" t="s">
        <v>16</v>
      </c>
      <c r="D1779" t="s">
        <v>62</v>
      </c>
      <c r="E1779" t="s">
        <v>63</v>
      </c>
      <c r="F1779" t="s">
        <v>5</v>
      </c>
      <c r="G1779" t="s">
        <v>6</v>
      </c>
      <c r="H1779" t="s">
        <v>7</v>
      </c>
      <c r="I1779" t="s">
        <v>8</v>
      </c>
      <c r="J1779" t="s">
        <v>403</v>
      </c>
      <c r="K1779" t="s">
        <v>632</v>
      </c>
      <c r="L1779" t="s">
        <v>634</v>
      </c>
      <c r="M1779" t="s">
        <v>15</v>
      </c>
      <c r="N1779" s="2">
        <v>14400</v>
      </c>
      <c r="O1779" s="2">
        <v>0</v>
      </c>
      <c r="P1779" s="2">
        <v>-14400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</row>
    <row r="1780" spans="1:23" outlineLevel="2" x14ac:dyDescent="0.2">
      <c r="A1780" t="s">
        <v>402</v>
      </c>
      <c r="B1780" t="s">
        <v>39</v>
      </c>
      <c r="C1780" t="s">
        <v>58</v>
      </c>
      <c r="D1780" t="s">
        <v>149</v>
      </c>
      <c r="E1780" t="s">
        <v>150</v>
      </c>
      <c r="F1780" t="s">
        <v>5</v>
      </c>
      <c r="G1780" t="s">
        <v>6</v>
      </c>
      <c r="H1780" t="s">
        <v>7</v>
      </c>
      <c r="I1780" t="s">
        <v>8</v>
      </c>
      <c r="J1780" t="s">
        <v>403</v>
      </c>
      <c r="K1780" t="s">
        <v>632</v>
      </c>
      <c r="L1780" t="s">
        <v>635</v>
      </c>
      <c r="M1780" t="s">
        <v>12</v>
      </c>
      <c r="N1780" s="2">
        <v>20</v>
      </c>
      <c r="O1780" s="2">
        <v>0</v>
      </c>
      <c r="P1780" s="2">
        <v>-20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</row>
    <row r="1781" spans="1:23" outlineLevel="2" x14ac:dyDescent="0.2">
      <c r="A1781" t="s">
        <v>402</v>
      </c>
      <c r="B1781" t="s">
        <v>1</v>
      </c>
      <c r="C1781" t="s">
        <v>2</v>
      </c>
      <c r="D1781" t="s">
        <v>410</v>
      </c>
      <c r="E1781" t="s">
        <v>411</v>
      </c>
      <c r="F1781" t="s">
        <v>5</v>
      </c>
      <c r="G1781" t="s">
        <v>6</v>
      </c>
      <c r="H1781" t="s">
        <v>7</v>
      </c>
      <c r="I1781" t="s">
        <v>8</v>
      </c>
      <c r="J1781" t="s">
        <v>403</v>
      </c>
      <c r="K1781" t="s">
        <v>632</v>
      </c>
      <c r="L1781" t="s">
        <v>633</v>
      </c>
      <c r="M1781" t="s">
        <v>15</v>
      </c>
      <c r="N1781" s="2">
        <v>6400</v>
      </c>
      <c r="O1781" s="2">
        <v>0</v>
      </c>
      <c r="P1781" s="2">
        <v>-4400</v>
      </c>
      <c r="Q1781" s="2">
        <v>2000</v>
      </c>
      <c r="R1781" s="2">
        <v>0</v>
      </c>
      <c r="S1781" s="2">
        <v>2000</v>
      </c>
      <c r="T1781" s="2">
        <v>208.8</v>
      </c>
      <c r="U1781" s="2">
        <v>0</v>
      </c>
      <c r="V1781" s="2">
        <v>1791.2</v>
      </c>
      <c r="W1781" s="2">
        <v>0</v>
      </c>
    </row>
    <row r="1782" spans="1:23" outlineLevel="2" x14ac:dyDescent="0.2">
      <c r="A1782" t="s">
        <v>402</v>
      </c>
      <c r="B1782" t="s">
        <v>1</v>
      </c>
      <c r="C1782" t="s">
        <v>2</v>
      </c>
      <c r="D1782" t="s">
        <v>3</v>
      </c>
      <c r="E1782" t="s">
        <v>4</v>
      </c>
      <c r="F1782" t="s">
        <v>5</v>
      </c>
      <c r="G1782" t="s">
        <v>6</v>
      </c>
      <c r="H1782" t="s">
        <v>7</v>
      </c>
      <c r="I1782" t="s">
        <v>8</v>
      </c>
      <c r="J1782" t="s">
        <v>403</v>
      </c>
      <c r="K1782" t="s">
        <v>641</v>
      </c>
      <c r="L1782" t="s">
        <v>642</v>
      </c>
      <c r="M1782" t="s">
        <v>15</v>
      </c>
      <c r="N1782" s="2">
        <v>0</v>
      </c>
      <c r="O1782" s="2">
        <v>17391.650000000001</v>
      </c>
      <c r="P1782" s="2">
        <v>-426.61</v>
      </c>
      <c r="Q1782" s="2">
        <v>16965.04</v>
      </c>
      <c r="R1782" s="2">
        <v>0</v>
      </c>
      <c r="S1782" s="2">
        <v>16965.04</v>
      </c>
      <c r="T1782" s="2">
        <v>16965.04</v>
      </c>
      <c r="U1782" s="2">
        <v>0</v>
      </c>
      <c r="V1782" s="2">
        <v>0</v>
      </c>
      <c r="W1782" s="2">
        <v>0</v>
      </c>
    </row>
    <row r="1783" spans="1:23" outlineLevel="2" x14ac:dyDescent="0.2">
      <c r="A1783" t="s">
        <v>402</v>
      </c>
      <c r="B1783" t="s">
        <v>39</v>
      </c>
      <c r="C1783" t="s">
        <v>66</v>
      </c>
      <c r="D1783" t="s">
        <v>67</v>
      </c>
      <c r="E1783" t="s">
        <v>68</v>
      </c>
      <c r="F1783" t="s">
        <v>5</v>
      </c>
      <c r="G1783" t="s">
        <v>6</v>
      </c>
      <c r="H1783" t="s">
        <v>7</v>
      </c>
      <c r="I1783" t="s">
        <v>8</v>
      </c>
      <c r="J1783" t="s">
        <v>403</v>
      </c>
      <c r="K1783" t="s">
        <v>641</v>
      </c>
      <c r="L1783" t="s">
        <v>643</v>
      </c>
      <c r="M1783" t="s">
        <v>12</v>
      </c>
      <c r="N1783" s="2">
        <v>100</v>
      </c>
      <c r="O1783" s="2">
        <v>-75</v>
      </c>
      <c r="P1783" s="2">
        <v>0</v>
      </c>
      <c r="Q1783" s="2">
        <v>25</v>
      </c>
      <c r="R1783" s="2">
        <v>0</v>
      </c>
      <c r="S1783" s="2">
        <v>17.64</v>
      </c>
      <c r="T1783" s="2">
        <v>17.64</v>
      </c>
      <c r="U1783" s="2">
        <v>7.36</v>
      </c>
      <c r="V1783" s="2">
        <v>7.36</v>
      </c>
      <c r="W1783" s="2">
        <v>7.36</v>
      </c>
    </row>
    <row r="1784" spans="1:23" outlineLevel="2" x14ac:dyDescent="0.2">
      <c r="A1784" t="s">
        <v>402</v>
      </c>
      <c r="B1784" t="s">
        <v>1</v>
      </c>
      <c r="C1784" t="s">
        <v>91</v>
      </c>
      <c r="D1784" t="s">
        <v>92</v>
      </c>
      <c r="E1784" t="s">
        <v>93</v>
      </c>
      <c r="F1784" t="s">
        <v>5</v>
      </c>
      <c r="G1784" t="s">
        <v>6</v>
      </c>
      <c r="H1784" t="s">
        <v>7</v>
      </c>
      <c r="I1784" t="s">
        <v>8</v>
      </c>
      <c r="J1784" t="s">
        <v>403</v>
      </c>
      <c r="K1784" t="s">
        <v>641</v>
      </c>
      <c r="L1784" t="s">
        <v>644</v>
      </c>
      <c r="M1784" t="s">
        <v>12</v>
      </c>
      <c r="N1784" s="2">
        <v>0</v>
      </c>
      <c r="O1784" s="2">
        <v>0</v>
      </c>
      <c r="P1784" s="2">
        <v>27664.79</v>
      </c>
      <c r="Q1784" s="2">
        <v>27664.79</v>
      </c>
      <c r="R1784" s="2">
        <v>0</v>
      </c>
      <c r="S1784" s="2">
        <v>0</v>
      </c>
      <c r="T1784" s="2">
        <v>0</v>
      </c>
      <c r="U1784" s="2">
        <v>27664.79</v>
      </c>
      <c r="V1784" s="2">
        <v>27664.79</v>
      </c>
      <c r="W1784" s="2">
        <v>27664.79</v>
      </c>
    </row>
    <row r="1785" spans="1:23" outlineLevel="2" x14ac:dyDescent="0.2">
      <c r="A1785" t="s">
        <v>402</v>
      </c>
      <c r="B1785" t="s">
        <v>1</v>
      </c>
      <c r="C1785" t="s">
        <v>2</v>
      </c>
      <c r="D1785" t="s">
        <v>3</v>
      </c>
      <c r="E1785" t="s">
        <v>4</v>
      </c>
      <c r="F1785" t="s">
        <v>5</v>
      </c>
      <c r="G1785" t="s">
        <v>6</v>
      </c>
      <c r="H1785" t="s">
        <v>7</v>
      </c>
      <c r="I1785" t="s">
        <v>8</v>
      </c>
      <c r="J1785" t="s">
        <v>403</v>
      </c>
      <c r="K1785" t="s">
        <v>641</v>
      </c>
      <c r="L1785" t="s">
        <v>642</v>
      </c>
      <c r="M1785" t="s">
        <v>12</v>
      </c>
      <c r="N1785" s="2">
        <v>0</v>
      </c>
      <c r="O1785" s="2">
        <v>-15.5</v>
      </c>
      <c r="P1785" s="2">
        <v>426.61</v>
      </c>
      <c r="Q1785" s="2">
        <v>411.11</v>
      </c>
      <c r="R1785" s="2">
        <v>0</v>
      </c>
      <c r="S1785" s="2">
        <v>0</v>
      </c>
      <c r="T1785" s="2">
        <v>0</v>
      </c>
      <c r="U1785" s="2">
        <v>411.11</v>
      </c>
      <c r="V1785" s="2">
        <v>411.11</v>
      </c>
      <c r="W1785" s="2">
        <v>411.11</v>
      </c>
    </row>
    <row r="1786" spans="1:23" outlineLevel="2" x14ac:dyDescent="0.2">
      <c r="A1786" t="s">
        <v>402</v>
      </c>
      <c r="B1786" t="s">
        <v>31</v>
      </c>
      <c r="C1786" t="s">
        <v>79</v>
      </c>
      <c r="D1786" t="s">
        <v>80</v>
      </c>
      <c r="E1786" t="s">
        <v>81</v>
      </c>
      <c r="F1786" t="s">
        <v>5</v>
      </c>
      <c r="G1786" t="s">
        <v>6</v>
      </c>
      <c r="H1786" t="s">
        <v>7</v>
      </c>
      <c r="I1786" t="s">
        <v>8</v>
      </c>
      <c r="J1786" t="s">
        <v>403</v>
      </c>
      <c r="K1786" t="s">
        <v>641</v>
      </c>
      <c r="L1786" t="s">
        <v>645</v>
      </c>
      <c r="M1786" t="s">
        <v>12</v>
      </c>
      <c r="N1786" s="2">
        <v>0</v>
      </c>
      <c r="O1786" s="2">
        <v>1500</v>
      </c>
      <c r="P1786" s="2">
        <v>0</v>
      </c>
      <c r="Q1786" s="2">
        <v>1500</v>
      </c>
      <c r="R1786" s="2">
        <v>228.4</v>
      </c>
      <c r="S1786" s="2">
        <v>971.6</v>
      </c>
      <c r="T1786" s="2">
        <v>0</v>
      </c>
      <c r="U1786" s="2">
        <v>528.4</v>
      </c>
      <c r="V1786" s="2">
        <v>1500</v>
      </c>
      <c r="W1786" s="2">
        <v>300</v>
      </c>
    </row>
    <row r="1787" spans="1:23" outlineLevel="2" x14ac:dyDescent="0.2">
      <c r="A1787" t="s">
        <v>402</v>
      </c>
      <c r="B1787" t="s">
        <v>1</v>
      </c>
      <c r="C1787" t="s">
        <v>2</v>
      </c>
      <c r="D1787" t="s">
        <v>25</v>
      </c>
      <c r="E1787" t="s">
        <v>26</v>
      </c>
      <c r="F1787" t="s">
        <v>5</v>
      </c>
      <c r="G1787" t="s">
        <v>6</v>
      </c>
      <c r="H1787" t="s">
        <v>7</v>
      </c>
      <c r="I1787" t="s">
        <v>8</v>
      </c>
      <c r="J1787" t="s">
        <v>403</v>
      </c>
      <c r="K1787" t="s">
        <v>641</v>
      </c>
      <c r="L1787" t="s">
        <v>642</v>
      </c>
      <c r="M1787" t="s">
        <v>12</v>
      </c>
      <c r="N1787" s="2">
        <v>0</v>
      </c>
      <c r="O1787" s="2">
        <v>-500000</v>
      </c>
      <c r="P1787" s="2">
        <v>572077.89</v>
      </c>
      <c r="Q1787" s="2">
        <v>72077.89</v>
      </c>
      <c r="R1787" s="2">
        <v>0</v>
      </c>
      <c r="S1787" s="2">
        <v>0</v>
      </c>
      <c r="T1787" s="2">
        <v>0</v>
      </c>
      <c r="U1787" s="2">
        <v>72077.89</v>
      </c>
      <c r="V1787" s="2">
        <v>72077.89</v>
      </c>
      <c r="W1787" s="2">
        <v>72077.89</v>
      </c>
    </row>
    <row r="1788" spans="1:23" outlineLevel="2" x14ac:dyDescent="0.2">
      <c r="A1788" t="s">
        <v>402</v>
      </c>
      <c r="B1788" t="s">
        <v>39</v>
      </c>
      <c r="C1788" t="s">
        <v>58</v>
      </c>
      <c r="D1788" t="s">
        <v>143</v>
      </c>
      <c r="E1788" t="s">
        <v>144</v>
      </c>
      <c r="F1788" t="s">
        <v>5</v>
      </c>
      <c r="G1788" t="s">
        <v>6</v>
      </c>
      <c r="H1788" t="s">
        <v>7</v>
      </c>
      <c r="I1788" t="s">
        <v>8</v>
      </c>
      <c r="J1788" t="s">
        <v>403</v>
      </c>
      <c r="K1788" t="s">
        <v>641</v>
      </c>
      <c r="L1788" t="s">
        <v>646</v>
      </c>
      <c r="M1788" t="s">
        <v>12</v>
      </c>
      <c r="N1788" s="2">
        <v>0</v>
      </c>
      <c r="O1788" s="2">
        <v>200</v>
      </c>
      <c r="P1788" s="2">
        <v>-200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0</v>
      </c>
    </row>
    <row r="1789" spans="1:23" outlineLevel="2" x14ac:dyDescent="0.2">
      <c r="A1789" t="s">
        <v>402</v>
      </c>
      <c r="B1789" t="s">
        <v>1</v>
      </c>
      <c r="C1789" t="s">
        <v>91</v>
      </c>
      <c r="D1789" t="s">
        <v>92</v>
      </c>
      <c r="E1789" t="s">
        <v>93</v>
      </c>
      <c r="F1789" t="s">
        <v>5</v>
      </c>
      <c r="G1789" t="s">
        <v>6</v>
      </c>
      <c r="H1789" t="s">
        <v>7</v>
      </c>
      <c r="I1789" t="s">
        <v>8</v>
      </c>
      <c r="J1789" t="s">
        <v>403</v>
      </c>
      <c r="K1789" t="s">
        <v>641</v>
      </c>
      <c r="L1789" t="s">
        <v>644</v>
      </c>
      <c r="M1789" t="s">
        <v>15</v>
      </c>
      <c r="N1789" s="2">
        <v>20000</v>
      </c>
      <c r="O1789" s="2">
        <v>22173.54</v>
      </c>
      <c r="P1789" s="2">
        <v>-27664.79</v>
      </c>
      <c r="Q1789" s="2">
        <v>14508.75</v>
      </c>
      <c r="R1789" s="2">
        <v>3810.24</v>
      </c>
      <c r="S1789" s="2">
        <v>10698.51</v>
      </c>
      <c r="T1789" s="2">
        <v>8013.98</v>
      </c>
      <c r="U1789" s="2">
        <v>3810.24</v>
      </c>
      <c r="V1789" s="2">
        <v>6494.77</v>
      </c>
      <c r="W1789" s="2">
        <v>0</v>
      </c>
    </row>
    <row r="1790" spans="1:23" outlineLevel="2" x14ac:dyDescent="0.2">
      <c r="A1790" t="s">
        <v>402</v>
      </c>
      <c r="B1790" t="s">
        <v>1</v>
      </c>
      <c r="C1790" t="s">
        <v>2</v>
      </c>
      <c r="D1790" t="s">
        <v>25</v>
      </c>
      <c r="E1790" t="s">
        <v>26</v>
      </c>
      <c r="F1790" t="s">
        <v>5</v>
      </c>
      <c r="G1790" t="s">
        <v>6</v>
      </c>
      <c r="H1790" t="s">
        <v>7</v>
      </c>
      <c r="I1790" t="s">
        <v>8</v>
      </c>
      <c r="J1790" t="s">
        <v>403</v>
      </c>
      <c r="K1790" t="s">
        <v>641</v>
      </c>
      <c r="L1790" t="s">
        <v>642</v>
      </c>
      <c r="M1790" t="s">
        <v>15</v>
      </c>
      <c r="N1790" s="2">
        <v>955000</v>
      </c>
      <c r="O1790" s="2">
        <v>-247000</v>
      </c>
      <c r="P1790" s="2">
        <v>-572077.89</v>
      </c>
      <c r="Q1790" s="2">
        <v>135922.10999999999</v>
      </c>
      <c r="R1790" s="2">
        <v>62054.98</v>
      </c>
      <c r="S1790" s="2">
        <v>73867.13</v>
      </c>
      <c r="T1790" s="2">
        <v>59723.35</v>
      </c>
      <c r="U1790" s="2">
        <v>62054.98</v>
      </c>
      <c r="V1790" s="2">
        <v>76198.759999999995</v>
      </c>
      <c r="W1790" s="2">
        <v>0</v>
      </c>
    </row>
    <row r="1791" spans="1:23" outlineLevel="2" x14ac:dyDescent="0.2">
      <c r="A1791" t="s">
        <v>402</v>
      </c>
      <c r="B1791" t="s">
        <v>39</v>
      </c>
      <c r="C1791" t="s">
        <v>58</v>
      </c>
      <c r="D1791" t="s">
        <v>129</v>
      </c>
      <c r="E1791" t="s">
        <v>130</v>
      </c>
      <c r="F1791" t="s">
        <v>5</v>
      </c>
      <c r="G1791" t="s">
        <v>6</v>
      </c>
      <c r="H1791" t="s">
        <v>7</v>
      </c>
      <c r="I1791" t="s">
        <v>8</v>
      </c>
      <c r="J1791" t="s">
        <v>403</v>
      </c>
      <c r="K1791" t="s">
        <v>647</v>
      </c>
      <c r="L1791" t="s">
        <v>648</v>
      </c>
      <c r="M1791" t="s">
        <v>12</v>
      </c>
      <c r="N1791" s="2">
        <v>1000</v>
      </c>
      <c r="O1791" s="2">
        <v>200</v>
      </c>
      <c r="P1791" s="2">
        <v>0</v>
      </c>
      <c r="Q1791" s="2">
        <v>1200</v>
      </c>
      <c r="R1791" s="2">
        <v>0</v>
      </c>
      <c r="S1791" s="2">
        <v>1200</v>
      </c>
      <c r="T1791" s="2">
        <v>1027.5</v>
      </c>
      <c r="U1791" s="2">
        <v>0</v>
      </c>
      <c r="V1791" s="2">
        <v>172.5</v>
      </c>
      <c r="W1791" s="2">
        <v>0</v>
      </c>
    </row>
    <row r="1792" spans="1:23" outlineLevel="2" x14ac:dyDescent="0.2">
      <c r="A1792" t="s">
        <v>402</v>
      </c>
      <c r="B1792" t="s">
        <v>31</v>
      </c>
      <c r="C1792" t="s">
        <v>32</v>
      </c>
      <c r="D1792" t="s">
        <v>123</v>
      </c>
      <c r="E1792" t="s">
        <v>124</v>
      </c>
      <c r="F1792" t="s">
        <v>5</v>
      </c>
      <c r="G1792" t="s">
        <v>6</v>
      </c>
      <c r="H1792" t="s">
        <v>7</v>
      </c>
      <c r="I1792" t="s">
        <v>8</v>
      </c>
      <c r="J1792" t="s">
        <v>403</v>
      </c>
      <c r="K1792" t="s">
        <v>647</v>
      </c>
      <c r="L1792" t="s">
        <v>649</v>
      </c>
      <c r="M1792" t="s">
        <v>12</v>
      </c>
      <c r="N1792" s="2">
        <v>4000</v>
      </c>
      <c r="O1792" s="2">
        <v>0</v>
      </c>
      <c r="P1792" s="2">
        <v>0</v>
      </c>
      <c r="Q1792" s="2">
        <v>4000</v>
      </c>
      <c r="R1792" s="2">
        <v>0</v>
      </c>
      <c r="S1792" s="2">
        <v>4000</v>
      </c>
      <c r="T1792" s="2">
        <v>2672.29</v>
      </c>
      <c r="U1792" s="2">
        <v>0</v>
      </c>
      <c r="V1792" s="2">
        <v>1327.71</v>
      </c>
      <c r="W1792" s="2">
        <v>0</v>
      </c>
    </row>
    <row r="1793" spans="1:23" outlineLevel="2" x14ac:dyDescent="0.2">
      <c r="A1793" t="s">
        <v>402</v>
      </c>
      <c r="B1793" t="s">
        <v>39</v>
      </c>
      <c r="C1793" t="s">
        <v>66</v>
      </c>
      <c r="D1793" t="s">
        <v>67</v>
      </c>
      <c r="E1793" t="s">
        <v>68</v>
      </c>
      <c r="F1793" t="s">
        <v>5</v>
      </c>
      <c r="G1793" t="s">
        <v>6</v>
      </c>
      <c r="H1793" t="s">
        <v>7</v>
      </c>
      <c r="I1793" t="s">
        <v>8</v>
      </c>
      <c r="J1793" t="s">
        <v>403</v>
      </c>
      <c r="K1793" t="s">
        <v>647</v>
      </c>
      <c r="L1793" t="s">
        <v>650</v>
      </c>
      <c r="M1793" t="s">
        <v>12</v>
      </c>
      <c r="N1793" s="2">
        <v>7000</v>
      </c>
      <c r="O1793" s="2">
        <v>971.7</v>
      </c>
      <c r="P1793" s="2">
        <v>0</v>
      </c>
      <c r="Q1793" s="2">
        <v>7971.7</v>
      </c>
      <c r="R1793" s="2">
        <v>0</v>
      </c>
      <c r="S1793" s="2">
        <v>7961.79</v>
      </c>
      <c r="T1793" s="2">
        <v>5058.26</v>
      </c>
      <c r="U1793" s="2">
        <v>9.91</v>
      </c>
      <c r="V1793" s="2">
        <v>2913.44</v>
      </c>
      <c r="W1793" s="2">
        <v>9.91</v>
      </c>
    </row>
    <row r="1794" spans="1:23" outlineLevel="2" x14ac:dyDescent="0.2">
      <c r="A1794" t="s">
        <v>402</v>
      </c>
      <c r="B1794" t="s">
        <v>31</v>
      </c>
      <c r="C1794" t="s">
        <v>32</v>
      </c>
      <c r="D1794" t="s">
        <v>33</v>
      </c>
      <c r="E1794" t="s">
        <v>34</v>
      </c>
      <c r="F1794" t="s">
        <v>5</v>
      </c>
      <c r="G1794" t="s">
        <v>6</v>
      </c>
      <c r="H1794" t="s">
        <v>7</v>
      </c>
      <c r="I1794" t="s">
        <v>8</v>
      </c>
      <c r="J1794" t="s">
        <v>403</v>
      </c>
      <c r="K1794" t="s">
        <v>647</v>
      </c>
      <c r="L1794" t="s">
        <v>649</v>
      </c>
      <c r="M1794" t="s">
        <v>12</v>
      </c>
      <c r="N1794" s="2">
        <v>10000</v>
      </c>
      <c r="O1794" s="2">
        <v>-3800</v>
      </c>
      <c r="P1794" s="2">
        <v>0</v>
      </c>
      <c r="Q1794" s="2">
        <v>6200</v>
      </c>
      <c r="R1794" s="2">
        <v>0</v>
      </c>
      <c r="S1794" s="2">
        <v>5645.96</v>
      </c>
      <c r="T1794" s="2">
        <v>4087.41</v>
      </c>
      <c r="U1794" s="2">
        <v>554.04</v>
      </c>
      <c r="V1794" s="2">
        <v>2112.59</v>
      </c>
      <c r="W1794" s="2">
        <v>554.04</v>
      </c>
    </row>
    <row r="1795" spans="1:23" outlineLevel="2" x14ac:dyDescent="0.2">
      <c r="A1795" t="s">
        <v>402</v>
      </c>
      <c r="B1795" t="s">
        <v>31</v>
      </c>
      <c r="C1795" t="s">
        <v>79</v>
      </c>
      <c r="D1795" t="s">
        <v>113</v>
      </c>
      <c r="E1795" t="s">
        <v>114</v>
      </c>
      <c r="F1795" t="s">
        <v>5</v>
      </c>
      <c r="G1795" t="s">
        <v>6</v>
      </c>
      <c r="H1795" t="s">
        <v>7</v>
      </c>
      <c r="I1795" t="s">
        <v>8</v>
      </c>
      <c r="J1795" t="s">
        <v>403</v>
      </c>
      <c r="K1795" t="s">
        <v>647</v>
      </c>
      <c r="L1795" t="s">
        <v>651</v>
      </c>
      <c r="M1795" t="s">
        <v>12</v>
      </c>
      <c r="N1795" s="2">
        <v>400</v>
      </c>
      <c r="O1795" s="2">
        <v>0</v>
      </c>
      <c r="P1795" s="2">
        <v>0</v>
      </c>
      <c r="Q1795" s="2">
        <v>400</v>
      </c>
      <c r="R1795" s="2">
        <v>0</v>
      </c>
      <c r="S1795" s="2">
        <v>400</v>
      </c>
      <c r="T1795" s="2">
        <v>115.2</v>
      </c>
      <c r="U1795" s="2">
        <v>0</v>
      </c>
      <c r="V1795" s="2">
        <v>284.8</v>
      </c>
      <c r="W1795" s="2">
        <v>0</v>
      </c>
    </row>
    <row r="1796" spans="1:23" outlineLevel="2" x14ac:dyDescent="0.2">
      <c r="A1796" t="s">
        <v>402</v>
      </c>
      <c r="B1796" t="s">
        <v>39</v>
      </c>
      <c r="C1796" t="s">
        <v>58</v>
      </c>
      <c r="D1796" t="s">
        <v>135</v>
      </c>
      <c r="E1796" t="s">
        <v>136</v>
      </c>
      <c r="F1796" t="s">
        <v>5</v>
      </c>
      <c r="G1796" t="s">
        <v>6</v>
      </c>
      <c r="H1796" t="s">
        <v>7</v>
      </c>
      <c r="I1796" t="s">
        <v>8</v>
      </c>
      <c r="J1796" t="s">
        <v>403</v>
      </c>
      <c r="K1796" t="s">
        <v>647</v>
      </c>
      <c r="L1796" t="s">
        <v>648</v>
      </c>
      <c r="M1796" t="s">
        <v>12</v>
      </c>
      <c r="N1796" s="2">
        <v>16000</v>
      </c>
      <c r="O1796" s="2">
        <v>-320</v>
      </c>
      <c r="P1796" s="2">
        <v>-3160</v>
      </c>
      <c r="Q1796" s="2">
        <v>12520</v>
      </c>
      <c r="R1796" s="2">
        <v>0</v>
      </c>
      <c r="S1796" s="2">
        <v>10840</v>
      </c>
      <c r="T1796" s="2">
        <v>6428.13</v>
      </c>
      <c r="U1796" s="2">
        <v>1680</v>
      </c>
      <c r="V1796" s="2">
        <v>6091.87</v>
      </c>
      <c r="W1796" s="2">
        <v>1680</v>
      </c>
    </row>
    <row r="1797" spans="1:23" outlineLevel="2" x14ac:dyDescent="0.2">
      <c r="A1797" t="s">
        <v>402</v>
      </c>
      <c r="B1797" t="s">
        <v>39</v>
      </c>
      <c r="C1797" t="s">
        <v>70</v>
      </c>
      <c r="D1797" t="s">
        <v>89</v>
      </c>
      <c r="E1797" t="s">
        <v>90</v>
      </c>
      <c r="F1797" t="s">
        <v>5</v>
      </c>
      <c r="G1797" t="s">
        <v>6</v>
      </c>
      <c r="H1797" t="s">
        <v>7</v>
      </c>
      <c r="I1797" t="s">
        <v>8</v>
      </c>
      <c r="J1797" t="s">
        <v>403</v>
      </c>
      <c r="K1797" t="s">
        <v>647</v>
      </c>
      <c r="L1797" t="s">
        <v>652</v>
      </c>
      <c r="M1797" t="s">
        <v>12</v>
      </c>
      <c r="N1797" s="2">
        <v>5000</v>
      </c>
      <c r="O1797" s="2">
        <v>10000</v>
      </c>
      <c r="P1797" s="2">
        <v>0</v>
      </c>
      <c r="Q1797" s="2">
        <v>15000</v>
      </c>
      <c r="R1797" s="2">
        <v>0</v>
      </c>
      <c r="S1797" s="2">
        <v>1234.53</v>
      </c>
      <c r="T1797" s="2">
        <v>1234.53</v>
      </c>
      <c r="U1797" s="2">
        <v>13765.47</v>
      </c>
      <c r="V1797" s="2">
        <v>13765.47</v>
      </c>
      <c r="W1797" s="2">
        <v>13765.47</v>
      </c>
    </row>
    <row r="1798" spans="1:23" outlineLevel="2" x14ac:dyDescent="0.2">
      <c r="A1798" t="s">
        <v>402</v>
      </c>
      <c r="B1798" t="s">
        <v>39</v>
      </c>
      <c r="C1798" t="s">
        <v>58</v>
      </c>
      <c r="D1798" t="s">
        <v>143</v>
      </c>
      <c r="E1798" t="s">
        <v>144</v>
      </c>
      <c r="F1798" t="s">
        <v>5</v>
      </c>
      <c r="G1798" t="s">
        <v>6</v>
      </c>
      <c r="H1798" t="s">
        <v>7</v>
      </c>
      <c r="I1798" t="s">
        <v>8</v>
      </c>
      <c r="J1798" t="s">
        <v>403</v>
      </c>
      <c r="K1798" t="s">
        <v>647</v>
      </c>
      <c r="L1798" t="s">
        <v>648</v>
      </c>
      <c r="M1798" t="s">
        <v>12</v>
      </c>
      <c r="N1798" s="2">
        <v>4000</v>
      </c>
      <c r="O1798" s="2">
        <v>0</v>
      </c>
      <c r="P1798" s="2">
        <v>0</v>
      </c>
      <c r="Q1798" s="2">
        <v>4000</v>
      </c>
      <c r="R1798" s="2">
        <v>0</v>
      </c>
      <c r="S1798" s="2">
        <v>2271.2199999999998</v>
      </c>
      <c r="T1798" s="2">
        <v>1913.18</v>
      </c>
      <c r="U1798" s="2">
        <v>1728.78</v>
      </c>
      <c r="V1798" s="2">
        <v>2086.8200000000002</v>
      </c>
      <c r="W1798" s="2">
        <v>1728.78</v>
      </c>
    </row>
    <row r="1799" spans="1:23" outlineLevel="2" x14ac:dyDescent="0.2">
      <c r="A1799" t="s">
        <v>402</v>
      </c>
      <c r="B1799" t="s">
        <v>39</v>
      </c>
      <c r="C1799" t="s">
        <v>58</v>
      </c>
      <c r="D1799" t="s">
        <v>137</v>
      </c>
      <c r="E1799" t="s">
        <v>138</v>
      </c>
      <c r="F1799" t="s">
        <v>5</v>
      </c>
      <c r="G1799" t="s">
        <v>6</v>
      </c>
      <c r="H1799" t="s">
        <v>7</v>
      </c>
      <c r="I1799" t="s">
        <v>8</v>
      </c>
      <c r="J1799" t="s">
        <v>403</v>
      </c>
      <c r="K1799" t="s">
        <v>647</v>
      </c>
      <c r="L1799" t="s">
        <v>648</v>
      </c>
      <c r="M1799" t="s">
        <v>12</v>
      </c>
      <c r="N1799" s="2">
        <v>8400</v>
      </c>
      <c r="O1799" s="2">
        <v>0</v>
      </c>
      <c r="P1799" s="2">
        <v>0</v>
      </c>
      <c r="Q1799" s="2">
        <v>8400</v>
      </c>
      <c r="R1799" s="2">
        <v>4200</v>
      </c>
      <c r="S1799" s="2">
        <v>4200</v>
      </c>
      <c r="T1799" s="2">
        <v>2987.48</v>
      </c>
      <c r="U1799" s="2">
        <v>4200</v>
      </c>
      <c r="V1799" s="2">
        <v>5412.52</v>
      </c>
      <c r="W1799" s="2">
        <v>0</v>
      </c>
    </row>
    <row r="1800" spans="1:23" outlineLevel="2" x14ac:dyDescent="0.2">
      <c r="A1800" t="s">
        <v>402</v>
      </c>
      <c r="B1800" t="s">
        <v>31</v>
      </c>
      <c r="C1800" t="s">
        <v>79</v>
      </c>
      <c r="D1800" t="s">
        <v>133</v>
      </c>
      <c r="E1800" t="s">
        <v>134</v>
      </c>
      <c r="F1800" t="s">
        <v>5</v>
      </c>
      <c r="G1800" t="s">
        <v>6</v>
      </c>
      <c r="H1800" t="s">
        <v>7</v>
      </c>
      <c r="I1800" t="s">
        <v>8</v>
      </c>
      <c r="J1800" t="s">
        <v>403</v>
      </c>
      <c r="K1800" t="s">
        <v>647</v>
      </c>
      <c r="L1800" t="s">
        <v>651</v>
      </c>
      <c r="M1800" t="s">
        <v>12</v>
      </c>
      <c r="N1800" s="2">
        <v>15000</v>
      </c>
      <c r="O1800" s="2">
        <v>0</v>
      </c>
      <c r="P1800" s="2">
        <v>0</v>
      </c>
      <c r="Q1800" s="2">
        <v>15000</v>
      </c>
      <c r="R1800" s="2">
        <v>5050.84</v>
      </c>
      <c r="S1800" s="2">
        <v>9949.16</v>
      </c>
      <c r="T1800" s="2">
        <v>4728.8500000000004</v>
      </c>
      <c r="U1800" s="2">
        <v>5050.84</v>
      </c>
      <c r="V1800" s="2">
        <v>10271.15</v>
      </c>
      <c r="W1800" s="2">
        <v>0</v>
      </c>
    </row>
    <row r="1801" spans="1:23" outlineLevel="2" x14ac:dyDescent="0.2">
      <c r="A1801" t="s">
        <v>402</v>
      </c>
      <c r="B1801" t="s">
        <v>1</v>
      </c>
      <c r="C1801" t="s">
        <v>2</v>
      </c>
      <c r="D1801" t="s">
        <v>3</v>
      </c>
      <c r="E1801" t="s">
        <v>4</v>
      </c>
      <c r="F1801" t="s">
        <v>5</v>
      </c>
      <c r="G1801" t="s">
        <v>6</v>
      </c>
      <c r="H1801" t="s">
        <v>7</v>
      </c>
      <c r="I1801" t="s">
        <v>8</v>
      </c>
      <c r="J1801" t="s">
        <v>403</v>
      </c>
      <c r="K1801" t="s">
        <v>647</v>
      </c>
      <c r="L1801" t="s">
        <v>653</v>
      </c>
      <c r="M1801" t="s">
        <v>15</v>
      </c>
      <c r="N1801" s="2">
        <v>1700</v>
      </c>
      <c r="O1801" s="2">
        <v>-118.57</v>
      </c>
      <c r="P1801" s="2">
        <v>0</v>
      </c>
      <c r="Q1801" s="2">
        <v>1581.43</v>
      </c>
      <c r="R1801" s="2">
        <v>0</v>
      </c>
      <c r="S1801" s="2">
        <v>1581.43</v>
      </c>
      <c r="T1801" s="2">
        <v>1081.43</v>
      </c>
      <c r="U1801" s="2">
        <v>0</v>
      </c>
      <c r="V1801" s="2">
        <v>500</v>
      </c>
      <c r="W1801" s="2">
        <v>0</v>
      </c>
    </row>
    <row r="1802" spans="1:23" outlineLevel="2" x14ac:dyDescent="0.2">
      <c r="A1802" t="s">
        <v>402</v>
      </c>
      <c r="B1802" t="s">
        <v>1</v>
      </c>
      <c r="C1802" t="s">
        <v>2</v>
      </c>
      <c r="D1802" t="s">
        <v>410</v>
      </c>
      <c r="E1802" t="s">
        <v>411</v>
      </c>
      <c r="F1802" t="s">
        <v>5</v>
      </c>
      <c r="G1802" t="s">
        <v>6</v>
      </c>
      <c r="H1802" t="s">
        <v>7</v>
      </c>
      <c r="I1802" t="s">
        <v>8</v>
      </c>
      <c r="J1802" t="s">
        <v>403</v>
      </c>
      <c r="K1802" t="s">
        <v>647</v>
      </c>
      <c r="L1802" t="s">
        <v>653</v>
      </c>
      <c r="M1802" t="s">
        <v>15</v>
      </c>
      <c r="N1802" s="2">
        <v>150000</v>
      </c>
      <c r="O1802" s="2">
        <v>0</v>
      </c>
      <c r="P1802" s="2">
        <v>-5340.02</v>
      </c>
      <c r="Q1802" s="2">
        <v>144659.98000000001</v>
      </c>
      <c r="R1802" s="2">
        <v>0</v>
      </c>
      <c r="S1802" s="2">
        <v>144659.98000000001</v>
      </c>
      <c r="T1802" s="2">
        <v>67096.570000000007</v>
      </c>
      <c r="U1802" s="2">
        <v>0</v>
      </c>
      <c r="V1802" s="2">
        <v>77563.41</v>
      </c>
      <c r="W1802" s="2">
        <v>0</v>
      </c>
    </row>
    <row r="1803" spans="1:23" outlineLevel="2" x14ac:dyDescent="0.2">
      <c r="A1803" t="s">
        <v>402</v>
      </c>
      <c r="B1803" t="s">
        <v>31</v>
      </c>
      <c r="C1803" t="s">
        <v>32</v>
      </c>
      <c r="D1803" t="s">
        <v>75</v>
      </c>
      <c r="E1803" t="s">
        <v>76</v>
      </c>
      <c r="F1803" t="s">
        <v>5</v>
      </c>
      <c r="G1803" t="s">
        <v>6</v>
      </c>
      <c r="H1803" t="s">
        <v>7</v>
      </c>
      <c r="I1803" t="s">
        <v>8</v>
      </c>
      <c r="J1803" t="s">
        <v>403</v>
      </c>
      <c r="K1803" t="s">
        <v>647</v>
      </c>
      <c r="L1803" t="s">
        <v>649</v>
      </c>
      <c r="M1803" t="s">
        <v>12</v>
      </c>
      <c r="N1803" s="2">
        <v>7000</v>
      </c>
      <c r="O1803" s="2">
        <v>500</v>
      </c>
      <c r="P1803" s="2">
        <v>-1800</v>
      </c>
      <c r="Q1803" s="2">
        <v>5700</v>
      </c>
      <c r="R1803" s="2">
        <v>826.61</v>
      </c>
      <c r="S1803" s="2">
        <v>4652.72</v>
      </c>
      <c r="T1803" s="2">
        <v>3326.39</v>
      </c>
      <c r="U1803" s="2">
        <v>1047.28</v>
      </c>
      <c r="V1803" s="2">
        <v>2373.61</v>
      </c>
      <c r="W1803" s="2">
        <v>220.67</v>
      </c>
    </row>
    <row r="1804" spans="1:23" outlineLevel="2" x14ac:dyDescent="0.2">
      <c r="A1804" t="s">
        <v>402</v>
      </c>
      <c r="B1804" t="s">
        <v>39</v>
      </c>
      <c r="C1804" t="s">
        <v>58</v>
      </c>
      <c r="D1804" t="s">
        <v>147</v>
      </c>
      <c r="E1804" t="s">
        <v>148</v>
      </c>
      <c r="F1804" t="s">
        <v>5</v>
      </c>
      <c r="G1804" t="s">
        <v>6</v>
      </c>
      <c r="H1804" t="s">
        <v>7</v>
      </c>
      <c r="I1804" t="s">
        <v>8</v>
      </c>
      <c r="J1804" t="s">
        <v>403</v>
      </c>
      <c r="K1804" t="s">
        <v>647</v>
      </c>
      <c r="L1804" t="s">
        <v>648</v>
      </c>
      <c r="M1804" t="s">
        <v>12</v>
      </c>
      <c r="N1804" s="2">
        <v>15000</v>
      </c>
      <c r="O1804" s="2">
        <v>0</v>
      </c>
      <c r="P1804" s="2">
        <v>-6000</v>
      </c>
      <c r="Q1804" s="2">
        <v>9000</v>
      </c>
      <c r="R1804" s="2">
        <v>3426.66</v>
      </c>
      <c r="S1804" s="2">
        <v>5573.34</v>
      </c>
      <c r="T1804" s="2">
        <v>3811.12</v>
      </c>
      <c r="U1804" s="2">
        <v>3426.66</v>
      </c>
      <c r="V1804" s="2">
        <v>5188.88</v>
      </c>
      <c r="W1804" s="2">
        <v>0</v>
      </c>
    </row>
    <row r="1805" spans="1:23" outlineLevel="2" x14ac:dyDescent="0.2">
      <c r="A1805" t="s">
        <v>402</v>
      </c>
      <c r="B1805" t="s">
        <v>39</v>
      </c>
      <c r="C1805" t="s">
        <v>58</v>
      </c>
      <c r="D1805" t="s">
        <v>145</v>
      </c>
      <c r="E1805" t="s">
        <v>146</v>
      </c>
      <c r="F1805" t="s">
        <v>5</v>
      </c>
      <c r="G1805" t="s">
        <v>6</v>
      </c>
      <c r="H1805" t="s">
        <v>7</v>
      </c>
      <c r="I1805" t="s">
        <v>8</v>
      </c>
      <c r="J1805" t="s">
        <v>403</v>
      </c>
      <c r="K1805" t="s">
        <v>647</v>
      </c>
      <c r="L1805" t="s">
        <v>648</v>
      </c>
      <c r="M1805" t="s">
        <v>12</v>
      </c>
      <c r="N1805" s="2">
        <v>15000</v>
      </c>
      <c r="O1805" s="2">
        <v>-1458.1</v>
      </c>
      <c r="P1805" s="2">
        <v>0</v>
      </c>
      <c r="Q1805" s="2">
        <v>13541.9</v>
      </c>
      <c r="R1805" s="2">
        <v>0</v>
      </c>
      <c r="S1805" s="2">
        <v>13541.89</v>
      </c>
      <c r="T1805" s="2">
        <v>8283</v>
      </c>
      <c r="U1805" s="2">
        <v>0.01</v>
      </c>
      <c r="V1805" s="2">
        <v>5258.9</v>
      </c>
      <c r="W1805" s="2">
        <v>0.01</v>
      </c>
    </row>
    <row r="1806" spans="1:23" outlineLevel="2" x14ac:dyDescent="0.2">
      <c r="A1806" t="s">
        <v>402</v>
      </c>
      <c r="B1806" t="s">
        <v>39</v>
      </c>
      <c r="C1806" t="s">
        <v>58</v>
      </c>
      <c r="D1806" t="s">
        <v>139</v>
      </c>
      <c r="E1806" t="s">
        <v>140</v>
      </c>
      <c r="F1806" t="s">
        <v>5</v>
      </c>
      <c r="G1806" t="s">
        <v>6</v>
      </c>
      <c r="H1806" t="s">
        <v>7</v>
      </c>
      <c r="I1806" t="s">
        <v>8</v>
      </c>
      <c r="J1806" t="s">
        <v>403</v>
      </c>
      <c r="K1806" t="s">
        <v>647</v>
      </c>
      <c r="L1806" t="s">
        <v>648</v>
      </c>
      <c r="M1806" t="s">
        <v>12</v>
      </c>
      <c r="N1806" s="2">
        <v>10000</v>
      </c>
      <c r="O1806" s="2">
        <v>-2000</v>
      </c>
      <c r="P1806" s="2">
        <v>-3000</v>
      </c>
      <c r="Q1806" s="2">
        <v>5000</v>
      </c>
      <c r="R1806" s="2">
        <v>0</v>
      </c>
      <c r="S1806" s="2">
        <v>5000</v>
      </c>
      <c r="T1806" s="2">
        <v>4786.26</v>
      </c>
      <c r="U1806" s="2">
        <v>0</v>
      </c>
      <c r="V1806" s="2">
        <v>213.74</v>
      </c>
      <c r="W1806" s="2">
        <v>0</v>
      </c>
    </row>
    <row r="1807" spans="1:23" outlineLevel="2" x14ac:dyDescent="0.2">
      <c r="A1807" t="s">
        <v>402</v>
      </c>
      <c r="B1807" t="s">
        <v>39</v>
      </c>
      <c r="C1807" t="s">
        <v>58</v>
      </c>
      <c r="D1807" t="s">
        <v>149</v>
      </c>
      <c r="E1807" t="s">
        <v>150</v>
      </c>
      <c r="F1807" t="s">
        <v>5</v>
      </c>
      <c r="G1807" t="s">
        <v>6</v>
      </c>
      <c r="H1807" t="s">
        <v>7</v>
      </c>
      <c r="I1807" t="s">
        <v>8</v>
      </c>
      <c r="J1807" t="s">
        <v>403</v>
      </c>
      <c r="K1807" t="s">
        <v>647</v>
      </c>
      <c r="L1807" t="s">
        <v>648</v>
      </c>
      <c r="M1807" t="s">
        <v>12</v>
      </c>
      <c r="N1807" s="2">
        <v>16000</v>
      </c>
      <c r="O1807" s="2">
        <v>0</v>
      </c>
      <c r="P1807" s="2">
        <v>0</v>
      </c>
      <c r="Q1807" s="2">
        <v>16000</v>
      </c>
      <c r="R1807" s="2">
        <v>0</v>
      </c>
      <c r="S1807" s="2">
        <v>14431.62</v>
      </c>
      <c r="T1807" s="2">
        <v>7933.46</v>
      </c>
      <c r="U1807" s="2">
        <v>1568.38</v>
      </c>
      <c r="V1807" s="2">
        <v>8066.54</v>
      </c>
      <c r="W1807" s="2">
        <v>1568.38</v>
      </c>
    </row>
    <row r="1808" spans="1:23" outlineLevel="2" x14ac:dyDescent="0.2">
      <c r="A1808" t="s">
        <v>402</v>
      </c>
      <c r="B1808" t="s">
        <v>53</v>
      </c>
      <c r="C1808" t="s">
        <v>54</v>
      </c>
      <c r="D1808" t="s">
        <v>55</v>
      </c>
      <c r="E1808" t="s">
        <v>56</v>
      </c>
      <c r="F1808" t="s">
        <v>5</v>
      </c>
      <c r="G1808" t="s">
        <v>6</v>
      </c>
      <c r="H1808" t="s">
        <v>7</v>
      </c>
      <c r="I1808" t="s">
        <v>8</v>
      </c>
      <c r="J1808" t="s">
        <v>403</v>
      </c>
      <c r="K1808" t="s">
        <v>647</v>
      </c>
      <c r="L1808" t="s">
        <v>654</v>
      </c>
      <c r="M1808" t="s">
        <v>12</v>
      </c>
      <c r="N1808" s="2">
        <v>2000</v>
      </c>
      <c r="O1808" s="2">
        <v>5918</v>
      </c>
      <c r="P1808" s="2">
        <v>0</v>
      </c>
      <c r="Q1808" s="2">
        <v>7918</v>
      </c>
      <c r="R1808" s="2">
        <v>0.06</v>
      </c>
      <c r="S1808" s="2">
        <v>7327.51</v>
      </c>
      <c r="T1808" s="2">
        <v>3841.43</v>
      </c>
      <c r="U1808" s="2">
        <v>590.49</v>
      </c>
      <c r="V1808" s="2">
        <v>4076.57</v>
      </c>
      <c r="W1808" s="2">
        <v>590.42999999999995</v>
      </c>
    </row>
    <row r="1809" spans="1:23" outlineLevel="2" x14ac:dyDescent="0.2">
      <c r="A1809" t="s">
        <v>402</v>
      </c>
      <c r="B1809" t="s">
        <v>39</v>
      </c>
      <c r="C1809" t="s">
        <v>58</v>
      </c>
      <c r="D1809" t="s">
        <v>59</v>
      </c>
      <c r="E1809" t="s">
        <v>60</v>
      </c>
      <c r="F1809" t="s">
        <v>5</v>
      </c>
      <c r="G1809" t="s">
        <v>6</v>
      </c>
      <c r="H1809" t="s">
        <v>7</v>
      </c>
      <c r="I1809" t="s">
        <v>8</v>
      </c>
      <c r="J1809" t="s">
        <v>403</v>
      </c>
      <c r="K1809" t="s">
        <v>647</v>
      </c>
      <c r="L1809" t="s">
        <v>648</v>
      </c>
      <c r="M1809" t="s">
        <v>12</v>
      </c>
      <c r="N1809" s="2">
        <v>5000</v>
      </c>
      <c r="O1809" s="2">
        <v>-5000</v>
      </c>
      <c r="P1809" s="2">
        <v>0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</row>
    <row r="1810" spans="1:23" outlineLevel="2" x14ac:dyDescent="0.2">
      <c r="A1810" t="s">
        <v>402</v>
      </c>
      <c r="B1810" t="s">
        <v>31</v>
      </c>
      <c r="C1810" t="s">
        <v>79</v>
      </c>
      <c r="D1810" t="s">
        <v>117</v>
      </c>
      <c r="E1810" t="s">
        <v>118</v>
      </c>
      <c r="F1810" t="s">
        <v>5</v>
      </c>
      <c r="G1810" t="s">
        <v>6</v>
      </c>
      <c r="H1810" t="s">
        <v>7</v>
      </c>
      <c r="I1810" t="s">
        <v>8</v>
      </c>
      <c r="J1810" t="s">
        <v>403</v>
      </c>
      <c r="K1810" t="s">
        <v>647</v>
      </c>
      <c r="L1810" t="s">
        <v>651</v>
      </c>
      <c r="M1810" t="s">
        <v>12</v>
      </c>
      <c r="N1810" s="2">
        <v>500</v>
      </c>
      <c r="O1810" s="2">
        <v>0</v>
      </c>
      <c r="P1810" s="2">
        <v>0</v>
      </c>
      <c r="Q1810" s="2">
        <v>500</v>
      </c>
      <c r="R1810" s="2">
        <v>0</v>
      </c>
      <c r="S1810" s="2">
        <v>0</v>
      </c>
      <c r="T1810" s="2">
        <v>0</v>
      </c>
      <c r="U1810" s="2">
        <v>500</v>
      </c>
      <c r="V1810" s="2">
        <v>500</v>
      </c>
      <c r="W1810" s="2">
        <v>500</v>
      </c>
    </row>
    <row r="1811" spans="1:23" outlineLevel="2" x14ac:dyDescent="0.2">
      <c r="A1811" t="s">
        <v>402</v>
      </c>
      <c r="B1811" t="s">
        <v>31</v>
      </c>
      <c r="C1811" t="s">
        <v>79</v>
      </c>
      <c r="D1811" t="s">
        <v>80</v>
      </c>
      <c r="E1811" t="s">
        <v>81</v>
      </c>
      <c r="F1811" t="s">
        <v>5</v>
      </c>
      <c r="G1811" t="s">
        <v>6</v>
      </c>
      <c r="H1811" t="s">
        <v>7</v>
      </c>
      <c r="I1811" t="s">
        <v>8</v>
      </c>
      <c r="J1811" t="s">
        <v>403</v>
      </c>
      <c r="K1811" t="s">
        <v>647</v>
      </c>
      <c r="L1811" t="s">
        <v>651</v>
      </c>
      <c r="M1811" t="s">
        <v>12</v>
      </c>
      <c r="N1811" s="2">
        <v>1000</v>
      </c>
      <c r="O1811" s="2">
        <v>-1000</v>
      </c>
      <c r="P1811" s="2">
        <v>0</v>
      </c>
      <c r="Q1811" s="2">
        <v>0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</row>
    <row r="1812" spans="1:23" outlineLevel="2" x14ac:dyDescent="0.2">
      <c r="A1812" t="s">
        <v>402</v>
      </c>
      <c r="B1812" t="s">
        <v>1</v>
      </c>
      <c r="C1812" t="s">
        <v>91</v>
      </c>
      <c r="D1812" t="s">
        <v>92</v>
      </c>
      <c r="E1812" t="s">
        <v>93</v>
      </c>
      <c r="F1812" t="s">
        <v>5</v>
      </c>
      <c r="G1812" t="s">
        <v>6</v>
      </c>
      <c r="H1812" t="s">
        <v>7</v>
      </c>
      <c r="I1812" t="s">
        <v>8</v>
      </c>
      <c r="J1812" t="s">
        <v>403</v>
      </c>
      <c r="K1812" t="s">
        <v>647</v>
      </c>
      <c r="L1812" t="s">
        <v>655</v>
      </c>
      <c r="M1812" t="s">
        <v>12</v>
      </c>
      <c r="N1812" s="2">
        <v>0</v>
      </c>
      <c r="O1812" s="2">
        <v>0</v>
      </c>
      <c r="P1812" s="2">
        <v>4605.9799999999996</v>
      </c>
      <c r="Q1812" s="2">
        <v>4605.9799999999996</v>
      </c>
      <c r="R1812" s="2">
        <v>0</v>
      </c>
      <c r="S1812" s="2">
        <v>0</v>
      </c>
      <c r="T1812" s="2">
        <v>0</v>
      </c>
      <c r="U1812" s="2">
        <v>4605.9799999999996</v>
      </c>
      <c r="V1812" s="2">
        <v>4605.9799999999996</v>
      </c>
      <c r="W1812" s="2">
        <v>4605.9799999999996</v>
      </c>
    </row>
    <row r="1813" spans="1:23" outlineLevel="2" x14ac:dyDescent="0.2">
      <c r="A1813" t="s">
        <v>402</v>
      </c>
      <c r="B1813" t="s">
        <v>31</v>
      </c>
      <c r="C1813" t="s">
        <v>79</v>
      </c>
      <c r="D1813" t="s">
        <v>131</v>
      </c>
      <c r="E1813" t="s">
        <v>132</v>
      </c>
      <c r="F1813" t="s">
        <v>5</v>
      </c>
      <c r="G1813" t="s">
        <v>6</v>
      </c>
      <c r="H1813" t="s">
        <v>7</v>
      </c>
      <c r="I1813" t="s">
        <v>8</v>
      </c>
      <c r="J1813" t="s">
        <v>403</v>
      </c>
      <c r="K1813" t="s">
        <v>647</v>
      </c>
      <c r="L1813" t="s">
        <v>651</v>
      </c>
      <c r="M1813" t="s">
        <v>12</v>
      </c>
      <c r="N1813" s="2">
        <v>400</v>
      </c>
      <c r="O1813" s="2">
        <v>0</v>
      </c>
      <c r="P1813" s="2">
        <v>0</v>
      </c>
      <c r="Q1813" s="2">
        <v>400</v>
      </c>
      <c r="R1813" s="2">
        <v>0</v>
      </c>
      <c r="S1813" s="2">
        <v>0</v>
      </c>
      <c r="T1813" s="2">
        <v>0</v>
      </c>
      <c r="U1813" s="2">
        <v>400</v>
      </c>
      <c r="V1813" s="2">
        <v>400</v>
      </c>
      <c r="W1813" s="2">
        <v>400</v>
      </c>
    </row>
    <row r="1814" spans="1:23" outlineLevel="2" x14ac:dyDescent="0.2">
      <c r="A1814" t="s">
        <v>402</v>
      </c>
      <c r="B1814" t="s">
        <v>1</v>
      </c>
      <c r="C1814" t="s">
        <v>91</v>
      </c>
      <c r="D1814" t="s">
        <v>92</v>
      </c>
      <c r="E1814" t="s">
        <v>93</v>
      </c>
      <c r="F1814" t="s">
        <v>5</v>
      </c>
      <c r="G1814" t="s">
        <v>6</v>
      </c>
      <c r="H1814" t="s">
        <v>7</v>
      </c>
      <c r="I1814" t="s">
        <v>8</v>
      </c>
      <c r="J1814" t="s">
        <v>403</v>
      </c>
      <c r="K1814" t="s">
        <v>647</v>
      </c>
      <c r="L1814" t="s">
        <v>655</v>
      </c>
      <c r="M1814" t="s">
        <v>15</v>
      </c>
      <c r="N1814" s="2">
        <v>8000</v>
      </c>
      <c r="O1814" s="2">
        <v>15500</v>
      </c>
      <c r="P1814" s="2">
        <v>-4605.9799999999996</v>
      </c>
      <c r="Q1814" s="2">
        <v>18894.02</v>
      </c>
      <c r="R1814" s="2">
        <v>677.44</v>
      </c>
      <c r="S1814" s="2">
        <v>18216.580000000002</v>
      </c>
      <c r="T1814" s="2">
        <v>10805.92</v>
      </c>
      <c r="U1814" s="2">
        <v>677.44</v>
      </c>
      <c r="V1814" s="2">
        <v>8088.1</v>
      </c>
      <c r="W1814" s="2">
        <v>0</v>
      </c>
    </row>
    <row r="1815" spans="1:23" outlineLevel="2" x14ac:dyDescent="0.2">
      <c r="A1815" t="s">
        <v>402</v>
      </c>
      <c r="B1815" t="s">
        <v>53</v>
      </c>
      <c r="C1815" t="s">
        <v>54</v>
      </c>
      <c r="D1815" t="s">
        <v>55</v>
      </c>
      <c r="E1815" t="s">
        <v>56</v>
      </c>
      <c r="F1815" t="s">
        <v>5</v>
      </c>
      <c r="G1815" t="s">
        <v>6</v>
      </c>
      <c r="H1815" t="s">
        <v>7</v>
      </c>
      <c r="I1815" t="s">
        <v>8</v>
      </c>
      <c r="J1815" t="s">
        <v>403</v>
      </c>
      <c r="K1815" t="s">
        <v>656</v>
      </c>
      <c r="L1815" t="s">
        <v>657</v>
      </c>
      <c r="M1815" t="s">
        <v>12</v>
      </c>
      <c r="N1815" s="2">
        <v>1000</v>
      </c>
      <c r="O1815" s="2">
        <v>2500</v>
      </c>
      <c r="P1815" s="2">
        <v>0</v>
      </c>
      <c r="Q1815" s="2">
        <v>3500</v>
      </c>
      <c r="R1815" s="2">
        <v>3500</v>
      </c>
      <c r="S1815" s="2">
        <v>0</v>
      </c>
      <c r="T1815" s="2">
        <v>0</v>
      </c>
      <c r="U1815" s="2">
        <v>3500</v>
      </c>
      <c r="V1815" s="2">
        <v>3500</v>
      </c>
      <c r="W1815" s="2">
        <v>0</v>
      </c>
    </row>
    <row r="1816" spans="1:23" outlineLevel="2" x14ac:dyDescent="0.2">
      <c r="A1816" t="s">
        <v>402</v>
      </c>
      <c r="B1816" t="s">
        <v>1</v>
      </c>
      <c r="C1816" t="s">
        <v>2</v>
      </c>
      <c r="D1816" t="s">
        <v>3</v>
      </c>
      <c r="E1816" t="s">
        <v>4</v>
      </c>
      <c r="F1816" t="s">
        <v>5</v>
      </c>
      <c r="G1816" t="s">
        <v>6</v>
      </c>
      <c r="H1816" t="s">
        <v>7</v>
      </c>
      <c r="I1816" t="s">
        <v>8</v>
      </c>
      <c r="J1816" t="s">
        <v>403</v>
      </c>
      <c r="K1816" t="s">
        <v>656</v>
      </c>
      <c r="L1816" t="s">
        <v>658</v>
      </c>
      <c r="M1816" t="s">
        <v>15</v>
      </c>
      <c r="N1816" s="2">
        <v>8000</v>
      </c>
      <c r="O1816" s="2">
        <v>-6261.15</v>
      </c>
      <c r="P1816" s="2">
        <v>-1700</v>
      </c>
      <c r="Q1816" s="2">
        <v>38.85</v>
      </c>
      <c r="R1816" s="2">
        <v>0</v>
      </c>
      <c r="S1816" s="2">
        <v>38.85</v>
      </c>
      <c r="T1816" s="2">
        <v>38.85</v>
      </c>
      <c r="U1816" s="2">
        <v>0</v>
      </c>
      <c r="V1816" s="2">
        <v>0</v>
      </c>
      <c r="W1816" s="2">
        <v>0</v>
      </c>
    </row>
    <row r="1817" spans="1:23" outlineLevel="2" x14ac:dyDescent="0.2">
      <c r="A1817" t="s">
        <v>402</v>
      </c>
      <c r="B1817" t="s">
        <v>39</v>
      </c>
      <c r="C1817" t="s">
        <v>58</v>
      </c>
      <c r="D1817" t="s">
        <v>135</v>
      </c>
      <c r="E1817" t="s">
        <v>136</v>
      </c>
      <c r="F1817" t="s">
        <v>5</v>
      </c>
      <c r="G1817" t="s">
        <v>6</v>
      </c>
      <c r="H1817" t="s">
        <v>7</v>
      </c>
      <c r="I1817" t="s">
        <v>8</v>
      </c>
      <c r="J1817" t="s">
        <v>403</v>
      </c>
      <c r="K1817" t="s">
        <v>656</v>
      </c>
      <c r="L1817" t="s">
        <v>659</v>
      </c>
      <c r="M1817" t="s">
        <v>12</v>
      </c>
      <c r="N1817" s="2">
        <v>20000</v>
      </c>
      <c r="O1817" s="2">
        <v>-11626.32</v>
      </c>
      <c r="P1817" s="2">
        <v>-1989.68</v>
      </c>
      <c r="Q1817" s="2">
        <v>6384</v>
      </c>
      <c r="R1817" s="2">
        <v>955.71</v>
      </c>
      <c r="S1817" s="2">
        <v>3185.36</v>
      </c>
      <c r="T1817" s="2">
        <v>0</v>
      </c>
      <c r="U1817" s="2">
        <v>3198.64</v>
      </c>
      <c r="V1817" s="2">
        <v>6384</v>
      </c>
      <c r="W1817" s="2">
        <v>2242.9299999999998</v>
      </c>
    </row>
    <row r="1818" spans="1:23" outlineLevel="2" x14ac:dyDescent="0.2">
      <c r="A1818" t="s">
        <v>402</v>
      </c>
      <c r="B1818" t="s">
        <v>39</v>
      </c>
      <c r="C1818" t="s">
        <v>70</v>
      </c>
      <c r="D1818" t="s">
        <v>89</v>
      </c>
      <c r="E1818" t="s">
        <v>90</v>
      </c>
      <c r="F1818" t="s">
        <v>5</v>
      </c>
      <c r="G1818" t="s">
        <v>6</v>
      </c>
      <c r="H1818" t="s">
        <v>7</v>
      </c>
      <c r="I1818" t="s">
        <v>8</v>
      </c>
      <c r="J1818" t="s">
        <v>403</v>
      </c>
      <c r="K1818" t="s">
        <v>656</v>
      </c>
      <c r="L1818" t="s">
        <v>660</v>
      </c>
      <c r="M1818" t="s">
        <v>12</v>
      </c>
      <c r="N1818" s="2">
        <v>13000</v>
      </c>
      <c r="O1818" s="2">
        <v>7000</v>
      </c>
      <c r="P1818" s="2">
        <v>0</v>
      </c>
      <c r="Q1818" s="2">
        <v>20000</v>
      </c>
      <c r="R1818" s="2">
        <v>0</v>
      </c>
      <c r="S1818" s="2">
        <v>12557.65</v>
      </c>
      <c r="T1818" s="2">
        <v>12557.65</v>
      </c>
      <c r="U1818" s="2">
        <v>7442.35</v>
      </c>
      <c r="V1818" s="2">
        <v>7442.35</v>
      </c>
      <c r="W1818" s="2">
        <v>7442.35</v>
      </c>
    </row>
    <row r="1819" spans="1:23" outlineLevel="2" x14ac:dyDescent="0.2">
      <c r="A1819" t="s">
        <v>402</v>
      </c>
      <c r="B1819" t="s">
        <v>31</v>
      </c>
      <c r="C1819" t="s">
        <v>32</v>
      </c>
      <c r="D1819" t="s">
        <v>75</v>
      </c>
      <c r="E1819" t="s">
        <v>76</v>
      </c>
      <c r="F1819" t="s">
        <v>5</v>
      </c>
      <c r="G1819" t="s">
        <v>6</v>
      </c>
      <c r="H1819" t="s">
        <v>7</v>
      </c>
      <c r="I1819" t="s">
        <v>8</v>
      </c>
      <c r="J1819" t="s">
        <v>403</v>
      </c>
      <c r="K1819" t="s">
        <v>656</v>
      </c>
      <c r="L1819" t="s">
        <v>661</v>
      </c>
      <c r="M1819" t="s">
        <v>12</v>
      </c>
      <c r="N1819" s="2">
        <v>6000</v>
      </c>
      <c r="O1819" s="2">
        <v>-1000</v>
      </c>
      <c r="P1819" s="2">
        <v>-2500</v>
      </c>
      <c r="Q1819" s="2">
        <v>2500</v>
      </c>
      <c r="R1819" s="2">
        <v>0</v>
      </c>
      <c r="S1819" s="2">
        <v>830.64</v>
      </c>
      <c r="T1819" s="2">
        <v>830.64</v>
      </c>
      <c r="U1819" s="2">
        <v>1669.36</v>
      </c>
      <c r="V1819" s="2">
        <v>1669.36</v>
      </c>
      <c r="W1819" s="2">
        <v>1669.36</v>
      </c>
    </row>
    <row r="1820" spans="1:23" outlineLevel="2" x14ac:dyDescent="0.2">
      <c r="A1820" t="s">
        <v>402</v>
      </c>
      <c r="B1820" t="s">
        <v>39</v>
      </c>
      <c r="C1820" t="s">
        <v>58</v>
      </c>
      <c r="D1820" t="s">
        <v>129</v>
      </c>
      <c r="E1820" t="s">
        <v>130</v>
      </c>
      <c r="F1820" t="s">
        <v>5</v>
      </c>
      <c r="G1820" t="s">
        <v>6</v>
      </c>
      <c r="H1820" t="s">
        <v>7</v>
      </c>
      <c r="I1820" t="s">
        <v>8</v>
      </c>
      <c r="J1820" t="s">
        <v>403</v>
      </c>
      <c r="K1820" t="s">
        <v>656</v>
      </c>
      <c r="L1820" t="s">
        <v>659</v>
      </c>
      <c r="M1820" t="s">
        <v>12</v>
      </c>
      <c r="N1820" s="2">
        <v>800</v>
      </c>
      <c r="O1820" s="2">
        <v>2000</v>
      </c>
      <c r="P1820" s="2">
        <v>0</v>
      </c>
      <c r="Q1820" s="2">
        <v>2800</v>
      </c>
      <c r="R1820" s="2">
        <v>925.49</v>
      </c>
      <c r="S1820" s="2">
        <v>1874.51</v>
      </c>
      <c r="T1820" s="2">
        <v>552.58000000000004</v>
      </c>
      <c r="U1820" s="2">
        <v>925.49</v>
      </c>
      <c r="V1820" s="2">
        <v>2247.42</v>
      </c>
      <c r="W1820" s="2">
        <v>0</v>
      </c>
    </row>
    <row r="1821" spans="1:23" outlineLevel="2" x14ac:dyDescent="0.2">
      <c r="A1821" t="s">
        <v>402</v>
      </c>
      <c r="B1821" t="s">
        <v>31</v>
      </c>
      <c r="C1821" t="s">
        <v>79</v>
      </c>
      <c r="D1821" t="s">
        <v>131</v>
      </c>
      <c r="E1821" t="s">
        <v>132</v>
      </c>
      <c r="F1821" t="s">
        <v>5</v>
      </c>
      <c r="G1821" t="s">
        <v>6</v>
      </c>
      <c r="H1821" t="s">
        <v>7</v>
      </c>
      <c r="I1821" t="s">
        <v>8</v>
      </c>
      <c r="J1821" t="s">
        <v>403</v>
      </c>
      <c r="K1821" t="s">
        <v>656</v>
      </c>
      <c r="L1821" t="s">
        <v>662</v>
      </c>
      <c r="M1821" t="s">
        <v>12</v>
      </c>
      <c r="N1821" s="2">
        <v>2800</v>
      </c>
      <c r="O1821" s="2">
        <v>0</v>
      </c>
      <c r="P1821" s="2">
        <v>0</v>
      </c>
      <c r="Q1821" s="2">
        <v>2800</v>
      </c>
      <c r="R1821" s="2">
        <v>962.71</v>
      </c>
      <c r="S1821" s="2">
        <v>1822.08</v>
      </c>
      <c r="T1821" s="2">
        <v>1661.25</v>
      </c>
      <c r="U1821" s="2">
        <v>977.92</v>
      </c>
      <c r="V1821" s="2">
        <v>1138.75</v>
      </c>
      <c r="W1821" s="2">
        <v>15.21</v>
      </c>
    </row>
    <row r="1822" spans="1:23" outlineLevel="2" x14ac:dyDescent="0.2">
      <c r="A1822" t="s">
        <v>402</v>
      </c>
      <c r="B1822" t="s">
        <v>31</v>
      </c>
      <c r="C1822" t="s">
        <v>79</v>
      </c>
      <c r="D1822" t="s">
        <v>115</v>
      </c>
      <c r="E1822" t="s">
        <v>116</v>
      </c>
      <c r="F1822" t="s">
        <v>5</v>
      </c>
      <c r="G1822" t="s">
        <v>6</v>
      </c>
      <c r="H1822" t="s">
        <v>7</v>
      </c>
      <c r="I1822" t="s">
        <v>8</v>
      </c>
      <c r="J1822" t="s">
        <v>403</v>
      </c>
      <c r="K1822" t="s">
        <v>656</v>
      </c>
      <c r="L1822" t="s">
        <v>662</v>
      </c>
      <c r="M1822" t="s">
        <v>12</v>
      </c>
      <c r="N1822" s="2">
        <v>3000</v>
      </c>
      <c r="O1822" s="2">
        <v>0</v>
      </c>
      <c r="P1822" s="2">
        <v>0</v>
      </c>
      <c r="Q1822" s="2">
        <v>3000</v>
      </c>
      <c r="R1822" s="2">
        <v>1368.41</v>
      </c>
      <c r="S1822" s="2">
        <v>1631.59</v>
      </c>
      <c r="T1822" s="2">
        <v>0</v>
      </c>
      <c r="U1822" s="2">
        <v>1368.41</v>
      </c>
      <c r="V1822" s="2">
        <v>3000</v>
      </c>
      <c r="W1822" s="2">
        <v>0</v>
      </c>
    </row>
    <row r="1823" spans="1:23" outlineLevel="2" x14ac:dyDescent="0.2">
      <c r="A1823" t="s">
        <v>402</v>
      </c>
      <c r="B1823" t="s">
        <v>31</v>
      </c>
      <c r="C1823" t="s">
        <v>79</v>
      </c>
      <c r="D1823" t="s">
        <v>127</v>
      </c>
      <c r="E1823" t="s">
        <v>128</v>
      </c>
      <c r="F1823" t="s">
        <v>5</v>
      </c>
      <c r="G1823" t="s">
        <v>6</v>
      </c>
      <c r="H1823" t="s">
        <v>7</v>
      </c>
      <c r="I1823" t="s">
        <v>8</v>
      </c>
      <c r="J1823" t="s">
        <v>403</v>
      </c>
      <c r="K1823" t="s">
        <v>656</v>
      </c>
      <c r="L1823" t="s">
        <v>662</v>
      </c>
      <c r="M1823" t="s">
        <v>12</v>
      </c>
      <c r="N1823" s="2">
        <v>1000</v>
      </c>
      <c r="O1823" s="2">
        <v>-1000</v>
      </c>
      <c r="P1823" s="2">
        <v>0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</row>
    <row r="1824" spans="1:23" outlineLevel="2" x14ac:dyDescent="0.2">
      <c r="A1824" t="s">
        <v>402</v>
      </c>
      <c r="B1824" t="s">
        <v>1</v>
      </c>
      <c r="C1824" t="s">
        <v>16</v>
      </c>
      <c r="D1824" t="s">
        <v>62</v>
      </c>
      <c r="E1824" t="s">
        <v>63</v>
      </c>
      <c r="F1824" t="s">
        <v>5</v>
      </c>
      <c r="G1824" t="s">
        <v>6</v>
      </c>
      <c r="H1824" t="s">
        <v>7</v>
      </c>
      <c r="I1824" t="s">
        <v>8</v>
      </c>
      <c r="J1824" t="s">
        <v>403</v>
      </c>
      <c r="K1824" t="s">
        <v>656</v>
      </c>
      <c r="L1824" t="s">
        <v>663</v>
      </c>
      <c r="M1824" t="s">
        <v>15</v>
      </c>
      <c r="N1824" s="2">
        <v>200</v>
      </c>
      <c r="O1824" s="2">
        <v>0</v>
      </c>
      <c r="P1824" s="2">
        <v>-200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</row>
    <row r="1825" spans="1:23" outlineLevel="2" x14ac:dyDescent="0.2">
      <c r="A1825" t="s">
        <v>402</v>
      </c>
      <c r="B1825" t="s">
        <v>39</v>
      </c>
      <c r="C1825" t="s">
        <v>58</v>
      </c>
      <c r="D1825" t="s">
        <v>59</v>
      </c>
      <c r="E1825" t="s">
        <v>60</v>
      </c>
      <c r="F1825" t="s">
        <v>5</v>
      </c>
      <c r="G1825" t="s">
        <v>6</v>
      </c>
      <c r="H1825" t="s">
        <v>7</v>
      </c>
      <c r="I1825" t="s">
        <v>8</v>
      </c>
      <c r="J1825" t="s">
        <v>403</v>
      </c>
      <c r="K1825" t="s">
        <v>656</v>
      </c>
      <c r="L1825" t="s">
        <v>659</v>
      </c>
      <c r="M1825" t="s">
        <v>12</v>
      </c>
      <c r="N1825" s="2">
        <v>3000</v>
      </c>
      <c r="O1825" s="2">
        <v>0</v>
      </c>
      <c r="P1825" s="2">
        <v>-2000</v>
      </c>
      <c r="Q1825" s="2">
        <v>1000</v>
      </c>
      <c r="R1825" s="2">
        <v>1000</v>
      </c>
      <c r="S1825" s="2">
        <v>0</v>
      </c>
      <c r="T1825" s="2">
        <v>0</v>
      </c>
      <c r="U1825" s="2">
        <v>1000</v>
      </c>
      <c r="V1825" s="2">
        <v>1000</v>
      </c>
      <c r="W1825" s="2">
        <v>0</v>
      </c>
    </row>
    <row r="1826" spans="1:23" outlineLevel="2" x14ac:dyDescent="0.2">
      <c r="A1826" t="s">
        <v>402</v>
      </c>
      <c r="B1826" t="s">
        <v>39</v>
      </c>
      <c r="C1826" t="s">
        <v>58</v>
      </c>
      <c r="D1826" t="s">
        <v>147</v>
      </c>
      <c r="E1826" t="s">
        <v>148</v>
      </c>
      <c r="F1826" t="s">
        <v>5</v>
      </c>
      <c r="G1826" t="s">
        <v>6</v>
      </c>
      <c r="H1826" t="s">
        <v>7</v>
      </c>
      <c r="I1826" t="s">
        <v>8</v>
      </c>
      <c r="J1826" t="s">
        <v>403</v>
      </c>
      <c r="K1826" t="s">
        <v>656</v>
      </c>
      <c r="L1826" t="s">
        <v>659</v>
      </c>
      <c r="M1826" t="s">
        <v>12</v>
      </c>
      <c r="N1826" s="2">
        <v>10000</v>
      </c>
      <c r="O1826" s="2">
        <v>0</v>
      </c>
      <c r="P1826" s="2">
        <v>0</v>
      </c>
      <c r="Q1826" s="2">
        <v>10000</v>
      </c>
      <c r="R1826" s="2">
        <v>2036.06</v>
      </c>
      <c r="S1826" s="2">
        <v>7963.94</v>
      </c>
      <c r="T1826" s="2">
        <v>6404.54</v>
      </c>
      <c r="U1826" s="2">
        <v>2036.06</v>
      </c>
      <c r="V1826" s="2">
        <v>3595.46</v>
      </c>
      <c r="W1826" s="2">
        <v>0</v>
      </c>
    </row>
    <row r="1827" spans="1:23" outlineLevel="2" x14ac:dyDescent="0.2">
      <c r="A1827" t="s">
        <v>402</v>
      </c>
      <c r="B1827" t="s">
        <v>31</v>
      </c>
      <c r="C1827" t="s">
        <v>79</v>
      </c>
      <c r="D1827" t="s">
        <v>83</v>
      </c>
      <c r="E1827" t="s">
        <v>84</v>
      </c>
      <c r="F1827" t="s">
        <v>5</v>
      </c>
      <c r="G1827" t="s">
        <v>6</v>
      </c>
      <c r="H1827" t="s">
        <v>7</v>
      </c>
      <c r="I1827" t="s">
        <v>8</v>
      </c>
      <c r="J1827" t="s">
        <v>403</v>
      </c>
      <c r="K1827" t="s">
        <v>656</v>
      </c>
      <c r="L1827" t="s">
        <v>662</v>
      </c>
      <c r="M1827" t="s">
        <v>12</v>
      </c>
      <c r="N1827" s="2">
        <v>0</v>
      </c>
      <c r="O1827" s="2">
        <v>36.85</v>
      </c>
      <c r="P1827" s="2">
        <v>0</v>
      </c>
      <c r="Q1827" s="2">
        <v>36.85</v>
      </c>
      <c r="R1827" s="2">
        <v>36.85</v>
      </c>
      <c r="S1827" s="2">
        <v>0</v>
      </c>
      <c r="T1827" s="2">
        <v>0</v>
      </c>
      <c r="U1827" s="2">
        <v>36.85</v>
      </c>
      <c r="V1827" s="2">
        <v>36.85</v>
      </c>
      <c r="W1827" s="2">
        <v>0</v>
      </c>
    </row>
    <row r="1828" spans="1:23" outlineLevel="2" x14ac:dyDescent="0.2">
      <c r="A1828" t="s">
        <v>402</v>
      </c>
      <c r="B1828" t="s">
        <v>31</v>
      </c>
      <c r="C1828" t="s">
        <v>79</v>
      </c>
      <c r="D1828" t="s">
        <v>80</v>
      </c>
      <c r="E1828" t="s">
        <v>81</v>
      </c>
      <c r="F1828" t="s">
        <v>5</v>
      </c>
      <c r="G1828" t="s">
        <v>6</v>
      </c>
      <c r="H1828" t="s">
        <v>7</v>
      </c>
      <c r="I1828" t="s">
        <v>8</v>
      </c>
      <c r="J1828" t="s">
        <v>403</v>
      </c>
      <c r="K1828" t="s">
        <v>656</v>
      </c>
      <c r="L1828" t="s">
        <v>662</v>
      </c>
      <c r="M1828" t="s">
        <v>12</v>
      </c>
      <c r="N1828" s="2">
        <v>500</v>
      </c>
      <c r="O1828" s="2">
        <v>500</v>
      </c>
      <c r="P1828" s="2">
        <v>0</v>
      </c>
      <c r="Q1828" s="2">
        <v>1000</v>
      </c>
      <c r="R1828" s="2">
        <v>382.6</v>
      </c>
      <c r="S1828" s="2">
        <v>397.92</v>
      </c>
      <c r="T1828" s="2">
        <v>0</v>
      </c>
      <c r="U1828" s="2">
        <v>602.08000000000004</v>
      </c>
      <c r="V1828" s="2">
        <v>1000</v>
      </c>
      <c r="W1828" s="2">
        <v>219.48</v>
      </c>
    </row>
    <row r="1829" spans="1:23" outlineLevel="2" x14ac:dyDescent="0.2">
      <c r="A1829" t="s">
        <v>402</v>
      </c>
      <c r="B1829" t="s">
        <v>39</v>
      </c>
      <c r="C1829" t="s">
        <v>58</v>
      </c>
      <c r="D1829" t="s">
        <v>137</v>
      </c>
      <c r="E1829" t="s">
        <v>138</v>
      </c>
      <c r="F1829" t="s">
        <v>5</v>
      </c>
      <c r="G1829" t="s">
        <v>6</v>
      </c>
      <c r="H1829" t="s">
        <v>7</v>
      </c>
      <c r="I1829" t="s">
        <v>8</v>
      </c>
      <c r="J1829" t="s">
        <v>403</v>
      </c>
      <c r="K1829" t="s">
        <v>656</v>
      </c>
      <c r="L1829" t="s">
        <v>659</v>
      </c>
      <c r="M1829" t="s">
        <v>12</v>
      </c>
      <c r="N1829" s="2">
        <v>2000</v>
      </c>
      <c r="O1829" s="2">
        <v>0</v>
      </c>
      <c r="P1829" s="2">
        <v>0</v>
      </c>
      <c r="Q1829" s="2">
        <v>2000</v>
      </c>
      <c r="R1829" s="2">
        <v>0</v>
      </c>
      <c r="S1829" s="2">
        <v>0</v>
      </c>
      <c r="T1829" s="2">
        <v>0</v>
      </c>
      <c r="U1829" s="2">
        <v>2000</v>
      </c>
      <c r="V1829" s="2">
        <v>2000</v>
      </c>
      <c r="W1829" s="2">
        <v>2000</v>
      </c>
    </row>
    <row r="1830" spans="1:23" outlineLevel="2" x14ac:dyDescent="0.2">
      <c r="A1830" t="s">
        <v>402</v>
      </c>
      <c r="B1830" t="s">
        <v>31</v>
      </c>
      <c r="C1830" t="s">
        <v>79</v>
      </c>
      <c r="D1830" t="s">
        <v>125</v>
      </c>
      <c r="E1830" t="s">
        <v>126</v>
      </c>
      <c r="F1830" t="s">
        <v>5</v>
      </c>
      <c r="G1830" t="s">
        <v>6</v>
      </c>
      <c r="H1830" t="s">
        <v>7</v>
      </c>
      <c r="I1830" t="s">
        <v>8</v>
      </c>
      <c r="J1830" t="s">
        <v>403</v>
      </c>
      <c r="K1830" t="s">
        <v>656</v>
      </c>
      <c r="L1830" t="s">
        <v>662</v>
      </c>
      <c r="M1830" t="s">
        <v>12</v>
      </c>
      <c r="N1830" s="2">
        <v>2000</v>
      </c>
      <c r="O1830" s="2">
        <v>0</v>
      </c>
      <c r="P1830" s="2">
        <v>-400</v>
      </c>
      <c r="Q1830" s="2">
        <v>1600</v>
      </c>
      <c r="R1830" s="2">
        <v>392.17</v>
      </c>
      <c r="S1830" s="2">
        <v>1202.98</v>
      </c>
      <c r="T1830" s="2">
        <v>1202.98</v>
      </c>
      <c r="U1830" s="2">
        <v>397.02</v>
      </c>
      <c r="V1830" s="2">
        <v>397.02</v>
      </c>
      <c r="W1830" s="2">
        <v>4.8499999999999996</v>
      </c>
    </row>
    <row r="1831" spans="1:23" outlineLevel="2" x14ac:dyDescent="0.2">
      <c r="A1831" t="s">
        <v>402</v>
      </c>
      <c r="B1831" t="s">
        <v>31</v>
      </c>
      <c r="C1831" t="s">
        <v>32</v>
      </c>
      <c r="D1831" t="s">
        <v>33</v>
      </c>
      <c r="E1831" t="s">
        <v>34</v>
      </c>
      <c r="F1831" t="s">
        <v>5</v>
      </c>
      <c r="G1831" t="s">
        <v>6</v>
      </c>
      <c r="H1831" t="s">
        <v>7</v>
      </c>
      <c r="I1831" t="s">
        <v>8</v>
      </c>
      <c r="J1831" t="s">
        <v>403</v>
      </c>
      <c r="K1831" t="s">
        <v>656</v>
      </c>
      <c r="L1831" t="s">
        <v>661</v>
      </c>
      <c r="M1831" t="s">
        <v>12</v>
      </c>
      <c r="N1831" s="2">
        <v>10000</v>
      </c>
      <c r="O1831" s="2">
        <v>0</v>
      </c>
      <c r="P1831" s="2">
        <v>0</v>
      </c>
      <c r="Q1831" s="2">
        <v>10000</v>
      </c>
      <c r="R1831" s="2">
        <v>3283.02</v>
      </c>
      <c r="S1831" s="2">
        <v>4840.37</v>
      </c>
      <c r="T1831" s="2">
        <v>2398.9</v>
      </c>
      <c r="U1831" s="2">
        <v>5159.63</v>
      </c>
      <c r="V1831" s="2">
        <v>7601.1</v>
      </c>
      <c r="W1831" s="2">
        <v>1876.61</v>
      </c>
    </row>
    <row r="1832" spans="1:23" outlineLevel="2" x14ac:dyDescent="0.2">
      <c r="A1832" t="s">
        <v>402</v>
      </c>
      <c r="B1832" t="s">
        <v>39</v>
      </c>
      <c r="C1832" t="s">
        <v>58</v>
      </c>
      <c r="D1832" t="s">
        <v>143</v>
      </c>
      <c r="E1832" t="s">
        <v>144</v>
      </c>
      <c r="F1832" t="s">
        <v>5</v>
      </c>
      <c r="G1832" t="s">
        <v>6</v>
      </c>
      <c r="H1832" t="s">
        <v>7</v>
      </c>
      <c r="I1832" t="s">
        <v>8</v>
      </c>
      <c r="J1832" t="s">
        <v>403</v>
      </c>
      <c r="K1832" t="s">
        <v>656</v>
      </c>
      <c r="L1832" t="s">
        <v>659</v>
      </c>
      <c r="M1832" t="s">
        <v>12</v>
      </c>
      <c r="N1832" s="2">
        <v>2500</v>
      </c>
      <c r="O1832" s="2">
        <v>4000</v>
      </c>
      <c r="P1832" s="2">
        <v>0</v>
      </c>
      <c r="Q1832" s="2">
        <v>6500</v>
      </c>
      <c r="R1832" s="2">
        <v>310.85000000000002</v>
      </c>
      <c r="S1832" s="2">
        <v>4204.29</v>
      </c>
      <c r="T1832" s="2">
        <v>3878.72</v>
      </c>
      <c r="U1832" s="2">
        <v>2295.71</v>
      </c>
      <c r="V1832" s="2">
        <v>2621.2800000000002</v>
      </c>
      <c r="W1832" s="2">
        <v>1984.86</v>
      </c>
    </row>
    <row r="1833" spans="1:23" outlineLevel="2" x14ac:dyDescent="0.2">
      <c r="A1833" t="s">
        <v>402</v>
      </c>
      <c r="B1833" t="s">
        <v>31</v>
      </c>
      <c r="C1833" t="s">
        <v>79</v>
      </c>
      <c r="D1833" t="s">
        <v>113</v>
      </c>
      <c r="E1833" t="s">
        <v>114</v>
      </c>
      <c r="F1833" t="s">
        <v>5</v>
      </c>
      <c r="G1833" t="s">
        <v>6</v>
      </c>
      <c r="H1833" t="s">
        <v>7</v>
      </c>
      <c r="I1833" t="s">
        <v>8</v>
      </c>
      <c r="J1833" t="s">
        <v>403</v>
      </c>
      <c r="K1833" t="s">
        <v>656</v>
      </c>
      <c r="L1833" t="s">
        <v>662</v>
      </c>
      <c r="M1833" t="s">
        <v>12</v>
      </c>
      <c r="N1833" s="2">
        <v>2000</v>
      </c>
      <c r="O1833" s="2">
        <v>0</v>
      </c>
      <c r="P1833" s="2">
        <v>0</v>
      </c>
      <c r="Q1833" s="2">
        <v>2000</v>
      </c>
      <c r="R1833" s="2">
        <v>384.93</v>
      </c>
      <c r="S1833" s="2">
        <v>1615.07</v>
      </c>
      <c r="T1833" s="2">
        <v>1615.07</v>
      </c>
      <c r="U1833" s="2">
        <v>384.93</v>
      </c>
      <c r="V1833" s="2">
        <v>384.93</v>
      </c>
      <c r="W1833" s="2">
        <v>0</v>
      </c>
    </row>
    <row r="1834" spans="1:23" outlineLevel="2" x14ac:dyDescent="0.2">
      <c r="A1834" t="s">
        <v>402</v>
      </c>
      <c r="B1834" t="s">
        <v>1</v>
      </c>
      <c r="C1834" t="s">
        <v>2</v>
      </c>
      <c r="D1834" t="s">
        <v>410</v>
      </c>
      <c r="E1834" t="s">
        <v>411</v>
      </c>
      <c r="F1834" t="s">
        <v>5</v>
      </c>
      <c r="G1834" t="s">
        <v>6</v>
      </c>
      <c r="H1834" t="s">
        <v>7</v>
      </c>
      <c r="I1834" t="s">
        <v>8</v>
      </c>
      <c r="J1834" t="s">
        <v>403</v>
      </c>
      <c r="K1834" t="s">
        <v>656</v>
      </c>
      <c r="L1834" t="s">
        <v>658</v>
      </c>
      <c r="M1834" t="s">
        <v>12</v>
      </c>
      <c r="N1834" s="2">
        <v>0</v>
      </c>
      <c r="O1834" s="2">
        <v>0</v>
      </c>
      <c r="P1834" s="2">
        <v>1222.76</v>
      </c>
      <c r="Q1834" s="2">
        <v>1222.76</v>
      </c>
      <c r="R1834" s="2">
        <v>0</v>
      </c>
      <c r="S1834" s="2">
        <v>0</v>
      </c>
      <c r="T1834" s="2">
        <v>0</v>
      </c>
      <c r="U1834" s="2">
        <v>1222.76</v>
      </c>
      <c r="V1834" s="2">
        <v>1222.76</v>
      </c>
      <c r="W1834" s="2">
        <v>1222.76</v>
      </c>
    </row>
    <row r="1835" spans="1:23" outlineLevel="2" x14ac:dyDescent="0.2">
      <c r="A1835" t="s">
        <v>402</v>
      </c>
      <c r="B1835" t="s">
        <v>1</v>
      </c>
      <c r="C1835" t="s">
        <v>2</v>
      </c>
      <c r="D1835" t="s">
        <v>410</v>
      </c>
      <c r="E1835" t="s">
        <v>411</v>
      </c>
      <c r="F1835" t="s">
        <v>5</v>
      </c>
      <c r="G1835" t="s">
        <v>6</v>
      </c>
      <c r="H1835" t="s">
        <v>7</v>
      </c>
      <c r="I1835" t="s">
        <v>8</v>
      </c>
      <c r="J1835" t="s">
        <v>403</v>
      </c>
      <c r="K1835" t="s">
        <v>656</v>
      </c>
      <c r="L1835" t="s">
        <v>658</v>
      </c>
      <c r="M1835" t="s">
        <v>15</v>
      </c>
      <c r="N1835" s="2">
        <v>150000</v>
      </c>
      <c r="O1835" s="2">
        <v>0</v>
      </c>
      <c r="P1835" s="2">
        <v>-92602.76</v>
      </c>
      <c r="Q1835" s="2">
        <v>57397.24</v>
      </c>
      <c r="R1835" s="2">
        <v>22196.74</v>
      </c>
      <c r="S1835" s="2">
        <v>35200.5</v>
      </c>
      <c r="T1835" s="2">
        <v>17639.04</v>
      </c>
      <c r="U1835" s="2">
        <v>22196.74</v>
      </c>
      <c r="V1835" s="2">
        <v>39758.199999999997</v>
      </c>
      <c r="W1835" s="2">
        <v>0</v>
      </c>
    </row>
    <row r="1836" spans="1:23" outlineLevel="2" x14ac:dyDescent="0.2">
      <c r="A1836" t="s">
        <v>402</v>
      </c>
      <c r="B1836" t="s">
        <v>31</v>
      </c>
      <c r="C1836" t="s">
        <v>79</v>
      </c>
      <c r="D1836" t="s">
        <v>117</v>
      </c>
      <c r="E1836" t="s">
        <v>118</v>
      </c>
      <c r="F1836" t="s">
        <v>5</v>
      </c>
      <c r="G1836" t="s">
        <v>6</v>
      </c>
      <c r="H1836" t="s">
        <v>7</v>
      </c>
      <c r="I1836" t="s">
        <v>8</v>
      </c>
      <c r="J1836" t="s">
        <v>403</v>
      </c>
      <c r="K1836" t="s">
        <v>656</v>
      </c>
      <c r="L1836" t="s">
        <v>662</v>
      </c>
      <c r="M1836" t="s">
        <v>12</v>
      </c>
      <c r="N1836" s="2">
        <v>4000</v>
      </c>
      <c r="O1836" s="2">
        <v>0</v>
      </c>
      <c r="P1836" s="2">
        <v>0</v>
      </c>
      <c r="Q1836" s="2">
        <v>4000</v>
      </c>
      <c r="R1836" s="2">
        <v>255.82</v>
      </c>
      <c r="S1836" s="2">
        <v>318.52999999999997</v>
      </c>
      <c r="T1836" s="2">
        <v>318.52999999999997</v>
      </c>
      <c r="U1836" s="2">
        <v>3681.47</v>
      </c>
      <c r="V1836" s="2">
        <v>3681.47</v>
      </c>
      <c r="W1836" s="2">
        <v>3425.65</v>
      </c>
    </row>
    <row r="1837" spans="1:23" outlineLevel="2" x14ac:dyDescent="0.2">
      <c r="A1837" t="s">
        <v>402</v>
      </c>
      <c r="B1837" t="s">
        <v>1</v>
      </c>
      <c r="C1837" t="s">
        <v>91</v>
      </c>
      <c r="D1837" t="s">
        <v>92</v>
      </c>
      <c r="E1837" t="s">
        <v>93</v>
      </c>
      <c r="F1837" t="s">
        <v>5</v>
      </c>
      <c r="G1837" t="s">
        <v>6</v>
      </c>
      <c r="H1837" t="s">
        <v>7</v>
      </c>
      <c r="I1837" t="s">
        <v>8</v>
      </c>
      <c r="J1837" t="s">
        <v>403</v>
      </c>
      <c r="K1837" t="s">
        <v>656</v>
      </c>
      <c r="L1837" t="s">
        <v>664</v>
      </c>
      <c r="M1837" t="s">
        <v>12</v>
      </c>
      <c r="N1837" s="2">
        <v>0</v>
      </c>
      <c r="O1837" s="2">
        <v>0</v>
      </c>
      <c r="P1837" s="2">
        <v>137.58000000000001</v>
      </c>
      <c r="Q1837" s="2">
        <v>137.58000000000001</v>
      </c>
      <c r="R1837" s="2">
        <v>0</v>
      </c>
      <c r="S1837" s="2">
        <v>0</v>
      </c>
      <c r="T1837" s="2">
        <v>0</v>
      </c>
      <c r="U1837" s="2">
        <v>137.58000000000001</v>
      </c>
      <c r="V1837" s="2">
        <v>137.58000000000001</v>
      </c>
      <c r="W1837" s="2">
        <v>137.58000000000001</v>
      </c>
    </row>
    <row r="1838" spans="1:23" outlineLevel="2" x14ac:dyDescent="0.2">
      <c r="A1838" t="s">
        <v>402</v>
      </c>
      <c r="B1838" t="s">
        <v>39</v>
      </c>
      <c r="C1838" t="s">
        <v>40</v>
      </c>
      <c r="D1838" t="s">
        <v>77</v>
      </c>
      <c r="E1838" t="s">
        <v>78</v>
      </c>
      <c r="F1838" t="s">
        <v>5</v>
      </c>
      <c r="G1838" t="s">
        <v>6</v>
      </c>
      <c r="H1838" t="s">
        <v>7</v>
      </c>
      <c r="I1838" t="s">
        <v>8</v>
      </c>
      <c r="J1838" t="s">
        <v>403</v>
      </c>
      <c r="K1838" t="s">
        <v>656</v>
      </c>
      <c r="L1838" t="s">
        <v>665</v>
      </c>
      <c r="M1838" t="s">
        <v>12</v>
      </c>
      <c r="N1838" s="2">
        <v>0</v>
      </c>
      <c r="O1838" s="2">
        <v>536</v>
      </c>
      <c r="P1838" s="2">
        <v>0</v>
      </c>
      <c r="Q1838" s="2">
        <v>536</v>
      </c>
      <c r="R1838" s="2">
        <v>0</v>
      </c>
      <c r="S1838" s="2">
        <v>200</v>
      </c>
      <c r="T1838" s="2">
        <v>100.52</v>
      </c>
      <c r="U1838" s="2">
        <v>336</v>
      </c>
      <c r="V1838" s="2">
        <v>435.48</v>
      </c>
      <c r="W1838" s="2">
        <v>336</v>
      </c>
    </row>
    <row r="1839" spans="1:23" outlineLevel="2" x14ac:dyDescent="0.2">
      <c r="A1839" t="s">
        <v>402</v>
      </c>
      <c r="B1839" t="s">
        <v>31</v>
      </c>
      <c r="C1839" t="s">
        <v>79</v>
      </c>
      <c r="D1839" t="s">
        <v>111</v>
      </c>
      <c r="E1839" t="s">
        <v>112</v>
      </c>
      <c r="F1839" t="s">
        <v>5</v>
      </c>
      <c r="G1839" t="s">
        <v>6</v>
      </c>
      <c r="H1839" t="s">
        <v>7</v>
      </c>
      <c r="I1839" t="s">
        <v>8</v>
      </c>
      <c r="J1839" t="s">
        <v>403</v>
      </c>
      <c r="K1839" t="s">
        <v>656</v>
      </c>
      <c r="L1839" t="s">
        <v>662</v>
      </c>
      <c r="M1839" t="s">
        <v>12</v>
      </c>
      <c r="N1839" s="2">
        <v>4000</v>
      </c>
      <c r="O1839" s="2">
        <v>0</v>
      </c>
      <c r="P1839" s="2">
        <v>0</v>
      </c>
      <c r="Q1839" s="2">
        <v>4000</v>
      </c>
      <c r="R1839" s="2">
        <v>3264.52</v>
      </c>
      <c r="S1839" s="2">
        <v>96.3</v>
      </c>
      <c r="T1839" s="2">
        <v>0</v>
      </c>
      <c r="U1839" s="2">
        <v>3903.7</v>
      </c>
      <c r="V1839" s="2">
        <v>4000</v>
      </c>
      <c r="W1839" s="2">
        <v>639.17999999999995</v>
      </c>
    </row>
    <row r="1840" spans="1:23" outlineLevel="2" x14ac:dyDescent="0.2">
      <c r="A1840" t="s">
        <v>402</v>
      </c>
      <c r="B1840" t="s">
        <v>1</v>
      </c>
      <c r="C1840" t="s">
        <v>2</v>
      </c>
      <c r="D1840" t="s">
        <v>3</v>
      </c>
      <c r="E1840" t="s">
        <v>4</v>
      </c>
      <c r="F1840" t="s">
        <v>5</v>
      </c>
      <c r="G1840" t="s">
        <v>6</v>
      </c>
      <c r="H1840" t="s">
        <v>7</v>
      </c>
      <c r="I1840" t="s">
        <v>8</v>
      </c>
      <c r="J1840" t="s">
        <v>403</v>
      </c>
      <c r="K1840" t="s">
        <v>656</v>
      </c>
      <c r="L1840" t="s">
        <v>658</v>
      </c>
      <c r="M1840" t="s">
        <v>12</v>
      </c>
      <c r="N1840" s="2">
        <v>0</v>
      </c>
      <c r="O1840" s="2">
        <v>0</v>
      </c>
      <c r="P1840" s="2">
        <v>1700</v>
      </c>
      <c r="Q1840" s="2">
        <v>1700</v>
      </c>
      <c r="R1840" s="2">
        <v>1700</v>
      </c>
      <c r="S1840" s="2">
        <v>0</v>
      </c>
      <c r="T1840" s="2">
        <v>0</v>
      </c>
      <c r="U1840" s="2">
        <v>1700</v>
      </c>
      <c r="V1840" s="2">
        <v>1700</v>
      </c>
      <c r="W1840" s="2">
        <v>0</v>
      </c>
    </row>
    <row r="1841" spans="1:23" outlineLevel="2" x14ac:dyDescent="0.2">
      <c r="A1841" t="s">
        <v>402</v>
      </c>
      <c r="B1841" t="s">
        <v>1</v>
      </c>
      <c r="C1841" t="s">
        <v>16</v>
      </c>
      <c r="D1841" t="s">
        <v>62</v>
      </c>
      <c r="E1841" t="s">
        <v>63</v>
      </c>
      <c r="F1841" t="s">
        <v>5</v>
      </c>
      <c r="G1841" t="s">
        <v>6</v>
      </c>
      <c r="H1841" t="s">
        <v>7</v>
      </c>
      <c r="I1841" t="s">
        <v>8</v>
      </c>
      <c r="J1841" t="s">
        <v>403</v>
      </c>
      <c r="K1841" t="s">
        <v>656</v>
      </c>
      <c r="L1841" t="s">
        <v>663</v>
      </c>
      <c r="M1841" t="s">
        <v>12</v>
      </c>
      <c r="N1841" s="2">
        <v>0</v>
      </c>
      <c r="O1841" s="2">
        <v>0</v>
      </c>
      <c r="P1841" s="2">
        <v>200</v>
      </c>
      <c r="Q1841" s="2">
        <v>200</v>
      </c>
      <c r="R1841" s="2">
        <v>0</v>
      </c>
      <c r="S1841" s="2">
        <v>0</v>
      </c>
      <c r="T1841" s="2">
        <v>0</v>
      </c>
      <c r="U1841" s="2">
        <v>200</v>
      </c>
      <c r="V1841" s="2">
        <v>200</v>
      </c>
      <c r="W1841" s="2">
        <v>200</v>
      </c>
    </row>
    <row r="1842" spans="1:23" outlineLevel="2" x14ac:dyDescent="0.2">
      <c r="A1842" t="s">
        <v>402</v>
      </c>
      <c r="B1842" t="s">
        <v>39</v>
      </c>
      <c r="C1842" t="s">
        <v>66</v>
      </c>
      <c r="D1842" t="s">
        <v>67</v>
      </c>
      <c r="E1842" t="s">
        <v>68</v>
      </c>
      <c r="F1842" t="s">
        <v>5</v>
      </c>
      <c r="G1842" t="s">
        <v>6</v>
      </c>
      <c r="H1842" t="s">
        <v>7</v>
      </c>
      <c r="I1842" t="s">
        <v>8</v>
      </c>
      <c r="J1842" t="s">
        <v>403</v>
      </c>
      <c r="K1842" t="s">
        <v>656</v>
      </c>
      <c r="L1842" t="s">
        <v>666</v>
      </c>
      <c r="M1842" t="s">
        <v>12</v>
      </c>
      <c r="N1842" s="2">
        <v>1000</v>
      </c>
      <c r="O1842" s="2">
        <v>-1000</v>
      </c>
      <c r="P1842" s="2">
        <v>0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</row>
    <row r="1843" spans="1:23" outlineLevel="2" x14ac:dyDescent="0.2">
      <c r="A1843" t="s">
        <v>402</v>
      </c>
      <c r="B1843" t="s">
        <v>39</v>
      </c>
      <c r="C1843" t="s">
        <v>58</v>
      </c>
      <c r="D1843" t="s">
        <v>145</v>
      </c>
      <c r="E1843" t="s">
        <v>146</v>
      </c>
      <c r="F1843" t="s">
        <v>5</v>
      </c>
      <c r="G1843" t="s">
        <v>6</v>
      </c>
      <c r="H1843" t="s">
        <v>7</v>
      </c>
      <c r="I1843" t="s">
        <v>8</v>
      </c>
      <c r="J1843" t="s">
        <v>403</v>
      </c>
      <c r="K1843" t="s">
        <v>656</v>
      </c>
      <c r="L1843" t="s">
        <v>659</v>
      </c>
      <c r="M1843" t="s">
        <v>12</v>
      </c>
      <c r="N1843" s="2">
        <v>2000</v>
      </c>
      <c r="O1843" s="2">
        <v>1910.1</v>
      </c>
      <c r="P1843" s="2">
        <v>0</v>
      </c>
      <c r="Q1843" s="2">
        <v>3910.1</v>
      </c>
      <c r="R1843" s="2">
        <v>924.64</v>
      </c>
      <c r="S1843" s="2">
        <v>2983.71</v>
      </c>
      <c r="T1843" s="2">
        <v>2213.0100000000002</v>
      </c>
      <c r="U1843" s="2">
        <v>926.39</v>
      </c>
      <c r="V1843" s="2">
        <v>1697.09</v>
      </c>
      <c r="W1843" s="2">
        <v>1.75</v>
      </c>
    </row>
    <row r="1844" spans="1:23" outlineLevel="2" x14ac:dyDescent="0.2">
      <c r="A1844" t="s">
        <v>402</v>
      </c>
      <c r="B1844" t="s">
        <v>39</v>
      </c>
      <c r="C1844" t="s">
        <v>58</v>
      </c>
      <c r="D1844" t="s">
        <v>139</v>
      </c>
      <c r="E1844" t="s">
        <v>140</v>
      </c>
      <c r="F1844" t="s">
        <v>5</v>
      </c>
      <c r="G1844" t="s">
        <v>6</v>
      </c>
      <c r="H1844" t="s">
        <v>7</v>
      </c>
      <c r="I1844" t="s">
        <v>8</v>
      </c>
      <c r="J1844" t="s">
        <v>403</v>
      </c>
      <c r="K1844" t="s">
        <v>656</v>
      </c>
      <c r="L1844" t="s">
        <v>659</v>
      </c>
      <c r="M1844" t="s">
        <v>12</v>
      </c>
      <c r="N1844" s="2">
        <v>1000</v>
      </c>
      <c r="O1844" s="2">
        <v>0</v>
      </c>
      <c r="P1844" s="2">
        <v>-1000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</row>
    <row r="1845" spans="1:23" outlineLevel="2" x14ac:dyDescent="0.2">
      <c r="A1845" t="s">
        <v>402</v>
      </c>
      <c r="B1845" t="s">
        <v>1</v>
      </c>
      <c r="C1845" t="s">
        <v>91</v>
      </c>
      <c r="D1845" t="s">
        <v>92</v>
      </c>
      <c r="E1845" t="s">
        <v>93</v>
      </c>
      <c r="F1845" t="s">
        <v>5</v>
      </c>
      <c r="G1845" t="s">
        <v>6</v>
      </c>
      <c r="H1845" t="s">
        <v>7</v>
      </c>
      <c r="I1845" t="s">
        <v>8</v>
      </c>
      <c r="J1845" t="s">
        <v>403</v>
      </c>
      <c r="K1845" t="s">
        <v>656</v>
      </c>
      <c r="L1845" t="s">
        <v>664</v>
      </c>
      <c r="M1845" t="s">
        <v>15</v>
      </c>
      <c r="N1845" s="2">
        <v>35000</v>
      </c>
      <c r="O1845" s="2">
        <v>-20358.5</v>
      </c>
      <c r="P1845" s="2">
        <v>-137.58000000000001</v>
      </c>
      <c r="Q1845" s="2">
        <v>14503.92</v>
      </c>
      <c r="R1845" s="2">
        <v>9385.16</v>
      </c>
      <c r="S1845" s="2">
        <v>5118.76</v>
      </c>
      <c r="T1845" s="2">
        <v>5068.76</v>
      </c>
      <c r="U1845" s="2">
        <v>9385.16</v>
      </c>
      <c r="V1845" s="2">
        <v>9435.16</v>
      </c>
      <c r="W1845" s="2">
        <v>0</v>
      </c>
    </row>
    <row r="1846" spans="1:23" outlineLevel="2" x14ac:dyDescent="0.2">
      <c r="A1846" t="s">
        <v>402</v>
      </c>
      <c r="B1846" t="s">
        <v>39</v>
      </c>
      <c r="C1846" t="s">
        <v>58</v>
      </c>
      <c r="D1846" t="s">
        <v>149</v>
      </c>
      <c r="E1846" t="s">
        <v>150</v>
      </c>
      <c r="F1846" t="s">
        <v>5</v>
      </c>
      <c r="G1846" t="s">
        <v>6</v>
      </c>
      <c r="H1846" t="s">
        <v>7</v>
      </c>
      <c r="I1846" t="s">
        <v>8</v>
      </c>
      <c r="J1846" t="s">
        <v>403</v>
      </c>
      <c r="K1846" t="s">
        <v>656</v>
      </c>
      <c r="L1846" t="s">
        <v>659</v>
      </c>
      <c r="M1846" t="s">
        <v>12</v>
      </c>
      <c r="N1846" s="2">
        <v>6000</v>
      </c>
      <c r="O1846" s="2">
        <v>-1857.8</v>
      </c>
      <c r="P1846" s="2">
        <v>0</v>
      </c>
      <c r="Q1846" s="2">
        <v>4142.2</v>
      </c>
      <c r="R1846" s="2">
        <v>283.32</v>
      </c>
      <c r="S1846" s="2">
        <v>3858.88</v>
      </c>
      <c r="T1846" s="2">
        <v>3546.18</v>
      </c>
      <c r="U1846" s="2">
        <v>283.32</v>
      </c>
      <c r="V1846" s="2">
        <v>596.02</v>
      </c>
      <c r="W1846" s="2">
        <v>0</v>
      </c>
    </row>
    <row r="1847" spans="1:23" outlineLevel="2" x14ac:dyDescent="0.2">
      <c r="A1847" t="s">
        <v>402</v>
      </c>
      <c r="B1847" t="s">
        <v>31</v>
      </c>
      <c r="C1847" t="s">
        <v>79</v>
      </c>
      <c r="D1847" t="s">
        <v>133</v>
      </c>
      <c r="E1847" t="s">
        <v>134</v>
      </c>
      <c r="F1847" t="s">
        <v>5</v>
      </c>
      <c r="G1847" t="s">
        <v>6</v>
      </c>
      <c r="H1847" t="s">
        <v>7</v>
      </c>
      <c r="I1847" t="s">
        <v>8</v>
      </c>
      <c r="J1847" t="s">
        <v>403</v>
      </c>
      <c r="K1847" t="s">
        <v>656</v>
      </c>
      <c r="L1847" t="s">
        <v>662</v>
      </c>
      <c r="M1847" t="s">
        <v>12</v>
      </c>
      <c r="N1847" s="2">
        <v>3000</v>
      </c>
      <c r="O1847" s="2">
        <v>0</v>
      </c>
      <c r="P1847" s="2">
        <v>0</v>
      </c>
      <c r="Q1847" s="2">
        <v>3000</v>
      </c>
      <c r="R1847" s="2">
        <v>720.25</v>
      </c>
      <c r="S1847" s="2">
        <v>900.08</v>
      </c>
      <c r="T1847" s="2">
        <v>561.92999999999995</v>
      </c>
      <c r="U1847" s="2">
        <v>2099.92</v>
      </c>
      <c r="V1847" s="2">
        <v>2438.0700000000002</v>
      </c>
      <c r="W1847" s="2">
        <v>1379.67</v>
      </c>
    </row>
    <row r="1848" spans="1:23" outlineLevel="2" x14ac:dyDescent="0.2">
      <c r="A1848" t="s">
        <v>402</v>
      </c>
      <c r="B1848" t="s">
        <v>39</v>
      </c>
      <c r="C1848" t="s">
        <v>58</v>
      </c>
      <c r="D1848" t="s">
        <v>137</v>
      </c>
      <c r="E1848" t="s">
        <v>138</v>
      </c>
      <c r="F1848" t="s">
        <v>5</v>
      </c>
      <c r="G1848" t="s">
        <v>6</v>
      </c>
      <c r="H1848" t="s">
        <v>7</v>
      </c>
      <c r="I1848" t="s">
        <v>8</v>
      </c>
      <c r="J1848" t="s">
        <v>403</v>
      </c>
      <c r="K1848" t="s">
        <v>667</v>
      </c>
      <c r="L1848" t="s">
        <v>668</v>
      </c>
      <c r="M1848" t="s">
        <v>12</v>
      </c>
      <c r="N1848" s="2">
        <v>1000</v>
      </c>
      <c r="O1848" s="2">
        <v>0</v>
      </c>
      <c r="P1848" s="2">
        <v>0</v>
      </c>
      <c r="Q1848" s="2">
        <v>1000</v>
      </c>
      <c r="R1848" s="2">
        <v>1.2</v>
      </c>
      <c r="S1848" s="2">
        <v>268.8</v>
      </c>
      <c r="T1848" s="2">
        <v>0</v>
      </c>
      <c r="U1848" s="2">
        <v>731.2</v>
      </c>
      <c r="V1848" s="2">
        <v>1000</v>
      </c>
      <c r="W1848" s="2">
        <v>730</v>
      </c>
    </row>
    <row r="1849" spans="1:23" outlineLevel="2" x14ac:dyDescent="0.2">
      <c r="A1849" t="s">
        <v>402</v>
      </c>
      <c r="B1849" t="s">
        <v>53</v>
      </c>
      <c r="C1849" t="s">
        <v>54</v>
      </c>
      <c r="D1849" t="s">
        <v>55</v>
      </c>
      <c r="E1849" t="s">
        <v>56</v>
      </c>
      <c r="F1849" t="s">
        <v>5</v>
      </c>
      <c r="G1849" t="s">
        <v>6</v>
      </c>
      <c r="H1849" t="s">
        <v>7</v>
      </c>
      <c r="I1849" t="s">
        <v>8</v>
      </c>
      <c r="J1849" t="s">
        <v>403</v>
      </c>
      <c r="K1849" t="s">
        <v>667</v>
      </c>
      <c r="L1849" t="s">
        <v>669</v>
      </c>
      <c r="M1849" t="s">
        <v>12</v>
      </c>
      <c r="N1849" s="2">
        <v>1000</v>
      </c>
      <c r="O1849" s="2">
        <v>2188.3000000000002</v>
      </c>
      <c r="P1849" s="2">
        <v>0</v>
      </c>
      <c r="Q1849" s="2">
        <v>3188.3</v>
      </c>
      <c r="R1849" s="2">
        <v>0</v>
      </c>
      <c r="S1849" s="2">
        <v>3188.3</v>
      </c>
      <c r="T1849" s="2">
        <v>3188.3</v>
      </c>
      <c r="U1849" s="2">
        <v>0</v>
      </c>
      <c r="V1849" s="2">
        <v>0</v>
      </c>
      <c r="W1849" s="2">
        <v>0</v>
      </c>
    </row>
    <row r="1850" spans="1:23" outlineLevel="2" x14ac:dyDescent="0.2">
      <c r="A1850" t="s">
        <v>402</v>
      </c>
      <c r="B1850" t="s">
        <v>39</v>
      </c>
      <c r="C1850" t="s">
        <v>58</v>
      </c>
      <c r="D1850" t="s">
        <v>129</v>
      </c>
      <c r="E1850" t="s">
        <v>130</v>
      </c>
      <c r="F1850" t="s">
        <v>5</v>
      </c>
      <c r="G1850" t="s">
        <v>6</v>
      </c>
      <c r="H1850" t="s">
        <v>7</v>
      </c>
      <c r="I1850" t="s">
        <v>8</v>
      </c>
      <c r="J1850" t="s">
        <v>403</v>
      </c>
      <c r="K1850" t="s">
        <v>667</v>
      </c>
      <c r="L1850" t="s">
        <v>668</v>
      </c>
      <c r="M1850" t="s">
        <v>12</v>
      </c>
      <c r="N1850" s="2">
        <v>400</v>
      </c>
      <c r="O1850" s="2">
        <v>2753</v>
      </c>
      <c r="P1850" s="2">
        <v>0</v>
      </c>
      <c r="Q1850" s="2">
        <v>3153</v>
      </c>
      <c r="R1850" s="2">
        <v>1884.27</v>
      </c>
      <c r="S1850" s="2">
        <v>1268.73</v>
      </c>
      <c r="T1850" s="2">
        <v>197.97</v>
      </c>
      <c r="U1850" s="2">
        <v>1884.27</v>
      </c>
      <c r="V1850" s="2">
        <v>2955.03</v>
      </c>
      <c r="W1850" s="2">
        <v>0</v>
      </c>
    </row>
    <row r="1851" spans="1:23" outlineLevel="2" x14ac:dyDescent="0.2">
      <c r="A1851" t="s">
        <v>402</v>
      </c>
      <c r="B1851" t="s">
        <v>31</v>
      </c>
      <c r="C1851" t="s">
        <v>32</v>
      </c>
      <c r="D1851" t="s">
        <v>75</v>
      </c>
      <c r="E1851" t="s">
        <v>76</v>
      </c>
      <c r="F1851" t="s">
        <v>5</v>
      </c>
      <c r="G1851" t="s">
        <v>6</v>
      </c>
      <c r="H1851" t="s">
        <v>7</v>
      </c>
      <c r="I1851" t="s">
        <v>8</v>
      </c>
      <c r="J1851" t="s">
        <v>403</v>
      </c>
      <c r="K1851" t="s">
        <v>667</v>
      </c>
      <c r="L1851" t="s">
        <v>670</v>
      </c>
      <c r="M1851" t="s">
        <v>12</v>
      </c>
      <c r="N1851" s="2">
        <v>11000</v>
      </c>
      <c r="O1851" s="2">
        <v>0</v>
      </c>
      <c r="P1851" s="2">
        <v>0</v>
      </c>
      <c r="Q1851" s="2">
        <v>11000</v>
      </c>
      <c r="R1851" s="2">
        <v>3112.96</v>
      </c>
      <c r="S1851" s="2">
        <v>7887.04</v>
      </c>
      <c r="T1851" s="2">
        <v>1501.59</v>
      </c>
      <c r="U1851" s="2">
        <v>3112.96</v>
      </c>
      <c r="V1851" s="2">
        <v>9498.41</v>
      </c>
      <c r="W1851" s="2">
        <v>0</v>
      </c>
    </row>
    <row r="1852" spans="1:23" outlineLevel="2" x14ac:dyDescent="0.2">
      <c r="A1852" t="s">
        <v>402</v>
      </c>
      <c r="B1852" t="s">
        <v>1</v>
      </c>
      <c r="C1852" t="s">
        <v>2</v>
      </c>
      <c r="D1852" t="s">
        <v>410</v>
      </c>
      <c r="E1852" t="s">
        <v>411</v>
      </c>
      <c r="F1852" t="s">
        <v>5</v>
      </c>
      <c r="G1852" t="s">
        <v>6</v>
      </c>
      <c r="H1852" t="s">
        <v>7</v>
      </c>
      <c r="I1852" t="s">
        <v>8</v>
      </c>
      <c r="J1852" t="s">
        <v>403</v>
      </c>
      <c r="K1852" t="s">
        <v>667</v>
      </c>
      <c r="L1852" t="s">
        <v>671</v>
      </c>
      <c r="M1852" t="s">
        <v>15</v>
      </c>
      <c r="N1852" s="2">
        <v>14000</v>
      </c>
      <c r="O1852" s="2">
        <v>-13000</v>
      </c>
      <c r="P1852" s="2">
        <v>0</v>
      </c>
      <c r="Q1852" s="2">
        <v>1000</v>
      </c>
      <c r="R1852" s="2">
        <v>0</v>
      </c>
      <c r="S1852" s="2">
        <v>1000</v>
      </c>
      <c r="T1852" s="2">
        <v>25.31</v>
      </c>
      <c r="U1852" s="2">
        <v>0</v>
      </c>
      <c r="V1852" s="2">
        <v>974.69</v>
      </c>
      <c r="W1852" s="2">
        <v>0</v>
      </c>
    </row>
    <row r="1853" spans="1:23" outlineLevel="2" x14ac:dyDescent="0.2">
      <c r="A1853" t="s">
        <v>402</v>
      </c>
      <c r="B1853" t="s">
        <v>31</v>
      </c>
      <c r="C1853" t="s">
        <v>79</v>
      </c>
      <c r="D1853" t="s">
        <v>111</v>
      </c>
      <c r="E1853" t="s">
        <v>112</v>
      </c>
      <c r="F1853" t="s">
        <v>5</v>
      </c>
      <c r="G1853" t="s">
        <v>6</v>
      </c>
      <c r="H1853" t="s">
        <v>7</v>
      </c>
      <c r="I1853" t="s">
        <v>8</v>
      </c>
      <c r="J1853" t="s">
        <v>403</v>
      </c>
      <c r="K1853" t="s">
        <v>667</v>
      </c>
      <c r="L1853" t="s">
        <v>672</v>
      </c>
      <c r="M1853" t="s">
        <v>12</v>
      </c>
      <c r="N1853" s="2">
        <v>2555.84</v>
      </c>
      <c r="O1853" s="2">
        <v>0</v>
      </c>
      <c r="P1853" s="2">
        <v>0</v>
      </c>
      <c r="Q1853" s="2">
        <v>2555.84</v>
      </c>
      <c r="R1853" s="2">
        <v>0</v>
      </c>
      <c r="S1853" s="2">
        <v>0</v>
      </c>
      <c r="T1853" s="2">
        <v>0</v>
      </c>
      <c r="U1853" s="2">
        <v>2555.84</v>
      </c>
      <c r="V1853" s="2">
        <v>2555.84</v>
      </c>
      <c r="W1853" s="2">
        <v>2555.84</v>
      </c>
    </row>
    <row r="1854" spans="1:23" outlineLevel="2" x14ac:dyDescent="0.2">
      <c r="A1854" t="s">
        <v>402</v>
      </c>
      <c r="B1854" t="s">
        <v>39</v>
      </c>
      <c r="C1854" t="s">
        <v>66</v>
      </c>
      <c r="D1854" t="s">
        <v>67</v>
      </c>
      <c r="E1854" t="s">
        <v>68</v>
      </c>
      <c r="F1854" t="s">
        <v>5</v>
      </c>
      <c r="G1854" t="s">
        <v>6</v>
      </c>
      <c r="H1854" t="s">
        <v>7</v>
      </c>
      <c r="I1854" t="s">
        <v>8</v>
      </c>
      <c r="J1854" t="s">
        <v>403</v>
      </c>
      <c r="K1854" t="s">
        <v>667</v>
      </c>
      <c r="L1854" t="s">
        <v>673</v>
      </c>
      <c r="M1854" t="s">
        <v>12</v>
      </c>
      <c r="N1854" s="2">
        <v>200</v>
      </c>
      <c r="O1854" s="2">
        <v>-200</v>
      </c>
      <c r="P1854" s="2">
        <v>0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</row>
    <row r="1855" spans="1:23" outlineLevel="2" x14ac:dyDescent="0.2">
      <c r="A1855" t="s">
        <v>402</v>
      </c>
      <c r="B1855" t="s">
        <v>39</v>
      </c>
      <c r="C1855" t="s">
        <v>58</v>
      </c>
      <c r="D1855" t="s">
        <v>147</v>
      </c>
      <c r="E1855" t="s">
        <v>148</v>
      </c>
      <c r="F1855" t="s">
        <v>5</v>
      </c>
      <c r="G1855" t="s">
        <v>6</v>
      </c>
      <c r="H1855" t="s">
        <v>7</v>
      </c>
      <c r="I1855" t="s">
        <v>8</v>
      </c>
      <c r="J1855" t="s">
        <v>403</v>
      </c>
      <c r="K1855" t="s">
        <v>667</v>
      </c>
      <c r="L1855" t="s">
        <v>668</v>
      </c>
      <c r="M1855" t="s">
        <v>12</v>
      </c>
      <c r="N1855" s="2">
        <v>3000</v>
      </c>
      <c r="O1855" s="2">
        <v>0</v>
      </c>
      <c r="P1855" s="2">
        <v>-7.0000000000000007E-2</v>
      </c>
      <c r="Q1855" s="2">
        <v>2999.93</v>
      </c>
      <c r="R1855" s="2">
        <v>282.39999999999998</v>
      </c>
      <c r="S1855" s="2">
        <v>377.53</v>
      </c>
      <c r="T1855" s="2">
        <v>377.53</v>
      </c>
      <c r="U1855" s="2">
        <v>2622.4</v>
      </c>
      <c r="V1855" s="2">
        <v>2622.4</v>
      </c>
      <c r="W1855" s="2">
        <v>2340</v>
      </c>
    </row>
    <row r="1856" spans="1:23" outlineLevel="2" x14ac:dyDescent="0.2">
      <c r="A1856" t="s">
        <v>402</v>
      </c>
      <c r="B1856" t="s">
        <v>31</v>
      </c>
      <c r="C1856" t="s">
        <v>32</v>
      </c>
      <c r="D1856" t="s">
        <v>33</v>
      </c>
      <c r="E1856" t="s">
        <v>34</v>
      </c>
      <c r="F1856" t="s">
        <v>5</v>
      </c>
      <c r="G1856" t="s">
        <v>6</v>
      </c>
      <c r="H1856" t="s">
        <v>7</v>
      </c>
      <c r="I1856" t="s">
        <v>8</v>
      </c>
      <c r="J1856" t="s">
        <v>403</v>
      </c>
      <c r="K1856" t="s">
        <v>667</v>
      </c>
      <c r="L1856" t="s">
        <v>670</v>
      </c>
      <c r="M1856" t="s">
        <v>12</v>
      </c>
      <c r="N1856" s="2">
        <v>30000</v>
      </c>
      <c r="O1856" s="2">
        <v>-11000</v>
      </c>
      <c r="P1856" s="2">
        <v>0</v>
      </c>
      <c r="Q1856" s="2">
        <v>19000</v>
      </c>
      <c r="R1856" s="2">
        <v>0</v>
      </c>
      <c r="S1856" s="2">
        <v>4129.7700000000004</v>
      </c>
      <c r="T1856" s="2">
        <v>4129.7700000000004</v>
      </c>
      <c r="U1856" s="2">
        <v>14870.23</v>
      </c>
      <c r="V1856" s="2">
        <v>14870.23</v>
      </c>
      <c r="W1856" s="2">
        <v>14870.23</v>
      </c>
    </row>
    <row r="1857" spans="1:23" outlineLevel="2" x14ac:dyDescent="0.2">
      <c r="A1857" t="s">
        <v>402</v>
      </c>
      <c r="B1857" t="s">
        <v>31</v>
      </c>
      <c r="C1857" t="s">
        <v>79</v>
      </c>
      <c r="D1857" t="s">
        <v>113</v>
      </c>
      <c r="E1857" t="s">
        <v>114</v>
      </c>
      <c r="F1857" t="s">
        <v>5</v>
      </c>
      <c r="G1857" t="s">
        <v>6</v>
      </c>
      <c r="H1857" t="s">
        <v>7</v>
      </c>
      <c r="I1857" t="s">
        <v>8</v>
      </c>
      <c r="J1857" t="s">
        <v>403</v>
      </c>
      <c r="K1857" t="s">
        <v>667</v>
      </c>
      <c r="L1857" t="s">
        <v>672</v>
      </c>
      <c r="M1857" t="s">
        <v>12</v>
      </c>
      <c r="N1857" s="2">
        <v>0</v>
      </c>
      <c r="O1857" s="2">
        <v>750</v>
      </c>
      <c r="P1857" s="2">
        <v>0</v>
      </c>
      <c r="Q1857" s="2">
        <v>750</v>
      </c>
      <c r="R1857" s="2">
        <v>147.94999999999999</v>
      </c>
      <c r="S1857" s="2">
        <v>602.04999999999995</v>
      </c>
      <c r="T1857" s="2">
        <v>66.81</v>
      </c>
      <c r="U1857" s="2">
        <v>147.94999999999999</v>
      </c>
      <c r="V1857" s="2">
        <v>683.19</v>
      </c>
      <c r="W1857" s="2">
        <v>0</v>
      </c>
    </row>
    <row r="1858" spans="1:23" outlineLevel="2" x14ac:dyDescent="0.2">
      <c r="A1858" t="s">
        <v>402</v>
      </c>
      <c r="B1858" t="s">
        <v>31</v>
      </c>
      <c r="C1858" t="s">
        <v>79</v>
      </c>
      <c r="D1858" t="s">
        <v>80</v>
      </c>
      <c r="E1858" t="s">
        <v>81</v>
      </c>
      <c r="F1858" t="s">
        <v>5</v>
      </c>
      <c r="G1858" t="s">
        <v>6</v>
      </c>
      <c r="H1858" t="s">
        <v>7</v>
      </c>
      <c r="I1858" t="s">
        <v>8</v>
      </c>
      <c r="J1858" t="s">
        <v>403</v>
      </c>
      <c r="K1858" t="s">
        <v>667</v>
      </c>
      <c r="L1858" t="s">
        <v>672</v>
      </c>
      <c r="M1858" t="s">
        <v>12</v>
      </c>
      <c r="N1858" s="2">
        <v>800</v>
      </c>
      <c r="O1858" s="2">
        <v>400</v>
      </c>
      <c r="P1858" s="2">
        <v>0</v>
      </c>
      <c r="Q1858" s="2">
        <v>1200</v>
      </c>
      <c r="R1858" s="2">
        <v>603.09</v>
      </c>
      <c r="S1858" s="2">
        <v>595.34</v>
      </c>
      <c r="T1858" s="2">
        <v>0</v>
      </c>
      <c r="U1858" s="2">
        <v>604.66</v>
      </c>
      <c r="V1858" s="2">
        <v>1200</v>
      </c>
      <c r="W1858" s="2">
        <v>1.57</v>
      </c>
    </row>
    <row r="1859" spans="1:23" outlineLevel="2" x14ac:dyDescent="0.2">
      <c r="A1859" t="s">
        <v>402</v>
      </c>
      <c r="B1859" t="s">
        <v>39</v>
      </c>
      <c r="C1859" t="s">
        <v>58</v>
      </c>
      <c r="D1859" t="s">
        <v>143</v>
      </c>
      <c r="E1859" t="s">
        <v>144</v>
      </c>
      <c r="F1859" t="s">
        <v>5</v>
      </c>
      <c r="G1859" t="s">
        <v>6</v>
      </c>
      <c r="H1859" t="s">
        <v>7</v>
      </c>
      <c r="I1859" t="s">
        <v>8</v>
      </c>
      <c r="J1859" t="s">
        <v>403</v>
      </c>
      <c r="K1859" t="s">
        <v>667</v>
      </c>
      <c r="L1859" t="s">
        <v>668</v>
      </c>
      <c r="M1859" t="s">
        <v>12</v>
      </c>
      <c r="N1859" s="2">
        <v>0</v>
      </c>
      <c r="O1859" s="2">
        <v>1000</v>
      </c>
      <c r="P1859" s="2">
        <v>0</v>
      </c>
      <c r="Q1859" s="2">
        <v>1000</v>
      </c>
      <c r="R1859" s="2">
        <v>144.58000000000001</v>
      </c>
      <c r="S1859" s="2">
        <v>711.81</v>
      </c>
      <c r="T1859" s="2">
        <v>711.81</v>
      </c>
      <c r="U1859" s="2">
        <v>288.19</v>
      </c>
      <c r="V1859" s="2">
        <v>288.19</v>
      </c>
      <c r="W1859" s="2">
        <v>143.61000000000001</v>
      </c>
    </row>
    <row r="1860" spans="1:23" outlineLevel="2" x14ac:dyDescent="0.2">
      <c r="A1860" t="s">
        <v>402</v>
      </c>
      <c r="B1860" t="s">
        <v>39</v>
      </c>
      <c r="C1860" t="s">
        <v>58</v>
      </c>
      <c r="D1860" t="s">
        <v>135</v>
      </c>
      <c r="E1860" t="s">
        <v>136</v>
      </c>
      <c r="F1860" t="s">
        <v>5</v>
      </c>
      <c r="G1860" t="s">
        <v>6</v>
      </c>
      <c r="H1860" t="s">
        <v>7</v>
      </c>
      <c r="I1860" t="s">
        <v>8</v>
      </c>
      <c r="J1860" t="s">
        <v>403</v>
      </c>
      <c r="K1860" t="s">
        <v>667</v>
      </c>
      <c r="L1860" t="s">
        <v>668</v>
      </c>
      <c r="M1860" t="s">
        <v>12</v>
      </c>
      <c r="N1860" s="2">
        <v>13000</v>
      </c>
      <c r="O1860" s="2">
        <v>3136</v>
      </c>
      <c r="P1860" s="2">
        <v>-4109.55</v>
      </c>
      <c r="Q1860" s="2">
        <v>12026.45</v>
      </c>
      <c r="R1860" s="2">
        <v>2613.2199999999998</v>
      </c>
      <c r="S1860" s="2">
        <v>7541.33</v>
      </c>
      <c r="T1860" s="2">
        <v>4167.62</v>
      </c>
      <c r="U1860" s="2">
        <v>4485.12</v>
      </c>
      <c r="V1860" s="2">
        <v>7858.83</v>
      </c>
      <c r="W1860" s="2">
        <v>1871.9</v>
      </c>
    </row>
    <row r="1861" spans="1:23" outlineLevel="2" x14ac:dyDescent="0.2">
      <c r="A1861" t="s">
        <v>402</v>
      </c>
      <c r="B1861" t="s">
        <v>31</v>
      </c>
      <c r="C1861" t="s">
        <v>79</v>
      </c>
      <c r="D1861" t="s">
        <v>115</v>
      </c>
      <c r="E1861" t="s">
        <v>116</v>
      </c>
      <c r="F1861" t="s">
        <v>5</v>
      </c>
      <c r="G1861" t="s">
        <v>6</v>
      </c>
      <c r="H1861" t="s">
        <v>7</v>
      </c>
      <c r="I1861" t="s">
        <v>8</v>
      </c>
      <c r="J1861" t="s">
        <v>403</v>
      </c>
      <c r="K1861" t="s">
        <v>667</v>
      </c>
      <c r="L1861" t="s">
        <v>672</v>
      </c>
      <c r="M1861" t="s">
        <v>12</v>
      </c>
      <c r="N1861" s="2">
        <v>2000</v>
      </c>
      <c r="O1861" s="2">
        <v>1120</v>
      </c>
      <c r="P1861" s="2">
        <v>0</v>
      </c>
      <c r="Q1861" s="2">
        <v>3120</v>
      </c>
      <c r="R1861" s="2">
        <v>850.49</v>
      </c>
      <c r="S1861" s="2">
        <v>2262.5100000000002</v>
      </c>
      <c r="T1861" s="2">
        <v>0</v>
      </c>
      <c r="U1861" s="2">
        <v>857.49</v>
      </c>
      <c r="V1861" s="2">
        <v>3120</v>
      </c>
      <c r="W1861" s="2">
        <v>7</v>
      </c>
    </row>
    <row r="1862" spans="1:23" outlineLevel="2" x14ac:dyDescent="0.2">
      <c r="A1862" t="s">
        <v>402</v>
      </c>
      <c r="B1862" t="s">
        <v>31</v>
      </c>
      <c r="C1862" t="s">
        <v>79</v>
      </c>
      <c r="D1862" t="s">
        <v>131</v>
      </c>
      <c r="E1862" t="s">
        <v>132</v>
      </c>
      <c r="F1862" t="s">
        <v>5</v>
      </c>
      <c r="G1862" t="s">
        <v>6</v>
      </c>
      <c r="H1862" t="s">
        <v>7</v>
      </c>
      <c r="I1862" t="s">
        <v>8</v>
      </c>
      <c r="J1862" t="s">
        <v>403</v>
      </c>
      <c r="K1862" t="s">
        <v>667</v>
      </c>
      <c r="L1862" t="s">
        <v>672</v>
      </c>
      <c r="M1862" t="s">
        <v>12</v>
      </c>
      <c r="N1862" s="2">
        <v>1000</v>
      </c>
      <c r="O1862" s="2">
        <v>0</v>
      </c>
      <c r="P1862" s="2">
        <v>0</v>
      </c>
      <c r="Q1862" s="2">
        <v>1000</v>
      </c>
      <c r="R1862" s="2">
        <v>326.95</v>
      </c>
      <c r="S1862" s="2">
        <v>663.04</v>
      </c>
      <c r="T1862" s="2">
        <v>663.04</v>
      </c>
      <c r="U1862" s="2">
        <v>336.96</v>
      </c>
      <c r="V1862" s="2">
        <v>336.96</v>
      </c>
      <c r="W1862" s="2">
        <v>10.01</v>
      </c>
    </row>
    <row r="1863" spans="1:23" outlineLevel="2" x14ac:dyDescent="0.2">
      <c r="A1863" t="s">
        <v>402</v>
      </c>
      <c r="B1863" t="s">
        <v>39</v>
      </c>
      <c r="C1863" t="s">
        <v>58</v>
      </c>
      <c r="D1863" t="s">
        <v>149</v>
      </c>
      <c r="E1863" t="s">
        <v>150</v>
      </c>
      <c r="F1863" t="s">
        <v>5</v>
      </c>
      <c r="G1863" t="s">
        <v>6</v>
      </c>
      <c r="H1863" t="s">
        <v>7</v>
      </c>
      <c r="I1863" t="s">
        <v>8</v>
      </c>
      <c r="J1863" t="s">
        <v>403</v>
      </c>
      <c r="K1863" t="s">
        <v>667</v>
      </c>
      <c r="L1863" t="s">
        <v>668</v>
      </c>
      <c r="M1863" t="s">
        <v>12</v>
      </c>
      <c r="N1863" s="2">
        <v>600</v>
      </c>
      <c r="O1863" s="2">
        <v>-165.82</v>
      </c>
      <c r="P1863" s="2">
        <v>0</v>
      </c>
      <c r="Q1863" s="2">
        <v>434.18</v>
      </c>
      <c r="R1863" s="2">
        <v>50.98</v>
      </c>
      <c r="S1863" s="2">
        <v>383.2</v>
      </c>
      <c r="T1863" s="2">
        <v>371.87</v>
      </c>
      <c r="U1863" s="2">
        <v>50.98</v>
      </c>
      <c r="V1863" s="2">
        <v>62.31</v>
      </c>
      <c r="W1863" s="2">
        <v>0</v>
      </c>
    </row>
    <row r="1864" spans="1:23" outlineLevel="2" x14ac:dyDescent="0.2">
      <c r="A1864" t="s">
        <v>402</v>
      </c>
      <c r="B1864" t="s">
        <v>39</v>
      </c>
      <c r="C1864" t="s">
        <v>58</v>
      </c>
      <c r="D1864" t="s">
        <v>145</v>
      </c>
      <c r="E1864" t="s">
        <v>146</v>
      </c>
      <c r="F1864" t="s">
        <v>5</v>
      </c>
      <c r="G1864" t="s">
        <v>6</v>
      </c>
      <c r="H1864" t="s">
        <v>7</v>
      </c>
      <c r="I1864" t="s">
        <v>8</v>
      </c>
      <c r="J1864" t="s">
        <v>403</v>
      </c>
      <c r="K1864" t="s">
        <v>667</v>
      </c>
      <c r="L1864" t="s">
        <v>668</v>
      </c>
      <c r="M1864" t="s">
        <v>12</v>
      </c>
      <c r="N1864" s="2">
        <v>250</v>
      </c>
      <c r="O1864" s="2">
        <v>100</v>
      </c>
      <c r="P1864" s="2">
        <v>0</v>
      </c>
      <c r="Q1864" s="2">
        <v>350</v>
      </c>
      <c r="R1864" s="2">
        <v>127.57</v>
      </c>
      <c r="S1864" s="2">
        <v>222.08</v>
      </c>
      <c r="T1864" s="2">
        <v>0</v>
      </c>
      <c r="U1864" s="2">
        <v>127.92</v>
      </c>
      <c r="V1864" s="2">
        <v>350</v>
      </c>
      <c r="W1864" s="2">
        <v>0.35</v>
      </c>
    </row>
    <row r="1865" spans="1:23" outlineLevel="2" x14ac:dyDescent="0.2">
      <c r="A1865" t="s">
        <v>402</v>
      </c>
      <c r="B1865" t="s">
        <v>1</v>
      </c>
      <c r="C1865" t="s">
        <v>2</v>
      </c>
      <c r="D1865" t="s">
        <v>3</v>
      </c>
      <c r="E1865" t="s">
        <v>4</v>
      </c>
      <c r="F1865" t="s">
        <v>5</v>
      </c>
      <c r="G1865" t="s">
        <v>6</v>
      </c>
      <c r="H1865" t="s">
        <v>7</v>
      </c>
      <c r="I1865" t="s">
        <v>8</v>
      </c>
      <c r="J1865" t="s">
        <v>403</v>
      </c>
      <c r="K1865" t="s">
        <v>667</v>
      </c>
      <c r="L1865" t="s">
        <v>671</v>
      </c>
      <c r="M1865" t="s">
        <v>15</v>
      </c>
      <c r="N1865" s="2">
        <v>850</v>
      </c>
      <c r="O1865" s="2">
        <v>1236.04</v>
      </c>
      <c r="P1865" s="2">
        <v>0</v>
      </c>
      <c r="Q1865" s="2">
        <v>2086.04</v>
      </c>
      <c r="R1865" s="2">
        <v>97.66</v>
      </c>
      <c r="S1865" s="2">
        <v>1988.38</v>
      </c>
      <c r="T1865" s="2">
        <v>1988.38</v>
      </c>
      <c r="U1865" s="2">
        <v>97.66</v>
      </c>
      <c r="V1865" s="2">
        <v>97.66</v>
      </c>
      <c r="W1865" s="2">
        <v>0</v>
      </c>
    </row>
    <row r="1866" spans="1:23" outlineLevel="2" x14ac:dyDescent="0.2">
      <c r="A1866" t="s">
        <v>402</v>
      </c>
      <c r="B1866" t="s">
        <v>39</v>
      </c>
      <c r="C1866" t="s">
        <v>95</v>
      </c>
      <c r="D1866" t="s">
        <v>96</v>
      </c>
      <c r="E1866" t="s">
        <v>97</v>
      </c>
      <c r="F1866" t="s">
        <v>5</v>
      </c>
      <c r="G1866" t="s">
        <v>6</v>
      </c>
      <c r="H1866" t="s">
        <v>7</v>
      </c>
      <c r="I1866" t="s">
        <v>8</v>
      </c>
      <c r="J1866" t="s">
        <v>403</v>
      </c>
      <c r="K1866" t="s">
        <v>667</v>
      </c>
      <c r="L1866" t="s">
        <v>674</v>
      </c>
      <c r="M1866" t="s">
        <v>12</v>
      </c>
      <c r="N1866" s="2">
        <v>220</v>
      </c>
      <c r="O1866" s="2">
        <v>0</v>
      </c>
      <c r="P1866" s="2">
        <v>0</v>
      </c>
      <c r="Q1866" s="2">
        <v>220</v>
      </c>
      <c r="R1866" s="2">
        <v>0</v>
      </c>
      <c r="S1866" s="2">
        <v>0</v>
      </c>
      <c r="T1866" s="2">
        <v>0</v>
      </c>
      <c r="U1866" s="2">
        <v>220</v>
      </c>
      <c r="V1866" s="2">
        <v>220</v>
      </c>
      <c r="W1866" s="2">
        <v>220</v>
      </c>
    </row>
    <row r="1867" spans="1:23" outlineLevel="2" x14ac:dyDescent="0.2">
      <c r="A1867" t="s">
        <v>402</v>
      </c>
      <c r="B1867" t="s">
        <v>31</v>
      </c>
      <c r="C1867" t="s">
        <v>79</v>
      </c>
      <c r="D1867" t="s">
        <v>133</v>
      </c>
      <c r="E1867" t="s">
        <v>134</v>
      </c>
      <c r="F1867" t="s">
        <v>5</v>
      </c>
      <c r="G1867" t="s">
        <v>6</v>
      </c>
      <c r="H1867" t="s">
        <v>7</v>
      </c>
      <c r="I1867" t="s">
        <v>8</v>
      </c>
      <c r="J1867" t="s">
        <v>403</v>
      </c>
      <c r="K1867" t="s">
        <v>667</v>
      </c>
      <c r="L1867" t="s">
        <v>672</v>
      </c>
      <c r="M1867" t="s">
        <v>12</v>
      </c>
      <c r="N1867" s="2">
        <v>300</v>
      </c>
      <c r="O1867" s="2">
        <v>0</v>
      </c>
      <c r="P1867" s="2">
        <v>0</v>
      </c>
      <c r="Q1867" s="2">
        <v>300</v>
      </c>
      <c r="R1867" s="2">
        <v>98.8</v>
      </c>
      <c r="S1867" s="2">
        <v>101.2</v>
      </c>
      <c r="T1867" s="2">
        <v>0</v>
      </c>
      <c r="U1867" s="2">
        <v>198.8</v>
      </c>
      <c r="V1867" s="2">
        <v>300</v>
      </c>
      <c r="W1867" s="2">
        <v>100</v>
      </c>
    </row>
    <row r="1868" spans="1:23" outlineLevel="2" x14ac:dyDescent="0.2">
      <c r="A1868" t="s">
        <v>402</v>
      </c>
      <c r="B1868" t="s">
        <v>1</v>
      </c>
      <c r="C1868" t="s">
        <v>91</v>
      </c>
      <c r="D1868" t="s">
        <v>92</v>
      </c>
      <c r="E1868" t="s">
        <v>93</v>
      </c>
      <c r="F1868" t="s">
        <v>5</v>
      </c>
      <c r="G1868" t="s">
        <v>6</v>
      </c>
      <c r="H1868" t="s">
        <v>7</v>
      </c>
      <c r="I1868" t="s">
        <v>8</v>
      </c>
      <c r="J1868" t="s">
        <v>403</v>
      </c>
      <c r="K1868" t="s">
        <v>667</v>
      </c>
      <c r="L1868" t="s">
        <v>675</v>
      </c>
      <c r="M1868" t="s">
        <v>15</v>
      </c>
      <c r="N1868" s="2">
        <v>1500</v>
      </c>
      <c r="O1868" s="2">
        <v>3669.57</v>
      </c>
      <c r="P1868" s="2">
        <v>-1530.7</v>
      </c>
      <c r="Q1868" s="2">
        <v>3638.87</v>
      </c>
      <c r="R1868" s="2">
        <v>0</v>
      </c>
      <c r="S1868" s="2">
        <v>3638.87</v>
      </c>
      <c r="T1868" s="2">
        <v>3588.87</v>
      </c>
      <c r="U1868" s="2">
        <v>0</v>
      </c>
      <c r="V1868" s="2">
        <v>50</v>
      </c>
      <c r="W1868" s="2">
        <v>0</v>
      </c>
    </row>
    <row r="1869" spans="1:23" outlineLevel="2" x14ac:dyDescent="0.2">
      <c r="A1869" t="s">
        <v>402</v>
      </c>
      <c r="B1869" t="s">
        <v>39</v>
      </c>
      <c r="C1869" t="s">
        <v>70</v>
      </c>
      <c r="D1869" t="s">
        <v>89</v>
      </c>
      <c r="E1869" t="s">
        <v>90</v>
      </c>
      <c r="F1869" t="s">
        <v>5</v>
      </c>
      <c r="G1869" t="s">
        <v>6</v>
      </c>
      <c r="H1869" t="s">
        <v>7</v>
      </c>
      <c r="I1869" t="s">
        <v>8</v>
      </c>
      <c r="J1869" t="s">
        <v>403</v>
      </c>
      <c r="K1869" t="s">
        <v>667</v>
      </c>
      <c r="L1869" t="s">
        <v>676</v>
      </c>
      <c r="M1869" t="s">
        <v>12</v>
      </c>
      <c r="N1869" s="2">
        <v>3500</v>
      </c>
      <c r="O1869" s="2">
        <v>34780.5</v>
      </c>
      <c r="P1869" s="2">
        <v>0</v>
      </c>
      <c r="Q1869" s="2">
        <v>38280.5</v>
      </c>
      <c r="R1869" s="2">
        <v>0</v>
      </c>
      <c r="S1869" s="2">
        <v>36630.839999999997</v>
      </c>
      <c r="T1869" s="2">
        <v>36630.839999999997</v>
      </c>
      <c r="U1869" s="2">
        <v>1649.66</v>
      </c>
      <c r="V1869" s="2">
        <v>1649.66</v>
      </c>
      <c r="W1869" s="2">
        <v>1649.66</v>
      </c>
    </row>
    <row r="1870" spans="1:23" outlineLevel="2" x14ac:dyDescent="0.2">
      <c r="A1870" t="s">
        <v>402</v>
      </c>
      <c r="B1870" t="s">
        <v>39</v>
      </c>
      <c r="C1870" t="s">
        <v>58</v>
      </c>
      <c r="D1870" t="s">
        <v>139</v>
      </c>
      <c r="E1870" t="s">
        <v>140</v>
      </c>
      <c r="F1870" t="s">
        <v>5</v>
      </c>
      <c r="G1870" t="s">
        <v>6</v>
      </c>
      <c r="H1870" t="s">
        <v>7</v>
      </c>
      <c r="I1870" t="s">
        <v>8</v>
      </c>
      <c r="J1870" t="s">
        <v>403</v>
      </c>
      <c r="K1870" t="s">
        <v>667</v>
      </c>
      <c r="L1870" t="s">
        <v>668</v>
      </c>
      <c r="M1870" t="s">
        <v>12</v>
      </c>
      <c r="N1870" s="2">
        <v>1000</v>
      </c>
      <c r="O1870" s="2">
        <v>0</v>
      </c>
      <c r="P1870" s="2">
        <v>-1000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</row>
    <row r="1871" spans="1:23" outlineLevel="2" x14ac:dyDescent="0.2">
      <c r="A1871" t="s">
        <v>402</v>
      </c>
      <c r="B1871" t="s">
        <v>1</v>
      </c>
      <c r="C1871" t="s">
        <v>91</v>
      </c>
      <c r="D1871" t="s">
        <v>92</v>
      </c>
      <c r="E1871" t="s">
        <v>93</v>
      </c>
      <c r="F1871" t="s">
        <v>5</v>
      </c>
      <c r="G1871" t="s">
        <v>6</v>
      </c>
      <c r="H1871" t="s">
        <v>7</v>
      </c>
      <c r="I1871" t="s">
        <v>8</v>
      </c>
      <c r="J1871" t="s">
        <v>403</v>
      </c>
      <c r="K1871" t="s">
        <v>667</v>
      </c>
      <c r="L1871" t="s">
        <v>675</v>
      </c>
      <c r="M1871" t="s">
        <v>12</v>
      </c>
      <c r="N1871" s="2">
        <v>0</v>
      </c>
      <c r="O1871" s="2">
        <v>0</v>
      </c>
      <c r="P1871" s="2">
        <v>1530.7</v>
      </c>
      <c r="Q1871" s="2">
        <v>1530.7</v>
      </c>
      <c r="R1871" s="2">
        <v>0</v>
      </c>
      <c r="S1871" s="2">
        <v>0</v>
      </c>
      <c r="T1871" s="2">
        <v>0</v>
      </c>
      <c r="U1871" s="2">
        <v>1530.7</v>
      </c>
      <c r="V1871" s="2">
        <v>1530.7</v>
      </c>
      <c r="W1871" s="2">
        <v>1530.7</v>
      </c>
    </row>
    <row r="1872" spans="1:23" outlineLevel="2" x14ac:dyDescent="0.2">
      <c r="A1872" t="s">
        <v>402</v>
      </c>
      <c r="B1872" t="s">
        <v>31</v>
      </c>
      <c r="C1872" t="s">
        <v>79</v>
      </c>
      <c r="D1872" t="s">
        <v>117</v>
      </c>
      <c r="E1872" t="s">
        <v>118</v>
      </c>
      <c r="F1872" t="s">
        <v>5</v>
      </c>
      <c r="G1872" t="s">
        <v>6</v>
      </c>
      <c r="H1872" t="s">
        <v>7</v>
      </c>
      <c r="I1872" t="s">
        <v>8</v>
      </c>
      <c r="J1872" t="s">
        <v>403</v>
      </c>
      <c r="K1872" t="s">
        <v>667</v>
      </c>
      <c r="L1872" t="s">
        <v>672</v>
      </c>
      <c r="M1872" t="s">
        <v>12</v>
      </c>
      <c r="N1872" s="2">
        <v>1000</v>
      </c>
      <c r="O1872" s="2">
        <v>6000</v>
      </c>
      <c r="P1872" s="2">
        <v>0</v>
      </c>
      <c r="Q1872" s="2">
        <v>7000</v>
      </c>
      <c r="R1872" s="2">
        <v>1457.1</v>
      </c>
      <c r="S1872" s="2">
        <v>1758.9</v>
      </c>
      <c r="T1872" s="2">
        <v>1758.9</v>
      </c>
      <c r="U1872" s="2">
        <v>5241.1000000000004</v>
      </c>
      <c r="V1872" s="2">
        <v>5241.1000000000004</v>
      </c>
      <c r="W1872" s="2">
        <v>3784</v>
      </c>
    </row>
    <row r="1873" spans="1:23" outlineLevel="2" x14ac:dyDescent="0.2">
      <c r="A1873" t="s">
        <v>402</v>
      </c>
      <c r="B1873" t="s">
        <v>39</v>
      </c>
      <c r="C1873" t="s">
        <v>58</v>
      </c>
      <c r="D1873" t="s">
        <v>59</v>
      </c>
      <c r="E1873" t="s">
        <v>60</v>
      </c>
      <c r="F1873" t="s">
        <v>5</v>
      </c>
      <c r="G1873" t="s">
        <v>6</v>
      </c>
      <c r="H1873" t="s">
        <v>7</v>
      </c>
      <c r="I1873" t="s">
        <v>8</v>
      </c>
      <c r="J1873" t="s">
        <v>403</v>
      </c>
      <c r="K1873" t="s">
        <v>667</v>
      </c>
      <c r="L1873" t="s">
        <v>668</v>
      </c>
      <c r="M1873" t="s">
        <v>12</v>
      </c>
      <c r="N1873" s="2">
        <v>0</v>
      </c>
      <c r="O1873" s="2">
        <v>2500</v>
      </c>
      <c r="P1873" s="2">
        <v>0</v>
      </c>
      <c r="Q1873" s="2">
        <v>2500</v>
      </c>
      <c r="R1873" s="2">
        <v>0</v>
      </c>
      <c r="S1873" s="2">
        <v>1279.3800000000001</v>
      </c>
      <c r="T1873" s="2">
        <v>1279.3800000000001</v>
      </c>
      <c r="U1873" s="2">
        <v>1220.6199999999999</v>
      </c>
      <c r="V1873" s="2">
        <v>1220.6199999999999</v>
      </c>
      <c r="W1873" s="2">
        <v>1220.6199999999999</v>
      </c>
    </row>
    <row r="1874" spans="1:23" outlineLevel="2" x14ac:dyDescent="0.2">
      <c r="A1874" t="s">
        <v>402</v>
      </c>
      <c r="B1874" t="s">
        <v>39</v>
      </c>
      <c r="C1874" t="s">
        <v>58</v>
      </c>
      <c r="D1874" t="s">
        <v>147</v>
      </c>
      <c r="E1874" t="s">
        <v>148</v>
      </c>
      <c r="F1874" t="s">
        <v>5</v>
      </c>
      <c r="G1874" t="s">
        <v>6</v>
      </c>
      <c r="H1874" t="s">
        <v>7</v>
      </c>
      <c r="I1874" t="s">
        <v>8</v>
      </c>
      <c r="J1874" t="s">
        <v>403</v>
      </c>
      <c r="K1874" t="s">
        <v>677</v>
      </c>
      <c r="L1874" t="s">
        <v>678</v>
      </c>
      <c r="M1874" t="s">
        <v>12</v>
      </c>
      <c r="N1874" s="2">
        <v>29000</v>
      </c>
      <c r="O1874" s="2">
        <v>0</v>
      </c>
      <c r="P1874" s="2">
        <v>0</v>
      </c>
      <c r="Q1874" s="2">
        <v>29000</v>
      </c>
      <c r="R1874" s="2">
        <v>11248.03</v>
      </c>
      <c r="S1874" s="2">
        <v>17751.97</v>
      </c>
      <c r="T1874" s="2">
        <v>0</v>
      </c>
      <c r="U1874" s="2">
        <v>11248.03</v>
      </c>
      <c r="V1874" s="2">
        <v>29000</v>
      </c>
      <c r="W1874" s="2">
        <v>0</v>
      </c>
    </row>
    <row r="1875" spans="1:23" outlineLevel="2" x14ac:dyDescent="0.2">
      <c r="A1875" t="s">
        <v>402</v>
      </c>
      <c r="B1875" t="s">
        <v>53</v>
      </c>
      <c r="C1875" t="s">
        <v>54</v>
      </c>
      <c r="D1875" t="s">
        <v>55</v>
      </c>
      <c r="E1875" t="s">
        <v>56</v>
      </c>
      <c r="F1875" t="s">
        <v>5</v>
      </c>
      <c r="G1875" t="s">
        <v>6</v>
      </c>
      <c r="H1875" t="s">
        <v>7</v>
      </c>
      <c r="I1875" t="s">
        <v>8</v>
      </c>
      <c r="J1875" t="s">
        <v>403</v>
      </c>
      <c r="K1875" t="s">
        <v>677</v>
      </c>
      <c r="L1875" t="s">
        <v>679</v>
      </c>
      <c r="M1875" t="s">
        <v>12</v>
      </c>
      <c r="N1875" s="2">
        <v>10000</v>
      </c>
      <c r="O1875" s="2">
        <v>-2082.94</v>
      </c>
      <c r="P1875" s="2">
        <v>0</v>
      </c>
      <c r="Q1875" s="2">
        <v>7917.06</v>
      </c>
      <c r="R1875" s="2">
        <v>7917.06</v>
      </c>
      <c r="S1875" s="2">
        <v>0</v>
      </c>
      <c r="T1875" s="2">
        <v>0</v>
      </c>
      <c r="U1875" s="2">
        <v>7917.06</v>
      </c>
      <c r="V1875" s="2">
        <v>7917.06</v>
      </c>
      <c r="W1875" s="2">
        <v>0</v>
      </c>
    </row>
    <row r="1876" spans="1:23" outlineLevel="2" x14ac:dyDescent="0.2">
      <c r="A1876" t="s">
        <v>402</v>
      </c>
      <c r="B1876" t="s">
        <v>31</v>
      </c>
      <c r="C1876" t="s">
        <v>32</v>
      </c>
      <c r="D1876" t="s">
        <v>75</v>
      </c>
      <c r="E1876" t="s">
        <v>76</v>
      </c>
      <c r="F1876" t="s">
        <v>5</v>
      </c>
      <c r="G1876" t="s">
        <v>6</v>
      </c>
      <c r="H1876" t="s">
        <v>7</v>
      </c>
      <c r="I1876" t="s">
        <v>8</v>
      </c>
      <c r="J1876" t="s">
        <v>403</v>
      </c>
      <c r="K1876" t="s">
        <v>677</v>
      </c>
      <c r="L1876" t="s">
        <v>680</v>
      </c>
      <c r="M1876" t="s">
        <v>12</v>
      </c>
      <c r="N1876" s="2">
        <v>5000</v>
      </c>
      <c r="O1876" s="2">
        <v>0</v>
      </c>
      <c r="P1876" s="2">
        <v>0</v>
      </c>
      <c r="Q1876" s="2">
        <v>5000</v>
      </c>
      <c r="R1876" s="2">
        <v>0.01</v>
      </c>
      <c r="S1876" s="2">
        <v>4999.99</v>
      </c>
      <c r="T1876" s="2">
        <v>4999.99</v>
      </c>
      <c r="U1876" s="2">
        <v>0.01</v>
      </c>
      <c r="V1876" s="2">
        <v>0.01</v>
      </c>
      <c r="W1876" s="2">
        <v>0</v>
      </c>
    </row>
    <row r="1877" spans="1:23" outlineLevel="2" x14ac:dyDescent="0.2">
      <c r="A1877" t="s">
        <v>402</v>
      </c>
      <c r="B1877" t="s">
        <v>31</v>
      </c>
      <c r="C1877" t="s">
        <v>32</v>
      </c>
      <c r="D1877" t="s">
        <v>33</v>
      </c>
      <c r="E1877" t="s">
        <v>34</v>
      </c>
      <c r="F1877" t="s">
        <v>5</v>
      </c>
      <c r="G1877" t="s">
        <v>6</v>
      </c>
      <c r="H1877" t="s">
        <v>7</v>
      </c>
      <c r="I1877" t="s">
        <v>8</v>
      </c>
      <c r="J1877" t="s">
        <v>403</v>
      </c>
      <c r="K1877" t="s">
        <v>677</v>
      </c>
      <c r="L1877" t="s">
        <v>680</v>
      </c>
      <c r="M1877" t="s">
        <v>12</v>
      </c>
      <c r="N1877" s="2">
        <v>40000</v>
      </c>
      <c r="O1877" s="2">
        <v>-17809.66</v>
      </c>
      <c r="P1877" s="2">
        <v>0</v>
      </c>
      <c r="Q1877" s="2">
        <v>22190.34</v>
      </c>
      <c r="R1877" s="2">
        <v>0</v>
      </c>
      <c r="S1877" s="2">
        <v>20730.080000000002</v>
      </c>
      <c r="T1877" s="2">
        <v>20730.080000000002</v>
      </c>
      <c r="U1877" s="2">
        <v>1460.26</v>
      </c>
      <c r="V1877" s="2">
        <v>1460.26</v>
      </c>
      <c r="W1877" s="2">
        <v>1460.26</v>
      </c>
    </row>
    <row r="1878" spans="1:23" outlineLevel="2" x14ac:dyDescent="0.2">
      <c r="A1878" t="s">
        <v>402</v>
      </c>
      <c r="B1878" t="s">
        <v>39</v>
      </c>
      <c r="C1878" t="s">
        <v>58</v>
      </c>
      <c r="D1878" t="s">
        <v>129</v>
      </c>
      <c r="E1878" t="s">
        <v>130</v>
      </c>
      <c r="F1878" t="s">
        <v>5</v>
      </c>
      <c r="G1878" t="s">
        <v>6</v>
      </c>
      <c r="H1878" t="s">
        <v>7</v>
      </c>
      <c r="I1878" t="s">
        <v>8</v>
      </c>
      <c r="J1878" t="s">
        <v>403</v>
      </c>
      <c r="K1878" t="s">
        <v>677</v>
      </c>
      <c r="L1878" t="s">
        <v>678</v>
      </c>
      <c r="M1878" t="s">
        <v>12</v>
      </c>
      <c r="N1878" s="2">
        <v>5000</v>
      </c>
      <c r="O1878" s="2">
        <v>-10.62</v>
      </c>
      <c r="P1878" s="2">
        <v>0</v>
      </c>
      <c r="Q1878" s="2">
        <v>4989.38</v>
      </c>
      <c r="R1878" s="2">
        <v>0</v>
      </c>
      <c r="S1878" s="2">
        <v>4989.38</v>
      </c>
      <c r="T1878" s="2">
        <v>4989.38</v>
      </c>
      <c r="U1878" s="2">
        <v>0</v>
      </c>
      <c r="V1878" s="2">
        <v>0</v>
      </c>
      <c r="W1878" s="2">
        <v>0</v>
      </c>
    </row>
    <row r="1879" spans="1:23" outlineLevel="2" x14ac:dyDescent="0.2">
      <c r="A1879" t="s">
        <v>402</v>
      </c>
      <c r="B1879" t="s">
        <v>39</v>
      </c>
      <c r="C1879" t="s">
        <v>95</v>
      </c>
      <c r="D1879" t="s">
        <v>96</v>
      </c>
      <c r="E1879" t="s">
        <v>97</v>
      </c>
      <c r="F1879" t="s">
        <v>5</v>
      </c>
      <c r="G1879" t="s">
        <v>6</v>
      </c>
      <c r="H1879" t="s">
        <v>7</v>
      </c>
      <c r="I1879" t="s">
        <v>8</v>
      </c>
      <c r="J1879" t="s">
        <v>403</v>
      </c>
      <c r="K1879" t="s">
        <v>677</v>
      </c>
      <c r="L1879" t="s">
        <v>681</v>
      </c>
      <c r="M1879" t="s">
        <v>12</v>
      </c>
      <c r="N1879" s="2">
        <v>0</v>
      </c>
      <c r="O1879" s="2">
        <v>3000</v>
      </c>
      <c r="P1879" s="2">
        <v>0</v>
      </c>
      <c r="Q1879" s="2">
        <v>3000</v>
      </c>
      <c r="R1879" s="2">
        <v>0</v>
      </c>
      <c r="S1879" s="2">
        <v>0</v>
      </c>
      <c r="T1879" s="2">
        <v>0</v>
      </c>
      <c r="U1879" s="2">
        <v>3000</v>
      </c>
      <c r="V1879" s="2">
        <v>3000</v>
      </c>
      <c r="W1879" s="2">
        <v>3000</v>
      </c>
    </row>
    <row r="1880" spans="1:23" outlineLevel="2" x14ac:dyDescent="0.2">
      <c r="A1880" t="s">
        <v>402</v>
      </c>
      <c r="B1880" t="s">
        <v>31</v>
      </c>
      <c r="C1880" t="s">
        <v>79</v>
      </c>
      <c r="D1880" t="s">
        <v>80</v>
      </c>
      <c r="E1880" t="s">
        <v>81</v>
      </c>
      <c r="F1880" t="s">
        <v>5</v>
      </c>
      <c r="G1880" t="s">
        <v>6</v>
      </c>
      <c r="H1880" t="s">
        <v>7</v>
      </c>
      <c r="I1880" t="s">
        <v>8</v>
      </c>
      <c r="J1880" t="s">
        <v>403</v>
      </c>
      <c r="K1880" t="s">
        <v>677</v>
      </c>
      <c r="L1880" t="s">
        <v>682</v>
      </c>
      <c r="M1880" t="s">
        <v>12</v>
      </c>
      <c r="N1880" s="2">
        <v>1000</v>
      </c>
      <c r="O1880" s="2">
        <v>6000</v>
      </c>
      <c r="P1880" s="2">
        <v>0</v>
      </c>
      <c r="Q1880" s="2">
        <v>7000</v>
      </c>
      <c r="R1880" s="2">
        <v>0.04</v>
      </c>
      <c r="S1880" s="2">
        <v>6968.17</v>
      </c>
      <c r="T1880" s="2">
        <v>0</v>
      </c>
      <c r="U1880" s="2">
        <v>31.83</v>
      </c>
      <c r="V1880" s="2">
        <v>7000</v>
      </c>
      <c r="W1880" s="2">
        <v>31.79</v>
      </c>
    </row>
    <row r="1881" spans="1:23" outlineLevel="2" x14ac:dyDescent="0.2">
      <c r="A1881" t="s">
        <v>402</v>
      </c>
      <c r="B1881" t="s">
        <v>31</v>
      </c>
      <c r="C1881" t="s">
        <v>79</v>
      </c>
      <c r="D1881" t="s">
        <v>115</v>
      </c>
      <c r="E1881" t="s">
        <v>116</v>
      </c>
      <c r="F1881" t="s">
        <v>5</v>
      </c>
      <c r="G1881" t="s">
        <v>6</v>
      </c>
      <c r="H1881" t="s">
        <v>7</v>
      </c>
      <c r="I1881" t="s">
        <v>8</v>
      </c>
      <c r="J1881" t="s">
        <v>403</v>
      </c>
      <c r="K1881" t="s">
        <v>677</v>
      </c>
      <c r="L1881" t="s">
        <v>682</v>
      </c>
      <c r="M1881" t="s">
        <v>12</v>
      </c>
      <c r="N1881" s="2">
        <v>8000</v>
      </c>
      <c r="O1881" s="2">
        <v>0</v>
      </c>
      <c r="P1881" s="2">
        <v>0</v>
      </c>
      <c r="Q1881" s="2">
        <v>8000</v>
      </c>
      <c r="R1881" s="2">
        <v>0.08</v>
      </c>
      <c r="S1881" s="2">
        <v>5169.92</v>
      </c>
      <c r="T1881" s="2">
        <v>0</v>
      </c>
      <c r="U1881" s="2">
        <v>2830.08</v>
      </c>
      <c r="V1881" s="2">
        <v>8000</v>
      </c>
      <c r="W1881" s="2">
        <v>2830</v>
      </c>
    </row>
    <row r="1882" spans="1:23" outlineLevel="2" x14ac:dyDescent="0.2">
      <c r="A1882" t="s">
        <v>402</v>
      </c>
      <c r="B1882" t="s">
        <v>1</v>
      </c>
      <c r="C1882" t="s">
        <v>2</v>
      </c>
      <c r="D1882" t="s">
        <v>3</v>
      </c>
      <c r="E1882" t="s">
        <v>4</v>
      </c>
      <c r="F1882" t="s">
        <v>5</v>
      </c>
      <c r="G1882" t="s">
        <v>6</v>
      </c>
      <c r="H1882" t="s">
        <v>7</v>
      </c>
      <c r="I1882" t="s">
        <v>8</v>
      </c>
      <c r="J1882" t="s">
        <v>403</v>
      </c>
      <c r="K1882" t="s">
        <v>677</v>
      </c>
      <c r="L1882" t="s">
        <v>683</v>
      </c>
      <c r="M1882" t="s">
        <v>15</v>
      </c>
      <c r="N1882" s="2">
        <v>26000</v>
      </c>
      <c r="O1882" s="2">
        <v>-25984.5</v>
      </c>
      <c r="P1882" s="2">
        <v>0</v>
      </c>
      <c r="Q1882" s="2">
        <v>15.5</v>
      </c>
      <c r="R1882" s="2">
        <v>0</v>
      </c>
      <c r="S1882" s="2">
        <v>15.5</v>
      </c>
      <c r="T1882" s="2">
        <v>0</v>
      </c>
      <c r="U1882" s="2">
        <v>0</v>
      </c>
      <c r="V1882" s="2">
        <v>15.5</v>
      </c>
      <c r="W1882" s="2">
        <v>0</v>
      </c>
    </row>
    <row r="1883" spans="1:23" outlineLevel="2" x14ac:dyDescent="0.2">
      <c r="A1883" t="s">
        <v>402</v>
      </c>
      <c r="B1883" t="s">
        <v>39</v>
      </c>
      <c r="C1883" t="s">
        <v>70</v>
      </c>
      <c r="D1883" t="s">
        <v>89</v>
      </c>
      <c r="E1883" t="s">
        <v>90</v>
      </c>
      <c r="F1883" t="s">
        <v>5</v>
      </c>
      <c r="G1883" t="s">
        <v>6</v>
      </c>
      <c r="H1883" t="s">
        <v>7</v>
      </c>
      <c r="I1883" t="s">
        <v>8</v>
      </c>
      <c r="J1883" t="s">
        <v>403</v>
      </c>
      <c r="K1883" t="s">
        <v>677</v>
      </c>
      <c r="L1883" t="s">
        <v>684</v>
      </c>
      <c r="M1883" t="s">
        <v>12</v>
      </c>
      <c r="N1883" s="2">
        <v>44000</v>
      </c>
      <c r="O1883" s="2">
        <v>26000</v>
      </c>
      <c r="P1883" s="2">
        <v>0</v>
      </c>
      <c r="Q1883" s="2">
        <v>70000</v>
      </c>
      <c r="R1883" s="2">
        <v>2857.3</v>
      </c>
      <c r="S1883" s="2">
        <v>66623.199999999997</v>
      </c>
      <c r="T1883" s="2">
        <v>0</v>
      </c>
      <c r="U1883" s="2">
        <v>3376.8</v>
      </c>
      <c r="V1883" s="2">
        <v>70000</v>
      </c>
      <c r="W1883" s="2">
        <v>519.5</v>
      </c>
    </row>
    <row r="1884" spans="1:23" outlineLevel="2" x14ac:dyDescent="0.2">
      <c r="A1884" t="s">
        <v>402</v>
      </c>
      <c r="B1884" t="s">
        <v>1</v>
      </c>
      <c r="C1884" t="s">
        <v>91</v>
      </c>
      <c r="D1884" t="s">
        <v>92</v>
      </c>
      <c r="E1884" t="s">
        <v>93</v>
      </c>
      <c r="F1884" t="s">
        <v>5</v>
      </c>
      <c r="G1884" t="s">
        <v>6</v>
      </c>
      <c r="H1884" t="s">
        <v>7</v>
      </c>
      <c r="I1884" t="s">
        <v>8</v>
      </c>
      <c r="J1884" t="s">
        <v>403</v>
      </c>
      <c r="K1884" t="s">
        <v>677</v>
      </c>
      <c r="L1884" t="s">
        <v>685</v>
      </c>
      <c r="M1884" t="s">
        <v>12</v>
      </c>
      <c r="N1884" s="2">
        <v>0</v>
      </c>
      <c r="O1884" s="2">
        <v>0</v>
      </c>
      <c r="P1884" s="2">
        <v>411.28</v>
      </c>
      <c r="Q1884" s="2">
        <v>411.28</v>
      </c>
      <c r="R1884" s="2">
        <v>0</v>
      </c>
      <c r="S1884" s="2">
        <v>0</v>
      </c>
      <c r="T1884" s="2">
        <v>0</v>
      </c>
      <c r="U1884" s="2">
        <v>411.28</v>
      </c>
      <c r="V1884" s="2">
        <v>411.28</v>
      </c>
      <c r="W1884" s="2">
        <v>411.28</v>
      </c>
    </row>
    <row r="1885" spans="1:23" outlineLevel="2" x14ac:dyDescent="0.2">
      <c r="A1885" t="s">
        <v>402</v>
      </c>
      <c r="B1885" t="s">
        <v>39</v>
      </c>
      <c r="C1885" t="s">
        <v>58</v>
      </c>
      <c r="D1885" t="s">
        <v>143</v>
      </c>
      <c r="E1885" t="s">
        <v>144</v>
      </c>
      <c r="F1885" t="s">
        <v>5</v>
      </c>
      <c r="G1885" t="s">
        <v>6</v>
      </c>
      <c r="H1885" t="s">
        <v>7</v>
      </c>
      <c r="I1885" t="s">
        <v>8</v>
      </c>
      <c r="J1885" t="s">
        <v>403</v>
      </c>
      <c r="K1885" t="s">
        <v>677</v>
      </c>
      <c r="L1885" t="s">
        <v>678</v>
      </c>
      <c r="M1885" t="s">
        <v>12</v>
      </c>
      <c r="N1885" s="2">
        <v>5000</v>
      </c>
      <c r="O1885" s="2">
        <v>0</v>
      </c>
      <c r="P1885" s="2">
        <v>0</v>
      </c>
      <c r="Q1885" s="2">
        <v>5000</v>
      </c>
      <c r="R1885" s="2">
        <v>0.01</v>
      </c>
      <c r="S1885" s="2">
        <v>4999.4799999999996</v>
      </c>
      <c r="T1885" s="2">
        <v>4999.4799999999996</v>
      </c>
      <c r="U1885" s="2">
        <v>0.52</v>
      </c>
      <c r="V1885" s="2">
        <v>0.52</v>
      </c>
      <c r="W1885" s="2">
        <v>0.51</v>
      </c>
    </row>
    <row r="1886" spans="1:23" outlineLevel="2" x14ac:dyDescent="0.2">
      <c r="A1886" t="s">
        <v>402</v>
      </c>
      <c r="B1886" t="s">
        <v>1</v>
      </c>
      <c r="C1886" t="s">
        <v>91</v>
      </c>
      <c r="D1886" t="s">
        <v>92</v>
      </c>
      <c r="E1886" t="s">
        <v>93</v>
      </c>
      <c r="F1886" t="s">
        <v>5</v>
      </c>
      <c r="G1886" t="s">
        <v>6</v>
      </c>
      <c r="H1886" t="s">
        <v>7</v>
      </c>
      <c r="I1886" t="s">
        <v>8</v>
      </c>
      <c r="J1886" t="s">
        <v>403</v>
      </c>
      <c r="K1886" t="s">
        <v>677</v>
      </c>
      <c r="L1886" t="s">
        <v>685</v>
      </c>
      <c r="M1886" t="s">
        <v>15</v>
      </c>
      <c r="N1886" s="2">
        <v>30000</v>
      </c>
      <c r="O1886" s="2">
        <v>26380.02</v>
      </c>
      <c r="P1886" s="2">
        <v>-411.28</v>
      </c>
      <c r="Q1886" s="2">
        <v>55968.74</v>
      </c>
      <c r="R1886" s="2">
        <v>35738.17</v>
      </c>
      <c r="S1886" s="2">
        <v>20230.57</v>
      </c>
      <c r="T1886" s="2">
        <v>20230.57</v>
      </c>
      <c r="U1886" s="2">
        <v>35738.17</v>
      </c>
      <c r="V1886" s="2">
        <v>35738.17</v>
      </c>
      <c r="W1886" s="2">
        <v>0</v>
      </c>
    </row>
    <row r="1887" spans="1:23" outlineLevel="2" x14ac:dyDescent="0.2">
      <c r="A1887" t="s">
        <v>402</v>
      </c>
      <c r="B1887" t="s">
        <v>1</v>
      </c>
      <c r="C1887" t="s">
        <v>2</v>
      </c>
      <c r="D1887" t="s">
        <v>25</v>
      </c>
      <c r="E1887" t="s">
        <v>26</v>
      </c>
      <c r="F1887" t="s">
        <v>5</v>
      </c>
      <c r="G1887" t="s">
        <v>6</v>
      </c>
      <c r="H1887" t="s">
        <v>7</v>
      </c>
      <c r="I1887" t="s">
        <v>8</v>
      </c>
      <c r="J1887" t="s">
        <v>403</v>
      </c>
      <c r="K1887" t="s">
        <v>677</v>
      </c>
      <c r="L1887" t="s">
        <v>683</v>
      </c>
      <c r="M1887" t="s">
        <v>15</v>
      </c>
      <c r="N1887" s="2">
        <v>0</v>
      </c>
      <c r="O1887" s="2">
        <v>2400</v>
      </c>
      <c r="P1887" s="2">
        <v>-500.48</v>
      </c>
      <c r="Q1887" s="2">
        <v>1899.52</v>
      </c>
      <c r="R1887" s="2">
        <v>0</v>
      </c>
      <c r="S1887" s="2">
        <v>1899.52</v>
      </c>
      <c r="T1887" s="2">
        <v>1899.52</v>
      </c>
      <c r="U1887" s="2">
        <v>0</v>
      </c>
      <c r="V1887" s="2">
        <v>0</v>
      </c>
      <c r="W1887" s="2">
        <v>0</v>
      </c>
    </row>
    <row r="1888" spans="1:23" outlineLevel="2" x14ac:dyDescent="0.2">
      <c r="A1888" t="s">
        <v>402</v>
      </c>
      <c r="B1888" t="s">
        <v>31</v>
      </c>
      <c r="C1888" t="s">
        <v>79</v>
      </c>
      <c r="D1888" t="s">
        <v>127</v>
      </c>
      <c r="E1888" t="s">
        <v>128</v>
      </c>
      <c r="F1888" t="s">
        <v>5</v>
      </c>
      <c r="G1888" t="s">
        <v>6</v>
      </c>
      <c r="H1888" t="s">
        <v>7</v>
      </c>
      <c r="I1888" t="s">
        <v>8</v>
      </c>
      <c r="J1888" t="s">
        <v>403</v>
      </c>
      <c r="K1888" t="s">
        <v>677</v>
      </c>
      <c r="L1888" t="s">
        <v>682</v>
      </c>
      <c r="M1888" t="s">
        <v>12</v>
      </c>
      <c r="N1888" s="2">
        <v>3000</v>
      </c>
      <c r="O1888" s="2">
        <v>0</v>
      </c>
      <c r="P1888" s="2">
        <v>0</v>
      </c>
      <c r="Q1888" s="2">
        <v>3000</v>
      </c>
      <c r="R1888" s="2">
        <v>0.06</v>
      </c>
      <c r="S1888" s="2">
        <v>2999.94</v>
      </c>
      <c r="T1888" s="2">
        <v>2999.94</v>
      </c>
      <c r="U1888" s="2">
        <v>0.06</v>
      </c>
      <c r="V1888" s="2">
        <v>0.06</v>
      </c>
      <c r="W1888" s="2">
        <v>0</v>
      </c>
    </row>
    <row r="1889" spans="1:23" outlineLevel="2" x14ac:dyDescent="0.2">
      <c r="A1889" t="s">
        <v>402</v>
      </c>
      <c r="B1889" t="s">
        <v>39</v>
      </c>
      <c r="C1889" t="s">
        <v>58</v>
      </c>
      <c r="D1889" t="s">
        <v>145</v>
      </c>
      <c r="E1889" t="s">
        <v>146</v>
      </c>
      <c r="F1889" t="s">
        <v>5</v>
      </c>
      <c r="G1889" t="s">
        <v>6</v>
      </c>
      <c r="H1889" t="s">
        <v>7</v>
      </c>
      <c r="I1889" t="s">
        <v>8</v>
      </c>
      <c r="J1889" t="s">
        <v>403</v>
      </c>
      <c r="K1889" t="s">
        <v>677</v>
      </c>
      <c r="L1889" t="s">
        <v>678</v>
      </c>
      <c r="M1889" t="s">
        <v>12</v>
      </c>
      <c r="N1889" s="2">
        <v>8000</v>
      </c>
      <c r="O1889" s="2">
        <v>0</v>
      </c>
      <c r="P1889" s="2">
        <v>0</v>
      </c>
      <c r="Q1889" s="2">
        <v>8000</v>
      </c>
      <c r="R1889" s="2">
        <v>0</v>
      </c>
      <c r="S1889" s="2">
        <v>7807.71</v>
      </c>
      <c r="T1889" s="2">
        <v>7807.71</v>
      </c>
      <c r="U1889" s="2">
        <v>192.29</v>
      </c>
      <c r="V1889" s="2">
        <v>192.29</v>
      </c>
      <c r="W1889" s="2">
        <v>192.29</v>
      </c>
    </row>
    <row r="1890" spans="1:23" outlineLevel="2" x14ac:dyDescent="0.2">
      <c r="A1890" t="s">
        <v>402</v>
      </c>
      <c r="B1890" t="s">
        <v>31</v>
      </c>
      <c r="C1890" t="s">
        <v>79</v>
      </c>
      <c r="D1890" t="s">
        <v>133</v>
      </c>
      <c r="E1890" t="s">
        <v>134</v>
      </c>
      <c r="F1890" t="s">
        <v>5</v>
      </c>
      <c r="G1890" t="s">
        <v>6</v>
      </c>
      <c r="H1890" t="s">
        <v>7</v>
      </c>
      <c r="I1890" t="s">
        <v>8</v>
      </c>
      <c r="J1890" t="s">
        <v>403</v>
      </c>
      <c r="K1890" t="s">
        <v>677</v>
      </c>
      <c r="L1890" t="s">
        <v>682</v>
      </c>
      <c r="M1890" t="s">
        <v>12</v>
      </c>
      <c r="N1890" s="2">
        <v>6000</v>
      </c>
      <c r="O1890" s="2">
        <v>0</v>
      </c>
      <c r="P1890" s="2">
        <v>0</v>
      </c>
      <c r="Q1890" s="2">
        <v>6000</v>
      </c>
      <c r="R1890" s="2">
        <v>123.83</v>
      </c>
      <c r="S1890" s="2">
        <v>5876.17</v>
      </c>
      <c r="T1890" s="2">
        <v>0</v>
      </c>
      <c r="U1890" s="2">
        <v>123.83</v>
      </c>
      <c r="V1890" s="2">
        <v>6000</v>
      </c>
      <c r="W1890" s="2">
        <v>0</v>
      </c>
    </row>
    <row r="1891" spans="1:23" outlineLevel="2" x14ac:dyDescent="0.2">
      <c r="A1891" t="s">
        <v>402</v>
      </c>
      <c r="B1891" t="s">
        <v>31</v>
      </c>
      <c r="C1891" t="s">
        <v>79</v>
      </c>
      <c r="D1891" t="s">
        <v>111</v>
      </c>
      <c r="E1891" t="s">
        <v>112</v>
      </c>
      <c r="F1891" t="s">
        <v>5</v>
      </c>
      <c r="G1891" t="s">
        <v>6</v>
      </c>
      <c r="H1891" t="s">
        <v>7</v>
      </c>
      <c r="I1891" t="s">
        <v>8</v>
      </c>
      <c r="J1891" t="s">
        <v>403</v>
      </c>
      <c r="K1891" t="s">
        <v>677</v>
      </c>
      <c r="L1891" t="s">
        <v>682</v>
      </c>
      <c r="M1891" t="s">
        <v>12</v>
      </c>
      <c r="N1891" s="2">
        <v>9500</v>
      </c>
      <c r="O1891" s="2">
        <v>0</v>
      </c>
      <c r="P1891" s="2">
        <v>0</v>
      </c>
      <c r="Q1891" s="2">
        <v>9500</v>
      </c>
      <c r="R1891" s="2">
        <v>5791.52</v>
      </c>
      <c r="S1891" s="2">
        <v>0</v>
      </c>
      <c r="T1891" s="2">
        <v>0</v>
      </c>
      <c r="U1891" s="2">
        <v>9500</v>
      </c>
      <c r="V1891" s="2">
        <v>9500</v>
      </c>
      <c r="W1891" s="2">
        <v>3708.48</v>
      </c>
    </row>
    <row r="1892" spans="1:23" outlineLevel="2" x14ac:dyDescent="0.2">
      <c r="A1892" t="s">
        <v>402</v>
      </c>
      <c r="B1892" t="s">
        <v>31</v>
      </c>
      <c r="C1892" t="s">
        <v>79</v>
      </c>
      <c r="D1892" t="s">
        <v>117</v>
      </c>
      <c r="E1892" t="s">
        <v>118</v>
      </c>
      <c r="F1892" t="s">
        <v>5</v>
      </c>
      <c r="G1892" t="s">
        <v>6</v>
      </c>
      <c r="H1892" t="s">
        <v>7</v>
      </c>
      <c r="I1892" t="s">
        <v>8</v>
      </c>
      <c r="J1892" t="s">
        <v>403</v>
      </c>
      <c r="K1892" t="s">
        <v>677</v>
      </c>
      <c r="L1892" t="s">
        <v>682</v>
      </c>
      <c r="M1892" t="s">
        <v>12</v>
      </c>
      <c r="N1892" s="2">
        <v>40000</v>
      </c>
      <c r="O1892" s="2">
        <v>-19200</v>
      </c>
      <c r="P1892" s="2">
        <v>0</v>
      </c>
      <c r="Q1892" s="2">
        <v>20800</v>
      </c>
      <c r="R1892" s="2">
        <v>0.05</v>
      </c>
      <c r="S1892" s="2">
        <v>7934.55</v>
      </c>
      <c r="T1892" s="2">
        <v>7934.55</v>
      </c>
      <c r="U1892" s="2">
        <v>12865.45</v>
      </c>
      <c r="V1892" s="2">
        <v>12865.45</v>
      </c>
      <c r="W1892" s="2">
        <v>12865.4</v>
      </c>
    </row>
    <row r="1893" spans="1:23" outlineLevel="2" x14ac:dyDescent="0.2">
      <c r="A1893" t="s">
        <v>402</v>
      </c>
      <c r="B1893" t="s">
        <v>31</v>
      </c>
      <c r="C1893" t="s">
        <v>79</v>
      </c>
      <c r="D1893" t="s">
        <v>113</v>
      </c>
      <c r="E1893" t="s">
        <v>114</v>
      </c>
      <c r="F1893" t="s">
        <v>5</v>
      </c>
      <c r="G1893" t="s">
        <v>6</v>
      </c>
      <c r="H1893" t="s">
        <v>7</v>
      </c>
      <c r="I1893" t="s">
        <v>8</v>
      </c>
      <c r="J1893" t="s">
        <v>403</v>
      </c>
      <c r="K1893" t="s">
        <v>677</v>
      </c>
      <c r="L1893" t="s">
        <v>682</v>
      </c>
      <c r="M1893" t="s">
        <v>12</v>
      </c>
      <c r="N1893" s="2">
        <v>5000</v>
      </c>
      <c r="O1893" s="2">
        <v>0</v>
      </c>
      <c r="P1893" s="2">
        <v>0</v>
      </c>
      <c r="Q1893" s="2">
        <v>5000</v>
      </c>
      <c r="R1893" s="2">
        <v>9.06</v>
      </c>
      <c r="S1893" s="2">
        <v>4990.9399999999996</v>
      </c>
      <c r="T1893" s="2">
        <v>4990.9399999999996</v>
      </c>
      <c r="U1893" s="2">
        <v>9.06</v>
      </c>
      <c r="V1893" s="2">
        <v>9.06</v>
      </c>
      <c r="W1893" s="2">
        <v>0</v>
      </c>
    </row>
    <row r="1894" spans="1:23" outlineLevel="2" x14ac:dyDescent="0.2">
      <c r="A1894" t="s">
        <v>402</v>
      </c>
      <c r="B1894" t="s">
        <v>31</v>
      </c>
      <c r="C1894" t="s">
        <v>79</v>
      </c>
      <c r="D1894" t="s">
        <v>131</v>
      </c>
      <c r="E1894" t="s">
        <v>132</v>
      </c>
      <c r="F1894" t="s">
        <v>5</v>
      </c>
      <c r="G1894" t="s">
        <v>6</v>
      </c>
      <c r="H1894" t="s">
        <v>7</v>
      </c>
      <c r="I1894" t="s">
        <v>8</v>
      </c>
      <c r="J1894" t="s">
        <v>403</v>
      </c>
      <c r="K1894" t="s">
        <v>677</v>
      </c>
      <c r="L1894" t="s">
        <v>682</v>
      </c>
      <c r="M1894" t="s">
        <v>12</v>
      </c>
      <c r="N1894" s="2">
        <v>18000</v>
      </c>
      <c r="O1894" s="2">
        <v>0</v>
      </c>
      <c r="P1894" s="2">
        <v>0</v>
      </c>
      <c r="Q1894" s="2">
        <v>18000</v>
      </c>
      <c r="R1894" s="2">
        <v>0</v>
      </c>
      <c r="S1894" s="2">
        <v>0</v>
      </c>
      <c r="T1894" s="2">
        <v>0</v>
      </c>
      <c r="U1894" s="2">
        <v>18000</v>
      </c>
      <c r="V1894" s="2">
        <v>18000</v>
      </c>
      <c r="W1894" s="2">
        <v>18000</v>
      </c>
    </row>
    <row r="1895" spans="1:23" outlineLevel="2" x14ac:dyDescent="0.2">
      <c r="A1895" t="s">
        <v>402</v>
      </c>
      <c r="B1895" t="s">
        <v>39</v>
      </c>
      <c r="C1895" t="s">
        <v>58</v>
      </c>
      <c r="D1895" t="s">
        <v>135</v>
      </c>
      <c r="E1895" t="s">
        <v>136</v>
      </c>
      <c r="F1895" t="s">
        <v>5</v>
      </c>
      <c r="G1895" t="s">
        <v>6</v>
      </c>
      <c r="H1895" t="s">
        <v>7</v>
      </c>
      <c r="I1895" t="s">
        <v>8</v>
      </c>
      <c r="J1895" t="s">
        <v>403</v>
      </c>
      <c r="K1895" t="s">
        <v>677</v>
      </c>
      <c r="L1895" t="s">
        <v>678</v>
      </c>
      <c r="M1895" t="s">
        <v>12</v>
      </c>
      <c r="N1895" s="2">
        <v>17000</v>
      </c>
      <c r="O1895" s="2">
        <v>10015.31</v>
      </c>
      <c r="P1895" s="2">
        <v>0</v>
      </c>
      <c r="Q1895" s="2">
        <v>27015.31</v>
      </c>
      <c r="R1895" s="2">
        <v>19999.84</v>
      </c>
      <c r="S1895" s="2">
        <v>0</v>
      </c>
      <c r="T1895" s="2">
        <v>0</v>
      </c>
      <c r="U1895" s="2">
        <v>27015.31</v>
      </c>
      <c r="V1895" s="2">
        <v>27015.31</v>
      </c>
      <c r="W1895" s="2">
        <v>7015.47</v>
      </c>
    </row>
    <row r="1896" spans="1:23" outlineLevel="2" x14ac:dyDescent="0.2">
      <c r="A1896" t="s">
        <v>402</v>
      </c>
      <c r="B1896" t="s">
        <v>39</v>
      </c>
      <c r="C1896" t="s">
        <v>58</v>
      </c>
      <c r="D1896" t="s">
        <v>149</v>
      </c>
      <c r="E1896" t="s">
        <v>150</v>
      </c>
      <c r="F1896" t="s">
        <v>5</v>
      </c>
      <c r="G1896" t="s">
        <v>6</v>
      </c>
      <c r="H1896" t="s">
        <v>7</v>
      </c>
      <c r="I1896" t="s">
        <v>8</v>
      </c>
      <c r="J1896" t="s">
        <v>403</v>
      </c>
      <c r="K1896" t="s">
        <v>677</v>
      </c>
      <c r="L1896" t="s">
        <v>678</v>
      </c>
      <c r="M1896" t="s">
        <v>12</v>
      </c>
      <c r="N1896" s="2">
        <v>0</v>
      </c>
      <c r="O1896" s="2">
        <v>7950.88</v>
      </c>
      <c r="P1896" s="2">
        <v>0</v>
      </c>
      <c r="Q1896" s="2">
        <v>7950.88</v>
      </c>
      <c r="R1896" s="2">
        <v>0.01</v>
      </c>
      <c r="S1896" s="2">
        <v>7950.87</v>
      </c>
      <c r="T1896" s="2">
        <v>7950.87</v>
      </c>
      <c r="U1896" s="2">
        <v>0.01</v>
      </c>
      <c r="V1896" s="2">
        <v>0.01</v>
      </c>
      <c r="W1896" s="2">
        <v>0</v>
      </c>
    </row>
    <row r="1897" spans="1:23" outlineLevel="2" x14ac:dyDescent="0.2">
      <c r="A1897" t="s">
        <v>402</v>
      </c>
      <c r="B1897" t="s">
        <v>39</v>
      </c>
      <c r="C1897" t="s">
        <v>58</v>
      </c>
      <c r="D1897" t="s">
        <v>139</v>
      </c>
      <c r="E1897" t="s">
        <v>140</v>
      </c>
      <c r="F1897" t="s">
        <v>5</v>
      </c>
      <c r="G1897" t="s">
        <v>6</v>
      </c>
      <c r="H1897" t="s">
        <v>7</v>
      </c>
      <c r="I1897" t="s">
        <v>8</v>
      </c>
      <c r="J1897" t="s">
        <v>403</v>
      </c>
      <c r="K1897" t="s">
        <v>677</v>
      </c>
      <c r="L1897" t="s">
        <v>678</v>
      </c>
      <c r="M1897" t="s">
        <v>12</v>
      </c>
      <c r="N1897" s="2">
        <v>0</v>
      </c>
      <c r="O1897" s="2">
        <v>45000</v>
      </c>
      <c r="P1897" s="2">
        <v>-33000</v>
      </c>
      <c r="Q1897" s="2">
        <v>12000</v>
      </c>
      <c r="R1897" s="2">
        <v>562.55999999999995</v>
      </c>
      <c r="S1897" s="2">
        <v>10614.52</v>
      </c>
      <c r="T1897" s="2">
        <v>0</v>
      </c>
      <c r="U1897" s="2">
        <v>1385.48</v>
      </c>
      <c r="V1897" s="2">
        <v>12000</v>
      </c>
      <c r="W1897" s="2">
        <v>822.92</v>
      </c>
    </row>
    <row r="1898" spans="1:23" outlineLevel="2" x14ac:dyDescent="0.2">
      <c r="A1898" t="s">
        <v>402</v>
      </c>
      <c r="B1898" t="s">
        <v>1</v>
      </c>
      <c r="C1898" t="s">
        <v>2</v>
      </c>
      <c r="D1898" t="s">
        <v>410</v>
      </c>
      <c r="E1898" t="s">
        <v>411</v>
      </c>
      <c r="F1898" t="s">
        <v>5</v>
      </c>
      <c r="G1898" t="s">
        <v>6</v>
      </c>
      <c r="H1898" t="s">
        <v>7</v>
      </c>
      <c r="I1898" t="s">
        <v>8</v>
      </c>
      <c r="J1898" t="s">
        <v>403</v>
      </c>
      <c r="K1898" t="s">
        <v>677</v>
      </c>
      <c r="L1898" t="s">
        <v>683</v>
      </c>
      <c r="M1898" t="s">
        <v>12</v>
      </c>
      <c r="N1898" s="2">
        <v>0</v>
      </c>
      <c r="O1898" s="2">
        <v>-45000</v>
      </c>
      <c r="P1898" s="2">
        <v>89050.880000000005</v>
      </c>
      <c r="Q1898" s="2">
        <v>44050.879999999997</v>
      </c>
      <c r="R1898" s="2">
        <v>0</v>
      </c>
      <c r="S1898" s="2">
        <v>0</v>
      </c>
      <c r="T1898" s="2">
        <v>0</v>
      </c>
      <c r="U1898" s="2">
        <v>44050.879999999997</v>
      </c>
      <c r="V1898" s="2">
        <v>44050.879999999997</v>
      </c>
      <c r="W1898" s="2">
        <v>44050.879999999997</v>
      </c>
    </row>
    <row r="1899" spans="1:23" outlineLevel="2" x14ac:dyDescent="0.2">
      <c r="A1899" t="s">
        <v>402</v>
      </c>
      <c r="B1899" t="s">
        <v>31</v>
      </c>
      <c r="C1899" t="s">
        <v>79</v>
      </c>
      <c r="D1899" t="s">
        <v>125</v>
      </c>
      <c r="E1899" t="s">
        <v>126</v>
      </c>
      <c r="F1899" t="s">
        <v>5</v>
      </c>
      <c r="G1899" t="s">
        <v>6</v>
      </c>
      <c r="H1899" t="s">
        <v>7</v>
      </c>
      <c r="I1899" t="s">
        <v>8</v>
      </c>
      <c r="J1899" t="s">
        <v>403</v>
      </c>
      <c r="K1899" t="s">
        <v>677</v>
      </c>
      <c r="L1899" t="s">
        <v>682</v>
      </c>
      <c r="M1899" t="s">
        <v>12</v>
      </c>
      <c r="N1899" s="2">
        <v>3000</v>
      </c>
      <c r="O1899" s="2">
        <v>0</v>
      </c>
      <c r="P1899" s="2">
        <v>-3000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</row>
    <row r="1900" spans="1:23" outlineLevel="2" x14ac:dyDescent="0.2">
      <c r="A1900" t="s">
        <v>402</v>
      </c>
      <c r="B1900" t="s">
        <v>39</v>
      </c>
      <c r="C1900" t="s">
        <v>58</v>
      </c>
      <c r="D1900" t="s">
        <v>137</v>
      </c>
      <c r="E1900" t="s">
        <v>138</v>
      </c>
      <c r="F1900" t="s">
        <v>5</v>
      </c>
      <c r="G1900" t="s">
        <v>6</v>
      </c>
      <c r="H1900" t="s">
        <v>7</v>
      </c>
      <c r="I1900" t="s">
        <v>8</v>
      </c>
      <c r="J1900" t="s">
        <v>403</v>
      </c>
      <c r="K1900" t="s">
        <v>677</v>
      </c>
      <c r="L1900" t="s">
        <v>678</v>
      </c>
      <c r="M1900" t="s">
        <v>12</v>
      </c>
      <c r="N1900" s="2">
        <v>0</v>
      </c>
      <c r="O1900" s="2">
        <v>20000</v>
      </c>
      <c r="P1900" s="2">
        <v>0</v>
      </c>
      <c r="Q1900" s="2">
        <v>20000</v>
      </c>
      <c r="R1900" s="2">
        <v>0</v>
      </c>
      <c r="S1900" s="2">
        <v>0</v>
      </c>
      <c r="T1900" s="2">
        <v>0</v>
      </c>
      <c r="U1900" s="2">
        <v>20000</v>
      </c>
      <c r="V1900" s="2">
        <v>20000</v>
      </c>
      <c r="W1900" s="2">
        <v>20000</v>
      </c>
    </row>
    <row r="1901" spans="1:23" outlineLevel="2" x14ac:dyDescent="0.2">
      <c r="A1901" t="s">
        <v>402</v>
      </c>
      <c r="B1901" t="s">
        <v>39</v>
      </c>
      <c r="C1901" t="s">
        <v>58</v>
      </c>
      <c r="D1901" t="s">
        <v>59</v>
      </c>
      <c r="E1901" t="s">
        <v>60</v>
      </c>
      <c r="F1901" t="s">
        <v>5</v>
      </c>
      <c r="G1901" t="s">
        <v>6</v>
      </c>
      <c r="H1901" t="s">
        <v>7</v>
      </c>
      <c r="I1901" t="s">
        <v>8</v>
      </c>
      <c r="J1901" t="s">
        <v>403</v>
      </c>
      <c r="K1901" t="s">
        <v>677</v>
      </c>
      <c r="L1901" t="s">
        <v>678</v>
      </c>
      <c r="M1901" t="s">
        <v>12</v>
      </c>
      <c r="N1901" s="2">
        <v>15000</v>
      </c>
      <c r="O1901" s="2">
        <v>0</v>
      </c>
      <c r="P1901" s="2">
        <v>-7000</v>
      </c>
      <c r="Q1901" s="2">
        <v>8000</v>
      </c>
      <c r="R1901" s="2">
        <v>215.48</v>
      </c>
      <c r="S1901" s="2">
        <v>7784.52</v>
      </c>
      <c r="T1901" s="2">
        <v>0</v>
      </c>
      <c r="U1901" s="2">
        <v>215.48</v>
      </c>
      <c r="V1901" s="2">
        <v>8000</v>
      </c>
      <c r="W1901" s="2">
        <v>0</v>
      </c>
    </row>
    <row r="1902" spans="1:23" outlineLevel="2" x14ac:dyDescent="0.2">
      <c r="A1902" t="s">
        <v>402</v>
      </c>
      <c r="B1902" t="s">
        <v>31</v>
      </c>
      <c r="C1902" t="s">
        <v>32</v>
      </c>
      <c r="D1902" t="s">
        <v>141</v>
      </c>
      <c r="E1902" t="s">
        <v>142</v>
      </c>
      <c r="F1902" t="s">
        <v>5</v>
      </c>
      <c r="G1902" t="s">
        <v>6</v>
      </c>
      <c r="H1902" t="s">
        <v>7</v>
      </c>
      <c r="I1902" t="s">
        <v>8</v>
      </c>
      <c r="J1902" t="s">
        <v>403</v>
      </c>
      <c r="K1902" t="s">
        <v>677</v>
      </c>
      <c r="L1902" t="s">
        <v>680</v>
      </c>
      <c r="M1902" t="s">
        <v>12</v>
      </c>
      <c r="N1902" s="2">
        <v>0</v>
      </c>
      <c r="O1902" s="2">
        <v>5500</v>
      </c>
      <c r="P1902" s="2">
        <v>0</v>
      </c>
      <c r="Q1902" s="2">
        <v>5500</v>
      </c>
      <c r="R1902" s="2">
        <v>0</v>
      </c>
      <c r="S1902" s="2">
        <v>4552.8</v>
      </c>
      <c r="T1902" s="2">
        <v>0</v>
      </c>
      <c r="U1902" s="2">
        <v>947.2</v>
      </c>
      <c r="V1902" s="2">
        <v>5500</v>
      </c>
      <c r="W1902" s="2">
        <v>947.2</v>
      </c>
    </row>
    <row r="1903" spans="1:23" outlineLevel="2" x14ac:dyDescent="0.2">
      <c r="A1903" t="s">
        <v>402</v>
      </c>
      <c r="B1903" t="s">
        <v>1</v>
      </c>
      <c r="C1903" t="s">
        <v>2</v>
      </c>
      <c r="D1903" t="s">
        <v>25</v>
      </c>
      <c r="E1903" t="s">
        <v>26</v>
      </c>
      <c r="F1903" t="s">
        <v>5</v>
      </c>
      <c r="G1903" t="s">
        <v>6</v>
      </c>
      <c r="H1903" t="s">
        <v>7</v>
      </c>
      <c r="I1903" t="s">
        <v>8</v>
      </c>
      <c r="J1903" t="s">
        <v>403</v>
      </c>
      <c r="K1903" t="s">
        <v>677</v>
      </c>
      <c r="L1903" t="s">
        <v>683</v>
      </c>
      <c r="M1903" t="s">
        <v>12</v>
      </c>
      <c r="N1903" s="2">
        <v>0</v>
      </c>
      <c r="O1903" s="2">
        <v>0</v>
      </c>
      <c r="P1903" s="2">
        <v>500.48</v>
      </c>
      <c r="Q1903" s="2">
        <v>500.48</v>
      </c>
      <c r="R1903" s="2">
        <v>0</v>
      </c>
      <c r="S1903" s="2">
        <v>0</v>
      </c>
      <c r="T1903" s="2">
        <v>0</v>
      </c>
      <c r="U1903" s="2">
        <v>500.48</v>
      </c>
      <c r="V1903" s="2">
        <v>500.48</v>
      </c>
      <c r="W1903" s="2">
        <v>500.48</v>
      </c>
    </row>
    <row r="1904" spans="1:23" outlineLevel="2" x14ac:dyDescent="0.2">
      <c r="A1904" t="s">
        <v>402</v>
      </c>
      <c r="B1904" t="s">
        <v>1</v>
      </c>
      <c r="C1904" t="s">
        <v>2</v>
      </c>
      <c r="D1904" t="s">
        <v>410</v>
      </c>
      <c r="E1904" t="s">
        <v>411</v>
      </c>
      <c r="F1904" t="s">
        <v>5</v>
      </c>
      <c r="G1904" t="s">
        <v>6</v>
      </c>
      <c r="H1904" t="s">
        <v>7</v>
      </c>
      <c r="I1904" t="s">
        <v>8</v>
      </c>
      <c r="J1904" t="s">
        <v>403</v>
      </c>
      <c r="K1904" t="s">
        <v>677</v>
      </c>
      <c r="L1904" t="s">
        <v>683</v>
      </c>
      <c r="M1904" t="s">
        <v>15</v>
      </c>
      <c r="N1904" s="2">
        <v>600000</v>
      </c>
      <c r="O1904" s="2">
        <v>93480</v>
      </c>
      <c r="P1904" s="2">
        <v>-311130.88</v>
      </c>
      <c r="Q1904" s="2">
        <v>382349.12</v>
      </c>
      <c r="R1904" s="2">
        <v>381349.12</v>
      </c>
      <c r="S1904" s="2">
        <v>1000</v>
      </c>
      <c r="T1904" s="2">
        <v>298.76</v>
      </c>
      <c r="U1904" s="2">
        <v>381349.12</v>
      </c>
      <c r="V1904" s="2">
        <v>382050.36</v>
      </c>
      <c r="W1904" s="2">
        <v>0</v>
      </c>
    </row>
    <row r="1905" spans="1:23" outlineLevel="2" x14ac:dyDescent="0.2">
      <c r="A1905" t="s">
        <v>402</v>
      </c>
      <c r="B1905" t="s">
        <v>39</v>
      </c>
      <c r="C1905" t="s">
        <v>66</v>
      </c>
      <c r="D1905" t="s">
        <v>67</v>
      </c>
      <c r="E1905" t="s">
        <v>68</v>
      </c>
      <c r="F1905" t="s">
        <v>5</v>
      </c>
      <c r="G1905" t="s">
        <v>6</v>
      </c>
      <c r="H1905" t="s">
        <v>7</v>
      </c>
      <c r="I1905" t="s">
        <v>8</v>
      </c>
      <c r="J1905" t="s">
        <v>403</v>
      </c>
      <c r="K1905" t="s">
        <v>677</v>
      </c>
      <c r="L1905" t="s">
        <v>686</v>
      </c>
      <c r="M1905" t="s">
        <v>12</v>
      </c>
      <c r="N1905" s="2">
        <v>100</v>
      </c>
      <c r="O1905" s="2">
        <v>-100</v>
      </c>
      <c r="P1905" s="2">
        <v>0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</row>
    <row r="1906" spans="1:23" outlineLevel="2" x14ac:dyDescent="0.2">
      <c r="A1906" t="s">
        <v>402</v>
      </c>
      <c r="B1906" t="s">
        <v>1</v>
      </c>
      <c r="C1906" t="s">
        <v>2</v>
      </c>
      <c r="D1906" t="s">
        <v>410</v>
      </c>
      <c r="E1906" t="s">
        <v>411</v>
      </c>
      <c r="F1906" t="s">
        <v>5</v>
      </c>
      <c r="G1906" t="s">
        <v>6</v>
      </c>
      <c r="H1906" t="s">
        <v>7</v>
      </c>
      <c r="I1906" t="s">
        <v>8</v>
      </c>
      <c r="J1906" t="s">
        <v>403</v>
      </c>
      <c r="K1906" t="s">
        <v>687</v>
      </c>
      <c r="L1906" t="s">
        <v>688</v>
      </c>
      <c r="M1906" t="s">
        <v>15</v>
      </c>
      <c r="N1906" s="2">
        <v>1000</v>
      </c>
      <c r="O1906" s="2">
        <v>0</v>
      </c>
      <c r="P1906" s="2">
        <v>0</v>
      </c>
      <c r="Q1906" s="2">
        <v>1000</v>
      </c>
      <c r="R1906" s="2">
        <v>0</v>
      </c>
      <c r="S1906" s="2">
        <v>1000</v>
      </c>
      <c r="T1906" s="2">
        <v>105.03</v>
      </c>
      <c r="U1906" s="2">
        <v>0</v>
      </c>
      <c r="V1906" s="2">
        <v>894.97</v>
      </c>
      <c r="W1906" s="2">
        <v>0</v>
      </c>
    </row>
    <row r="1907" spans="1:23" outlineLevel="2" x14ac:dyDescent="0.2">
      <c r="A1907" t="s">
        <v>402</v>
      </c>
      <c r="B1907" t="s">
        <v>39</v>
      </c>
      <c r="C1907" t="s">
        <v>70</v>
      </c>
      <c r="D1907" t="s">
        <v>89</v>
      </c>
      <c r="E1907" t="s">
        <v>90</v>
      </c>
      <c r="F1907" t="s">
        <v>5</v>
      </c>
      <c r="G1907" t="s">
        <v>6</v>
      </c>
      <c r="H1907" t="s">
        <v>7</v>
      </c>
      <c r="I1907" t="s">
        <v>8</v>
      </c>
      <c r="J1907" t="s">
        <v>403</v>
      </c>
      <c r="K1907" t="s">
        <v>689</v>
      </c>
      <c r="L1907" t="s">
        <v>690</v>
      </c>
      <c r="M1907" t="s">
        <v>12</v>
      </c>
      <c r="N1907" s="2">
        <v>0</v>
      </c>
      <c r="O1907" s="2">
        <v>1650</v>
      </c>
      <c r="P1907" s="2">
        <v>0</v>
      </c>
      <c r="Q1907" s="2">
        <v>1650</v>
      </c>
      <c r="R1907" s="2">
        <v>0</v>
      </c>
      <c r="S1907" s="2">
        <v>1641.02</v>
      </c>
      <c r="T1907" s="2">
        <v>1641.02</v>
      </c>
      <c r="U1907" s="2">
        <v>8.98</v>
      </c>
      <c r="V1907" s="2">
        <v>8.98</v>
      </c>
      <c r="W1907" s="2">
        <v>8.98</v>
      </c>
    </row>
    <row r="1908" spans="1:23" outlineLevel="2" x14ac:dyDescent="0.2">
      <c r="A1908" t="s">
        <v>402</v>
      </c>
      <c r="B1908" t="s">
        <v>1</v>
      </c>
      <c r="C1908" t="s">
        <v>2</v>
      </c>
      <c r="D1908" t="s">
        <v>410</v>
      </c>
      <c r="E1908" t="s">
        <v>411</v>
      </c>
      <c r="F1908" t="s">
        <v>5</v>
      </c>
      <c r="G1908" t="s">
        <v>6</v>
      </c>
      <c r="H1908" t="s">
        <v>7</v>
      </c>
      <c r="I1908" t="s">
        <v>8</v>
      </c>
      <c r="J1908" t="s">
        <v>403</v>
      </c>
      <c r="K1908" t="s">
        <v>689</v>
      </c>
      <c r="L1908" t="s">
        <v>691</v>
      </c>
      <c r="M1908" t="s">
        <v>15</v>
      </c>
      <c r="N1908" s="2">
        <v>1000</v>
      </c>
      <c r="O1908" s="2">
        <v>0</v>
      </c>
      <c r="P1908" s="2">
        <v>0</v>
      </c>
      <c r="Q1908" s="2">
        <v>1000</v>
      </c>
      <c r="R1908" s="2">
        <v>0</v>
      </c>
      <c r="S1908" s="2">
        <v>1000</v>
      </c>
      <c r="T1908" s="2">
        <v>0</v>
      </c>
      <c r="U1908" s="2">
        <v>0</v>
      </c>
      <c r="V1908" s="2">
        <v>1000</v>
      </c>
      <c r="W1908" s="2">
        <v>0</v>
      </c>
    </row>
    <row r="1909" spans="1:23" outlineLevel="2" x14ac:dyDescent="0.2">
      <c r="A1909" t="s">
        <v>402</v>
      </c>
      <c r="B1909" t="s">
        <v>39</v>
      </c>
      <c r="C1909" t="s">
        <v>58</v>
      </c>
      <c r="D1909" t="s">
        <v>143</v>
      </c>
      <c r="E1909" t="s">
        <v>144</v>
      </c>
      <c r="F1909" t="s">
        <v>5</v>
      </c>
      <c r="G1909" t="s">
        <v>6</v>
      </c>
      <c r="H1909" t="s">
        <v>7</v>
      </c>
      <c r="I1909" t="s">
        <v>8</v>
      </c>
      <c r="J1909" t="s">
        <v>403</v>
      </c>
      <c r="K1909" t="s">
        <v>689</v>
      </c>
      <c r="L1909" t="s">
        <v>692</v>
      </c>
      <c r="M1909" t="s">
        <v>12</v>
      </c>
      <c r="N1909" s="2">
        <v>0</v>
      </c>
      <c r="O1909" s="2">
        <v>1000</v>
      </c>
      <c r="P1909" s="2">
        <v>-914.88</v>
      </c>
      <c r="Q1909" s="2">
        <v>85.12</v>
      </c>
      <c r="R1909" s="2">
        <v>0</v>
      </c>
      <c r="S1909" s="2">
        <v>85.12</v>
      </c>
      <c r="T1909" s="2">
        <v>85.12</v>
      </c>
      <c r="U1909" s="2">
        <v>0</v>
      </c>
      <c r="V1909" s="2">
        <v>0</v>
      </c>
      <c r="W1909" s="2">
        <v>0</v>
      </c>
    </row>
    <row r="1910" spans="1:23" outlineLevel="2" x14ac:dyDescent="0.2">
      <c r="A1910" t="s">
        <v>402</v>
      </c>
      <c r="B1910" t="s">
        <v>39</v>
      </c>
      <c r="C1910" t="s">
        <v>95</v>
      </c>
      <c r="D1910" t="s">
        <v>96</v>
      </c>
      <c r="E1910" t="s">
        <v>97</v>
      </c>
      <c r="F1910" t="s">
        <v>5</v>
      </c>
      <c r="G1910" t="s">
        <v>6</v>
      </c>
      <c r="H1910" t="s">
        <v>7</v>
      </c>
      <c r="I1910" t="s">
        <v>8</v>
      </c>
      <c r="J1910" t="s">
        <v>403</v>
      </c>
      <c r="K1910" t="s">
        <v>693</v>
      </c>
      <c r="L1910" t="s">
        <v>694</v>
      </c>
      <c r="M1910" t="s">
        <v>12</v>
      </c>
      <c r="N1910" s="2">
        <v>18000</v>
      </c>
      <c r="O1910" s="2">
        <v>17291.599999999999</v>
      </c>
      <c r="P1910" s="2">
        <v>0</v>
      </c>
      <c r="Q1910" s="2">
        <v>35291.599999999999</v>
      </c>
      <c r="R1910" s="2">
        <v>26291.56</v>
      </c>
      <c r="S1910" s="2">
        <v>0</v>
      </c>
      <c r="T1910" s="2">
        <v>0</v>
      </c>
      <c r="U1910" s="2">
        <v>35291.599999999999</v>
      </c>
      <c r="V1910" s="2">
        <v>35291.599999999999</v>
      </c>
      <c r="W1910" s="2">
        <v>9000.0400000000009</v>
      </c>
    </row>
    <row r="1911" spans="1:23" outlineLevel="2" x14ac:dyDescent="0.2">
      <c r="A1911" t="s">
        <v>402</v>
      </c>
      <c r="B1911" t="s">
        <v>39</v>
      </c>
      <c r="C1911" t="s">
        <v>58</v>
      </c>
      <c r="D1911" t="s">
        <v>149</v>
      </c>
      <c r="E1911" t="s">
        <v>150</v>
      </c>
      <c r="F1911" t="s">
        <v>5</v>
      </c>
      <c r="G1911" t="s">
        <v>6</v>
      </c>
      <c r="H1911" t="s">
        <v>7</v>
      </c>
      <c r="I1911" t="s">
        <v>8</v>
      </c>
      <c r="J1911" t="s">
        <v>403</v>
      </c>
      <c r="K1911" t="s">
        <v>693</v>
      </c>
      <c r="L1911" t="s">
        <v>695</v>
      </c>
      <c r="M1911" t="s">
        <v>12</v>
      </c>
      <c r="N1911" s="2">
        <v>300</v>
      </c>
      <c r="O1911" s="2">
        <v>-300</v>
      </c>
      <c r="P1911" s="2">
        <v>0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</row>
    <row r="1912" spans="1:23" outlineLevel="2" x14ac:dyDescent="0.2">
      <c r="A1912" t="s">
        <v>402</v>
      </c>
      <c r="B1912" t="s">
        <v>31</v>
      </c>
      <c r="C1912" t="s">
        <v>79</v>
      </c>
      <c r="D1912" t="s">
        <v>80</v>
      </c>
      <c r="E1912" t="s">
        <v>81</v>
      </c>
      <c r="F1912" t="s">
        <v>5</v>
      </c>
      <c r="G1912" t="s">
        <v>6</v>
      </c>
      <c r="H1912" t="s">
        <v>7</v>
      </c>
      <c r="I1912" t="s">
        <v>8</v>
      </c>
      <c r="J1912" t="s">
        <v>403</v>
      </c>
      <c r="K1912" t="s">
        <v>696</v>
      </c>
      <c r="L1912" t="s">
        <v>697</v>
      </c>
      <c r="M1912" t="s">
        <v>12</v>
      </c>
      <c r="N1912" s="2">
        <v>1000</v>
      </c>
      <c r="O1912" s="2">
        <v>0</v>
      </c>
      <c r="P1912" s="2">
        <v>0</v>
      </c>
      <c r="Q1912" s="2">
        <v>1000</v>
      </c>
      <c r="R1912" s="2">
        <v>521.33000000000004</v>
      </c>
      <c r="S1912" s="2">
        <v>478.61</v>
      </c>
      <c r="T1912" s="2">
        <v>0</v>
      </c>
      <c r="U1912" s="2">
        <v>521.39</v>
      </c>
      <c r="V1912" s="2">
        <v>1000</v>
      </c>
      <c r="W1912" s="2">
        <v>0.06</v>
      </c>
    </row>
    <row r="1913" spans="1:23" outlineLevel="2" x14ac:dyDescent="0.2">
      <c r="A1913" t="s">
        <v>402</v>
      </c>
      <c r="B1913" t="s">
        <v>39</v>
      </c>
      <c r="C1913" t="s">
        <v>66</v>
      </c>
      <c r="D1913" t="s">
        <v>67</v>
      </c>
      <c r="E1913" t="s">
        <v>68</v>
      </c>
      <c r="F1913" t="s">
        <v>5</v>
      </c>
      <c r="G1913" t="s">
        <v>6</v>
      </c>
      <c r="H1913" t="s">
        <v>7</v>
      </c>
      <c r="I1913" t="s">
        <v>8</v>
      </c>
      <c r="J1913" t="s">
        <v>403</v>
      </c>
      <c r="K1913" t="s">
        <v>696</v>
      </c>
      <c r="L1913" t="s">
        <v>698</v>
      </c>
      <c r="M1913" t="s">
        <v>12</v>
      </c>
      <c r="N1913" s="2">
        <v>2874</v>
      </c>
      <c r="O1913" s="2">
        <v>-2793.5</v>
      </c>
      <c r="P1913" s="2">
        <v>0</v>
      </c>
      <c r="Q1913" s="2">
        <v>80.5</v>
      </c>
      <c r="R1913" s="2">
        <v>0</v>
      </c>
      <c r="S1913" s="2">
        <v>42.56</v>
      </c>
      <c r="T1913" s="2">
        <v>42.56</v>
      </c>
      <c r="U1913" s="2">
        <v>37.94</v>
      </c>
      <c r="V1913" s="2">
        <v>37.94</v>
      </c>
      <c r="W1913" s="2">
        <v>37.94</v>
      </c>
    </row>
    <row r="1914" spans="1:23" outlineLevel="2" x14ac:dyDescent="0.2">
      <c r="A1914" t="s">
        <v>402</v>
      </c>
      <c r="B1914" t="s">
        <v>39</v>
      </c>
      <c r="C1914" t="s">
        <v>58</v>
      </c>
      <c r="D1914" t="s">
        <v>147</v>
      </c>
      <c r="E1914" t="s">
        <v>148</v>
      </c>
      <c r="F1914" t="s">
        <v>5</v>
      </c>
      <c r="G1914" t="s">
        <v>6</v>
      </c>
      <c r="H1914" t="s">
        <v>7</v>
      </c>
      <c r="I1914" t="s">
        <v>8</v>
      </c>
      <c r="J1914" t="s">
        <v>403</v>
      </c>
      <c r="K1914" t="s">
        <v>696</v>
      </c>
      <c r="L1914" t="s">
        <v>699</v>
      </c>
      <c r="M1914" t="s">
        <v>12</v>
      </c>
      <c r="N1914" s="2">
        <v>31000</v>
      </c>
      <c r="O1914" s="2">
        <v>0</v>
      </c>
      <c r="P1914" s="2">
        <v>0</v>
      </c>
      <c r="Q1914" s="2">
        <v>31000</v>
      </c>
      <c r="R1914" s="2">
        <v>5058.07</v>
      </c>
      <c r="S1914" s="2">
        <v>25941.93</v>
      </c>
      <c r="T1914" s="2">
        <v>0</v>
      </c>
      <c r="U1914" s="2">
        <v>5058.07</v>
      </c>
      <c r="V1914" s="2">
        <v>31000</v>
      </c>
      <c r="W1914" s="2">
        <v>0</v>
      </c>
    </row>
    <row r="1915" spans="1:23" outlineLevel="2" x14ac:dyDescent="0.2">
      <c r="A1915" t="s">
        <v>402</v>
      </c>
      <c r="B1915" t="s">
        <v>39</v>
      </c>
      <c r="C1915" t="s">
        <v>40</v>
      </c>
      <c r="D1915" t="s">
        <v>77</v>
      </c>
      <c r="E1915" t="s">
        <v>78</v>
      </c>
      <c r="F1915" t="s">
        <v>5</v>
      </c>
      <c r="G1915" t="s">
        <v>6</v>
      </c>
      <c r="H1915" t="s">
        <v>7</v>
      </c>
      <c r="I1915" t="s">
        <v>8</v>
      </c>
      <c r="J1915" t="s">
        <v>403</v>
      </c>
      <c r="K1915" t="s">
        <v>696</v>
      </c>
      <c r="L1915" t="s">
        <v>700</v>
      </c>
      <c r="M1915" t="s">
        <v>12</v>
      </c>
      <c r="N1915" s="2">
        <v>0</v>
      </c>
      <c r="O1915" s="2">
        <v>1450</v>
      </c>
      <c r="P1915" s="2">
        <v>0</v>
      </c>
      <c r="Q1915" s="2">
        <v>1450</v>
      </c>
      <c r="R1915" s="2">
        <v>0</v>
      </c>
      <c r="S1915" s="2">
        <v>1450</v>
      </c>
      <c r="T1915" s="2">
        <v>1097.5</v>
      </c>
      <c r="U1915" s="2">
        <v>0</v>
      </c>
      <c r="V1915" s="2">
        <v>352.5</v>
      </c>
      <c r="W1915" s="2">
        <v>0</v>
      </c>
    </row>
    <row r="1916" spans="1:23" outlineLevel="2" x14ac:dyDescent="0.2">
      <c r="A1916" t="s">
        <v>402</v>
      </c>
      <c r="B1916" t="s">
        <v>1</v>
      </c>
      <c r="C1916" t="s">
        <v>2</v>
      </c>
      <c r="D1916" t="s">
        <v>3</v>
      </c>
      <c r="E1916" t="s">
        <v>4</v>
      </c>
      <c r="F1916" t="s">
        <v>5</v>
      </c>
      <c r="G1916" t="s">
        <v>6</v>
      </c>
      <c r="H1916" t="s">
        <v>7</v>
      </c>
      <c r="I1916" t="s">
        <v>8</v>
      </c>
      <c r="J1916" t="s">
        <v>403</v>
      </c>
      <c r="K1916" t="s">
        <v>696</v>
      </c>
      <c r="L1916" t="s">
        <v>701</v>
      </c>
      <c r="M1916" t="s">
        <v>15</v>
      </c>
      <c r="N1916" s="2">
        <v>200</v>
      </c>
      <c r="O1916" s="2">
        <v>0</v>
      </c>
      <c r="P1916" s="2">
        <v>-194.4</v>
      </c>
      <c r="Q1916" s="2">
        <v>5.6</v>
      </c>
      <c r="R1916" s="2">
        <v>0</v>
      </c>
      <c r="S1916" s="2">
        <v>5.6</v>
      </c>
      <c r="T1916" s="2">
        <v>5.6</v>
      </c>
      <c r="U1916" s="2">
        <v>0</v>
      </c>
      <c r="V1916" s="2">
        <v>0</v>
      </c>
      <c r="W1916" s="2">
        <v>0</v>
      </c>
    </row>
    <row r="1917" spans="1:23" outlineLevel="2" x14ac:dyDescent="0.2">
      <c r="A1917" t="s">
        <v>402</v>
      </c>
      <c r="B1917" t="s">
        <v>31</v>
      </c>
      <c r="C1917" t="s">
        <v>32</v>
      </c>
      <c r="D1917" t="s">
        <v>33</v>
      </c>
      <c r="E1917" t="s">
        <v>34</v>
      </c>
      <c r="F1917" t="s">
        <v>5</v>
      </c>
      <c r="G1917" t="s">
        <v>6</v>
      </c>
      <c r="H1917" t="s">
        <v>7</v>
      </c>
      <c r="I1917" t="s">
        <v>8</v>
      </c>
      <c r="J1917" t="s">
        <v>403</v>
      </c>
      <c r="K1917" t="s">
        <v>696</v>
      </c>
      <c r="L1917" t="s">
        <v>702</v>
      </c>
      <c r="M1917" t="s">
        <v>12</v>
      </c>
      <c r="N1917" s="2">
        <v>10000</v>
      </c>
      <c r="O1917" s="2">
        <v>-584.35</v>
      </c>
      <c r="P1917" s="2">
        <v>0</v>
      </c>
      <c r="Q1917" s="2">
        <v>9415.65</v>
      </c>
      <c r="R1917" s="2">
        <v>0</v>
      </c>
      <c r="S1917" s="2">
        <v>0</v>
      </c>
      <c r="T1917" s="2">
        <v>0</v>
      </c>
      <c r="U1917" s="2">
        <v>9415.65</v>
      </c>
      <c r="V1917" s="2">
        <v>9415.65</v>
      </c>
      <c r="W1917" s="2">
        <v>9415.65</v>
      </c>
    </row>
    <row r="1918" spans="1:23" outlineLevel="2" x14ac:dyDescent="0.2">
      <c r="A1918" t="s">
        <v>402</v>
      </c>
      <c r="B1918" t="s">
        <v>39</v>
      </c>
      <c r="C1918" t="s">
        <v>58</v>
      </c>
      <c r="D1918" t="s">
        <v>145</v>
      </c>
      <c r="E1918" t="s">
        <v>146</v>
      </c>
      <c r="F1918" t="s">
        <v>5</v>
      </c>
      <c r="G1918" t="s">
        <v>6</v>
      </c>
      <c r="H1918" t="s">
        <v>7</v>
      </c>
      <c r="I1918" t="s">
        <v>8</v>
      </c>
      <c r="J1918" t="s">
        <v>403</v>
      </c>
      <c r="K1918" t="s">
        <v>696</v>
      </c>
      <c r="L1918" t="s">
        <v>699</v>
      </c>
      <c r="M1918" t="s">
        <v>12</v>
      </c>
      <c r="N1918" s="2">
        <v>2000</v>
      </c>
      <c r="O1918" s="2">
        <v>0</v>
      </c>
      <c r="P1918" s="2">
        <v>0</v>
      </c>
      <c r="Q1918" s="2">
        <v>2000</v>
      </c>
      <c r="R1918" s="2">
        <v>0</v>
      </c>
      <c r="S1918" s="2">
        <v>265.5</v>
      </c>
      <c r="T1918" s="2">
        <v>0</v>
      </c>
      <c r="U1918" s="2">
        <v>1734.5</v>
      </c>
      <c r="V1918" s="2">
        <v>2000</v>
      </c>
      <c r="W1918" s="2">
        <v>1734.5</v>
      </c>
    </row>
    <row r="1919" spans="1:23" outlineLevel="2" x14ac:dyDescent="0.2">
      <c r="A1919" t="s">
        <v>402</v>
      </c>
      <c r="B1919" t="s">
        <v>39</v>
      </c>
      <c r="C1919" t="s">
        <v>58</v>
      </c>
      <c r="D1919" t="s">
        <v>135</v>
      </c>
      <c r="E1919" t="s">
        <v>136</v>
      </c>
      <c r="F1919" t="s">
        <v>5</v>
      </c>
      <c r="G1919" t="s">
        <v>6</v>
      </c>
      <c r="H1919" t="s">
        <v>7</v>
      </c>
      <c r="I1919" t="s">
        <v>8</v>
      </c>
      <c r="J1919" t="s">
        <v>403</v>
      </c>
      <c r="K1919" t="s">
        <v>696</v>
      </c>
      <c r="L1919" t="s">
        <v>699</v>
      </c>
      <c r="M1919" t="s">
        <v>12</v>
      </c>
      <c r="N1919" s="2">
        <v>0</v>
      </c>
      <c r="O1919" s="2">
        <v>7000</v>
      </c>
      <c r="P1919" s="2">
        <v>0</v>
      </c>
      <c r="Q1919" s="2">
        <v>7000</v>
      </c>
      <c r="R1919" s="2">
        <v>0</v>
      </c>
      <c r="S1919" s="2">
        <v>5466.5</v>
      </c>
      <c r="T1919" s="2">
        <v>3765.26</v>
      </c>
      <c r="U1919" s="2">
        <v>1533.5</v>
      </c>
      <c r="V1919" s="2">
        <v>3234.74</v>
      </c>
      <c r="W1919" s="2">
        <v>1533.5</v>
      </c>
    </row>
    <row r="1920" spans="1:23" outlineLevel="2" x14ac:dyDescent="0.2">
      <c r="A1920" t="s">
        <v>402</v>
      </c>
      <c r="B1920" t="s">
        <v>1</v>
      </c>
      <c r="C1920" t="s">
        <v>91</v>
      </c>
      <c r="D1920" t="s">
        <v>92</v>
      </c>
      <c r="E1920" t="s">
        <v>93</v>
      </c>
      <c r="F1920" t="s">
        <v>5</v>
      </c>
      <c r="G1920" t="s">
        <v>6</v>
      </c>
      <c r="H1920" t="s">
        <v>7</v>
      </c>
      <c r="I1920" t="s">
        <v>8</v>
      </c>
      <c r="J1920" t="s">
        <v>403</v>
      </c>
      <c r="K1920" t="s">
        <v>696</v>
      </c>
      <c r="L1920" t="s">
        <v>703</v>
      </c>
      <c r="M1920" t="s">
        <v>15</v>
      </c>
      <c r="N1920" s="2">
        <v>250</v>
      </c>
      <c r="O1920" s="2">
        <v>-250</v>
      </c>
      <c r="P1920" s="2">
        <v>0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</row>
    <row r="1921" spans="1:23" outlineLevel="2" x14ac:dyDescent="0.2">
      <c r="A1921" t="s">
        <v>402</v>
      </c>
      <c r="B1921" t="s">
        <v>31</v>
      </c>
      <c r="C1921" t="s">
        <v>32</v>
      </c>
      <c r="D1921" t="s">
        <v>75</v>
      </c>
      <c r="E1921" t="s">
        <v>76</v>
      </c>
      <c r="F1921" t="s">
        <v>5</v>
      </c>
      <c r="G1921" t="s">
        <v>6</v>
      </c>
      <c r="H1921" t="s">
        <v>7</v>
      </c>
      <c r="I1921" t="s">
        <v>8</v>
      </c>
      <c r="J1921" t="s">
        <v>403</v>
      </c>
      <c r="K1921" t="s">
        <v>696</v>
      </c>
      <c r="L1921" t="s">
        <v>702</v>
      </c>
      <c r="M1921" t="s">
        <v>12</v>
      </c>
      <c r="N1921" s="2">
        <v>7000</v>
      </c>
      <c r="O1921" s="2">
        <v>17000</v>
      </c>
      <c r="P1921" s="2">
        <v>-9900</v>
      </c>
      <c r="Q1921" s="2">
        <v>14100</v>
      </c>
      <c r="R1921" s="2">
        <v>633.67999999999995</v>
      </c>
      <c r="S1921" s="2">
        <v>6476.72</v>
      </c>
      <c r="T1921" s="2">
        <v>6063.44</v>
      </c>
      <c r="U1921" s="2">
        <v>7623.28</v>
      </c>
      <c r="V1921" s="2">
        <v>8036.56</v>
      </c>
      <c r="W1921" s="2">
        <v>6989.6</v>
      </c>
    </row>
    <row r="1922" spans="1:23" outlineLevel="2" x14ac:dyDescent="0.2">
      <c r="A1922" t="s">
        <v>402</v>
      </c>
      <c r="B1922" t="s">
        <v>31</v>
      </c>
      <c r="C1922" t="s">
        <v>79</v>
      </c>
      <c r="D1922" t="s">
        <v>127</v>
      </c>
      <c r="E1922" t="s">
        <v>128</v>
      </c>
      <c r="F1922" t="s">
        <v>5</v>
      </c>
      <c r="G1922" t="s">
        <v>6</v>
      </c>
      <c r="H1922" t="s">
        <v>7</v>
      </c>
      <c r="I1922" t="s">
        <v>8</v>
      </c>
      <c r="J1922" t="s">
        <v>403</v>
      </c>
      <c r="K1922" t="s">
        <v>696</v>
      </c>
      <c r="L1922" t="s">
        <v>697</v>
      </c>
      <c r="M1922" t="s">
        <v>12</v>
      </c>
      <c r="N1922" s="2">
        <v>400</v>
      </c>
      <c r="O1922" s="2">
        <v>-400</v>
      </c>
      <c r="P1922" s="2">
        <v>0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0</v>
      </c>
      <c r="W1922" s="2">
        <v>0</v>
      </c>
    </row>
    <row r="1923" spans="1:23" outlineLevel="2" x14ac:dyDescent="0.2">
      <c r="A1923" t="s">
        <v>402</v>
      </c>
      <c r="B1923" t="s">
        <v>1</v>
      </c>
      <c r="C1923" t="s">
        <v>2</v>
      </c>
      <c r="D1923" t="s">
        <v>410</v>
      </c>
      <c r="E1923" t="s">
        <v>411</v>
      </c>
      <c r="F1923" t="s">
        <v>5</v>
      </c>
      <c r="G1923" t="s">
        <v>6</v>
      </c>
      <c r="H1923" t="s">
        <v>7</v>
      </c>
      <c r="I1923" t="s">
        <v>8</v>
      </c>
      <c r="J1923" t="s">
        <v>403</v>
      </c>
      <c r="K1923" t="s">
        <v>696</v>
      </c>
      <c r="L1923" t="s">
        <v>701</v>
      </c>
      <c r="M1923" t="s">
        <v>15</v>
      </c>
      <c r="N1923" s="2">
        <v>34000</v>
      </c>
      <c r="O1923" s="2">
        <v>0</v>
      </c>
      <c r="P1923" s="2">
        <v>0</v>
      </c>
      <c r="Q1923" s="2">
        <v>34000</v>
      </c>
      <c r="R1923" s="2">
        <v>31000</v>
      </c>
      <c r="S1923" s="2">
        <v>3000</v>
      </c>
      <c r="T1923" s="2">
        <v>281.12</v>
      </c>
      <c r="U1923" s="2">
        <v>31000</v>
      </c>
      <c r="V1923" s="2">
        <v>33718.879999999997</v>
      </c>
      <c r="W1923" s="2">
        <v>0</v>
      </c>
    </row>
    <row r="1924" spans="1:23" outlineLevel="2" x14ac:dyDescent="0.2">
      <c r="A1924" t="s">
        <v>402</v>
      </c>
      <c r="B1924" t="s">
        <v>39</v>
      </c>
      <c r="C1924" t="s">
        <v>58</v>
      </c>
      <c r="D1924" t="s">
        <v>139</v>
      </c>
      <c r="E1924" t="s">
        <v>140</v>
      </c>
      <c r="F1924" t="s">
        <v>5</v>
      </c>
      <c r="G1924" t="s">
        <v>6</v>
      </c>
      <c r="H1924" t="s">
        <v>7</v>
      </c>
      <c r="I1924" t="s">
        <v>8</v>
      </c>
      <c r="J1924" t="s">
        <v>403</v>
      </c>
      <c r="K1924" t="s">
        <v>696</v>
      </c>
      <c r="L1924" t="s">
        <v>699</v>
      </c>
      <c r="M1924" t="s">
        <v>12</v>
      </c>
      <c r="N1924" s="2">
        <v>0</v>
      </c>
      <c r="O1924" s="2">
        <v>3000</v>
      </c>
      <c r="P1924" s="2">
        <v>-1500</v>
      </c>
      <c r="Q1924" s="2">
        <v>1500</v>
      </c>
      <c r="R1924" s="2">
        <v>0</v>
      </c>
      <c r="S1924" s="2">
        <v>0</v>
      </c>
      <c r="T1924" s="2">
        <v>0</v>
      </c>
      <c r="U1924" s="2">
        <v>1500</v>
      </c>
      <c r="V1924" s="2">
        <v>1500</v>
      </c>
      <c r="W1924" s="2">
        <v>1500</v>
      </c>
    </row>
    <row r="1925" spans="1:23" outlineLevel="2" x14ac:dyDescent="0.2">
      <c r="A1925" t="s">
        <v>402</v>
      </c>
      <c r="B1925" t="s">
        <v>39</v>
      </c>
      <c r="C1925" t="s">
        <v>58</v>
      </c>
      <c r="D1925" t="s">
        <v>143</v>
      </c>
      <c r="E1925" t="s">
        <v>144</v>
      </c>
      <c r="F1925" t="s">
        <v>5</v>
      </c>
      <c r="G1925" t="s">
        <v>6</v>
      </c>
      <c r="H1925" t="s">
        <v>7</v>
      </c>
      <c r="I1925" t="s">
        <v>8</v>
      </c>
      <c r="J1925" t="s">
        <v>403</v>
      </c>
      <c r="K1925" t="s">
        <v>696</v>
      </c>
      <c r="L1925" t="s">
        <v>699</v>
      </c>
      <c r="M1925" t="s">
        <v>12</v>
      </c>
      <c r="N1925" s="2">
        <v>200</v>
      </c>
      <c r="O1925" s="2">
        <v>1000</v>
      </c>
      <c r="P1925" s="2">
        <v>0</v>
      </c>
      <c r="Q1925" s="2">
        <v>1200</v>
      </c>
      <c r="R1925" s="2">
        <v>38.700000000000003</v>
      </c>
      <c r="S1925" s="2">
        <v>304.42</v>
      </c>
      <c r="T1925" s="2">
        <v>304.42</v>
      </c>
      <c r="U1925" s="2">
        <v>895.58</v>
      </c>
      <c r="V1925" s="2">
        <v>895.58</v>
      </c>
      <c r="W1925" s="2">
        <v>856.88</v>
      </c>
    </row>
    <row r="1926" spans="1:23" outlineLevel="2" x14ac:dyDescent="0.2">
      <c r="A1926" t="s">
        <v>402</v>
      </c>
      <c r="B1926" t="s">
        <v>39</v>
      </c>
      <c r="C1926" t="s">
        <v>58</v>
      </c>
      <c r="D1926" t="s">
        <v>59</v>
      </c>
      <c r="E1926" t="s">
        <v>60</v>
      </c>
      <c r="F1926" t="s">
        <v>5</v>
      </c>
      <c r="G1926" t="s">
        <v>6</v>
      </c>
      <c r="H1926" t="s">
        <v>7</v>
      </c>
      <c r="I1926" t="s">
        <v>8</v>
      </c>
      <c r="J1926" t="s">
        <v>403</v>
      </c>
      <c r="K1926" t="s">
        <v>696</v>
      </c>
      <c r="L1926" t="s">
        <v>699</v>
      </c>
      <c r="M1926" t="s">
        <v>12</v>
      </c>
      <c r="N1926" s="2">
        <v>30</v>
      </c>
      <c r="O1926" s="2">
        <v>0</v>
      </c>
      <c r="P1926" s="2">
        <v>0</v>
      </c>
      <c r="Q1926" s="2">
        <v>30</v>
      </c>
      <c r="R1926" s="2">
        <v>0</v>
      </c>
      <c r="S1926" s="2">
        <v>0</v>
      </c>
      <c r="T1926" s="2">
        <v>0</v>
      </c>
      <c r="U1926" s="2">
        <v>30</v>
      </c>
      <c r="V1926" s="2">
        <v>30</v>
      </c>
      <c r="W1926" s="2">
        <v>30</v>
      </c>
    </row>
    <row r="1927" spans="1:23" outlineLevel="2" x14ac:dyDescent="0.2">
      <c r="A1927" t="s">
        <v>402</v>
      </c>
      <c r="B1927" t="s">
        <v>31</v>
      </c>
      <c r="C1927" t="s">
        <v>32</v>
      </c>
      <c r="D1927" t="s">
        <v>141</v>
      </c>
      <c r="E1927" t="s">
        <v>142</v>
      </c>
      <c r="F1927" t="s">
        <v>5</v>
      </c>
      <c r="G1927" t="s">
        <v>6</v>
      </c>
      <c r="H1927" t="s">
        <v>7</v>
      </c>
      <c r="I1927" t="s">
        <v>8</v>
      </c>
      <c r="J1927" t="s">
        <v>403</v>
      </c>
      <c r="K1927" t="s">
        <v>696</v>
      </c>
      <c r="L1927" t="s">
        <v>702</v>
      </c>
      <c r="M1927" t="s">
        <v>12</v>
      </c>
      <c r="N1927" s="2">
        <v>0</v>
      </c>
      <c r="O1927" s="2">
        <v>2050</v>
      </c>
      <c r="P1927" s="2">
        <v>0</v>
      </c>
      <c r="Q1927" s="2">
        <v>2050</v>
      </c>
      <c r="R1927" s="2">
        <v>588</v>
      </c>
      <c r="S1927" s="2">
        <v>0</v>
      </c>
      <c r="T1927" s="2">
        <v>0</v>
      </c>
      <c r="U1927" s="2">
        <v>2050</v>
      </c>
      <c r="V1927" s="2">
        <v>2050</v>
      </c>
      <c r="W1927" s="2">
        <v>1462</v>
      </c>
    </row>
    <row r="1928" spans="1:23" outlineLevel="2" x14ac:dyDescent="0.2">
      <c r="A1928" t="s">
        <v>402</v>
      </c>
      <c r="B1928" t="s">
        <v>1</v>
      </c>
      <c r="C1928" t="s">
        <v>2</v>
      </c>
      <c r="D1928" t="s">
        <v>25</v>
      </c>
      <c r="E1928" t="s">
        <v>26</v>
      </c>
      <c r="F1928" t="s">
        <v>5</v>
      </c>
      <c r="G1928" t="s">
        <v>6</v>
      </c>
      <c r="H1928" t="s">
        <v>7</v>
      </c>
      <c r="I1928" t="s">
        <v>8</v>
      </c>
      <c r="J1928" t="s">
        <v>403</v>
      </c>
      <c r="K1928" t="s">
        <v>696</v>
      </c>
      <c r="L1928" t="s">
        <v>701</v>
      </c>
      <c r="M1928" t="s">
        <v>15</v>
      </c>
      <c r="N1928" s="2">
        <v>8000</v>
      </c>
      <c r="O1928" s="2">
        <v>-2400</v>
      </c>
      <c r="P1928" s="2">
        <v>-5600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</row>
    <row r="1929" spans="1:23" outlineLevel="2" x14ac:dyDescent="0.2">
      <c r="A1929" t="s">
        <v>402</v>
      </c>
      <c r="B1929" t="s">
        <v>53</v>
      </c>
      <c r="C1929" t="s">
        <v>54</v>
      </c>
      <c r="D1929" t="s">
        <v>55</v>
      </c>
      <c r="E1929" t="s">
        <v>56</v>
      </c>
      <c r="F1929" t="s">
        <v>5</v>
      </c>
      <c r="G1929" t="s">
        <v>6</v>
      </c>
      <c r="H1929" t="s">
        <v>7</v>
      </c>
      <c r="I1929" t="s">
        <v>8</v>
      </c>
      <c r="J1929" t="s">
        <v>403</v>
      </c>
      <c r="K1929" t="s">
        <v>696</v>
      </c>
      <c r="L1929" t="s">
        <v>704</v>
      </c>
      <c r="M1929" t="s">
        <v>12</v>
      </c>
      <c r="N1929" s="2">
        <v>7500</v>
      </c>
      <c r="O1929" s="2">
        <v>-7500</v>
      </c>
      <c r="P1929" s="2">
        <v>0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</row>
    <row r="1930" spans="1:23" outlineLevel="2" x14ac:dyDescent="0.2">
      <c r="A1930" t="s">
        <v>402</v>
      </c>
      <c r="B1930" t="s">
        <v>39</v>
      </c>
      <c r="C1930" t="s">
        <v>70</v>
      </c>
      <c r="D1930" t="s">
        <v>89</v>
      </c>
      <c r="E1930" t="s">
        <v>90</v>
      </c>
      <c r="F1930" t="s">
        <v>5</v>
      </c>
      <c r="G1930" t="s">
        <v>6</v>
      </c>
      <c r="H1930" t="s">
        <v>7</v>
      </c>
      <c r="I1930" t="s">
        <v>8</v>
      </c>
      <c r="J1930" t="s">
        <v>403</v>
      </c>
      <c r="K1930" t="s">
        <v>696</v>
      </c>
      <c r="L1930" t="s">
        <v>705</v>
      </c>
      <c r="M1930" t="s">
        <v>12</v>
      </c>
      <c r="N1930" s="2">
        <v>0</v>
      </c>
      <c r="O1930" s="2">
        <v>4000</v>
      </c>
      <c r="P1930" s="2">
        <v>0</v>
      </c>
      <c r="Q1930" s="2">
        <v>4000</v>
      </c>
      <c r="R1930" s="2">
        <v>0</v>
      </c>
      <c r="S1930" s="2">
        <v>0</v>
      </c>
      <c r="T1930" s="2">
        <v>0</v>
      </c>
      <c r="U1930" s="2">
        <v>4000</v>
      </c>
      <c r="V1930" s="2">
        <v>4000</v>
      </c>
      <c r="W1930" s="2">
        <v>4000</v>
      </c>
    </row>
    <row r="1931" spans="1:23" outlineLevel="2" x14ac:dyDescent="0.2">
      <c r="A1931" t="s">
        <v>402</v>
      </c>
      <c r="B1931" t="s">
        <v>31</v>
      </c>
      <c r="C1931" t="s">
        <v>79</v>
      </c>
      <c r="D1931" t="s">
        <v>113</v>
      </c>
      <c r="E1931" t="s">
        <v>114</v>
      </c>
      <c r="F1931" t="s">
        <v>5</v>
      </c>
      <c r="G1931" t="s">
        <v>6</v>
      </c>
      <c r="H1931" t="s">
        <v>7</v>
      </c>
      <c r="I1931" t="s">
        <v>8</v>
      </c>
      <c r="J1931" t="s">
        <v>403</v>
      </c>
      <c r="K1931" t="s">
        <v>696</v>
      </c>
      <c r="L1931" t="s">
        <v>697</v>
      </c>
      <c r="M1931" t="s">
        <v>12</v>
      </c>
      <c r="N1931" s="2">
        <v>2500</v>
      </c>
      <c r="O1931" s="2">
        <v>0</v>
      </c>
      <c r="P1931" s="2">
        <v>0</v>
      </c>
      <c r="Q1931" s="2">
        <v>2500</v>
      </c>
      <c r="R1931" s="2">
        <v>0.39</v>
      </c>
      <c r="S1931" s="2">
        <v>2499.61</v>
      </c>
      <c r="T1931" s="2">
        <v>2499.61</v>
      </c>
      <c r="U1931" s="2">
        <v>0.39</v>
      </c>
      <c r="V1931" s="2">
        <v>0.39</v>
      </c>
      <c r="W1931" s="2">
        <v>0</v>
      </c>
    </row>
    <row r="1932" spans="1:23" outlineLevel="2" x14ac:dyDescent="0.2">
      <c r="A1932" t="s">
        <v>402</v>
      </c>
      <c r="B1932" t="s">
        <v>1</v>
      </c>
      <c r="C1932" t="s">
        <v>2</v>
      </c>
      <c r="D1932" t="s">
        <v>3</v>
      </c>
      <c r="E1932" t="s">
        <v>4</v>
      </c>
      <c r="F1932" t="s">
        <v>5</v>
      </c>
      <c r="G1932" t="s">
        <v>6</v>
      </c>
      <c r="H1932" t="s">
        <v>7</v>
      </c>
      <c r="I1932" t="s">
        <v>8</v>
      </c>
      <c r="J1932" t="s">
        <v>403</v>
      </c>
      <c r="K1932" t="s">
        <v>696</v>
      </c>
      <c r="L1932" t="s">
        <v>701</v>
      </c>
      <c r="M1932" t="s">
        <v>12</v>
      </c>
      <c r="N1932" s="2">
        <v>0</v>
      </c>
      <c r="O1932" s="2">
        <v>0</v>
      </c>
      <c r="P1932" s="2">
        <v>194.4</v>
      </c>
      <c r="Q1932" s="2">
        <v>194.4</v>
      </c>
      <c r="R1932" s="2">
        <v>0</v>
      </c>
      <c r="S1932" s="2">
        <v>0</v>
      </c>
      <c r="T1932" s="2">
        <v>0</v>
      </c>
      <c r="U1932" s="2">
        <v>194.4</v>
      </c>
      <c r="V1932" s="2">
        <v>194.4</v>
      </c>
      <c r="W1932" s="2">
        <v>194.4</v>
      </c>
    </row>
    <row r="1933" spans="1:23" outlineLevel="2" x14ac:dyDescent="0.2">
      <c r="A1933" t="s">
        <v>402</v>
      </c>
      <c r="B1933" t="s">
        <v>31</v>
      </c>
      <c r="C1933" t="s">
        <v>79</v>
      </c>
      <c r="D1933" t="s">
        <v>117</v>
      </c>
      <c r="E1933" t="s">
        <v>118</v>
      </c>
      <c r="F1933" t="s">
        <v>5</v>
      </c>
      <c r="G1933" t="s">
        <v>6</v>
      </c>
      <c r="H1933" t="s">
        <v>7</v>
      </c>
      <c r="I1933" t="s">
        <v>8</v>
      </c>
      <c r="J1933" t="s">
        <v>403</v>
      </c>
      <c r="K1933" t="s">
        <v>696</v>
      </c>
      <c r="L1933" t="s">
        <v>697</v>
      </c>
      <c r="M1933" t="s">
        <v>12</v>
      </c>
      <c r="N1933" s="2">
        <v>8000</v>
      </c>
      <c r="O1933" s="2">
        <v>0</v>
      </c>
      <c r="P1933" s="2">
        <v>-1000</v>
      </c>
      <c r="Q1933" s="2">
        <v>7000</v>
      </c>
      <c r="R1933" s="2">
        <v>660.94</v>
      </c>
      <c r="S1933" s="2">
        <v>4701.0600000000004</v>
      </c>
      <c r="T1933" s="2">
        <v>517.65</v>
      </c>
      <c r="U1933" s="2">
        <v>2298.94</v>
      </c>
      <c r="V1933" s="2">
        <v>6482.35</v>
      </c>
      <c r="W1933" s="2">
        <v>1638</v>
      </c>
    </row>
    <row r="1934" spans="1:23" outlineLevel="2" x14ac:dyDescent="0.2">
      <c r="A1934" t="s">
        <v>402</v>
      </c>
      <c r="B1934" t="s">
        <v>39</v>
      </c>
      <c r="C1934" t="s">
        <v>58</v>
      </c>
      <c r="D1934" t="s">
        <v>149</v>
      </c>
      <c r="E1934" t="s">
        <v>150</v>
      </c>
      <c r="F1934" t="s">
        <v>5</v>
      </c>
      <c r="G1934" t="s">
        <v>6</v>
      </c>
      <c r="H1934" t="s">
        <v>7</v>
      </c>
      <c r="I1934" t="s">
        <v>8</v>
      </c>
      <c r="J1934" t="s">
        <v>403</v>
      </c>
      <c r="K1934" t="s">
        <v>696</v>
      </c>
      <c r="L1934" t="s">
        <v>699</v>
      </c>
      <c r="M1934" t="s">
        <v>12</v>
      </c>
      <c r="N1934" s="2">
        <v>1000</v>
      </c>
      <c r="O1934" s="2">
        <v>3360</v>
      </c>
      <c r="P1934" s="2">
        <v>0</v>
      </c>
      <c r="Q1934" s="2">
        <v>4360</v>
      </c>
      <c r="R1934" s="2">
        <v>85.69</v>
      </c>
      <c r="S1934" s="2">
        <v>3292.29</v>
      </c>
      <c r="T1934" s="2">
        <v>208.86</v>
      </c>
      <c r="U1934" s="2">
        <v>1067.71</v>
      </c>
      <c r="V1934" s="2">
        <v>4151.1400000000003</v>
      </c>
      <c r="W1934" s="2">
        <v>982.02</v>
      </c>
    </row>
    <row r="1935" spans="1:23" outlineLevel="2" x14ac:dyDescent="0.2">
      <c r="A1935" t="s">
        <v>402</v>
      </c>
      <c r="B1935" t="s">
        <v>39</v>
      </c>
      <c r="C1935" t="s">
        <v>66</v>
      </c>
      <c r="D1935" t="s">
        <v>67</v>
      </c>
      <c r="E1935" t="s">
        <v>68</v>
      </c>
      <c r="F1935" t="s">
        <v>5</v>
      </c>
      <c r="G1935" t="s">
        <v>6</v>
      </c>
      <c r="H1935" t="s">
        <v>7</v>
      </c>
      <c r="I1935" t="s">
        <v>8</v>
      </c>
      <c r="J1935" t="s">
        <v>403</v>
      </c>
      <c r="K1935" t="s">
        <v>706</v>
      </c>
      <c r="L1935" t="s">
        <v>707</v>
      </c>
      <c r="M1935" t="s">
        <v>12</v>
      </c>
      <c r="N1935" s="2">
        <v>1000</v>
      </c>
      <c r="O1935" s="2">
        <v>-1000</v>
      </c>
      <c r="P1935" s="2">
        <v>0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</row>
    <row r="1936" spans="1:23" outlineLevel="2" x14ac:dyDescent="0.2">
      <c r="A1936" t="s">
        <v>402</v>
      </c>
      <c r="B1936" t="s">
        <v>31</v>
      </c>
      <c r="C1936" t="s">
        <v>79</v>
      </c>
      <c r="D1936" t="s">
        <v>111</v>
      </c>
      <c r="E1936" t="s">
        <v>112</v>
      </c>
      <c r="F1936" t="s">
        <v>5</v>
      </c>
      <c r="G1936" t="s">
        <v>6</v>
      </c>
      <c r="H1936" t="s">
        <v>7</v>
      </c>
      <c r="I1936" t="s">
        <v>8</v>
      </c>
      <c r="J1936" t="s">
        <v>403</v>
      </c>
      <c r="K1936" t="s">
        <v>706</v>
      </c>
      <c r="L1936" t="s">
        <v>708</v>
      </c>
      <c r="M1936" t="s">
        <v>12</v>
      </c>
      <c r="N1936" s="2">
        <v>1000</v>
      </c>
      <c r="O1936" s="2">
        <v>0</v>
      </c>
      <c r="P1936" s="2">
        <v>0</v>
      </c>
      <c r="Q1936" s="2">
        <v>1000</v>
      </c>
      <c r="R1936" s="2">
        <v>993.44</v>
      </c>
      <c r="S1936" s="2">
        <v>0</v>
      </c>
      <c r="T1936" s="2">
        <v>0</v>
      </c>
      <c r="U1936" s="2">
        <v>1000</v>
      </c>
      <c r="V1936" s="2">
        <v>1000</v>
      </c>
      <c r="W1936" s="2">
        <v>6.56</v>
      </c>
    </row>
    <row r="1937" spans="1:23" outlineLevel="2" x14ac:dyDescent="0.2">
      <c r="A1937" t="s">
        <v>402</v>
      </c>
      <c r="B1937" t="s">
        <v>31</v>
      </c>
      <c r="C1937" t="s">
        <v>79</v>
      </c>
      <c r="D1937" t="s">
        <v>80</v>
      </c>
      <c r="E1937" t="s">
        <v>81</v>
      </c>
      <c r="F1937" t="s">
        <v>5</v>
      </c>
      <c r="G1937" t="s">
        <v>6</v>
      </c>
      <c r="H1937" t="s">
        <v>7</v>
      </c>
      <c r="I1937" t="s">
        <v>8</v>
      </c>
      <c r="J1937" t="s">
        <v>403</v>
      </c>
      <c r="K1937" t="s">
        <v>706</v>
      </c>
      <c r="L1937" t="s">
        <v>708</v>
      </c>
      <c r="M1937" t="s">
        <v>12</v>
      </c>
      <c r="N1937" s="2">
        <v>2000</v>
      </c>
      <c r="O1937" s="2">
        <v>-1200</v>
      </c>
      <c r="P1937" s="2">
        <v>-800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</row>
    <row r="1938" spans="1:23" outlineLevel="2" x14ac:dyDescent="0.2">
      <c r="A1938" t="s">
        <v>402</v>
      </c>
      <c r="B1938" t="s">
        <v>31</v>
      </c>
      <c r="C1938" t="s">
        <v>79</v>
      </c>
      <c r="D1938" t="s">
        <v>115</v>
      </c>
      <c r="E1938" t="s">
        <v>116</v>
      </c>
      <c r="F1938" t="s">
        <v>5</v>
      </c>
      <c r="G1938" t="s">
        <v>6</v>
      </c>
      <c r="H1938" t="s">
        <v>7</v>
      </c>
      <c r="I1938" t="s">
        <v>8</v>
      </c>
      <c r="J1938" t="s">
        <v>403</v>
      </c>
      <c r="K1938" t="s">
        <v>706</v>
      </c>
      <c r="L1938" t="s">
        <v>708</v>
      </c>
      <c r="M1938" t="s">
        <v>12</v>
      </c>
      <c r="N1938" s="2">
        <v>2000</v>
      </c>
      <c r="O1938" s="2">
        <v>0</v>
      </c>
      <c r="P1938" s="2">
        <v>-2000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</row>
    <row r="1939" spans="1:23" outlineLevel="2" x14ac:dyDescent="0.2">
      <c r="A1939" t="s">
        <v>402</v>
      </c>
      <c r="B1939" t="s">
        <v>31</v>
      </c>
      <c r="C1939" t="s">
        <v>79</v>
      </c>
      <c r="D1939" t="s">
        <v>117</v>
      </c>
      <c r="E1939" t="s">
        <v>118</v>
      </c>
      <c r="F1939" t="s">
        <v>5</v>
      </c>
      <c r="G1939" t="s">
        <v>6</v>
      </c>
      <c r="H1939" t="s">
        <v>7</v>
      </c>
      <c r="I1939" t="s">
        <v>8</v>
      </c>
      <c r="J1939" t="s">
        <v>403</v>
      </c>
      <c r="K1939" t="s">
        <v>706</v>
      </c>
      <c r="L1939" t="s">
        <v>708</v>
      </c>
      <c r="M1939" t="s">
        <v>12</v>
      </c>
      <c r="N1939" s="2">
        <v>3000</v>
      </c>
      <c r="O1939" s="2">
        <v>0</v>
      </c>
      <c r="P1939" s="2">
        <v>0</v>
      </c>
      <c r="Q1939" s="2">
        <v>3000</v>
      </c>
      <c r="R1939" s="2">
        <v>0</v>
      </c>
      <c r="S1939" s="2">
        <v>0</v>
      </c>
      <c r="T1939" s="2">
        <v>0</v>
      </c>
      <c r="U1939" s="2">
        <v>3000</v>
      </c>
      <c r="V1939" s="2">
        <v>3000</v>
      </c>
      <c r="W1939" s="2">
        <v>3000</v>
      </c>
    </row>
    <row r="1940" spans="1:23" outlineLevel="2" x14ac:dyDescent="0.2">
      <c r="A1940" t="s">
        <v>402</v>
      </c>
      <c r="B1940" t="s">
        <v>31</v>
      </c>
      <c r="C1940" t="s">
        <v>79</v>
      </c>
      <c r="D1940" t="s">
        <v>133</v>
      </c>
      <c r="E1940" t="s">
        <v>134</v>
      </c>
      <c r="F1940" t="s">
        <v>5</v>
      </c>
      <c r="G1940" t="s">
        <v>6</v>
      </c>
      <c r="H1940" t="s">
        <v>7</v>
      </c>
      <c r="I1940" t="s">
        <v>8</v>
      </c>
      <c r="J1940" t="s">
        <v>403</v>
      </c>
      <c r="K1940" t="s">
        <v>706</v>
      </c>
      <c r="L1940" t="s">
        <v>708</v>
      </c>
      <c r="M1940" t="s">
        <v>12</v>
      </c>
      <c r="N1940" s="2">
        <v>500</v>
      </c>
      <c r="O1940" s="2">
        <v>0</v>
      </c>
      <c r="P1940" s="2">
        <v>0</v>
      </c>
      <c r="Q1940" s="2">
        <v>500</v>
      </c>
      <c r="R1940" s="2">
        <v>0</v>
      </c>
      <c r="S1940" s="2">
        <v>0</v>
      </c>
      <c r="T1940" s="2">
        <v>0</v>
      </c>
      <c r="U1940" s="2">
        <v>500</v>
      </c>
      <c r="V1940" s="2">
        <v>500</v>
      </c>
      <c r="W1940" s="2">
        <v>500</v>
      </c>
    </row>
    <row r="1941" spans="1:23" outlineLevel="2" x14ac:dyDescent="0.2">
      <c r="A1941" t="s">
        <v>402</v>
      </c>
      <c r="B1941" t="s">
        <v>39</v>
      </c>
      <c r="C1941" t="s">
        <v>95</v>
      </c>
      <c r="D1941" t="s">
        <v>96</v>
      </c>
      <c r="E1941" t="s">
        <v>97</v>
      </c>
      <c r="F1941" t="s">
        <v>5</v>
      </c>
      <c r="G1941" t="s">
        <v>6</v>
      </c>
      <c r="H1941" t="s">
        <v>7</v>
      </c>
      <c r="I1941" t="s">
        <v>8</v>
      </c>
      <c r="J1941" t="s">
        <v>403</v>
      </c>
      <c r="K1941" t="s">
        <v>709</v>
      </c>
      <c r="L1941" t="s">
        <v>710</v>
      </c>
      <c r="M1941" t="s">
        <v>15</v>
      </c>
      <c r="N1941" s="2">
        <v>12000</v>
      </c>
      <c r="O1941" s="2">
        <v>0</v>
      </c>
      <c r="P1941" s="2">
        <v>-0.32</v>
      </c>
      <c r="Q1941" s="2">
        <v>11999.68</v>
      </c>
      <c r="R1941" s="2">
        <v>0</v>
      </c>
      <c r="S1941" s="2">
        <v>11999.68</v>
      </c>
      <c r="T1941" s="2">
        <v>11999.68</v>
      </c>
      <c r="U1941" s="2">
        <v>0</v>
      </c>
      <c r="V1941" s="2">
        <v>0</v>
      </c>
      <c r="W1941" s="2">
        <v>0</v>
      </c>
    </row>
    <row r="1942" spans="1:23" outlineLevel="2" x14ac:dyDescent="0.2">
      <c r="A1942" t="s">
        <v>402</v>
      </c>
      <c r="B1942" t="s">
        <v>39</v>
      </c>
      <c r="C1942" t="s">
        <v>58</v>
      </c>
      <c r="D1942" t="s">
        <v>135</v>
      </c>
      <c r="E1942" t="s">
        <v>136</v>
      </c>
      <c r="F1942" t="s">
        <v>5</v>
      </c>
      <c r="G1942" t="s">
        <v>6</v>
      </c>
      <c r="H1942" t="s">
        <v>7</v>
      </c>
      <c r="I1942" t="s">
        <v>8</v>
      </c>
      <c r="J1942" t="s">
        <v>403</v>
      </c>
      <c r="K1942" t="s">
        <v>709</v>
      </c>
      <c r="L1942" t="s">
        <v>711</v>
      </c>
      <c r="M1942" t="s">
        <v>12</v>
      </c>
      <c r="N1942" s="2">
        <v>9000</v>
      </c>
      <c r="O1942" s="2">
        <v>6781.92</v>
      </c>
      <c r="P1942" s="2">
        <v>0</v>
      </c>
      <c r="Q1942" s="2">
        <v>15781.92</v>
      </c>
      <c r="R1942" s="2">
        <v>152.55000000000001</v>
      </c>
      <c r="S1942" s="2">
        <v>15079.69</v>
      </c>
      <c r="T1942" s="2">
        <v>300.17</v>
      </c>
      <c r="U1942" s="2">
        <v>702.23</v>
      </c>
      <c r="V1942" s="2">
        <v>15481.75</v>
      </c>
      <c r="W1942" s="2">
        <v>549.67999999999995</v>
      </c>
    </row>
    <row r="1943" spans="1:23" outlineLevel="2" x14ac:dyDescent="0.2">
      <c r="A1943" t="s">
        <v>402</v>
      </c>
      <c r="B1943" t="s">
        <v>39</v>
      </c>
      <c r="C1943" t="s">
        <v>66</v>
      </c>
      <c r="D1943" t="s">
        <v>67</v>
      </c>
      <c r="E1943" t="s">
        <v>68</v>
      </c>
      <c r="F1943" t="s">
        <v>5</v>
      </c>
      <c r="G1943" t="s">
        <v>6</v>
      </c>
      <c r="H1943" t="s">
        <v>7</v>
      </c>
      <c r="I1943" t="s">
        <v>8</v>
      </c>
      <c r="J1943" t="s">
        <v>403</v>
      </c>
      <c r="K1943" t="s">
        <v>709</v>
      </c>
      <c r="L1943" t="s">
        <v>712</v>
      </c>
      <c r="M1943" t="s">
        <v>12</v>
      </c>
      <c r="N1943" s="2">
        <v>10000</v>
      </c>
      <c r="O1943" s="2">
        <v>10366.09</v>
      </c>
      <c r="P1943" s="2">
        <v>0</v>
      </c>
      <c r="Q1943" s="2">
        <v>20366.09</v>
      </c>
      <c r="R1943" s="2">
        <v>0</v>
      </c>
      <c r="S1943" s="2">
        <v>20366.09</v>
      </c>
      <c r="T1943" s="2">
        <v>18186.59</v>
      </c>
      <c r="U1943" s="2">
        <v>0</v>
      </c>
      <c r="V1943" s="2">
        <v>2179.5</v>
      </c>
      <c r="W1943" s="2">
        <v>0</v>
      </c>
    </row>
    <row r="1944" spans="1:23" outlineLevel="2" x14ac:dyDescent="0.2">
      <c r="A1944" t="s">
        <v>402</v>
      </c>
      <c r="B1944" t="s">
        <v>39</v>
      </c>
      <c r="C1944" t="s">
        <v>58</v>
      </c>
      <c r="D1944" t="s">
        <v>139</v>
      </c>
      <c r="E1944" t="s">
        <v>140</v>
      </c>
      <c r="F1944" t="s">
        <v>5</v>
      </c>
      <c r="G1944" t="s">
        <v>6</v>
      </c>
      <c r="H1944" t="s">
        <v>7</v>
      </c>
      <c r="I1944" t="s">
        <v>8</v>
      </c>
      <c r="J1944" t="s">
        <v>403</v>
      </c>
      <c r="K1944" t="s">
        <v>709</v>
      </c>
      <c r="L1944" t="s">
        <v>711</v>
      </c>
      <c r="M1944" t="s">
        <v>12</v>
      </c>
      <c r="N1944" s="2">
        <v>3000</v>
      </c>
      <c r="O1944" s="2">
        <v>0</v>
      </c>
      <c r="P1944" s="2">
        <v>-3000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0</v>
      </c>
      <c r="W1944" s="2">
        <v>0</v>
      </c>
    </row>
    <row r="1945" spans="1:23" outlineLevel="2" x14ac:dyDescent="0.2">
      <c r="A1945" t="s">
        <v>402</v>
      </c>
      <c r="B1945" t="s">
        <v>31</v>
      </c>
      <c r="C1945" t="s">
        <v>79</v>
      </c>
      <c r="D1945" t="s">
        <v>117</v>
      </c>
      <c r="E1945" t="s">
        <v>118</v>
      </c>
      <c r="F1945" t="s">
        <v>5</v>
      </c>
      <c r="G1945" t="s">
        <v>6</v>
      </c>
      <c r="H1945" t="s">
        <v>7</v>
      </c>
      <c r="I1945" t="s">
        <v>8</v>
      </c>
      <c r="J1945" t="s">
        <v>403</v>
      </c>
      <c r="K1945" t="s">
        <v>709</v>
      </c>
      <c r="L1945" t="s">
        <v>713</v>
      </c>
      <c r="M1945" t="s">
        <v>12</v>
      </c>
      <c r="N1945" s="2">
        <v>3000</v>
      </c>
      <c r="O1945" s="2">
        <v>6000</v>
      </c>
      <c r="P1945" s="2">
        <v>0</v>
      </c>
      <c r="Q1945" s="2">
        <v>9000</v>
      </c>
      <c r="R1945" s="2">
        <v>78.3</v>
      </c>
      <c r="S1945" s="2">
        <v>7530.1</v>
      </c>
      <c r="T1945" s="2">
        <v>2612.4</v>
      </c>
      <c r="U1945" s="2">
        <v>1469.9</v>
      </c>
      <c r="V1945" s="2">
        <v>6387.6</v>
      </c>
      <c r="W1945" s="2">
        <v>1391.6</v>
      </c>
    </row>
    <row r="1946" spans="1:23" outlineLevel="2" x14ac:dyDescent="0.2">
      <c r="A1946" t="s">
        <v>402</v>
      </c>
      <c r="B1946" t="s">
        <v>39</v>
      </c>
      <c r="C1946" t="s">
        <v>58</v>
      </c>
      <c r="D1946" t="s">
        <v>149</v>
      </c>
      <c r="E1946" t="s">
        <v>150</v>
      </c>
      <c r="F1946" t="s">
        <v>5</v>
      </c>
      <c r="G1946" t="s">
        <v>6</v>
      </c>
      <c r="H1946" t="s">
        <v>7</v>
      </c>
      <c r="I1946" t="s">
        <v>8</v>
      </c>
      <c r="J1946" t="s">
        <v>403</v>
      </c>
      <c r="K1946" t="s">
        <v>709</v>
      </c>
      <c r="L1946" t="s">
        <v>711</v>
      </c>
      <c r="M1946" t="s">
        <v>12</v>
      </c>
      <c r="N1946" s="2">
        <v>2455</v>
      </c>
      <c r="O1946" s="2">
        <v>0</v>
      </c>
      <c r="P1946" s="2">
        <v>0</v>
      </c>
      <c r="Q1946" s="2">
        <v>2455</v>
      </c>
      <c r="R1946" s="2">
        <v>0</v>
      </c>
      <c r="S1946" s="2">
        <v>2455</v>
      </c>
      <c r="T1946" s="2">
        <v>2365.16</v>
      </c>
      <c r="U1946" s="2">
        <v>0</v>
      </c>
      <c r="V1946" s="2">
        <v>89.84</v>
      </c>
      <c r="W1946" s="2">
        <v>0</v>
      </c>
    </row>
    <row r="1947" spans="1:23" outlineLevel="2" x14ac:dyDescent="0.2">
      <c r="A1947" t="s">
        <v>402</v>
      </c>
      <c r="B1947" t="s">
        <v>31</v>
      </c>
      <c r="C1947" t="s">
        <v>79</v>
      </c>
      <c r="D1947" t="s">
        <v>113</v>
      </c>
      <c r="E1947" t="s">
        <v>114</v>
      </c>
      <c r="F1947" t="s">
        <v>5</v>
      </c>
      <c r="G1947" t="s">
        <v>6</v>
      </c>
      <c r="H1947" t="s">
        <v>7</v>
      </c>
      <c r="I1947" t="s">
        <v>8</v>
      </c>
      <c r="J1947" t="s">
        <v>403</v>
      </c>
      <c r="K1947" t="s">
        <v>709</v>
      </c>
      <c r="L1947" t="s">
        <v>713</v>
      </c>
      <c r="M1947" t="s">
        <v>12</v>
      </c>
      <c r="N1947" s="2">
        <v>1000</v>
      </c>
      <c r="O1947" s="2">
        <v>0</v>
      </c>
      <c r="P1947" s="2">
        <v>0</v>
      </c>
      <c r="Q1947" s="2">
        <v>1000</v>
      </c>
      <c r="R1947" s="2">
        <v>0</v>
      </c>
      <c r="S1947" s="2">
        <v>0</v>
      </c>
      <c r="T1947" s="2">
        <v>0</v>
      </c>
      <c r="U1947" s="2">
        <v>1000</v>
      </c>
      <c r="V1947" s="2">
        <v>1000</v>
      </c>
      <c r="W1947" s="2">
        <v>1000</v>
      </c>
    </row>
    <row r="1948" spans="1:23" outlineLevel="2" x14ac:dyDescent="0.2">
      <c r="A1948" t="s">
        <v>402</v>
      </c>
      <c r="B1948" t="s">
        <v>39</v>
      </c>
      <c r="C1948" t="s">
        <v>58</v>
      </c>
      <c r="D1948" t="s">
        <v>145</v>
      </c>
      <c r="E1948" t="s">
        <v>146</v>
      </c>
      <c r="F1948" t="s">
        <v>5</v>
      </c>
      <c r="G1948" t="s">
        <v>6</v>
      </c>
      <c r="H1948" t="s">
        <v>7</v>
      </c>
      <c r="I1948" t="s">
        <v>8</v>
      </c>
      <c r="J1948" t="s">
        <v>403</v>
      </c>
      <c r="K1948" t="s">
        <v>709</v>
      </c>
      <c r="L1948" t="s">
        <v>711</v>
      </c>
      <c r="M1948" t="s">
        <v>12</v>
      </c>
      <c r="N1948" s="2">
        <v>28000</v>
      </c>
      <c r="O1948" s="2">
        <v>5174.54</v>
      </c>
      <c r="P1948" s="2">
        <v>0</v>
      </c>
      <c r="Q1948" s="2">
        <v>33174.54</v>
      </c>
      <c r="R1948" s="2">
        <v>0</v>
      </c>
      <c r="S1948" s="2">
        <v>33174.54</v>
      </c>
      <c r="T1948" s="2">
        <v>11159.84</v>
      </c>
      <c r="U1948" s="2">
        <v>0</v>
      </c>
      <c r="V1948" s="2">
        <v>22014.7</v>
      </c>
      <c r="W1948" s="2">
        <v>0</v>
      </c>
    </row>
    <row r="1949" spans="1:23" outlineLevel="2" x14ac:dyDescent="0.2">
      <c r="A1949" t="s">
        <v>402</v>
      </c>
      <c r="B1949" t="s">
        <v>1</v>
      </c>
      <c r="C1949" t="s">
        <v>91</v>
      </c>
      <c r="D1949" t="s">
        <v>92</v>
      </c>
      <c r="E1949" t="s">
        <v>93</v>
      </c>
      <c r="F1949" t="s">
        <v>5</v>
      </c>
      <c r="G1949" t="s">
        <v>6</v>
      </c>
      <c r="H1949" t="s">
        <v>7</v>
      </c>
      <c r="I1949" t="s">
        <v>8</v>
      </c>
      <c r="J1949" t="s">
        <v>403</v>
      </c>
      <c r="K1949" t="s">
        <v>709</v>
      </c>
      <c r="L1949" t="s">
        <v>714</v>
      </c>
      <c r="M1949" t="s">
        <v>12</v>
      </c>
      <c r="N1949" s="2">
        <v>0</v>
      </c>
      <c r="O1949" s="2">
        <v>0</v>
      </c>
      <c r="P1949" s="2">
        <v>3760.72</v>
      </c>
      <c r="Q1949" s="2">
        <v>3760.72</v>
      </c>
      <c r="R1949" s="2">
        <v>0</v>
      </c>
      <c r="S1949" s="2">
        <v>0</v>
      </c>
      <c r="T1949" s="2">
        <v>0</v>
      </c>
      <c r="U1949" s="2">
        <v>3760.72</v>
      </c>
      <c r="V1949" s="2">
        <v>3760.72</v>
      </c>
      <c r="W1949" s="2">
        <v>3760.72</v>
      </c>
    </row>
    <row r="1950" spans="1:23" outlineLevel="2" x14ac:dyDescent="0.2">
      <c r="A1950" t="s">
        <v>402</v>
      </c>
      <c r="B1950" t="s">
        <v>31</v>
      </c>
      <c r="C1950" t="s">
        <v>79</v>
      </c>
      <c r="D1950" t="s">
        <v>133</v>
      </c>
      <c r="E1950" t="s">
        <v>134</v>
      </c>
      <c r="F1950" t="s">
        <v>5</v>
      </c>
      <c r="G1950" t="s">
        <v>6</v>
      </c>
      <c r="H1950" t="s">
        <v>7</v>
      </c>
      <c r="I1950" t="s">
        <v>8</v>
      </c>
      <c r="J1950" t="s">
        <v>403</v>
      </c>
      <c r="K1950" t="s">
        <v>709</v>
      </c>
      <c r="L1950" t="s">
        <v>713</v>
      </c>
      <c r="M1950" t="s">
        <v>12</v>
      </c>
      <c r="N1950" s="2">
        <v>1000</v>
      </c>
      <c r="O1950" s="2">
        <v>0</v>
      </c>
      <c r="P1950" s="2">
        <v>0</v>
      </c>
      <c r="Q1950" s="2">
        <v>1000</v>
      </c>
      <c r="R1950" s="2">
        <v>612.91999999999996</v>
      </c>
      <c r="S1950" s="2">
        <v>387.08</v>
      </c>
      <c r="T1950" s="2">
        <v>0</v>
      </c>
      <c r="U1950" s="2">
        <v>612.91999999999996</v>
      </c>
      <c r="V1950" s="2">
        <v>1000</v>
      </c>
      <c r="W1950" s="2">
        <v>0</v>
      </c>
    </row>
    <row r="1951" spans="1:23" outlineLevel="2" x14ac:dyDescent="0.2">
      <c r="A1951" t="s">
        <v>402</v>
      </c>
      <c r="B1951" t="s">
        <v>31</v>
      </c>
      <c r="C1951" t="s">
        <v>107</v>
      </c>
      <c r="D1951" t="s">
        <v>108</v>
      </c>
      <c r="E1951" t="s">
        <v>109</v>
      </c>
      <c r="F1951" t="s">
        <v>5</v>
      </c>
      <c r="G1951" t="s">
        <v>6</v>
      </c>
      <c r="H1951" t="s">
        <v>7</v>
      </c>
      <c r="I1951" t="s">
        <v>8</v>
      </c>
      <c r="J1951" t="s">
        <v>403</v>
      </c>
      <c r="K1951" t="s">
        <v>709</v>
      </c>
      <c r="L1951" t="s">
        <v>715</v>
      </c>
      <c r="M1951" t="s">
        <v>12</v>
      </c>
      <c r="N1951" s="2">
        <v>5000</v>
      </c>
      <c r="O1951" s="2">
        <v>0</v>
      </c>
      <c r="P1951" s="2">
        <v>-5000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</row>
    <row r="1952" spans="1:23" outlineLevel="2" x14ac:dyDescent="0.2">
      <c r="A1952" t="s">
        <v>402</v>
      </c>
      <c r="B1952" t="s">
        <v>39</v>
      </c>
      <c r="C1952" t="s">
        <v>58</v>
      </c>
      <c r="D1952" t="s">
        <v>129</v>
      </c>
      <c r="E1952" t="s">
        <v>130</v>
      </c>
      <c r="F1952" t="s">
        <v>5</v>
      </c>
      <c r="G1952" t="s">
        <v>6</v>
      </c>
      <c r="H1952" t="s">
        <v>7</v>
      </c>
      <c r="I1952" t="s">
        <v>8</v>
      </c>
      <c r="J1952" t="s">
        <v>403</v>
      </c>
      <c r="K1952" t="s">
        <v>709</v>
      </c>
      <c r="L1952" t="s">
        <v>711</v>
      </c>
      <c r="M1952" t="s">
        <v>12</v>
      </c>
      <c r="N1952" s="2">
        <v>200</v>
      </c>
      <c r="O1952" s="2">
        <v>1442</v>
      </c>
      <c r="P1952" s="2">
        <v>0</v>
      </c>
      <c r="Q1952" s="2">
        <v>1642</v>
      </c>
      <c r="R1952" s="2">
        <v>111.2</v>
      </c>
      <c r="S1952" s="2">
        <v>1530.7</v>
      </c>
      <c r="T1952" s="2">
        <v>841.9</v>
      </c>
      <c r="U1952" s="2">
        <v>111.3</v>
      </c>
      <c r="V1952" s="2">
        <v>800.1</v>
      </c>
      <c r="W1952" s="2">
        <v>0.1</v>
      </c>
    </row>
    <row r="1953" spans="1:23" outlineLevel="2" x14ac:dyDescent="0.2">
      <c r="A1953" t="s">
        <v>402</v>
      </c>
      <c r="B1953" t="s">
        <v>39</v>
      </c>
      <c r="C1953" t="s">
        <v>58</v>
      </c>
      <c r="D1953" t="s">
        <v>143</v>
      </c>
      <c r="E1953" t="s">
        <v>144</v>
      </c>
      <c r="F1953" t="s">
        <v>5</v>
      </c>
      <c r="G1953" t="s">
        <v>6</v>
      </c>
      <c r="H1953" t="s">
        <v>7</v>
      </c>
      <c r="I1953" t="s">
        <v>8</v>
      </c>
      <c r="J1953" t="s">
        <v>403</v>
      </c>
      <c r="K1953" t="s">
        <v>709</v>
      </c>
      <c r="L1953" t="s">
        <v>711</v>
      </c>
      <c r="M1953" t="s">
        <v>12</v>
      </c>
      <c r="N1953" s="2">
        <v>1000</v>
      </c>
      <c r="O1953" s="2">
        <v>0</v>
      </c>
      <c r="P1953" s="2">
        <v>0</v>
      </c>
      <c r="Q1953" s="2">
        <v>1000</v>
      </c>
      <c r="R1953" s="2">
        <v>0</v>
      </c>
      <c r="S1953" s="2">
        <v>660.8</v>
      </c>
      <c r="T1953" s="2">
        <v>660.8</v>
      </c>
      <c r="U1953" s="2">
        <v>339.2</v>
      </c>
      <c r="V1953" s="2">
        <v>339.2</v>
      </c>
      <c r="W1953" s="2">
        <v>339.2</v>
      </c>
    </row>
    <row r="1954" spans="1:23" outlineLevel="2" x14ac:dyDescent="0.2">
      <c r="A1954" t="s">
        <v>402</v>
      </c>
      <c r="B1954" t="s">
        <v>31</v>
      </c>
      <c r="C1954" t="s">
        <v>79</v>
      </c>
      <c r="D1954" t="s">
        <v>80</v>
      </c>
      <c r="E1954" t="s">
        <v>81</v>
      </c>
      <c r="F1954" t="s">
        <v>5</v>
      </c>
      <c r="G1954" t="s">
        <v>6</v>
      </c>
      <c r="H1954" t="s">
        <v>7</v>
      </c>
      <c r="I1954" t="s">
        <v>8</v>
      </c>
      <c r="J1954" t="s">
        <v>403</v>
      </c>
      <c r="K1954" t="s">
        <v>709</v>
      </c>
      <c r="L1954" t="s">
        <v>713</v>
      </c>
      <c r="M1954" t="s">
        <v>12</v>
      </c>
      <c r="N1954" s="2">
        <v>900</v>
      </c>
      <c r="O1954" s="2">
        <v>3000</v>
      </c>
      <c r="P1954" s="2">
        <v>0</v>
      </c>
      <c r="Q1954" s="2">
        <v>3900</v>
      </c>
      <c r="R1954" s="2">
        <v>0</v>
      </c>
      <c r="S1954" s="2">
        <v>3000</v>
      </c>
      <c r="T1954" s="2">
        <v>2713.23</v>
      </c>
      <c r="U1954" s="2">
        <v>900</v>
      </c>
      <c r="V1954" s="2">
        <v>1186.77</v>
      </c>
      <c r="W1954" s="2">
        <v>900</v>
      </c>
    </row>
    <row r="1955" spans="1:23" outlineLevel="2" x14ac:dyDescent="0.2">
      <c r="A1955" t="s">
        <v>402</v>
      </c>
      <c r="B1955" t="s">
        <v>39</v>
      </c>
      <c r="C1955" t="s">
        <v>66</v>
      </c>
      <c r="D1955" t="s">
        <v>121</v>
      </c>
      <c r="E1955" t="s">
        <v>122</v>
      </c>
      <c r="F1955" t="s">
        <v>5</v>
      </c>
      <c r="G1955" t="s">
        <v>6</v>
      </c>
      <c r="H1955" t="s">
        <v>7</v>
      </c>
      <c r="I1955" t="s">
        <v>8</v>
      </c>
      <c r="J1955" t="s">
        <v>403</v>
      </c>
      <c r="K1955" t="s">
        <v>709</v>
      </c>
      <c r="L1955" t="s">
        <v>712</v>
      </c>
      <c r="M1955" t="s">
        <v>12</v>
      </c>
      <c r="N1955" s="2">
        <v>2000</v>
      </c>
      <c r="O1955" s="2">
        <v>0</v>
      </c>
      <c r="P1955" s="2">
        <v>-1000</v>
      </c>
      <c r="Q1955" s="2">
        <v>1000</v>
      </c>
      <c r="R1955" s="2">
        <v>0</v>
      </c>
      <c r="S1955" s="2">
        <v>0</v>
      </c>
      <c r="T1955" s="2">
        <v>0</v>
      </c>
      <c r="U1955" s="2">
        <v>1000</v>
      </c>
      <c r="V1955" s="2">
        <v>1000</v>
      </c>
      <c r="W1955" s="2">
        <v>1000</v>
      </c>
    </row>
    <row r="1956" spans="1:23" outlineLevel="2" x14ac:dyDescent="0.2">
      <c r="A1956" t="s">
        <v>402</v>
      </c>
      <c r="B1956" t="s">
        <v>1</v>
      </c>
      <c r="C1956" t="s">
        <v>91</v>
      </c>
      <c r="D1956" t="s">
        <v>92</v>
      </c>
      <c r="E1956" t="s">
        <v>93</v>
      </c>
      <c r="F1956" t="s">
        <v>5</v>
      </c>
      <c r="G1956" t="s">
        <v>6</v>
      </c>
      <c r="H1956" t="s">
        <v>7</v>
      </c>
      <c r="I1956" t="s">
        <v>8</v>
      </c>
      <c r="J1956" t="s">
        <v>403</v>
      </c>
      <c r="K1956" t="s">
        <v>709</v>
      </c>
      <c r="L1956" t="s">
        <v>714</v>
      </c>
      <c r="M1956" t="s">
        <v>15</v>
      </c>
      <c r="N1956" s="2">
        <v>3000</v>
      </c>
      <c r="O1956" s="2">
        <v>12480</v>
      </c>
      <c r="P1956" s="2">
        <v>-3760.72</v>
      </c>
      <c r="Q1956" s="2">
        <v>11719.28</v>
      </c>
      <c r="R1956" s="2">
        <v>2964.14</v>
      </c>
      <c r="S1956" s="2">
        <v>8755.14</v>
      </c>
      <c r="T1956" s="2">
        <v>3054.74</v>
      </c>
      <c r="U1956" s="2">
        <v>2964.14</v>
      </c>
      <c r="V1956" s="2">
        <v>8664.5400000000009</v>
      </c>
      <c r="W1956" s="2">
        <v>0</v>
      </c>
    </row>
    <row r="1957" spans="1:23" outlineLevel="2" x14ac:dyDescent="0.2">
      <c r="A1957" t="s">
        <v>402</v>
      </c>
      <c r="B1957" t="s">
        <v>31</v>
      </c>
      <c r="C1957" t="s">
        <v>32</v>
      </c>
      <c r="D1957" t="s">
        <v>33</v>
      </c>
      <c r="E1957" t="s">
        <v>34</v>
      </c>
      <c r="F1957" t="s">
        <v>5</v>
      </c>
      <c r="G1957" t="s">
        <v>6</v>
      </c>
      <c r="H1957" t="s">
        <v>7</v>
      </c>
      <c r="I1957" t="s">
        <v>8</v>
      </c>
      <c r="J1957" t="s">
        <v>403</v>
      </c>
      <c r="K1957" t="s">
        <v>709</v>
      </c>
      <c r="L1957" t="s">
        <v>716</v>
      </c>
      <c r="M1957" t="s">
        <v>12</v>
      </c>
      <c r="N1957" s="2">
        <v>180000</v>
      </c>
      <c r="O1957" s="2">
        <v>-150000</v>
      </c>
      <c r="P1957" s="2">
        <v>0</v>
      </c>
      <c r="Q1957" s="2">
        <v>30000</v>
      </c>
      <c r="R1957" s="2">
        <v>0</v>
      </c>
      <c r="S1957" s="2">
        <v>15732.75</v>
      </c>
      <c r="T1957" s="2">
        <v>7267.34</v>
      </c>
      <c r="U1957" s="2">
        <v>14267.25</v>
      </c>
      <c r="V1957" s="2">
        <v>22732.66</v>
      </c>
      <c r="W1957" s="2">
        <v>14267.25</v>
      </c>
    </row>
    <row r="1958" spans="1:23" outlineLevel="2" x14ac:dyDescent="0.2">
      <c r="A1958" t="s">
        <v>402</v>
      </c>
      <c r="B1958" t="s">
        <v>39</v>
      </c>
      <c r="C1958" t="s">
        <v>95</v>
      </c>
      <c r="D1958" t="s">
        <v>96</v>
      </c>
      <c r="E1958" t="s">
        <v>97</v>
      </c>
      <c r="F1958" t="s">
        <v>5</v>
      </c>
      <c r="G1958" t="s">
        <v>6</v>
      </c>
      <c r="H1958" t="s">
        <v>7</v>
      </c>
      <c r="I1958" t="s">
        <v>8</v>
      </c>
      <c r="J1958" t="s">
        <v>403</v>
      </c>
      <c r="K1958" t="s">
        <v>709</v>
      </c>
      <c r="L1958" t="s">
        <v>710</v>
      </c>
      <c r="M1958" t="s">
        <v>12</v>
      </c>
      <c r="N1958" s="2">
        <v>37000</v>
      </c>
      <c r="O1958" s="2">
        <v>6134.4</v>
      </c>
      <c r="P1958" s="2">
        <v>0.32</v>
      </c>
      <c r="Q1958" s="2">
        <v>43134.720000000001</v>
      </c>
      <c r="R1958" s="2">
        <v>21014.400000000001</v>
      </c>
      <c r="S1958" s="2">
        <v>14880.32</v>
      </c>
      <c r="T1958" s="2">
        <v>14880.32</v>
      </c>
      <c r="U1958" s="2">
        <v>28254.400000000001</v>
      </c>
      <c r="V1958" s="2">
        <v>28254.400000000001</v>
      </c>
      <c r="W1958" s="2">
        <v>7240</v>
      </c>
    </row>
    <row r="1959" spans="1:23" outlineLevel="2" x14ac:dyDescent="0.2">
      <c r="A1959" t="s">
        <v>402</v>
      </c>
      <c r="B1959" t="s">
        <v>1</v>
      </c>
      <c r="C1959" t="s">
        <v>2</v>
      </c>
      <c r="D1959" t="s">
        <v>410</v>
      </c>
      <c r="E1959" t="s">
        <v>411</v>
      </c>
      <c r="F1959" t="s">
        <v>5</v>
      </c>
      <c r="G1959" t="s">
        <v>6</v>
      </c>
      <c r="H1959" t="s">
        <v>7</v>
      </c>
      <c r="I1959" t="s">
        <v>8</v>
      </c>
      <c r="J1959" t="s">
        <v>403</v>
      </c>
      <c r="K1959" t="s">
        <v>709</v>
      </c>
      <c r="L1959" t="s">
        <v>717</v>
      </c>
      <c r="M1959" t="s">
        <v>15</v>
      </c>
      <c r="N1959" s="2">
        <v>361780</v>
      </c>
      <c r="O1959" s="2">
        <v>-11142.81</v>
      </c>
      <c r="P1959" s="2">
        <v>-35076.22</v>
      </c>
      <c r="Q1959" s="2">
        <v>315560.96999999997</v>
      </c>
      <c r="R1959" s="2">
        <v>4292.7700000000004</v>
      </c>
      <c r="S1959" s="2">
        <v>305230.34999999998</v>
      </c>
      <c r="T1959" s="2">
        <v>137836.84</v>
      </c>
      <c r="U1959" s="2">
        <v>10330.620000000001</v>
      </c>
      <c r="V1959" s="2">
        <v>177724.13</v>
      </c>
      <c r="W1959" s="2">
        <v>6037.85</v>
      </c>
    </row>
    <row r="1960" spans="1:23" outlineLevel="2" x14ac:dyDescent="0.2">
      <c r="A1960" t="s">
        <v>402</v>
      </c>
      <c r="B1960" t="s">
        <v>1</v>
      </c>
      <c r="C1960" t="s">
        <v>2</v>
      </c>
      <c r="D1960" t="s">
        <v>3</v>
      </c>
      <c r="E1960" t="s">
        <v>4</v>
      </c>
      <c r="F1960" t="s">
        <v>5</v>
      </c>
      <c r="G1960" t="s">
        <v>6</v>
      </c>
      <c r="H1960" t="s">
        <v>7</v>
      </c>
      <c r="I1960" t="s">
        <v>8</v>
      </c>
      <c r="J1960" t="s">
        <v>403</v>
      </c>
      <c r="K1960" t="s">
        <v>709</v>
      </c>
      <c r="L1960" t="s">
        <v>717</v>
      </c>
      <c r="M1960" t="s">
        <v>15</v>
      </c>
      <c r="N1960" s="2">
        <v>5000</v>
      </c>
      <c r="O1960" s="2">
        <v>-4188.3999999999996</v>
      </c>
      <c r="P1960" s="2">
        <v>0</v>
      </c>
      <c r="Q1960" s="2">
        <v>811.6</v>
      </c>
      <c r="R1960" s="2">
        <v>0</v>
      </c>
      <c r="S1960" s="2">
        <v>811.6</v>
      </c>
      <c r="T1960" s="2">
        <v>811.6</v>
      </c>
      <c r="U1960" s="2">
        <v>0</v>
      </c>
      <c r="V1960" s="2">
        <v>0</v>
      </c>
      <c r="W1960" s="2">
        <v>0</v>
      </c>
    </row>
    <row r="1961" spans="1:23" outlineLevel="2" x14ac:dyDescent="0.2">
      <c r="A1961" t="s">
        <v>402</v>
      </c>
      <c r="B1961" t="s">
        <v>31</v>
      </c>
      <c r="C1961" t="s">
        <v>32</v>
      </c>
      <c r="D1961" t="s">
        <v>75</v>
      </c>
      <c r="E1961" t="s">
        <v>76</v>
      </c>
      <c r="F1961" t="s">
        <v>5</v>
      </c>
      <c r="G1961" t="s">
        <v>6</v>
      </c>
      <c r="H1961" t="s">
        <v>7</v>
      </c>
      <c r="I1961" t="s">
        <v>8</v>
      </c>
      <c r="J1961" t="s">
        <v>403</v>
      </c>
      <c r="K1961" t="s">
        <v>709</v>
      </c>
      <c r="L1961" t="s">
        <v>716</v>
      </c>
      <c r="M1961" t="s">
        <v>12</v>
      </c>
      <c r="N1961" s="2">
        <v>5000</v>
      </c>
      <c r="O1961" s="2">
        <v>5000</v>
      </c>
      <c r="P1961" s="2">
        <v>0</v>
      </c>
      <c r="Q1961" s="2">
        <v>10000</v>
      </c>
      <c r="R1961" s="2">
        <v>8702.31</v>
      </c>
      <c r="S1961" s="2">
        <v>806.4</v>
      </c>
      <c r="T1961" s="2">
        <v>806.4</v>
      </c>
      <c r="U1961" s="2">
        <v>9193.6</v>
      </c>
      <c r="V1961" s="2">
        <v>9193.6</v>
      </c>
      <c r="W1961" s="2">
        <v>491.29</v>
      </c>
    </row>
    <row r="1962" spans="1:23" outlineLevel="2" x14ac:dyDescent="0.2">
      <c r="A1962" t="s">
        <v>402</v>
      </c>
      <c r="B1962" t="s">
        <v>39</v>
      </c>
      <c r="C1962" t="s">
        <v>66</v>
      </c>
      <c r="D1962" t="s">
        <v>67</v>
      </c>
      <c r="E1962" t="s">
        <v>68</v>
      </c>
      <c r="F1962" t="s">
        <v>5</v>
      </c>
      <c r="G1962" t="s">
        <v>6</v>
      </c>
      <c r="H1962" t="s">
        <v>7</v>
      </c>
      <c r="I1962" t="s">
        <v>8</v>
      </c>
      <c r="J1962" t="s">
        <v>403</v>
      </c>
      <c r="K1962" t="s">
        <v>718</v>
      </c>
      <c r="L1962" t="s">
        <v>719</v>
      </c>
      <c r="M1962" t="s">
        <v>12</v>
      </c>
      <c r="N1962" s="2">
        <v>115</v>
      </c>
      <c r="O1962" s="2">
        <v>-115</v>
      </c>
      <c r="P1962" s="2">
        <v>0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</row>
    <row r="1963" spans="1:23" outlineLevel="2" x14ac:dyDescent="0.2">
      <c r="A1963" t="s">
        <v>402</v>
      </c>
      <c r="B1963" t="s">
        <v>31</v>
      </c>
      <c r="C1963" t="s">
        <v>79</v>
      </c>
      <c r="D1963" t="s">
        <v>83</v>
      </c>
      <c r="E1963" t="s">
        <v>84</v>
      </c>
      <c r="F1963" t="s">
        <v>5</v>
      </c>
      <c r="G1963" t="s">
        <v>6</v>
      </c>
      <c r="H1963" t="s">
        <v>7</v>
      </c>
      <c r="I1963" t="s">
        <v>8</v>
      </c>
      <c r="J1963" t="s">
        <v>403</v>
      </c>
      <c r="K1963" t="s">
        <v>720</v>
      </c>
      <c r="L1963" t="s">
        <v>721</v>
      </c>
      <c r="M1963" t="s">
        <v>12</v>
      </c>
      <c r="N1963" s="2">
        <v>4500</v>
      </c>
      <c r="O1963" s="2">
        <v>0</v>
      </c>
      <c r="P1963" s="2">
        <v>-4500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</row>
    <row r="1964" spans="1:23" outlineLevel="2" x14ac:dyDescent="0.2">
      <c r="A1964" t="s">
        <v>402</v>
      </c>
      <c r="B1964" t="s">
        <v>39</v>
      </c>
      <c r="C1964" t="s">
        <v>58</v>
      </c>
      <c r="D1964" t="s">
        <v>149</v>
      </c>
      <c r="E1964" t="s">
        <v>150</v>
      </c>
      <c r="F1964" t="s">
        <v>5</v>
      </c>
      <c r="G1964" t="s">
        <v>6</v>
      </c>
      <c r="H1964" t="s">
        <v>7</v>
      </c>
      <c r="I1964" t="s">
        <v>8</v>
      </c>
      <c r="J1964" t="s">
        <v>403</v>
      </c>
      <c r="K1964" t="s">
        <v>720</v>
      </c>
      <c r="L1964" t="s">
        <v>722</v>
      </c>
      <c r="M1964" t="s">
        <v>12</v>
      </c>
      <c r="N1964" s="2">
        <v>360</v>
      </c>
      <c r="O1964" s="2">
        <v>-360</v>
      </c>
      <c r="P1964" s="2">
        <v>0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</row>
    <row r="1965" spans="1:23" outlineLevel="2" x14ac:dyDescent="0.2">
      <c r="A1965" t="s">
        <v>402</v>
      </c>
      <c r="B1965" t="s">
        <v>39</v>
      </c>
      <c r="C1965" t="s">
        <v>40</v>
      </c>
      <c r="D1965" t="s">
        <v>77</v>
      </c>
      <c r="E1965" t="s">
        <v>78</v>
      </c>
      <c r="F1965" t="s">
        <v>5</v>
      </c>
      <c r="G1965" t="s">
        <v>6</v>
      </c>
      <c r="H1965" t="s">
        <v>7</v>
      </c>
      <c r="I1965" t="s">
        <v>8</v>
      </c>
      <c r="J1965" t="s">
        <v>403</v>
      </c>
      <c r="K1965" t="s">
        <v>723</v>
      </c>
      <c r="L1965" t="s">
        <v>724</v>
      </c>
      <c r="M1965" t="s">
        <v>12</v>
      </c>
      <c r="N1965" s="2">
        <v>0</v>
      </c>
      <c r="O1965" s="2">
        <v>3000</v>
      </c>
      <c r="P1965" s="2">
        <v>0</v>
      </c>
      <c r="Q1965" s="2">
        <v>3000</v>
      </c>
      <c r="R1965" s="2">
        <v>0</v>
      </c>
      <c r="S1965" s="2">
        <v>0</v>
      </c>
      <c r="T1965" s="2">
        <v>0</v>
      </c>
      <c r="U1965" s="2">
        <v>3000</v>
      </c>
      <c r="V1965" s="2">
        <v>3000</v>
      </c>
      <c r="W1965" s="2">
        <v>3000</v>
      </c>
    </row>
    <row r="1966" spans="1:23" outlineLevel="2" x14ac:dyDescent="0.2">
      <c r="A1966" t="s">
        <v>402</v>
      </c>
      <c r="B1966" t="s">
        <v>31</v>
      </c>
      <c r="C1966" t="s">
        <v>32</v>
      </c>
      <c r="D1966" t="s">
        <v>75</v>
      </c>
      <c r="E1966" t="s">
        <v>76</v>
      </c>
      <c r="F1966" t="s">
        <v>5</v>
      </c>
      <c r="G1966" t="s">
        <v>6</v>
      </c>
      <c r="H1966" t="s">
        <v>7</v>
      </c>
      <c r="I1966" t="s">
        <v>8</v>
      </c>
      <c r="J1966" t="s">
        <v>403</v>
      </c>
      <c r="K1966" t="s">
        <v>723</v>
      </c>
      <c r="L1966" t="s">
        <v>725</v>
      </c>
      <c r="M1966" t="s">
        <v>12</v>
      </c>
      <c r="N1966" s="2">
        <v>0</v>
      </c>
      <c r="O1966" s="2">
        <v>1000</v>
      </c>
      <c r="P1966" s="2">
        <v>-1000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</row>
    <row r="1967" spans="1:23" outlineLevel="2" x14ac:dyDescent="0.2">
      <c r="A1967" t="s">
        <v>402</v>
      </c>
      <c r="B1967" t="s">
        <v>31</v>
      </c>
      <c r="C1967" t="s">
        <v>32</v>
      </c>
      <c r="D1967" t="s">
        <v>33</v>
      </c>
      <c r="E1967" t="s">
        <v>34</v>
      </c>
      <c r="F1967" t="s">
        <v>5</v>
      </c>
      <c r="G1967" t="s">
        <v>6</v>
      </c>
      <c r="H1967" t="s">
        <v>7</v>
      </c>
      <c r="I1967" t="s">
        <v>8</v>
      </c>
      <c r="J1967" t="s">
        <v>403</v>
      </c>
      <c r="K1967" t="s">
        <v>723</v>
      </c>
      <c r="L1967" t="s">
        <v>725</v>
      </c>
      <c r="M1967" t="s">
        <v>12</v>
      </c>
      <c r="N1967" s="2">
        <v>3000</v>
      </c>
      <c r="O1967" s="2">
        <v>-1000</v>
      </c>
      <c r="P1967" s="2">
        <v>0</v>
      </c>
      <c r="Q1967" s="2">
        <v>2000</v>
      </c>
      <c r="R1967" s="2">
        <v>0</v>
      </c>
      <c r="S1967" s="2">
        <v>0</v>
      </c>
      <c r="T1967" s="2">
        <v>0</v>
      </c>
      <c r="U1967" s="2">
        <v>2000</v>
      </c>
      <c r="V1967" s="2">
        <v>2000</v>
      </c>
      <c r="W1967" s="2">
        <v>2000</v>
      </c>
    </row>
    <row r="1968" spans="1:23" outlineLevel="2" x14ac:dyDescent="0.2">
      <c r="A1968" t="s">
        <v>402</v>
      </c>
      <c r="B1968" t="s">
        <v>39</v>
      </c>
      <c r="C1968" t="s">
        <v>66</v>
      </c>
      <c r="D1968" t="s">
        <v>67</v>
      </c>
      <c r="E1968" t="s">
        <v>68</v>
      </c>
      <c r="F1968" t="s">
        <v>5</v>
      </c>
      <c r="G1968" t="s">
        <v>6</v>
      </c>
      <c r="H1968" t="s">
        <v>7</v>
      </c>
      <c r="I1968" t="s">
        <v>8</v>
      </c>
      <c r="J1968" t="s">
        <v>403</v>
      </c>
      <c r="K1968" t="s">
        <v>723</v>
      </c>
      <c r="L1968" t="s">
        <v>726</v>
      </c>
      <c r="M1968" t="s">
        <v>12</v>
      </c>
      <c r="N1968" s="2">
        <v>80</v>
      </c>
      <c r="O1968" s="2">
        <v>-80</v>
      </c>
      <c r="P1968" s="2">
        <v>0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</row>
    <row r="1969" spans="1:23" outlineLevel="2" x14ac:dyDescent="0.2">
      <c r="A1969" t="s">
        <v>402</v>
      </c>
      <c r="B1969" t="s">
        <v>1</v>
      </c>
      <c r="C1969" t="s">
        <v>91</v>
      </c>
      <c r="D1969" t="s">
        <v>92</v>
      </c>
      <c r="E1969" t="s">
        <v>93</v>
      </c>
      <c r="F1969" t="s">
        <v>5</v>
      </c>
      <c r="G1969" t="s">
        <v>6</v>
      </c>
      <c r="H1969" t="s">
        <v>7</v>
      </c>
      <c r="I1969" t="s">
        <v>8</v>
      </c>
      <c r="J1969" t="s">
        <v>403</v>
      </c>
      <c r="K1969" t="s">
        <v>723</v>
      </c>
      <c r="L1969" t="s">
        <v>727</v>
      </c>
      <c r="M1969" t="s">
        <v>15</v>
      </c>
      <c r="N1969" s="2">
        <v>0</v>
      </c>
      <c r="O1969" s="2">
        <v>1742.16</v>
      </c>
      <c r="P1969" s="2">
        <v>-202.16</v>
      </c>
      <c r="Q1969" s="2">
        <v>1540</v>
      </c>
      <c r="R1969" s="2">
        <v>0</v>
      </c>
      <c r="S1969" s="2">
        <v>1540</v>
      </c>
      <c r="T1969" s="2">
        <v>1540</v>
      </c>
      <c r="U1969" s="2">
        <v>0</v>
      </c>
      <c r="V1969" s="2">
        <v>0</v>
      </c>
      <c r="W1969" s="2">
        <v>0</v>
      </c>
    </row>
    <row r="1970" spans="1:23" outlineLevel="2" x14ac:dyDescent="0.2">
      <c r="A1970" t="s">
        <v>402</v>
      </c>
      <c r="B1970" t="s">
        <v>1</v>
      </c>
      <c r="C1970" t="s">
        <v>91</v>
      </c>
      <c r="D1970" t="s">
        <v>92</v>
      </c>
      <c r="E1970" t="s">
        <v>93</v>
      </c>
      <c r="F1970" t="s">
        <v>5</v>
      </c>
      <c r="G1970" t="s">
        <v>6</v>
      </c>
      <c r="H1970" t="s">
        <v>7</v>
      </c>
      <c r="I1970" t="s">
        <v>8</v>
      </c>
      <c r="J1970" t="s">
        <v>403</v>
      </c>
      <c r="K1970" t="s">
        <v>723</v>
      </c>
      <c r="L1970" t="s">
        <v>727</v>
      </c>
      <c r="M1970" t="s">
        <v>12</v>
      </c>
      <c r="N1970" s="2">
        <v>0</v>
      </c>
      <c r="O1970" s="2">
        <v>0</v>
      </c>
      <c r="P1970" s="2">
        <v>202.16</v>
      </c>
      <c r="Q1970" s="2">
        <v>202.16</v>
      </c>
      <c r="R1970" s="2">
        <v>0</v>
      </c>
      <c r="S1970" s="2">
        <v>0</v>
      </c>
      <c r="T1970" s="2">
        <v>0</v>
      </c>
      <c r="U1970" s="2">
        <v>202.16</v>
      </c>
      <c r="V1970" s="2">
        <v>202.16</v>
      </c>
      <c r="W1970" s="2">
        <v>202.16</v>
      </c>
    </row>
    <row r="1971" spans="1:23" outlineLevel="2" x14ac:dyDescent="0.2">
      <c r="A1971" t="s">
        <v>402</v>
      </c>
      <c r="B1971" t="s">
        <v>1</v>
      </c>
      <c r="C1971" t="s">
        <v>2</v>
      </c>
      <c r="D1971" t="s">
        <v>410</v>
      </c>
      <c r="E1971" t="s">
        <v>411</v>
      </c>
      <c r="F1971" t="s">
        <v>5</v>
      </c>
      <c r="G1971" t="s">
        <v>6</v>
      </c>
      <c r="H1971" t="s">
        <v>7</v>
      </c>
      <c r="I1971" t="s">
        <v>8</v>
      </c>
      <c r="J1971" t="s">
        <v>403</v>
      </c>
      <c r="K1971" t="s">
        <v>728</v>
      </c>
      <c r="L1971" t="s">
        <v>729</v>
      </c>
      <c r="M1971" t="s">
        <v>15</v>
      </c>
      <c r="N1971" s="2">
        <v>0</v>
      </c>
      <c r="O1971" s="2">
        <v>1000</v>
      </c>
      <c r="P1971" s="2">
        <v>0</v>
      </c>
      <c r="Q1971" s="2">
        <v>1000</v>
      </c>
      <c r="R1971" s="2">
        <v>0</v>
      </c>
      <c r="S1971" s="2">
        <v>1000</v>
      </c>
      <c r="T1971" s="2">
        <v>291.2</v>
      </c>
      <c r="U1971" s="2">
        <v>0</v>
      </c>
      <c r="V1971" s="2">
        <v>708.8</v>
      </c>
      <c r="W1971" s="2">
        <v>0</v>
      </c>
    </row>
    <row r="1972" spans="1:23" outlineLevel="2" x14ac:dyDescent="0.2">
      <c r="A1972" t="s">
        <v>402</v>
      </c>
      <c r="B1972" t="s">
        <v>1</v>
      </c>
      <c r="C1972" t="s">
        <v>2</v>
      </c>
      <c r="D1972" t="s">
        <v>3</v>
      </c>
      <c r="E1972" t="s">
        <v>4</v>
      </c>
      <c r="F1972" t="s">
        <v>5</v>
      </c>
      <c r="G1972" t="s">
        <v>6</v>
      </c>
      <c r="H1972" t="s">
        <v>7</v>
      </c>
      <c r="I1972" t="s">
        <v>8</v>
      </c>
      <c r="J1972" t="s">
        <v>403</v>
      </c>
      <c r="K1972" t="s">
        <v>730</v>
      </c>
      <c r="L1972" t="s">
        <v>731</v>
      </c>
      <c r="M1972" t="s">
        <v>12</v>
      </c>
      <c r="N1972" s="2">
        <v>0</v>
      </c>
      <c r="O1972" s="2">
        <v>0</v>
      </c>
      <c r="P1972" s="2">
        <v>270</v>
      </c>
      <c r="Q1972" s="2">
        <v>270</v>
      </c>
      <c r="R1972" s="2">
        <v>44.8</v>
      </c>
      <c r="S1972" s="2">
        <v>0</v>
      </c>
      <c r="T1972" s="2">
        <v>0</v>
      </c>
      <c r="U1972" s="2">
        <v>270</v>
      </c>
      <c r="V1972" s="2">
        <v>270</v>
      </c>
      <c r="W1972" s="2">
        <v>225.2</v>
      </c>
    </row>
    <row r="1973" spans="1:23" outlineLevel="2" x14ac:dyDescent="0.2">
      <c r="A1973" t="s">
        <v>402</v>
      </c>
      <c r="B1973" t="s">
        <v>1</v>
      </c>
      <c r="C1973" t="s">
        <v>2</v>
      </c>
      <c r="D1973" t="s">
        <v>3</v>
      </c>
      <c r="E1973" t="s">
        <v>4</v>
      </c>
      <c r="F1973" t="s">
        <v>5</v>
      </c>
      <c r="G1973" t="s">
        <v>6</v>
      </c>
      <c r="H1973" t="s">
        <v>7</v>
      </c>
      <c r="I1973" t="s">
        <v>8</v>
      </c>
      <c r="J1973" t="s">
        <v>403</v>
      </c>
      <c r="K1973" t="s">
        <v>730</v>
      </c>
      <c r="L1973" t="s">
        <v>731</v>
      </c>
      <c r="M1973" t="s">
        <v>15</v>
      </c>
      <c r="N1973" s="2">
        <v>250</v>
      </c>
      <c r="O1973" s="2">
        <v>288.8</v>
      </c>
      <c r="P1973" s="2">
        <v>-270</v>
      </c>
      <c r="Q1973" s="2">
        <v>268.8</v>
      </c>
      <c r="R1973" s="2">
        <v>0</v>
      </c>
      <c r="S1973" s="2">
        <v>268.8</v>
      </c>
      <c r="T1973" s="2">
        <v>156.80000000000001</v>
      </c>
      <c r="U1973" s="2">
        <v>0</v>
      </c>
      <c r="V1973" s="2">
        <v>112</v>
      </c>
      <c r="W1973" s="2">
        <v>0</v>
      </c>
    </row>
    <row r="1974" spans="1:23" outlineLevel="2" x14ac:dyDescent="0.2">
      <c r="A1974" t="s">
        <v>402</v>
      </c>
      <c r="B1974" t="s">
        <v>1</v>
      </c>
      <c r="C1974" t="s">
        <v>91</v>
      </c>
      <c r="D1974" t="s">
        <v>92</v>
      </c>
      <c r="E1974" t="s">
        <v>93</v>
      </c>
      <c r="F1974" t="s">
        <v>5</v>
      </c>
      <c r="G1974" t="s">
        <v>6</v>
      </c>
      <c r="H1974" t="s">
        <v>7</v>
      </c>
      <c r="I1974" t="s">
        <v>8</v>
      </c>
      <c r="J1974" t="s">
        <v>403</v>
      </c>
      <c r="K1974" t="s">
        <v>732</v>
      </c>
      <c r="L1974" t="s">
        <v>733</v>
      </c>
      <c r="M1974" t="s">
        <v>12</v>
      </c>
      <c r="N1974" s="2">
        <v>0</v>
      </c>
      <c r="O1974" s="2">
        <v>0</v>
      </c>
      <c r="P1974" s="2">
        <v>19.98</v>
      </c>
      <c r="Q1974" s="2">
        <v>19.98</v>
      </c>
      <c r="R1974" s="2">
        <v>0</v>
      </c>
      <c r="S1974" s="2">
        <v>0</v>
      </c>
      <c r="T1974" s="2">
        <v>0</v>
      </c>
      <c r="U1974" s="2">
        <v>19.98</v>
      </c>
      <c r="V1974" s="2">
        <v>19.98</v>
      </c>
      <c r="W1974" s="2">
        <v>19.98</v>
      </c>
    </row>
    <row r="1975" spans="1:23" outlineLevel="2" x14ac:dyDescent="0.2">
      <c r="A1975" t="s">
        <v>402</v>
      </c>
      <c r="B1975" t="s">
        <v>1</v>
      </c>
      <c r="C1975" t="s">
        <v>2</v>
      </c>
      <c r="D1975" t="s">
        <v>3</v>
      </c>
      <c r="E1975" t="s">
        <v>4</v>
      </c>
      <c r="F1975" t="s">
        <v>5</v>
      </c>
      <c r="G1975" t="s">
        <v>6</v>
      </c>
      <c r="H1975" t="s">
        <v>7</v>
      </c>
      <c r="I1975" t="s">
        <v>8</v>
      </c>
      <c r="J1975" t="s">
        <v>403</v>
      </c>
      <c r="K1975" t="s">
        <v>732</v>
      </c>
      <c r="L1975" t="s">
        <v>734</v>
      </c>
      <c r="M1975" t="s">
        <v>15</v>
      </c>
      <c r="N1975" s="2">
        <v>0</v>
      </c>
      <c r="O1975" s="2">
        <v>2153</v>
      </c>
      <c r="P1975" s="2">
        <v>0</v>
      </c>
      <c r="Q1975" s="2">
        <v>2153</v>
      </c>
      <c r="R1975" s="2">
        <v>215.04</v>
      </c>
      <c r="S1975" s="2">
        <v>1937.96</v>
      </c>
      <c r="T1975" s="2">
        <v>1937.96</v>
      </c>
      <c r="U1975" s="2">
        <v>215.04</v>
      </c>
      <c r="V1975" s="2">
        <v>215.04</v>
      </c>
      <c r="W1975" s="2">
        <v>0</v>
      </c>
    </row>
    <row r="1976" spans="1:23" outlineLevel="2" x14ac:dyDescent="0.2">
      <c r="A1976" t="s">
        <v>402</v>
      </c>
      <c r="B1976" t="s">
        <v>1</v>
      </c>
      <c r="C1976" t="s">
        <v>91</v>
      </c>
      <c r="D1976" t="s">
        <v>92</v>
      </c>
      <c r="E1976" t="s">
        <v>93</v>
      </c>
      <c r="F1976" t="s">
        <v>5</v>
      </c>
      <c r="G1976" t="s">
        <v>6</v>
      </c>
      <c r="H1976" t="s">
        <v>7</v>
      </c>
      <c r="I1976" t="s">
        <v>8</v>
      </c>
      <c r="J1976" t="s">
        <v>403</v>
      </c>
      <c r="K1976" t="s">
        <v>732</v>
      </c>
      <c r="L1976" t="s">
        <v>733</v>
      </c>
      <c r="M1976" t="s">
        <v>15</v>
      </c>
      <c r="N1976" s="2">
        <v>0</v>
      </c>
      <c r="O1976" s="2">
        <v>78428.160000000003</v>
      </c>
      <c r="P1976" s="2">
        <v>-19.98</v>
      </c>
      <c r="Q1976" s="2">
        <v>78408.179999999993</v>
      </c>
      <c r="R1976" s="2">
        <v>0</v>
      </c>
      <c r="S1976" s="2">
        <v>78408.179999999993</v>
      </c>
      <c r="T1976" s="2">
        <v>78408.179999999993</v>
      </c>
      <c r="U1976" s="2">
        <v>0</v>
      </c>
      <c r="V1976" s="2">
        <v>0</v>
      </c>
      <c r="W1976" s="2">
        <v>0</v>
      </c>
    </row>
    <row r="1977" spans="1:23" outlineLevel="2" x14ac:dyDescent="0.2">
      <c r="A1977" t="s">
        <v>402</v>
      </c>
      <c r="B1977" t="s">
        <v>39</v>
      </c>
      <c r="C1977" t="s">
        <v>66</v>
      </c>
      <c r="D1977" t="s">
        <v>67</v>
      </c>
      <c r="E1977" t="s">
        <v>68</v>
      </c>
      <c r="F1977" t="s">
        <v>5</v>
      </c>
      <c r="G1977" t="s">
        <v>6</v>
      </c>
      <c r="H1977" t="s">
        <v>7</v>
      </c>
      <c r="I1977" t="s">
        <v>8</v>
      </c>
      <c r="J1977" t="s">
        <v>403</v>
      </c>
      <c r="K1977" t="s">
        <v>732</v>
      </c>
      <c r="L1977" t="s">
        <v>735</v>
      </c>
      <c r="M1977" t="s">
        <v>12</v>
      </c>
      <c r="N1977" s="2">
        <v>20</v>
      </c>
      <c r="O1977" s="2">
        <v>-20</v>
      </c>
      <c r="P1977" s="2">
        <v>0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</row>
    <row r="1978" spans="1:23" outlineLevel="2" x14ac:dyDescent="0.2">
      <c r="A1978" t="s">
        <v>402</v>
      </c>
      <c r="B1978" t="s">
        <v>31</v>
      </c>
      <c r="C1978" t="s">
        <v>79</v>
      </c>
      <c r="D1978" t="s">
        <v>80</v>
      </c>
      <c r="E1978" t="s">
        <v>81</v>
      </c>
      <c r="F1978" t="s">
        <v>5</v>
      </c>
      <c r="G1978" t="s">
        <v>6</v>
      </c>
      <c r="H1978" t="s">
        <v>7</v>
      </c>
      <c r="I1978" t="s">
        <v>8</v>
      </c>
      <c r="J1978" t="s">
        <v>403</v>
      </c>
      <c r="K1978" t="s">
        <v>732</v>
      </c>
      <c r="L1978" t="s">
        <v>736</v>
      </c>
      <c r="M1978" t="s">
        <v>12</v>
      </c>
      <c r="N1978" s="2">
        <v>0</v>
      </c>
      <c r="O1978" s="2">
        <v>600</v>
      </c>
      <c r="P1978" s="2">
        <v>0</v>
      </c>
      <c r="Q1978" s="2">
        <v>600</v>
      </c>
      <c r="R1978" s="2">
        <v>463.36</v>
      </c>
      <c r="S1978" s="2">
        <v>136.63999999999999</v>
      </c>
      <c r="T1978" s="2">
        <v>0</v>
      </c>
      <c r="U1978" s="2">
        <v>463.36</v>
      </c>
      <c r="V1978" s="2">
        <v>600</v>
      </c>
      <c r="W1978" s="2">
        <v>0</v>
      </c>
    </row>
    <row r="1979" spans="1:23" outlineLevel="2" x14ac:dyDescent="0.2">
      <c r="A1979" t="s">
        <v>402</v>
      </c>
      <c r="B1979" t="s">
        <v>31</v>
      </c>
      <c r="C1979" t="s">
        <v>79</v>
      </c>
      <c r="D1979" t="s">
        <v>117</v>
      </c>
      <c r="E1979" t="s">
        <v>118</v>
      </c>
      <c r="F1979" t="s">
        <v>5</v>
      </c>
      <c r="G1979" t="s">
        <v>6</v>
      </c>
      <c r="H1979" t="s">
        <v>7</v>
      </c>
      <c r="I1979" t="s">
        <v>8</v>
      </c>
      <c r="J1979" t="s">
        <v>403</v>
      </c>
      <c r="K1979" t="s">
        <v>737</v>
      </c>
      <c r="L1979" t="s">
        <v>738</v>
      </c>
      <c r="M1979" t="s">
        <v>12</v>
      </c>
      <c r="N1979" s="2">
        <v>4000</v>
      </c>
      <c r="O1979" s="2">
        <v>0</v>
      </c>
      <c r="P1979" s="2">
        <v>-4000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</row>
    <row r="1980" spans="1:23" outlineLevel="2" x14ac:dyDescent="0.2">
      <c r="A1980" t="s">
        <v>402</v>
      </c>
      <c r="B1980" t="s">
        <v>31</v>
      </c>
      <c r="C1980" t="s">
        <v>79</v>
      </c>
      <c r="D1980" t="s">
        <v>80</v>
      </c>
      <c r="E1980" t="s">
        <v>81</v>
      </c>
      <c r="F1980" t="s">
        <v>5</v>
      </c>
      <c r="G1980" t="s">
        <v>6</v>
      </c>
      <c r="H1980" t="s">
        <v>7</v>
      </c>
      <c r="I1980" t="s">
        <v>8</v>
      </c>
      <c r="J1980" t="s">
        <v>403</v>
      </c>
      <c r="K1980" t="s">
        <v>737</v>
      </c>
      <c r="L1980" t="s">
        <v>738</v>
      </c>
      <c r="M1980" t="s">
        <v>12</v>
      </c>
      <c r="N1980" s="2">
        <v>2000</v>
      </c>
      <c r="O1980" s="2">
        <v>-1200</v>
      </c>
      <c r="P1980" s="2">
        <v>-800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</row>
    <row r="1981" spans="1:23" outlineLevel="2" x14ac:dyDescent="0.2">
      <c r="A1981" t="s">
        <v>402</v>
      </c>
      <c r="B1981" t="s">
        <v>39</v>
      </c>
      <c r="C1981" t="s">
        <v>66</v>
      </c>
      <c r="D1981" t="s">
        <v>67</v>
      </c>
      <c r="E1981" t="s">
        <v>68</v>
      </c>
      <c r="F1981" t="s">
        <v>5</v>
      </c>
      <c r="G1981" t="s">
        <v>6</v>
      </c>
      <c r="H1981" t="s">
        <v>7</v>
      </c>
      <c r="I1981" t="s">
        <v>8</v>
      </c>
      <c r="J1981" t="s">
        <v>403</v>
      </c>
      <c r="K1981" t="s">
        <v>739</v>
      </c>
      <c r="L1981" t="s">
        <v>740</v>
      </c>
      <c r="M1981" t="s">
        <v>12</v>
      </c>
      <c r="N1981" s="2">
        <v>400</v>
      </c>
      <c r="O1981" s="2">
        <v>-400</v>
      </c>
      <c r="P1981" s="2">
        <v>0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</row>
    <row r="1982" spans="1:23" outlineLevel="2" x14ac:dyDescent="0.2">
      <c r="A1982" t="s">
        <v>402</v>
      </c>
      <c r="B1982" t="s">
        <v>31</v>
      </c>
      <c r="C1982" t="s">
        <v>79</v>
      </c>
      <c r="D1982" t="s">
        <v>111</v>
      </c>
      <c r="E1982" t="s">
        <v>112</v>
      </c>
      <c r="F1982" t="s">
        <v>5</v>
      </c>
      <c r="G1982" t="s">
        <v>6</v>
      </c>
      <c r="H1982" t="s">
        <v>7</v>
      </c>
      <c r="I1982" t="s">
        <v>8</v>
      </c>
      <c r="J1982" t="s">
        <v>403</v>
      </c>
      <c r="K1982" t="s">
        <v>741</v>
      </c>
      <c r="L1982" t="s">
        <v>742</v>
      </c>
      <c r="M1982" t="s">
        <v>12</v>
      </c>
      <c r="N1982" s="2">
        <v>7001.16</v>
      </c>
      <c r="O1982" s="2">
        <v>0</v>
      </c>
      <c r="P1982" s="2">
        <v>0</v>
      </c>
      <c r="Q1982" s="2">
        <v>7001.16</v>
      </c>
      <c r="R1982" s="2">
        <v>6538.56</v>
      </c>
      <c r="S1982" s="2">
        <v>0</v>
      </c>
      <c r="T1982" s="2">
        <v>0</v>
      </c>
      <c r="U1982" s="2">
        <v>7001.16</v>
      </c>
      <c r="V1982" s="2">
        <v>7001.16</v>
      </c>
      <c r="W1982" s="2">
        <v>462.6</v>
      </c>
    </row>
    <row r="1983" spans="1:23" outlineLevel="2" x14ac:dyDescent="0.2">
      <c r="A1983" t="s">
        <v>402</v>
      </c>
      <c r="B1983" t="s">
        <v>31</v>
      </c>
      <c r="C1983" t="s">
        <v>79</v>
      </c>
      <c r="D1983" t="s">
        <v>127</v>
      </c>
      <c r="E1983" t="s">
        <v>128</v>
      </c>
      <c r="F1983" t="s">
        <v>5</v>
      </c>
      <c r="G1983" t="s">
        <v>6</v>
      </c>
      <c r="H1983" t="s">
        <v>7</v>
      </c>
      <c r="I1983" t="s">
        <v>8</v>
      </c>
      <c r="J1983" t="s">
        <v>403</v>
      </c>
      <c r="K1983" t="s">
        <v>741</v>
      </c>
      <c r="L1983" t="s">
        <v>742</v>
      </c>
      <c r="M1983" t="s">
        <v>12</v>
      </c>
      <c r="N1983" s="2">
        <v>500</v>
      </c>
      <c r="O1983" s="2">
        <v>-500</v>
      </c>
      <c r="P1983" s="2">
        <v>0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</row>
    <row r="1984" spans="1:23" outlineLevel="2" x14ac:dyDescent="0.2">
      <c r="A1984" t="s">
        <v>402</v>
      </c>
      <c r="B1984" t="s">
        <v>31</v>
      </c>
      <c r="C1984" t="s">
        <v>32</v>
      </c>
      <c r="D1984" t="s">
        <v>33</v>
      </c>
      <c r="E1984" t="s">
        <v>34</v>
      </c>
      <c r="F1984" t="s">
        <v>5</v>
      </c>
      <c r="G1984" t="s">
        <v>6</v>
      </c>
      <c r="H1984" t="s">
        <v>7</v>
      </c>
      <c r="I1984" t="s">
        <v>8</v>
      </c>
      <c r="J1984" t="s">
        <v>403</v>
      </c>
      <c r="K1984" t="s">
        <v>741</v>
      </c>
      <c r="L1984" t="s">
        <v>743</v>
      </c>
      <c r="M1984" t="s">
        <v>12</v>
      </c>
      <c r="N1984" s="2">
        <v>5000</v>
      </c>
      <c r="O1984" s="2">
        <v>-3000</v>
      </c>
      <c r="P1984" s="2">
        <v>0</v>
      </c>
      <c r="Q1984" s="2">
        <v>2000</v>
      </c>
      <c r="R1984" s="2">
        <v>0</v>
      </c>
      <c r="S1984" s="2">
        <v>0</v>
      </c>
      <c r="T1984" s="2">
        <v>0</v>
      </c>
      <c r="U1984" s="2">
        <v>2000</v>
      </c>
      <c r="V1984" s="2">
        <v>2000</v>
      </c>
      <c r="W1984" s="2">
        <v>2000</v>
      </c>
    </row>
    <row r="1985" spans="1:23" outlineLevel="2" x14ac:dyDescent="0.2">
      <c r="A1985" t="s">
        <v>402</v>
      </c>
      <c r="B1985" t="s">
        <v>1</v>
      </c>
      <c r="C1985" t="s">
        <v>2</v>
      </c>
      <c r="D1985" t="s">
        <v>3</v>
      </c>
      <c r="E1985" t="s">
        <v>4</v>
      </c>
      <c r="F1985" t="s">
        <v>5</v>
      </c>
      <c r="G1985" t="s">
        <v>6</v>
      </c>
      <c r="H1985" t="s">
        <v>7</v>
      </c>
      <c r="I1985" t="s">
        <v>8</v>
      </c>
      <c r="J1985" t="s">
        <v>403</v>
      </c>
      <c r="K1985" t="s">
        <v>741</v>
      </c>
      <c r="L1985" t="s">
        <v>744</v>
      </c>
      <c r="M1985" t="s">
        <v>12</v>
      </c>
      <c r="N1985" s="2">
        <v>0</v>
      </c>
      <c r="O1985" s="2">
        <v>0</v>
      </c>
      <c r="P1985" s="2">
        <v>78.02</v>
      </c>
      <c r="Q1985" s="2">
        <v>78.02</v>
      </c>
      <c r="R1985" s="2">
        <v>0</v>
      </c>
      <c r="S1985" s="2">
        <v>0</v>
      </c>
      <c r="T1985" s="2">
        <v>0</v>
      </c>
      <c r="U1985" s="2">
        <v>78.02</v>
      </c>
      <c r="V1985" s="2">
        <v>78.02</v>
      </c>
      <c r="W1985" s="2">
        <v>78.02</v>
      </c>
    </row>
    <row r="1986" spans="1:23" outlineLevel="2" x14ac:dyDescent="0.2">
      <c r="A1986" t="s">
        <v>402</v>
      </c>
      <c r="B1986" t="s">
        <v>1</v>
      </c>
      <c r="C1986" t="s">
        <v>2</v>
      </c>
      <c r="D1986" t="s">
        <v>410</v>
      </c>
      <c r="E1986" t="s">
        <v>411</v>
      </c>
      <c r="F1986" t="s">
        <v>5</v>
      </c>
      <c r="G1986" t="s">
        <v>6</v>
      </c>
      <c r="H1986" t="s">
        <v>7</v>
      </c>
      <c r="I1986" t="s">
        <v>8</v>
      </c>
      <c r="J1986" t="s">
        <v>403</v>
      </c>
      <c r="K1986" t="s">
        <v>741</v>
      </c>
      <c r="L1986" t="s">
        <v>744</v>
      </c>
      <c r="M1986" t="s">
        <v>12</v>
      </c>
      <c r="N1986" s="2">
        <v>0</v>
      </c>
      <c r="O1986" s="2">
        <v>0</v>
      </c>
      <c r="P1986" s="2">
        <v>1431.09</v>
      </c>
      <c r="Q1986" s="2">
        <v>1431.09</v>
      </c>
      <c r="R1986" s="2">
        <v>80.64</v>
      </c>
      <c r="S1986" s="2">
        <v>1350.45</v>
      </c>
      <c r="T1986" s="2">
        <v>0</v>
      </c>
      <c r="U1986" s="2">
        <v>80.64</v>
      </c>
      <c r="V1986" s="2">
        <v>1431.09</v>
      </c>
      <c r="W1986" s="2">
        <v>0</v>
      </c>
    </row>
    <row r="1987" spans="1:23" outlineLevel="2" x14ac:dyDescent="0.2">
      <c r="A1987" t="s">
        <v>402</v>
      </c>
      <c r="B1987" t="s">
        <v>1</v>
      </c>
      <c r="C1987" t="s">
        <v>2</v>
      </c>
      <c r="D1987" t="s">
        <v>410</v>
      </c>
      <c r="E1987" t="s">
        <v>411</v>
      </c>
      <c r="F1987" t="s">
        <v>5</v>
      </c>
      <c r="G1987" t="s">
        <v>6</v>
      </c>
      <c r="H1987" t="s">
        <v>7</v>
      </c>
      <c r="I1987" t="s">
        <v>8</v>
      </c>
      <c r="J1987" t="s">
        <v>403</v>
      </c>
      <c r="K1987" t="s">
        <v>741</v>
      </c>
      <c r="L1987" t="s">
        <v>744</v>
      </c>
      <c r="M1987" t="s">
        <v>15</v>
      </c>
      <c r="N1987" s="2">
        <v>3000</v>
      </c>
      <c r="O1987" s="2">
        <v>1431.09</v>
      </c>
      <c r="P1987" s="2">
        <v>-4431.09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</row>
    <row r="1988" spans="1:23" outlineLevel="2" x14ac:dyDescent="0.2">
      <c r="A1988" t="s">
        <v>402</v>
      </c>
      <c r="B1988" t="s">
        <v>1</v>
      </c>
      <c r="C1988" t="s">
        <v>2</v>
      </c>
      <c r="D1988" t="s">
        <v>3</v>
      </c>
      <c r="E1988" t="s">
        <v>4</v>
      </c>
      <c r="F1988" t="s">
        <v>5</v>
      </c>
      <c r="G1988" t="s">
        <v>6</v>
      </c>
      <c r="H1988" t="s">
        <v>7</v>
      </c>
      <c r="I1988" t="s">
        <v>8</v>
      </c>
      <c r="J1988" t="s">
        <v>403</v>
      </c>
      <c r="K1988" t="s">
        <v>741</v>
      </c>
      <c r="L1988" t="s">
        <v>744</v>
      </c>
      <c r="M1988" t="s">
        <v>15</v>
      </c>
      <c r="N1988" s="2">
        <v>800</v>
      </c>
      <c r="O1988" s="2">
        <v>340</v>
      </c>
      <c r="P1988" s="2">
        <v>-78.02</v>
      </c>
      <c r="Q1988" s="2">
        <v>1061.98</v>
      </c>
      <c r="R1988" s="2">
        <v>1061.98</v>
      </c>
      <c r="S1988" s="2">
        <v>0</v>
      </c>
      <c r="T1988" s="2">
        <v>0</v>
      </c>
      <c r="U1988" s="2">
        <v>1061.98</v>
      </c>
      <c r="V1988" s="2">
        <v>1061.98</v>
      </c>
      <c r="W1988" s="2">
        <v>0</v>
      </c>
    </row>
    <row r="1989" spans="1:23" outlineLevel="2" x14ac:dyDescent="0.2">
      <c r="A1989" t="s">
        <v>402</v>
      </c>
      <c r="B1989" t="s">
        <v>31</v>
      </c>
      <c r="C1989" t="s">
        <v>79</v>
      </c>
      <c r="D1989" t="s">
        <v>117</v>
      </c>
      <c r="E1989" t="s">
        <v>118</v>
      </c>
      <c r="F1989" t="s">
        <v>5</v>
      </c>
      <c r="G1989" t="s">
        <v>6</v>
      </c>
      <c r="H1989" t="s">
        <v>7</v>
      </c>
      <c r="I1989" t="s">
        <v>8</v>
      </c>
      <c r="J1989" t="s">
        <v>403</v>
      </c>
      <c r="K1989" t="s">
        <v>741</v>
      </c>
      <c r="L1989" t="s">
        <v>742</v>
      </c>
      <c r="M1989" t="s">
        <v>12</v>
      </c>
      <c r="N1989" s="2">
        <v>4000</v>
      </c>
      <c r="O1989" s="2">
        <v>0</v>
      </c>
      <c r="P1989" s="2">
        <v>-4000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</row>
    <row r="1990" spans="1:23" outlineLevel="2" x14ac:dyDescent="0.2">
      <c r="A1990" t="s">
        <v>402</v>
      </c>
      <c r="B1990" t="s">
        <v>31</v>
      </c>
      <c r="C1990" t="s">
        <v>79</v>
      </c>
      <c r="D1990" t="s">
        <v>115</v>
      </c>
      <c r="E1990" t="s">
        <v>116</v>
      </c>
      <c r="F1990" t="s">
        <v>5</v>
      </c>
      <c r="G1990" t="s">
        <v>6</v>
      </c>
      <c r="H1990" t="s">
        <v>7</v>
      </c>
      <c r="I1990" t="s">
        <v>8</v>
      </c>
      <c r="J1990" t="s">
        <v>403</v>
      </c>
      <c r="K1990" t="s">
        <v>741</v>
      </c>
      <c r="L1990" t="s">
        <v>742</v>
      </c>
      <c r="M1990" t="s">
        <v>12</v>
      </c>
      <c r="N1990" s="2">
        <v>1500</v>
      </c>
      <c r="O1990" s="2">
        <v>0</v>
      </c>
      <c r="P1990" s="2">
        <v>0</v>
      </c>
      <c r="Q1990" s="2">
        <v>1500</v>
      </c>
      <c r="R1990" s="2">
        <v>0.87</v>
      </c>
      <c r="S1990" s="2">
        <v>1465.13</v>
      </c>
      <c r="T1990" s="2">
        <v>0</v>
      </c>
      <c r="U1990" s="2">
        <v>34.869999999999997</v>
      </c>
      <c r="V1990" s="2">
        <v>1500</v>
      </c>
      <c r="W1990" s="2">
        <v>34</v>
      </c>
    </row>
    <row r="1991" spans="1:23" outlineLevel="2" x14ac:dyDescent="0.2">
      <c r="A1991" t="s">
        <v>402</v>
      </c>
      <c r="B1991" t="s">
        <v>31</v>
      </c>
      <c r="C1991" t="s">
        <v>79</v>
      </c>
      <c r="D1991" t="s">
        <v>80</v>
      </c>
      <c r="E1991" t="s">
        <v>81</v>
      </c>
      <c r="F1991" t="s">
        <v>5</v>
      </c>
      <c r="G1991" t="s">
        <v>6</v>
      </c>
      <c r="H1991" t="s">
        <v>7</v>
      </c>
      <c r="I1991" t="s">
        <v>8</v>
      </c>
      <c r="J1991" t="s">
        <v>403</v>
      </c>
      <c r="K1991" t="s">
        <v>745</v>
      </c>
      <c r="L1991" t="s">
        <v>746</v>
      </c>
      <c r="M1991" t="s">
        <v>12</v>
      </c>
      <c r="N1991" s="2">
        <v>0</v>
      </c>
      <c r="O1991" s="2">
        <v>700</v>
      </c>
      <c r="P1991" s="2">
        <v>0</v>
      </c>
      <c r="Q1991" s="2">
        <v>700</v>
      </c>
      <c r="R1991" s="2">
        <v>463.68</v>
      </c>
      <c r="S1991" s="2">
        <v>0</v>
      </c>
      <c r="T1991" s="2">
        <v>0</v>
      </c>
      <c r="U1991" s="2">
        <v>700</v>
      </c>
      <c r="V1991" s="2">
        <v>700</v>
      </c>
      <c r="W1991" s="2">
        <v>236.32</v>
      </c>
    </row>
    <row r="1992" spans="1:23" outlineLevel="2" x14ac:dyDescent="0.2">
      <c r="A1992" t="s">
        <v>402</v>
      </c>
      <c r="B1992" t="s">
        <v>39</v>
      </c>
      <c r="C1992" t="s">
        <v>66</v>
      </c>
      <c r="D1992" t="s">
        <v>67</v>
      </c>
      <c r="E1992" t="s">
        <v>68</v>
      </c>
      <c r="F1992" t="s">
        <v>5</v>
      </c>
      <c r="G1992" t="s">
        <v>6</v>
      </c>
      <c r="H1992" t="s">
        <v>7</v>
      </c>
      <c r="I1992" t="s">
        <v>8</v>
      </c>
      <c r="J1992" t="s">
        <v>403</v>
      </c>
      <c r="K1992" t="s">
        <v>745</v>
      </c>
      <c r="L1992" t="s">
        <v>747</v>
      </c>
      <c r="M1992" t="s">
        <v>12</v>
      </c>
      <c r="N1992" s="2">
        <v>70</v>
      </c>
      <c r="O1992" s="2">
        <v>-70</v>
      </c>
      <c r="P1992" s="2">
        <v>0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</row>
    <row r="1993" spans="1:23" outlineLevel="2" x14ac:dyDescent="0.2">
      <c r="A1993" t="s">
        <v>402</v>
      </c>
      <c r="B1993" t="s">
        <v>39</v>
      </c>
      <c r="C1993" t="s">
        <v>58</v>
      </c>
      <c r="D1993" t="s">
        <v>149</v>
      </c>
      <c r="E1993" t="s">
        <v>150</v>
      </c>
      <c r="F1993" t="s">
        <v>5</v>
      </c>
      <c r="G1993" t="s">
        <v>6</v>
      </c>
      <c r="H1993" t="s">
        <v>7</v>
      </c>
      <c r="I1993" t="s">
        <v>8</v>
      </c>
      <c r="J1993" t="s">
        <v>403</v>
      </c>
      <c r="K1993" t="s">
        <v>745</v>
      </c>
      <c r="L1993" t="s">
        <v>748</v>
      </c>
      <c r="M1993" t="s">
        <v>12</v>
      </c>
      <c r="N1993" s="2">
        <v>100</v>
      </c>
      <c r="O1993" s="2">
        <v>0</v>
      </c>
      <c r="P1993" s="2">
        <v>0</v>
      </c>
      <c r="Q1993" s="2">
        <v>100</v>
      </c>
      <c r="R1993" s="2">
        <v>0</v>
      </c>
      <c r="S1993" s="2">
        <v>0</v>
      </c>
      <c r="T1993" s="2">
        <v>0</v>
      </c>
      <c r="U1993" s="2">
        <v>100</v>
      </c>
      <c r="V1993" s="2">
        <v>100</v>
      </c>
      <c r="W1993" s="2">
        <v>100</v>
      </c>
    </row>
    <row r="1994" spans="1:23" outlineLevel="2" x14ac:dyDescent="0.2">
      <c r="A1994" t="s">
        <v>402</v>
      </c>
      <c r="B1994" t="s">
        <v>1</v>
      </c>
      <c r="C1994" t="s">
        <v>91</v>
      </c>
      <c r="D1994" t="s">
        <v>92</v>
      </c>
      <c r="E1994" t="s">
        <v>93</v>
      </c>
      <c r="F1994" t="s">
        <v>5</v>
      </c>
      <c r="G1994" t="s">
        <v>6</v>
      </c>
      <c r="H1994" t="s">
        <v>7</v>
      </c>
      <c r="I1994" t="s">
        <v>8</v>
      </c>
      <c r="J1994" t="s">
        <v>403</v>
      </c>
      <c r="K1994" t="s">
        <v>745</v>
      </c>
      <c r="L1994" t="s">
        <v>749</v>
      </c>
      <c r="M1994" t="s">
        <v>12</v>
      </c>
      <c r="N1994" s="2">
        <v>0</v>
      </c>
      <c r="O1994" s="2">
        <v>0</v>
      </c>
      <c r="P1994" s="2">
        <v>1000</v>
      </c>
      <c r="Q1994" s="2">
        <v>1000</v>
      </c>
      <c r="R1994" s="2">
        <v>0</v>
      </c>
      <c r="S1994" s="2">
        <v>0</v>
      </c>
      <c r="T1994" s="2">
        <v>0</v>
      </c>
      <c r="U1994" s="2">
        <v>1000</v>
      </c>
      <c r="V1994" s="2">
        <v>1000</v>
      </c>
      <c r="W1994" s="2">
        <v>1000</v>
      </c>
    </row>
    <row r="1995" spans="1:23" outlineLevel="2" x14ac:dyDescent="0.2">
      <c r="A1995" t="s">
        <v>402</v>
      </c>
      <c r="B1995" t="s">
        <v>1</v>
      </c>
      <c r="C1995" t="s">
        <v>91</v>
      </c>
      <c r="D1995" t="s">
        <v>92</v>
      </c>
      <c r="E1995" t="s">
        <v>93</v>
      </c>
      <c r="F1995" t="s">
        <v>5</v>
      </c>
      <c r="G1995" t="s">
        <v>6</v>
      </c>
      <c r="H1995" t="s">
        <v>7</v>
      </c>
      <c r="I1995" t="s">
        <v>8</v>
      </c>
      <c r="J1995" t="s">
        <v>403</v>
      </c>
      <c r="K1995" t="s">
        <v>745</v>
      </c>
      <c r="L1995" t="s">
        <v>749</v>
      </c>
      <c r="M1995" t="s">
        <v>15</v>
      </c>
      <c r="N1995" s="2">
        <v>1000</v>
      </c>
      <c r="O1995" s="2">
        <v>2688</v>
      </c>
      <c r="P1995" s="2">
        <v>-1000</v>
      </c>
      <c r="Q1995" s="2">
        <v>2688</v>
      </c>
      <c r="R1995" s="2">
        <v>0</v>
      </c>
      <c r="S1995" s="2">
        <v>2688</v>
      </c>
      <c r="T1995" s="2">
        <v>2688</v>
      </c>
      <c r="U1995" s="2">
        <v>0</v>
      </c>
      <c r="V1995" s="2">
        <v>0</v>
      </c>
      <c r="W1995" s="2">
        <v>0</v>
      </c>
    </row>
    <row r="1996" spans="1:23" outlineLevel="2" x14ac:dyDescent="0.2">
      <c r="A1996" t="s">
        <v>402</v>
      </c>
      <c r="B1996" t="s">
        <v>31</v>
      </c>
      <c r="C1996" t="s">
        <v>79</v>
      </c>
      <c r="D1996" t="s">
        <v>117</v>
      </c>
      <c r="E1996" t="s">
        <v>118</v>
      </c>
      <c r="F1996" t="s">
        <v>5</v>
      </c>
      <c r="G1996" t="s">
        <v>6</v>
      </c>
      <c r="H1996" t="s">
        <v>7</v>
      </c>
      <c r="I1996" t="s">
        <v>8</v>
      </c>
      <c r="J1996" t="s">
        <v>403</v>
      </c>
      <c r="K1996" t="s">
        <v>745</v>
      </c>
      <c r="L1996" t="s">
        <v>746</v>
      </c>
      <c r="M1996" t="s">
        <v>12</v>
      </c>
      <c r="N1996" s="2">
        <v>0</v>
      </c>
      <c r="O1996" s="2">
        <v>500</v>
      </c>
      <c r="P1996" s="2">
        <v>0</v>
      </c>
      <c r="Q1996" s="2">
        <v>500</v>
      </c>
      <c r="R1996" s="2">
        <v>4.08</v>
      </c>
      <c r="S1996" s="2">
        <v>465.92</v>
      </c>
      <c r="T1996" s="2">
        <v>465.92</v>
      </c>
      <c r="U1996" s="2">
        <v>34.08</v>
      </c>
      <c r="V1996" s="2">
        <v>34.08</v>
      </c>
      <c r="W1996" s="2">
        <v>30</v>
      </c>
    </row>
    <row r="1997" spans="1:23" outlineLevel="2" x14ac:dyDescent="0.2">
      <c r="A1997" t="s">
        <v>402</v>
      </c>
      <c r="B1997" t="s">
        <v>31</v>
      </c>
      <c r="C1997" t="s">
        <v>32</v>
      </c>
      <c r="D1997" t="s">
        <v>33</v>
      </c>
      <c r="E1997" t="s">
        <v>34</v>
      </c>
      <c r="F1997" t="s">
        <v>5</v>
      </c>
      <c r="G1997" t="s">
        <v>6</v>
      </c>
      <c r="H1997" t="s">
        <v>7</v>
      </c>
      <c r="I1997" t="s">
        <v>8</v>
      </c>
      <c r="J1997" t="s">
        <v>403</v>
      </c>
      <c r="K1997" t="s">
        <v>745</v>
      </c>
      <c r="L1997" t="s">
        <v>750</v>
      </c>
      <c r="M1997" t="s">
        <v>12</v>
      </c>
      <c r="N1997" s="2">
        <v>2000</v>
      </c>
      <c r="O1997" s="2">
        <v>0</v>
      </c>
      <c r="P1997" s="2">
        <v>0</v>
      </c>
      <c r="Q1997" s="2">
        <v>2000</v>
      </c>
      <c r="R1997" s="2">
        <v>0</v>
      </c>
      <c r="S1997" s="2">
        <v>0</v>
      </c>
      <c r="T1997" s="2">
        <v>0</v>
      </c>
      <c r="U1997" s="2">
        <v>2000</v>
      </c>
      <c r="V1997" s="2">
        <v>2000</v>
      </c>
      <c r="W1997" s="2">
        <v>2000</v>
      </c>
    </row>
    <row r="1998" spans="1:23" outlineLevel="2" x14ac:dyDescent="0.2">
      <c r="A1998" t="s">
        <v>402</v>
      </c>
      <c r="B1998" t="s">
        <v>31</v>
      </c>
      <c r="C1998" t="s">
        <v>79</v>
      </c>
      <c r="D1998" t="s">
        <v>115</v>
      </c>
      <c r="E1998" t="s">
        <v>116</v>
      </c>
      <c r="F1998" t="s">
        <v>5</v>
      </c>
      <c r="G1998" t="s">
        <v>6</v>
      </c>
      <c r="H1998" t="s">
        <v>7</v>
      </c>
      <c r="I1998" t="s">
        <v>8</v>
      </c>
      <c r="J1998" t="s">
        <v>403</v>
      </c>
      <c r="K1998" t="s">
        <v>745</v>
      </c>
      <c r="L1998" t="s">
        <v>746</v>
      </c>
      <c r="M1998" t="s">
        <v>12</v>
      </c>
      <c r="N1998" s="2">
        <v>4000</v>
      </c>
      <c r="O1998" s="2">
        <v>-1120</v>
      </c>
      <c r="P1998" s="2">
        <v>0</v>
      </c>
      <c r="Q1998" s="2">
        <v>2880</v>
      </c>
      <c r="R1998" s="2">
        <v>0.8</v>
      </c>
      <c r="S1998" s="2">
        <v>1943.2</v>
      </c>
      <c r="T1998" s="2">
        <v>0</v>
      </c>
      <c r="U1998" s="2">
        <v>936.8</v>
      </c>
      <c r="V1998" s="2">
        <v>2880</v>
      </c>
      <c r="W1998" s="2">
        <v>936</v>
      </c>
    </row>
    <row r="1999" spans="1:23" outlineLevel="2" x14ac:dyDescent="0.2">
      <c r="A1999" t="s">
        <v>402</v>
      </c>
      <c r="B1999" t="s">
        <v>31</v>
      </c>
      <c r="C1999" t="s">
        <v>32</v>
      </c>
      <c r="D1999" t="s">
        <v>33</v>
      </c>
      <c r="E1999" t="s">
        <v>34</v>
      </c>
      <c r="F1999" t="s">
        <v>5</v>
      </c>
      <c r="G1999" t="s">
        <v>6</v>
      </c>
      <c r="H1999" t="s">
        <v>7</v>
      </c>
      <c r="I1999" t="s">
        <v>8</v>
      </c>
      <c r="J1999" t="s">
        <v>403</v>
      </c>
      <c r="K1999" t="s">
        <v>751</v>
      </c>
      <c r="L1999" t="s">
        <v>752</v>
      </c>
      <c r="M1999" t="s">
        <v>12</v>
      </c>
      <c r="N1999" s="2">
        <v>7000</v>
      </c>
      <c r="O1999" s="2">
        <v>-7000</v>
      </c>
      <c r="P1999" s="2">
        <v>0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</row>
    <row r="2000" spans="1:23" outlineLevel="2" x14ac:dyDescent="0.2">
      <c r="A2000" t="s">
        <v>402</v>
      </c>
      <c r="B2000" t="s">
        <v>39</v>
      </c>
      <c r="C2000" t="s">
        <v>58</v>
      </c>
      <c r="D2000" t="s">
        <v>149</v>
      </c>
      <c r="E2000" t="s">
        <v>150</v>
      </c>
      <c r="F2000" t="s">
        <v>5</v>
      </c>
      <c r="G2000" t="s">
        <v>6</v>
      </c>
      <c r="H2000" t="s">
        <v>7</v>
      </c>
      <c r="I2000" t="s">
        <v>8</v>
      </c>
      <c r="J2000" t="s">
        <v>403</v>
      </c>
      <c r="K2000" t="s">
        <v>751</v>
      </c>
      <c r="L2000" t="s">
        <v>753</v>
      </c>
      <c r="M2000" t="s">
        <v>12</v>
      </c>
      <c r="N2000" s="2">
        <v>100</v>
      </c>
      <c r="O2000" s="2">
        <v>0</v>
      </c>
      <c r="P2000" s="2">
        <v>0</v>
      </c>
      <c r="Q2000" s="2">
        <v>100</v>
      </c>
      <c r="R2000" s="2">
        <v>0</v>
      </c>
      <c r="S2000" s="2">
        <v>0</v>
      </c>
      <c r="T2000" s="2">
        <v>0</v>
      </c>
      <c r="U2000" s="2">
        <v>100</v>
      </c>
      <c r="V2000" s="2">
        <v>100</v>
      </c>
      <c r="W2000" s="2">
        <v>100</v>
      </c>
    </row>
    <row r="2001" spans="1:23" outlineLevel="2" x14ac:dyDescent="0.2">
      <c r="A2001" t="s">
        <v>402</v>
      </c>
      <c r="B2001" t="s">
        <v>39</v>
      </c>
      <c r="C2001" t="s">
        <v>58</v>
      </c>
      <c r="D2001" t="s">
        <v>139</v>
      </c>
      <c r="E2001" t="s">
        <v>140</v>
      </c>
      <c r="F2001" t="s">
        <v>5</v>
      </c>
      <c r="G2001" t="s">
        <v>6</v>
      </c>
      <c r="H2001" t="s">
        <v>7</v>
      </c>
      <c r="I2001" t="s">
        <v>8</v>
      </c>
      <c r="J2001" t="s">
        <v>403</v>
      </c>
      <c r="K2001" t="s">
        <v>751</v>
      </c>
      <c r="L2001" t="s">
        <v>753</v>
      </c>
      <c r="M2001" t="s">
        <v>12</v>
      </c>
      <c r="N2001" s="2">
        <v>0</v>
      </c>
      <c r="O2001" s="2">
        <v>1000</v>
      </c>
      <c r="P2001" s="2">
        <v>0</v>
      </c>
      <c r="Q2001" s="2">
        <v>1000</v>
      </c>
      <c r="R2001" s="2">
        <v>0</v>
      </c>
      <c r="S2001" s="2">
        <v>675.32</v>
      </c>
      <c r="T2001" s="2">
        <v>0</v>
      </c>
      <c r="U2001" s="2">
        <v>324.68</v>
      </c>
      <c r="V2001" s="2">
        <v>1000</v>
      </c>
      <c r="W2001" s="2">
        <v>324.68</v>
      </c>
    </row>
    <row r="2002" spans="1:23" outlineLevel="2" x14ac:dyDescent="0.2">
      <c r="A2002" t="s">
        <v>402</v>
      </c>
      <c r="B2002" t="s">
        <v>31</v>
      </c>
      <c r="C2002" t="s">
        <v>32</v>
      </c>
      <c r="D2002" t="s">
        <v>141</v>
      </c>
      <c r="E2002" t="s">
        <v>142</v>
      </c>
      <c r="F2002" t="s">
        <v>5</v>
      </c>
      <c r="G2002" t="s">
        <v>6</v>
      </c>
      <c r="H2002" t="s">
        <v>7</v>
      </c>
      <c r="I2002" t="s">
        <v>8</v>
      </c>
      <c r="J2002" t="s">
        <v>403</v>
      </c>
      <c r="K2002" t="s">
        <v>751</v>
      </c>
      <c r="L2002" t="s">
        <v>752</v>
      </c>
      <c r="M2002" t="s">
        <v>12</v>
      </c>
      <c r="N2002" s="2">
        <v>0</v>
      </c>
      <c r="O2002" s="2">
        <v>560</v>
      </c>
      <c r="P2002" s="2">
        <v>0</v>
      </c>
      <c r="Q2002" s="2">
        <v>560</v>
      </c>
      <c r="R2002" s="2">
        <v>184.8</v>
      </c>
      <c r="S2002" s="2">
        <v>0</v>
      </c>
      <c r="T2002" s="2">
        <v>0</v>
      </c>
      <c r="U2002" s="2">
        <v>560</v>
      </c>
      <c r="V2002" s="2">
        <v>560</v>
      </c>
      <c r="W2002" s="2">
        <v>375.2</v>
      </c>
    </row>
    <row r="2003" spans="1:23" outlineLevel="2" x14ac:dyDescent="0.2">
      <c r="A2003" t="s">
        <v>402</v>
      </c>
      <c r="B2003" t="s">
        <v>39</v>
      </c>
      <c r="C2003" t="s">
        <v>58</v>
      </c>
      <c r="D2003" t="s">
        <v>145</v>
      </c>
      <c r="E2003" t="s">
        <v>146</v>
      </c>
      <c r="F2003" t="s">
        <v>5</v>
      </c>
      <c r="G2003" t="s">
        <v>6</v>
      </c>
      <c r="H2003" t="s">
        <v>7</v>
      </c>
      <c r="I2003" t="s">
        <v>8</v>
      </c>
      <c r="J2003" t="s">
        <v>403</v>
      </c>
      <c r="K2003" t="s">
        <v>754</v>
      </c>
      <c r="L2003" t="s">
        <v>755</v>
      </c>
      <c r="M2003" t="s">
        <v>12</v>
      </c>
      <c r="N2003" s="2">
        <v>0</v>
      </c>
      <c r="O2003" s="2">
        <v>120.96</v>
      </c>
      <c r="P2003" s="2">
        <v>0</v>
      </c>
      <c r="Q2003" s="2">
        <v>120.96</v>
      </c>
      <c r="R2003" s="2">
        <v>120.96</v>
      </c>
      <c r="S2003" s="2">
        <v>0</v>
      </c>
      <c r="T2003" s="2">
        <v>0</v>
      </c>
      <c r="U2003" s="2">
        <v>120.96</v>
      </c>
      <c r="V2003" s="2">
        <v>120.96</v>
      </c>
      <c r="W2003" s="2">
        <v>0</v>
      </c>
    </row>
    <row r="2004" spans="1:23" outlineLevel="2" x14ac:dyDescent="0.2">
      <c r="A2004" t="s">
        <v>402</v>
      </c>
      <c r="B2004" t="s">
        <v>53</v>
      </c>
      <c r="C2004" t="s">
        <v>54</v>
      </c>
      <c r="D2004" t="s">
        <v>55</v>
      </c>
      <c r="E2004" t="s">
        <v>56</v>
      </c>
      <c r="F2004" t="s">
        <v>5</v>
      </c>
      <c r="G2004" t="s">
        <v>6</v>
      </c>
      <c r="H2004" t="s">
        <v>7</v>
      </c>
      <c r="I2004" t="s">
        <v>8</v>
      </c>
      <c r="J2004" t="s">
        <v>403</v>
      </c>
      <c r="K2004" t="s">
        <v>754</v>
      </c>
      <c r="L2004" t="s">
        <v>756</v>
      </c>
      <c r="M2004" t="s">
        <v>12</v>
      </c>
      <c r="N2004" s="2">
        <v>0</v>
      </c>
      <c r="O2004" s="2">
        <v>1015.08</v>
      </c>
      <c r="P2004" s="2">
        <v>0</v>
      </c>
      <c r="Q2004" s="2">
        <v>1015.08</v>
      </c>
      <c r="R2004" s="2">
        <v>0</v>
      </c>
      <c r="S2004" s="2">
        <v>1014.72</v>
      </c>
      <c r="T2004" s="2">
        <v>1014.72</v>
      </c>
      <c r="U2004" s="2">
        <v>0.36</v>
      </c>
      <c r="V2004" s="2">
        <v>0.36</v>
      </c>
      <c r="W2004" s="2">
        <v>0.36</v>
      </c>
    </row>
    <row r="2005" spans="1:23" outlineLevel="2" x14ac:dyDescent="0.2">
      <c r="A2005" t="s">
        <v>402</v>
      </c>
      <c r="B2005" t="s">
        <v>31</v>
      </c>
      <c r="C2005" t="s">
        <v>79</v>
      </c>
      <c r="D2005" t="s">
        <v>113</v>
      </c>
      <c r="E2005" t="s">
        <v>114</v>
      </c>
      <c r="F2005" t="s">
        <v>5</v>
      </c>
      <c r="G2005" t="s">
        <v>6</v>
      </c>
      <c r="H2005" t="s">
        <v>7</v>
      </c>
      <c r="I2005" t="s">
        <v>8</v>
      </c>
      <c r="J2005" t="s">
        <v>403</v>
      </c>
      <c r="K2005" t="s">
        <v>754</v>
      </c>
      <c r="L2005" t="s">
        <v>757</v>
      </c>
      <c r="M2005" t="s">
        <v>12</v>
      </c>
      <c r="N2005" s="2">
        <v>1000</v>
      </c>
      <c r="O2005" s="2">
        <v>0</v>
      </c>
      <c r="P2005" s="2">
        <v>-1000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</row>
    <row r="2006" spans="1:23" outlineLevel="2" x14ac:dyDescent="0.2">
      <c r="A2006" t="s">
        <v>402</v>
      </c>
      <c r="B2006" t="s">
        <v>1</v>
      </c>
      <c r="C2006" t="s">
        <v>91</v>
      </c>
      <c r="D2006" t="s">
        <v>92</v>
      </c>
      <c r="E2006" t="s">
        <v>93</v>
      </c>
      <c r="F2006" t="s">
        <v>5</v>
      </c>
      <c r="G2006" t="s">
        <v>6</v>
      </c>
      <c r="H2006" t="s">
        <v>7</v>
      </c>
      <c r="I2006" t="s">
        <v>8</v>
      </c>
      <c r="J2006" t="s">
        <v>403</v>
      </c>
      <c r="K2006" t="s">
        <v>754</v>
      </c>
      <c r="L2006" t="s">
        <v>758</v>
      </c>
      <c r="M2006" t="s">
        <v>12</v>
      </c>
      <c r="N2006" s="2">
        <v>0</v>
      </c>
      <c r="O2006" s="2">
        <v>0</v>
      </c>
      <c r="P2006" s="2">
        <v>1100</v>
      </c>
      <c r="Q2006" s="2">
        <v>1100</v>
      </c>
      <c r="R2006" s="2">
        <v>0</v>
      </c>
      <c r="S2006" s="2">
        <v>0</v>
      </c>
      <c r="T2006" s="2">
        <v>0</v>
      </c>
      <c r="U2006" s="2">
        <v>1100</v>
      </c>
      <c r="V2006" s="2">
        <v>1100</v>
      </c>
      <c r="W2006" s="2">
        <v>1100</v>
      </c>
    </row>
    <row r="2007" spans="1:23" outlineLevel="2" x14ac:dyDescent="0.2">
      <c r="A2007" t="s">
        <v>402</v>
      </c>
      <c r="B2007" t="s">
        <v>1</v>
      </c>
      <c r="C2007" t="s">
        <v>91</v>
      </c>
      <c r="D2007" t="s">
        <v>92</v>
      </c>
      <c r="E2007" t="s">
        <v>93</v>
      </c>
      <c r="F2007" t="s">
        <v>5</v>
      </c>
      <c r="G2007" t="s">
        <v>6</v>
      </c>
      <c r="H2007" t="s">
        <v>7</v>
      </c>
      <c r="I2007" t="s">
        <v>8</v>
      </c>
      <c r="J2007" t="s">
        <v>403</v>
      </c>
      <c r="K2007" t="s">
        <v>754</v>
      </c>
      <c r="L2007" t="s">
        <v>758</v>
      </c>
      <c r="M2007" t="s">
        <v>15</v>
      </c>
      <c r="N2007" s="2">
        <v>1100</v>
      </c>
      <c r="O2007" s="2">
        <v>0</v>
      </c>
      <c r="P2007" s="2">
        <v>-1100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</row>
    <row r="2008" spans="1:23" outlineLevel="2" x14ac:dyDescent="0.2">
      <c r="A2008" t="s">
        <v>402</v>
      </c>
      <c r="B2008" t="s">
        <v>31</v>
      </c>
      <c r="C2008" t="s">
        <v>79</v>
      </c>
      <c r="D2008" t="s">
        <v>113</v>
      </c>
      <c r="E2008" t="s">
        <v>114</v>
      </c>
      <c r="F2008" t="s">
        <v>5</v>
      </c>
      <c r="G2008" t="s">
        <v>6</v>
      </c>
      <c r="H2008" t="s">
        <v>7</v>
      </c>
      <c r="I2008" t="s">
        <v>8</v>
      </c>
      <c r="J2008" t="s">
        <v>403</v>
      </c>
      <c r="K2008" t="s">
        <v>759</v>
      </c>
      <c r="L2008" t="s">
        <v>760</v>
      </c>
      <c r="M2008" t="s">
        <v>12</v>
      </c>
      <c r="N2008" s="2">
        <v>2500</v>
      </c>
      <c r="O2008" s="2">
        <v>0</v>
      </c>
      <c r="P2008" s="2">
        <v>-2500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</row>
    <row r="2009" spans="1:23" outlineLevel="2" x14ac:dyDescent="0.2">
      <c r="A2009" t="s">
        <v>402</v>
      </c>
      <c r="B2009" t="s">
        <v>39</v>
      </c>
      <c r="C2009" t="s">
        <v>58</v>
      </c>
      <c r="D2009" t="s">
        <v>139</v>
      </c>
      <c r="E2009" t="s">
        <v>140</v>
      </c>
      <c r="F2009" t="s">
        <v>5</v>
      </c>
      <c r="G2009" t="s">
        <v>6</v>
      </c>
      <c r="H2009" t="s">
        <v>7</v>
      </c>
      <c r="I2009" t="s">
        <v>8</v>
      </c>
      <c r="J2009" t="s">
        <v>403</v>
      </c>
      <c r="K2009" t="s">
        <v>761</v>
      </c>
      <c r="L2009" t="s">
        <v>762</v>
      </c>
      <c r="M2009" t="s">
        <v>12</v>
      </c>
      <c r="N2009" s="2">
        <v>0</v>
      </c>
      <c r="O2009" s="2">
        <v>450</v>
      </c>
      <c r="P2009" s="2">
        <v>0</v>
      </c>
      <c r="Q2009" s="2">
        <v>450</v>
      </c>
      <c r="R2009" s="2">
        <v>0</v>
      </c>
      <c r="S2009" s="2">
        <v>318.62</v>
      </c>
      <c r="T2009" s="2">
        <v>318.62</v>
      </c>
      <c r="U2009" s="2">
        <v>131.38</v>
      </c>
      <c r="V2009" s="2">
        <v>131.38</v>
      </c>
      <c r="W2009" s="2">
        <v>131.38</v>
      </c>
    </row>
    <row r="2010" spans="1:23" outlineLevel="2" x14ac:dyDescent="0.2">
      <c r="A2010" t="s">
        <v>763</v>
      </c>
      <c r="B2010" t="s">
        <v>1</v>
      </c>
      <c r="C2010" t="s">
        <v>2</v>
      </c>
      <c r="D2010" t="s">
        <v>474</v>
      </c>
      <c r="E2010" t="s">
        <v>475</v>
      </c>
      <c r="F2010" t="s">
        <v>5</v>
      </c>
      <c r="G2010" t="s">
        <v>6</v>
      </c>
      <c r="H2010" t="s">
        <v>7</v>
      </c>
      <c r="I2010" t="s">
        <v>8</v>
      </c>
      <c r="J2010" t="s">
        <v>764</v>
      </c>
      <c r="K2010" t="s">
        <v>765</v>
      </c>
      <c r="L2010" t="s">
        <v>766</v>
      </c>
      <c r="M2010" t="s">
        <v>15</v>
      </c>
      <c r="N2010" s="2">
        <v>1327109.6000000001</v>
      </c>
      <c r="O2010" s="2">
        <v>0</v>
      </c>
      <c r="P2010" s="2">
        <v>-220670.94</v>
      </c>
      <c r="Q2010" s="2">
        <v>1106438.6599999999</v>
      </c>
      <c r="R2010" s="2">
        <v>0</v>
      </c>
      <c r="S2010" s="2">
        <v>1106438.6599999999</v>
      </c>
      <c r="T2010" s="2">
        <v>1106438.6599999999</v>
      </c>
      <c r="U2010" s="2">
        <v>0</v>
      </c>
      <c r="V2010" s="2">
        <v>0</v>
      </c>
      <c r="W2010" s="2">
        <v>0</v>
      </c>
    </row>
    <row r="2011" spans="1:23" outlineLevel="2" x14ac:dyDescent="0.2">
      <c r="A2011" t="s">
        <v>763</v>
      </c>
      <c r="B2011" t="s">
        <v>1</v>
      </c>
      <c r="C2011" t="s">
        <v>2</v>
      </c>
      <c r="D2011" t="s">
        <v>474</v>
      </c>
      <c r="E2011" t="s">
        <v>475</v>
      </c>
      <c r="F2011" t="s">
        <v>5</v>
      </c>
      <c r="G2011" t="s">
        <v>6</v>
      </c>
      <c r="H2011" t="s">
        <v>7</v>
      </c>
      <c r="I2011" t="s">
        <v>8</v>
      </c>
      <c r="J2011" t="s">
        <v>764</v>
      </c>
      <c r="K2011" t="s">
        <v>765</v>
      </c>
      <c r="L2011" t="s">
        <v>766</v>
      </c>
      <c r="M2011" t="s">
        <v>12</v>
      </c>
      <c r="N2011" s="2">
        <v>0</v>
      </c>
      <c r="O2011" s="2">
        <v>0</v>
      </c>
      <c r="P2011" s="2">
        <v>182796.29</v>
      </c>
      <c r="Q2011" s="2">
        <v>182796.29</v>
      </c>
      <c r="R2011" s="2">
        <v>0</v>
      </c>
      <c r="S2011" s="2">
        <v>94123.04</v>
      </c>
      <c r="T2011" s="2">
        <v>94123.04</v>
      </c>
      <c r="U2011" s="2">
        <v>88673.25</v>
      </c>
      <c r="V2011" s="2">
        <v>88673.25</v>
      </c>
      <c r="W2011" s="2">
        <v>88673.25</v>
      </c>
    </row>
    <row r="2012" spans="1:23" outlineLevel="2" x14ac:dyDescent="0.2">
      <c r="A2012" t="s">
        <v>763</v>
      </c>
      <c r="B2012" t="s">
        <v>1</v>
      </c>
      <c r="C2012" t="s">
        <v>2</v>
      </c>
      <c r="D2012" t="s">
        <v>474</v>
      </c>
      <c r="E2012" t="s">
        <v>475</v>
      </c>
      <c r="F2012" t="s">
        <v>5</v>
      </c>
      <c r="G2012" t="s">
        <v>6</v>
      </c>
      <c r="H2012" t="s">
        <v>7</v>
      </c>
      <c r="I2012" t="s">
        <v>8</v>
      </c>
      <c r="J2012" t="s">
        <v>764</v>
      </c>
      <c r="K2012" t="s">
        <v>767</v>
      </c>
      <c r="L2012" t="s">
        <v>768</v>
      </c>
      <c r="M2012" t="s">
        <v>12</v>
      </c>
      <c r="N2012" s="2">
        <v>0</v>
      </c>
      <c r="O2012" s="2">
        <v>0</v>
      </c>
      <c r="P2012" s="2">
        <v>11349780.699999999</v>
      </c>
      <c r="Q2012" s="2">
        <v>11349780.699999999</v>
      </c>
      <c r="R2012" s="2">
        <v>0</v>
      </c>
      <c r="S2012" s="2">
        <v>0</v>
      </c>
      <c r="T2012" s="2">
        <v>0</v>
      </c>
      <c r="U2012" s="2">
        <v>11349780.699999999</v>
      </c>
      <c r="V2012" s="2">
        <v>11349780.699999999</v>
      </c>
      <c r="W2012" s="2">
        <v>11349780.699999999</v>
      </c>
    </row>
    <row r="2013" spans="1:23" outlineLevel="2" x14ac:dyDescent="0.2">
      <c r="A2013" t="s">
        <v>763</v>
      </c>
      <c r="B2013" t="s">
        <v>1</v>
      </c>
      <c r="C2013" t="s">
        <v>2</v>
      </c>
      <c r="D2013" t="s">
        <v>474</v>
      </c>
      <c r="E2013" t="s">
        <v>475</v>
      </c>
      <c r="F2013" t="s">
        <v>5</v>
      </c>
      <c r="G2013" t="s">
        <v>6</v>
      </c>
      <c r="H2013" t="s">
        <v>7</v>
      </c>
      <c r="I2013" t="s">
        <v>8</v>
      </c>
      <c r="J2013" t="s">
        <v>764</v>
      </c>
      <c r="K2013" t="s">
        <v>767</v>
      </c>
      <c r="L2013" t="s">
        <v>768</v>
      </c>
      <c r="M2013" t="s">
        <v>15</v>
      </c>
      <c r="N2013" s="2">
        <v>45017521.619999997</v>
      </c>
      <c r="O2013" s="2">
        <v>0</v>
      </c>
      <c r="P2013" s="2">
        <v>-21964616.350000001</v>
      </c>
      <c r="Q2013" s="2">
        <v>23052905.27</v>
      </c>
      <c r="R2013" s="2">
        <v>0</v>
      </c>
      <c r="S2013" s="2">
        <v>19672080.199999999</v>
      </c>
      <c r="T2013" s="2">
        <v>19672080.199999999</v>
      </c>
      <c r="U2013" s="2">
        <v>3380825.07</v>
      </c>
      <c r="V2013" s="2">
        <v>3380825.07</v>
      </c>
      <c r="W2013" s="2">
        <v>3380825.07</v>
      </c>
    </row>
    <row r="2014" spans="1:23" outlineLevel="2" x14ac:dyDescent="0.2">
      <c r="A2014" t="s">
        <v>763</v>
      </c>
      <c r="B2014" t="s">
        <v>1</v>
      </c>
      <c r="C2014" t="s">
        <v>2</v>
      </c>
      <c r="D2014" t="s">
        <v>474</v>
      </c>
      <c r="E2014" t="s">
        <v>475</v>
      </c>
      <c r="F2014" t="s">
        <v>5</v>
      </c>
      <c r="G2014" t="s">
        <v>6</v>
      </c>
      <c r="H2014" t="s">
        <v>7</v>
      </c>
      <c r="I2014" t="s">
        <v>8</v>
      </c>
      <c r="J2014" t="s">
        <v>764</v>
      </c>
      <c r="K2014" t="s">
        <v>769</v>
      </c>
      <c r="L2014" t="s">
        <v>770</v>
      </c>
      <c r="M2014" t="s">
        <v>12</v>
      </c>
      <c r="N2014" s="2">
        <v>0</v>
      </c>
      <c r="O2014" s="2">
        <v>0</v>
      </c>
      <c r="P2014" s="2">
        <v>23000</v>
      </c>
      <c r="Q2014" s="2">
        <v>23000</v>
      </c>
      <c r="R2014" s="2">
        <v>0</v>
      </c>
      <c r="S2014" s="2">
        <v>0</v>
      </c>
      <c r="T2014" s="2">
        <v>0</v>
      </c>
      <c r="U2014" s="2">
        <v>23000</v>
      </c>
      <c r="V2014" s="2">
        <v>23000</v>
      </c>
      <c r="W2014" s="2">
        <v>23000</v>
      </c>
    </row>
    <row r="2015" spans="1:23" outlineLevel="2" x14ac:dyDescent="0.2">
      <c r="A2015" t="s">
        <v>763</v>
      </c>
      <c r="B2015" t="s">
        <v>1</v>
      </c>
      <c r="C2015" t="s">
        <v>2</v>
      </c>
      <c r="D2015" t="s">
        <v>474</v>
      </c>
      <c r="E2015" t="s">
        <v>475</v>
      </c>
      <c r="F2015" t="s">
        <v>5</v>
      </c>
      <c r="G2015" t="s">
        <v>6</v>
      </c>
      <c r="H2015" t="s">
        <v>7</v>
      </c>
      <c r="I2015" t="s">
        <v>8</v>
      </c>
      <c r="J2015" t="s">
        <v>764</v>
      </c>
      <c r="K2015" t="s">
        <v>769</v>
      </c>
      <c r="L2015" t="s">
        <v>770</v>
      </c>
      <c r="M2015" t="s">
        <v>15</v>
      </c>
      <c r="N2015" s="2">
        <v>1509762</v>
      </c>
      <c r="O2015" s="2">
        <v>0</v>
      </c>
      <c r="P2015" s="2">
        <v>-23000</v>
      </c>
      <c r="Q2015" s="2">
        <v>1486762</v>
      </c>
      <c r="R2015" s="2">
        <v>0</v>
      </c>
      <c r="S2015" s="2">
        <v>1486762</v>
      </c>
      <c r="T2015" s="2">
        <v>1486762</v>
      </c>
      <c r="U2015" s="2">
        <v>0</v>
      </c>
      <c r="V2015" s="2">
        <v>0</v>
      </c>
      <c r="W2015" s="2">
        <v>0</v>
      </c>
    </row>
    <row r="2016" spans="1:23" outlineLevel="2" x14ac:dyDescent="0.2">
      <c r="A2016" t="s">
        <v>771</v>
      </c>
      <c r="B2016" t="s">
        <v>31</v>
      </c>
      <c r="C2016" t="s">
        <v>32</v>
      </c>
      <c r="D2016" t="s">
        <v>75</v>
      </c>
      <c r="E2016" t="s">
        <v>76</v>
      </c>
      <c r="F2016" t="s">
        <v>5</v>
      </c>
      <c r="G2016" t="s">
        <v>6</v>
      </c>
      <c r="H2016" t="s">
        <v>7</v>
      </c>
      <c r="I2016" t="s">
        <v>8</v>
      </c>
      <c r="J2016" t="s">
        <v>772</v>
      </c>
      <c r="K2016" t="s">
        <v>773</v>
      </c>
      <c r="L2016" t="s">
        <v>774</v>
      </c>
      <c r="M2016" t="s">
        <v>12</v>
      </c>
      <c r="N2016" s="2">
        <v>5700</v>
      </c>
      <c r="O2016" s="2">
        <v>0</v>
      </c>
      <c r="P2016" s="2">
        <v>0</v>
      </c>
      <c r="Q2016" s="2">
        <v>5700</v>
      </c>
      <c r="R2016" s="2">
        <v>0</v>
      </c>
      <c r="S2016" s="2">
        <v>1025.8900000000001</v>
      </c>
      <c r="T2016" s="2">
        <v>705.55</v>
      </c>
      <c r="U2016" s="2">
        <v>4674.1099999999997</v>
      </c>
      <c r="V2016" s="2">
        <v>4994.45</v>
      </c>
      <c r="W2016" s="2">
        <v>4674.1099999999997</v>
      </c>
    </row>
    <row r="2017" spans="1:23" outlineLevel="2" x14ac:dyDescent="0.2">
      <c r="A2017" t="s">
        <v>771</v>
      </c>
      <c r="B2017" t="s">
        <v>39</v>
      </c>
      <c r="C2017" t="s">
        <v>58</v>
      </c>
      <c r="D2017" t="s">
        <v>149</v>
      </c>
      <c r="E2017" t="s">
        <v>150</v>
      </c>
      <c r="F2017" t="s">
        <v>5</v>
      </c>
      <c r="G2017" t="s">
        <v>6</v>
      </c>
      <c r="H2017" t="s">
        <v>7</v>
      </c>
      <c r="I2017" t="s">
        <v>8</v>
      </c>
      <c r="J2017" t="s">
        <v>772</v>
      </c>
      <c r="K2017" t="s">
        <v>773</v>
      </c>
      <c r="L2017" t="s">
        <v>775</v>
      </c>
      <c r="M2017" t="s">
        <v>12</v>
      </c>
      <c r="N2017" s="2">
        <v>2500</v>
      </c>
      <c r="O2017" s="2">
        <v>0</v>
      </c>
      <c r="P2017" s="2">
        <v>-1628.38</v>
      </c>
      <c r="Q2017" s="2">
        <v>871.62</v>
      </c>
      <c r="R2017" s="2">
        <v>0</v>
      </c>
      <c r="S2017" s="2">
        <v>871.62</v>
      </c>
      <c r="T2017" s="2">
        <v>19.8</v>
      </c>
      <c r="U2017" s="2">
        <v>0</v>
      </c>
      <c r="V2017" s="2">
        <v>851.82</v>
      </c>
      <c r="W2017" s="2">
        <v>0</v>
      </c>
    </row>
    <row r="2018" spans="1:23" outlineLevel="2" x14ac:dyDescent="0.2">
      <c r="A2018" t="s">
        <v>771</v>
      </c>
      <c r="B2018" t="s">
        <v>1</v>
      </c>
      <c r="C2018" t="s">
        <v>2</v>
      </c>
      <c r="D2018" t="s">
        <v>474</v>
      </c>
      <c r="E2018" t="s">
        <v>475</v>
      </c>
      <c r="F2018" t="s">
        <v>5</v>
      </c>
      <c r="G2018" t="s">
        <v>6</v>
      </c>
      <c r="H2018" t="s">
        <v>7</v>
      </c>
      <c r="I2018" t="s">
        <v>8</v>
      </c>
      <c r="J2018" t="s">
        <v>772</v>
      </c>
      <c r="K2018" t="s">
        <v>773</v>
      </c>
      <c r="L2018" t="s">
        <v>776</v>
      </c>
      <c r="M2018" t="s">
        <v>15</v>
      </c>
      <c r="N2018" s="2">
        <v>2400</v>
      </c>
      <c r="O2018" s="2">
        <v>0</v>
      </c>
      <c r="P2018" s="2">
        <v>-2400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</row>
    <row r="2019" spans="1:23" outlineLevel="2" x14ac:dyDescent="0.2">
      <c r="A2019" t="s">
        <v>771</v>
      </c>
      <c r="B2019" t="s">
        <v>1</v>
      </c>
      <c r="C2019" t="s">
        <v>2</v>
      </c>
      <c r="D2019" t="s">
        <v>3</v>
      </c>
      <c r="E2019" t="s">
        <v>4</v>
      </c>
      <c r="F2019" t="s">
        <v>5</v>
      </c>
      <c r="G2019" t="s">
        <v>6</v>
      </c>
      <c r="H2019" t="s">
        <v>7</v>
      </c>
      <c r="I2019" t="s">
        <v>8</v>
      </c>
      <c r="J2019" t="s">
        <v>772</v>
      </c>
      <c r="K2019" t="s">
        <v>773</v>
      </c>
      <c r="L2019" t="s">
        <v>776</v>
      </c>
      <c r="M2019" t="s">
        <v>12</v>
      </c>
      <c r="N2019" s="2">
        <v>0</v>
      </c>
      <c r="O2019" s="2">
        <v>0</v>
      </c>
      <c r="P2019" s="2">
        <v>0.06</v>
      </c>
      <c r="Q2019" s="2">
        <v>0.06</v>
      </c>
      <c r="R2019" s="2">
        <v>0</v>
      </c>
      <c r="S2019" s="2">
        <v>0</v>
      </c>
      <c r="T2019" s="2">
        <v>0</v>
      </c>
      <c r="U2019" s="2">
        <v>0.06</v>
      </c>
      <c r="V2019" s="2">
        <v>0.06</v>
      </c>
      <c r="W2019" s="2">
        <v>0.06</v>
      </c>
    </row>
    <row r="2020" spans="1:23" outlineLevel="2" x14ac:dyDescent="0.2">
      <c r="A2020" t="s">
        <v>771</v>
      </c>
      <c r="B2020" t="s">
        <v>1</v>
      </c>
      <c r="C2020" t="s">
        <v>2</v>
      </c>
      <c r="D2020" t="s">
        <v>410</v>
      </c>
      <c r="E2020" t="s">
        <v>411</v>
      </c>
      <c r="F2020" t="s">
        <v>5</v>
      </c>
      <c r="G2020" t="s">
        <v>6</v>
      </c>
      <c r="H2020" t="s">
        <v>7</v>
      </c>
      <c r="I2020" t="s">
        <v>8</v>
      </c>
      <c r="J2020" t="s">
        <v>772</v>
      </c>
      <c r="K2020" t="s">
        <v>773</v>
      </c>
      <c r="L2020" t="s">
        <v>776</v>
      </c>
      <c r="M2020" t="s">
        <v>15</v>
      </c>
      <c r="N2020" s="2">
        <v>29000</v>
      </c>
      <c r="O2020" s="2">
        <v>0</v>
      </c>
      <c r="P2020" s="2">
        <v>-14395.67</v>
      </c>
      <c r="Q2020" s="2">
        <v>14604.33</v>
      </c>
      <c r="R2020" s="2">
        <v>4541.8999999999996</v>
      </c>
      <c r="S2020" s="2">
        <v>10062.43</v>
      </c>
      <c r="T2020" s="2">
        <v>0</v>
      </c>
      <c r="U2020" s="2">
        <v>4541.8999999999996</v>
      </c>
      <c r="V2020" s="2">
        <v>14604.33</v>
      </c>
      <c r="W2020" s="2">
        <v>0</v>
      </c>
    </row>
    <row r="2021" spans="1:23" outlineLevel="2" x14ac:dyDescent="0.2">
      <c r="A2021" t="s">
        <v>771</v>
      </c>
      <c r="B2021" t="s">
        <v>39</v>
      </c>
      <c r="C2021" t="s">
        <v>58</v>
      </c>
      <c r="D2021" t="s">
        <v>139</v>
      </c>
      <c r="E2021" t="s">
        <v>140</v>
      </c>
      <c r="F2021" t="s">
        <v>5</v>
      </c>
      <c r="G2021" t="s">
        <v>6</v>
      </c>
      <c r="H2021" t="s">
        <v>7</v>
      </c>
      <c r="I2021" t="s">
        <v>8</v>
      </c>
      <c r="J2021" t="s">
        <v>772</v>
      </c>
      <c r="K2021" t="s">
        <v>773</v>
      </c>
      <c r="L2021" t="s">
        <v>775</v>
      </c>
      <c r="M2021" t="s">
        <v>12</v>
      </c>
      <c r="N2021" s="2">
        <v>2500</v>
      </c>
      <c r="O2021" s="2">
        <v>0</v>
      </c>
      <c r="P2021" s="2">
        <v>0</v>
      </c>
      <c r="Q2021" s="2">
        <v>2500</v>
      </c>
      <c r="R2021" s="2">
        <v>0</v>
      </c>
      <c r="S2021" s="2">
        <v>2138.3000000000002</v>
      </c>
      <c r="T2021" s="2">
        <v>2116.4899999999998</v>
      </c>
      <c r="U2021" s="2">
        <v>361.7</v>
      </c>
      <c r="V2021" s="2">
        <v>383.51</v>
      </c>
      <c r="W2021" s="2">
        <v>361.7</v>
      </c>
    </row>
    <row r="2022" spans="1:23" outlineLevel="2" x14ac:dyDescent="0.2">
      <c r="A2022" t="s">
        <v>771</v>
      </c>
      <c r="B2022" t="s">
        <v>31</v>
      </c>
      <c r="C2022" t="s">
        <v>79</v>
      </c>
      <c r="D2022" t="s">
        <v>133</v>
      </c>
      <c r="E2022" t="s">
        <v>134</v>
      </c>
      <c r="F2022" t="s">
        <v>5</v>
      </c>
      <c r="G2022" t="s">
        <v>6</v>
      </c>
      <c r="H2022" t="s">
        <v>7</v>
      </c>
      <c r="I2022" t="s">
        <v>8</v>
      </c>
      <c r="J2022" t="s">
        <v>772</v>
      </c>
      <c r="K2022" t="s">
        <v>773</v>
      </c>
      <c r="L2022" t="s">
        <v>777</v>
      </c>
      <c r="M2022" t="s">
        <v>12</v>
      </c>
      <c r="N2022" s="2">
        <v>500</v>
      </c>
      <c r="O2022" s="2">
        <v>0</v>
      </c>
      <c r="P2022" s="2">
        <v>0</v>
      </c>
      <c r="Q2022" s="2">
        <v>500</v>
      </c>
      <c r="R2022" s="2">
        <v>0</v>
      </c>
      <c r="S2022" s="2">
        <v>418.88</v>
      </c>
      <c r="T2022" s="2">
        <v>418.88</v>
      </c>
      <c r="U2022" s="2">
        <v>81.12</v>
      </c>
      <c r="V2022" s="2">
        <v>81.12</v>
      </c>
      <c r="W2022" s="2">
        <v>81.12</v>
      </c>
    </row>
    <row r="2023" spans="1:23" outlineLevel="2" x14ac:dyDescent="0.2">
      <c r="A2023" t="s">
        <v>771</v>
      </c>
      <c r="B2023" t="s">
        <v>31</v>
      </c>
      <c r="C2023" t="s">
        <v>79</v>
      </c>
      <c r="D2023" t="s">
        <v>113</v>
      </c>
      <c r="E2023" t="s">
        <v>114</v>
      </c>
      <c r="F2023" t="s">
        <v>5</v>
      </c>
      <c r="G2023" t="s">
        <v>6</v>
      </c>
      <c r="H2023" t="s">
        <v>7</v>
      </c>
      <c r="I2023" t="s">
        <v>8</v>
      </c>
      <c r="J2023" t="s">
        <v>772</v>
      </c>
      <c r="K2023" t="s">
        <v>773</v>
      </c>
      <c r="L2023" t="s">
        <v>777</v>
      </c>
      <c r="M2023" t="s">
        <v>12</v>
      </c>
      <c r="N2023" s="2">
        <v>300</v>
      </c>
      <c r="O2023" s="2">
        <v>0</v>
      </c>
      <c r="P2023" s="2">
        <v>0</v>
      </c>
      <c r="Q2023" s="2">
        <v>300</v>
      </c>
      <c r="R2023" s="2">
        <v>0</v>
      </c>
      <c r="S2023" s="2">
        <v>91.59</v>
      </c>
      <c r="T2023" s="2">
        <v>91.59</v>
      </c>
      <c r="U2023" s="2">
        <v>208.41</v>
      </c>
      <c r="V2023" s="2">
        <v>208.41</v>
      </c>
      <c r="W2023" s="2">
        <v>208.41</v>
      </c>
    </row>
    <row r="2024" spans="1:23" outlineLevel="2" x14ac:dyDescent="0.2">
      <c r="A2024" t="s">
        <v>771</v>
      </c>
      <c r="B2024" t="s">
        <v>39</v>
      </c>
      <c r="C2024" t="s">
        <v>58</v>
      </c>
      <c r="D2024" t="s">
        <v>59</v>
      </c>
      <c r="E2024" t="s">
        <v>60</v>
      </c>
      <c r="F2024" t="s">
        <v>5</v>
      </c>
      <c r="G2024" t="s">
        <v>6</v>
      </c>
      <c r="H2024" t="s">
        <v>7</v>
      </c>
      <c r="I2024" t="s">
        <v>8</v>
      </c>
      <c r="J2024" t="s">
        <v>772</v>
      </c>
      <c r="K2024" t="s">
        <v>773</v>
      </c>
      <c r="L2024" t="s">
        <v>775</v>
      </c>
      <c r="M2024" t="s">
        <v>12</v>
      </c>
      <c r="N2024" s="2">
        <v>2500</v>
      </c>
      <c r="O2024" s="2">
        <v>2000</v>
      </c>
      <c r="P2024" s="2">
        <v>0</v>
      </c>
      <c r="Q2024" s="2">
        <v>4500</v>
      </c>
      <c r="R2024" s="2">
        <v>0</v>
      </c>
      <c r="S2024" s="2">
        <v>3538.25</v>
      </c>
      <c r="T2024" s="2">
        <v>2142.7199999999998</v>
      </c>
      <c r="U2024" s="2">
        <v>961.75</v>
      </c>
      <c r="V2024" s="2">
        <v>2357.2800000000002</v>
      </c>
      <c r="W2024" s="2">
        <v>961.75</v>
      </c>
    </row>
    <row r="2025" spans="1:23" outlineLevel="2" x14ac:dyDescent="0.2">
      <c r="A2025" t="s">
        <v>771</v>
      </c>
      <c r="B2025" t="s">
        <v>31</v>
      </c>
      <c r="C2025" t="s">
        <v>79</v>
      </c>
      <c r="D2025" t="s">
        <v>125</v>
      </c>
      <c r="E2025" t="s">
        <v>126</v>
      </c>
      <c r="F2025" t="s">
        <v>5</v>
      </c>
      <c r="G2025" t="s">
        <v>6</v>
      </c>
      <c r="H2025" t="s">
        <v>7</v>
      </c>
      <c r="I2025" t="s">
        <v>8</v>
      </c>
      <c r="J2025" t="s">
        <v>772</v>
      </c>
      <c r="K2025" t="s">
        <v>773</v>
      </c>
      <c r="L2025" t="s">
        <v>777</v>
      </c>
      <c r="M2025" t="s">
        <v>12</v>
      </c>
      <c r="N2025" s="2">
        <v>0</v>
      </c>
      <c r="O2025" s="2">
        <v>188.78</v>
      </c>
      <c r="P2025" s="2">
        <v>0</v>
      </c>
      <c r="Q2025" s="2">
        <v>188.78</v>
      </c>
      <c r="R2025" s="2">
        <v>0</v>
      </c>
      <c r="S2025" s="2">
        <v>188.78</v>
      </c>
      <c r="T2025" s="2">
        <v>188.78</v>
      </c>
      <c r="U2025" s="2">
        <v>0</v>
      </c>
      <c r="V2025" s="2">
        <v>0</v>
      </c>
      <c r="W2025" s="2">
        <v>0</v>
      </c>
    </row>
    <row r="2026" spans="1:23" outlineLevel="2" x14ac:dyDescent="0.2">
      <c r="A2026" t="s">
        <v>771</v>
      </c>
      <c r="B2026" t="s">
        <v>39</v>
      </c>
      <c r="C2026" t="s">
        <v>40</v>
      </c>
      <c r="D2026" t="s">
        <v>77</v>
      </c>
      <c r="E2026" t="s">
        <v>78</v>
      </c>
      <c r="F2026" t="s">
        <v>5</v>
      </c>
      <c r="G2026" t="s">
        <v>6</v>
      </c>
      <c r="H2026" t="s">
        <v>7</v>
      </c>
      <c r="I2026" t="s">
        <v>8</v>
      </c>
      <c r="J2026" t="s">
        <v>772</v>
      </c>
      <c r="K2026" t="s">
        <v>773</v>
      </c>
      <c r="L2026" t="s">
        <v>778</v>
      </c>
      <c r="M2026" t="s">
        <v>12</v>
      </c>
      <c r="N2026" s="2">
        <v>0</v>
      </c>
      <c r="O2026" s="2">
        <v>108800</v>
      </c>
      <c r="P2026" s="2">
        <v>0</v>
      </c>
      <c r="Q2026" s="2">
        <v>108800</v>
      </c>
      <c r="R2026" s="2">
        <v>0</v>
      </c>
      <c r="S2026" s="2">
        <v>80070.94</v>
      </c>
      <c r="T2026" s="2">
        <v>62037.75</v>
      </c>
      <c r="U2026" s="2">
        <v>28729.06</v>
      </c>
      <c r="V2026" s="2">
        <v>46762.25</v>
      </c>
      <c r="W2026" s="2">
        <v>28729.06</v>
      </c>
    </row>
    <row r="2027" spans="1:23" outlineLevel="2" x14ac:dyDescent="0.2">
      <c r="A2027" t="s">
        <v>771</v>
      </c>
      <c r="B2027" t="s">
        <v>39</v>
      </c>
      <c r="C2027" t="s">
        <v>58</v>
      </c>
      <c r="D2027" t="s">
        <v>143</v>
      </c>
      <c r="E2027" t="s">
        <v>144</v>
      </c>
      <c r="F2027" t="s">
        <v>5</v>
      </c>
      <c r="G2027" t="s">
        <v>6</v>
      </c>
      <c r="H2027" t="s">
        <v>7</v>
      </c>
      <c r="I2027" t="s">
        <v>8</v>
      </c>
      <c r="J2027" t="s">
        <v>772</v>
      </c>
      <c r="K2027" t="s">
        <v>773</v>
      </c>
      <c r="L2027" t="s">
        <v>775</v>
      </c>
      <c r="M2027" t="s">
        <v>12</v>
      </c>
      <c r="N2027" s="2">
        <v>1400</v>
      </c>
      <c r="O2027" s="2">
        <v>1000</v>
      </c>
      <c r="P2027" s="2">
        <v>0</v>
      </c>
      <c r="Q2027" s="2">
        <v>2400</v>
      </c>
      <c r="R2027" s="2">
        <v>0</v>
      </c>
      <c r="S2027" s="2">
        <v>1473</v>
      </c>
      <c r="T2027" s="2">
        <v>1202.46</v>
      </c>
      <c r="U2027" s="2">
        <v>927</v>
      </c>
      <c r="V2027" s="2">
        <v>1197.54</v>
      </c>
      <c r="W2027" s="2">
        <v>927</v>
      </c>
    </row>
    <row r="2028" spans="1:23" outlineLevel="2" x14ac:dyDescent="0.2">
      <c r="A2028" t="s">
        <v>771</v>
      </c>
      <c r="B2028" t="s">
        <v>53</v>
      </c>
      <c r="C2028" t="s">
        <v>54</v>
      </c>
      <c r="D2028" t="s">
        <v>55</v>
      </c>
      <c r="E2028" t="s">
        <v>56</v>
      </c>
      <c r="F2028" t="s">
        <v>5</v>
      </c>
      <c r="G2028" t="s">
        <v>6</v>
      </c>
      <c r="H2028" t="s">
        <v>7</v>
      </c>
      <c r="I2028" t="s">
        <v>8</v>
      </c>
      <c r="J2028" t="s">
        <v>772</v>
      </c>
      <c r="K2028" t="s">
        <v>773</v>
      </c>
      <c r="L2028" t="s">
        <v>779</v>
      </c>
      <c r="M2028" t="s">
        <v>12</v>
      </c>
      <c r="N2028" s="2">
        <v>2000</v>
      </c>
      <c r="O2028" s="2">
        <v>-26</v>
      </c>
      <c r="P2028" s="2">
        <v>0</v>
      </c>
      <c r="Q2028" s="2">
        <v>1974</v>
      </c>
      <c r="R2028" s="2">
        <v>0</v>
      </c>
      <c r="S2028" s="2">
        <v>1235.8499999999999</v>
      </c>
      <c r="T2028" s="2">
        <v>1235.8499999999999</v>
      </c>
      <c r="U2028" s="2">
        <v>738.15</v>
      </c>
      <c r="V2028" s="2">
        <v>738.15</v>
      </c>
      <c r="W2028" s="2">
        <v>738.15</v>
      </c>
    </row>
    <row r="2029" spans="1:23" outlineLevel="2" x14ac:dyDescent="0.2">
      <c r="A2029" t="s">
        <v>771</v>
      </c>
      <c r="B2029" t="s">
        <v>31</v>
      </c>
      <c r="C2029" t="s">
        <v>79</v>
      </c>
      <c r="D2029" t="s">
        <v>117</v>
      </c>
      <c r="E2029" t="s">
        <v>118</v>
      </c>
      <c r="F2029" t="s">
        <v>5</v>
      </c>
      <c r="G2029" t="s">
        <v>6</v>
      </c>
      <c r="H2029" t="s">
        <v>7</v>
      </c>
      <c r="I2029" t="s">
        <v>8</v>
      </c>
      <c r="J2029" t="s">
        <v>772</v>
      </c>
      <c r="K2029" t="s">
        <v>773</v>
      </c>
      <c r="L2029" t="s">
        <v>777</v>
      </c>
      <c r="M2029" t="s">
        <v>12</v>
      </c>
      <c r="N2029" s="2">
        <v>1000</v>
      </c>
      <c r="O2029" s="2">
        <v>0</v>
      </c>
      <c r="P2029" s="2">
        <v>0</v>
      </c>
      <c r="Q2029" s="2">
        <v>1000</v>
      </c>
      <c r="R2029" s="2">
        <v>0</v>
      </c>
      <c r="S2029" s="2">
        <v>282.60000000000002</v>
      </c>
      <c r="T2029" s="2">
        <v>0</v>
      </c>
      <c r="U2029" s="2">
        <v>717.4</v>
      </c>
      <c r="V2029" s="2">
        <v>1000</v>
      </c>
      <c r="W2029" s="2">
        <v>717.4</v>
      </c>
    </row>
    <row r="2030" spans="1:23" outlineLevel="2" x14ac:dyDescent="0.2">
      <c r="A2030" t="s">
        <v>771</v>
      </c>
      <c r="B2030" t="s">
        <v>31</v>
      </c>
      <c r="C2030" t="s">
        <v>79</v>
      </c>
      <c r="D2030" t="s">
        <v>80</v>
      </c>
      <c r="E2030" t="s">
        <v>81</v>
      </c>
      <c r="F2030" t="s">
        <v>5</v>
      </c>
      <c r="G2030" t="s">
        <v>6</v>
      </c>
      <c r="H2030" t="s">
        <v>7</v>
      </c>
      <c r="I2030" t="s">
        <v>8</v>
      </c>
      <c r="J2030" t="s">
        <v>772</v>
      </c>
      <c r="K2030" t="s">
        <v>773</v>
      </c>
      <c r="L2030" t="s">
        <v>777</v>
      </c>
      <c r="M2030" t="s">
        <v>12</v>
      </c>
      <c r="N2030" s="2">
        <v>1000</v>
      </c>
      <c r="O2030" s="2">
        <v>0</v>
      </c>
      <c r="P2030" s="2">
        <v>-193.33</v>
      </c>
      <c r="Q2030" s="2">
        <v>806.67</v>
      </c>
      <c r="R2030" s="2">
        <v>0</v>
      </c>
      <c r="S2030" s="2">
        <v>806.67</v>
      </c>
      <c r="T2030" s="2">
        <v>806.67</v>
      </c>
      <c r="U2030" s="2">
        <v>0</v>
      </c>
      <c r="V2030" s="2">
        <v>0</v>
      </c>
      <c r="W2030" s="2">
        <v>0</v>
      </c>
    </row>
    <row r="2031" spans="1:23" outlineLevel="2" x14ac:dyDescent="0.2">
      <c r="A2031" t="s">
        <v>771</v>
      </c>
      <c r="B2031" t="s">
        <v>39</v>
      </c>
      <c r="C2031" t="s">
        <v>66</v>
      </c>
      <c r="D2031" t="s">
        <v>67</v>
      </c>
      <c r="E2031" t="s">
        <v>68</v>
      </c>
      <c r="F2031" t="s">
        <v>5</v>
      </c>
      <c r="G2031" t="s">
        <v>6</v>
      </c>
      <c r="H2031" t="s">
        <v>7</v>
      </c>
      <c r="I2031" t="s">
        <v>8</v>
      </c>
      <c r="J2031" t="s">
        <v>772</v>
      </c>
      <c r="K2031" t="s">
        <v>773</v>
      </c>
      <c r="L2031" t="s">
        <v>780</v>
      </c>
      <c r="M2031" t="s">
        <v>12</v>
      </c>
      <c r="N2031" s="2">
        <v>2500</v>
      </c>
      <c r="O2031" s="2">
        <v>-37.67</v>
      </c>
      <c r="P2031" s="2">
        <v>0</v>
      </c>
      <c r="Q2031" s="2">
        <v>2462.33</v>
      </c>
      <c r="R2031" s="2">
        <v>0</v>
      </c>
      <c r="S2031" s="2">
        <v>2434.42</v>
      </c>
      <c r="T2031" s="2">
        <v>2424.64</v>
      </c>
      <c r="U2031" s="2">
        <v>27.91</v>
      </c>
      <c r="V2031" s="2">
        <v>37.69</v>
      </c>
      <c r="W2031" s="2">
        <v>27.91</v>
      </c>
    </row>
    <row r="2032" spans="1:23" outlineLevel="2" x14ac:dyDescent="0.2">
      <c r="A2032" t="s">
        <v>771</v>
      </c>
      <c r="B2032" t="s">
        <v>31</v>
      </c>
      <c r="C2032" t="s">
        <v>32</v>
      </c>
      <c r="D2032" t="s">
        <v>33</v>
      </c>
      <c r="E2032" t="s">
        <v>34</v>
      </c>
      <c r="F2032" t="s">
        <v>5</v>
      </c>
      <c r="G2032" t="s">
        <v>6</v>
      </c>
      <c r="H2032" t="s">
        <v>7</v>
      </c>
      <c r="I2032" t="s">
        <v>8</v>
      </c>
      <c r="J2032" t="s">
        <v>772</v>
      </c>
      <c r="K2032" t="s">
        <v>773</v>
      </c>
      <c r="L2032" t="s">
        <v>774</v>
      </c>
      <c r="M2032" t="s">
        <v>12</v>
      </c>
      <c r="N2032" s="2">
        <v>5000</v>
      </c>
      <c r="O2032" s="2">
        <v>-2500</v>
      </c>
      <c r="P2032" s="2">
        <v>0</v>
      </c>
      <c r="Q2032" s="2">
        <v>2500</v>
      </c>
      <c r="R2032" s="2">
        <v>0</v>
      </c>
      <c r="S2032" s="2">
        <v>1679.2</v>
      </c>
      <c r="T2032" s="2">
        <v>0</v>
      </c>
      <c r="U2032" s="2">
        <v>820.8</v>
      </c>
      <c r="V2032" s="2">
        <v>2500</v>
      </c>
      <c r="W2032" s="2">
        <v>820.8</v>
      </c>
    </row>
    <row r="2033" spans="1:23" outlineLevel="2" x14ac:dyDescent="0.2">
      <c r="A2033" t="s">
        <v>771</v>
      </c>
      <c r="B2033" t="s">
        <v>39</v>
      </c>
      <c r="C2033" t="s">
        <v>58</v>
      </c>
      <c r="D2033" t="s">
        <v>147</v>
      </c>
      <c r="E2033" t="s">
        <v>148</v>
      </c>
      <c r="F2033" t="s">
        <v>5</v>
      </c>
      <c r="G2033" t="s">
        <v>6</v>
      </c>
      <c r="H2033" t="s">
        <v>7</v>
      </c>
      <c r="I2033" t="s">
        <v>8</v>
      </c>
      <c r="J2033" t="s">
        <v>772</v>
      </c>
      <c r="K2033" t="s">
        <v>773</v>
      </c>
      <c r="L2033" t="s">
        <v>775</v>
      </c>
      <c r="M2033" t="s">
        <v>12</v>
      </c>
      <c r="N2033" s="2">
        <v>4000</v>
      </c>
      <c r="O2033" s="2">
        <v>0</v>
      </c>
      <c r="P2033" s="2">
        <v>0</v>
      </c>
      <c r="Q2033" s="2">
        <v>4000</v>
      </c>
      <c r="R2033" s="2">
        <v>1240</v>
      </c>
      <c r="S2033" s="2">
        <v>2760</v>
      </c>
      <c r="T2033" s="2">
        <v>0</v>
      </c>
      <c r="U2033" s="2">
        <v>1240</v>
      </c>
      <c r="V2033" s="2">
        <v>4000</v>
      </c>
      <c r="W2033" s="2">
        <v>0</v>
      </c>
    </row>
    <row r="2034" spans="1:23" outlineLevel="2" x14ac:dyDescent="0.2">
      <c r="A2034" t="s">
        <v>771</v>
      </c>
      <c r="B2034" t="s">
        <v>1</v>
      </c>
      <c r="C2034" t="s">
        <v>2</v>
      </c>
      <c r="D2034" t="s">
        <v>3</v>
      </c>
      <c r="E2034" t="s">
        <v>4</v>
      </c>
      <c r="F2034" t="s">
        <v>5</v>
      </c>
      <c r="G2034" t="s">
        <v>6</v>
      </c>
      <c r="H2034" t="s">
        <v>7</v>
      </c>
      <c r="I2034" t="s">
        <v>8</v>
      </c>
      <c r="J2034" t="s">
        <v>772</v>
      </c>
      <c r="K2034" t="s">
        <v>773</v>
      </c>
      <c r="L2034" t="s">
        <v>776</v>
      </c>
      <c r="M2034" t="s">
        <v>15</v>
      </c>
      <c r="N2034" s="2">
        <v>100</v>
      </c>
      <c r="O2034" s="2">
        <v>19.02</v>
      </c>
      <c r="P2034" s="2">
        <v>-0.06</v>
      </c>
      <c r="Q2034" s="2">
        <v>118.96</v>
      </c>
      <c r="R2034" s="2">
        <v>0</v>
      </c>
      <c r="S2034" s="2">
        <v>118.96</v>
      </c>
      <c r="T2034" s="2">
        <v>118.96</v>
      </c>
      <c r="U2034" s="2">
        <v>0</v>
      </c>
      <c r="V2034" s="2">
        <v>0</v>
      </c>
      <c r="W2034" s="2">
        <v>0</v>
      </c>
    </row>
    <row r="2035" spans="1:23" outlineLevel="2" x14ac:dyDescent="0.2">
      <c r="A2035" t="s">
        <v>771</v>
      </c>
      <c r="B2035" t="s">
        <v>1</v>
      </c>
      <c r="C2035" t="s">
        <v>91</v>
      </c>
      <c r="D2035" t="s">
        <v>92</v>
      </c>
      <c r="E2035" t="s">
        <v>93</v>
      </c>
      <c r="F2035" t="s">
        <v>5</v>
      </c>
      <c r="G2035" t="s">
        <v>6</v>
      </c>
      <c r="H2035" t="s">
        <v>7</v>
      </c>
      <c r="I2035" t="s">
        <v>8</v>
      </c>
      <c r="J2035" t="s">
        <v>772</v>
      </c>
      <c r="K2035" t="s">
        <v>773</v>
      </c>
      <c r="L2035" t="s">
        <v>781</v>
      </c>
      <c r="M2035" t="s">
        <v>15</v>
      </c>
      <c r="N2035" s="2">
        <v>800</v>
      </c>
      <c r="O2035" s="2">
        <v>1500</v>
      </c>
      <c r="P2035" s="2">
        <v>-709.12</v>
      </c>
      <c r="Q2035" s="2">
        <v>1590.88</v>
      </c>
      <c r="R2035" s="2">
        <v>0</v>
      </c>
      <c r="S2035" s="2">
        <v>1590.88</v>
      </c>
      <c r="T2035" s="2">
        <v>505.23</v>
      </c>
      <c r="U2035" s="2">
        <v>0</v>
      </c>
      <c r="V2035" s="2">
        <v>1085.6500000000001</v>
      </c>
      <c r="W2035" s="2">
        <v>0</v>
      </c>
    </row>
    <row r="2036" spans="1:23" outlineLevel="2" x14ac:dyDescent="0.2">
      <c r="A2036" t="s">
        <v>771</v>
      </c>
      <c r="B2036" t="s">
        <v>1</v>
      </c>
      <c r="C2036" t="s">
        <v>91</v>
      </c>
      <c r="D2036" t="s">
        <v>92</v>
      </c>
      <c r="E2036" t="s">
        <v>93</v>
      </c>
      <c r="F2036" t="s">
        <v>5</v>
      </c>
      <c r="G2036" t="s">
        <v>6</v>
      </c>
      <c r="H2036" t="s">
        <v>7</v>
      </c>
      <c r="I2036" t="s">
        <v>8</v>
      </c>
      <c r="J2036" t="s">
        <v>772</v>
      </c>
      <c r="K2036" t="s">
        <v>773</v>
      </c>
      <c r="L2036" t="s">
        <v>781</v>
      </c>
      <c r="M2036" t="s">
        <v>12</v>
      </c>
      <c r="N2036" s="2">
        <v>0</v>
      </c>
      <c r="O2036" s="2">
        <v>0</v>
      </c>
      <c r="P2036" s="2">
        <v>709.12</v>
      </c>
      <c r="Q2036" s="2">
        <v>709.12</v>
      </c>
      <c r="R2036" s="2">
        <v>0</v>
      </c>
      <c r="S2036" s="2">
        <v>0</v>
      </c>
      <c r="T2036" s="2">
        <v>0</v>
      </c>
      <c r="U2036" s="2">
        <v>709.12</v>
      </c>
      <c r="V2036" s="2">
        <v>709.12</v>
      </c>
      <c r="W2036" s="2">
        <v>709.12</v>
      </c>
    </row>
    <row r="2037" spans="1:23" outlineLevel="2" x14ac:dyDescent="0.2">
      <c r="A2037" t="s">
        <v>771</v>
      </c>
      <c r="B2037" t="s">
        <v>39</v>
      </c>
      <c r="C2037" t="s">
        <v>58</v>
      </c>
      <c r="D2037" t="s">
        <v>137</v>
      </c>
      <c r="E2037" t="s">
        <v>138</v>
      </c>
      <c r="F2037" t="s">
        <v>5</v>
      </c>
      <c r="G2037" t="s">
        <v>6</v>
      </c>
      <c r="H2037" t="s">
        <v>7</v>
      </c>
      <c r="I2037" t="s">
        <v>8</v>
      </c>
      <c r="J2037" t="s">
        <v>772</v>
      </c>
      <c r="K2037" t="s">
        <v>773</v>
      </c>
      <c r="L2037" t="s">
        <v>775</v>
      </c>
      <c r="M2037" t="s">
        <v>12</v>
      </c>
      <c r="N2037" s="2">
        <v>1000</v>
      </c>
      <c r="O2037" s="2">
        <v>0</v>
      </c>
      <c r="P2037" s="2">
        <v>0</v>
      </c>
      <c r="Q2037" s="2">
        <v>1000</v>
      </c>
      <c r="R2037" s="2">
        <v>0</v>
      </c>
      <c r="S2037" s="2">
        <v>766.81</v>
      </c>
      <c r="T2037" s="2">
        <v>766.81</v>
      </c>
      <c r="U2037" s="2">
        <v>233.19</v>
      </c>
      <c r="V2037" s="2">
        <v>233.19</v>
      </c>
      <c r="W2037" s="2">
        <v>233.19</v>
      </c>
    </row>
    <row r="2038" spans="1:23" outlineLevel="2" x14ac:dyDescent="0.2">
      <c r="A2038" t="s">
        <v>771</v>
      </c>
      <c r="B2038" t="s">
        <v>1</v>
      </c>
      <c r="C2038" t="s">
        <v>2</v>
      </c>
      <c r="D2038" t="s">
        <v>410</v>
      </c>
      <c r="E2038" t="s">
        <v>411</v>
      </c>
      <c r="F2038" t="s">
        <v>5</v>
      </c>
      <c r="G2038" t="s">
        <v>6</v>
      </c>
      <c r="H2038" t="s">
        <v>7</v>
      </c>
      <c r="I2038" t="s">
        <v>8</v>
      </c>
      <c r="J2038" t="s">
        <v>772</v>
      </c>
      <c r="K2038" t="s">
        <v>773</v>
      </c>
      <c r="L2038" t="s">
        <v>776</v>
      </c>
      <c r="M2038" t="s">
        <v>12</v>
      </c>
      <c r="N2038" s="2">
        <v>0</v>
      </c>
      <c r="O2038" s="2">
        <v>0</v>
      </c>
      <c r="P2038" s="2">
        <v>0.1</v>
      </c>
      <c r="Q2038" s="2">
        <v>0.1</v>
      </c>
      <c r="R2038" s="2">
        <v>0</v>
      </c>
      <c r="S2038" s="2">
        <v>0</v>
      </c>
      <c r="T2038" s="2">
        <v>0</v>
      </c>
      <c r="U2038" s="2">
        <v>0.1</v>
      </c>
      <c r="V2038" s="2">
        <v>0.1</v>
      </c>
      <c r="W2038" s="2">
        <v>0.1</v>
      </c>
    </row>
    <row r="2039" spans="1:23" outlineLevel="2" x14ac:dyDescent="0.2">
      <c r="A2039" t="s">
        <v>771</v>
      </c>
      <c r="B2039" t="s">
        <v>39</v>
      </c>
      <c r="C2039" t="s">
        <v>58</v>
      </c>
      <c r="D2039" t="s">
        <v>135</v>
      </c>
      <c r="E2039" t="s">
        <v>136</v>
      </c>
      <c r="F2039" t="s">
        <v>5</v>
      </c>
      <c r="G2039" t="s">
        <v>6</v>
      </c>
      <c r="H2039" t="s">
        <v>7</v>
      </c>
      <c r="I2039" t="s">
        <v>8</v>
      </c>
      <c r="J2039" t="s">
        <v>772</v>
      </c>
      <c r="K2039" t="s">
        <v>773</v>
      </c>
      <c r="L2039" t="s">
        <v>775</v>
      </c>
      <c r="M2039" t="s">
        <v>12</v>
      </c>
      <c r="N2039" s="2">
        <v>6500</v>
      </c>
      <c r="O2039" s="2">
        <v>-1835.12</v>
      </c>
      <c r="P2039" s="2">
        <v>0</v>
      </c>
      <c r="Q2039" s="2">
        <v>4664.88</v>
      </c>
      <c r="R2039" s="2">
        <v>0</v>
      </c>
      <c r="S2039" s="2">
        <v>4664.76</v>
      </c>
      <c r="T2039" s="2">
        <v>2017.19</v>
      </c>
      <c r="U2039" s="2">
        <v>0.12</v>
      </c>
      <c r="V2039" s="2">
        <v>2647.69</v>
      </c>
      <c r="W2039" s="2">
        <v>0.12</v>
      </c>
    </row>
    <row r="2040" spans="1:23" outlineLevel="2" x14ac:dyDescent="0.2">
      <c r="A2040" t="s">
        <v>771</v>
      </c>
      <c r="B2040" t="s">
        <v>39</v>
      </c>
      <c r="C2040" t="s">
        <v>58</v>
      </c>
      <c r="D2040" t="s">
        <v>129</v>
      </c>
      <c r="E2040" t="s">
        <v>130</v>
      </c>
      <c r="F2040" t="s">
        <v>5</v>
      </c>
      <c r="G2040" t="s">
        <v>6</v>
      </c>
      <c r="H2040" t="s">
        <v>7</v>
      </c>
      <c r="I2040" t="s">
        <v>8</v>
      </c>
      <c r="J2040" t="s">
        <v>772</v>
      </c>
      <c r="K2040" t="s">
        <v>773</v>
      </c>
      <c r="L2040" t="s">
        <v>775</v>
      </c>
      <c r="M2040" t="s">
        <v>12</v>
      </c>
      <c r="N2040" s="2">
        <v>0</v>
      </c>
      <c r="O2040" s="2">
        <v>109.19</v>
      </c>
      <c r="P2040" s="2">
        <v>0</v>
      </c>
      <c r="Q2040" s="2">
        <v>109.19</v>
      </c>
      <c r="R2040" s="2">
        <v>0</v>
      </c>
      <c r="S2040" s="2">
        <v>109.19</v>
      </c>
      <c r="T2040" s="2">
        <v>109.19</v>
      </c>
      <c r="U2040" s="2">
        <v>0</v>
      </c>
      <c r="V2040" s="2">
        <v>0</v>
      </c>
      <c r="W2040" s="2">
        <v>0</v>
      </c>
    </row>
    <row r="2041" spans="1:23" outlineLevel="2" x14ac:dyDescent="0.2">
      <c r="A2041" t="s">
        <v>771</v>
      </c>
      <c r="B2041" t="s">
        <v>39</v>
      </c>
      <c r="C2041" t="s">
        <v>58</v>
      </c>
      <c r="D2041" t="s">
        <v>145</v>
      </c>
      <c r="E2041" t="s">
        <v>146</v>
      </c>
      <c r="F2041" t="s">
        <v>5</v>
      </c>
      <c r="G2041" t="s">
        <v>6</v>
      </c>
      <c r="H2041" t="s">
        <v>7</v>
      </c>
      <c r="I2041" t="s">
        <v>8</v>
      </c>
      <c r="J2041" t="s">
        <v>772</v>
      </c>
      <c r="K2041" t="s">
        <v>773</v>
      </c>
      <c r="L2041" t="s">
        <v>775</v>
      </c>
      <c r="M2041" t="s">
        <v>12</v>
      </c>
      <c r="N2041" s="2">
        <v>0</v>
      </c>
      <c r="O2041" s="2">
        <v>3646.58</v>
      </c>
      <c r="P2041" s="2">
        <v>0</v>
      </c>
      <c r="Q2041" s="2">
        <v>3646.58</v>
      </c>
      <c r="R2041" s="2">
        <v>297.89999999999998</v>
      </c>
      <c r="S2041" s="2">
        <v>2645.62</v>
      </c>
      <c r="T2041" s="2">
        <v>1504.96</v>
      </c>
      <c r="U2041" s="2">
        <v>1000.96</v>
      </c>
      <c r="V2041" s="2">
        <v>2141.62</v>
      </c>
      <c r="W2041" s="2">
        <v>703.06</v>
      </c>
    </row>
    <row r="2042" spans="1:23" outlineLevel="2" x14ac:dyDescent="0.2">
      <c r="A2042" t="s">
        <v>771</v>
      </c>
      <c r="B2042" t="s">
        <v>1</v>
      </c>
      <c r="C2042" t="s">
        <v>2</v>
      </c>
      <c r="D2042" t="s">
        <v>410</v>
      </c>
      <c r="E2042" t="s">
        <v>411</v>
      </c>
      <c r="F2042" t="s">
        <v>5</v>
      </c>
      <c r="G2042" t="s">
        <v>6</v>
      </c>
      <c r="H2042" t="s">
        <v>7</v>
      </c>
      <c r="I2042" t="s">
        <v>8</v>
      </c>
      <c r="J2042" t="s">
        <v>772</v>
      </c>
      <c r="K2042" t="s">
        <v>782</v>
      </c>
      <c r="L2042" t="s">
        <v>783</v>
      </c>
      <c r="M2042" t="s">
        <v>12</v>
      </c>
      <c r="N2042" s="2">
        <v>0</v>
      </c>
      <c r="O2042" s="2">
        <v>0</v>
      </c>
      <c r="P2042" s="2">
        <v>4950.5600000000004</v>
      </c>
      <c r="Q2042" s="2">
        <v>4950.5600000000004</v>
      </c>
      <c r="R2042" s="2">
        <v>0</v>
      </c>
      <c r="S2042" s="2">
        <v>0</v>
      </c>
      <c r="T2042" s="2">
        <v>0</v>
      </c>
      <c r="U2042" s="2">
        <v>4950.5600000000004</v>
      </c>
      <c r="V2042" s="2">
        <v>4950.5600000000004</v>
      </c>
      <c r="W2042" s="2">
        <v>4950.5600000000004</v>
      </c>
    </row>
    <row r="2043" spans="1:23" outlineLevel="2" x14ac:dyDescent="0.2">
      <c r="A2043" t="s">
        <v>771</v>
      </c>
      <c r="B2043" t="s">
        <v>1</v>
      </c>
      <c r="C2043" t="s">
        <v>2</v>
      </c>
      <c r="D2043" t="s">
        <v>410</v>
      </c>
      <c r="E2043" t="s">
        <v>411</v>
      </c>
      <c r="F2043" t="s">
        <v>5</v>
      </c>
      <c r="G2043" t="s">
        <v>6</v>
      </c>
      <c r="H2043" t="s">
        <v>7</v>
      </c>
      <c r="I2043" t="s">
        <v>8</v>
      </c>
      <c r="J2043" t="s">
        <v>772</v>
      </c>
      <c r="K2043" t="s">
        <v>782</v>
      </c>
      <c r="L2043" t="s">
        <v>783</v>
      </c>
      <c r="M2043" t="s">
        <v>15</v>
      </c>
      <c r="N2043" s="2">
        <v>2175000</v>
      </c>
      <c r="O2043" s="2">
        <v>-29431.09</v>
      </c>
      <c r="P2043" s="2">
        <v>-504950.56</v>
      </c>
      <c r="Q2043" s="2">
        <v>1640618.35</v>
      </c>
      <c r="R2043" s="2">
        <v>6270.93</v>
      </c>
      <c r="S2043" s="2">
        <v>1634347.42</v>
      </c>
      <c r="T2043" s="2">
        <v>1602826.87</v>
      </c>
      <c r="U2043" s="2">
        <v>6270.93</v>
      </c>
      <c r="V2043" s="2">
        <v>37791.480000000003</v>
      </c>
      <c r="W2043" s="2">
        <v>0</v>
      </c>
    </row>
    <row r="2044" spans="1:23" outlineLevel="2" x14ac:dyDescent="0.2">
      <c r="A2044" t="s">
        <v>771</v>
      </c>
      <c r="B2044" t="s">
        <v>39</v>
      </c>
      <c r="C2044" t="s">
        <v>70</v>
      </c>
      <c r="D2044" t="s">
        <v>89</v>
      </c>
      <c r="E2044" t="s">
        <v>90</v>
      </c>
      <c r="F2044" t="s">
        <v>5</v>
      </c>
      <c r="G2044" t="s">
        <v>6</v>
      </c>
      <c r="H2044" t="s">
        <v>7</v>
      </c>
      <c r="I2044" t="s">
        <v>8</v>
      </c>
      <c r="J2044" t="s">
        <v>772</v>
      </c>
      <c r="K2044" t="s">
        <v>782</v>
      </c>
      <c r="L2044" t="s">
        <v>784</v>
      </c>
      <c r="M2044" t="s">
        <v>12</v>
      </c>
      <c r="N2044" s="2">
        <v>4000</v>
      </c>
      <c r="O2044" s="2">
        <v>0</v>
      </c>
      <c r="P2044" s="2">
        <v>0</v>
      </c>
      <c r="Q2044" s="2">
        <v>4000</v>
      </c>
      <c r="R2044" s="2">
        <v>0</v>
      </c>
      <c r="S2044" s="2">
        <v>940</v>
      </c>
      <c r="T2044" s="2">
        <v>940</v>
      </c>
      <c r="U2044" s="2">
        <v>3060</v>
      </c>
      <c r="V2044" s="2">
        <v>3060</v>
      </c>
      <c r="W2044" s="2">
        <v>3060</v>
      </c>
    </row>
    <row r="2045" spans="1:23" outlineLevel="2" x14ac:dyDescent="0.2">
      <c r="A2045" t="s">
        <v>771</v>
      </c>
      <c r="B2045" t="s">
        <v>39</v>
      </c>
      <c r="C2045" t="s">
        <v>58</v>
      </c>
      <c r="D2045" t="s">
        <v>139</v>
      </c>
      <c r="E2045" t="s">
        <v>140</v>
      </c>
      <c r="F2045" t="s">
        <v>5</v>
      </c>
      <c r="G2045" t="s">
        <v>6</v>
      </c>
      <c r="H2045" t="s">
        <v>7</v>
      </c>
      <c r="I2045" t="s">
        <v>8</v>
      </c>
      <c r="J2045" t="s">
        <v>772</v>
      </c>
      <c r="K2045" t="s">
        <v>785</v>
      </c>
      <c r="L2045" t="s">
        <v>786</v>
      </c>
      <c r="M2045" t="s">
        <v>12</v>
      </c>
      <c r="N2045" s="2">
        <v>170</v>
      </c>
      <c r="O2045" s="2">
        <v>0</v>
      </c>
      <c r="P2045" s="2">
        <v>0</v>
      </c>
      <c r="Q2045" s="2">
        <v>170</v>
      </c>
      <c r="R2045" s="2">
        <v>0</v>
      </c>
      <c r="S2045" s="2">
        <v>48</v>
      </c>
      <c r="T2045" s="2">
        <v>0</v>
      </c>
      <c r="U2045" s="2">
        <v>122</v>
      </c>
      <c r="V2045" s="2">
        <v>170</v>
      </c>
      <c r="W2045" s="2">
        <v>122</v>
      </c>
    </row>
    <row r="2046" spans="1:23" outlineLevel="2" x14ac:dyDescent="0.2">
      <c r="A2046" t="s">
        <v>771</v>
      </c>
      <c r="B2046" t="s">
        <v>39</v>
      </c>
      <c r="C2046" t="s">
        <v>58</v>
      </c>
      <c r="D2046" t="s">
        <v>149</v>
      </c>
      <c r="E2046" t="s">
        <v>150</v>
      </c>
      <c r="F2046" t="s">
        <v>5</v>
      </c>
      <c r="G2046" t="s">
        <v>6</v>
      </c>
      <c r="H2046" t="s">
        <v>7</v>
      </c>
      <c r="I2046" t="s">
        <v>8</v>
      </c>
      <c r="J2046" t="s">
        <v>772</v>
      </c>
      <c r="K2046" t="s">
        <v>785</v>
      </c>
      <c r="L2046" t="s">
        <v>786</v>
      </c>
      <c r="M2046" t="s">
        <v>12</v>
      </c>
      <c r="N2046" s="2">
        <v>200</v>
      </c>
      <c r="O2046" s="2">
        <v>0</v>
      </c>
      <c r="P2046" s="2">
        <v>0</v>
      </c>
      <c r="Q2046" s="2">
        <v>200</v>
      </c>
      <c r="R2046" s="2">
        <v>0</v>
      </c>
      <c r="S2046" s="2">
        <v>200</v>
      </c>
      <c r="T2046" s="2">
        <v>54.6</v>
      </c>
      <c r="U2046" s="2">
        <v>0</v>
      </c>
      <c r="V2046" s="2">
        <v>145.4</v>
      </c>
      <c r="W2046" s="2">
        <v>0</v>
      </c>
    </row>
    <row r="2047" spans="1:23" outlineLevel="2" x14ac:dyDescent="0.2">
      <c r="A2047" t="s">
        <v>771</v>
      </c>
      <c r="B2047" t="s">
        <v>39</v>
      </c>
      <c r="C2047" t="s">
        <v>58</v>
      </c>
      <c r="D2047" t="s">
        <v>143</v>
      </c>
      <c r="E2047" t="s">
        <v>144</v>
      </c>
      <c r="F2047" t="s">
        <v>5</v>
      </c>
      <c r="G2047" t="s">
        <v>6</v>
      </c>
      <c r="H2047" t="s">
        <v>7</v>
      </c>
      <c r="I2047" t="s">
        <v>8</v>
      </c>
      <c r="J2047" t="s">
        <v>772</v>
      </c>
      <c r="K2047" t="s">
        <v>785</v>
      </c>
      <c r="L2047" t="s">
        <v>786</v>
      </c>
      <c r="M2047" t="s">
        <v>12</v>
      </c>
      <c r="N2047" s="2">
        <v>100</v>
      </c>
      <c r="O2047" s="2">
        <v>200</v>
      </c>
      <c r="P2047" s="2">
        <v>-268.2</v>
      </c>
      <c r="Q2047" s="2">
        <v>31.8</v>
      </c>
      <c r="R2047" s="2">
        <v>0</v>
      </c>
      <c r="S2047" s="2">
        <v>31.8</v>
      </c>
      <c r="T2047" s="2">
        <v>31.8</v>
      </c>
      <c r="U2047" s="2">
        <v>0</v>
      </c>
      <c r="V2047" s="2">
        <v>0</v>
      </c>
      <c r="W2047" s="2">
        <v>0</v>
      </c>
    </row>
    <row r="2048" spans="1:23" outlineLevel="2" x14ac:dyDescent="0.2">
      <c r="A2048" t="s">
        <v>771</v>
      </c>
      <c r="B2048" t="s">
        <v>1</v>
      </c>
      <c r="C2048" t="s">
        <v>91</v>
      </c>
      <c r="D2048" t="s">
        <v>92</v>
      </c>
      <c r="E2048" t="s">
        <v>93</v>
      </c>
      <c r="F2048" t="s">
        <v>5</v>
      </c>
      <c r="G2048" t="s">
        <v>6</v>
      </c>
      <c r="H2048" t="s">
        <v>7</v>
      </c>
      <c r="I2048" t="s">
        <v>8</v>
      </c>
      <c r="J2048" t="s">
        <v>772</v>
      </c>
      <c r="K2048" t="s">
        <v>785</v>
      </c>
      <c r="L2048" t="s">
        <v>787</v>
      </c>
      <c r="M2048" t="s">
        <v>12</v>
      </c>
      <c r="N2048" s="2">
        <v>0</v>
      </c>
      <c r="O2048" s="2">
        <v>0</v>
      </c>
      <c r="P2048" s="2">
        <v>5.2</v>
      </c>
      <c r="Q2048" s="2">
        <v>5.2</v>
      </c>
      <c r="R2048" s="2">
        <v>0</v>
      </c>
      <c r="S2048" s="2">
        <v>0</v>
      </c>
      <c r="T2048" s="2">
        <v>0</v>
      </c>
      <c r="U2048" s="2">
        <v>5.2</v>
      </c>
      <c r="V2048" s="2">
        <v>5.2</v>
      </c>
      <c r="W2048" s="2">
        <v>5.2</v>
      </c>
    </row>
    <row r="2049" spans="1:23" outlineLevel="2" x14ac:dyDescent="0.2">
      <c r="A2049" t="s">
        <v>771</v>
      </c>
      <c r="B2049" t="s">
        <v>53</v>
      </c>
      <c r="C2049" t="s">
        <v>54</v>
      </c>
      <c r="D2049" t="s">
        <v>55</v>
      </c>
      <c r="E2049" t="s">
        <v>56</v>
      </c>
      <c r="F2049" t="s">
        <v>5</v>
      </c>
      <c r="G2049" t="s">
        <v>6</v>
      </c>
      <c r="H2049" t="s">
        <v>7</v>
      </c>
      <c r="I2049" t="s">
        <v>8</v>
      </c>
      <c r="J2049" t="s">
        <v>772</v>
      </c>
      <c r="K2049" t="s">
        <v>785</v>
      </c>
      <c r="L2049" t="s">
        <v>788</v>
      </c>
      <c r="M2049" t="s">
        <v>12</v>
      </c>
      <c r="N2049" s="2">
        <v>0</v>
      </c>
      <c r="O2049" s="2">
        <v>26</v>
      </c>
      <c r="P2049" s="2">
        <v>0</v>
      </c>
      <c r="Q2049" s="2">
        <v>26</v>
      </c>
      <c r="R2049" s="2">
        <v>0</v>
      </c>
      <c r="S2049" s="2">
        <v>8.4</v>
      </c>
      <c r="T2049" s="2">
        <v>8.4</v>
      </c>
      <c r="U2049" s="2">
        <v>17.600000000000001</v>
      </c>
      <c r="V2049" s="2">
        <v>17.600000000000001</v>
      </c>
      <c r="W2049" s="2">
        <v>17.600000000000001</v>
      </c>
    </row>
    <row r="2050" spans="1:23" outlineLevel="2" x14ac:dyDescent="0.2">
      <c r="A2050" t="s">
        <v>771</v>
      </c>
      <c r="B2050" t="s">
        <v>1</v>
      </c>
      <c r="C2050" t="s">
        <v>2</v>
      </c>
      <c r="D2050" t="s">
        <v>474</v>
      </c>
      <c r="E2050" t="s">
        <v>475</v>
      </c>
      <c r="F2050" t="s">
        <v>5</v>
      </c>
      <c r="G2050" t="s">
        <v>6</v>
      </c>
      <c r="H2050" t="s">
        <v>7</v>
      </c>
      <c r="I2050" t="s">
        <v>8</v>
      </c>
      <c r="J2050" t="s">
        <v>772</v>
      </c>
      <c r="K2050" t="s">
        <v>785</v>
      </c>
      <c r="L2050" t="s">
        <v>789</v>
      </c>
      <c r="M2050" t="s">
        <v>12</v>
      </c>
      <c r="N2050" s="2">
        <v>0</v>
      </c>
      <c r="O2050" s="2">
        <v>0</v>
      </c>
      <c r="P2050" s="2">
        <v>689388.9</v>
      </c>
      <c r="Q2050" s="2">
        <v>689388.9</v>
      </c>
      <c r="R2050" s="2">
        <v>0</v>
      </c>
      <c r="S2050" s="2">
        <v>4810.29</v>
      </c>
      <c r="T2050" s="2">
        <v>4810.29</v>
      </c>
      <c r="U2050" s="2">
        <v>684578.61</v>
      </c>
      <c r="V2050" s="2">
        <v>684578.61</v>
      </c>
      <c r="W2050" s="2">
        <v>684578.61</v>
      </c>
    </row>
    <row r="2051" spans="1:23" outlineLevel="2" x14ac:dyDescent="0.2">
      <c r="A2051" t="s">
        <v>771</v>
      </c>
      <c r="B2051" t="s">
        <v>39</v>
      </c>
      <c r="C2051" t="s">
        <v>58</v>
      </c>
      <c r="D2051" t="s">
        <v>59</v>
      </c>
      <c r="E2051" t="s">
        <v>60</v>
      </c>
      <c r="F2051" t="s">
        <v>5</v>
      </c>
      <c r="G2051" t="s">
        <v>6</v>
      </c>
      <c r="H2051" t="s">
        <v>7</v>
      </c>
      <c r="I2051" t="s">
        <v>8</v>
      </c>
      <c r="J2051" t="s">
        <v>772</v>
      </c>
      <c r="K2051" t="s">
        <v>785</v>
      </c>
      <c r="L2051" t="s">
        <v>786</v>
      </c>
      <c r="M2051" t="s">
        <v>12</v>
      </c>
      <c r="N2051" s="2">
        <v>100</v>
      </c>
      <c r="O2051" s="2">
        <v>0</v>
      </c>
      <c r="P2051" s="2">
        <v>0</v>
      </c>
      <c r="Q2051" s="2">
        <v>100</v>
      </c>
      <c r="R2051" s="2">
        <v>0</v>
      </c>
      <c r="S2051" s="2">
        <v>34.200000000000003</v>
      </c>
      <c r="T2051" s="2">
        <v>0</v>
      </c>
      <c r="U2051" s="2">
        <v>65.8</v>
      </c>
      <c r="V2051" s="2">
        <v>100</v>
      </c>
      <c r="W2051" s="2">
        <v>65.8</v>
      </c>
    </row>
    <row r="2052" spans="1:23" outlineLevel="2" x14ac:dyDescent="0.2">
      <c r="A2052" t="s">
        <v>771</v>
      </c>
      <c r="B2052" t="s">
        <v>39</v>
      </c>
      <c r="C2052" t="s">
        <v>58</v>
      </c>
      <c r="D2052" t="s">
        <v>137</v>
      </c>
      <c r="E2052" t="s">
        <v>138</v>
      </c>
      <c r="F2052" t="s">
        <v>5</v>
      </c>
      <c r="G2052" t="s">
        <v>6</v>
      </c>
      <c r="H2052" t="s">
        <v>7</v>
      </c>
      <c r="I2052" t="s">
        <v>8</v>
      </c>
      <c r="J2052" t="s">
        <v>772</v>
      </c>
      <c r="K2052" t="s">
        <v>785</v>
      </c>
      <c r="L2052" t="s">
        <v>786</v>
      </c>
      <c r="M2052" t="s">
        <v>12</v>
      </c>
      <c r="N2052" s="2">
        <v>100</v>
      </c>
      <c r="O2052" s="2">
        <v>0</v>
      </c>
      <c r="P2052" s="2">
        <v>0</v>
      </c>
      <c r="Q2052" s="2">
        <v>100</v>
      </c>
      <c r="R2052" s="2">
        <v>0</v>
      </c>
      <c r="S2052" s="2">
        <v>0</v>
      </c>
      <c r="T2052" s="2">
        <v>0</v>
      </c>
      <c r="U2052" s="2">
        <v>100</v>
      </c>
      <c r="V2052" s="2">
        <v>100</v>
      </c>
      <c r="W2052" s="2">
        <v>100</v>
      </c>
    </row>
    <row r="2053" spans="1:23" outlineLevel="2" x14ac:dyDescent="0.2">
      <c r="A2053" t="s">
        <v>771</v>
      </c>
      <c r="B2053" t="s">
        <v>39</v>
      </c>
      <c r="C2053" t="s">
        <v>66</v>
      </c>
      <c r="D2053" t="s">
        <v>67</v>
      </c>
      <c r="E2053" t="s">
        <v>68</v>
      </c>
      <c r="F2053" t="s">
        <v>5</v>
      </c>
      <c r="G2053" t="s">
        <v>6</v>
      </c>
      <c r="H2053" t="s">
        <v>7</v>
      </c>
      <c r="I2053" t="s">
        <v>8</v>
      </c>
      <c r="J2053" t="s">
        <v>772</v>
      </c>
      <c r="K2053" t="s">
        <v>785</v>
      </c>
      <c r="L2053" t="s">
        <v>790</v>
      </c>
      <c r="M2053" t="s">
        <v>12</v>
      </c>
      <c r="N2053" s="2">
        <v>20</v>
      </c>
      <c r="O2053" s="2">
        <v>0</v>
      </c>
      <c r="P2053" s="2">
        <v>0</v>
      </c>
      <c r="Q2053" s="2">
        <v>20</v>
      </c>
      <c r="R2053" s="2">
        <v>0</v>
      </c>
      <c r="S2053" s="2">
        <v>2.42</v>
      </c>
      <c r="T2053" s="2">
        <v>2.41</v>
      </c>
      <c r="U2053" s="2">
        <v>17.579999999999998</v>
      </c>
      <c r="V2053" s="2">
        <v>17.59</v>
      </c>
      <c r="W2053" s="2">
        <v>17.579999999999998</v>
      </c>
    </row>
    <row r="2054" spans="1:23" outlineLevel="2" x14ac:dyDescent="0.2">
      <c r="A2054" t="s">
        <v>771</v>
      </c>
      <c r="B2054" t="s">
        <v>39</v>
      </c>
      <c r="C2054" t="s">
        <v>40</v>
      </c>
      <c r="D2054" t="s">
        <v>77</v>
      </c>
      <c r="E2054" t="s">
        <v>78</v>
      </c>
      <c r="F2054" t="s">
        <v>5</v>
      </c>
      <c r="G2054" t="s">
        <v>6</v>
      </c>
      <c r="H2054" t="s">
        <v>7</v>
      </c>
      <c r="I2054" t="s">
        <v>8</v>
      </c>
      <c r="J2054" t="s">
        <v>772</v>
      </c>
      <c r="K2054" t="s">
        <v>785</v>
      </c>
      <c r="L2054" t="s">
        <v>791</v>
      </c>
      <c r="M2054" t="s">
        <v>12</v>
      </c>
      <c r="N2054" s="2">
        <v>0</v>
      </c>
      <c r="O2054" s="2">
        <v>500</v>
      </c>
      <c r="P2054" s="2">
        <v>0</v>
      </c>
      <c r="Q2054" s="2">
        <v>500</v>
      </c>
      <c r="R2054" s="2">
        <v>0</v>
      </c>
      <c r="S2054" s="2">
        <v>3.3</v>
      </c>
      <c r="T2054" s="2">
        <v>3.3</v>
      </c>
      <c r="U2054" s="2">
        <v>496.7</v>
      </c>
      <c r="V2054" s="2">
        <v>496.7</v>
      </c>
      <c r="W2054" s="2">
        <v>496.7</v>
      </c>
    </row>
    <row r="2055" spans="1:23" outlineLevel="2" x14ac:dyDescent="0.2">
      <c r="A2055" t="s">
        <v>771</v>
      </c>
      <c r="B2055" t="s">
        <v>1</v>
      </c>
      <c r="C2055" t="s">
        <v>2</v>
      </c>
      <c r="D2055" t="s">
        <v>3</v>
      </c>
      <c r="E2055" t="s">
        <v>4</v>
      </c>
      <c r="F2055" t="s">
        <v>5</v>
      </c>
      <c r="G2055" t="s">
        <v>6</v>
      </c>
      <c r="H2055" t="s">
        <v>7</v>
      </c>
      <c r="I2055" t="s">
        <v>8</v>
      </c>
      <c r="J2055" t="s">
        <v>772</v>
      </c>
      <c r="K2055" t="s">
        <v>785</v>
      </c>
      <c r="L2055" t="s">
        <v>789</v>
      </c>
      <c r="M2055" t="s">
        <v>12</v>
      </c>
      <c r="N2055" s="2">
        <v>0</v>
      </c>
      <c r="O2055" s="2">
        <v>0</v>
      </c>
      <c r="P2055" s="2">
        <v>237.6</v>
      </c>
      <c r="Q2055" s="2">
        <v>237.6</v>
      </c>
      <c r="R2055" s="2">
        <v>0</v>
      </c>
      <c r="S2055" s="2">
        <v>0</v>
      </c>
      <c r="T2055" s="2">
        <v>0</v>
      </c>
      <c r="U2055" s="2">
        <v>237.6</v>
      </c>
      <c r="V2055" s="2">
        <v>237.6</v>
      </c>
      <c r="W2055" s="2">
        <v>237.6</v>
      </c>
    </row>
    <row r="2056" spans="1:23" outlineLevel="2" x14ac:dyDescent="0.2">
      <c r="A2056" t="s">
        <v>771</v>
      </c>
      <c r="B2056" t="s">
        <v>1</v>
      </c>
      <c r="C2056" t="s">
        <v>91</v>
      </c>
      <c r="D2056" t="s">
        <v>92</v>
      </c>
      <c r="E2056" t="s">
        <v>93</v>
      </c>
      <c r="F2056" t="s">
        <v>5</v>
      </c>
      <c r="G2056" t="s">
        <v>6</v>
      </c>
      <c r="H2056" t="s">
        <v>7</v>
      </c>
      <c r="I2056" t="s">
        <v>8</v>
      </c>
      <c r="J2056" t="s">
        <v>772</v>
      </c>
      <c r="K2056" t="s">
        <v>785</v>
      </c>
      <c r="L2056" t="s">
        <v>787</v>
      </c>
      <c r="M2056" t="s">
        <v>15</v>
      </c>
      <c r="N2056" s="2">
        <v>0</v>
      </c>
      <c r="O2056" s="2">
        <v>25</v>
      </c>
      <c r="P2056" s="2">
        <v>-5.2</v>
      </c>
      <c r="Q2056" s="2">
        <v>19.8</v>
      </c>
      <c r="R2056" s="2">
        <v>0</v>
      </c>
      <c r="S2056" s="2">
        <v>19.8</v>
      </c>
      <c r="T2056" s="2">
        <v>5.7</v>
      </c>
      <c r="U2056" s="2">
        <v>0</v>
      </c>
      <c r="V2056" s="2">
        <v>14.1</v>
      </c>
      <c r="W2056" s="2">
        <v>0</v>
      </c>
    </row>
    <row r="2057" spans="1:23" outlineLevel="2" x14ac:dyDescent="0.2">
      <c r="A2057" t="s">
        <v>771</v>
      </c>
      <c r="B2057" t="s">
        <v>39</v>
      </c>
      <c r="C2057" t="s">
        <v>58</v>
      </c>
      <c r="D2057" t="s">
        <v>147</v>
      </c>
      <c r="E2057" t="s">
        <v>148</v>
      </c>
      <c r="F2057" t="s">
        <v>5</v>
      </c>
      <c r="G2057" t="s">
        <v>6</v>
      </c>
      <c r="H2057" t="s">
        <v>7</v>
      </c>
      <c r="I2057" t="s">
        <v>8</v>
      </c>
      <c r="J2057" t="s">
        <v>772</v>
      </c>
      <c r="K2057" t="s">
        <v>785</v>
      </c>
      <c r="L2057" t="s">
        <v>786</v>
      </c>
      <c r="M2057" t="s">
        <v>12</v>
      </c>
      <c r="N2057" s="2">
        <v>100</v>
      </c>
      <c r="O2057" s="2">
        <v>0</v>
      </c>
      <c r="P2057" s="2">
        <v>-100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</row>
    <row r="2058" spans="1:23" outlineLevel="2" x14ac:dyDescent="0.2">
      <c r="A2058" t="s">
        <v>771</v>
      </c>
      <c r="B2058" t="s">
        <v>31</v>
      </c>
      <c r="C2058" t="s">
        <v>32</v>
      </c>
      <c r="D2058" t="s">
        <v>33</v>
      </c>
      <c r="E2058" t="s">
        <v>34</v>
      </c>
      <c r="F2058" t="s">
        <v>5</v>
      </c>
      <c r="G2058" t="s">
        <v>6</v>
      </c>
      <c r="H2058" t="s">
        <v>7</v>
      </c>
      <c r="I2058" t="s">
        <v>8</v>
      </c>
      <c r="J2058" t="s">
        <v>772</v>
      </c>
      <c r="K2058" t="s">
        <v>785</v>
      </c>
      <c r="L2058" t="s">
        <v>792</v>
      </c>
      <c r="M2058" t="s">
        <v>12</v>
      </c>
      <c r="N2058" s="2">
        <v>550</v>
      </c>
      <c r="O2058" s="2">
        <v>0</v>
      </c>
      <c r="P2058" s="2">
        <v>0</v>
      </c>
      <c r="Q2058" s="2">
        <v>550</v>
      </c>
      <c r="R2058" s="2">
        <v>0</v>
      </c>
      <c r="S2058" s="2">
        <v>0</v>
      </c>
      <c r="T2058" s="2">
        <v>0</v>
      </c>
      <c r="U2058" s="2">
        <v>550</v>
      </c>
      <c r="V2058" s="2">
        <v>550</v>
      </c>
      <c r="W2058" s="2">
        <v>550</v>
      </c>
    </row>
    <row r="2059" spans="1:23" outlineLevel="2" x14ac:dyDescent="0.2">
      <c r="A2059" t="s">
        <v>771</v>
      </c>
      <c r="B2059" t="s">
        <v>1</v>
      </c>
      <c r="C2059" t="s">
        <v>2</v>
      </c>
      <c r="D2059" t="s">
        <v>3</v>
      </c>
      <c r="E2059" t="s">
        <v>4</v>
      </c>
      <c r="F2059" t="s">
        <v>5</v>
      </c>
      <c r="G2059" t="s">
        <v>6</v>
      </c>
      <c r="H2059" t="s">
        <v>7</v>
      </c>
      <c r="I2059" t="s">
        <v>8</v>
      </c>
      <c r="J2059" t="s">
        <v>772</v>
      </c>
      <c r="K2059" t="s">
        <v>785</v>
      </c>
      <c r="L2059" t="s">
        <v>789</v>
      </c>
      <c r="M2059" t="s">
        <v>15</v>
      </c>
      <c r="N2059" s="2">
        <v>500</v>
      </c>
      <c r="O2059" s="2">
        <v>-170</v>
      </c>
      <c r="P2059" s="2">
        <v>-237.6</v>
      </c>
      <c r="Q2059" s="2">
        <v>92.4</v>
      </c>
      <c r="R2059" s="2">
        <v>0</v>
      </c>
      <c r="S2059" s="2">
        <v>92.4</v>
      </c>
      <c r="T2059" s="2">
        <v>73.2</v>
      </c>
      <c r="U2059" s="2">
        <v>0</v>
      </c>
      <c r="V2059" s="2">
        <v>19.2</v>
      </c>
      <c r="W2059" s="2">
        <v>0</v>
      </c>
    </row>
    <row r="2060" spans="1:23" outlineLevel="2" x14ac:dyDescent="0.2">
      <c r="A2060" t="s">
        <v>771</v>
      </c>
      <c r="B2060" t="s">
        <v>1</v>
      </c>
      <c r="C2060" t="s">
        <v>2</v>
      </c>
      <c r="D2060" t="s">
        <v>474</v>
      </c>
      <c r="E2060" t="s">
        <v>475</v>
      </c>
      <c r="F2060" t="s">
        <v>5</v>
      </c>
      <c r="G2060" t="s">
        <v>6</v>
      </c>
      <c r="H2060" t="s">
        <v>7</v>
      </c>
      <c r="I2060" t="s">
        <v>8</v>
      </c>
      <c r="J2060" t="s">
        <v>772</v>
      </c>
      <c r="K2060" t="s">
        <v>785</v>
      </c>
      <c r="L2060" t="s">
        <v>789</v>
      </c>
      <c r="M2060" t="s">
        <v>15</v>
      </c>
      <c r="N2060" s="2">
        <v>781922.17</v>
      </c>
      <c r="O2060" s="2">
        <v>0</v>
      </c>
      <c r="P2060" s="2">
        <v>-367219.66</v>
      </c>
      <c r="Q2060" s="2">
        <v>414702.51</v>
      </c>
      <c r="R2060" s="2">
        <v>0</v>
      </c>
      <c r="S2060" s="2">
        <v>397298.28</v>
      </c>
      <c r="T2060" s="2">
        <v>372116.36</v>
      </c>
      <c r="U2060" s="2">
        <v>17404.23</v>
      </c>
      <c r="V2060" s="2">
        <v>42586.15</v>
      </c>
      <c r="W2060" s="2">
        <v>17404.23</v>
      </c>
    </row>
    <row r="2061" spans="1:23" outlineLevel="2" x14ac:dyDescent="0.2">
      <c r="A2061" t="s">
        <v>771</v>
      </c>
      <c r="B2061" t="s">
        <v>31</v>
      </c>
      <c r="C2061" t="s">
        <v>32</v>
      </c>
      <c r="D2061" t="s">
        <v>75</v>
      </c>
      <c r="E2061" t="s">
        <v>76</v>
      </c>
      <c r="F2061" t="s">
        <v>5</v>
      </c>
      <c r="G2061" t="s">
        <v>6</v>
      </c>
      <c r="H2061" t="s">
        <v>7</v>
      </c>
      <c r="I2061" t="s">
        <v>8</v>
      </c>
      <c r="J2061" t="s">
        <v>772</v>
      </c>
      <c r="K2061" t="s">
        <v>785</v>
      </c>
      <c r="L2061" t="s">
        <v>792</v>
      </c>
      <c r="M2061" t="s">
        <v>12</v>
      </c>
      <c r="N2061" s="2">
        <v>100</v>
      </c>
      <c r="O2061" s="2">
        <v>0</v>
      </c>
      <c r="P2061" s="2">
        <v>0</v>
      </c>
      <c r="Q2061" s="2">
        <v>100</v>
      </c>
      <c r="R2061" s="2">
        <v>0</v>
      </c>
      <c r="S2061" s="2">
        <v>12.21</v>
      </c>
      <c r="T2061" s="2">
        <v>10.5</v>
      </c>
      <c r="U2061" s="2">
        <v>87.79</v>
      </c>
      <c r="V2061" s="2">
        <v>89.5</v>
      </c>
      <c r="W2061" s="2">
        <v>87.79</v>
      </c>
    </row>
    <row r="2062" spans="1:23" outlineLevel="2" x14ac:dyDescent="0.2">
      <c r="A2062" t="s">
        <v>771</v>
      </c>
      <c r="B2062" t="s">
        <v>39</v>
      </c>
      <c r="C2062" t="s">
        <v>40</v>
      </c>
      <c r="D2062" t="s">
        <v>77</v>
      </c>
      <c r="E2062" t="s">
        <v>78</v>
      </c>
      <c r="F2062" t="s">
        <v>5</v>
      </c>
      <c r="G2062" t="s">
        <v>6</v>
      </c>
      <c r="H2062" t="s">
        <v>7</v>
      </c>
      <c r="I2062" t="s">
        <v>8</v>
      </c>
      <c r="J2062" t="s">
        <v>772</v>
      </c>
      <c r="K2062" t="s">
        <v>793</v>
      </c>
      <c r="L2062" t="s">
        <v>794</v>
      </c>
      <c r="M2062" t="s">
        <v>12</v>
      </c>
      <c r="N2062" s="2">
        <v>0</v>
      </c>
      <c r="O2062" s="2">
        <v>6000</v>
      </c>
      <c r="P2062" s="2">
        <v>0</v>
      </c>
      <c r="Q2062" s="2">
        <v>6000</v>
      </c>
      <c r="R2062" s="2">
        <v>4425.97</v>
      </c>
      <c r="S2062" s="2">
        <v>1574.03</v>
      </c>
      <c r="T2062" s="2">
        <v>0</v>
      </c>
      <c r="U2062" s="2">
        <v>4425.97</v>
      </c>
      <c r="V2062" s="2">
        <v>6000</v>
      </c>
      <c r="W2062" s="2">
        <v>0</v>
      </c>
    </row>
    <row r="2063" spans="1:23" outlineLevel="2" x14ac:dyDescent="0.2">
      <c r="A2063" t="s">
        <v>771</v>
      </c>
      <c r="B2063" t="s">
        <v>1</v>
      </c>
      <c r="C2063" t="s">
        <v>2</v>
      </c>
      <c r="D2063" t="s">
        <v>589</v>
      </c>
      <c r="E2063" t="s">
        <v>590</v>
      </c>
      <c r="F2063" t="s">
        <v>5</v>
      </c>
      <c r="G2063" t="s">
        <v>6</v>
      </c>
      <c r="H2063" t="s">
        <v>7</v>
      </c>
      <c r="I2063" t="s">
        <v>8</v>
      </c>
      <c r="J2063" t="s">
        <v>772</v>
      </c>
      <c r="K2063" t="s">
        <v>793</v>
      </c>
      <c r="L2063" t="s">
        <v>795</v>
      </c>
      <c r="M2063" t="s">
        <v>15</v>
      </c>
      <c r="N2063" s="2">
        <v>10500</v>
      </c>
      <c r="O2063" s="2">
        <v>0</v>
      </c>
      <c r="P2063" s="2">
        <v>-500</v>
      </c>
      <c r="Q2063" s="2">
        <v>10000</v>
      </c>
      <c r="R2063" s="2">
        <v>0</v>
      </c>
      <c r="S2063" s="2">
        <v>10000</v>
      </c>
      <c r="T2063" s="2">
        <v>7612.15</v>
      </c>
      <c r="U2063" s="2">
        <v>0</v>
      </c>
      <c r="V2063" s="2">
        <v>2387.85</v>
      </c>
      <c r="W2063" s="2">
        <v>0</v>
      </c>
    </row>
    <row r="2064" spans="1:23" outlineLevel="2" x14ac:dyDescent="0.2">
      <c r="A2064" t="s">
        <v>771</v>
      </c>
      <c r="B2064" t="s">
        <v>1</v>
      </c>
      <c r="C2064" t="s">
        <v>2</v>
      </c>
      <c r="D2064" t="s">
        <v>3</v>
      </c>
      <c r="E2064" t="s">
        <v>4</v>
      </c>
      <c r="F2064" t="s">
        <v>5</v>
      </c>
      <c r="G2064" t="s">
        <v>6</v>
      </c>
      <c r="H2064" t="s">
        <v>7</v>
      </c>
      <c r="I2064" t="s">
        <v>8</v>
      </c>
      <c r="J2064" t="s">
        <v>772</v>
      </c>
      <c r="K2064" t="s">
        <v>793</v>
      </c>
      <c r="L2064" t="s">
        <v>795</v>
      </c>
      <c r="M2064" t="s">
        <v>12</v>
      </c>
      <c r="N2064" s="2">
        <v>0</v>
      </c>
      <c r="O2064" s="2">
        <v>0</v>
      </c>
      <c r="P2064" s="2">
        <v>58.56</v>
      </c>
      <c r="Q2064" s="2">
        <v>58.56</v>
      </c>
      <c r="R2064" s="2">
        <v>0</v>
      </c>
      <c r="S2064" s="2">
        <v>0</v>
      </c>
      <c r="T2064" s="2">
        <v>0</v>
      </c>
      <c r="U2064" s="2">
        <v>58.56</v>
      </c>
      <c r="V2064" s="2">
        <v>58.56</v>
      </c>
      <c r="W2064" s="2">
        <v>58.56</v>
      </c>
    </row>
    <row r="2065" spans="1:23" outlineLevel="2" x14ac:dyDescent="0.2">
      <c r="A2065" t="s">
        <v>771</v>
      </c>
      <c r="B2065" t="s">
        <v>1</v>
      </c>
      <c r="C2065" t="s">
        <v>2</v>
      </c>
      <c r="D2065" t="s">
        <v>3</v>
      </c>
      <c r="E2065" t="s">
        <v>4</v>
      </c>
      <c r="F2065" t="s">
        <v>5</v>
      </c>
      <c r="G2065" t="s">
        <v>6</v>
      </c>
      <c r="H2065" t="s">
        <v>7</v>
      </c>
      <c r="I2065" t="s">
        <v>8</v>
      </c>
      <c r="J2065" t="s">
        <v>772</v>
      </c>
      <c r="K2065" t="s">
        <v>793</v>
      </c>
      <c r="L2065" t="s">
        <v>795</v>
      </c>
      <c r="M2065" t="s">
        <v>15</v>
      </c>
      <c r="N2065" s="2">
        <v>220</v>
      </c>
      <c r="O2065" s="2">
        <v>-120</v>
      </c>
      <c r="P2065" s="2">
        <v>-58.56</v>
      </c>
      <c r="Q2065" s="2">
        <v>41.44</v>
      </c>
      <c r="R2065" s="2">
        <v>0</v>
      </c>
      <c r="S2065" s="2">
        <v>41.44</v>
      </c>
      <c r="T2065" s="2">
        <v>41.44</v>
      </c>
      <c r="U2065" s="2">
        <v>0</v>
      </c>
      <c r="V2065" s="2">
        <v>0</v>
      </c>
      <c r="W2065" s="2">
        <v>0</v>
      </c>
    </row>
    <row r="2066" spans="1:23" outlineLevel="2" x14ac:dyDescent="0.2">
      <c r="A2066" t="s">
        <v>771</v>
      </c>
      <c r="B2066" t="s">
        <v>1</v>
      </c>
      <c r="C2066" t="s">
        <v>2</v>
      </c>
      <c r="D2066" t="s">
        <v>474</v>
      </c>
      <c r="E2066" t="s">
        <v>475</v>
      </c>
      <c r="F2066" t="s">
        <v>5</v>
      </c>
      <c r="G2066" t="s">
        <v>6</v>
      </c>
      <c r="H2066" t="s">
        <v>7</v>
      </c>
      <c r="I2066" t="s">
        <v>8</v>
      </c>
      <c r="J2066" t="s">
        <v>772</v>
      </c>
      <c r="K2066" t="s">
        <v>793</v>
      </c>
      <c r="L2066" t="s">
        <v>795</v>
      </c>
      <c r="M2066" t="s">
        <v>15</v>
      </c>
      <c r="N2066" s="2">
        <v>6000</v>
      </c>
      <c r="O2066" s="2">
        <v>896</v>
      </c>
      <c r="P2066" s="2">
        <v>-6000</v>
      </c>
      <c r="Q2066" s="2">
        <v>896</v>
      </c>
      <c r="R2066" s="2">
        <v>896</v>
      </c>
      <c r="S2066" s="2">
        <v>0</v>
      </c>
      <c r="T2066" s="2">
        <v>0</v>
      </c>
      <c r="U2066" s="2">
        <v>896</v>
      </c>
      <c r="V2066" s="2">
        <v>896</v>
      </c>
      <c r="W2066" s="2">
        <v>0</v>
      </c>
    </row>
    <row r="2067" spans="1:23" outlineLevel="2" x14ac:dyDescent="0.2">
      <c r="A2067" t="s">
        <v>771</v>
      </c>
      <c r="B2067" t="s">
        <v>39</v>
      </c>
      <c r="C2067" t="s">
        <v>58</v>
      </c>
      <c r="D2067" t="s">
        <v>135</v>
      </c>
      <c r="E2067" t="s">
        <v>136</v>
      </c>
      <c r="F2067" t="s">
        <v>5</v>
      </c>
      <c r="G2067" t="s">
        <v>6</v>
      </c>
      <c r="H2067" t="s">
        <v>7</v>
      </c>
      <c r="I2067" t="s">
        <v>8</v>
      </c>
      <c r="J2067" t="s">
        <v>772</v>
      </c>
      <c r="K2067" t="s">
        <v>793</v>
      </c>
      <c r="L2067" t="s">
        <v>796</v>
      </c>
      <c r="M2067" t="s">
        <v>12</v>
      </c>
      <c r="N2067" s="2">
        <v>700</v>
      </c>
      <c r="O2067" s="2">
        <v>-700</v>
      </c>
      <c r="P2067" s="2">
        <v>0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</row>
    <row r="2068" spans="1:23" outlineLevel="2" x14ac:dyDescent="0.2">
      <c r="A2068" t="s">
        <v>771</v>
      </c>
      <c r="B2068" t="s">
        <v>39</v>
      </c>
      <c r="C2068" t="s">
        <v>58</v>
      </c>
      <c r="D2068" t="s">
        <v>137</v>
      </c>
      <c r="E2068" t="s">
        <v>138</v>
      </c>
      <c r="F2068" t="s">
        <v>5</v>
      </c>
      <c r="G2068" t="s">
        <v>6</v>
      </c>
      <c r="H2068" t="s">
        <v>7</v>
      </c>
      <c r="I2068" t="s">
        <v>8</v>
      </c>
      <c r="J2068" t="s">
        <v>772</v>
      </c>
      <c r="K2068" t="s">
        <v>793</v>
      </c>
      <c r="L2068" t="s">
        <v>796</v>
      </c>
      <c r="M2068" t="s">
        <v>12</v>
      </c>
      <c r="N2068" s="2">
        <v>30</v>
      </c>
      <c r="O2068" s="2">
        <v>0</v>
      </c>
      <c r="P2068" s="2">
        <v>0</v>
      </c>
      <c r="Q2068" s="2">
        <v>30</v>
      </c>
      <c r="R2068" s="2">
        <v>0</v>
      </c>
      <c r="S2068" s="2">
        <v>0</v>
      </c>
      <c r="T2068" s="2">
        <v>0</v>
      </c>
      <c r="U2068" s="2">
        <v>30</v>
      </c>
      <c r="V2068" s="2">
        <v>30</v>
      </c>
      <c r="W2068" s="2">
        <v>30</v>
      </c>
    </row>
    <row r="2069" spans="1:23" outlineLevel="2" x14ac:dyDescent="0.2">
      <c r="A2069" t="s">
        <v>771</v>
      </c>
      <c r="B2069" t="s">
        <v>1</v>
      </c>
      <c r="C2069" t="s">
        <v>16</v>
      </c>
      <c r="D2069" t="s">
        <v>797</v>
      </c>
      <c r="E2069" t="s">
        <v>798</v>
      </c>
      <c r="F2069" t="s">
        <v>5</v>
      </c>
      <c r="G2069" t="s">
        <v>6</v>
      </c>
      <c r="H2069" t="s">
        <v>7</v>
      </c>
      <c r="I2069" t="s">
        <v>8</v>
      </c>
      <c r="J2069" t="s">
        <v>772</v>
      </c>
      <c r="K2069" t="s">
        <v>793</v>
      </c>
      <c r="L2069" t="s">
        <v>799</v>
      </c>
      <c r="M2069" t="s">
        <v>15</v>
      </c>
      <c r="N2069" s="2">
        <v>5000</v>
      </c>
      <c r="O2069" s="2">
        <v>0</v>
      </c>
      <c r="P2069" s="2">
        <v>-3800</v>
      </c>
      <c r="Q2069" s="2">
        <v>1200</v>
      </c>
      <c r="R2069" s="2">
        <v>0</v>
      </c>
      <c r="S2069" s="2">
        <v>1200</v>
      </c>
      <c r="T2069" s="2">
        <v>0</v>
      </c>
      <c r="U2069" s="2">
        <v>0</v>
      </c>
      <c r="V2069" s="2">
        <v>1200</v>
      </c>
      <c r="W2069" s="2">
        <v>0</v>
      </c>
    </row>
    <row r="2070" spans="1:23" outlineLevel="2" x14ac:dyDescent="0.2">
      <c r="A2070" t="s">
        <v>771</v>
      </c>
      <c r="B2070" t="s">
        <v>1</v>
      </c>
      <c r="C2070" t="s">
        <v>2</v>
      </c>
      <c r="D2070" t="s">
        <v>25</v>
      </c>
      <c r="E2070" t="s">
        <v>26</v>
      </c>
      <c r="F2070" t="s">
        <v>5</v>
      </c>
      <c r="G2070" t="s">
        <v>6</v>
      </c>
      <c r="H2070" t="s">
        <v>7</v>
      </c>
      <c r="I2070" t="s">
        <v>8</v>
      </c>
      <c r="J2070" t="s">
        <v>772</v>
      </c>
      <c r="K2070" t="s">
        <v>793</v>
      </c>
      <c r="L2070" t="s">
        <v>795</v>
      </c>
      <c r="M2070" t="s">
        <v>15</v>
      </c>
      <c r="N2070" s="2">
        <v>5000</v>
      </c>
      <c r="O2070" s="2">
        <v>0</v>
      </c>
      <c r="P2070" s="2">
        <v>-5000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</row>
    <row r="2071" spans="1:23" outlineLevel="2" x14ac:dyDescent="0.2">
      <c r="A2071" t="s">
        <v>771</v>
      </c>
      <c r="B2071" t="s">
        <v>1</v>
      </c>
      <c r="C2071" t="s">
        <v>2</v>
      </c>
      <c r="D2071" t="s">
        <v>410</v>
      </c>
      <c r="E2071" t="s">
        <v>411</v>
      </c>
      <c r="F2071" t="s">
        <v>5</v>
      </c>
      <c r="G2071" t="s">
        <v>6</v>
      </c>
      <c r="H2071" t="s">
        <v>7</v>
      </c>
      <c r="I2071" t="s">
        <v>8</v>
      </c>
      <c r="J2071" t="s">
        <v>772</v>
      </c>
      <c r="K2071" t="s">
        <v>793</v>
      </c>
      <c r="L2071" t="s">
        <v>795</v>
      </c>
      <c r="M2071" t="s">
        <v>15</v>
      </c>
      <c r="N2071" s="2">
        <v>3600</v>
      </c>
      <c r="O2071" s="2">
        <v>0</v>
      </c>
      <c r="P2071" s="2">
        <v>-2600</v>
      </c>
      <c r="Q2071" s="2">
        <v>1000</v>
      </c>
      <c r="R2071" s="2">
        <v>0</v>
      </c>
      <c r="S2071" s="2">
        <v>1000</v>
      </c>
      <c r="T2071" s="2">
        <v>184.95</v>
      </c>
      <c r="U2071" s="2">
        <v>0</v>
      </c>
      <c r="V2071" s="2">
        <v>815.05</v>
      </c>
      <c r="W2071" s="2">
        <v>0</v>
      </c>
    </row>
    <row r="2072" spans="1:23" outlineLevel="2" x14ac:dyDescent="0.2">
      <c r="A2072" t="s">
        <v>771</v>
      </c>
      <c r="B2072" t="s">
        <v>39</v>
      </c>
      <c r="C2072" t="s">
        <v>58</v>
      </c>
      <c r="D2072" t="s">
        <v>147</v>
      </c>
      <c r="E2072" t="s">
        <v>148</v>
      </c>
      <c r="F2072" t="s">
        <v>5</v>
      </c>
      <c r="G2072" t="s">
        <v>6</v>
      </c>
      <c r="H2072" t="s">
        <v>7</v>
      </c>
      <c r="I2072" t="s">
        <v>8</v>
      </c>
      <c r="J2072" t="s">
        <v>772</v>
      </c>
      <c r="K2072" t="s">
        <v>793</v>
      </c>
      <c r="L2072" t="s">
        <v>796</v>
      </c>
      <c r="M2072" t="s">
        <v>12</v>
      </c>
      <c r="N2072" s="2">
        <v>200</v>
      </c>
      <c r="O2072" s="2">
        <v>0</v>
      </c>
      <c r="P2072" s="2">
        <v>-200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</row>
    <row r="2073" spans="1:23" outlineLevel="2" x14ac:dyDescent="0.2">
      <c r="A2073" t="s">
        <v>771</v>
      </c>
      <c r="B2073" t="s">
        <v>39</v>
      </c>
      <c r="C2073" t="s">
        <v>58</v>
      </c>
      <c r="D2073" t="s">
        <v>149</v>
      </c>
      <c r="E2073" t="s">
        <v>150</v>
      </c>
      <c r="F2073" t="s">
        <v>5</v>
      </c>
      <c r="G2073" t="s">
        <v>6</v>
      </c>
      <c r="H2073" t="s">
        <v>7</v>
      </c>
      <c r="I2073" t="s">
        <v>8</v>
      </c>
      <c r="J2073" t="s">
        <v>772</v>
      </c>
      <c r="K2073" t="s">
        <v>793</v>
      </c>
      <c r="L2073" t="s">
        <v>796</v>
      </c>
      <c r="M2073" t="s">
        <v>12</v>
      </c>
      <c r="N2073" s="2">
        <v>100</v>
      </c>
      <c r="O2073" s="2">
        <v>0</v>
      </c>
      <c r="P2073" s="2">
        <v>0</v>
      </c>
      <c r="Q2073" s="2">
        <v>100</v>
      </c>
      <c r="R2073" s="2">
        <v>0</v>
      </c>
      <c r="S2073" s="2">
        <v>0</v>
      </c>
      <c r="T2073" s="2">
        <v>0</v>
      </c>
      <c r="U2073" s="2">
        <v>100</v>
      </c>
      <c r="V2073" s="2">
        <v>100</v>
      </c>
      <c r="W2073" s="2">
        <v>100</v>
      </c>
    </row>
    <row r="2074" spans="1:23" outlineLevel="2" x14ac:dyDescent="0.2">
      <c r="A2074" t="s">
        <v>771</v>
      </c>
      <c r="B2074" t="s">
        <v>53</v>
      </c>
      <c r="C2074" t="s">
        <v>54</v>
      </c>
      <c r="D2074" t="s">
        <v>55</v>
      </c>
      <c r="E2074" t="s">
        <v>56</v>
      </c>
      <c r="F2074" t="s">
        <v>5</v>
      </c>
      <c r="G2074" t="s">
        <v>6</v>
      </c>
      <c r="H2074" t="s">
        <v>7</v>
      </c>
      <c r="I2074" t="s">
        <v>8</v>
      </c>
      <c r="J2074" t="s">
        <v>772</v>
      </c>
      <c r="K2074" t="s">
        <v>793</v>
      </c>
      <c r="L2074" t="s">
        <v>800</v>
      </c>
      <c r="M2074" t="s">
        <v>12</v>
      </c>
      <c r="N2074" s="2">
        <v>4000</v>
      </c>
      <c r="O2074" s="2">
        <v>-4000</v>
      </c>
      <c r="P2074" s="2">
        <v>0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</row>
    <row r="2075" spans="1:23" outlineLevel="2" x14ac:dyDescent="0.2">
      <c r="A2075" t="s">
        <v>771</v>
      </c>
      <c r="B2075" t="s">
        <v>1</v>
      </c>
      <c r="C2075" t="s">
        <v>16</v>
      </c>
      <c r="D2075" t="s">
        <v>797</v>
      </c>
      <c r="E2075" t="s">
        <v>798</v>
      </c>
      <c r="F2075" t="s">
        <v>5</v>
      </c>
      <c r="G2075" t="s">
        <v>6</v>
      </c>
      <c r="H2075" t="s">
        <v>7</v>
      </c>
      <c r="I2075" t="s">
        <v>8</v>
      </c>
      <c r="J2075" t="s">
        <v>772</v>
      </c>
      <c r="K2075" t="s">
        <v>793</v>
      </c>
      <c r="L2075" t="s">
        <v>799</v>
      </c>
      <c r="M2075" t="s">
        <v>12</v>
      </c>
      <c r="N2075" s="2">
        <v>0</v>
      </c>
      <c r="O2075" s="2">
        <v>0</v>
      </c>
      <c r="P2075" s="2">
        <v>3800</v>
      </c>
      <c r="Q2075" s="2">
        <v>3800</v>
      </c>
      <c r="R2075" s="2">
        <v>0</v>
      </c>
      <c r="S2075" s="2">
        <v>560</v>
      </c>
      <c r="T2075" s="2">
        <v>0</v>
      </c>
      <c r="U2075" s="2">
        <v>3240</v>
      </c>
      <c r="V2075" s="2">
        <v>3800</v>
      </c>
      <c r="W2075" s="2">
        <v>3240</v>
      </c>
    </row>
    <row r="2076" spans="1:23" outlineLevel="2" x14ac:dyDescent="0.2">
      <c r="A2076" t="s">
        <v>771</v>
      </c>
      <c r="B2076" t="s">
        <v>1</v>
      </c>
      <c r="C2076" t="s">
        <v>2</v>
      </c>
      <c r="D2076" t="s">
        <v>589</v>
      </c>
      <c r="E2076" t="s">
        <v>590</v>
      </c>
      <c r="F2076" t="s">
        <v>5</v>
      </c>
      <c r="G2076" t="s">
        <v>6</v>
      </c>
      <c r="H2076" t="s">
        <v>7</v>
      </c>
      <c r="I2076" t="s">
        <v>8</v>
      </c>
      <c r="J2076" t="s">
        <v>772</v>
      </c>
      <c r="K2076" t="s">
        <v>793</v>
      </c>
      <c r="L2076" t="s">
        <v>795</v>
      </c>
      <c r="M2076" t="s">
        <v>12</v>
      </c>
      <c r="N2076" s="2">
        <v>0</v>
      </c>
      <c r="O2076" s="2">
        <v>0</v>
      </c>
      <c r="P2076" s="2">
        <v>500</v>
      </c>
      <c r="Q2076" s="2">
        <v>500</v>
      </c>
      <c r="R2076" s="2">
        <v>0</v>
      </c>
      <c r="S2076" s="2">
        <v>0</v>
      </c>
      <c r="T2076" s="2">
        <v>0</v>
      </c>
      <c r="U2076" s="2">
        <v>500</v>
      </c>
      <c r="V2076" s="2">
        <v>500</v>
      </c>
      <c r="W2076" s="2">
        <v>500</v>
      </c>
    </row>
    <row r="2077" spans="1:23" outlineLevel="2" x14ac:dyDescent="0.2">
      <c r="A2077" t="s">
        <v>771</v>
      </c>
      <c r="B2077" t="s">
        <v>39</v>
      </c>
      <c r="C2077" t="s">
        <v>70</v>
      </c>
      <c r="D2077" t="s">
        <v>89</v>
      </c>
      <c r="E2077" t="s">
        <v>90</v>
      </c>
      <c r="F2077" t="s">
        <v>5</v>
      </c>
      <c r="G2077" t="s">
        <v>6</v>
      </c>
      <c r="H2077" t="s">
        <v>7</v>
      </c>
      <c r="I2077" t="s">
        <v>8</v>
      </c>
      <c r="J2077" t="s">
        <v>772</v>
      </c>
      <c r="K2077" t="s">
        <v>793</v>
      </c>
      <c r="L2077" t="s">
        <v>801</v>
      </c>
      <c r="M2077" t="s">
        <v>12</v>
      </c>
      <c r="N2077" s="2">
        <v>390</v>
      </c>
      <c r="O2077" s="2">
        <v>0</v>
      </c>
      <c r="P2077" s="2">
        <v>0</v>
      </c>
      <c r="Q2077" s="2">
        <v>390</v>
      </c>
      <c r="R2077" s="2">
        <v>0</v>
      </c>
      <c r="S2077" s="2">
        <v>0</v>
      </c>
      <c r="T2077" s="2">
        <v>0</v>
      </c>
      <c r="U2077" s="2">
        <v>390</v>
      </c>
      <c r="V2077" s="2">
        <v>390</v>
      </c>
      <c r="W2077" s="2">
        <v>390</v>
      </c>
    </row>
    <row r="2078" spans="1:23" outlineLevel="2" x14ac:dyDescent="0.2">
      <c r="A2078" t="s">
        <v>771</v>
      </c>
      <c r="B2078" t="s">
        <v>39</v>
      </c>
      <c r="C2078" t="s">
        <v>58</v>
      </c>
      <c r="D2078" t="s">
        <v>139</v>
      </c>
      <c r="E2078" t="s">
        <v>140</v>
      </c>
      <c r="F2078" t="s">
        <v>5</v>
      </c>
      <c r="G2078" t="s">
        <v>6</v>
      </c>
      <c r="H2078" t="s">
        <v>7</v>
      </c>
      <c r="I2078" t="s">
        <v>8</v>
      </c>
      <c r="J2078" t="s">
        <v>772</v>
      </c>
      <c r="K2078" t="s">
        <v>793</v>
      </c>
      <c r="L2078" t="s">
        <v>796</v>
      </c>
      <c r="M2078" t="s">
        <v>12</v>
      </c>
      <c r="N2078" s="2">
        <v>100</v>
      </c>
      <c r="O2078" s="2">
        <v>0</v>
      </c>
      <c r="P2078" s="2">
        <v>0</v>
      </c>
      <c r="Q2078" s="2">
        <v>100</v>
      </c>
      <c r="R2078" s="2">
        <v>0</v>
      </c>
      <c r="S2078" s="2">
        <v>0</v>
      </c>
      <c r="T2078" s="2">
        <v>0</v>
      </c>
      <c r="U2078" s="2">
        <v>100</v>
      </c>
      <c r="V2078" s="2">
        <v>100</v>
      </c>
      <c r="W2078" s="2">
        <v>100</v>
      </c>
    </row>
    <row r="2079" spans="1:23" outlineLevel="2" x14ac:dyDescent="0.2">
      <c r="A2079" t="s">
        <v>771</v>
      </c>
      <c r="B2079" t="s">
        <v>1</v>
      </c>
      <c r="C2079" t="s">
        <v>2</v>
      </c>
      <c r="D2079" t="s">
        <v>25</v>
      </c>
      <c r="E2079" t="s">
        <v>26</v>
      </c>
      <c r="F2079" t="s">
        <v>5</v>
      </c>
      <c r="G2079" t="s">
        <v>6</v>
      </c>
      <c r="H2079" t="s">
        <v>7</v>
      </c>
      <c r="I2079" t="s">
        <v>8</v>
      </c>
      <c r="J2079" t="s">
        <v>772</v>
      </c>
      <c r="K2079" t="s">
        <v>793</v>
      </c>
      <c r="L2079" t="s">
        <v>795</v>
      </c>
      <c r="M2079" t="s">
        <v>12</v>
      </c>
      <c r="N2079" s="2">
        <v>0</v>
      </c>
      <c r="O2079" s="2">
        <v>0</v>
      </c>
      <c r="P2079" s="2">
        <v>5000</v>
      </c>
      <c r="Q2079" s="2">
        <v>5000</v>
      </c>
      <c r="R2079" s="2">
        <v>0</v>
      </c>
      <c r="S2079" s="2">
        <v>0</v>
      </c>
      <c r="T2079" s="2">
        <v>0</v>
      </c>
      <c r="U2079" s="2">
        <v>5000</v>
      </c>
      <c r="V2079" s="2">
        <v>5000</v>
      </c>
      <c r="W2079" s="2">
        <v>5000</v>
      </c>
    </row>
    <row r="2080" spans="1:23" outlineLevel="2" x14ac:dyDescent="0.2">
      <c r="A2080" t="s">
        <v>771</v>
      </c>
      <c r="B2080" t="s">
        <v>1</v>
      </c>
      <c r="C2080" t="s">
        <v>2</v>
      </c>
      <c r="D2080" t="s">
        <v>25</v>
      </c>
      <c r="E2080" t="s">
        <v>26</v>
      </c>
      <c r="F2080" t="s">
        <v>5</v>
      </c>
      <c r="G2080" t="s">
        <v>6</v>
      </c>
      <c r="H2080" t="s">
        <v>7</v>
      </c>
      <c r="I2080" t="s">
        <v>8</v>
      </c>
      <c r="J2080" t="s">
        <v>772</v>
      </c>
      <c r="K2080" t="s">
        <v>802</v>
      </c>
      <c r="L2080" t="s">
        <v>803</v>
      </c>
      <c r="M2080" t="s">
        <v>15</v>
      </c>
      <c r="N2080" s="2">
        <v>50000</v>
      </c>
      <c r="O2080" s="2">
        <v>0</v>
      </c>
      <c r="P2080" s="2">
        <v>-50000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</row>
    <row r="2081" spans="1:23" outlineLevel="2" x14ac:dyDescent="0.2">
      <c r="A2081" t="s">
        <v>771</v>
      </c>
      <c r="B2081" t="s">
        <v>1</v>
      </c>
      <c r="C2081" t="s">
        <v>2</v>
      </c>
      <c r="D2081" t="s">
        <v>25</v>
      </c>
      <c r="E2081" t="s">
        <v>26</v>
      </c>
      <c r="F2081" t="s">
        <v>5</v>
      </c>
      <c r="G2081" t="s">
        <v>6</v>
      </c>
      <c r="H2081" t="s">
        <v>7</v>
      </c>
      <c r="I2081" t="s">
        <v>8</v>
      </c>
      <c r="J2081" t="s">
        <v>772</v>
      </c>
      <c r="K2081" t="s">
        <v>802</v>
      </c>
      <c r="L2081" t="s">
        <v>803</v>
      </c>
      <c r="M2081" t="s">
        <v>12</v>
      </c>
      <c r="N2081" s="2">
        <v>0</v>
      </c>
      <c r="O2081" s="2">
        <v>0</v>
      </c>
      <c r="P2081" s="2">
        <v>50000</v>
      </c>
      <c r="Q2081" s="2">
        <v>50000</v>
      </c>
      <c r="R2081" s="2">
        <v>0</v>
      </c>
      <c r="S2081" s="2">
        <v>0</v>
      </c>
      <c r="T2081" s="2">
        <v>0</v>
      </c>
      <c r="U2081" s="2">
        <v>50000</v>
      </c>
      <c r="V2081" s="2">
        <v>50000</v>
      </c>
      <c r="W2081" s="2">
        <v>50000</v>
      </c>
    </row>
    <row r="2082" spans="1:23" outlineLevel="2" x14ac:dyDescent="0.2">
      <c r="A2082" t="s">
        <v>771</v>
      </c>
      <c r="B2082" t="s">
        <v>1</v>
      </c>
      <c r="C2082" t="s">
        <v>2</v>
      </c>
      <c r="D2082" t="s">
        <v>474</v>
      </c>
      <c r="E2082" t="s">
        <v>475</v>
      </c>
      <c r="F2082" t="s">
        <v>5</v>
      </c>
      <c r="G2082" t="s">
        <v>6</v>
      </c>
      <c r="H2082" t="s">
        <v>7</v>
      </c>
      <c r="I2082" t="s">
        <v>8</v>
      </c>
      <c r="J2082" t="s">
        <v>772</v>
      </c>
      <c r="K2082" t="s">
        <v>804</v>
      </c>
      <c r="L2082" t="s">
        <v>805</v>
      </c>
      <c r="M2082" t="s">
        <v>15</v>
      </c>
      <c r="N2082" s="2">
        <v>4150000</v>
      </c>
      <c r="O2082" s="2">
        <v>-107716.9</v>
      </c>
      <c r="P2082" s="2">
        <v>-2400000</v>
      </c>
      <c r="Q2082" s="2">
        <v>1642283.1</v>
      </c>
      <c r="R2082" s="2">
        <v>0</v>
      </c>
      <c r="S2082" s="2">
        <v>1642283.1</v>
      </c>
      <c r="T2082" s="2">
        <v>1275052.3500000001</v>
      </c>
      <c r="U2082" s="2">
        <v>0</v>
      </c>
      <c r="V2082" s="2">
        <v>367230.75</v>
      </c>
      <c r="W2082" s="2">
        <v>0</v>
      </c>
    </row>
    <row r="2083" spans="1:23" outlineLevel="2" x14ac:dyDescent="0.2">
      <c r="A2083" t="s">
        <v>806</v>
      </c>
      <c r="B2083" t="s">
        <v>1</v>
      </c>
      <c r="C2083" t="s">
        <v>2</v>
      </c>
      <c r="D2083" t="s">
        <v>474</v>
      </c>
      <c r="E2083" t="s">
        <v>475</v>
      </c>
      <c r="F2083" t="s">
        <v>5</v>
      </c>
      <c r="G2083" t="s">
        <v>6</v>
      </c>
      <c r="H2083" t="s">
        <v>7</v>
      </c>
      <c r="I2083" t="s">
        <v>8</v>
      </c>
      <c r="J2083" t="s">
        <v>807</v>
      </c>
      <c r="K2083" t="s">
        <v>808</v>
      </c>
      <c r="L2083" t="s">
        <v>809</v>
      </c>
      <c r="M2083" t="s">
        <v>15</v>
      </c>
      <c r="N2083" s="2">
        <v>0</v>
      </c>
      <c r="O2083" s="2">
        <v>4300000</v>
      </c>
      <c r="P2083" s="2">
        <v>0</v>
      </c>
      <c r="Q2083" s="2">
        <v>4300000</v>
      </c>
      <c r="R2083" s="2">
        <v>0</v>
      </c>
      <c r="S2083" s="2">
        <v>4300000</v>
      </c>
      <c r="T2083" s="2">
        <v>2725124.91</v>
      </c>
      <c r="U2083" s="2">
        <v>0</v>
      </c>
      <c r="V2083" s="2">
        <v>1574875.09</v>
      </c>
      <c r="W2083" s="2">
        <v>0</v>
      </c>
    </row>
    <row r="2084" spans="1:23" outlineLevel="2" x14ac:dyDescent="0.2">
      <c r="A2084" t="s">
        <v>806</v>
      </c>
      <c r="B2084" t="s">
        <v>1</v>
      </c>
      <c r="C2084" t="s">
        <v>2</v>
      </c>
      <c r="D2084" t="s">
        <v>474</v>
      </c>
      <c r="E2084" t="s">
        <v>475</v>
      </c>
      <c r="F2084" t="s">
        <v>5</v>
      </c>
      <c r="G2084" t="s">
        <v>6</v>
      </c>
      <c r="H2084" t="s">
        <v>7</v>
      </c>
      <c r="I2084" t="s">
        <v>8</v>
      </c>
      <c r="J2084" t="s">
        <v>807</v>
      </c>
      <c r="K2084" t="s">
        <v>810</v>
      </c>
      <c r="L2084" t="s">
        <v>811</v>
      </c>
      <c r="M2084" t="s">
        <v>15</v>
      </c>
      <c r="N2084" s="2">
        <v>0</v>
      </c>
      <c r="O2084" s="2">
        <v>1680000</v>
      </c>
      <c r="P2084" s="2">
        <v>0</v>
      </c>
      <c r="Q2084" s="2">
        <v>1680000</v>
      </c>
      <c r="R2084" s="2">
        <v>0</v>
      </c>
      <c r="S2084" s="2">
        <v>1680000</v>
      </c>
      <c r="T2084" s="2">
        <v>1001420.9</v>
      </c>
      <c r="U2084" s="2">
        <v>0</v>
      </c>
      <c r="V2084" s="2">
        <v>678579.1</v>
      </c>
      <c r="W2084" s="2">
        <v>0</v>
      </c>
    </row>
    <row r="2085" spans="1:23" outlineLevel="2" x14ac:dyDescent="0.2">
      <c r="A2085" t="s">
        <v>806</v>
      </c>
      <c r="B2085" t="s">
        <v>1</v>
      </c>
      <c r="C2085" t="s">
        <v>2</v>
      </c>
      <c r="D2085" t="s">
        <v>474</v>
      </c>
      <c r="E2085" t="s">
        <v>475</v>
      </c>
      <c r="F2085" t="s">
        <v>5</v>
      </c>
      <c r="G2085" t="s">
        <v>6</v>
      </c>
      <c r="H2085" t="s">
        <v>7</v>
      </c>
      <c r="I2085" t="s">
        <v>8</v>
      </c>
      <c r="J2085" t="s">
        <v>807</v>
      </c>
      <c r="K2085" t="s">
        <v>812</v>
      </c>
      <c r="L2085" t="s">
        <v>813</v>
      </c>
      <c r="M2085" t="s">
        <v>15</v>
      </c>
      <c r="N2085" s="2">
        <v>1680000</v>
      </c>
      <c r="O2085" s="2">
        <v>0</v>
      </c>
      <c r="P2085" s="2">
        <v>-1219228.03</v>
      </c>
      <c r="Q2085" s="2">
        <v>460771.97</v>
      </c>
      <c r="R2085" s="2">
        <v>0</v>
      </c>
      <c r="S2085" s="2">
        <v>460771.97</v>
      </c>
      <c r="T2085" s="2">
        <v>6889</v>
      </c>
      <c r="U2085" s="2">
        <v>0</v>
      </c>
      <c r="V2085" s="2">
        <v>453882.97</v>
      </c>
      <c r="W2085" s="2">
        <v>0</v>
      </c>
    </row>
    <row r="2086" spans="1:23" outlineLevel="2" x14ac:dyDescent="0.2">
      <c r="A2086" t="s">
        <v>806</v>
      </c>
      <c r="B2086" t="s">
        <v>1</v>
      </c>
      <c r="C2086" t="s">
        <v>2</v>
      </c>
      <c r="D2086" t="s">
        <v>474</v>
      </c>
      <c r="E2086" t="s">
        <v>475</v>
      </c>
      <c r="F2086" t="s">
        <v>5</v>
      </c>
      <c r="G2086" t="s">
        <v>6</v>
      </c>
      <c r="H2086" t="s">
        <v>7</v>
      </c>
      <c r="I2086" t="s">
        <v>8</v>
      </c>
      <c r="J2086" t="s">
        <v>807</v>
      </c>
      <c r="K2086" t="s">
        <v>812</v>
      </c>
      <c r="L2086" t="s">
        <v>813</v>
      </c>
      <c r="M2086" t="s">
        <v>12</v>
      </c>
      <c r="N2086" s="2">
        <v>0</v>
      </c>
      <c r="O2086" s="2">
        <v>0</v>
      </c>
      <c r="P2086" s="2">
        <v>1219228.03</v>
      </c>
      <c r="Q2086" s="2">
        <v>1219228.03</v>
      </c>
      <c r="R2086" s="2">
        <v>0</v>
      </c>
      <c r="S2086" s="2">
        <v>0</v>
      </c>
      <c r="T2086" s="2">
        <v>0</v>
      </c>
      <c r="U2086" s="2">
        <v>1219228.03</v>
      </c>
      <c r="V2086" s="2">
        <v>1219228.03</v>
      </c>
      <c r="W2086" s="2">
        <v>1219228.03</v>
      </c>
    </row>
    <row r="2087" spans="1:23" outlineLevel="2" x14ac:dyDescent="0.2">
      <c r="A2087" t="s">
        <v>806</v>
      </c>
      <c r="B2087" t="s">
        <v>1</v>
      </c>
      <c r="C2087" t="s">
        <v>2</v>
      </c>
      <c r="D2087" t="s">
        <v>474</v>
      </c>
      <c r="E2087" t="s">
        <v>475</v>
      </c>
      <c r="F2087" t="s">
        <v>5</v>
      </c>
      <c r="G2087" t="s">
        <v>6</v>
      </c>
      <c r="H2087" t="s">
        <v>7</v>
      </c>
      <c r="I2087" t="s">
        <v>8</v>
      </c>
      <c r="J2087" t="s">
        <v>807</v>
      </c>
      <c r="K2087" t="s">
        <v>814</v>
      </c>
      <c r="L2087" t="s">
        <v>815</v>
      </c>
      <c r="M2087" t="s">
        <v>15</v>
      </c>
      <c r="N2087" s="2">
        <v>6350000</v>
      </c>
      <c r="O2087" s="2">
        <v>-5980000</v>
      </c>
      <c r="P2087" s="2">
        <v>-370000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</row>
    <row r="2088" spans="1:23" outlineLevel="2" x14ac:dyDescent="0.2">
      <c r="A2088" t="s">
        <v>806</v>
      </c>
      <c r="B2088" t="s">
        <v>1</v>
      </c>
      <c r="C2088" t="s">
        <v>2</v>
      </c>
      <c r="D2088" t="s">
        <v>25</v>
      </c>
      <c r="E2088" t="s">
        <v>26</v>
      </c>
      <c r="F2088" t="s">
        <v>5</v>
      </c>
      <c r="G2088" t="s">
        <v>6</v>
      </c>
      <c r="H2088" t="s">
        <v>7</v>
      </c>
      <c r="I2088" t="s">
        <v>8</v>
      </c>
      <c r="J2088" t="s">
        <v>807</v>
      </c>
      <c r="K2088" t="s">
        <v>816</v>
      </c>
      <c r="L2088" t="s">
        <v>817</v>
      </c>
      <c r="M2088" t="s">
        <v>12</v>
      </c>
      <c r="N2088" s="2">
        <v>0</v>
      </c>
      <c r="O2088" s="2">
        <v>-102000</v>
      </c>
      <c r="P2088" s="2">
        <v>1173698.7</v>
      </c>
      <c r="Q2088" s="2">
        <v>1071698.7</v>
      </c>
      <c r="R2088" s="2">
        <v>0</v>
      </c>
      <c r="S2088" s="2">
        <v>0</v>
      </c>
      <c r="T2088" s="2">
        <v>0</v>
      </c>
      <c r="U2088" s="2">
        <v>1071698.7</v>
      </c>
      <c r="V2088" s="2">
        <v>1071698.7</v>
      </c>
      <c r="W2088" s="2">
        <v>1071698.7</v>
      </c>
    </row>
    <row r="2089" spans="1:23" outlineLevel="2" x14ac:dyDescent="0.2">
      <c r="A2089" t="s">
        <v>806</v>
      </c>
      <c r="B2089" t="s">
        <v>1</v>
      </c>
      <c r="C2089" t="s">
        <v>2</v>
      </c>
      <c r="D2089" t="s">
        <v>25</v>
      </c>
      <c r="E2089" t="s">
        <v>26</v>
      </c>
      <c r="F2089" t="s">
        <v>5</v>
      </c>
      <c r="G2089" t="s">
        <v>6</v>
      </c>
      <c r="H2089" t="s">
        <v>7</v>
      </c>
      <c r="I2089" t="s">
        <v>8</v>
      </c>
      <c r="J2089" t="s">
        <v>807</v>
      </c>
      <c r="K2089" t="s">
        <v>816</v>
      </c>
      <c r="L2089" t="s">
        <v>817</v>
      </c>
      <c r="M2089" t="s">
        <v>15</v>
      </c>
      <c r="N2089" s="2">
        <v>3115000</v>
      </c>
      <c r="O2089" s="2">
        <v>0</v>
      </c>
      <c r="P2089" s="2">
        <v>-1173698.7</v>
      </c>
      <c r="Q2089" s="2">
        <v>1941301.3</v>
      </c>
      <c r="R2089" s="2">
        <v>0</v>
      </c>
      <c r="S2089" s="2">
        <v>1941301.3</v>
      </c>
      <c r="T2089" s="2">
        <v>1941301.3</v>
      </c>
      <c r="U2089" s="2">
        <v>0</v>
      </c>
      <c r="V2089" s="2">
        <v>0</v>
      </c>
      <c r="W2089" s="2">
        <v>0</v>
      </c>
    </row>
    <row r="2090" spans="1:23" outlineLevel="2" x14ac:dyDescent="0.2">
      <c r="A2090" t="s">
        <v>806</v>
      </c>
      <c r="B2090" t="s">
        <v>1</v>
      </c>
      <c r="C2090" t="s">
        <v>16</v>
      </c>
      <c r="D2090" t="s">
        <v>818</v>
      </c>
      <c r="E2090" t="s">
        <v>819</v>
      </c>
      <c r="F2090" t="s">
        <v>820</v>
      </c>
      <c r="G2090" t="s">
        <v>821</v>
      </c>
      <c r="H2090" t="s">
        <v>822</v>
      </c>
      <c r="I2090" t="s">
        <v>823</v>
      </c>
      <c r="J2090" t="s">
        <v>807</v>
      </c>
      <c r="K2090" t="s">
        <v>810</v>
      </c>
      <c r="L2090" t="s">
        <v>824</v>
      </c>
      <c r="M2090" t="s">
        <v>15</v>
      </c>
      <c r="N2090" s="2">
        <v>0</v>
      </c>
      <c r="O2090" s="2">
        <v>1413250.73</v>
      </c>
      <c r="P2090" s="2">
        <v>-179563.78</v>
      </c>
      <c r="Q2090" s="2">
        <v>1233686.95</v>
      </c>
      <c r="R2090" s="2">
        <v>0</v>
      </c>
      <c r="S2090" s="2">
        <v>1233686.95</v>
      </c>
      <c r="T2090" s="2">
        <v>1057999.76</v>
      </c>
      <c r="U2090" s="2">
        <v>0</v>
      </c>
      <c r="V2090" s="2">
        <v>175687.19</v>
      </c>
      <c r="W2090" s="2">
        <v>0</v>
      </c>
    </row>
    <row r="2091" spans="1:23" outlineLevel="2" x14ac:dyDescent="0.2">
      <c r="A2091" t="s">
        <v>806</v>
      </c>
      <c r="B2091" t="s">
        <v>1</v>
      </c>
      <c r="C2091" t="s">
        <v>16</v>
      </c>
      <c r="D2091" t="s">
        <v>818</v>
      </c>
      <c r="E2091" t="s">
        <v>819</v>
      </c>
      <c r="F2091" t="s">
        <v>820</v>
      </c>
      <c r="G2091" t="s">
        <v>821</v>
      </c>
      <c r="H2091" t="s">
        <v>822</v>
      </c>
      <c r="I2091" t="s">
        <v>823</v>
      </c>
      <c r="J2091" t="s">
        <v>807</v>
      </c>
      <c r="K2091" t="s">
        <v>812</v>
      </c>
      <c r="L2091" t="s">
        <v>825</v>
      </c>
      <c r="M2091" t="s">
        <v>15</v>
      </c>
      <c r="N2091" s="2">
        <v>1413250.73</v>
      </c>
      <c r="O2091" s="2">
        <v>-1413250.73</v>
      </c>
      <c r="P2091" s="2">
        <v>0</v>
      </c>
      <c r="Q2091" s="2">
        <v>0</v>
      </c>
      <c r="R2091" s="2">
        <v>0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</row>
    <row r="2092" spans="1:23" outlineLevel="2" x14ac:dyDescent="0.2">
      <c r="A2092" t="s">
        <v>806</v>
      </c>
      <c r="B2092" t="s">
        <v>39</v>
      </c>
      <c r="C2092" t="s">
        <v>66</v>
      </c>
      <c r="D2092" t="s">
        <v>826</v>
      </c>
      <c r="E2092" t="s">
        <v>827</v>
      </c>
      <c r="F2092" t="s">
        <v>820</v>
      </c>
      <c r="G2092" t="s">
        <v>821</v>
      </c>
      <c r="H2092" t="s">
        <v>828</v>
      </c>
      <c r="I2092" t="s">
        <v>829</v>
      </c>
      <c r="J2092" t="s">
        <v>807</v>
      </c>
      <c r="K2092" t="s">
        <v>812</v>
      </c>
      <c r="L2092" t="s">
        <v>830</v>
      </c>
      <c r="M2092" t="s">
        <v>12</v>
      </c>
      <c r="N2092" s="2">
        <v>0</v>
      </c>
      <c r="O2092" s="2">
        <v>0</v>
      </c>
      <c r="P2092" s="2">
        <v>1000000</v>
      </c>
      <c r="Q2092" s="2">
        <v>1000000</v>
      </c>
      <c r="R2092" s="2">
        <v>0</v>
      </c>
      <c r="S2092" s="2">
        <v>0</v>
      </c>
      <c r="T2092" s="2">
        <v>0</v>
      </c>
      <c r="U2092" s="2">
        <v>1000000</v>
      </c>
      <c r="V2092" s="2">
        <v>1000000</v>
      </c>
      <c r="W2092" s="2">
        <v>1000000</v>
      </c>
    </row>
    <row r="2093" spans="1:23" outlineLevel="2" x14ac:dyDescent="0.2">
      <c r="A2093" t="s">
        <v>806</v>
      </c>
      <c r="B2093" t="s">
        <v>53</v>
      </c>
      <c r="C2093" t="s">
        <v>85</v>
      </c>
      <c r="D2093" t="s">
        <v>831</v>
      </c>
      <c r="E2093" t="s">
        <v>832</v>
      </c>
      <c r="F2093" t="s">
        <v>820</v>
      </c>
      <c r="G2093" t="s">
        <v>821</v>
      </c>
      <c r="H2093" t="s">
        <v>833</v>
      </c>
      <c r="I2093" t="s">
        <v>834</v>
      </c>
      <c r="J2093" t="s">
        <v>807</v>
      </c>
      <c r="K2093" t="s">
        <v>812</v>
      </c>
      <c r="L2093" t="s">
        <v>835</v>
      </c>
      <c r="M2093" t="s">
        <v>12</v>
      </c>
      <c r="N2093" s="2">
        <v>0</v>
      </c>
      <c r="O2093" s="2">
        <v>0</v>
      </c>
      <c r="P2093" s="2">
        <v>3784852.09</v>
      </c>
      <c r="Q2093" s="2">
        <v>3784852.09</v>
      </c>
      <c r="R2093" s="2">
        <v>0</v>
      </c>
      <c r="S2093" s="2">
        <v>3784852.09</v>
      </c>
      <c r="T2093" s="2">
        <v>3784852.09</v>
      </c>
      <c r="U2093" s="2">
        <v>0</v>
      </c>
      <c r="V2093" s="2">
        <v>0</v>
      </c>
      <c r="W2093" s="2">
        <v>0</v>
      </c>
    </row>
    <row r="2094" spans="1:23" outlineLevel="2" x14ac:dyDescent="0.2">
      <c r="A2094" t="s">
        <v>806</v>
      </c>
      <c r="B2094" t="s">
        <v>53</v>
      </c>
      <c r="C2094" t="s">
        <v>85</v>
      </c>
      <c r="D2094" t="s">
        <v>831</v>
      </c>
      <c r="E2094" t="s">
        <v>832</v>
      </c>
      <c r="F2094" t="s">
        <v>820</v>
      </c>
      <c r="G2094" t="s">
        <v>821</v>
      </c>
      <c r="H2094" t="s">
        <v>833</v>
      </c>
      <c r="I2094" t="s">
        <v>834</v>
      </c>
      <c r="J2094" t="s">
        <v>807</v>
      </c>
      <c r="K2094" t="s">
        <v>812</v>
      </c>
      <c r="L2094" t="s">
        <v>835</v>
      </c>
      <c r="M2094" t="s">
        <v>15</v>
      </c>
      <c r="N2094" s="2">
        <v>0</v>
      </c>
      <c r="O2094" s="2">
        <v>279554.28999999998</v>
      </c>
      <c r="P2094" s="2">
        <v>0</v>
      </c>
      <c r="Q2094" s="2">
        <v>279554.28999999998</v>
      </c>
      <c r="R2094" s="2">
        <v>0</v>
      </c>
      <c r="S2094" s="2">
        <v>279554.28999999998</v>
      </c>
      <c r="T2094" s="2">
        <v>279554.28999999998</v>
      </c>
      <c r="U2094" s="2">
        <v>0</v>
      </c>
      <c r="V2094" s="2">
        <v>0</v>
      </c>
      <c r="W2094" s="2">
        <v>0</v>
      </c>
    </row>
    <row r="2095" spans="1:23" outlineLevel="2" x14ac:dyDescent="0.2">
      <c r="A2095" t="s">
        <v>836</v>
      </c>
      <c r="B2095" t="s">
        <v>39</v>
      </c>
      <c r="C2095" t="s">
        <v>58</v>
      </c>
      <c r="D2095" t="s">
        <v>59</v>
      </c>
      <c r="E2095" t="s">
        <v>60</v>
      </c>
      <c r="F2095" t="s">
        <v>837</v>
      </c>
      <c r="G2095" t="s">
        <v>838</v>
      </c>
      <c r="H2095" t="s">
        <v>839</v>
      </c>
      <c r="I2095" t="s">
        <v>840</v>
      </c>
      <c r="J2095" t="s">
        <v>841</v>
      </c>
      <c r="K2095" t="s">
        <v>842</v>
      </c>
      <c r="L2095" t="s">
        <v>843</v>
      </c>
      <c r="M2095" t="s">
        <v>15</v>
      </c>
      <c r="N2095" s="2">
        <v>613</v>
      </c>
      <c r="O2095" s="2">
        <v>0</v>
      </c>
      <c r="P2095" s="2">
        <v>0</v>
      </c>
      <c r="Q2095" s="2">
        <v>613</v>
      </c>
      <c r="R2095" s="2">
        <v>613</v>
      </c>
      <c r="S2095" s="2">
        <v>0</v>
      </c>
      <c r="T2095" s="2">
        <v>0</v>
      </c>
      <c r="U2095" s="2">
        <v>613</v>
      </c>
      <c r="V2095" s="2">
        <v>613</v>
      </c>
      <c r="W2095" s="2">
        <v>0</v>
      </c>
    </row>
    <row r="2096" spans="1:23" outlineLevel="2" x14ac:dyDescent="0.2">
      <c r="A2096" t="s">
        <v>836</v>
      </c>
      <c r="B2096" t="s">
        <v>39</v>
      </c>
      <c r="C2096" t="s">
        <v>58</v>
      </c>
      <c r="D2096" t="s">
        <v>145</v>
      </c>
      <c r="E2096" t="s">
        <v>146</v>
      </c>
      <c r="F2096" t="s">
        <v>837</v>
      </c>
      <c r="G2096" t="s">
        <v>838</v>
      </c>
      <c r="H2096" t="s">
        <v>839</v>
      </c>
      <c r="I2096" t="s">
        <v>840</v>
      </c>
      <c r="J2096" t="s">
        <v>841</v>
      </c>
      <c r="K2096" t="s">
        <v>842</v>
      </c>
      <c r="L2096" t="s">
        <v>843</v>
      </c>
      <c r="M2096" t="s">
        <v>15</v>
      </c>
      <c r="N2096" s="2">
        <v>817</v>
      </c>
      <c r="O2096" s="2">
        <v>0</v>
      </c>
      <c r="P2096" s="2">
        <v>0</v>
      </c>
      <c r="Q2096" s="2">
        <v>817</v>
      </c>
      <c r="R2096" s="2">
        <v>817</v>
      </c>
      <c r="S2096" s="2">
        <v>0</v>
      </c>
      <c r="T2096" s="2">
        <v>0</v>
      </c>
      <c r="U2096" s="2">
        <v>817</v>
      </c>
      <c r="V2096" s="2">
        <v>817</v>
      </c>
      <c r="W2096" s="2">
        <v>0</v>
      </c>
    </row>
    <row r="2097" spans="1:23" outlineLevel="2" x14ac:dyDescent="0.2">
      <c r="A2097" t="s">
        <v>836</v>
      </c>
      <c r="B2097" t="s">
        <v>39</v>
      </c>
      <c r="C2097" t="s">
        <v>58</v>
      </c>
      <c r="D2097" t="s">
        <v>137</v>
      </c>
      <c r="E2097" t="s">
        <v>138</v>
      </c>
      <c r="F2097" t="s">
        <v>837</v>
      </c>
      <c r="G2097" t="s">
        <v>838</v>
      </c>
      <c r="H2097" t="s">
        <v>839</v>
      </c>
      <c r="I2097" t="s">
        <v>840</v>
      </c>
      <c r="J2097" t="s">
        <v>841</v>
      </c>
      <c r="K2097" t="s">
        <v>842</v>
      </c>
      <c r="L2097" t="s">
        <v>843</v>
      </c>
      <c r="M2097" t="s">
        <v>15</v>
      </c>
      <c r="N2097" s="2">
        <v>1200</v>
      </c>
      <c r="O2097" s="2">
        <v>0</v>
      </c>
      <c r="P2097" s="2">
        <v>0</v>
      </c>
      <c r="Q2097" s="2">
        <v>1200</v>
      </c>
      <c r="R2097" s="2">
        <v>1200</v>
      </c>
      <c r="S2097" s="2">
        <v>0</v>
      </c>
      <c r="T2097" s="2">
        <v>0</v>
      </c>
      <c r="U2097" s="2">
        <v>1200</v>
      </c>
      <c r="V2097" s="2">
        <v>1200</v>
      </c>
      <c r="W2097" s="2">
        <v>0</v>
      </c>
    </row>
    <row r="2098" spans="1:23" outlineLevel="2" x14ac:dyDescent="0.2">
      <c r="A2098" t="s">
        <v>836</v>
      </c>
      <c r="B2098" t="s">
        <v>39</v>
      </c>
      <c r="C2098" t="s">
        <v>58</v>
      </c>
      <c r="D2098" t="s">
        <v>139</v>
      </c>
      <c r="E2098" t="s">
        <v>140</v>
      </c>
      <c r="F2098" t="s">
        <v>837</v>
      </c>
      <c r="G2098" t="s">
        <v>838</v>
      </c>
      <c r="H2098" t="s">
        <v>839</v>
      </c>
      <c r="I2098" t="s">
        <v>840</v>
      </c>
      <c r="J2098" t="s">
        <v>841</v>
      </c>
      <c r="K2098" t="s">
        <v>842</v>
      </c>
      <c r="L2098" t="s">
        <v>843</v>
      </c>
      <c r="M2098" t="s">
        <v>15</v>
      </c>
      <c r="N2098" s="2">
        <v>3560</v>
      </c>
      <c r="O2098" s="2">
        <v>0</v>
      </c>
      <c r="P2098" s="2">
        <v>0</v>
      </c>
      <c r="Q2098" s="2">
        <v>3560</v>
      </c>
      <c r="R2098" s="2">
        <v>3560</v>
      </c>
      <c r="S2098" s="2">
        <v>0</v>
      </c>
      <c r="T2098" s="2">
        <v>0</v>
      </c>
      <c r="U2098" s="2">
        <v>3560</v>
      </c>
      <c r="V2098" s="2">
        <v>3560</v>
      </c>
      <c r="W2098" s="2">
        <v>0</v>
      </c>
    </row>
    <row r="2099" spans="1:23" outlineLevel="2" x14ac:dyDescent="0.2">
      <c r="A2099" t="s">
        <v>836</v>
      </c>
      <c r="B2099" t="s">
        <v>39</v>
      </c>
      <c r="C2099" t="s">
        <v>58</v>
      </c>
      <c r="D2099" t="s">
        <v>59</v>
      </c>
      <c r="E2099" t="s">
        <v>60</v>
      </c>
      <c r="F2099" t="s">
        <v>837</v>
      </c>
      <c r="G2099" t="s">
        <v>838</v>
      </c>
      <c r="H2099" t="s">
        <v>839</v>
      </c>
      <c r="I2099" t="s">
        <v>840</v>
      </c>
      <c r="J2099" t="s">
        <v>841</v>
      </c>
      <c r="K2099" t="s">
        <v>844</v>
      </c>
      <c r="L2099" t="s">
        <v>845</v>
      </c>
      <c r="M2099" t="s">
        <v>12</v>
      </c>
      <c r="N2099" s="2">
        <v>0</v>
      </c>
      <c r="O2099" s="2">
        <v>0</v>
      </c>
      <c r="P2099" s="2">
        <v>5.82</v>
      </c>
      <c r="Q2099" s="2">
        <v>5.82</v>
      </c>
      <c r="R2099" s="2">
        <v>0</v>
      </c>
      <c r="S2099" s="2">
        <v>0</v>
      </c>
      <c r="T2099" s="2">
        <v>0</v>
      </c>
      <c r="U2099" s="2">
        <v>5.82</v>
      </c>
      <c r="V2099" s="2">
        <v>5.82</v>
      </c>
      <c r="W2099" s="2">
        <v>5.82</v>
      </c>
    </row>
    <row r="2100" spans="1:23" outlineLevel="2" x14ac:dyDescent="0.2">
      <c r="A2100" t="s">
        <v>836</v>
      </c>
      <c r="B2100" t="s">
        <v>39</v>
      </c>
      <c r="C2100" t="s">
        <v>58</v>
      </c>
      <c r="D2100" t="s">
        <v>139</v>
      </c>
      <c r="E2100" t="s">
        <v>140</v>
      </c>
      <c r="F2100" t="s">
        <v>837</v>
      </c>
      <c r="G2100" t="s">
        <v>838</v>
      </c>
      <c r="H2100" t="s">
        <v>839</v>
      </c>
      <c r="I2100" t="s">
        <v>840</v>
      </c>
      <c r="J2100" t="s">
        <v>841</v>
      </c>
      <c r="K2100" t="s">
        <v>844</v>
      </c>
      <c r="L2100" t="s">
        <v>845</v>
      </c>
      <c r="M2100" t="s">
        <v>15</v>
      </c>
      <c r="N2100" s="2">
        <v>2029.1</v>
      </c>
      <c r="O2100" s="2">
        <v>0</v>
      </c>
      <c r="P2100" s="2">
        <v>-29.1</v>
      </c>
      <c r="Q2100" s="2">
        <v>2000</v>
      </c>
      <c r="R2100" s="2">
        <v>118.88</v>
      </c>
      <c r="S2100" s="2">
        <v>1881.12</v>
      </c>
      <c r="T2100" s="2">
        <v>1881.12</v>
      </c>
      <c r="U2100" s="2">
        <v>118.88</v>
      </c>
      <c r="V2100" s="2">
        <v>118.88</v>
      </c>
      <c r="W2100" s="2">
        <v>0</v>
      </c>
    </row>
    <row r="2101" spans="1:23" outlineLevel="2" x14ac:dyDescent="0.2">
      <c r="A2101" t="s">
        <v>836</v>
      </c>
      <c r="B2101" t="s">
        <v>39</v>
      </c>
      <c r="C2101" t="s">
        <v>58</v>
      </c>
      <c r="D2101" t="s">
        <v>145</v>
      </c>
      <c r="E2101" t="s">
        <v>146</v>
      </c>
      <c r="F2101" t="s">
        <v>837</v>
      </c>
      <c r="G2101" t="s">
        <v>838</v>
      </c>
      <c r="H2101" t="s">
        <v>839</v>
      </c>
      <c r="I2101" t="s">
        <v>840</v>
      </c>
      <c r="J2101" t="s">
        <v>841</v>
      </c>
      <c r="K2101" t="s">
        <v>844</v>
      </c>
      <c r="L2101" t="s">
        <v>845</v>
      </c>
      <c r="M2101" t="s">
        <v>15</v>
      </c>
      <c r="N2101" s="2">
        <v>405.82</v>
      </c>
      <c r="O2101" s="2">
        <v>0</v>
      </c>
      <c r="P2101" s="2">
        <v>-5.82</v>
      </c>
      <c r="Q2101" s="2">
        <v>400</v>
      </c>
      <c r="R2101" s="2">
        <v>400</v>
      </c>
      <c r="S2101" s="2">
        <v>0</v>
      </c>
      <c r="T2101" s="2">
        <v>0</v>
      </c>
      <c r="U2101" s="2">
        <v>400</v>
      </c>
      <c r="V2101" s="2">
        <v>400</v>
      </c>
      <c r="W2101" s="2">
        <v>0</v>
      </c>
    </row>
    <row r="2102" spans="1:23" outlineLevel="2" x14ac:dyDescent="0.2">
      <c r="A2102" t="s">
        <v>836</v>
      </c>
      <c r="B2102" t="s">
        <v>39</v>
      </c>
      <c r="C2102" t="s">
        <v>58</v>
      </c>
      <c r="D2102" t="s">
        <v>139</v>
      </c>
      <c r="E2102" t="s">
        <v>140</v>
      </c>
      <c r="F2102" t="s">
        <v>837</v>
      </c>
      <c r="G2102" t="s">
        <v>838</v>
      </c>
      <c r="H2102" t="s">
        <v>839</v>
      </c>
      <c r="I2102" t="s">
        <v>840</v>
      </c>
      <c r="J2102" t="s">
        <v>841</v>
      </c>
      <c r="K2102" t="s">
        <v>844</v>
      </c>
      <c r="L2102" t="s">
        <v>845</v>
      </c>
      <c r="M2102" t="s">
        <v>12</v>
      </c>
      <c r="N2102" s="2">
        <v>0</v>
      </c>
      <c r="O2102" s="2">
        <v>0</v>
      </c>
      <c r="P2102" s="2">
        <v>29.1</v>
      </c>
      <c r="Q2102" s="2">
        <v>29.1</v>
      </c>
      <c r="R2102" s="2">
        <v>0</v>
      </c>
      <c r="S2102" s="2">
        <v>0</v>
      </c>
      <c r="T2102" s="2">
        <v>0</v>
      </c>
      <c r="U2102" s="2">
        <v>29.1</v>
      </c>
      <c r="V2102" s="2">
        <v>29.1</v>
      </c>
      <c r="W2102" s="2">
        <v>29.1</v>
      </c>
    </row>
    <row r="2103" spans="1:23" outlineLevel="2" x14ac:dyDescent="0.2">
      <c r="A2103" t="s">
        <v>836</v>
      </c>
      <c r="B2103" t="s">
        <v>39</v>
      </c>
      <c r="C2103" t="s">
        <v>58</v>
      </c>
      <c r="D2103" t="s">
        <v>145</v>
      </c>
      <c r="E2103" t="s">
        <v>146</v>
      </c>
      <c r="F2103" t="s">
        <v>837</v>
      </c>
      <c r="G2103" t="s">
        <v>838</v>
      </c>
      <c r="H2103" t="s">
        <v>839</v>
      </c>
      <c r="I2103" t="s">
        <v>840</v>
      </c>
      <c r="J2103" t="s">
        <v>841</v>
      </c>
      <c r="K2103" t="s">
        <v>844</v>
      </c>
      <c r="L2103" t="s">
        <v>845</v>
      </c>
      <c r="M2103" t="s">
        <v>12</v>
      </c>
      <c r="N2103" s="2">
        <v>0</v>
      </c>
      <c r="O2103" s="2">
        <v>0</v>
      </c>
      <c r="P2103" s="2">
        <v>5.82</v>
      </c>
      <c r="Q2103" s="2">
        <v>5.82</v>
      </c>
      <c r="R2103" s="2">
        <v>0</v>
      </c>
      <c r="S2103" s="2">
        <v>0</v>
      </c>
      <c r="T2103" s="2">
        <v>0</v>
      </c>
      <c r="U2103" s="2">
        <v>5.82</v>
      </c>
      <c r="V2103" s="2">
        <v>5.82</v>
      </c>
      <c r="W2103" s="2">
        <v>5.82</v>
      </c>
    </row>
    <row r="2104" spans="1:23" outlineLevel="2" x14ac:dyDescent="0.2">
      <c r="A2104" t="s">
        <v>836</v>
      </c>
      <c r="B2104" t="s">
        <v>39</v>
      </c>
      <c r="C2104" t="s">
        <v>58</v>
      </c>
      <c r="D2104" t="s">
        <v>137</v>
      </c>
      <c r="E2104" t="s">
        <v>138</v>
      </c>
      <c r="F2104" t="s">
        <v>837</v>
      </c>
      <c r="G2104" t="s">
        <v>838</v>
      </c>
      <c r="H2104" t="s">
        <v>839</v>
      </c>
      <c r="I2104" t="s">
        <v>840</v>
      </c>
      <c r="J2104" t="s">
        <v>841</v>
      </c>
      <c r="K2104" t="s">
        <v>844</v>
      </c>
      <c r="L2104" t="s">
        <v>845</v>
      </c>
      <c r="M2104" t="s">
        <v>12</v>
      </c>
      <c r="N2104" s="2">
        <v>0</v>
      </c>
      <c r="O2104" s="2">
        <v>0</v>
      </c>
      <c r="P2104" s="2">
        <v>5.82</v>
      </c>
      <c r="Q2104" s="2">
        <v>5.82</v>
      </c>
      <c r="R2104" s="2">
        <v>0</v>
      </c>
      <c r="S2104" s="2">
        <v>0</v>
      </c>
      <c r="T2104" s="2">
        <v>0</v>
      </c>
      <c r="U2104" s="2">
        <v>5.82</v>
      </c>
      <c r="V2104" s="2">
        <v>5.82</v>
      </c>
      <c r="W2104" s="2">
        <v>5.82</v>
      </c>
    </row>
    <row r="2105" spans="1:23" outlineLevel="2" x14ac:dyDescent="0.2">
      <c r="A2105" t="s">
        <v>836</v>
      </c>
      <c r="B2105" t="s">
        <v>39</v>
      </c>
      <c r="C2105" t="s">
        <v>58</v>
      </c>
      <c r="D2105" t="s">
        <v>137</v>
      </c>
      <c r="E2105" t="s">
        <v>138</v>
      </c>
      <c r="F2105" t="s">
        <v>837</v>
      </c>
      <c r="G2105" t="s">
        <v>838</v>
      </c>
      <c r="H2105" t="s">
        <v>839</v>
      </c>
      <c r="I2105" t="s">
        <v>840</v>
      </c>
      <c r="J2105" t="s">
        <v>841</v>
      </c>
      <c r="K2105" t="s">
        <v>844</v>
      </c>
      <c r="L2105" t="s">
        <v>845</v>
      </c>
      <c r="M2105" t="s">
        <v>15</v>
      </c>
      <c r="N2105" s="2">
        <v>405.82</v>
      </c>
      <c r="O2105" s="2">
        <v>0</v>
      </c>
      <c r="P2105" s="2">
        <v>-5.82</v>
      </c>
      <c r="Q2105" s="2">
        <v>400</v>
      </c>
      <c r="R2105" s="2">
        <v>0</v>
      </c>
      <c r="S2105" s="2">
        <v>400</v>
      </c>
      <c r="T2105" s="2">
        <v>400</v>
      </c>
      <c r="U2105" s="2">
        <v>0</v>
      </c>
      <c r="V2105" s="2">
        <v>0</v>
      </c>
      <c r="W2105" s="2">
        <v>0</v>
      </c>
    </row>
    <row r="2106" spans="1:23" outlineLevel="2" x14ac:dyDescent="0.2">
      <c r="A2106" t="s">
        <v>836</v>
      </c>
      <c r="B2106" t="s">
        <v>39</v>
      </c>
      <c r="C2106" t="s">
        <v>58</v>
      </c>
      <c r="D2106" t="s">
        <v>59</v>
      </c>
      <c r="E2106" t="s">
        <v>60</v>
      </c>
      <c r="F2106" t="s">
        <v>837</v>
      </c>
      <c r="G2106" t="s">
        <v>838</v>
      </c>
      <c r="H2106" t="s">
        <v>839</v>
      </c>
      <c r="I2106" t="s">
        <v>840</v>
      </c>
      <c r="J2106" t="s">
        <v>841</v>
      </c>
      <c r="K2106" t="s">
        <v>844</v>
      </c>
      <c r="L2106" t="s">
        <v>845</v>
      </c>
      <c r="M2106" t="s">
        <v>15</v>
      </c>
      <c r="N2106" s="2">
        <v>405.82</v>
      </c>
      <c r="O2106" s="2">
        <v>0</v>
      </c>
      <c r="P2106" s="2">
        <v>-5.82</v>
      </c>
      <c r="Q2106" s="2">
        <v>400</v>
      </c>
      <c r="R2106" s="2">
        <v>66.67</v>
      </c>
      <c r="S2106" s="2">
        <v>333.33</v>
      </c>
      <c r="T2106" s="2">
        <v>333.33</v>
      </c>
      <c r="U2106" s="2">
        <v>66.67</v>
      </c>
      <c r="V2106" s="2">
        <v>66.67</v>
      </c>
      <c r="W2106" s="2">
        <v>0</v>
      </c>
    </row>
    <row r="2107" spans="1:23" outlineLevel="2" x14ac:dyDescent="0.2">
      <c r="A2107" t="s">
        <v>836</v>
      </c>
      <c r="B2107" t="s">
        <v>39</v>
      </c>
      <c r="C2107" t="s">
        <v>58</v>
      </c>
      <c r="D2107" t="s">
        <v>137</v>
      </c>
      <c r="E2107" t="s">
        <v>138</v>
      </c>
      <c r="F2107" t="s">
        <v>837</v>
      </c>
      <c r="G2107" t="s">
        <v>838</v>
      </c>
      <c r="H2107" t="s">
        <v>839</v>
      </c>
      <c r="I2107" t="s">
        <v>840</v>
      </c>
      <c r="J2107" t="s">
        <v>841</v>
      </c>
      <c r="K2107" t="s">
        <v>846</v>
      </c>
      <c r="L2107" t="s">
        <v>847</v>
      </c>
      <c r="M2107" t="s">
        <v>15</v>
      </c>
      <c r="N2107" s="2">
        <v>14400</v>
      </c>
      <c r="O2107" s="2">
        <v>0</v>
      </c>
      <c r="P2107" s="2">
        <v>0</v>
      </c>
      <c r="Q2107" s="2">
        <v>14400</v>
      </c>
      <c r="R2107" s="2">
        <v>1200</v>
      </c>
      <c r="S2107" s="2">
        <v>13200</v>
      </c>
      <c r="T2107" s="2">
        <v>13200</v>
      </c>
      <c r="U2107" s="2">
        <v>1200</v>
      </c>
      <c r="V2107" s="2">
        <v>1200</v>
      </c>
      <c r="W2107" s="2">
        <v>0</v>
      </c>
    </row>
    <row r="2108" spans="1:23" outlineLevel="2" x14ac:dyDescent="0.2">
      <c r="A2108" t="s">
        <v>836</v>
      </c>
      <c r="B2108" t="s">
        <v>39</v>
      </c>
      <c r="C2108" t="s">
        <v>58</v>
      </c>
      <c r="D2108" t="s">
        <v>139</v>
      </c>
      <c r="E2108" t="s">
        <v>140</v>
      </c>
      <c r="F2108" t="s">
        <v>837</v>
      </c>
      <c r="G2108" t="s">
        <v>838</v>
      </c>
      <c r="H2108" t="s">
        <v>839</v>
      </c>
      <c r="I2108" t="s">
        <v>840</v>
      </c>
      <c r="J2108" t="s">
        <v>841</v>
      </c>
      <c r="K2108" t="s">
        <v>846</v>
      </c>
      <c r="L2108" t="s">
        <v>847</v>
      </c>
      <c r="M2108" t="s">
        <v>15</v>
      </c>
      <c r="N2108" s="2">
        <v>42720</v>
      </c>
      <c r="O2108" s="2">
        <v>0</v>
      </c>
      <c r="P2108" s="2">
        <v>0</v>
      </c>
      <c r="Q2108" s="2">
        <v>42720</v>
      </c>
      <c r="R2108" s="2">
        <v>3560</v>
      </c>
      <c r="S2108" s="2">
        <v>39160</v>
      </c>
      <c r="T2108" s="2">
        <v>39160</v>
      </c>
      <c r="U2108" s="2">
        <v>3560</v>
      </c>
      <c r="V2108" s="2">
        <v>3560</v>
      </c>
      <c r="W2108" s="2">
        <v>0</v>
      </c>
    </row>
    <row r="2109" spans="1:23" outlineLevel="2" x14ac:dyDescent="0.2">
      <c r="A2109" t="s">
        <v>836</v>
      </c>
      <c r="B2109" t="s">
        <v>39</v>
      </c>
      <c r="C2109" t="s">
        <v>58</v>
      </c>
      <c r="D2109" t="s">
        <v>145</v>
      </c>
      <c r="E2109" t="s">
        <v>146</v>
      </c>
      <c r="F2109" t="s">
        <v>837</v>
      </c>
      <c r="G2109" t="s">
        <v>838</v>
      </c>
      <c r="H2109" t="s">
        <v>839</v>
      </c>
      <c r="I2109" t="s">
        <v>840</v>
      </c>
      <c r="J2109" t="s">
        <v>841</v>
      </c>
      <c r="K2109" t="s">
        <v>846</v>
      </c>
      <c r="L2109" t="s">
        <v>847</v>
      </c>
      <c r="M2109" t="s">
        <v>15</v>
      </c>
      <c r="N2109" s="2">
        <v>9804</v>
      </c>
      <c r="O2109" s="2">
        <v>0</v>
      </c>
      <c r="P2109" s="2">
        <v>0</v>
      </c>
      <c r="Q2109" s="2">
        <v>9804</v>
      </c>
      <c r="R2109" s="2">
        <v>9804</v>
      </c>
      <c r="S2109" s="2">
        <v>0</v>
      </c>
      <c r="T2109" s="2">
        <v>0</v>
      </c>
      <c r="U2109" s="2">
        <v>9804</v>
      </c>
      <c r="V2109" s="2">
        <v>9804</v>
      </c>
      <c r="W2109" s="2">
        <v>0</v>
      </c>
    </row>
    <row r="2110" spans="1:23" outlineLevel="2" x14ac:dyDescent="0.2">
      <c r="A2110" t="s">
        <v>836</v>
      </c>
      <c r="B2110" t="s">
        <v>39</v>
      </c>
      <c r="C2110" t="s">
        <v>58</v>
      </c>
      <c r="D2110" t="s">
        <v>59</v>
      </c>
      <c r="E2110" t="s">
        <v>60</v>
      </c>
      <c r="F2110" t="s">
        <v>837</v>
      </c>
      <c r="G2110" t="s">
        <v>838</v>
      </c>
      <c r="H2110" t="s">
        <v>839</v>
      </c>
      <c r="I2110" t="s">
        <v>840</v>
      </c>
      <c r="J2110" t="s">
        <v>841</v>
      </c>
      <c r="K2110" t="s">
        <v>846</v>
      </c>
      <c r="L2110" t="s">
        <v>847</v>
      </c>
      <c r="M2110" t="s">
        <v>12</v>
      </c>
      <c r="N2110" s="2">
        <v>0</v>
      </c>
      <c r="O2110" s="2">
        <v>70</v>
      </c>
      <c r="P2110" s="2">
        <v>0</v>
      </c>
      <c r="Q2110" s="2">
        <v>70</v>
      </c>
      <c r="R2110" s="2">
        <v>70</v>
      </c>
      <c r="S2110" s="2">
        <v>0</v>
      </c>
      <c r="T2110" s="2">
        <v>0</v>
      </c>
      <c r="U2110" s="2">
        <v>70</v>
      </c>
      <c r="V2110" s="2">
        <v>70</v>
      </c>
      <c r="W2110" s="2">
        <v>0</v>
      </c>
    </row>
    <row r="2111" spans="1:23" outlineLevel="2" x14ac:dyDescent="0.2">
      <c r="A2111" t="s">
        <v>836</v>
      </c>
      <c r="B2111" t="s">
        <v>39</v>
      </c>
      <c r="C2111" t="s">
        <v>58</v>
      </c>
      <c r="D2111" t="s">
        <v>59</v>
      </c>
      <c r="E2111" t="s">
        <v>60</v>
      </c>
      <c r="F2111" t="s">
        <v>837</v>
      </c>
      <c r="G2111" t="s">
        <v>838</v>
      </c>
      <c r="H2111" t="s">
        <v>839</v>
      </c>
      <c r="I2111" t="s">
        <v>840</v>
      </c>
      <c r="J2111" t="s">
        <v>841</v>
      </c>
      <c r="K2111" t="s">
        <v>846</v>
      </c>
      <c r="L2111" t="s">
        <v>847</v>
      </c>
      <c r="M2111" t="s">
        <v>15</v>
      </c>
      <c r="N2111" s="2">
        <v>7356</v>
      </c>
      <c r="O2111" s="2">
        <v>0</v>
      </c>
      <c r="P2111" s="2">
        <v>0</v>
      </c>
      <c r="Q2111" s="2">
        <v>7356</v>
      </c>
      <c r="R2111" s="2">
        <v>583.47</v>
      </c>
      <c r="S2111" s="2">
        <v>6772.53</v>
      </c>
      <c r="T2111" s="2">
        <v>6772.53</v>
      </c>
      <c r="U2111" s="2">
        <v>583.47</v>
      </c>
      <c r="V2111" s="2">
        <v>583.47</v>
      </c>
      <c r="W2111" s="2">
        <v>0</v>
      </c>
    </row>
    <row r="2112" spans="1:23" outlineLevel="2" x14ac:dyDescent="0.2">
      <c r="A2112" t="s">
        <v>836</v>
      </c>
      <c r="B2112" t="s">
        <v>39</v>
      </c>
      <c r="C2112" t="s">
        <v>58</v>
      </c>
      <c r="D2112" t="s">
        <v>137</v>
      </c>
      <c r="E2112" t="s">
        <v>138</v>
      </c>
      <c r="F2112" t="s">
        <v>837</v>
      </c>
      <c r="G2112" t="s">
        <v>838</v>
      </c>
      <c r="H2112" t="s">
        <v>839</v>
      </c>
      <c r="I2112" t="s">
        <v>840</v>
      </c>
      <c r="J2112" t="s">
        <v>841</v>
      </c>
      <c r="K2112" t="s">
        <v>848</v>
      </c>
      <c r="L2112" t="s">
        <v>849</v>
      </c>
      <c r="M2112" t="s">
        <v>15</v>
      </c>
      <c r="N2112" s="2">
        <v>1821.6</v>
      </c>
      <c r="O2112" s="2">
        <v>0</v>
      </c>
      <c r="P2112" s="2">
        <v>0</v>
      </c>
      <c r="Q2112" s="2">
        <v>1821.6</v>
      </c>
      <c r="R2112" s="2">
        <v>151.80000000000001</v>
      </c>
      <c r="S2112" s="2">
        <v>1669.8</v>
      </c>
      <c r="T2112" s="2">
        <v>1669.8</v>
      </c>
      <c r="U2112" s="2">
        <v>151.80000000000001</v>
      </c>
      <c r="V2112" s="2">
        <v>151.80000000000001</v>
      </c>
      <c r="W2112" s="2">
        <v>0</v>
      </c>
    </row>
    <row r="2113" spans="1:23" outlineLevel="2" x14ac:dyDescent="0.2">
      <c r="A2113" t="s">
        <v>836</v>
      </c>
      <c r="B2113" t="s">
        <v>39</v>
      </c>
      <c r="C2113" t="s">
        <v>58</v>
      </c>
      <c r="D2113" t="s">
        <v>139</v>
      </c>
      <c r="E2113" t="s">
        <v>140</v>
      </c>
      <c r="F2113" t="s">
        <v>837</v>
      </c>
      <c r="G2113" t="s">
        <v>838</v>
      </c>
      <c r="H2113" t="s">
        <v>839</v>
      </c>
      <c r="I2113" t="s">
        <v>840</v>
      </c>
      <c r="J2113" t="s">
        <v>841</v>
      </c>
      <c r="K2113" t="s">
        <v>848</v>
      </c>
      <c r="L2113" t="s">
        <v>849</v>
      </c>
      <c r="M2113" t="s">
        <v>15</v>
      </c>
      <c r="N2113" s="2">
        <v>5404.08</v>
      </c>
      <c r="O2113" s="2">
        <v>0</v>
      </c>
      <c r="P2113" s="2">
        <v>0</v>
      </c>
      <c r="Q2113" s="2">
        <v>5404.08</v>
      </c>
      <c r="R2113" s="2">
        <v>450.34</v>
      </c>
      <c r="S2113" s="2">
        <v>4953.74</v>
      </c>
      <c r="T2113" s="2">
        <v>4953.74</v>
      </c>
      <c r="U2113" s="2">
        <v>450.34</v>
      </c>
      <c r="V2113" s="2">
        <v>450.34</v>
      </c>
      <c r="W2113" s="2">
        <v>0</v>
      </c>
    </row>
    <row r="2114" spans="1:23" outlineLevel="2" x14ac:dyDescent="0.2">
      <c r="A2114" t="s">
        <v>836</v>
      </c>
      <c r="B2114" t="s">
        <v>39</v>
      </c>
      <c r="C2114" t="s">
        <v>58</v>
      </c>
      <c r="D2114" t="s">
        <v>137</v>
      </c>
      <c r="E2114" t="s">
        <v>138</v>
      </c>
      <c r="F2114" t="s">
        <v>837</v>
      </c>
      <c r="G2114" t="s">
        <v>838</v>
      </c>
      <c r="H2114" t="s">
        <v>839</v>
      </c>
      <c r="I2114" t="s">
        <v>840</v>
      </c>
      <c r="J2114" t="s">
        <v>841</v>
      </c>
      <c r="K2114" t="s">
        <v>848</v>
      </c>
      <c r="L2114" t="s">
        <v>849</v>
      </c>
      <c r="M2114" t="s">
        <v>12</v>
      </c>
      <c r="N2114" s="2">
        <v>0</v>
      </c>
      <c r="O2114" s="2">
        <v>0</v>
      </c>
      <c r="P2114" s="2">
        <v>15.18</v>
      </c>
      <c r="Q2114" s="2">
        <v>15.18</v>
      </c>
      <c r="R2114" s="2">
        <v>0</v>
      </c>
      <c r="S2114" s="2">
        <v>0</v>
      </c>
      <c r="T2114" s="2">
        <v>0</v>
      </c>
      <c r="U2114" s="2">
        <v>15.18</v>
      </c>
      <c r="V2114" s="2">
        <v>15.18</v>
      </c>
      <c r="W2114" s="2">
        <v>15.18</v>
      </c>
    </row>
    <row r="2115" spans="1:23" outlineLevel="2" x14ac:dyDescent="0.2">
      <c r="A2115" t="s">
        <v>836</v>
      </c>
      <c r="B2115" t="s">
        <v>39</v>
      </c>
      <c r="C2115" t="s">
        <v>58</v>
      </c>
      <c r="D2115" t="s">
        <v>139</v>
      </c>
      <c r="E2115" t="s">
        <v>140</v>
      </c>
      <c r="F2115" t="s">
        <v>837</v>
      </c>
      <c r="G2115" t="s">
        <v>838</v>
      </c>
      <c r="H2115" t="s">
        <v>839</v>
      </c>
      <c r="I2115" t="s">
        <v>840</v>
      </c>
      <c r="J2115" t="s">
        <v>841</v>
      </c>
      <c r="K2115" t="s">
        <v>848</v>
      </c>
      <c r="L2115" t="s">
        <v>849</v>
      </c>
      <c r="M2115" t="s">
        <v>12</v>
      </c>
      <c r="N2115" s="2">
        <v>0</v>
      </c>
      <c r="O2115" s="2">
        <v>0</v>
      </c>
      <c r="P2115" s="2">
        <v>45.03</v>
      </c>
      <c r="Q2115" s="2">
        <v>45.03</v>
      </c>
      <c r="R2115" s="2">
        <v>0</v>
      </c>
      <c r="S2115" s="2">
        <v>0</v>
      </c>
      <c r="T2115" s="2">
        <v>0</v>
      </c>
      <c r="U2115" s="2">
        <v>45.03</v>
      </c>
      <c r="V2115" s="2">
        <v>45.03</v>
      </c>
      <c r="W2115" s="2">
        <v>45.03</v>
      </c>
    </row>
    <row r="2116" spans="1:23" outlineLevel="2" x14ac:dyDescent="0.2">
      <c r="A2116" t="s">
        <v>836</v>
      </c>
      <c r="B2116" t="s">
        <v>39</v>
      </c>
      <c r="C2116" t="s">
        <v>58</v>
      </c>
      <c r="D2116" t="s">
        <v>59</v>
      </c>
      <c r="E2116" t="s">
        <v>60</v>
      </c>
      <c r="F2116" t="s">
        <v>837</v>
      </c>
      <c r="G2116" t="s">
        <v>838</v>
      </c>
      <c r="H2116" t="s">
        <v>839</v>
      </c>
      <c r="I2116" t="s">
        <v>840</v>
      </c>
      <c r="J2116" t="s">
        <v>841</v>
      </c>
      <c r="K2116" t="s">
        <v>848</v>
      </c>
      <c r="L2116" t="s">
        <v>849</v>
      </c>
      <c r="M2116" t="s">
        <v>12</v>
      </c>
      <c r="N2116" s="2">
        <v>0</v>
      </c>
      <c r="O2116" s="2">
        <v>0</v>
      </c>
      <c r="P2116" s="2">
        <v>7.7</v>
      </c>
      <c r="Q2116" s="2">
        <v>7.7</v>
      </c>
      <c r="R2116" s="2">
        <v>0</v>
      </c>
      <c r="S2116" s="2">
        <v>0</v>
      </c>
      <c r="T2116" s="2">
        <v>0</v>
      </c>
      <c r="U2116" s="2">
        <v>7.7</v>
      </c>
      <c r="V2116" s="2">
        <v>7.7</v>
      </c>
      <c r="W2116" s="2">
        <v>7.7</v>
      </c>
    </row>
    <row r="2117" spans="1:23" outlineLevel="2" x14ac:dyDescent="0.2">
      <c r="A2117" t="s">
        <v>836</v>
      </c>
      <c r="B2117" t="s">
        <v>39</v>
      </c>
      <c r="C2117" t="s">
        <v>58</v>
      </c>
      <c r="D2117" t="s">
        <v>59</v>
      </c>
      <c r="E2117" t="s">
        <v>60</v>
      </c>
      <c r="F2117" t="s">
        <v>837</v>
      </c>
      <c r="G2117" t="s">
        <v>838</v>
      </c>
      <c r="H2117" t="s">
        <v>839</v>
      </c>
      <c r="I2117" t="s">
        <v>840</v>
      </c>
      <c r="J2117" t="s">
        <v>841</v>
      </c>
      <c r="K2117" t="s">
        <v>848</v>
      </c>
      <c r="L2117" t="s">
        <v>849</v>
      </c>
      <c r="M2117" t="s">
        <v>15</v>
      </c>
      <c r="N2117" s="2">
        <v>930.53</v>
      </c>
      <c r="O2117" s="2">
        <v>0</v>
      </c>
      <c r="P2117" s="2">
        <v>0</v>
      </c>
      <c r="Q2117" s="2">
        <v>930.53</v>
      </c>
      <c r="R2117" s="2">
        <v>77.59</v>
      </c>
      <c r="S2117" s="2">
        <v>852.94</v>
      </c>
      <c r="T2117" s="2">
        <v>852.94</v>
      </c>
      <c r="U2117" s="2">
        <v>77.59</v>
      </c>
      <c r="V2117" s="2">
        <v>77.59</v>
      </c>
      <c r="W2117" s="2">
        <v>0</v>
      </c>
    </row>
    <row r="2118" spans="1:23" outlineLevel="2" x14ac:dyDescent="0.2">
      <c r="A2118" t="s">
        <v>836</v>
      </c>
      <c r="B2118" t="s">
        <v>39</v>
      </c>
      <c r="C2118" t="s">
        <v>58</v>
      </c>
      <c r="D2118" t="s">
        <v>145</v>
      </c>
      <c r="E2118" t="s">
        <v>146</v>
      </c>
      <c r="F2118" t="s">
        <v>837</v>
      </c>
      <c r="G2118" t="s">
        <v>838</v>
      </c>
      <c r="H2118" t="s">
        <v>839</v>
      </c>
      <c r="I2118" t="s">
        <v>840</v>
      </c>
      <c r="J2118" t="s">
        <v>841</v>
      </c>
      <c r="K2118" t="s">
        <v>848</v>
      </c>
      <c r="L2118" t="s">
        <v>849</v>
      </c>
      <c r="M2118" t="s">
        <v>15</v>
      </c>
      <c r="N2118" s="2">
        <v>1240.21</v>
      </c>
      <c r="O2118" s="2">
        <v>0</v>
      </c>
      <c r="P2118" s="2">
        <v>0</v>
      </c>
      <c r="Q2118" s="2">
        <v>1240.21</v>
      </c>
      <c r="R2118" s="2">
        <v>1240.21</v>
      </c>
      <c r="S2118" s="2">
        <v>0</v>
      </c>
      <c r="T2118" s="2">
        <v>0</v>
      </c>
      <c r="U2118" s="2">
        <v>1240.21</v>
      </c>
      <c r="V2118" s="2">
        <v>1240.21</v>
      </c>
      <c r="W2118" s="2">
        <v>0</v>
      </c>
    </row>
    <row r="2119" spans="1:23" outlineLevel="2" x14ac:dyDescent="0.2">
      <c r="A2119" t="s">
        <v>836</v>
      </c>
      <c r="B2119" t="s">
        <v>39</v>
      </c>
      <c r="C2119" t="s">
        <v>58</v>
      </c>
      <c r="D2119" t="s">
        <v>137</v>
      </c>
      <c r="E2119" t="s">
        <v>138</v>
      </c>
      <c r="F2119" t="s">
        <v>837</v>
      </c>
      <c r="G2119" t="s">
        <v>838</v>
      </c>
      <c r="H2119" t="s">
        <v>839</v>
      </c>
      <c r="I2119" t="s">
        <v>840</v>
      </c>
      <c r="J2119" t="s">
        <v>841</v>
      </c>
      <c r="K2119" t="s">
        <v>850</v>
      </c>
      <c r="L2119" t="s">
        <v>851</v>
      </c>
      <c r="M2119" t="s">
        <v>15</v>
      </c>
      <c r="N2119" s="2">
        <v>1200</v>
      </c>
      <c r="O2119" s="2">
        <v>0</v>
      </c>
      <c r="P2119" s="2">
        <v>0</v>
      </c>
      <c r="Q2119" s="2">
        <v>1200</v>
      </c>
      <c r="R2119" s="2">
        <v>100.44</v>
      </c>
      <c r="S2119" s="2">
        <v>1099.56</v>
      </c>
      <c r="T2119" s="2">
        <v>1099.56</v>
      </c>
      <c r="U2119" s="2">
        <v>100.44</v>
      </c>
      <c r="V2119" s="2">
        <v>100.44</v>
      </c>
      <c r="W2119" s="2">
        <v>0</v>
      </c>
    </row>
    <row r="2120" spans="1:23" outlineLevel="2" x14ac:dyDescent="0.2">
      <c r="A2120" t="s">
        <v>836</v>
      </c>
      <c r="B2120" t="s">
        <v>39</v>
      </c>
      <c r="C2120" t="s">
        <v>58</v>
      </c>
      <c r="D2120" t="s">
        <v>139</v>
      </c>
      <c r="E2120" t="s">
        <v>140</v>
      </c>
      <c r="F2120" t="s">
        <v>837</v>
      </c>
      <c r="G2120" t="s">
        <v>838</v>
      </c>
      <c r="H2120" t="s">
        <v>839</v>
      </c>
      <c r="I2120" t="s">
        <v>840</v>
      </c>
      <c r="J2120" t="s">
        <v>841</v>
      </c>
      <c r="K2120" t="s">
        <v>850</v>
      </c>
      <c r="L2120" t="s">
        <v>851</v>
      </c>
      <c r="M2120" t="s">
        <v>15</v>
      </c>
      <c r="N2120" s="2">
        <v>3560</v>
      </c>
      <c r="O2120" s="2">
        <v>0</v>
      </c>
      <c r="P2120" s="2">
        <v>0</v>
      </c>
      <c r="Q2120" s="2">
        <v>3560</v>
      </c>
      <c r="R2120" s="2">
        <v>1359.76</v>
      </c>
      <c r="S2120" s="2">
        <v>2200.2399999999998</v>
      </c>
      <c r="T2120" s="2">
        <v>2200.2399999999998</v>
      </c>
      <c r="U2120" s="2">
        <v>1359.76</v>
      </c>
      <c r="V2120" s="2">
        <v>1359.76</v>
      </c>
      <c r="W2120" s="2">
        <v>0</v>
      </c>
    </row>
    <row r="2121" spans="1:23" outlineLevel="2" x14ac:dyDescent="0.2">
      <c r="A2121" t="s">
        <v>836</v>
      </c>
      <c r="B2121" t="s">
        <v>39</v>
      </c>
      <c r="C2121" t="s">
        <v>58</v>
      </c>
      <c r="D2121" t="s">
        <v>137</v>
      </c>
      <c r="E2121" t="s">
        <v>138</v>
      </c>
      <c r="F2121" t="s">
        <v>837</v>
      </c>
      <c r="G2121" t="s">
        <v>838</v>
      </c>
      <c r="H2121" t="s">
        <v>839</v>
      </c>
      <c r="I2121" t="s">
        <v>840</v>
      </c>
      <c r="J2121" t="s">
        <v>841</v>
      </c>
      <c r="K2121" t="s">
        <v>850</v>
      </c>
      <c r="L2121" t="s">
        <v>851</v>
      </c>
      <c r="M2121" t="s">
        <v>12</v>
      </c>
      <c r="N2121" s="2">
        <v>0</v>
      </c>
      <c r="O2121" s="2">
        <v>0</v>
      </c>
      <c r="P2121" s="2">
        <v>9.52</v>
      </c>
      <c r="Q2121" s="2">
        <v>9.52</v>
      </c>
      <c r="R2121" s="2">
        <v>0</v>
      </c>
      <c r="S2121" s="2">
        <v>0</v>
      </c>
      <c r="T2121" s="2">
        <v>0</v>
      </c>
      <c r="U2121" s="2">
        <v>9.52</v>
      </c>
      <c r="V2121" s="2">
        <v>9.52</v>
      </c>
      <c r="W2121" s="2">
        <v>9.52</v>
      </c>
    </row>
    <row r="2122" spans="1:23" outlineLevel="2" x14ac:dyDescent="0.2">
      <c r="A2122" t="s">
        <v>836</v>
      </c>
      <c r="B2122" t="s">
        <v>39</v>
      </c>
      <c r="C2122" t="s">
        <v>58</v>
      </c>
      <c r="D2122" t="s">
        <v>59</v>
      </c>
      <c r="E2122" t="s">
        <v>60</v>
      </c>
      <c r="F2122" t="s">
        <v>837</v>
      </c>
      <c r="G2122" t="s">
        <v>838</v>
      </c>
      <c r="H2122" t="s">
        <v>839</v>
      </c>
      <c r="I2122" t="s">
        <v>840</v>
      </c>
      <c r="J2122" t="s">
        <v>841</v>
      </c>
      <c r="K2122" t="s">
        <v>850</v>
      </c>
      <c r="L2122" t="s">
        <v>851</v>
      </c>
      <c r="M2122" t="s">
        <v>15</v>
      </c>
      <c r="N2122" s="2">
        <v>613</v>
      </c>
      <c r="O2122" s="2">
        <v>0</v>
      </c>
      <c r="P2122" s="2">
        <v>0</v>
      </c>
      <c r="Q2122" s="2">
        <v>613</v>
      </c>
      <c r="R2122" s="2">
        <v>459.82</v>
      </c>
      <c r="S2122" s="2">
        <v>153.18</v>
      </c>
      <c r="T2122" s="2">
        <v>153.18</v>
      </c>
      <c r="U2122" s="2">
        <v>459.82</v>
      </c>
      <c r="V2122" s="2">
        <v>459.82</v>
      </c>
      <c r="W2122" s="2">
        <v>0</v>
      </c>
    </row>
    <row r="2123" spans="1:23" outlineLevel="2" x14ac:dyDescent="0.2">
      <c r="A2123" t="s">
        <v>836</v>
      </c>
      <c r="B2123" t="s">
        <v>39</v>
      </c>
      <c r="C2123" t="s">
        <v>58</v>
      </c>
      <c r="D2123" t="s">
        <v>145</v>
      </c>
      <c r="E2123" t="s">
        <v>146</v>
      </c>
      <c r="F2123" t="s">
        <v>837</v>
      </c>
      <c r="G2123" t="s">
        <v>838</v>
      </c>
      <c r="H2123" t="s">
        <v>839</v>
      </c>
      <c r="I2123" t="s">
        <v>840</v>
      </c>
      <c r="J2123" t="s">
        <v>841</v>
      </c>
      <c r="K2123" t="s">
        <v>850</v>
      </c>
      <c r="L2123" t="s">
        <v>851</v>
      </c>
      <c r="M2123" t="s">
        <v>15</v>
      </c>
      <c r="N2123" s="2">
        <v>817</v>
      </c>
      <c r="O2123" s="2">
        <v>0</v>
      </c>
      <c r="P2123" s="2">
        <v>0</v>
      </c>
      <c r="Q2123" s="2">
        <v>817</v>
      </c>
      <c r="R2123" s="2">
        <v>817</v>
      </c>
      <c r="S2123" s="2">
        <v>0</v>
      </c>
      <c r="T2123" s="2">
        <v>0</v>
      </c>
      <c r="U2123" s="2">
        <v>817</v>
      </c>
      <c r="V2123" s="2">
        <v>817</v>
      </c>
      <c r="W2123" s="2">
        <v>0</v>
      </c>
    </row>
    <row r="2124" spans="1:23" outlineLevel="2" x14ac:dyDescent="0.2">
      <c r="A2124" t="s">
        <v>836</v>
      </c>
      <c r="B2124" t="s">
        <v>39</v>
      </c>
      <c r="C2124" t="s">
        <v>58</v>
      </c>
      <c r="D2124" t="s">
        <v>149</v>
      </c>
      <c r="E2124" t="s">
        <v>150</v>
      </c>
      <c r="F2124" t="s">
        <v>837</v>
      </c>
      <c r="G2124" t="s">
        <v>838</v>
      </c>
      <c r="H2124" t="s">
        <v>852</v>
      </c>
      <c r="I2124" t="s">
        <v>853</v>
      </c>
      <c r="J2124" t="s">
        <v>841</v>
      </c>
      <c r="K2124" t="s">
        <v>842</v>
      </c>
      <c r="L2124" t="s">
        <v>843</v>
      </c>
      <c r="M2124" t="s">
        <v>15</v>
      </c>
      <c r="N2124" s="2">
        <v>10693</v>
      </c>
      <c r="O2124" s="2">
        <v>0</v>
      </c>
      <c r="P2124" s="2">
        <v>0</v>
      </c>
      <c r="Q2124" s="2">
        <v>10693</v>
      </c>
      <c r="R2124" s="2">
        <v>8378.42</v>
      </c>
      <c r="S2124" s="2">
        <v>2314.58</v>
      </c>
      <c r="T2124" s="2">
        <v>2314.58</v>
      </c>
      <c r="U2124" s="2">
        <v>8378.42</v>
      </c>
      <c r="V2124" s="2">
        <v>8378.42</v>
      </c>
      <c r="W2124" s="2">
        <v>0</v>
      </c>
    </row>
    <row r="2125" spans="1:23" outlineLevel="2" x14ac:dyDescent="0.2">
      <c r="A2125" t="s">
        <v>836</v>
      </c>
      <c r="B2125" t="s">
        <v>39</v>
      </c>
      <c r="C2125" t="s">
        <v>58</v>
      </c>
      <c r="D2125" t="s">
        <v>137</v>
      </c>
      <c r="E2125" t="s">
        <v>138</v>
      </c>
      <c r="F2125" t="s">
        <v>837</v>
      </c>
      <c r="G2125" t="s">
        <v>838</v>
      </c>
      <c r="H2125" t="s">
        <v>852</v>
      </c>
      <c r="I2125" t="s">
        <v>853</v>
      </c>
      <c r="J2125" t="s">
        <v>841</v>
      </c>
      <c r="K2125" t="s">
        <v>842</v>
      </c>
      <c r="L2125" t="s">
        <v>843</v>
      </c>
      <c r="M2125" t="s">
        <v>15</v>
      </c>
      <c r="N2125" s="2">
        <v>6305</v>
      </c>
      <c r="O2125" s="2">
        <v>0</v>
      </c>
      <c r="P2125" s="2">
        <v>0</v>
      </c>
      <c r="Q2125" s="2">
        <v>6305</v>
      </c>
      <c r="R2125" s="2">
        <v>6236.15</v>
      </c>
      <c r="S2125" s="2">
        <v>68.849999999999994</v>
      </c>
      <c r="T2125" s="2">
        <v>68.849999999999994</v>
      </c>
      <c r="U2125" s="2">
        <v>6236.15</v>
      </c>
      <c r="V2125" s="2">
        <v>6236.15</v>
      </c>
      <c r="W2125" s="2">
        <v>0</v>
      </c>
    </row>
    <row r="2126" spans="1:23" outlineLevel="2" x14ac:dyDescent="0.2">
      <c r="A2126" t="s">
        <v>836</v>
      </c>
      <c r="B2126" t="s">
        <v>39</v>
      </c>
      <c r="C2126" t="s">
        <v>58</v>
      </c>
      <c r="D2126" t="s">
        <v>59</v>
      </c>
      <c r="E2126" t="s">
        <v>60</v>
      </c>
      <c r="F2126" t="s">
        <v>837</v>
      </c>
      <c r="G2126" t="s">
        <v>838</v>
      </c>
      <c r="H2126" t="s">
        <v>852</v>
      </c>
      <c r="I2126" t="s">
        <v>853</v>
      </c>
      <c r="J2126" t="s">
        <v>841</v>
      </c>
      <c r="K2126" t="s">
        <v>842</v>
      </c>
      <c r="L2126" t="s">
        <v>843</v>
      </c>
      <c r="M2126" t="s">
        <v>15</v>
      </c>
      <c r="N2126" s="2">
        <v>4570</v>
      </c>
      <c r="O2126" s="2">
        <v>0</v>
      </c>
      <c r="P2126" s="2">
        <v>0</v>
      </c>
      <c r="Q2126" s="2">
        <v>4570</v>
      </c>
      <c r="R2126" s="2">
        <v>4570</v>
      </c>
      <c r="S2126" s="2">
        <v>0</v>
      </c>
      <c r="T2126" s="2">
        <v>0</v>
      </c>
      <c r="U2126" s="2">
        <v>4570</v>
      </c>
      <c r="V2126" s="2">
        <v>4570</v>
      </c>
      <c r="W2126" s="2">
        <v>0</v>
      </c>
    </row>
    <row r="2127" spans="1:23" outlineLevel="2" x14ac:dyDescent="0.2">
      <c r="A2127" t="s">
        <v>836</v>
      </c>
      <c r="B2127" t="s">
        <v>39</v>
      </c>
      <c r="C2127" t="s">
        <v>58</v>
      </c>
      <c r="D2127" t="s">
        <v>139</v>
      </c>
      <c r="E2127" t="s">
        <v>140</v>
      </c>
      <c r="F2127" t="s">
        <v>837</v>
      </c>
      <c r="G2127" t="s">
        <v>838</v>
      </c>
      <c r="H2127" t="s">
        <v>852</v>
      </c>
      <c r="I2127" t="s">
        <v>853</v>
      </c>
      <c r="J2127" t="s">
        <v>841</v>
      </c>
      <c r="K2127" t="s">
        <v>842</v>
      </c>
      <c r="L2127" t="s">
        <v>843</v>
      </c>
      <c r="M2127" t="s">
        <v>15</v>
      </c>
      <c r="N2127" s="2">
        <v>11510</v>
      </c>
      <c r="O2127" s="2">
        <v>0</v>
      </c>
      <c r="P2127" s="2">
        <v>0</v>
      </c>
      <c r="Q2127" s="2">
        <v>11510</v>
      </c>
      <c r="R2127" s="2">
        <v>6671.73</v>
      </c>
      <c r="S2127" s="2">
        <v>4838.2700000000004</v>
      </c>
      <c r="T2127" s="2">
        <v>4838.2700000000004</v>
      </c>
      <c r="U2127" s="2">
        <v>6671.73</v>
      </c>
      <c r="V2127" s="2">
        <v>6671.73</v>
      </c>
      <c r="W2127" s="2">
        <v>0</v>
      </c>
    </row>
    <row r="2128" spans="1:23" outlineLevel="2" x14ac:dyDescent="0.2">
      <c r="A2128" t="s">
        <v>836</v>
      </c>
      <c r="B2128" t="s">
        <v>39</v>
      </c>
      <c r="C2128" t="s">
        <v>58</v>
      </c>
      <c r="D2128" t="s">
        <v>143</v>
      </c>
      <c r="E2128" t="s">
        <v>144</v>
      </c>
      <c r="F2128" t="s">
        <v>837</v>
      </c>
      <c r="G2128" t="s">
        <v>838</v>
      </c>
      <c r="H2128" t="s">
        <v>852</v>
      </c>
      <c r="I2128" t="s">
        <v>853</v>
      </c>
      <c r="J2128" t="s">
        <v>841</v>
      </c>
      <c r="K2128" t="s">
        <v>842</v>
      </c>
      <c r="L2128" t="s">
        <v>843</v>
      </c>
      <c r="M2128" t="s">
        <v>15</v>
      </c>
      <c r="N2128" s="2">
        <v>13144</v>
      </c>
      <c r="O2128" s="2">
        <v>0</v>
      </c>
      <c r="P2128" s="2">
        <v>0</v>
      </c>
      <c r="Q2128" s="2">
        <v>13144</v>
      </c>
      <c r="R2128" s="2">
        <v>9754.8799999999992</v>
      </c>
      <c r="S2128" s="2">
        <v>3389.12</v>
      </c>
      <c r="T2128" s="2">
        <v>3389.12</v>
      </c>
      <c r="U2128" s="2">
        <v>9754.8799999999992</v>
      </c>
      <c r="V2128" s="2">
        <v>9754.8799999999992</v>
      </c>
      <c r="W2128" s="2">
        <v>0</v>
      </c>
    </row>
    <row r="2129" spans="1:23" outlineLevel="2" x14ac:dyDescent="0.2">
      <c r="A2129" t="s">
        <v>836</v>
      </c>
      <c r="B2129" t="s">
        <v>39</v>
      </c>
      <c r="C2129" t="s">
        <v>58</v>
      </c>
      <c r="D2129" t="s">
        <v>145</v>
      </c>
      <c r="E2129" t="s">
        <v>146</v>
      </c>
      <c r="F2129" t="s">
        <v>837</v>
      </c>
      <c r="G2129" t="s">
        <v>838</v>
      </c>
      <c r="H2129" t="s">
        <v>852</v>
      </c>
      <c r="I2129" t="s">
        <v>853</v>
      </c>
      <c r="J2129" t="s">
        <v>841</v>
      </c>
      <c r="K2129" t="s">
        <v>842</v>
      </c>
      <c r="L2129" t="s">
        <v>843</v>
      </c>
      <c r="M2129" t="s">
        <v>15</v>
      </c>
      <c r="N2129" s="2">
        <v>8040</v>
      </c>
      <c r="O2129" s="2">
        <v>0</v>
      </c>
      <c r="P2129" s="2">
        <v>0</v>
      </c>
      <c r="Q2129" s="2">
        <v>8040</v>
      </c>
      <c r="R2129" s="2">
        <v>7358.97</v>
      </c>
      <c r="S2129" s="2">
        <v>681.03</v>
      </c>
      <c r="T2129" s="2">
        <v>681.03</v>
      </c>
      <c r="U2129" s="2">
        <v>7358.97</v>
      </c>
      <c r="V2129" s="2">
        <v>7358.97</v>
      </c>
      <c r="W2129" s="2">
        <v>0</v>
      </c>
    </row>
    <row r="2130" spans="1:23" outlineLevel="2" x14ac:dyDescent="0.2">
      <c r="A2130" t="s">
        <v>836</v>
      </c>
      <c r="B2130" t="s">
        <v>39</v>
      </c>
      <c r="C2130" t="s">
        <v>58</v>
      </c>
      <c r="D2130" t="s">
        <v>129</v>
      </c>
      <c r="E2130" t="s">
        <v>130</v>
      </c>
      <c r="F2130" t="s">
        <v>837</v>
      </c>
      <c r="G2130" t="s">
        <v>838</v>
      </c>
      <c r="H2130" t="s">
        <v>852</v>
      </c>
      <c r="I2130" t="s">
        <v>853</v>
      </c>
      <c r="J2130" t="s">
        <v>841</v>
      </c>
      <c r="K2130" t="s">
        <v>842</v>
      </c>
      <c r="L2130" t="s">
        <v>843</v>
      </c>
      <c r="M2130" t="s">
        <v>15</v>
      </c>
      <c r="N2130" s="2">
        <v>817</v>
      </c>
      <c r="O2130" s="2">
        <v>0</v>
      </c>
      <c r="P2130" s="2">
        <v>0</v>
      </c>
      <c r="Q2130" s="2">
        <v>817</v>
      </c>
      <c r="R2130" s="2">
        <v>68.12</v>
      </c>
      <c r="S2130" s="2">
        <v>748.88</v>
      </c>
      <c r="T2130" s="2">
        <v>748.88</v>
      </c>
      <c r="U2130" s="2">
        <v>68.12</v>
      </c>
      <c r="V2130" s="2">
        <v>68.12</v>
      </c>
      <c r="W2130" s="2">
        <v>0</v>
      </c>
    </row>
    <row r="2131" spans="1:23" outlineLevel="2" x14ac:dyDescent="0.2">
      <c r="A2131" t="s">
        <v>836</v>
      </c>
      <c r="B2131" t="s">
        <v>39</v>
      </c>
      <c r="C2131" t="s">
        <v>58</v>
      </c>
      <c r="D2131" t="s">
        <v>105</v>
      </c>
      <c r="E2131" t="s">
        <v>106</v>
      </c>
      <c r="F2131" t="s">
        <v>837</v>
      </c>
      <c r="G2131" t="s">
        <v>838</v>
      </c>
      <c r="H2131" t="s">
        <v>852</v>
      </c>
      <c r="I2131" t="s">
        <v>853</v>
      </c>
      <c r="J2131" t="s">
        <v>841</v>
      </c>
      <c r="K2131" t="s">
        <v>842</v>
      </c>
      <c r="L2131" t="s">
        <v>843</v>
      </c>
      <c r="M2131" t="s">
        <v>15</v>
      </c>
      <c r="N2131" s="2">
        <v>2353</v>
      </c>
      <c r="O2131" s="2">
        <v>0</v>
      </c>
      <c r="P2131" s="2">
        <v>0</v>
      </c>
      <c r="Q2131" s="2">
        <v>2353</v>
      </c>
      <c r="R2131" s="2">
        <v>2353</v>
      </c>
      <c r="S2131" s="2">
        <v>0</v>
      </c>
      <c r="T2131" s="2">
        <v>0</v>
      </c>
      <c r="U2131" s="2">
        <v>2353</v>
      </c>
      <c r="V2131" s="2">
        <v>2353</v>
      </c>
      <c r="W2131" s="2">
        <v>0</v>
      </c>
    </row>
    <row r="2132" spans="1:23" outlineLevel="2" x14ac:dyDescent="0.2">
      <c r="A2132" t="s">
        <v>836</v>
      </c>
      <c r="B2132" t="s">
        <v>39</v>
      </c>
      <c r="C2132" t="s">
        <v>58</v>
      </c>
      <c r="D2132" t="s">
        <v>135</v>
      </c>
      <c r="E2132" t="s">
        <v>136</v>
      </c>
      <c r="F2132" t="s">
        <v>837</v>
      </c>
      <c r="G2132" t="s">
        <v>838</v>
      </c>
      <c r="H2132" t="s">
        <v>852</v>
      </c>
      <c r="I2132" t="s">
        <v>853</v>
      </c>
      <c r="J2132" t="s">
        <v>841</v>
      </c>
      <c r="K2132" t="s">
        <v>842</v>
      </c>
      <c r="L2132" t="s">
        <v>843</v>
      </c>
      <c r="M2132" t="s">
        <v>15</v>
      </c>
      <c r="N2132" s="2">
        <v>11510</v>
      </c>
      <c r="O2132" s="2">
        <v>0</v>
      </c>
      <c r="P2132" s="2">
        <v>0</v>
      </c>
      <c r="Q2132" s="2">
        <v>11510</v>
      </c>
      <c r="R2132" s="2">
        <v>9724.3799999999992</v>
      </c>
      <c r="S2132" s="2">
        <v>1785.62</v>
      </c>
      <c r="T2132" s="2">
        <v>1785.62</v>
      </c>
      <c r="U2132" s="2">
        <v>9724.3799999999992</v>
      </c>
      <c r="V2132" s="2">
        <v>9724.3799999999992</v>
      </c>
      <c r="W2132" s="2">
        <v>0</v>
      </c>
    </row>
    <row r="2133" spans="1:23" outlineLevel="2" x14ac:dyDescent="0.2">
      <c r="A2133" t="s">
        <v>836</v>
      </c>
      <c r="B2133" t="s">
        <v>39</v>
      </c>
      <c r="C2133" t="s">
        <v>58</v>
      </c>
      <c r="D2133" t="s">
        <v>147</v>
      </c>
      <c r="E2133" t="s">
        <v>148</v>
      </c>
      <c r="F2133" t="s">
        <v>837</v>
      </c>
      <c r="G2133" t="s">
        <v>838</v>
      </c>
      <c r="H2133" t="s">
        <v>852</v>
      </c>
      <c r="I2133" t="s">
        <v>853</v>
      </c>
      <c r="J2133" t="s">
        <v>841</v>
      </c>
      <c r="K2133" t="s">
        <v>842</v>
      </c>
      <c r="L2133" t="s">
        <v>843</v>
      </c>
      <c r="M2133" t="s">
        <v>15</v>
      </c>
      <c r="N2133" s="2">
        <v>13245</v>
      </c>
      <c r="O2133" s="2">
        <v>0</v>
      </c>
      <c r="P2133" s="2">
        <v>0</v>
      </c>
      <c r="Q2133" s="2">
        <v>13245</v>
      </c>
      <c r="R2133" s="2">
        <v>11654.62</v>
      </c>
      <c r="S2133" s="2">
        <v>1590.38</v>
      </c>
      <c r="T2133" s="2">
        <v>1590.38</v>
      </c>
      <c r="U2133" s="2">
        <v>11654.62</v>
      </c>
      <c r="V2133" s="2">
        <v>11654.62</v>
      </c>
      <c r="W2133" s="2">
        <v>0</v>
      </c>
    </row>
    <row r="2134" spans="1:23" outlineLevel="2" x14ac:dyDescent="0.2">
      <c r="A2134" t="s">
        <v>836</v>
      </c>
      <c r="B2134" t="s">
        <v>39</v>
      </c>
      <c r="C2134" t="s">
        <v>58</v>
      </c>
      <c r="D2134" t="s">
        <v>129</v>
      </c>
      <c r="E2134" t="s">
        <v>130</v>
      </c>
      <c r="F2134" t="s">
        <v>837</v>
      </c>
      <c r="G2134" t="s">
        <v>838</v>
      </c>
      <c r="H2134" t="s">
        <v>852</v>
      </c>
      <c r="I2134" t="s">
        <v>853</v>
      </c>
      <c r="J2134" t="s">
        <v>841</v>
      </c>
      <c r="K2134" t="s">
        <v>844</v>
      </c>
      <c r="L2134" t="s">
        <v>845</v>
      </c>
      <c r="M2134" t="s">
        <v>12</v>
      </c>
      <c r="N2134" s="2">
        <v>0</v>
      </c>
      <c r="O2134" s="2">
        <v>20</v>
      </c>
      <c r="P2134" s="2">
        <v>5.82</v>
      </c>
      <c r="Q2134" s="2">
        <v>25.82</v>
      </c>
      <c r="R2134" s="2">
        <v>20</v>
      </c>
      <c r="S2134" s="2">
        <v>0</v>
      </c>
      <c r="T2134" s="2">
        <v>0</v>
      </c>
      <c r="U2134" s="2">
        <v>25.82</v>
      </c>
      <c r="V2134" s="2">
        <v>25.82</v>
      </c>
      <c r="W2134" s="2">
        <v>5.82</v>
      </c>
    </row>
    <row r="2135" spans="1:23" outlineLevel="2" x14ac:dyDescent="0.2">
      <c r="A2135" t="s">
        <v>836</v>
      </c>
      <c r="B2135" t="s">
        <v>39</v>
      </c>
      <c r="C2135" t="s">
        <v>58</v>
      </c>
      <c r="D2135" t="s">
        <v>147</v>
      </c>
      <c r="E2135" t="s">
        <v>148</v>
      </c>
      <c r="F2135" t="s">
        <v>837</v>
      </c>
      <c r="G2135" t="s">
        <v>838</v>
      </c>
      <c r="H2135" t="s">
        <v>852</v>
      </c>
      <c r="I2135" t="s">
        <v>853</v>
      </c>
      <c r="J2135" t="s">
        <v>841</v>
      </c>
      <c r="K2135" t="s">
        <v>844</v>
      </c>
      <c r="L2135" t="s">
        <v>845</v>
      </c>
      <c r="M2135" t="s">
        <v>15</v>
      </c>
      <c r="N2135" s="2">
        <v>6087.3</v>
      </c>
      <c r="O2135" s="2">
        <v>0</v>
      </c>
      <c r="P2135" s="2">
        <v>-87.3</v>
      </c>
      <c r="Q2135" s="2">
        <v>6000</v>
      </c>
      <c r="R2135" s="2">
        <v>587.91</v>
      </c>
      <c r="S2135" s="2">
        <v>5412.09</v>
      </c>
      <c r="T2135" s="2">
        <v>5412.09</v>
      </c>
      <c r="U2135" s="2">
        <v>587.91</v>
      </c>
      <c r="V2135" s="2">
        <v>587.91</v>
      </c>
      <c r="W2135" s="2">
        <v>0</v>
      </c>
    </row>
    <row r="2136" spans="1:23" outlineLevel="2" x14ac:dyDescent="0.2">
      <c r="A2136" t="s">
        <v>836</v>
      </c>
      <c r="B2136" t="s">
        <v>39</v>
      </c>
      <c r="C2136" t="s">
        <v>58</v>
      </c>
      <c r="D2136" t="s">
        <v>137</v>
      </c>
      <c r="E2136" t="s">
        <v>138</v>
      </c>
      <c r="F2136" t="s">
        <v>837</v>
      </c>
      <c r="G2136" t="s">
        <v>838</v>
      </c>
      <c r="H2136" t="s">
        <v>852</v>
      </c>
      <c r="I2136" t="s">
        <v>853</v>
      </c>
      <c r="J2136" t="s">
        <v>841</v>
      </c>
      <c r="K2136" t="s">
        <v>844</v>
      </c>
      <c r="L2136" t="s">
        <v>845</v>
      </c>
      <c r="M2136" t="s">
        <v>15</v>
      </c>
      <c r="N2136" s="2">
        <v>2840.74</v>
      </c>
      <c r="O2136" s="2">
        <v>0</v>
      </c>
      <c r="P2136" s="2">
        <v>-40.74</v>
      </c>
      <c r="Q2136" s="2">
        <v>2800</v>
      </c>
      <c r="R2136" s="2">
        <v>560</v>
      </c>
      <c r="S2136" s="2">
        <v>2240</v>
      </c>
      <c r="T2136" s="2">
        <v>2240</v>
      </c>
      <c r="U2136" s="2">
        <v>560</v>
      </c>
      <c r="V2136" s="2">
        <v>560</v>
      </c>
      <c r="W2136" s="2">
        <v>0</v>
      </c>
    </row>
    <row r="2137" spans="1:23" outlineLevel="2" x14ac:dyDescent="0.2">
      <c r="A2137" t="s">
        <v>836</v>
      </c>
      <c r="B2137" t="s">
        <v>39</v>
      </c>
      <c r="C2137" t="s">
        <v>58</v>
      </c>
      <c r="D2137" t="s">
        <v>149</v>
      </c>
      <c r="E2137" t="s">
        <v>150</v>
      </c>
      <c r="F2137" t="s">
        <v>837</v>
      </c>
      <c r="G2137" t="s">
        <v>838</v>
      </c>
      <c r="H2137" t="s">
        <v>852</v>
      </c>
      <c r="I2137" t="s">
        <v>853</v>
      </c>
      <c r="J2137" t="s">
        <v>841</v>
      </c>
      <c r="K2137" t="s">
        <v>844</v>
      </c>
      <c r="L2137" t="s">
        <v>845</v>
      </c>
      <c r="M2137" t="s">
        <v>12</v>
      </c>
      <c r="N2137" s="2">
        <v>0</v>
      </c>
      <c r="O2137" s="2">
        <v>0</v>
      </c>
      <c r="P2137" s="2">
        <v>69.84</v>
      </c>
      <c r="Q2137" s="2">
        <v>69.84</v>
      </c>
      <c r="R2137" s="2">
        <v>0</v>
      </c>
      <c r="S2137" s="2">
        <v>0</v>
      </c>
      <c r="T2137" s="2">
        <v>0</v>
      </c>
      <c r="U2137" s="2">
        <v>69.84</v>
      </c>
      <c r="V2137" s="2">
        <v>69.84</v>
      </c>
      <c r="W2137" s="2">
        <v>69.84</v>
      </c>
    </row>
    <row r="2138" spans="1:23" outlineLevel="2" x14ac:dyDescent="0.2">
      <c r="A2138" t="s">
        <v>836</v>
      </c>
      <c r="B2138" t="s">
        <v>39</v>
      </c>
      <c r="C2138" t="s">
        <v>58</v>
      </c>
      <c r="D2138" t="s">
        <v>145</v>
      </c>
      <c r="E2138" t="s">
        <v>146</v>
      </c>
      <c r="F2138" t="s">
        <v>837</v>
      </c>
      <c r="G2138" t="s">
        <v>838</v>
      </c>
      <c r="H2138" t="s">
        <v>852</v>
      </c>
      <c r="I2138" t="s">
        <v>853</v>
      </c>
      <c r="J2138" t="s">
        <v>841</v>
      </c>
      <c r="K2138" t="s">
        <v>844</v>
      </c>
      <c r="L2138" t="s">
        <v>845</v>
      </c>
      <c r="M2138" t="s">
        <v>12</v>
      </c>
      <c r="N2138" s="2">
        <v>0</v>
      </c>
      <c r="O2138" s="2">
        <v>0</v>
      </c>
      <c r="P2138" s="2">
        <v>52.38</v>
      </c>
      <c r="Q2138" s="2">
        <v>52.38</v>
      </c>
      <c r="R2138" s="2">
        <v>0</v>
      </c>
      <c r="S2138" s="2">
        <v>0</v>
      </c>
      <c r="T2138" s="2">
        <v>0</v>
      </c>
      <c r="U2138" s="2">
        <v>52.38</v>
      </c>
      <c r="V2138" s="2">
        <v>52.38</v>
      </c>
      <c r="W2138" s="2">
        <v>52.38</v>
      </c>
    </row>
    <row r="2139" spans="1:23" outlineLevel="2" x14ac:dyDescent="0.2">
      <c r="A2139" t="s">
        <v>836</v>
      </c>
      <c r="B2139" t="s">
        <v>39</v>
      </c>
      <c r="C2139" t="s">
        <v>58</v>
      </c>
      <c r="D2139" t="s">
        <v>139</v>
      </c>
      <c r="E2139" t="s">
        <v>140</v>
      </c>
      <c r="F2139" t="s">
        <v>837</v>
      </c>
      <c r="G2139" t="s">
        <v>838</v>
      </c>
      <c r="H2139" t="s">
        <v>852</v>
      </c>
      <c r="I2139" t="s">
        <v>853</v>
      </c>
      <c r="J2139" t="s">
        <v>841</v>
      </c>
      <c r="K2139" t="s">
        <v>844</v>
      </c>
      <c r="L2139" t="s">
        <v>845</v>
      </c>
      <c r="M2139" t="s">
        <v>12</v>
      </c>
      <c r="N2139" s="2">
        <v>0</v>
      </c>
      <c r="O2139" s="2">
        <v>0</v>
      </c>
      <c r="P2139" s="2">
        <v>75.66</v>
      </c>
      <c r="Q2139" s="2">
        <v>75.66</v>
      </c>
      <c r="R2139" s="2">
        <v>0</v>
      </c>
      <c r="S2139" s="2">
        <v>0</v>
      </c>
      <c r="T2139" s="2">
        <v>0</v>
      </c>
      <c r="U2139" s="2">
        <v>75.66</v>
      </c>
      <c r="V2139" s="2">
        <v>75.66</v>
      </c>
      <c r="W2139" s="2">
        <v>75.66</v>
      </c>
    </row>
    <row r="2140" spans="1:23" outlineLevel="2" x14ac:dyDescent="0.2">
      <c r="A2140" t="s">
        <v>836</v>
      </c>
      <c r="B2140" t="s">
        <v>39</v>
      </c>
      <c r="C2140" t="s">
        <v>58</v>
      </c>
      <c r="D2140" t="s">
        <v>149</v>
      </c>
      <c r="E2140" t="s">
        <v>150</v>
      </c>
      <c r="F2140" t="s">
        <v>837</v>
      </c>
      <c r="G2140" t="s">
        <v>838</v>
      </c>
      <c r="H2140" t="s">
        <v>852</v>
      </c>
      <c r="I2140" t="s">
        <v>853</v>
      </c>
      <c r="J2140" t="s">
        <v>841</v>
      </c>
      <c r="K2140" t="s">
        <v>844</v>
      </c>
      <c r="L2140" t="s">
        <v>845</v>
      </c>
      <c r="M2140" t="s">
        <v>15</v>
      </c>
      <c r="N2140" s="2">
        <v>4869.84</v>
      </c>
      <c r="O2140" s="2">
        <v>0</v>
      </c>
      <c r="P2140" s="2">
        <v>-69.84</v>
      </c>
      <c r="Q2140" s="2">
        <v>4800</v>
      </c>
      <c r="R2140" s="2">
        <v>603.69000000000005</v>
      </c>
      <c r="S2140" s="2">
        <v>4196.3100000000004</v>
      </c>
      <c r="T2140" s="2">
        <v>4196.3100000000004</v>
      </c>
      <c r="U2140" s="2">
        <v>603.69000000000005</v>
      </c>
      <c r="V2140" s="2">
        <v>603.69000000000005</v>
      </c>
      <c r="W2140" s="2">
        <v>0</v>
      </c>
    </row>
    <row r="2141" spans="1:23" outlineLevel="2" x14ac:dyDescent="0.2">
      <c r="A2141" t="s">
        <v>836</v>
      </c>
      <c r="B2141" t="s">
        <v>39</v>
      </c>
      <c r="C2141" t="s">
        <v>58</v>
      </c>
      <c r="D2141" t="s">
        <v>59</v>
      </c>
      <c r="E2141" t="s">
        <v>60</v>
      </c>
      <c r="F2141" t="s">
        <v>837</v>
      </c>
      <c r="G2141" t="s">
        <v>838</v>
      </c>
      <c r="H2141" t="s">
        <v>852</v>
      </c>
      <c r="I2141" t="s">
        <v>853</v>
      </c>
      <c r="J2141" t="s">
        <v>841</v>
      </c>
      <c r="K2141" t="s">
        <v>844</v>
      </c>
      <c r="L2141" t="s">
        <v>845</v>
      </c>
      <c r="M2141" t="s">
        <v>15</v>
      </c>
      <c r="N2141" s="2">
        <v>2029.1</v>
      </c>
      <c r="O2141" s="2">
        <v>0</v>
      </c>
      <c r="P2141" s="2">
        <v>-29.1</v>
      </c>
      <c r="Q2141" s="2">
        <v>2000</v>
      </c>
      <c r="R2141" s="2">
        <v>836.48</v>
      </c>
      <c r="S2141" s="2">
        <v>1163.52</v>
      </c>
      <c r="T2141" s="2">
        <v>1163.52</v>
      </c>
      <c r="U2141" s="2">
        <v>836.48</v>
      </c>
      <c r="V2141" s="2">
        <v>836.48</v>
      </c>
      <c r="W2141" s="2">
        <v>0</v>
      </c>
    </row>
    <row r="2142" spans="1:23" outlineLevel="2" x14ac:dyDescent="0.2">
      <c r="A2142" t="s">
        <v>836</v>
      </c>
      <c r="B2142" t="s">
        <v>39</v>
      </c>
      <c r="C2142" t="s">
        <v>58</v>
      </c>
      <c r="D2142" t="s">
        <v>143</v>
      </c>
      <c r="E2142" t="s">
        <v>144</v>
      </c>
      <c r="F2142" t="s">
        <v>837</v>
      </c>
      <c r="G2142" t="s">
        <v>838</v>
      </c>
      <c r="H2142" t="s">
        <v>852</v>
      </c>
      <c r="I2142" t="s">
        <v>853</v>
      </c>
      <c r="J2142" t="s">
        <v>841</v>
      </c>
      <c r="K2142" t="s">
        <v>844</v>
      </c>
      <c r="L2142" t="s">
        <v>845</v>
      </c>
      <c r="M2142" t="s">
        <v>12</v>
      </c>
      <c r="N2142" s="2">
        <v>0</v>
      </c>
      <c r="O2142" s="2">
        <v>0</v>
      </c>
      <c r="P2142" s="2">
        <v>87.3</v>
      </c>
      <c r="Q2142" s="2">
        <v>87.3</v>
      </c>
      <c r="R2142" s="2">
        <v>0</v>
      </c>
      <c r="S2142" s="2">
        <v>0</v>
      </c>
      <c r="T2142" s="2">
        <v>0</v>
      </c>
      <c r="U2142" s="2">
        <v>87.3</v>
      </c>
      <c r="V2142" s="2">
        <v>87.3</v>
      </c>
      <c r="W2142" s="2">
        <v>87.3</v>
      </c>
    </row>
    <row r="2143" spans="1:23" outlineLevel="2" x14ac:dyDescent="0.2">
      <c r="A2143" t="s">
        <v>836</v>
      </c>
      <c r="B2143" t="s">
        <v>39</v>
      </c>
      <c r="C2143" t="s">
        <v>58</v>
      </c>
      <c r="D2143" t="s">
        <v>143</v>
      </c>
      <c r="E2143" t="s">
        <v>144</v>
      </c>
      <c r="F2143" t="s">
        <v>837</v>
      </c>
      <c r="G2143" t="s">
        <v>838</v>
      </c>
      <c r="H2143" t="s">
        <v>852</v>
      </c>
      <c r="I2143" t="s">
        <v>853</v>
      </c>
      <c r="J2143" t="s">
        <v>841</v>
      </c>
      <c r="K2143" t="s">
        <v>844</v>
      </c>
      <c r="L2143" t="s">
        <v>845</v>
      </c>
      <c r="M2143" t="s">
        <v>15</v>
      </c>
      <c r="N2143" s="2">
        <v>6087.3</v>
      </c>
      <c r="O2143" s="2">
        <v>0</v>
      </c>
      <c r="P2143" s="2">
        <v>-87.3</v>
      </c>
      <c r="Q2143" s="2">
        <v>6000</v>
      </c>
      <c r="R2143" s="2">
        <v>1551.71</v>
      </c>
      <c r="S2143" s="2">
        <v>4448.29</v>
      </c>
      <c r="T2143" s="2">
        <v>4448.29</v>
      </c>
      <c r="U2143" s="2">
        <v>1551.71</v>
      </c>
      <c r="V2143" s="2">
        <v>1551.71</v>
      </c>
      <c r="W2143" s="2">
        <v>0</v>
      </c>
    </row>
    <row r="2144" spans="1:23" outlineLevel="2" x14ac:dyDescent="0.2">
      <c r="A2144" t="s">
        <v>836</v>
      </c>
      <c r="B2144" t="s">
        <v>39</v>
      </c>
      <c r="C2144" t="s">
        <v>58</v>
      </c>
      <c r="D2144" t="s">
        <v>147</v>
      </c>
      <c r="E2144" t="s">
        <v>148</v>
      </c>
      <c r="F2144" t="s">
        <v>837</v>
      </c>
      <c r="G2144" t="s">
        <v>838</v>
      </c>
      <c r="H2144" t="s">
        <v>852</v>
      </c>
      <c r="I2144" t="s">
        <v>853</v>
      </c>
      <c r="J2144" t="s">
        <v>841</v>
      </c>
      <c r="K2144" t="s">
        <v>844</v>
      </c>
      <c r="L2144" t="s">
        <v>845</v>
      </c>
      <c r="M2144" t="s">
        <v>12</v>
      </c>
      <c r="N2144" s="2">
        <v>0</v>
      </c>
      <c r="O2144" s="2">
        <v>0</v>
      </c>
      <c r="P2144" s="2">
        <v>87.3</v>
      </c>
      <c r="Q2144" s="2">
        <v>87.3</v>
      </c>
      <c r="R2144" s="2">
        <v>0</v>
      </c>
      <c r="S2144" s="2">
        <v>0</v>
      </c>
      <c r="T2144" s="2">
        <v>0</v>
      </c>
      <c r="U2144" s="2">
        <v>87.3</v>
      </c>
      <c r="V2144" s="2">
        <v>87.3</v>
      </c>
      <c r="W2144" s="2">
        <v>87.3</v>
      </c>
    </row>
    <row r="2145" spans="1:23" outlineLevel="2" x14ac:dyDescent="0.2">
      <c r="A2145" t="s">
        <v>836</v>
      </c>
      <c r="B2145" t="s">
        <v>39</v>
      </c>
      <c r="C2145" t="s">
        <v>58</v>
      </c>
      <c r="D2145" t="s">
        <v>59</v>
      </c>
      <c r="E2145" t="s">
        <v>60</v>
      </c>
      <c r="F2145" t="s">
        <v>837</v>
      </c>
      <c r="G2145" t="s">
        <v>838</v>
      </c>
      <c r="H2145" t="s">
        <v>852</v>
      </c>
      <c r="I2145" t="s">
        <v>853</v>
      </c>
      <c r="J2145" t="s">
        <v>841</v>
      </c>
      <c r="K2145" t="s">
        <v>844</v>
      </c>
      <c r="L2145" t="s">
        <v>845</v>
      </c>
      <c r="M2145" t="s">
        <v>12</v>
      </c>
      <c r="N2145" s="2">
        <v>0</v>
      </c>
      <c r="O2145" s="2">
        <v>0</v>
      </c>
      <c r="P2145" s="2">
        <v>29.1</v>
      </c>
      <c r="Q2145" s="2">
        <v>29.1</v>
      </c>
      <c r="R2145" s="2">
        <v>0</v>
      </c>
      <c r="S2145" s="2">
        <v>0</v>
      </c>
      <c r="T2145" s="2">
        <v>0</v>
      </c>
      <c r="U2145" s="2">
        <v>29.1</v>
      </c>
      <c r="V2145" s="2">
        <v>29.1</v>
      </c>
      <c r="W2145" s="2">
        <v>29.1</v>
      </c>
    </row>
    <row r="2146" spans="1:23" outlineLevel="2" x14ac:dyDescent="0.2">
      <c r="A2146" t="s">
        <v>836</v>
      </c>
      <c r="B2146" t="s">
        <v>39</v>
      </c>
      <c r="C2146" t="s">
        <v>58</v>
      </c>
      <c r="D2146" t="s">
        <v>105</v>
      </c>
      <c r="E2146" t="s">
        <v>106</v>
      </c>
      <c r="F2146" t="s">
        <v>837</v>
      </c>
      <c r="G2146" t="s">
        <v>838</v>
      </c>
      <c r="H2146" t="s">
        <v>852</v>
      </c>
      <c r="I2146" t="s">
        <v>853</v>
      </c>
      <c r="J2146" t="s">
        <v>841</v>
      </c>
      <c r="K2146" t="s">
        <v>844</v>
      </c>
      <c r="L2146" t="s">
        <v>845</v>
      </c>
      <c r="M2146" t="s">
        <v>12</v>
      </c>
      <c r="N2146" s="2">
        <v>0</v>
      </c>
      <c r="O2146" s="2">
        <v>0</v>
      </c>
      <c r="P2146" s="2">
        <v>11.64</v>
      </c>
      <c r="Q2146" s="2">
        <v>11.64</v>
      </c>
      <c r="R2146" s="2">
        <v>0</v>
      </c>
      <c r="S2146" s="2">
        <v>0</v>
      </c>
      <c r="T2146" s="2">
        <v>0</v>
      </c>
      <c r="U2146" s="2">
        <v>11.64</v>
      </c>
      <c r="V2146" s="2">
        <v>11.64</v>
      </c>
      <c r="W2146" s="2">
        <v>11.64</v>
      </c>
    </row>
    <row r="2147" spans="1:23" outlineLevel="2" x14ac:dyDescent="0.2">
      <c r="A2147" t="s">
        <v>836</v>
      </c>
      <c r="B2147" t="s">
        <v>39</v>
      </c>
      <c r="C2147" t="s">
        <v>58</v>
      </c>
      <c r="D2147" t="s">
        <v>145</v>
      </c>
      <c r="E2147" t="s">
        <v>146</v>
      </c>
      <c r="F2147" t="s">
        <v>837</v>
      </c>
      <c r="G2147" t="s">
        <v>838</v>
      </c>
      <c r="H2147" t="s">
        <v>852</v>
      </c>
      <c r="I2147" t="s">
        <v>853</v>
      </c>
      <c r="J2147" t="s">
        <v>841</v>
      </c>
      <c r="K2147" t="s">
        <v>844</v>
      </c>
      <c r="L2147" t="s">
        <v>845</v>
      </c>
      <c r="M2147" t="s">
        <v>15</v>
      </c>
      <c r="N2147" s="2">
        <v>3652.38</v>
      </c>
      <c r="O2147" s="2">
        <v>0</v>
      </c>
      <c r="P2147" s="2">
        <v>-52.38</v>
      </c>
      <c r="Q2147" s="2">
        <v>3600</v>
      </c>
      <c r="R2147" s="2">
        <v>495.06</v>
      </c>
      <c r="S2147" s="2">
        <v>3104.94</v>
      </c>
      <c r="T2147" s="2">
        <v>3104.94</v>
      </c>
      <c r="U2147" s="2">
        <v>495.06</v>
      </c>
      <c r="V2147" s="2">
        <v>495.06</v>
      </c>
      <c r="W2147" s="2">
        <v>0</v>
      </c>
    </row>
    <row r="2148" spans="1:23" outlineLevel="2" x14ac:dyDescent="0.2">
      <c r="A2148" t="s">
        <v>836</v>
      </c>
      <c r="B2148" t="s">
        <v>39</v>
      </c>
      <c r="C2148" t="s">
        <v>58</v>
      </c>
      <c r="D2148" t="s">
        <v>139</v>
      </c>
      <c r="E2148" t="s">
        <v>140</v>
      </c>
      <c r="F2148" t="s">
        <v>837</v>
      </c>
      <c r="G2148" t="s">
        <v>838</v>
      </c>
      <c r="H2148" t="s">
        <v>852</v>
      </c>
      <c r="I2148" t="s">
        <v>853</v>
      </c>
      <c r="J2148" t="s">
        <v>841</v>
      </c>
      <c r="K2148" t="s">
        <v>844</v>
      </c>
      <c r="L2148" t="s">
        <v>845</v>
      </c>
      <c r="M2148" t="s">
        <v>15</v>
      </c>
      <c r="N2148" s="2">
        <v>5275.66</v>
      </c>
      <c r="O2148" s="2">
        <v>0</v>
      </c>
      <c r="P2148" s="2">
        <v>-75.66</v>
      </c>
      <c r="Q2148" s="2">
        <v>5200</v>
      </c>
      <c r="R2148" s="2">
        <v>789.42</v>
      </c>
      <c r="S2148" s="2">
        <v>4410.58</v>
      </c>
      <c r="T2148" s="2">
        <v>4410.58</v>
      </c>
      <c r="U2148" s="2">
        <v>789.42</v>
      </c>
      <c r="V2148" s="2">
        <v>789.42</v>
      </c>
      <c r="W2148" s="2">
        <v>0</v>
      </c>
    </row>
    <row r="2149" spans="1:23" outlineLevel="2" x14ac:dyDescent="0.2">
      <c r="A2149" t="s">
        <v>836</v>
      </c>
      <c r="B2149" t="s">
        <v>39</v>
      </c>
      <c r="C2149" t="s">
        <v>58</v>
      </c>
      <c r="D2149" t="s">
        <v>137</v>
      </c>
      <c r="E2149" t="s">
        <v>138</v>
      </c>
      <c r="F2149" t="s">
        <v>837</v>
      </c>
      <c r="G2149" t="s">
        <v>838</v>
      </c>
      <c r="H2149" t="s">
        <v>852</v>
      </c>
      <c r="I2149" t="s">
        <v>853</v>
      </c>
      <c r="J2149" t="s">
        <v>841</v>
      </c>
      <c r="K2149" t="s">
        <v>844</v>
      </c>
      <c r="L2149" t="s">
        <v>845</v>
      </c>
      <c r="M2149" t="s">
        <v>12</v>
      </c>
      <c r="N2149" s="2">
        <v>0</v>
      </c>
      <c r="O2149" s="2">
        <v>0</v>
      </c>
      <c r="P2149" s="2">
        <v>40.74</v>
      </c>
      <c r="Q2149" s="2">
        <v>40.74</v>
      </c>
      <c r="R2149" s="2">
        <v>0</v>
      </c>
      <c r="S2149" s="2">
        <v>0</v>
      </c>
      <c r="T2149" s="2">
        <v>0</v>
      </c>
      <c r="U2149" s="2">
        <v>40.74</v>
      </c>
      <c r="V2149" s="2">
        <v>40.74</v>
      </c>
      <c r="W2149" s="2">
        <v>40.74</v>
      </c>
    </row>
    <row r="2150" spans="1:23" outlineLevel="2" x14ac:dyDescent="0.2">
      <c r="A2150" t="s">
        <v>836</v>
      </c>
      <c r="B2150" t="s">
        <v>39</v>
      </c>
      <c r="C2150" t="s">
        <v>58</v>
      </c>
      <c r="D2150" t="s">
        <v>135</v>
      </c>
      <c r="E2150" t="s">
        <v>136</v>
      </c>
      <c r="F2150" t="s">
        <v>837</v>
      </c>
      <c r="G2150" t="s">
        <v>838</v>
      </c>
      <c r="H2150" t="s">
        <v>852</v>
      </c>
      <c r="I2150" t="s">
        <v>853</v>
      </c>
      <c r="J2150" t="s">
        <v>841</v>
      </c>
      <c r="K2150" t="s">
        <v>844</v>
      </c>
      <c r="L2150" t="s">
        <v>845</v>
      </c>
      <c r="M2150" t="s">
        <v>12</v>
      </c>
      <c r="N2150" s="2">
        <v>0</v>
      </c>
      <c r="O2150" s="2">
        <v>0</v>
      </c>
      <c r="P2150" s="2">
        <v>75.66</v>
      </c>
      <c r="Q2150" s="2">
        <v>75.66</v>
      </c>
      <c r="R2150" s="2">
        <v>0</v>
      </c>
      <c r="S2150" s="2">
        <v>0</v>
      </c>
      <c r="T2150" s="2">
        <v>0</v>
      </c>
      <c r="U2150" s="2">
        <v>75.66</v>
      </c>
      <c r="V2150" s="2">
        <v>75.66</v>
      </c>
      <c r="W2150" s="2">
        <v>75.66</v>
      </c>
    </row>
    <row r="2151" spans="1:23" outlineLevel="2" x14ac:dyDescent="0.2">
      <c r="A2151" t="s">
        <v>836</v>
      </c>
      <c r="B2151" t="s">
        <v>39</v>
      </c>
      <c r="C2151" t="s">
        <v>58</v>
      </c>
      <c r="D2151" t="s">
        <v>129</v>
      </c>
      <c r="E2151" t="s">
        <v>130</v>
      </c>
      <c r="F2151" t="s">
        <v>837</v>
      </c>
      <c r="G2151" t="s">
        <v>838</v>
      </c>
      <c r="H2151" t="s">
        <v>852</v>
      </c>
      <c r="I2151" t="s">
        <v>853</v>
      </c>
      <c r="J2151" t="s">
        <v>841</v>
      </c>
      <c r="K2151" t="s">
        <v>844</v>
      </c>
      <c r="L2151" t="s">
        <v>845</v>
      </c>
      <c r="M2151" t="s">
        <v>15</v>
      </c>
      <c r="N2151" s="2">
        <v>405.82</v>
      </c>
      <c r="O2151" s="2">
        <v>0</v>
      </c>
      <c r="P2151" s="2">
        <v>-5.82</v>
      </c>
      <c r="Q2151" s="2">
        <v>400</v>
      </c>
      <c r="R2151" s="2">
        <v>20.62</v>
      </c>
      <c r="S2151" s="2">
        <v>379.38</v>
      </c>
      <c r="T2151" s="2">
        <v>379.38</v>
      </c>
      <c r="U2151" s="2">
        <v>20.62</v>
      </c>
      <c r="V2151" s="2">
        <v>20.62</v>
      </c>
      <c r="W2151" s="2">
        <v>0</v>
      </c>
    </row>
    <row r="2152" spans="1:23" outlineLevel="2" x14ac:dyDescent="0.2">
      <c r="A2152" t="s">
        <v>836</v>
      </c>
      <c r="B2152" t="s">
        <v>39</v>
      </c>
      <c r="C2152" t="s">
        <v>58</v>
      </c>
      <c r="D2152" t="s">
        <v>105</v>
      </c>
      <c r="E2152" t="s">
        <v>106</v>
      </c>
      <c r="F2152" t="s">
        <v>837</v>
      </c>
      <c r="G2152" t="s">
        <v>838</v>
      </c>
      <c r="H2152" t="s">
        <v>852</v>
      </c>
      <c r="I2152" t="s">
        <v>853</v>
      </c>
      <c r="J2152" t="s">
        <v>841</v>
      </c>
      <c r="K2152" t="s">
        <v>844</v>
      </c>
      <c r="L2152" t="s">
        <v>845</v>
      </c>
      <c r="M2152" t="s">
        <v>15</v>
      </c>
      <c r="N2152" s="2">
        <v>811.64</v>
      </c>
      <c r="O2152" s="2">
        <v>0</v>
      </c>
      <c r="P2152" s="2">
        <v>-11.64</v>
      </c>
      <c r="Q2152" s="2">
        <v>800</v>
      </c>
      <c r="R2152" s="2">
        <v>0</v>
      </c>
      <c r="S2152" s="2">
        <v>800</v>
      </c>
      <c r="T2152" s="2">
        <v>800</v>
      </c>
      <c r="U2152" s="2">
        <v>0</v>
      </c>
      <c r="V2152" s="2">
        <v>0</v>
      </c>
      <c r="W2152" s="2">
        <v>0</v>
      </c>
    </row>
    <row r="2153" spans="1:23" outlineLevel="2" x14ac:dyDescent="0.2">
      <c r="A2153" t="s">
        <v>836</v>
      </c>
      <c r="B2153" t="s">
        <v>39</v>
      </c>
      <c r="C2153" t="s">
        <v>58</v>
      </c>
      <c r="D2153" t="s">
        <v>135</v>
      </c>
      <c r="E2153" t="s">
        <v>136</v>
      </c>
      <c r="F2153" t="s">
        <v>837</v>
      </c>
      <c r="G2153" t="s">
        <v>838</v>
      </c>
      <c r="H2153" t="s">
        <v>852</v>
      </c>
      <c r="I2153" t="s">
        <v>853</v>
      </c>
      <c r="J2153" t="s">
        <v>841</v>
      </c>
      <c r="K2153" t="s">
        <v>844</v>
      </c>
      <c r="L2153" t="s">
        <v>845</v>
      </c>
      <c r="M2153" t="s">
        <v>15</v>
      </c>
      <c r="N2153" s="2">
        <v>5275.66</v>
      </c>
      <c r="O2153" s="2">
        <v>0</v>
      </c>
      <c r="P2153" s="2">
        <v>-75.66</v>
      </c>
      <c r="Q2153" s="2">
        <v>5200</v>
      </c>
      <c r="R2153" s="2">
        <v>559.53</v>
      </c>
      <c r="S2153" s="2">
        <v>4640.47</v>
      </c>
      <c r="T2153" s="2">
        <v>4640.47</v>
      </c>
      <c r="U2153" s="2">
        <v>559.53</v>
      </c>
      <c r="V2153" s="2">
        <v>559.53</v>
      </c>
      <c r="W2153" s="2">
        <v>0</v>
      </c>
    </row>
    <row r="2154" spans="1:23" outlineLevel="2" x14ac:dyDescent="0.2">
      <c r="A2154" t="s">
        <v>836</v>
      </c>
      <c r="B2154" t="s">
        <v>39</v>
      </c>
      <c r="C2154" t="s">
        <v>58</v>
      </c>
      <c r="D2154" t="s">
        <v>143</v>
      </c>
      <c r="E2154" t="s">
        <v>144</v>
      </c>
      <c r="F2154" t="s">
        <v>837</v>
      </c>
      <c r="G2154" t="s">
        <v>838</v>
      </c>
      <c r="H2154" t="s">
        <v>852</v>
      </c>
      <c r="I2154" t="s">
        <v>853</v>
      </c>
      <c r="J2154" t="s">
        <v>841</v>
      </c>
      <c r="K2154" t="s">
        <v>854</v>
      </c>
      <c r="L2154" t="s">
        <v>855</v>
      </c>
      <c r="M2154" t="s">
        <v>15</v>
      </c>
      <c r="N2154" s="2">
        <v>0</v>
      </c>
      <c r="O2154" s="2">
        <v>1832.2</v>
      </c>
      <c r="P2154" s="2">
        <v>-0.1</v>
      </c>
      <c r="Q2154" s="2">
        <v>1832.1</v>
      </c>
      <c r="R2154" s="2">
        <v>0</v>
      </c>
      <c r="S2154" s="2">
        <v>1832.1</v>
      </c>
      <c r="T2154" s="2">
        <v>1832.1</v>
      </c>
      <c r="U2154" s="2">
        <v>0</v>
      </c>
      <c r="V2154" s="2">
        <v>0</v>
      </c>
      <c r="W2154" s="2">
        <v>0</v>
      </c>
    </row>
    <row r="2155" spans="1:23" outlineLevel="2" x14ac:dyDescent="0.2">
      <c r="A2155" t="s">
        <v>836</v>
      </c>
      <c r="B2155" t="s">
        <v>39</v>
      </c>
      <c r="C2155" t="s">
        <v>58</v>
      </c>
      <c r="D2155" t="s">
        <v>149</v>
      </c>
      <c r="E2155" t="s">
        <v>150</v>
      </c>
      <c r="F2155" t="s">
        <v>837</v>
      </c>
      <c r="G2155" t="s">
        <v>838</v>
      </c>
      <c r="H2155" t="s">
        <v>852</v>
      </c>
      <c r="I2155" t="s">
        <v>853</v>
      </c>
      <c r="J2155" t="s">
        <v>841</v>
      </c>
      <c r="K2155" t="s">
        <v>854</v>
      </c>
      <c r="L2155" t="s">
        <v>855</v>
      </c>
      <c r="M2155" t="s">
        <v>15</v>
      </c>
      <c r="N2155" s="2">
        <v>0</v>
      </c>
      <c r="O2155" s="2">
        <v>880</v>
      </c>
      <c r="P2155" s="2">
        <v>0</v>
      </c>
      <c r="Q2155" s="2">
        <v>880</v>
      </c>
      <c r="R2155" s="2">
        <v>0</v>
      </c>
      <c r="S2155" s="2">
        <v>880</v>
      </c>
      <c r="T2155" s="2">
        <v>880</v>
      </c>
      <c r="U2155" s="2">
        <v>0</v>
      </c>
      <c r="V2155" s="2">
        <v>0</v>
      </c>
      <c r="W2155" s="2">
        <v>0</v>
      </c>
    </row>
    <row r="2156" spans="1:23" outlineLevel="2" x14ac:dyDescent="0.2">
      <c r="A2156" t="s">
        <v>836</v>
      </c>
      <c r="B2156" t="s">
        <v>39</v>
      </c>
      <c r="C2156" t="s">
        <v>58</v>
      </c>
      <c r="D2156" t="s">
        <v>137</v>
      </c>
      <c r="E2156" t="s">
        <v>138</v>
      </c>
      <c r="F2156" t="s">
        <v>837</v>
      </c>
      <c r="G2156" t="s">
        <v>838</v>
      </c>
      <c r="H2156" t="s">
        <v>852</v>
      </c>
      <c r="I2156" t="s">
        <v>853</v>
      </c>
      <c r="J2156" t="s">
        <v>841</v>
      </c>
      <c r="K2156" t="s">
        <v>854</v>
      </c>
      <c r="L2156" t="s">
        <v>855</v>
      </c>
      <c r="M2156" t="s">
        <v>15</v>
      </c>
      <c r="N2156" s="2">
        <v>0</v>
      </c>
      <c r="O2156" s="2">
        <v>550</v>
      </c>
      <c r="P2156" s="2">
        <v>-5.33</v>
      </c>
      <c r="Q2156" s="2">
        <v>544.66999999999996</v>
      </c>
      <c r="R2156" s="2">
        <v>0</v>
      </c>
      <c r="S2156" s="2">
        <v>544.66999999999996</v>
      </c>
      <c r="T2156" s="2">
        <v>544.66999999999996</v>
      </c>
      <c r="U2156" s="2">
        <v>0</v>
      </c>
      <c r="V2156" s="2">
        <v>0</v>
      </c>
      <c r="W2156" s="2">
        <v>0</v>
      </c>
    </row>
    <row r="2157" spans="1:23" outlineLevel="2" x14ac:dyDescent="0.2">
      <c r="A2157" t="s">
        <v>836</v>
      </c>
      <c r="B2157" t="s">
        <v>39</v>
      </c>
      <c r="C2157" t="s">
        <v>58</v>
      </c>
      <c r="D2157" t="s">
        <v>59</v>
      </c>
      <c r="E2157" t="s">
        <v>60</v>
      </c>
      <c r="F2157" t="s">
        <v>837</v>
      </c>
      <c r="G2157" t="s">
        <v>838</v>
      </c>
      <c r="H2157" t="s">
        <v>852</v>
      </c>
      <c r="I2157" t="s">
        <v>853</v>
      </c>
      <c r="J2157" t="s">
        <v>841</v>
      </c>
      <c r="K2157" t="s">
        <v>854</v>
      </c>
      <c r="L2157" t="s">
        <v>855</v>
      </c>
      <c r="M2157" t="s">
        <v>15</v>
      </c>
      <c r="N2157" s="2">
        <v>0</v>
      </c>
      <c r="O2157" s="2">
        <v>1650</v>
      </c>
      <c r="P2157" s="2">
        <v>0</v>
      </c>
      <c r="Q2157" s="2">
        <v>1650</v>
      </c>
      <c r="R2157" s="2">
        <v>0</v>
      </c>
      <c r="S2157" s="2">
        <v>1650</v>
      </c>
      <c r="T2157" s="2">
        <v>1650</v>
      </c>
      <c r="U2157" s="2">
        <v>0</v>
      </c>
      <c r="V2157" s="2">
        <v>0</v>
      </c>
      <c r="W2157" s="2">
        <v>0</v>
      </c>
    </row>
    <row r="2158" spans="1:23" outlineLevel="2" x14ac:dyDescent="0.2">
      <c r="A2158" t="s">
        <v>836</v>
      </c>
      <c r="B2158" t="s">
        <v>39</v>
      </c>
      <c r="C2158" t="s">
        <v>58</v>
      </c>
      <c r="D2158" t="s">
        <v>139</v>
      </c>
      <c r="E2158" t="s">
        <v>140</v>
      </c>
      <c r="F2158" t="s">
        <v>837</v>
      </c>
      <c r="G2158" t="s">
        <v>838</v>
      </c>
      <c r="H2158" t="s">
        <v>852</v>
      </c>
      <c r="I2158" t="s">
        <v>853</v>
      </c>
      <c r="J2158" t="s">
        <v>841</v>
      </c>
      <c r="K2158" t="s">
        <v>854</v>
      </c>
      <c r="L2158" t="s">
        <v>855</v>
      </c>
      <c r="M2158" t="s">
        <v>15</v>
      </c>
      <c r="N2158" s="2">
        <v>0</v>
      </c>
      <c r="O2158" s="2">
        <v>1500</v>
      </c>
      <c r="P2158" s="2">
        <v>-214.8</v>
      </c>
      <c r="Q2158" s="2">
        <v>1285.2</v>
      </c>
      <c r="R2158" s="2">
        <v>0</v>
      </c>
      <c r="S2158" s="2">
        <v>1285.2</v>
      </c>
      <c r="T2158" s="2">
        <v>1285.2</v>
      </c>
      <c r="U2158" s="2">
        <v>0</v>
      </c>
      <c r="V2158" s="2">
        <v>0</v>
      </c>
      <c r="W2158" s="2">
        <v>0</v>
      </c>
    </row>
    <row r="2159" spans="1:23" outlineLevel="2" x14ac:dyDescent="0.2">
      <c r="A2159" t="s">
        <v>836</v>
      </c>
      <c r="B2159" t="s">
        <v>39</v>
      </c>
      <c r="C2159" t="s">
        <v>58</v>
      </c>
      <c r="D2159" t="s">
        <v>147</v>
      </c>
      <c r="E2159" t="s">
        <v>148</v>
      </c>
      <c r="F2159" t="s">
        <v>837</v>
      </c>
      <c r="G2159" t="s">
        <v>838</v>
      </c>
      <c r="H2159" t="s">
        <v>852</v>
      </c>
      <c r="I2159" t="s">
        <v>853</v>
      </c>
      <c r="J2159" t="s">
        <v>841</v>
      </c>
      <c r="K2159" t="s">
        <v>854</v>
      </c>
      <c r="L2159" t="s">
        <v>855</v>
      </c>
      <c r="M2159" t="s">
        <v>15</v>
      </c>
      <c r="N2159" s="2">
        <v>0</v>
      </c>
      <c r="O2159" s="2">
        <v>850</v>
      </c>
      <c r="P2159" s="2">
        <v>-23.8</v>
      </c>
      <c r="Q2159" s="2">
        <v>826.2</v>
      </c>
      <c r="R2159" s="2">
        <v>0</v>
      </c>
      <c r="S2159" s="2">
        <v>826.2</v>
      </c>
      <c r="T2159" s="2">
        <v>826.2</v>
      </c>
      <c r="U2159" s="2">
        <v>0</v>
      </c>
      <c r="V2159" s="2">
        <v>0</v>
      </c>
      <c r="W2159" s="2">
        <v>0</v>
      </c>
    </row>
    <row r="2160" spans="1:23" outlineLevel="2" x14ac:dyDescent="0.2">
      <c r="A2160" t="s">
        <v>836</v>
      </c>
      <c r="B2160" t="s">
        <v>39</v>
      </c>
      <c r="C2160" t="s">
        <v>58</v>
      </c>
      <c r="D2160" t="s">
        <v>145</v>
      </c>
      <c r="E2160" t="s">
        <v>146</v>
      </c>
      <c r="F2160" t="s">
        <v>837</v>
      </c>
      <c r="G2160" t="s">
        <v>838</v>
      </c>
      <c r="H2160" t="s">
        <v>852</v>
      </c>
      <c r="I2160" t="s">
        <v>853</v>
      </c>
      <c r="J2160" t="s">
        <v>841</v>
      </c>
      <c r="K2160" t="s">
        <v>854</v>
      </c>
      <c r="L2160" t="s">
        <v>855</v>
      </c>
      <c r="M2160" t="s">
        <v>15</v>
      </c>
      <c r="N2160" s="2">
        <v>0</v>
      </c>
      <c r="O2160" s="2">
        <v>2025.33</v>
      </c>
      <c r="P2160" s="2">
        <v>-0.53</v>
      </c>
      <c r="Q2160" s="2">
        <v>2024.8</v>
      </c>
      <c r="R2160" s="2">
        <v>0</v>
      </c>
      <c r="S2160" s="2">
        <v>2024.8</v>
      </c>
      <c r="T2160" s="2">
        <v>2024.8</v>
      </c>
      <c r="U2160" s="2">
        <v>0</v>
      </c>
      <c r="V2160" s="2">
        <v>0</v>
      </c>
      <c r="W2160" s="2">
        <v>0</v>
      </c>
    </row>
    <row r="2161" spans="1:23" outlineLevel="2" x14ac:dyDescent="0.2">
      <c r="A2161" t="s">
        <v>836</v>
      </c>
      <c r="B2161" t="s">
        <v>39</v>
      </c>
      <c r="C2161" t="s">
        <v>58</v>
      </c>
      <c r="D2161" t="s">
        <v>143</v>
      </c>
      <c r="E2161" t="s">
        <v>144</v>
      </c>
      <c r="F2161" t="s">
        <v>837</v>
      </c>
      <c r="G2161" t="s">
        <v>838</v>
      </c>
      <c r="H2161" t="s">
        <v>852</v>
      </c>
      <c r="I2161" t="s">
        <v>853</v>
      </c>
      <c r="J2161" t="s">
        <v>841</v>
      </c>
      <c r="K2161" t="s">
        <v>854</v>
      </c>
      <c r="L2161" t="s">
        <v>855</v>
      </c>
      <c r="M2161" t="s">
        <v>12</v>
      </c>
      <c r="N2161" s="2">
        <v>0</v>
      </c>
      <c r="O2161" s="2">
        <v>0</v>
      </c>
      <c r="P2161" s="2">
        <v>1439.51</v>
      </c>
      <c r="Q2161" s="2">
        <v>1439.51</v>
      </c>
      <c r="R2161" s="2">
        <v>0</v>
      </c>
      <c r="S2161" s="2">
        <v>0</v>
      </c>
      <c r="T2161" s="2">
        <v>0</v>
      </c>
      <c r="U2161" s="2">
        <v>1439.51</v>
      </c>
      <c r="V2161" s="2">
        <v>1439.51</v>
      </c>
      <c r="W2161" s="2">
        <v>1439.51</v>
      </c>
    </row>
    <row r="2162" spans="1:23" outlineLevel="2" x14ac:dyDescent="0.2">
      <c r="A2162" t="s">
        <v>836</v>
      </c>
      <c r="B2162" t="s">
        <v>39</v>
      </c>
      <c r="C2162" t="s">
        <v>58</v>
      </c>
      <c r="D2162" t="s">
        <v>139</v>
      </c>
      <c r="E2162" t="s">
        <v>140</v>
      </c>
      <c r="F2162" t="s">
        <v>837</v>
      </c>
      <c r="G2162" t="s">
        <v>838</v>
      </c>
      <c r="H2162" t="s">
        <v>852</v>
      </c>
      <c r="I2162" t="s">
        <v>853</v>
      </c>
      <c r="J2162" t="s">
        <v>841</v>
      </c>
      <c r="K2162" t="s">
        <v>854</v>
      </c>
      <c r="L2162" t="s">
        <v>855</v>
      </c>
      <c r="M2162" t="s">
        <v>12</v>
      </c>
      <c r="N2162" s="2">
        <v>0</v>
      </c>
      <c r="O2162" s="2">
        <v>0</v>
      </c>
      <c r="P2162" s="2">
        <v>1009.8</v>
      </c>
      <c r="Q2162" s="2">
        <v>1009.8</v>
      </c>
      <c r="R2162" s="2">
        <v>0</v>
      </c>
      <c r="S2162" s="2">
        <v>0</v>
      </c>
      <c r="T2162" s="2">
        <v>0</v>
      </c>
      <c r="U2162" s="2">
        <v>1009.8</v>
      </c>
      <c r="V2162" s="2">
        <v>1009.8</v>
      </c>
      <c r="W2162" s="2">
        <v>1009.8</v>
      </c>
    </row>
    <row r="2163" spans="1:23" outlineLevel="2" x14ac:dyDescent="0.2">
      <c r="A2163" t="s">
        <v>836</v>
      </c>
      <c r="B2163" t="s">
        <v>39</v>
      </c>
      <c r="C2163" t="s">
        <v>58</v>
      </c>
      <c r="D2163" t="s">
        <v>145</v>
      </c>
      <c r="E2163" t="s">
        <v>146</v>
      </c>
      <c r="F2163" t="s">
        <v>837</v>
      </c>
      <c r="G2163" t="s">
        <v>838</v>
      </c>
      <c r="H2163" t="s">
        <v>852</v>
      </c>
      <c r="I2163" t="s">
        <v>853</v>
      </c>
      <c r="J2163" t="s">
        <v>841</v>
      </c>
      <c r="K2163" t="s">
        <v>854</v>
      </c>
      <c r="L2163" t="s">
        <v>855</v>
      </c>
      <c r="M2163" t="s">
        <v>12</v>
      </c>
      <c r="N2163" s="2">
        <v>0</v>
      </c>
      <c r="O2163" s="2">
        <v>0</v>
      </c>
      <c r="P2163" s="2">
        <v>1590.91</v>
      </c>
      <c r="Q2163" s="2">
        <v>1590.91</v>
      </c>
      <c r="R2163" s="2">
        <v>0</v>
      </c>
      <c r="S2163" s="2">
        <v>0</v>
      </c>
      <c r="T2163" s="2">
        <v>0</v>
      </c>
      <c r="U2163" s="2">
        <v>1590.91</v>
      </c>
      <c r="V2163" s="2">
        <v>1590.91</v>
      </c>
      <c r="W2163" s="2">
        <v>1590.91</v>
      </c>
    </row>
    <row r="2164" spans="1:23" outlineLevel="2" x14ac:dyDescent="0.2">
      <c r="A2164" t="s">
        <v>836</v>
      </c>
      <c r="B2164" t="s">
        <v>39</v>
      </c>
      <c r="C2164" t="s">
        <v>58</v>
      </c>
      <c r="D2164" t="s">
        <v>147</v>
      </c>
      <c r="E2164" t="s">
        <v>148</v>
      </c>
      <c r="F2164" t="s">
        <v>837</v>
      </c>
      <c r="G2164" t="s">
        <v>838</v>
      </c>
      <c r="H2164" t="s">
        <v>852</v>
      </c>
      <c r="I2164" t="s">
        <v>853</v>
      </c>
      <c r="J2164" t="s">
        <v>841</v>
      </c>
      <c r="K2164" t="s">
        <v>854</v>
      </c>
      <c r="L2164" t="s">
        <v>855</v>
      </c>
      <c r="M2164" t="s">
        <v>12</v>
      </c>
      <c r="N2164" s="2">
        <v>0</v>
      </c>
      <c r="O2164" s="2">
        <v>0</v>
      </c>
      <c r="P2164" s="2">
        <v>649.16</v>
      </c>
      <c r="Q2164" s="2">
        <v>649.16</v>
      </c>
      <c r="R2164" s="2">
        <v>0</v>
      </c>
      <c r="S2164" s="2">
        <v>0</v>
      </c>
      <c r="T2164" s="2">
        <v>0</v>
      </c>
      <c r="U2164" s="2">
        <v>649.16</v>
      </c>
      <c r="V2164" s="2">
        <v>649.16</v>
      </c>
      <c r="W2164" s="2">
        <v>649.16</v>
      </c>
    </row>
    <row r="2165" spans="1:23" outlineLevel="2" x14ac:dyDescent="0.2">
      <c r="A2165" t="s">
        <v>836</v>
      </c>
      <c r="B2165" t="s">
        <v>39</v>
      </c>
      <c r="C2165" t="s">
        <v>58</v>
      </c>
      <c r="D2165" t="s">
        <v>137</v>
      </c>
      <c r="E2165" t="s">
        <v>138</v>
      </c>
      <c r="F2165" t="s">
        <v>837</v>
      </c>
      <c r="G2165" t="s">
        <v>838</v>
      </c>
      <c r="H2165" t="s">
        <v>852</v>
      </c>
      <c r="I2165" t="s">
        <v>853</v>
      </c>
      <c r="J2165" t="s">
        <v>841</v>
      </c>
      <c r="K2165" t="s">
        <v>854</v>
      </c>
      <c r="L2165" t="s">
        <v>855</v>
      </c>
      <c r="M2165" t="s">
        <v>12</v>
      </c>
      <c r="N2165" s="2">
        <v>0</v>
      </c>
      <c r="O2165" s="2">
        <v>0</v>
      </c>
      <c r="P2165" s="2">
        <v>427.96</v>
      </c>
      <c r="Q2165" s="2">
        <v>427.96</v>
      </c>
      <c r="R2165" s="2">
        <v>0</v>
      </c>
      <c r="S2165" s="2">
        <v>0</v>
      </c>
      <c r="T2165" s="2">
        <v>0</v>
      </c>
      <c r="U2165" s="2">
        <v>427.96</v>
      </c>
      <c r="V2165" s="2">
        <v>427.96</v>
      </c>
      <c r="W2165" s="2">
        <v>427.96</v>
      </c>
    </row>
    <row r="2166" spans="1:23" outlineLevel="2" x14ac:dyDescent="0.2">
      <c r="A2166" t="s">
        <v>836</v>
      </c>
      <c r="B2166" t="s">
        <v>39</v>
      </c>
      <c r="C2166" t="s">
        <v>58</v>
      </c>
      <c r="D2166" t="s">
        <v>59</v>
      </c>
      <c r="E2166" t="s">
        <v>60</v>
      </c>
      <c r="F2166" t="s">
        <v>837</v>
      </c>
      <c r="G2166" t="s">
        <v>838</v>
      </c>
      <c r="H2166" t="s">
        <v>852</v>
      </c>
      <c r="I2166" t="s">
        <v>853</v>
      </c>
      <c r="J2166" t="s">
        <v>841</v>
      </c>
      <c r="K2166" t="s">
        <v>854</v>
      </c>
      <c r="L2166" t="s">
        <v>855</v>
      </c>
      <c r="M2166" t="s">
        <v>12</v>
      </c>
      <c r="N2166" s="2">
        <v>0</v>
      </c>
      <c r="O2166" s="2">
        <v>0</v>
      </c>
      <c r="P2166" s="2">
        <v>806.67</v>
      </c>
      <c r="Q2166" s="2">
        <v>806.67</v>
      </c>
      <c r="R2166" s="2">
        <v>0</v>
      </c>
      <c r="S2166" s="2">
        <v>0</v>
      </c>
      <c r="T2166" s="2">
        <v>0</v>
      </c>
      <c r="U2166" s="2">
        <v>806.67</v>
      </c>
      <c r="V2166" s="2">
        <v>806.67</v>
      </c>
      <c r="W2166" s="2">
        <v>806.67</v>
      </c>
    </row>
    <row r="2167" spans="1:23" outlineLevel="2" x14ac:dyDescent="0.2">
      <c r="A2167" t="s">
        <v>836</v>
      </c>
      <c r="B2167" t="s">
        <v>39</v>
      </c>
      <c r="C2167" t="s">
        <v>58</v>
      </c>
      <c r="D2167" t="s">
        <v>137</v>
      </c>
      <c r="E2167" t="s">
        <v>138</v>
      </c>
      <c r="F2167" t="s">
        <v>837</v>
      </c>
      <c r="G2167" t="s">
        <v>838</v>
      </c>
      <c r="H2167" t="s">
        <v>852</v>
      </c>
      <c r="I2167" t="s">
        <v>853</v>
      </c>
      <c r="J2167" t="s">
        <v>841</v>
      </c>
      <c r="K2167" t="s">
        <v>846</v>
      </c>
      <c r="L2167" t="s">
        <v>847</v>
      </c>
      <c r="M2167" t="s">
        <v>15</v>
      </c>
      <c r="N2167" s="2">
        <v>75660</v>
      </c>
      <c r="O2167" s="2">
        <v>0</v>
      </c>
      <c r="P2167" s="2">
        <v>0</v>
      </c>
      <c r="Q2167" s="2">
        <v>75660</v>
      </c>
      <c r="R2167" s="2">
        <v>11327.7</v>
      </c>
      <c r="S2167" s="2">
        <v>64332.3</v>
      </c>
      <c r="T2167" s="2">
        <v>64332.3</v>
      </c>
      <c r="U2167" s="2">
        <v>11327.7</v>
      </c>
      <c r="V2167" s="2">
        <v>11327.7</v>
      </c>
      <c r="W2167" s="2">
        <v>0</v>
      </c>
    </row>
    <row r="2168" spans="1:23" outlineLevel="2" x14ac:dyDescent="0.2">
      <c r="A2168" t="s">
        <v>836</v>
      </c>
      <c r="B2168" t="s">
        <v>39</v>
      </c>
      <c r="C2168" t="s">
        <v>58</v>
      </c>
      <c r="D2168" t="s">
        <v>143</v>
      </c>
      <c r="E2168" t="s">
        <v>144</v>
      </c>
      <c r="F2168" t="s">
        <v>837</v>
      </c>
      <c r="G2168" t="s">
        <v>838</v>
      </c>
      <c r="H2168" t="s">
        <v>852</v>
      </c>
      <c r="I2168" t="s">
        <v>853</v>
      </c>
      <c r="J2168" t="s">
        <v>841</v>
      </c>
      <c r="K2168" t="s">
        <v>846</v>
      </c>
      <c r="L2168" t="s">
        <v>847</v>
      </c>
      <c r="M2168" t="s">
        <v>15</v>
      </c>
      <c r="N2168" s="2">
        <v>157728</v>
      </c>
      <c r="O2168" s="2">
        <v>0</v>
      </c>
      <c r="P2168" s="2">
        <v>0</v>
      </c>
      <c r="Q2168" s="2">
        <v>157728</v>
      </c>
      <c r="R2168" s="2">
        <v>23055.8</v>
      </c>
      <c r="S2168" s="2">
        <v>134672.20000000001</v>
      </c>
      <c r="T2168" s="2">
        <v>134672.20000000001</v>
      </c>
      <c r="U2168" s="2">
        <v>23055.8</v>
      </c>
      <c r="V2168" s="2">
        <v>23055.8</v>
      </c>
      <c r="W2168" s="2">
        <v>0</v>
      </c>
    </row>
    <row r="2169" spans="1:23" outlineLevel="2" x14ac:dyDescent="0.2">
      <c r="A2169" t="s">
        <v>836</v>
      </c>
      <c r="B2169" t="s">
        <v>39</v>
      </c>
      <c r="C2169" t="s">
        <v>58</v>
      </c>
      <c r="D2169" t="s">
        <v>129</v>
      </c>
      <c r="E2169" t="s">
        <v>130</v>
      </c>
      <c r="F2169" t="s">
        <v>837</v>
      </c>
      <c r="G2169" t="s">
        <v>838</v>
      </c>
      <c r="H2169" t="s">
        <v>852</v>
      </c>
      <c r="I2169" t="s">
        <v>853</v>
      </c>
      <c r="J2169" t="s">
        <v>841</v>
      </c>
      <c r="K2169" t="s">
        <v>846</v>
      </c>
      <c r="L2169" t="s">
        <v>847</v>
      </c>
      <c r="M2169" t="s">
        <v>15</v>
      </c>
      <c r="N2169" s="2">
        <v>9804</v>
      </c>
      <c r="O2169" s="2">
        <v>0</v>
      </c>
      <c r="P2169" s="2">
        <v>0</v>
      </c>
      <c r="Q2169" s="2">
        <v>9804</v>
      </c>
      <c r="R2169" s="2">
        <v>817</v>
      </c>
      <c r="S2169" s="2">
        <v>8987</v>
      </c>
      <c r="T2169" s="2">
        <v>8987</v>
      </c>
      <c r="U2169" s="2">
        <v>817</v>
      </c>
      <c r="V2169" s="2">
        <v>817</v>
      </c>
      <c r="W2169" s="2">
        <v>0</v>
      </c>
    </row>
    <row r="2170" spans="1:23" outlineLevel="2" x14ac:dyDescent="0.2">
      <c r="A2170" t="s">
        <v>836</v>
      </c>
      <c r="B2170" t="s">
        <v>39</v>
      </c>
      <c r="C2170" t="s">
        <v>58</v>
      </c>
      <c r="D2170" t="s">
        <v>149</v>
      </c>
      <c r="E2170" t="s">
        <v>150</v>
      </c>
      <c r="F2170" t="s">
        <v>837</v>
      </c>
      <c r="G2170" t="s">
        <v>838</v>
      </c>
      <c r="H2170" t="s">
        <v>852</v>
      </c>
      <c r="I2170" t="s">
        <v>853</v>
      </c>
      <c r="J2170" t="s">
        <v>841</v>
      </c>
      <c r="K2170" t="s">
        <v>846</v>
      </c>
      <c r="L2170" t="s">
        <v>847</v>
      </c>
      <c r="M2170" t="s">
        <v>15</v>
      </c>
      <c r="N2170" s="2">
        <v>128316</v>
      </c>
      <c r="O2170" s="2">
        <v>0</v>
      </c>
      <c r="P2170" s="2">
        <v>0</v>
      </c>
      <c r="Q2170" s="2">
        <v>128316</v>
      </c>
      <c r="R2170" s="2">
        <v>19982.599999999999</v>
      </c>
      <c r="S2170" s="2">
        <v>108333.4</v>
      </c>
      <c r="T2170" s="2">
        <v>108333.4</v>
      </c>
      <c r="U2170" s="2">
        <v>19982.599999999999</v>
      </c>
      <c r="V2170" s="2">
        <v>19982.599999999999</v>
      </c>
      <c r="W2170" s="2">
        <v>0</v>
      </c>
    </row>
    <row r="2171" spans="1:23" outlineLevel="2" x14ac:dyDescent="0.2">
      <c r="A2171" t="s">
        <v>836</v>
      </c>
      <c r="B2171" t="s">
        <v>39</v>
      </c>
      <c r="C2171" t="s">
        <v>58</v>
      </c>
      <c r="D2171" t="s">
        <v>139</v>
      </c>
      <c r="E2171" t="s">
        <v>140</v>
      </c>
      <c r="F2171" t="s">
        <v>837</v>
      </c>
      <c r="G2171" t="s">
        <v>838</v>
      </c>
      <c r="H2171" t="s">
        <v>852</v>
      </c>
      <c r="I2171" t="s">
        <v>853</v>
      </c>
      <c r="J2171" t="s">
        <v>841</v>
      </c>
      <c r="K2171" t="s">
        <v>846</v>
      </c>
      <c r="L2171" t="s">
        <v>847</v>
      </c>
      <c r="M2171" t="s">
        <v>15</v>
      </c>
      <c r="N2171" s="2">
        <v>138120</v>
      </c>
      <c r="O2171" s="2">
        <v>0</v>
      </c>
      <c r="P2171" s="2">
        <v>0</v>
      </c>
      <c r="Q2171" s="2">
        <v>138120</v>
      </c>
      <c r="R2171" s="2">
        <v>15768.67</v>
      </c>
      <c r="S2171" s="2">
        <v>122351.33</v>
      </c>
      <c r="T2171" s="2">
        <v>122351.33</v>
      </c>
      <c r="U2171" s="2">
        <v>15768.67</v>
      </c>
      <c r="V2171" s="2">
        <v>15768.67</v>
      </c>
      <c r="W2171" s="2">
        <v>0</v>
      </c>
    </row>
    <row r="2172" spans="1:23" outlineLevel="2" x14ac:dyDescent="0.2">
      <c r="A2172" t="s">
        <v>836</v>
      </c>
      <c r="B2172" t="s">
        <v>39</v>
      </c>
      <c r="C2172" t="s">
        <v>58</v>
      </c>
      <c r="D2172" t="s">
        <v>59</v>
      </c>
      <c r="E2172" t="s">
        <v>60</v>
      </c>
      <c r="F2172" t="s">
        <v>837</v>
      </c>
      <c r="G2172" t="s">
        <v>838</v>
      </c>
      <c r="H2172" t="s">
        <v>852</v>
      </c>
      <c r="I2172" t="s">
        <v>853</v>
      </c>
      <c r="J2172" t="s">
        <v>841</v>
      </c>
      <c r="K2172" t="s">
        <v>846</v>
      </c>
      <c r="L2172" t="s">
        <v>847</v>
      </c>
      <c r="M2172" t="s">
        <v>15</v>
      </c>
      <c r="N2172" s="2">
        <v>54840</v>
      </c>
      <c r="O2172" s="2">
        <v>0</v>
      </c>
      <c r="P2172" s="2">
        <v>0</v>
      </c>
      <c r="Q2172" s="2">
        <v>54840</v>
      </c>
      <c r="R2172" s="2">
        <v>7980</v>
      </c>
      <c r="S2172" s="2">
        <v>46860</v>
      </c>
      <c r="T2172" s="2">
        <v>46860</v>
      </c>
      <c r="U2172" s="2">
        <v>7980</v>
      </c>
      <c r="V2172" s="2">
        <v>7980</v>
      </c>
      <c r="W2172" s="2">
        <v>0</v>
      </c>
    </row>
    <row r="2173" spans="1:23" outlineLevel="2" x14ac:dyDescent="0.2">
      <c r="A2173" t="s">
        <v>836</v>
      </c>
      <c r="B2173" t="s">
        <v>39</v>
      </c>
      <c r="C2173" t="s">
        <v>58</v>
      </c>
      <c r="D2173" t="s">
        <v>105</v>
      </c>
      <c r="E2173" t="s">
        <v>106</v>
      </c>
      <c r="F2173" t="s">
        <v>837</v>
      </c>
      <c r="G2173" t="s">
        <v>838</v>
      </c>
      <c r="H2173" t="s">
        <v>852</v>
      </c>
      <c r="I2173" t="s">
        <v>853</v>
      </c>
      <c r="J2173" t="s">
        <v>841</v>
      </c>
      <c r="K2173" t="s">
        <v>846</v>
      </c>
      <c r="L2173" t="s">
        <v>847</v>
      </c>
      <c r="M2173" t="s">
        <v>15</v>
      </c>
      <c r="N2173" s="2">
        <v>28236</v>
      </c>
      <c r="O2173" s="2">
        <v>0</v>
      </c>
      <c r="P2173" s="2">
        <v>0</v>
      </c>
      <c r="Q2173" s="2">
        <v>28236</v>
      </c>
      <c r="R2173" s="2">
        <v>2353</v>
      </c>
      <c r="S2173" s="2">
        <v>25883</v>
      </c>
      <c r="T2173" s="2">
        <v>25883</v>
      </c>
      <c r="U2173" s="2">
        <v>2353</v>
      </c>
      <c r="V2173" s="2">
        <v>2353</v>
      </c>
      <c r="W2173" s="2">
        <v>0</v>
      </c>
    </row>
    <row r="2174" spans="1:23" outlineLevel="2" x14ac:dyDescent="0.2">
      <c r="A2174" t="s">
        <v>836</v>
      </c>
      <c r="B2174" t="s">
        <v>39</v>
      </c>
      <c r="C2174" t="s">
        <v>58</v>
      </c>
      <c r="D2174" t="s">
        <v>145</v>
      </c>
      <c r="E2174" t="s">
        <v>146</v>
      </c>
      <c r="F2174" t="s">
        <v>837</v>
      </c>
      <c r="G2174" t="s">
        <v>838</v>
      </c>
      <c r="H2174" t="s">
        <v>852</v>
      </c>
      <c r="I2174" t="s">
        <v>853</v>
      </c>
      <c r="J2174" t="s">
        <v>841</v>
      </c>
      <c r="K2174" t="s">
        <v>846</v>
      </c>
      <c r="L2174" t="s">
        <v>847</v>
      </c>
      <c r="M2174" t="s">
        <v>15</v>
      </c>
      <c r="N2174" s="2">
        <v>96480</v>
      </c>
      <c r="O2174" s="2">
        <v>0</v>
      </c>
      <c r="P2174" s="2">
        <v>0</v>
      </c>
      <c r="Q2174" s="2">
        <v>96480</v>
      </c>
      <c r="R2174" s="2">
        <v>3037.37</v>
      </c>
      <c r="S2174" s="2">
        <v>93442.63</v>
      </c>
      <c r="T2174" s="2">
        <v>93442.63</v>
      </c>
      <c r="U2174" s="2">
        <v>3037.37</v>
      </c>
      <c r="V2174" s="2">
        <v>3037.37</v>
      </c>
      <c r="W2174" s="2">
        <v>0</v>
      </c>
    </row>
    <row r="2175" spans="1:23" outlineLevel="2" x14ac:dyDescent="0.2">
      <c r="A2175" t="s">
        <v>836</v>
      </c>
      <c r="B2175" t="s">
        <v>39</v>
      </c>
      <c r="C2175" t="s">
        <v>58</v>
      </c>
      <c r="D2175" t="s">
        <v>135</v>
      </c>
      <c r="E2175" t="s">
        <v>136</v>
      </c>
      <c r="F2175" t="s">
        <v>837</v>
      </c>
      <c r="G2175" t="s">
        <v>838</v>
      </c>
      <c r="H2175" t="s">
        <v>852</v>
      </c>
      <c r="I2175" t="s">
        <v>853</v>
      </c>
      <c r="J2175" t="s">
        <v>841</v>
      </c>
      <c r="K2175" t="s">
        <v>846</v>
      </c>
      <c r="L2175" t="s">
        <v>847</v>
      </c>
      <c r="M2175" t="s">
        <v>15</v>
      </c>
      <c r="N2175" s="2">
        <v>138120</v>
      </c>
      <c r="O2175" s="2">
        <v>0</v>
      </c>
      <c r="P2175" s="2">
        <v>0</v>
      </c>
      <c r="Q2175" s="2">
        <v>138120</v>
      </c>
      <c r="R2175" s="2">
        <v>21477.03</v>
      </c>
      <c r="S2175" s="2">
        <v>116642.97</v>
      </c>
      <c r="T2175" s="2">
        <v>116642.97</v>
      </c>
      <c r="U2175" s="2">
        <v>21477.03</v>
      </c>
      <c r="V2175" s="2">
        <v>21477.03</v>
      </c>
      <c r="W2175" s="2">
        <v>0</v>
      </c>
    </row>
    <row r="2176" spans="1:23" outlineLevel="2" x14ac:dyDescent="0.2">
      <c r="A2176" t="s">
        <v>836</v>
      </c>
      <c r="B2176" t="s">
        <v>39</v>
      </c>
      <c r="C2176" t="s">
        <v>58</v>
      </c>
      <c r="D2176" t="s">
        <v>145</v>
      </c>
      <c r="E2176" t="s">
        <v>146</v>
      </c>
      <c r="F2176" t="s">
        <v>837</v>
      </c>
      <c r="G2176" t="s">
        <v>838</v>
      </c>
      <c r="H2176" t="s">
        <v>852</v>
      </c>
      <c r="I2176" t="s">
        <v>853</v>
      </c>
      <c r="J2176" t="s">
        <v>841</v>
      </c>
      <c r="K2176" t="s">
        <v>846</v>
      </c>
      <c r="L2176" t="s">
        <v>847</v>
      </c>
      <c r="M2176" t="s">
        <v>12</v>
      </c>
      <c r="N2176" s="2">
        <v>0</v>
      </c>
      <c r="O2176" s="2">
        <v>5900</v>
      </c>
      <c r="P2176" s="2">
        <v>4320.26</v>
      </c>
      <c r="Q2176" s="2">
        <v>10220.26</v>
      </c>
      <c r="R2176" s="2">
        <v>5900</v>
      </c>
      <c r="S2176" s="2">
        <v>0</v>
      </c>
      <c r="T2176" s="2">
        <v>0</v>
      </c>
      <c r="U2176" s="2">
        <v>10220.26</v>
      </c>
      <c r="V2176" s="2">
        <v>10220.26</v>
      </c>
      <c r="W2176" s="2">
        <v>4320.26</v>
      </c>
    </row>
    <row r="2177" spans="1:23" outlineLevel="2" x14ac:dyDescent="0.2">
      <c r="A2177" t="s">
        <v>836</v>
      </c>
      <c r="B2177" t="s">
        <v>39</v>
      </c>
      <c r="C2177" t="s">
        <v>58</v>
      </c>
      <c r="D2177" t="s">
        <v>147</v>
      </c>
      <c r="E2177" t="s">
        <v>148</v>
      </c>
      <c r="F2177" t="s">
        <v>837</v>
      </c>
      <c r="G2177" t="s">
        <v>838</v>
      </c>
      <c r="H2177" t="s">
        <v>852</v>
      </c>
      <c r="I2177" t="s">
        <v>853</v>
      </c>
      <c r="J2177" t="s">
        <v>841</v>
      </c>
      <c r="K2177" t="s">
        <v>846</v>
      </c>
      <c r="L2177" t="s">
        <v>847</v>
      </c>
      <c r="M2177" t="s">
        <v>15</v>
      </c>
      <c r="N2177" s="2">
        <v>158940</v>
      </c>
      <c r="O2177" s="2">
        <v>0</v>
      </c>
      <c r="P2177" s="2">
        <v>0</v>
      </c>
      <c r="Q2177" s="2">
        <v>158940</v>
      </c>
      <c r="R2177" s="2">
        <v>15536.94</v>
      </c>
      <c r="S2177" s="2">
        <v>143403.06</v>
      </c>
      <c r="T2177" s="2">
        <v>143403.06</v>
      </c>
      <c r="U2177" s="2">
        <v>15536.94</v>
      </c>
      <c r="V2177" s="2">
        <v>15536.94</v>
      </c>
      <c r="W2177" s="2">
        <v>0</v>
      </c>
    </row>
    <row r="2178" spans="1:23" outlineLevel="2" x14ac:dyDescent="0.2">
      <c r="A2178" t="s">
        <v>836</v>
      </c>
      <c r="B2178" t="s">
        <v>39</v>
      </c>
      <c r="C2178" t="s">
        <v>58</v>
      </c>
      <c r="D2178" t="s">
        <v>129</v>
      </c>
      <c r="E2178" t="s">
        <v>130</v>
      </c>
      <c r="F2178" t="s">
        <v>837</v>
      </c>
      <c r="G2178" t="s">
        <v>838</v>
      </c>
      <c r="H2178" t="s">
        <v>852</v>
      </c>
      <c r="I2178" t="s">
        <v>853</v>
      </c>
      <c r="J2178" t="s">
        <v>841</v>
      </c>
      <c r="K2178" t="s">
        <v>848</v>
      </c>
      <c r="L2178" t="s">
        <v>849</v>
      </c>
      <c r="M2178" t="s">
        <v>15</v>
      </c>
      <c r="N2178" s="2">
        <v>1240.21</v>
      </c>
      <c r="O2178" s="2">
        <v>0</v>
      </c>
      <c r="P2178" s="2">
        <v>0</v>
      </c>
      <c r="Q2178" s="2">
        <v>1240.21</v>
      </c>
      <c r="R2178" s="2">
        <v>103.36</v>
      </c>
      <c r="S2178" s="2">
        <v>1136.8499999999999</v>
      </c>
      <c r="T2178" s="2">
        <v>1136.8499999999999</v>
      </c>
      <c r="U2178" s="2">
        <v>103.36</v>
      </c>
      <c r="V2178" s="2">
        <v>103.36</v>
      </c>
      <c r="W2178" s="2">
        <v>0</v>
      </c>
    </row>
    <row r="2179" spans="1:23" outlineLevel="2" x14ac:dyDescent="0.2">
      <c r="A2179" t="s">
        <v>836</v>
      </c>
      <c r="B2179" t="s">
        <v>39</v>
      </c>
      <c r="C2179" t="s">
        <v>58</v>
      </c>
      <c r="D2179" t="s">
        <v>59</v>
      </c>
      <c r="E2179" t="s">
        <v>60</v>
      </c>
      <c r="F2179" t="s">
        <v>837</v>
      </c>
      <c r="G2179" t="s">
        <v>838</v>
      </c>
      <c r="H2179" t="s">
        <v>852</v>
      </c>
      <c r="I2179" t="s">
        <v>853</v>
      </c>
      <c r="J2179" t="s">
        <v>841</v>
      </c>
      <c r="K2179" t="s">
        <v>848</v>
      </c>
      <c r="L2179" t="s">
        <v>849</v>
      </c>
      <c r="M2179" t="s">
        <v>15</v>
      </c>
      <c r="N2179" s="2">
        <v>6937.26</v>
      </c>
      <c r="O2179" s="2">
        <v>0</v>
      </c>
      <c r="P2179" s="2">
        <v>0</v>
      </c>
      <c r="Q2179" s="2">
        <v>6937.26</v>
      </c>
      <c r="R2179" s="2">
        <v>800.69</v>
      </c>
      <c r="S2179" s="2">
        <v>6136.57</v>
      </c>
      <c r="T2179" s="2">
        <v>6136.57</v>
      </c>
      <c r="U2179" s="2">
        <v>800.69</v>
      </c>
      <c r="V2179" s="2">
        <v>800.69</v>
      </c>
      <c r="W2179" s="2">
        <v>0</v>
      </c>
    </row>
    <row r="2180" spans="1:23" outlineLevel="2" x14ac:dyDescent="0.2">
      <c r="A2180" t="s">
        <v>836</v>
      </c>
      <c r="B2180" t="s">
        <v>39</v>
      </c>
      <c r="C2180" t="s">
        <v>58</v>
      </c>
      <c r="D2180" t="s">
        <v>145</v>
      </c>
      <c r="E2180" t="s">
        <v>146</v>
      </c>
      <c r="F2180" t="s">
        <v>837</v>
      </c>
      <c r="G2180" t="s">
        <v>838</v>
      </c>
      <c r="H2180" t="s">
        <v>852</v>
      </c>
      <c r="I2180" t="s">
        <v>853</v>
      </c>
      <c r="J2180" t="s">
        <v>841</v>
      </c>
      <c r="K2180" t="s">
        <v>848</v>
      </c>
      <c r="L2180" t="s">
        <v>849</v>
      </c>
      <c r="M2180" t="s">
        <v>12</v>
      </c>
      <c r="N2180" s="2">
        <v>0</v>
      </c>
      <c r="O2180" s="2">
        <v>1000</v>
      </c>
      <c r="P2180" s="2">
        <v>989.36</v>
      </c>
      <c r="Q2180" s="2">
        <v>1989.36</v>
      </c>
      <c r="R2180" s="2">
        <v>1000</v>
      </c>
      <c r="S2180" s="2">
        <v>0</v>
      </c>
      <c r="T2180" s="2">
        <v>0</v>
      </c>
      <c r="U2180" s="2">
        <v>1989.36</v>
      </c>
      <c r="V2180" s="2">
        <v>1989.36</v>
      </c>
      <c r="W2180" s="2">
        <v>989.36</v>
      </c>
    </row>
    <row r="2181" spans="1:23" outlineLevel="2" x14ac:dyDescent="0.2">
      <c r="A2181" t="s">
        <v>836</v>
      </c>
      <c r="B2181" t="s">
        <v>39</v>
      </c>
      <c r="C2181" t="s">
        <v>58</v>
      </c>
      <c r="D2181" t="s">
        <v>147</v>
      </c>
      <c r="E2181" t="s">
        <v>148</v>
      </c>
      <c r="F2181" t="s">
        <v>837</v>
      </c>
      <c r="G2181" t="s">
        <v>838</v>
      </c>
      <c r="H2181" t="s">
        <v>852</v>
      </c>
      <c r="I2181" t="s">
        <v>853</v>
      </c>
      <c r="J2181" t="s">
        <v>841</v>
      </c>
      <c r="K2181" t="s">
        <v>848</v>
      </c>
      <c r="L2181" t="s">
        <v>849</v>
      </c>
      <c r="M2181" t="s">
        <v>15</v>
      </c>
      <c r="N2181" s="2">
        <v>20105.91</v>
      </c>
      <c r="O2181" s="2">
        <v>0</v>
      </c>
      <c r="P2181" s="2">
        <v>0</v>
      </c>
      <c r="Q2181" s="2">
        <v>20105.91</v>
      </c>
      <c r="R2181" s="2">
        <v>1860.73</v>
      </c>
      <c r="S2181" s="2">
        <v>18245.18</v>
      </c>
      <c r="T2181" s="2">
        <v>18245.18</v>
      </c>
      <c r="U2181" s="2">
        <v>1860.73</v>
      </c>
      <c r="V2181" s="2">
        <v>1860.73</v>
      </c>
      <c r="W2181" s="2">
        <v>0</v>
      </c>
    </row>
    <row r="2182" spans="1:23" outlineLevel="2" x14ac:dyDescent="0.2">
      <c r="A2182" t="s">
        <v>836</v>
      </c>
      <c r="B2182" t="s">
        <v>39</v>
      </c>
      <c r="C2182" t="s">
        <v>58</v>
      </c>
      <c r="D2182" t="s">
        <v>129</v>
      </c>
      <c r="E2182" t="s">
        <v>130</v>
      </c>
      <c r="F2182" t="s">
        <v>837</v>
      </c>
      <c r="G2182" t="s">
        <v>838</v>
      </c>
      <c r="H2182" t="s">
        <v>852</v>
      </c>
      <c r="I2182" t="s">
        <v>853</v>
      </c>
      <c r="J2182" t="s">
        <v>841</v>
      </c>
      <c r="K2182" t="s">
        <v>848</v>
      </c>
      <c r="L2182" t="s">
        <v>849</v>
      </c>
      <c r="M2182" t="s">
        <v>12</v>
      </c>
      <c r="N2182" s="2">
        <v>0</v>
      </c>
      <c r="O2182" s="2">
        <v>0</v>
      </c>
      <c r="P2182" s="2">
        <v>10.33</v>
      </c>
      <c r="Q2182" s="2">
        <v>10.33</v>
      </c>
      <c r="R2182" s="2">
        <v>0</v>
      </c>
      <c r="S2182" s="2">
        <v>0</v>
      </c>
      <c r="T2182" s="2">
        <v>0</v>
      </c>
      <c r="U2182" s="2">
        <v>10.33</v>
      </c>
      <c r="V2182" s="2">
        <v>10.33</v>
      </c>
      <c r="W2182" s="2">
        <v>10.33</v>
      </c>
    </row>
    <row r="2183" spans="1:23" outlineLevel="2" x14ac:dyDescent="0.2">
      <c r="A2183" t="s">
        <v>836</v>
      </c>
      <c r="B2183" t="s">
        <v>39</v>
      </c>
      <c r="C2183" t="s">
        <v>58</v>
      </c>
      <c r="D2183" t="s">
        <v>145</v>
      </c>
      <c r="E2183" t="s">
        <v>146</v>
      </c>
      <c r="F2183" t="s">
        <v>837</v>
      </c>
      <c r="G2183" t="s">
        <v>838</v>
      </c>
      <c r="H2183" t="s">
        <v>852</v>
      </c>
      <c r="I2183" t="s">
        <v>853</v>
      </c>
      <c r="J2183" t="s">
        <v>841</v>
      </c>
      <c r="K2183" t="s">
        <v>848</v>
      </c>
      <c r="L2183" t="s">
        <v>849</v>
      </c>
      <c r="M2183" t="s">
        <v>15</v>
      </c>
      <c r="N2183" s="2">
        <v>12204.72</v>
      </c>
      <c r="O2183" s="2">
        <v>0</v>
      </c>
      <c r="P2183" s="2">
        <v>0</v>
      </c>
      <c r="Q2183" s="2">
        <v>12204.72</v>
      </c>
      <c r="R2183" s="2">
        <v>127.99</v>
      </c>
      <c r="S2183" s="2">
        <v>12076.73</v>
      </c>
      <c r="T2183" s="2">
        <v>12076.73</v>
      </c>
      <c r="U2183" s="2">
        <v>127.99</v>
      </c>
      <c r="V2183" s="2">
        <v>127.99</v>
      </c>
      <c r="W2183" s="2">
        <v>0</v>
      </c>
    </row>
    <row r="2184" spans="1:23" outlineLevel="2" x14ac:dyDescent="0.2">
      <c r="A2184" t="s">
        <v>836</v>
      </c>
      <c r="B2184" t="s">
        <v>39</v>
      </c>
      <c r="C2184" t="s">
        <v>58</v>
      </c>
      <c r="D2184" t="s">
        <v>105</v>
      </c>
      <c r="E2184" t="s">
        <v>106</v>
      </c>
      <c r="F2184" t="s">
        <v>837</v>
      </c>
      <c r="G2184" t="s">
        <v>838</v>
      </c>
      <c r="H2184" t="s">
        <v>852</v>
      </c>
      <c r="I2184" t="s">
        <v>853</v>
      </c>
      <c r="J2184" t="s">
        <v>841</v>
      </c>
      <c r="K2184" t="s">
        <v>848</v>
      </c>
      <c r="L2184" t="s">
        <v>849</v>
      </c>
      <c r="M2184" t="s">
        <v>12</v>
      </c>
      <c r="N2184" s="2">
        <v>0</v>
      </c>
      <c r="O2184" s="2">
        <v>0</v>
      </c>
      <c r="P2184" s="2">
        <v>29.72</v>
      </c>
      <c r="Q2184" s="2">
        <v>29.72</v>
      </c>
      <c r="R2184" s="2">
        <v>0</v>
      </c>
      <c r="S2184" s="2">
        <v>0</v>
      </c>
      <c r="T2184" s="2">
        <v>0</v>
      </c>
      <c r="U2184" s="2">
        <v>29.72</v>
      </c>
      <c r="V2184" s="2">
        <v>29.72</v>
      </c>
      <c r="W2184" s="2">
        <v>29.72</v>
      </c>
    </row>
    <row r="2185" spans="1:23" outlineLevel="2" x14ac:dyDescent="0.2">
      <c r="A2185" t="s">
        <v>836</v>
      </c>
      <c r="B2185" t="s">
        <v>39</v>
      </c>
      <c r="C2185" t="s">
        <v>58</v>
      </c>
      <c r="D2185" t="s">
        <v>143</v>
      </c>
      <c r="E2185" t="s">
        <v>144</v>
      </c>
      <c r="F2185" t="s">
        <v>837</v>
      </c>
      <c r="G2185" t="s">
        <v>838</v>
      </c>
      <c r="H2185" t="s">
        <v>852</v>
      </c>
      <c r="I2185" t="s">
        <v>853</v>
      </c>
      <c r="J2185" t="s">
        <v>841</v>
      </c>
      <c r="K2185" t="s">
        <v>848</v>
      </c>
      <c r="L2185" t="s">
        <v>849</v>
      </c>
      <c r="M2185" t="s">
        <v>15</v>
      </c>
      <c r="N2185" s="2">
        <v>19952.59</v>
      </c>
      <c r="O2185" s="2">
        <v>0</v>
      </c>
      <c r="P2185" s="2">
        <v>0</v>
      </c>
      <c r="Q2185" s="2">
        <v>19952.59</v>
      </c>
      <c r="R2185" s="2">
        <v>2684.62</v>
      </c>
      <c r="S2185" s="2">
        <v>17267.97</v>
      </c>
      <c r="T2185" s="2">
        <v>17267.97</v>
      </c>
      <c r="U2185" s="2">
        <v>2684.62</v>
      </c>
      <c r="V2185" s="2">
        <v>2684.62</v>
      </c>
      <c r="W2185" s="2">
        <v>0</v>
      </c>
    </row>
    <row r="2186" spans="1:23" outlineLevel="2" x14ac:dyDescent="0.2">
      <c r="A2186" t="s">
        <v>836</v>
      </c>
      <c r="B2186" t="s">
        <v>39</v>
      </c>
      <c r="C2186" t="s">
        <v>58</v>
      </c>
      <c r="D2186" t="s">
        <v>105</v>
      </c>
      <c r="E2186" t="s">
        <v>106</v>
      </c>
      <c r="F2186" t="s">
        <v>837</v>
      </c>
      <c r="G2186" t="s">
        <v>838</v>
      </c>
      <c r="H2186" t="s">
        <v>852</v>
      </c>
      <c r="I2186" t="s">
        <v>853</v>
      </c>
      <c r="J2186" t="s">
        <v>841</v>
      </c>
      <c r="K2186" t="s">
        <v>848</v>
      </c>
      <c r="L2186" t="s">
        <v>849</v>
      </c>
      <c r="M2186" t="s">
        <v>15</v>
      </c>
      <c r="N2186" s="2">
        <v>3571.85</v>
      </c>
      <c r="O2186" s="2">
        <v>0</v>
      </c>
      <c r="P2186" s="2">
        <v>0</v>
      </c>
      <c r="Q2186" s="2">
        <v>3571.85</v>
      </c>
      <c r="R2186" s="2">
        <v>297.7</v>
      </c>
      <c r="S2186" s="2">
        <v>3274.15</v>
      </c>
      <c r="T2186" s="2">
        <v>3274.15</v>
      </c>
      <c r="U2186" s="2">
        <v>297.7</v>
      </c>
      <c r="V2186" s="2">
        <v>297.7</v>
      </c>
      <c r="W2186" s="2">
        <v>0</v>
      </c>
    </row>
    <row r="2187" spans="1:23" outlineLevel="2" x14ac:dyDescent="0.2">
      <c r="A2187" t="s">
        <v>836</v>
      </c>
      <c r="B2187" t="s">
        <v>39</v>
      </c>
      <c r="C2187" t="s">
        <v>58</v>
      </c>
      <c r="D2187" t="s">
        <v>149</v>
      </c>
      <c r="E2187" t="s">
        <v>150</v>
      </c>
      <c r="F2187" t="s">
        <v>837</v>
      </c>
      <c r="G2187" t="s">
        <v>838</v>
      </c>
      <c r="H2187" t="s">
        <v>852</v>
      </c>
      <c r="I2187" t="s">
        <v>853</v>
      </c>
      <c r="J2187" t="s">
        <v>841</v>
      </c>
      <c r="K2187" t="s">
        <v>848</v>
      </c>
      <c r="L2187" t="s">
        <v>849</v>
      </c>
      <c r="M2187" t="s">
        <v>15</v>
      </c>
      <c r="N2187" s="2">
        <v>16231.97</v>
      </c>
      <c r="O2187" s="2">
        <v>0</v>
      </c>
      <c r="P2187" s="2">
        <v>0</v>
      </c>
      <c r="Q2187" s="2">
        <v>16231.97</v>
      </c>
      <c r="R2187" s="2">
        <v>2416.31</v>
      </c>
      <c r="S2187" s="2">
        <v>13815.66</v>
      </c>
      <c r="T2187" s="2">
        <v>13815.66</v>
      </c>
      <c r="U2187" s="2">
        <v>2416.31</v>
      </c>
      <c r="V2187" s="2">
        <v>2416.31</v>
      </c>
      <c r="W2187" s="2">
        <v>0</v>
      </c>
    </row>
    <row r="2188" spans="1:23" outlineLevel="2" x14ac:dyDescent="0.2">
      <c r="A2188" t="s">
        <v>836</v>
      </c>
      <c r="B2188" t="s">
        <v>39</v>
      </c>
      <c r="C2188" t="s">
        <v>58</v>
      </c>
      <c r="D2188" t="s">
        <v>137</v>
      </c>
      <c r="E2188" t="s">
        <v>138</v>
      </c>
      <c r="F2188" t="s">
        <v>837</v>
      </c>
      <c r="G2188" t="s">
        <v>838</v>
      </c>
      <c r="H2188" t="s">
        <v>852</v>
      </c>
      <c r="I2188" t="s">
        <v>853</v>
      </c>
      <c r="J2188" t="s">
        <v>841</v>
      </c>
      <c r="K2188" t="s">
        <v>848</v>
      </c>
      <c r="L2188" t="s">
        <v>849</v>
      </c>
      <c r="M2188" t="s">
        <v>15</v>
      </c>
      <c r="N2188" s="2">
        <v>9570.99</v>
      </c>
      <c r="O2188" s="2">
        <v>0</v>
      </c>
      <c r="P2188" s="2">
        <v>0</v>
      </c>
      <c r="Q2188" s="2">
        <v>9570.99</v>
      </c>
      <c r="R2188" s="2">
        <v>1363.98</v>
      </c>
      <c r="S2188" s="2">
        <v>8207.01</v>
      </c>
      <c r="T2188" s="2">
        <v>8207.01</v>
      </c>
      <c r="U2188" s="2">
        <v>1363.98</v>
      </c>
      <c r="V2188" s="2">
        <v>1363.98</v>
      </c>
      <c r="W2188" s="2">
        <v>0</v>
      </c>
    </row>
    <row r="2189" spans="1:23" outlineLevel="2" x14ac:dyDescent="0.2">
      <c r="A2189" t="s">
        <v>836</v>
      </c>
      <c r="B2189" t="s">
        <v>39</v>
      </c>
      <c r="C2189" t="s">
        <v>58</v>
      </c>
      <c r="D2189" t="s">
        <v>139</v>
      </c>
      <c r="E2189" t="s">
        <v>140</v>
      </c>
      <c r="F2189" t="s">
        <v>837</v>
      </c>
      <c r="G2189" t="s">
        <v>838</v>
      </c>
      <c r="H2189" t="s">
        <v>852</v>
      </c>
      <c r="I2189" t="s">
        <v>853</v>
      </c>
      <c r="J2189" t="s">
        <v>841</v>
      </c>
      <c r="K2189" t="s">
        <v>848</v>
      </c>
      <c r="L2189" t="s">
        <v>849</v>
      </c>
      <c r="M2189" t="s">
        <v>15</v>
      </c>
      <c r="N2189" s="2">
        <v>17472.18</v>
      </c>
      <c r="O2189" s="2">
        <v>0</v>
      </c>
      <c r="P2189" s="2">
        <v>0</v>
      </c>
      <c r="Q2189" s="2">
        <v>17472.18</v>
      </c>
      <c r="R2189" s="2">
        <v>1832</v>
      </c>
      <c r="S2189" s="2">
        <v>15640.18</v>
      </c>
      <c r="T2189" s="2">
        <v>15640.18</v>
      </c>
      <c r="U2189" s="2">
        <v>1832</v>
      </c>
      <c r="V2189" s="2">
        <v>1832</v>
      </c>
      <c r="W2189" s="2">
        <v>0</v>
      </c>
    </row>
    <row r="2190" spans="1:23" outlineLevel="2" x14ac:dyDescent="0.2">
      <c r="A2190" t="s">
        <v>836</v>
      </c>
      <c r="B2190" t="s">
        <v>39</v>
      </c>
      <c r="C2190" t="s">
        <v>58</v>
      </c>
      <c r="D2190" t="s">
        <v>135</v>
      </c>
      <c r="E2190" t="s">
        <v>136</v>
      </c>
      <c r="F2190" t="s">
        <v>837</v>
      </c>
      <c r="G2190" t="s">
        <v>838</v>
      </c>
      <c r="H2190" t="s">
        <v>852</v>
      </c>
      <c r="I2190" t="s">
        <v>853</v>
      </c>
      <c r="J2190" t="s">
        <v>841</v>
      </c>
      <c r="K2190" t="s">
        <v>848</v>
      </c>
      <c r="L2190" t="s">
        <v>849</v>
      </c>
      <c r="M2190" t="s">
        <v>15</v>
      </c>
      <c r="N2190" s="2">
        <v>17472.18</v>
      </c>
      <c r="O2190" s="2">
        <v>0</v>
      </c>
      <c r="P2190" s="2">
        <v>0</v>
      </c>
      <c r="Q2190" s="2">
        <v>17472.18</v>
      </c>
      <c r="R2190" s="2">
        <v>2806.88</v>
      </c>
      <c r="S2190" s="2">
        <v>14665.3</v>
      </c>
      <c r="T2190" s="2">
        <v>14665.3</v>
      </c>
      <c r="U2190" s="2">
        <v>2806.88</v>
      </c>
      <c r="V2190" s="2">
        <v>2806.88</v>
      </c>
      <c r="W2190" s="2">
        <v>0</v>
      </c>
    </row>
    <row r="2191" spans="1:23" outlineLevel="2" x14ac:dyDescent="0.2">
      <c r="A2191" t="s">
        <v>836</v>
      </c>
      <c r="B2191" t="s">
        <v>39</v>
      </c>
      <c r="C2191" t="s">
        <v>58</v>
      </c>
      <c r="D2191" t="s">
        <v>147</v>
      </c>
      <c r="E2191" t="s">
        <v>148</v>
      </c>
      <c r="F2191" t="s">
        <v>837</v>
      </c>
      <c r="G2191" t="s">
        <v>838</v>
      </c>
      <c r="H2191" t="s">
        <v>852</v>
      </c>
      <c r="I2191" t="s">
        <v>853</v>
      </c>
      <c r="J2191" t="s">
        <v>841</v>
      </c>
      <c r="K2191" t="s">
        <v>850</v>
      </c>
      <c r="L2191" t="s">
        <v>851</v>
      </c>
      <c r="M2191" t="s">
        <v>15</v>
      </c>
      <c r="N2191" s="2">
        <v>13245</v>
      </c>
      <c r="O2191" s="2">
        <v>0</v>
      </c>
      <c r="P2191" s="2">
        <v>0</v>
      </c>
      <c r="Q2191" s="2">
        <v>13245</v>
      </c>
      <c r="R2191" s="2">
        <v>5029.04</v>
      </c>
      <c r="S2191" s="2">
        <v>8215.9599999999991</v>
      </c>
      <c r="T2191" s="2">
        <v>8215.9599999999991</v>
      </c>
      <c r="U2191" s="2">
        <v>5029.04</v>
      </c>
      <c r="V2191" s="2">
        <v>5029.04</v>
      </c>
      <c r="W2191" s="2">
        <v>0</v>
      </c>
    </row>
    <row r="2192" spans="1:23" outlineLevel="2" x14ac:dyDescent="0.2">
      <c r="A2192" t="s">
        <v>836</v>
      </c>
      <c r="B2192" t="s">
        <v>39</v>
      </c>
      <c r="C2192" t="s">
        <v>58</v>
      </c>
      <c r="D2192" t="s">
        <v>145</v>
      </c>
      <c r="E2192" t="s">
        <v>146</v>
      </c>
      <c r="F2192" t="s">
        <v>837</v>
      </c>
      <c r="G2192" t="s">
        <v>838</v>
      </c>
      <c r="H2192" t="s">
        <v>852</v>
      </c>
      <c r="I2192" t="s">
        <v>853</v>
      </c>
      <c r="J2192" t="s">
        <v>841</v>
      </c>
      <c r="K2192" t="s">
        <v>850</v>
      </c>
      <c r="L2192" t="s">
        <v>851</v>
      </c>
      <c r="M2192" t="s">
        <v>15</v>
      </c>
      <c r="N2192" s="2">
        <v>8040</v>
      </c>
      <c r="O2192" s="2">
        <v>0</v>
      </c>
      <c r="P2192" s="2">
        <v>0</v>
      </c>
      <c r="Q2192" s="2">
        <v>8040</v>
      </c>
      <c r="R2192" s="2">
        <v>2903.28</v>
      </c>
      <c r="S2192" s="2">
        <v>5136.72</v>
      </c>
      <c r="T2192" s="2">
        <v>5136.72</v>
      </c>
      <c r="U2192" s="2">
        <v>2903.28</v>
      </c>
      <c r="V2192" s="2">
        <v>2903.28</v>
      </c>
      <c r="W2192" s="2">
        <v>0</v>
      </c>
    </row>
    <row r="2193" spans="1:23" outlineLevel="2" x14ac:dyDescent="0.2">
      <c r="A2193" t="s">
        <v>836</v>
      </c>
      <c r="B2193" t="s">
        <v>39</v>
      </c>
      <c r="C2193" t="s">
        <v>58</v>
      </c>
      <c r="D2193" t="s">
        <v>105</v>
      </c>
      <c r="E2193" t="s">
        <v>106</v>
      </c>
      <c r="F2193" t="s">
        <v>837</v>
      </c>
      <c r="G2193" t="s">
        <v>838</v>
      </c>
      <c r="H2193" t="s">
        <v>852</v>
      </c>
      <c r="I2193" t="s">
        <v>853</v>
      </c>
      <c r="J2193" t="s">
        <v>841</v>
      </c>
      <c r="K2193" t="s">
        <v>850</v>
      </c>
      <c r="L2193" t="s">
        <v>851</v>
      </c>
      <c r="M2193" t="s">
        <v>15</v>
      </c>
      <c r="N2193" s="2">
        <v>2353</v>
      </c>
      <c r="O2193" s="2">
        <v>0</v>
      </c>
      <c r="P2193" s="2">
        <v>0</v>
      </c>
      <c r="Q2193" s="2">
        <v>2353</v>
      </c>
      <c r="R2193" s="2">
        <v>452.3</v>
      </c>
      <c r="S2193" s="2">
        <v>1900.7</v>
      </c>
      <c r="T2193" s="2">
        <v>1900.7</v>
      </c>
      <c r="U2193" s="2">
        <v>452.3</v>
      </c>
      <c r="V2193" s="2">
        <v>452.3</v>
      </c>
      <c r="W2193" s="2">
        <v>0</v>
      </c>
    </row>
    <row r="2194" spans="1:23" outlineLevel="2" x14ac:dyDescent="0.2">
      <c r="A2194" t="s">
        <v>836</v>
      </c>
      <c r="B2194" t="s">
        <v>39</v>
      </c>
      <c r="C2194" t="s">
        <v>58</v>
      </c>
      <c r="D2194" t="s">
        <v>137</v>
      </c>
      <c r="E2194" t="s">
        <v>138</v>
      </c>
      <c r="F2194" t="s">
        <v>837</v>
      </c>
      <c r="G2194" t="s">
        <v>838</v>
      </c>
      <c r="H2194" t="s">
        <v>852</v>
      </c>
      <c r="I2194" t="s">
        <v>853</v>
      </c>
      <c r="J2194" t="s">
        <v>841</v>
      </c>
      <c r="K2194" t="s">
        <v>850</v>
      </c>
      <c r="L2194" t="s">
        <v>851</v>
      </c>
      <c r="M2194" t="s">
        <v>15</v>
      </c>
      <c r="N2194" s="2">
        <v>6305</v>
      </c>
      <c r="O2194" s="2">
        <v>0</v>
      </c>
      <c r="P2194" s="2">
        <v>0</v>
      </c>
      <c r="Q2194" s="2">
        <v>6305</v>
      </c>
      <c r="R2194" s="2">
        <v>3166.85</v>
      </c>
      <c r="S2194" s="2">
        <v>3138.15</v>
      </c>
      <c r="T2194" s="2">
        <v>3138.15</v>
      </c>
      <c r="U2194" s="2">
        <v>3166.85</v>
      </c>
      <c r="V2194" s="2">
        <v>3166.85</v>
      </c>
      <c r="W2194" s="2">
        <v>0</v>
      </c>
    </row>
    <row r="2195" spans="1:23" outlineLevel="2" x14ac:dyDescent="0.2">
      <c r="A2195" t="s">
        <v>836</v>
      </c>
      <c r="B2195" t="s">
        <v>39</v>
      </c>
      <c r="C2195" t="s">
        <v>58</v>
      </c>
      <c r="D2195" t="s">
        <v>135</v>
      </c>
      <c r="E2195" t="s">
        <v>136</v>
      </c>
      <c r="F2195" t="s">
        <v>837</v>
      </c>
      <c r="G2195" t="s">
        <v>838</v>
      </c>
      <c r="H2195" t="s">
        <v>852</v>
      </c>
      <c r="I2195" t="s">
        <v>853</v>
      </c>
      <c r="J2195" t="s">
        <v>841</v>
      </c>
      <c r="K2195" t="s">
        <v>850</v>
      </c>
      <c r="L2195" t="s">
        <v>851</v>
      </c>
      <c r="M2195" t="s">
        <v>15</v>
      </c>
      <c r="N2195" s="2">
        <v>11510</v>
      </c>
      <c r="O2195" s="2">
        <v>0</v>
      </c>
      <c r="P2195" s="2">
        <v>0</v>
      </c>
      <c r="Q2195" s="2">
        <v>11510</v>
      </c>
      <c r="R2195" s="2">
        <v>4367.7700000000004</v>
      </c>
      <c r="S2195" s="2">
        <v>7142.23</v>
      </c>
      <c r="T2195" s="2">
        <v>7142.23</v>
      </c>
      <c r="U2195" s="2">
        <v>4367.7700000000004</v>
      </c>
      <c r="V2195" s="2">
        <v>4367.7700000000004</v>
      </c>
      <c r="W2195" s="2">
        <v>0</v>
      </c>
    </row>
    <row r="2196" spans="1:23" outlineLevel="2" x14ac:dyDescent="0.2">
      <c r="A2196" t="s">
        <v>836</v>
      </c>
      <c r="B2196" t="s">
        <v>39</v>
      </c>
      <c r="C2196" t="s">
        <v>58</v>
      </c>
      <c r="D2196" t="s">
        <v>139</v>
      </c>
      <c r="E2196" t="s">
        <v>140</v>
      </c>
      <c r="F2196" t="s">
        <v>837</v>
      </c>
      <c r="G2196" t="s">
        <v>838</v>
      </c>
      <c r="H2196" t="s">
        <v>852</v>
      </c>
      <c r="I2196" t="s">
        <v>853</v>
      </c>
      <c r="J2196" t="s">
        <v>841</v>
      </c>
      <c r="K2196" t="s">
        <v>850</v>
      </c>
      <c r="L2196" t="s">
        <v>851</v>
      </c>
      <c r="M2196" t="s">
        <v>15</v>
      </c>
      <c r="N2196" s="2">
        <v>11510</v>
      </c>
      <c r="O2196" s="2">
        <v>0</v>
      </c>
      <c r="P2196" s="2">
        <v>0</v>
      </c>
      <c r="Q2196" s="2">
        <v>11510</v>
      </c>
      <c r="R2196" s="2">
        <v>5669.71</v>
      </c>
      <c r="S2196" s="2">
        <v>5840.29</v>
      </c>
      <c r="T2196" s="2">
        <v>5840.29</v>
      </c>
      <c r="U2196" s="2">
        <v>5669.71</v>
      </c>
      <c r="V2196" s="2">
        <v>5669.71</v>
      </c>
      <c r="W2196" s="2">
        <v>0</v>
      </c>
    </row>
    <row r="2197" spans="1:23" outlineLevel="2" x14ac:dyDescent="0.2">
      <c r="A2197" t="s">
        <v>836</v>
      </c>
      <c r="B2197" t="s">
        <v>39</v>
      </c>
      <c r="C2197" t="s">
        <v>58</v>
      </c>
      <c r="D2197" t="s">
        <v>149</v>
      </c>
      <c r="E2197" t="s">
        <v>150</v>
      </c>
      <c r="F2197" t="s">
        <v>837</v>
      </c>
      <c r="G2197" t="s">
        <v>838</v>
      </c>
      <c r="H2197" t="s">
        <v>852</v>
      </c>
      <c r="I2197" t="s">
        <v>853</v>
      </c>
      <c r="J2197" t="s">
        <v>841</v>
      </c>
      <c r="K2197" t="s">
        <v>850</v>
      </c>
      <c r="L2197" t="s">
        <v>851</v>
      </c>
      <c r="M2197" t="s">
        <v>15</v>
      </c>
      <c r="N2197" s="2">
        <v>10693</v>
      </c>
      <c r="O2197" s="2">
        <v>0</v>
      </c>
      <c r="P2197" s="2">
        <v>0</v>
      </c>
      <c r="Q2197" s="2">
        <v>10693</v>
      </c>
      <c r="R2197" s="2">
        <v>5447.39</v>
      </c>
      <c r="S2197" s="2">
        <v>5245.61</v>
      </c>
      <c r="T2197" s="2">
        <v>5245.61</v>
      </c>
      <c r="U2197" s="2">
        <v>5447.39</v>
      </c>
      <c r="V2197" s="2">
        <v>5447.39</v>
      </c>
      <c r="W2197" s="2">
        <v>0</v>
      </c>
    </row>
    <row r="2198" spans="1:23" outlineLevel="2" x14ac:dyDescent="0.2">
      <c r="A2198" t="s">
        <v>836</v>
      </c>
      <c r="B2198" t="s">
        <v>39</v>
      </c>
      <c r="C2198" t="s">
        <v>58</v>
      </c>
      <c r="D2198" t="s">
        <v>129</v>
      </c>
      <c r="E2198" t="s">
        <v>130</v>
      </c>
      <c r="F2198" t="s">
        <v>837</v>
      </c>
      <c r="G2198" t="s">
        <v>838</v>
      </c>
      <c r="H2198" t="s">
        <v>852</v>
      </c>
      <c r="I2198" t="s">
        <v>853</v>
      </c>
      <c r="J2198" t="s">
        <v>841</v>
      </c>
      <c r="K2198" t="s">
        <v>850</v>
      </c>
      <c r="L2198" t="s">
        <v>851</v>
      </c>
      <c r="M2198" t="s">
        <v>15</v>
      </c>
      <c r="N2198" s="2">
        <v>817</v>
      </c>
      <c r="O2198" s="2">
        <v>0</v>
      </c>
      <c r="P2198" s="2">
        <v>0</v>
      </c>
      <c r="Q2198" s="2">
        <v>817</v>
      </c>
      <c r="R2198" s="2">
        <v>68.34</v>
      </c>
      <c r="S2198" s="2">
        <v>748.66</v>
      </c>
      <c r="T2198" s="2">
        <v>748.66</v>
      </c>
      <c r="U2198" s="2">
        <v>68.34</v>
      </c>
      <c r="V2198" s="2">
        <v>68.34</v>
      </c>
      <c r="W2198" s="2">
        <v>0</v>
      </c>
    </row>
    <row r="2199" spans="1:23" outlineLevel="2" x14ac:dyDescent="0.2">
      <c r="A2199" t="s">
        <v>836</v>
      </c>
      <c r="B2199" t="s">
        <v>39</v>
      </c>
      <c r="C2199" t="s">
        <v>58</v>
      </c>
      <c r="D2199" t="s">
        <v>143</v>
      </c>
      <c r="E2199" t="s">
        <v>144</v>
      </c>
      <c r="F2199" t="s">
        <v>837</v>
      </c>
      <c r="G2199" t="s">
        <v>838</v>
      </c>
      <c r="H2199" t="s">
        <v>852</v>
      </c>
      <c r="I2199" t="s">
        <v>853</v>
      </c>
      <c r="J2199" t="s">
        <v>841</v>
      </c>
      <c r="K2199" t="s">
        <v>850</v>
      </c>
      <c r="L2199" t="s">
        <v>851</v>
      </c>
      <c r="M2199" t="s">
        <v>15</v>
      </c>
      <c r="N2199" s="2">
        <v>13144</v>
      </c>
      <c r="O2199" s="2">
        <v>0</v>
      </c>
      <c r="P2199" s="2">
        <v>0</v>
      </c>
      <c r="Q2199" s="2">
        <v>13144</v>
      </c>
      <c r="R2199" s="2">
        <v>3853.2</v>
      </c>
      <c r="S2199" s="2">
        <v>9290.7999999999993</v>
      </c>
      <c r="T2199" s="2">
        <v>9290.7999999999993</v>
      </c>
      <c r="U2199" s="2">
        <v>3853.2</v>
      </c>
      <c r="V2199" s="2">
        <v>3853.2</v>
      </c>
      <c r="W2199" s="2">
        <v>0</v>
      </c>
    </row>
    <row r="2200" spans="1:23" outlineLevel="2" x14ac:dyDescent="0.2">
      <c r="A2200" t="s">
        <v>836</v>
      </c>
      <c r="B2200" t="s">
        <v>39</v>
      </c>
      <c r="C2200" t="s">
        <v>58</v>
      </c>
      <c r="D2200" t="s">
        <v>59</v>
      </c>
      <c r="E2200" t="s">
        <v>60</v>
      </c>
      <c r="F2200" t="s">
        <v>837</v>
      </c>
      <c r="G2200" t="s">
        <v>838</v>
      </c>
      <c r="H2200" t="s">
        <v>852</v>
      </c>
      <c r="I2200" t="s">
        <v>853</v>
      </c>
      <c r="J2200" t="s">
        <v>841</v>
      </c>
      <c r="K2200" t="s">
        <v>850</v>
      </c>
      <c r="L2200" t="s">
        <v>851</v>
      </c>
      <c r="M2200" t="s">
        <v>15</v>
      </c>
      <c r="N2200" s="2">
        <v>4570</v>
      </c>
      <c r="O2200" s="2">
        <v>0</v>
      </c>
      <c r="P2200" s="2">
        <v>0</v>
      </c>
      <c r="Q2200" s="2">
        <v>4570</v>
      </c>
      <c r="R2200" s="2">
        <v>2468.5500000000002</v>
      </c>
      <c r="S2200" s="2">
        <v>2101.4499999999998</v>
      </c>
      <c r="T2200" s="2">
        <v>2101.4499999999998</v>
      </c>
      <c r="U2200" s="2">
        <v>2468.5500000000002</v>
      </c>
      <c r="V2200" s="2">
        <v>2468.5500000000002</v>
      </c>
      <c r="W2200" s="2">
        <v>0</v>
      </c>
    </row>
    <row r="2201" spans="1:23" outlineLevel="2" x14ac:dyDescent="0.2">
      <c r="A2201" t="s">
        <v>836</v>
      </c>
      <c r="B2201" t="s">
        <v>39</v>
      </c>
      <c r="C2201" t="s">
        <v>58</v>
      </c>
      <c r="D2201" t="s">
        <v>129</v>
      </c>
      <c r="E2201" t="s">
        <v>130</v>
      </c>
      <c r="F2201" t="s">
        <v>837</v>
      </c>
      <c r="G2201" t="s">
        <v>838</v>
      </c>
      <c r="H2201" t="s">
        <v>852</v>
      </c>
      <c r="I2201" t="s">
        <v>853</v>
      </c>
      <c r="J2201" t="s">
        <v>841</v>
      </c>
      <c r="K2201" t="s">
        <v>850</v>
      </c>
      <c r="L2201" t="s">
        <v>851</v>
      </c>
      <c r="M2201" t="s">
        <v>12</v>
      </c>
      <c r="N2201" s="2">
        <v>0</v>
      </c>
      <c r="O2201" s="2">
        <v>0</v>
      </c>
      <c r="P2201" s="2">
        <v>6.53</v>
      </c>
      <c r="Q2201" s="2">
        <v>6.53</v>
      </c>
      <c r="R2201" s="2">
        <v>0</v>
      </c>
      <c r="S2201" s="2">
        <v>0</v>
      </c>
      <c r="T2201" s="2">
        <v>0</v>
      </c>
      <c r="U2201" s="2">
        <v>6.53</v>
      </c>
      <c r="V2201" s="2">
        <v>6.53</v>
      </c>
      <c r="W2201" s="2">
        <v>6.53</v>
      </c>
    </row>
    <row r="2202" spans="1:23" outlineLevel="2" x14ac:dyDescent="0.2">
      <c r="A2202" t="s">
        <v>836</v>
      </c>
      <c r="B2202" t="s">
        <v>31</v>
      </c>
      <c r="C2202" t="s">
        <v>107</v>
      </c>
      <c r="D2202" t="s">
        <v>108</v>
      </c>
      <c r="E2202" t="s">
        <v>109</v>
      </c>
      <c r="F2202" t="s">
        <v>856</v>
      </c>
      <c r="G2202" t="s">
        <v>857</v>
      </c>
      <c r="H2202" t="s">
        <v>858</v>
      </c>
      <c r="I2202" t="s">
        <v>859</v>
      </c>
      <c r="J2202" t="s">
        <v>841</v>
      </c>
      <c r="K2202" t="s">
        <v>842</v>
      </c>
      <c r="L2202" t="s">
        <v>860</v>
      </c>
      <c r="M2202" t="s">
        <v>15</v>
      </c>
      <c r="N2202" s="2">
        <v>17702</v>
      </c>
      <c r="O2202" s="2">
        <v>0</v>
      </c>
      <c r="P2202" s="2">
        <v>0</v>
      </c>
      <c r="Q2202" s="2">
        <v>17702</v>
      </c>
      <c r="R2202" s="2">
        <v>13345.98</v>
      </c>
      <c r="S2202" s="2">
        <v>4356.0200000000004</v>
      </c>
      <c r="T2202" s="2">
        <v>4356.0200000000004</v>
      </c>
      <c r="U2202" s="2">
        <v>13345.98</v>
      </c>
      <c r="V2202" s="2">
        <v>13345.98</v>
      </c>
      <c r="W2202" s="2">
        <v>0</v>
      </c>
    </row>
    <row r="2203" spans="1:23" outlineLevel="2" x14ac:dyDescent="0.2">
      <c r="A2203" t="s">
        <v>836</v>
      </c>
      <c r="B2203" t="s">
        <v>31</v>
      </c>
      <c r="C2203" t="s">
        <v>107</v>
      </c>
      <c r="D2203" t="s">
        <v>108</v>
      </c>
      <c r="E2203" t="s">
        <v>109</v>
      </c>
      <c r="F2203" t="s">
        <v>856</v>
      </c>
      <c r="G2203" t="s">
        <v>857</v>
      </c>
      <c r="H2203" t="s">
        <v>858</v>
      </c>
      <c r="I2203" t="s">
        <v>859</v>
      </c>
      <c r="J2203" t="s">
        <v>841</v>
      </c>
      <c r="K2203" t="s">
        <v>844</v>
      </c>
      <c r="L2203" t="s">
        <v>861</v>
      </c>
      <c r="M2203" t="s">
        <v>12</v>
      </c>
      <c r="N2203" s="2">
        <v>0</v>
      </c>
      <c r="O2203" s="2">
        <v>120</v>
      </c>
      <c r="P2203" s="2">
        <v>98.94</v>
      </c>
      <c r="Q2203" s="2">
        <v>218.94</v>
      </c>
      <c r="R2203" s="2">
        <v>120</v>
      </c>
      <c r="S2203" s="2">
        <v>0</v>
      </c>
      <c r="T2203" s="2">
        <v>0</v>
      </c>
      <c r="U2203" s="2">
        <v>218.94</v>
      </c>
      <c r="V2203" s="2">
        <v>218.94</v>
      </c>
      <c r="W2203" s="2">
        <v>98.94</v>
      </c>
    </row>
    <row r="2204" spans="1:23" outlineLevel="2" x14ac:dyDescent="0.2">
      <c r="A2204" t="s">
        <v>836</v>
      </c>
      <c r="B2204" t="s">
        <v>31</v>
      </c>
      <c r="C2204" t="s">
        <v>107</v>
      </c>
      <c r="D2204" t="s">
        <v>108</v>
      </c>
      <c r="E2204" t="s">
        <v>109</v>
      </c>
      <c r="F2204" t="s">
        <v>856</v>
      </c>
      <c r="G2204" t="s">
        <v>857</v>
      </c>
      <c r="H2204" t="s">
        <v>858</v>
      </c>
      <c r="I2204" t="s">
        <v>859</v>
      </c>
      <c r="J2204" t="s">
        <v>841</v>
      </c>
      <c r="K2204" t="s">
        <v>844</v>
      </c>
      <c r="L2204" t="s">
        <v>861</v>
      </c>
      <c r="M2204" t="s">
        <v>15</v>
      </c>
      <c r="N2204" s="2">
        <v>6898.94</v>
      </c>
      <c r="O2204" s="2">
        <v>0</v>
      </c>
      <c r="P2204" s="2">
        <v>-98.94</v>
      </c>
      <c r="Q2204" s="2">
        <v>6800</v>
      </c>
      <c r="R2204" s="2">
        <v>13.42</v>
      </c>
      <c r="S2204" s="2">
        <v>6786.58</v>
      </c>
      <c r="T2204" s="2">
        <v>6786.58</v>
      </c>
      <c r="U2204" s="2">
        <v>13.42</v>
      </c>
      <c r="V2204" s="2">
        <v>13.42</v>
      </c>
      <c r="W2204" s="2">
        <v>0</v>
      </c>
    </row>
    <row r="2205" spans="1:23" outlineLevel="2" x14ac:dyDescent="0.2">
      <c r="A2205" t="s">
        <v>836</v>
      </c>
      <c r="B2205" t="s">
        <v>31</v>
      </c>
      <c r="C2205" t="s">
        <v>107</v>
      </c>
      <c r="D2205" t="s">
        <v>108</v>
      </c>
      <c r="E2205" t="s">
        <v>109</v>
      </c>
      <c r="F2205" t="s">
        <v>856</v>
      </c>
      <c r="G2205" t="s">
        <v>857</v>
      </c>
      <c r="H2205" t="s">
        <v>858</v>
      </c>
      <c r="I2205" t="s">
        <v>859</v>
      </c>
      <c r="J2205" t="s">
        <v>841</v>
      </c>
      <c r="K2205" t="s">
        <v>854</v>
      </c>
      <c r="L2205" t="s">
        <v>862</v>
      </c>
      <c r="M2205" t="s">
        <v>15</v>
      </c>
      <c r="N2205" s="2">
        <v>0</v>
      </c>
      <c r="O2205" s="2">
        <v>986</v>
      </c>
      <c r="P2205" s="2">
        <v>0</v>
      </c>
      <c r="Q2205" s="2">
        <v>986</v>
      </c>
      <c r="R2205" s="2">
        <v>0</v>
      </c>
      <c r="S2205" s="2">
        <v>986</v>
      </c>
      <c r="T2205" s="2">
        <v>986</v>
      </c>
      <c r="U2205" s="2">
        <v>0</v>
      </c>
      <c r="V2205" s="2">
        <v>0</v>
      </c>
      <c r="W2205" s="2">
        <v>0</v>
      </c>
    </row>
    <row r="2206" spans="1:23" outlineLevel="2" x14ac:dyDescent="0.2">
      <c r="A2206" t="s">
        <v>836</v>
      </c>
      <c r="B2206" t="s">
        <v>31</v>
      </c>
      <c r="C2206" t="s">
        <v>107</v>
      </c>
      <c r="D2206" t="s">
        <v>108</v>
      </c>
      <c r="E2206" t="s">
        <v>109</v>
      </c>
      <c r="F2206" t="s">
        <v>856</v>
      </c>
      <c r="G2206" t="s">
        <v>857</v>
      </c>
      <c r="H2206" t="s">
        <v>858</v>
      </c>
      <c r="I2206" t="s">
        <v>859</v>
      </c>
      <c r="J2206" t="s">
        <v>841</v>
      </c>
      <c r="K2206" t="s">
        <v>863</v>
      </c>
      <c r="L2206" t="s">
        <v>864</v>
      </c>
      <c r="M2206" t="s">
        <v>12</v>
      </c>
      <c r="N2206" s="2">
        <v>0</v>
      </c>
      <c r="O2206" s="2">
        <v>0</v>
      </c>
      <c r="P2206" s="2">
        <v>173.21</v>
      </c>
      <c r="Q2206" s="2">
        <v>173.21</v>
      </c>
      <c r="R2206" s="2">
        <v>0</v>
      </c>
      <c r="S2206" s="2">
        <v>0</v>
      </c>
      <c r="T2206" s="2">
        <v>0</v>
      </c>
      <c r="U2206" s="2">
        <v>173.21</v>
      </c>
      <c r="V2206" s="2">
        <v>173.21</v>
      </c>
      <c r="W2206" s="2">
        <v>173.21</v>
      </c>
    </row>
    <row r="2207" spans="1:23" outlineLevel="2" x14ac:dyDescent="0.2">
      <c r="A2207" t="s">
        <v>836</v>
      </c>
      <c r="B2207" t="s">
        <v>31</v>
      </c>
      <c r="C2207" t="s">
        <v>107</v>
      </c>
      <c r="D2207" t="s">
        <v>108</v>
      </c>
      <c r="E2207" t="s">
        <v>109</v>
      </c>
      <c r="F2207" t="s">
        <v>856</v>
      </c>
      <c r="G2207" t="s">
        <v>857</v>
      </c>
      <c r="H2207" t="s">
        <v>858</v>
      </c>
      <c r="I2207" t="s">
        <v>859</v>
      </c>
      <c r="J2207" t="s">
        <v>841</v>
      </c>
      <c r="K2207" t="s">
        <v>863</v>
      </c>
      <c r="L2207" t="s">
        <v>864</v>
      </c>
      <c r="M2207" t="s">
        <v>15</v>
      </c>
      <c r="N2207" s="2">
        <v>0</v>
      </c>
      <c r="O2207" s="2">
        <v>2550</v>
      </c>
      <c r="P2207" s="2">
        <v>-2247.16</v>
      </c>
      <c r="Q2207" s="2">
        <v>302.83999999999997</v>
      </c>
      <c r="R2207" s="2">
        <v>0</v>
      </c>
      <c r="S2207" s="2">
        <v>302.83999999999997</v>
      </c>
      <c r="T2207" s="2">
        <v>302.83999999999997</v>
      </c>
      <c r="U2207" s="2">
        <v>0</v>
      </c>
      <c r="V2207" s="2">
        <v>0</v>
      </c>
      <c r="W2207" s="2">
        <v>0</v>
      </c>
    </row>
    <row r="2208" spans="1:23" outlineLevel="2" x14ac:dyDescent="0.2">
      <c r="A2208" t="s">
        <v>836</v>
      </c>
      <c r="B2208" t="s">
        <v>31</v>
      </c>
      <c r="C2208" t="s">
        <v>107</v>
      </c>
      <c r="D2208" t="s">
        <v>108</v>
      </c>
      <c r="E2208" t="s">
        <v>109</v>
      </c>
      <c r="F2208" t="s">
        <v>856</v>
      </c>
      <c r="G2208" t="s">
        <v>857</v>
      </c>
      <c r="H2208" t="s">
        <v>858</v>
      </c>
      <c r="I2208" t="s">
        <v>859</v>
      </c>
      <c r="J2208" t="s">
        <v>841</v>
      </c>
      <c r="K2208" t="s">
        <v>846</v>
      </c>
      <c r="L2208" t="s">
        <v>865</v>
      </c>
      <c r="M2208" t="s">
        <v>15</v>
      </c>
      <c r="N2208" s="2">
        <v>212424</v>
      </c>
      <c r="O2208" s="2">
        <v>0</v>
      </c>
      <c r="P2208" s="2">
        <v>0</v>
      </c>
      <c r="Q2208" s="2">
        <v>212424</v>
      </c>
      <c r="R2208" s="2">
        <v>7737.96</v>
      </c>
      <c r="S2208" s="2">
        <v>204686.04</v>
      </c>
      <c r="T2208" s="2">
        <v>204686.04</v>
      </c>
      <c r="U2208" s="2">
        <v>7737.96</v>
      </c>
      <c r="V2208" s="2">
        <v>7737.96</v>
      </c>
      <c r="W2208" s="2">
        <v>0</v>
      </c>
    </row>
    <row r="2209" spans="1:23" outlineLevel="2" x14ac:dyDescent="0.2">
      <c r="A2209" t="s">
        <v>836</v>
      </c>
      <c r="B2209" t="s">
        <v>31</v>
      </c>
      <c r="C2209" t="s">
        <v>107</v>
      </c>
      <c r="D2209" t="s">
        <v>108</v>
      </c>
      <c r="E2209" t="s">
        <v>109</v>
      </c>
      <c r="F2209" t="s">
        <v>856</v>
      </c>
      <c r="G2209" t="s">
        <v>857</v>
      </c>
      <c r="H2209" t="s">
        <v>858</v>
      </c>
      <c r="I2209" t="s">
        <v>859</v>
      </c>
      <c r="J2209" t="s">
        <v>841</v>
      </c>
      <c r="K2209" t="s">
        <v>846</v>
      </c>
      <c r="L2209" t="s">
        <v>865</v>
      </c>
      <c r="M2209" t="s">
        <v>12</v>
      </c>
      <c r="N2209" s="2">
        <v>0</v>
      </c>
      <c r="O2209" s="2">
        <v>11220</v>
      </c>
      <c r="P2209" s="2">
        <v>10770.94</v>
      </c>
      <c r="Q2209" s="2">
        <v>21990.94</v>
      </c>
      <c r="R2209" s="2">
        <v>11220</v>
      </c>
      <c r="S2209" s="2">
        <v>0</v>
      </c>
      <c r="T2209" s="2">
        <v>0</v>
      </c>
      <c r="U2209" s="2">
        <v>21990.94</v>
      </c>
      <c r="V2209" s="2">
        <v>21990.94</v>
      </c>
      <c r="W2209" s="2">
        <v>10770.94</v>
      </c>
    </row>
    <row r="2210" spans="1:23" outlineLevel="2" x14ac:dyDescent="0.2">
      <c r="A2210" t="s">
        <v>836</v>
      </c>
      <c r="B2210" t="s">
        <v>31</v>
      </c>
      <c r="C2210" t="s">
        <v>107</v>
      </c>
      <c r="D2210" t="s">
        <v>108</v>
      </c>
      <c r="E2210" t="s">
        <v>109</v>
      </c>
      <c r="F2210" t="s">
        <v>856</v>
      </c>
      <c r="G2210" t="s">
        <v>857</v>
      </c>
      <c r="H2210" t="s">
        <v>858</v>
      </c>
      <c r="I2210" t="s">
        <v>859</v>
      </c>
      <c r="J2210" t="s">
        <v>841</v>
      </c>
      <c r="K2210" t="s">
        <v>866</v>
      </c>
      <c r="L2210" t="s">
        <v>867</v>
      </c>
      <c r="M2210" t="s">
        <v>12</v>
      </c>
      <c r="N2210" s="2">
        <v>0</v>
      </c>
      <c r="O2210" s="2">
        <v>0</v>
      </c>
      <c r="P2210" s="2">
        <v>429</v>
      </c>
      <c r="Q2210" s="2">
        <v>429</v>
      </c>
      <c r="R2210" s="2">
        <v>0</v>
      </c>
      <c r="S2210" s="2">
        <v>0</v>
      </c>
      <c r="T2210" s="2">
        <v>0</v>
      </c>
      <c r="U2210" s="2">
        <v>429</v>
      </c>
      <c r="V2210" s="2">
        <v>429</v>
      </c>
      <c r="W2210" s="2">
        <v>429</v>
      </c>
    </row>
    <row r="2211" spans="1:23" outlineLevel="2" x14ac:dyDescent="0.2">
      <c r="A2211" t="s">
        <v>836</v>
      </c>
      <c r="B2211" t="s">
        <v>31</v>
      </c>
      <c r="C2211" t="s">
        <v>107</v>
      </c>
      <c r="D2211" t="s">
        <v>108</v>
      </c>
      <c r="E2211" t="s">
        <v>109</v>
      </c>
      <c r="F2211" t="s">
        <v>856</v>
      </c>
      <c r="G2211" t="s">
        <v>857</v>
      </c>
      <c r="H2211" t="s">
        <v>858</v>
      </c>
      <c r="I2211" t="s">
        <v>859</v>
      </c>
      <c r="J2211" t="s">
        <v>841</v>
      </c>
      <c r="K2211" t="s">
        <v>866</v>
      </c>
      <c r="L2211" t="s">
        <v>867</v>
      </c>
      <c r="M2211" t="s">
        <v>15</v>
      </c>
      <c r="N2211" s="2">
        <v>0</v>
      </c>
      <c r="O2211" s="2">
        <v>550</v>
      </c>
      <c r="P2211" s="2">
        <v>-4</v>
      </c>
      <c r="Q2211" s="2">
        <v>546</v>
      </c>
      <c r="R2211" s="2">
        <v>0</v>
      </c>
      <c r="S2211" s="2">
        <v>546</v>
      </c>
      <c r="T2211" s="2">
        <v>546</v>
      </c>
      <c r="U2211" s="2">
        <v>0</v>
      </c>
      <c r="V2211" s="2">
        <v>0</v>
      </c>
      <c r="W2211" s="2">
        <v>0</v>
      </c>
    </row>
    <row r="2212" spans="1:23" outlineLevel="2" x14ac:dyDescent="0.2">
      <c r="A2212" t="s">
        <v>836</v>
      </c>
      <c r="B2212" t="s">
        <v>31</v>
      </c>
      <c r="C2212" t="s">
        <v>107</v>
      </c>
      <c r="D2212" t="s">
        <v>108</v>
      </c>
      <c r="E2212" t="s">
        <v>109</v>
      </c>
      <c r="F2212" t="s">
        <v>856</v>
      </c>
      <c r="G2212" t="s">
        <v>857</v>
      </c>
      <c r="H2212" t="s">
        <v>858</v>
      </c>
      <c r="I2212" t="s">
        <v>859</v>
      </c>
      <c r="J2212" t="s">
        <v>841</v>
      </c>
      <c r="K2212" t="s">
        <v>848</v>
      </c>
      <c r="L2212" t="s">
        <v>868</v>
      </c>
      <c r="M2212" t="s">
        <v>15</v>
      </c>
      <c r="N2212" s="2">
        <v>26871.64</v>
      </c>
      <c r="O2212" s="2">
        <v>0</v>
      </c>
      <c r="P2212" s="2">
        <v>0</v>
      </c>
      <c r="Q2212" s="2">
        <v>26871.64</v>
      </c>
      <c r="R2212" s="2">
        <v>793.15</v>
      </c>
      <c r="S2212" s="2">
        <v>26078.49</v>
      </c>
      <c r="T2212" s="2">
        <v>26078.49</v>
      </c>
      <c r="U2212" s="2">
        <v>793.15</v>
      </c>
      <c r="V2212" s="2">
        <v>793.15</v>
      </c>
      <c r="W2212" s="2">
        <v>0</v>
      </c>
    </row>
    <row r="2213" spans="1:23" outlineLevel="2" x14ac:dyDescent="0.2">
      <c r="A2213" t="s">
        <v>836</v>
      </c>
      <c r="B2213" t="s">
        <v>31</v>
      </c>
      <c r="C2213" t="s">
        <v>107</v>
      </c>
      <c r="D2213" t="s">
        <v>108</v>
      </c>
      <c r="E2213" t="s">
        <v>109</v>
      </c>
      <c r="F2213" t="s">
        <v>856</v>
      </c>
      <c r="G2213" t="s">
        <v>857</v>
      </c>
      <c r="H2213" t="s">
        <v>858</v>
      </c>
      <c r="I2213" t="s">
        <v>859</v>
      </c>
      <c r="J2213" t="s">
        <v>841</v>
      </c>
      <c r="K2213" t="s">
        <v>848</v>
      </c>
      <c r="L2213" t="s">
        <v>868</v>
      </c>
      <c r="M2213" t="s">
        <v>12</v>
      </c>
      <c r="N2213" s="2">
        <v>0</v>
      </c>
      <c r="O2213" s="2">
        <v>1650</v>
      </c>
      <c r="P2213" s="2">
        <v>1467.91</v>
      </c>
      <c r="Q2213" s="2">
        <v>3117.91</v>
      </c>
      <c r="R2213" s="2">
        <v>1650</v>
      </c>
      <c r="S2213" s="2">
        <v>0</v>
      </c>
      <c r="T2213" s="2">
        <v>0</v>
      </c>
      <c r="U2213" s="2">
        <v>3117.91</v>
      </c>
      <c r="V2213" s="2">
        <v>3117.91</v>
      </c>
      <c r="W2213" s="2">
        <v>1467.91</v>
      </c>
    </row>
    <row r="2214" spans="1:23" outlineLevel="2" x14ac:dyDescent="0.2">
      <c r="A2214" t="s">
        <v>836</v>
      </c>
      <c r="B2214" t="s">
        <v>31</v>
      </c>
      <c r="C2214" t="s">
        <v>107</v>
      </c>
      <c r="D2214" t="s">
        <v>108</v>
      </c>
      <c r="E2214" t="s">
        <v>109</v>
      </c>
      <c r="F2214" t="s">
        <v>856</v>
      </c>
      <c r="G2214" t="s">
        <v>857</v>
      </c>
      <c r="H2214" t="s">
        <v>858</v>
      </c>
      <c r="I2214" t="s">
        <v>859</v>
      </c>
      <c r="J2214" t="s">
        <v>841</v>
      </c>
      <c r="K2214" t="s">
        <v>850</v>
      </c>
      <c r="L2214" t="s">
        <v>869</v>
      </c>
      <c r="M2214" t="s">
        <v>15</v>
      </c>
      <c r="N2214" s="2">
        <v>17702</v>
      </c>
      <c r="O2214" s="2">
        <v>0</v>
      </c>
      <c r="P2214" s="2">
        <v>0</v>
      </c>
      <c r="Q2214" s="2">
        <v>17702</v>
      </c>
      <c r="R2214" s="2">
        <v>8002.58</v>
      </c>
      <c r="S2214" s="2">
        <v>9699.42</v>
      </c>
      <c r="T2214" s="2">
        <v>9699.42</v>
      </c>
      <c r="U2214" s="2">
        <v>8002.58</v>
      </c>
      <c r="V2214" s="2">
        <v>8002.58</v>
      </c>
      <c r="W2214" s="2">
        <v>0</v>
      </c>
    </row>
    <row r="2215" spans="1:23" outlineLevel="2" x14ac:dyDescent="0.2">
      <c r="A2215" t="s">
        <v>836</v>
      </c>
      <c r="B2215" t="s">
        <v>31</v>
      </c>
      <c r="C2215" t="s">
        <v>107</v>
      </c>
      <c r="D2215" t="s">
        <v>108</v>
      </c>
      <c r="E2215" t="s">
        <v>109</v>
      </c>
      <c r="F2215" t="s">
        <v>856</v>
      </c>
      <c r="G2215" t="s">
        <v>857</v>
      </c>
      <c r="H2215" t="s">
        <v>870</v>
      </c>
      <c r="I2215" t="s">
        <v>871</v>
      </c>
      <c r="J2215" t="s">
        <v>841</v>
      </c>
      <c r="K2215" t="s">
        <v>842</v>
      </c>
      <c r="L2215" t="s">
        <v>860</v>
      </c>
      <c r="M2215" t="s">
        <v>15</v>
      </c>
      <c r="N2215" s="2">
        <v>35372</v>
      </c>
      <c r="O2215" s="2">
        <v>0</v>
      </c>
      <c r="P2215" s="2">
        <v>0</v>
      </c>
      <c r="Q2215" s="2">
        <v>35372</v>
      </c>
      <c r="R2215" s="2">
        <v>32187.4</v>
      </c>
      <c r="S2215" s="2">
        <v>3184.6</v>
      </c>
      <c r="T2215" s="2">
        <v>3184.6</v>
      </c>
      <c r="U2215" s="2">
        <v>32187.4</v>
      </c>
      <c r="V2215" s="2">
        <v>32187.4</v>
      </c>
      <c r="W2215" s="2">
        <v>0</v>
      </c>
    </row>
    <row r="2216" spans="1:23" outlineLevel="2" x14ac:dyDescent="0.2">
      <c r="A2216" t="s">
        <v>836</v>
      </c>
      <c r="B2216" t="s">
        <v>31</v>
      </c>
      <c r="C2216" t="s">
        <v>107</v>
      </c>
      <c r="D2216" t="s">
        <v>108</v>
      </c>
      <c r="E2216" t="s">
        <v>109</v>
      </c>
      <c r="F2216" t="s">
        <v>856</v>
      </c>
      <c r="G2216" t="s">
        <v>857</v>
      </c>
      <c r="H2216" t="s">
        <v>870</v>
      </c>
      <c r="I2216" t="s">
        <v>871</v>
      </c>
      <c r="J2216" t="s">
        <v>841</v>
      </c>
      <c r="K2216" t="s">
        <v>844</v>
      </c>
      <c r="L2216" t="s">
        <v>861</v>
      </c>
      <c r="M2216" t="s">
        <v>12</v>
      </c>
      <c r="N2216" s="2">
        <v>0</v>
      </c>
      <c r="O2216" s="2">
        <v>0</v>
      </c>
      <c r="P2216" s="2">
        <v>221.16</v>
      </c>
      <c r="Q2216" s="2">
        <v>221.16</v>
      </c>
      <c r="R2216" s="2">
        <v>0</v>
      </c>
      <c r="S2216" s="2">
        <v>0</v>
      </c>
      <c r="T2216" s="2">
        <v>0</v>
      </c>
      <c r="U2216" s="2">
        <v>221.16</v>
      </c>
      <c r="V2216" s="2">
        <v>221.16</v>
      </c>
      <c r="W2216" s="2">
        <v>221.16</v>
      </c>
    </row>
    <row r="2217" spans="1:23" outlineLevel="2" x14ac:dyDescent="0.2">
      <c r="A2217" t="s">
        <v>836</v>
      </c>
      <c r="B2217" t="s">
        <v>31</v>
      </c>
      <c r="C2217" t="s">
        <v>107</v>
      </c>
      <c r="D2217" t="s">
        <v>108</v>
      </c>
      <c r="E2217" t="s">
        <v>109</v>
      </c>
      <c r="F2217" t="s">
        <v>856</v>
      </c>
      <c r="G2217" t="s">
        <v>857</v>
      </c>
      <c r="H2217" t="s">
        <v>870</v>
      </c>
      <c r="I2217" t="s">
        <v>871</v>
      </c>
      <c r="J2217" t="s">
        <v>841</v>
      </c>
      <c r="K2217" t="s">
        <v>844</v>
      </c>
      <c r="L2217" t="s">
        <v>861</v>
      </c>
      <c r="M2217" t="s">
        <v>15</v>
      </c>
      <c r="N2217" s="2">
        <v>15421.16</v>
      </c>
      <c r="O2217" s="2">
        <v>0</v>
      </c>
      <c r="P2217" s="2">
        <v>-221.16</v>
      </c>
      <c r="Q2217" s="2">
        <v>15200</v>
      </c>
      <c r="R2217" s="2">
        <v>3326.72</v>
      </c>
      <c r="S2217" s="2">
        <v>11873.28</v>
      </c>
      <c r="T2217" s="2">
        <v>11873.28</v>
      </c>
      <c r="U2217" s="2">
        <v>3326.72</v>
      </c>
      <c r="V2217" s="2">
        <v>3326.72</v>
      </c>
      <c r="W2217" s="2">
        <v>0</v>
      </c>
    </row>
    <row r="2218" spans="1:23" outlineLevel="2" x14ac:dyDescent="0.2">
      <c r="A2218" t="s">
        <v>836</v>
      </c>
      <c r="B2218" t="s">
        <v>31</v>
      </c>
      <c r="C2218" t="s">
        <v>107</v>
      </c>
      <c r="D2218" t="s">
        <v>108</v>
      </c>
      <c r="E2218" t="s">
        <v>109</v>
      </c>
      <c r="F2218" t="s">
        <v>856</v>
      </c>
      <c r="G2218" t="s">
        <v>857</v>
      </c>
      <c r="H2218" t="s">
        <v>870</v>
      </c>
      <c r="I2218" t="s">
        <v>871</v>
      </c>
      <c r="J2218" t="s">
        <v>841</v>
      </c>
      <c r="K2218" t="s">
        <v>854</v>
      </c>
      <c r="L2218" t="s">
        <v>862</v>
      </c>
      <c r="M2218" t="s">
        <v>12</v>
      </c>
      <c r="N2218" s="2">
        <v>0</v>
      </c>
      <c r="O2218" s="2">
        <v>0</v>
      </c>
      <c r="P2218" s="2">
        <v>10496.1</v>
      </c>
      <c r="Q2218" s="2">
        <v>10496.1</v>
      </c>
      <c r="R2218" s="2">
        <v>0</v>
      </c>
      <c r="S2218" s="2">
        <v>0</v>
      </c>
      <c r="T2218" s="2">
        <v>0</v>
      </c>
      <c r="U2218" s="2">
        <v>10496.1</v>
      </c>
      <c r="V2218" s="2">
        <v>10496.1</v>
      </c>
      <c r="W2218" s="2">
        <v>10496.1</v>
      </c>
    </row>
    <row r="2219" spans="1:23" outlineLevel="2" x14ac:dyDescent="0.2">
      <c r="A2219" t="s">
        <v>836</v>
      </c>
      <c r="B2219" t="s">
        <v>31</v>
      </c>
      <c r="C2219" t="s">
        <v>107</v>
      </c>
      <c r="D2219" t="s">
        <v>108</v>
      </c>
      <c r="E2219" t="s">
        <v>109</v>
      </c>
      <c r="F2219" t="s">
        <v>856</v>
      </c>
      <c r="G2219" t="s">
        <v>857</v>
      </c>
      <c r="H2219" t="s">
        <v>870</v>
      </c>
      <c r="I2219" t="s">
        <v>871</v>
      </c>
      <c r="J2219" t="s">
        <v>841</v>
      </c>
      <c r="K2219" t="s">
        <v>854</v>
      </c>
      <c r="L2219" t="s">
        <v>862</v>
      </c>
      <c r="M2219" t="s">
        <v>15</v>
      </c>
      <c r="N2219" s="2">
        <v>0</v>
      </c>
      <c r="O2219" s="2">
        <v>13358.84</v>
      </c>
      <c r="P2219" s="2">
        <v>-0.17</v>
      </c>
      <c r="Q2219" s="2">
        <v>13358.67</v>
      </c>
      <c r="R2219" s="2">
        <v>0</v>
      </c>
      <c r="S2219" s="2">
        <v>13358.67</v>
      </c>
      <c r="T2219" s="2">
        <v>13358.67</v>
      </c>
      <c r="U2219" s="2">
        <v>0</v>
      </c>
      <c r="V2219" s="2">
        <v>0</v>
      </c>
      <c r="W2219" s="2">
        <v>0</v>
      </c>
    </row>
    <row r="2220" spans="1:23" outlineLevel="2" x14ac:dyDescent="0.2">
      <c r="A2220" t="s">
        <v>836</v>
      </c>
      <c r="B2220" t="s">
        <v>31</v>
      </c>
      <c r="C2220" t="s">
        <v>107</v>
      </c>
      <c r="D2220" t="s">
        <v>108</v>
      </c>
      <c r="E2220" t="s">
        <v>109</v>
      </c>
      <c r="F2220" t="s">
        <v>856</v>
      </c>
      <c r="G2220" t="s">
        <v>857</v>
      </c>
      <c r="H2220" t="s">
        <v>870</v>
      </c>
      <c r="I2220" t="s">
        <v>871</v>
      </c>
      <c r="J2220" t="s">
        <v>841</v>
      </c>
      <c r="K2220" t="s">
        <v>863</v>
      </c>
      <c r="L2220" t="s">
        <v>864</v>
      </c>
      <c r="M2220" t="s">
        <v>12</v>
      </c>
      <c r="N2220" s="2">
        <v>0</v>
      </c>
      <c r="O2220" s="2">
        <v>0</v>
      </c>
      <c r="P2220" s="2">
        <v>1312.89</v>
      </c>
      <c r="Q2220" s="2">
        <v>1312.89</v>
      </c>
      <c r="R2220" s="2">
        <v>0</v>
      </c>
      <c r="S2220" s="2">
        <v>0</v>
      </c>
      <c r="T2220" s="2">
        <v>0</v>
      </c>
      <c r="U2220" s="2">
        <v>1312.89</v>
      </c>
      <c r="V2220" s="2">
        <v>1312.89</v>
      </c>
      <c r="W2220" s="2">
        <v>1312.89</v>
      </c>
    </row>
    <row r="2221" spans="1:23" outlineLevel="2" x14ac:dyDescent="0.2">
      <c r="A2221" t="s">
        <v>836</v>
      </c>
      <c r="B2221" t="s">
        <v>31</v>
      </c>
      <c r="C2221" t="s">
        <v>107</v>
      </c>
      <c r="D2221" t="s">
        <v>108</v>
      </c>
      <c r="E2221" t="s">
        <v>109</v>
      </c>
      <c r="F2221" t="s">
        <v>856</v>
      </c>
      <c r="G2221" t="s">
        <v>857</v>
      </c>
      <c r="H2221" t="s">
        <v>870</v>
      </c>
      <c r="I2221" t="s">
        <v>871</v>
      </c>
      <c r="J2221" t="s">
        <v>841</v>
      </c>
      <c r="K2221" t="s">
        <v>863</v>
      </c>
      <c r="L2221" t="s">
        <v>864</v>
      </c>
      <c r="M2221" t="s">
        <v>15</v>
      </c>
      <c r="N2221" s="2">
        <v>0</v>
      </c>
      <c r="O2221" s="2">
        <v>2850</v>
      </c>
      <c r="P2221" s="2">
        <v>-1312.89</v>
      </c>
      <c r="Q2221" s="2">
        <v>1537.11</v>
      </c>
      <c r="R2221" s="2">
        <v>0</v>
      </c>
      <c r="S2221" s="2">
        <v>1537.11</v>
      </c>
      <c r="T2221" s="2">
        <v>1537.11</v>
      </c>
      <c r="U2221" s="2">
        <v>0</v>
      </c>
      <c r="V2221" s="2">
        <v>0</v>
      </c>
      <c r="W2221" s="2">
        <v>0</v>
      </c>
    </row>
    <row r="2222" spans="1:23" outlineLevel="2" x14ac:dyDescent="0.2">
      <c r="A2222" t="s">
        <v>836</v>
      </c>
      <c r="B2222" t="s">
        <v>31</v>
      </c>
      <c r="C2222" t="s">
        <v>107</v>
      </c>
      <c r="D2222" t="s">
        <v>108</v>
      </c>
      <c r="E2222" t="s">
        <v>109</v>
      </c>
      <c r="F2222" t="s">
        <v>856</v>
      </c>
      <c r="G2222" t="s">
        <v>857</v>
      </c>
      <c r="H2222" t="s">
        <v>870</v>
      </c>
      <c r="I2222" t="s">
        <v>871</v>
      </c>
      <c r="J2222" t="s">
        <v>841</v>
      </c>
      <c r="K2222" t="s">
        <v>846</v>
      </c>
      <c r="L2222" t="s">
        <v>865</v>
      </c>
      <c r="M2222" t="s">
        <v>15</v>
      </c>
      <c r="N2222" s="2">
        <v>424464</v>
      </c>
      <c r="O2222" s="2">
        <v>0</v>
      </c>
      <c r="P2222" s="2">
        <v>0</v>
      </c>
      <c r="Q2222" s="2">
        <v>424464</v>
      </c>
      <c r="R2222" s="2">
        <v>79259.839999999997</v>
      </c>
      <c r="S2222" s="2">
        <v>345204.16</v>
      </c>
      <c r="T2222" s="2">
        <v>345204.16</v>
      </c>
      <c r="U2222" s="2">
        <v>79259.839999999997</v>
      </c>
      <c r="V2222" s="2">
        <v>79259.839999999997</v>
      </c>
      <c r="W2222" s="2">
        <v>0</v>
      </c>
    </row>
    <row r="2223" spans="1:23" outlineLevel="2" x14ac:dyDescent="0.2">
      <c r="A2223" t="s">
        <v>836</v>
      </c>
      <c r="B2223" t="s">
        <v>31</v>
      </c>
      <c r="C2223" t="s">
        <v>107</v>
      </c>
      <c r="D2223" t="s">
        <v>108</v>
      </c>
      <c r="E2223" t="s">
        <v>109</v>
      </c>
      <c r="F2223" t="s">
        <v>856</v>
      </c>
      <c r="G2223" t="s">
        <v>857</v>
      </c>
      <c r="H2223" t="s">
        <v>870</v>
      </c>
      <c r="I2223" t="s">
        <v>871</v>
      </c>
      <c r="J2223" t="s">
        <v>841</v>
      </c>
      <c r="K2223" t="s">
        <v>872</v>
      </c>
      <c r="L2223" t="s">
        <v>873</v>
      </c>
      <c r="M2223" t="s">
        <v>12</v>
      </c>
      <c r="N2223" s="2">
        <v>0</v>
      </c>
      <c r="O2223" s="2">
        <v>0</v>
      </c>
      <c r="P2223" s="2">
        <v>2572.42</v>
      </c>
      <c r="Q2223" s="2">
        <v>2572.42</v>
      </c>
      <c r="R2223" s="2">
        <v>0</v>
      </c>
      <c r="S2223" s="2">
        <v>0</v>
      </c>
      <c r="T2223" s="2">
        <v>0</v>
      </c>
      <c r="U2223" s="2">
        <v>2572.42</v>
      </c>
      <c r="V2223" s="2">
        <v>2572.42</v>
      </c>
      <c r="W2223" s="2">
        <v>2572.42</v>
      </c>
    </row>
    <row r="2224" spans="1:23" outlineLevel="2" x14ac:dyDescent="0.2">
      <c r="A2224" t="s">
        <v>836</v>
      </c>
      <c r="B2224" t="s">
        <v>31</v>
      </c>
      <c r="C2224" t="s">
        <v>107</v>
      </c>
      <c r="D2224" t="s">
        <v>108</v>
      </c>
      <c r="E2224" t="s">
        <v>109</v>
      </c>
      <c r="F2224" t="s">
        <v>856</v>
      </c>
      <c r="G2224" t="s">
        <v>857</v>
      </c>
      <c r="H2224" t="s">
        <v>870</v>
      </c>
      <c r="I2224" t="s">
        <v>871</v>
      </c>
      <c r="J2224" t="s">
        <v>841</v>
      </c>
      <c r="K2224" t="s">
        <v>872</v>
      </c>
      <c r="L2224" t="s">
        <v>873</v>
      </c>
      <c r="M2224" t="s">
        <v>15</v>
      </c>
      <c r="N2224" s="2">
        <v>0</v>
      </c>
      <c r="O2224" s="2">
        <v>3274</v>
      </c>
      <c r="P2224" s="2">
        <v>-0.01</v>
      </c>
      <c r="Q2224" s="2">
        <v>3273.99</v>
      </c>
      <c r="R2224" s="2">
        <v>0</v>
      </c>
      <c r="S2224" s="2">
        <v>3273.99</v>
      </c>
      <c r="T2224" s="2">
        <v>3273.99</v>
      </c>
      <c r="U2224" s="2">
        <v>0</v>
      </c>
      <c r="V2224" s="2">
        <v>0</v>
      </c>
      <c r="W2224" s="2">
        <v>0</v>
      </c>
    </row>
    <row r="2225" spans="1:23" outlineLevel="2" x14ac:dyDescent="0.2">
      <c r="A2225" t="s">
        <v>836</v>
      </c>
      <c r="B2225" t="s">
        <v>31</v>
      </c>
      <c r="C2225" t="s">
        <v>107</v>
      </c>
      <c r="D2225" t="s">
        <v>108</v>
      </c>
      <c r="E2225" t="s">
        <v>109</v>
      </c>
      <c r="F2225" t="s">
        <v>856</v>
      </c>
      <c r="G2225" t="s">
        <v>857</v>
      </c>
      <c r="H2225" t="s">
        <v>870</v>
      </c>
      <c r="I2225" t="s">
        <v>871</v>
      </c>
      <c r="J2225" t="s">
        <v>841</v>
      </c>
      <c r="K2225" t="s">
        <v>848</v>
      </c>
      <c r="L2225" t="s">
        <v>868</v>
      </c>
      <c r="M2225" t="s">
        <v>15</v>
      </c>
      <c r="N2225" s="2">
        <v>53694.7</v>
      </c>
      <c r="O2225" s="2">
        <v>0</v>
      </c>
      <c r="P2225" s="2">
        <v>0</v>
      </c>
      <c r="Q2225" s="2">
        <v>53694.7</v>
      </c>
      <c r="R2225" s="2">
        <v>7922.72</v>
      </c>
      <c r="S2225" s="2">
        <v>45771.98</v>
      </c>
      <c r="T2225" s="2">
        <v>45771.98</v>
      </c>
      <c r="U2225" s="2">
        <v>7922.72</v>
      </c>
      <c r="V2225" s="2">
        <v>7922.72</v>
      </c>
      <c r="W2225" s="2">
        <v>0</v>
      </c>
    </row>
    <row r="2226" spans="1:23" outlineLevel="2" x14ac:dyDescent="0.2">
      <c r="A2226" t="s">
        <v>836</v>
      </c>
      <c r="B2226" t="s">
        <v>31</v>
      </c>
      <c r="C2226" t="s">
        <v>107</v>
      </c>
      <c r="D2226" t="s">
        <v>108</v>
      </c>
      <c r="E2226" t="s">
        <v>109</v>
      </c>
      <c r="F2226" t="s">
        <v>856</v>
      </c>
      <c r="G2226" t="s">
        <v>857</v>
      </c>
      <c r="H2226" t="s">
        <v>870</v>
      </c>
      <c r="I2226" t="s">
        <v>871</v>
      </c>
      <c r="J2226" t="s">
        <v>841</v>
      </c>
      <c r="K2226" t="s">
        <v>850</v>
      </c>
      <c r="L2226" t="s">
        <v>869</v>
      </c>
      <c r="M2226" t="s">
        <v>15</v>
      </c>
      <c r="N2226" s="2">
        <v>35372</v>
      </c>
      <c r="O2226" s="2">
        <v>0</v>
      </c>
      <c r="P2226" s="2">
        <v>0</v>
      </c>
      <c r="Q2226" s="2">
        <v>35372</v>
      </c>
      <c r="R2226" s="2">
        <v>17958.3</v>
      </c>
      <c r="S2226" s="2">
        <v>17413.7</v>
      </c>
      <c r="T2226" s="2">
        <v>17413.7</v>
      </c>
      <c r="U2226" s="2">
        <v>17958.3</v>
      </c>
      <c r="V2226" s="2">
        <v>17958.3</v>
      </c>
      <c r="W2226" s="2">
        <v>0</v>
      </c>
    </row>
    <row r="2227" spans="1:23" outlineLevel="2" x14ac:dyDescent="0.2">
      <c r="A2227" t="s">
        <v>836</v>
      </c>
      <c r="B2227" t="s">
        <v>31</v>
      </c>
      <c r="C2227" t="s">
        <v>79</v>
      </c>
      <c r="D2227" t="s">
        <v>83</v>
      </c>
      <c r="E2227" t="s">
        <v>84</v>
      </c>
      <c r="F2227" t="s">
        <v>874</v>
      </c>
      <c r="G2227" t="s">
        <v>875</v>
      </c>
      <c r="H2227" t="s">
        <v>876</v>
      </c>
      <c r="I2227" t="s">
        <v>877</v>
      </c>
      <c r="J2227" t="s">
        <v>841</v>
      </c>
      <c r="K2227" t="s">
        <v>842</v>
      </c>
      <c r="L2227" t="s">
        <v>878</v>
      </c>
      <c r="M2227" t="s">
        <v>15</v>
      </c>
      <c r="N2227" s="2">
        <v>0</v>
      </c>
      <c r="O2227" s="2">
        <v>5790</v>
      </c>
      <c r="P2227" s="2">
        <v>0</v>
      </c>
      <c r="Q2227" s="2">
        <v>5790</v>
      </c>
      <c r="R2227" s="2">
        <v>5790</v>
      </c>
      <c r="S2227" s="2">
        <v>0</v>
      </c>
      <c r="T2227" s="2">
        <v>0</v>
      </c>
      <c r="U2227" s="2">
        <v>5790</v>
      </c>
      <c r="V2227" s="2">
        <v>5790</v>
      </c>
      <c r="W2227" s="2">
        <v>0</v>
      </c>
    </row>
    <row r="2228" spans="1:23" outlineLevel="2" x14ac:dyDescent="0.2">
      <c r="A2228" t="s">
        <v>836</v>
      </c>
      <c r="B2228" t="s">
        <v>31</v>
      </c>
      <c r="C2228" t="s">
        <v>79</v>
      </c>
      <c r="D2228" t="s">
        <v>83</v>
      </c>
      <c r="E2228" t="s">
        <v>84</v>
      </c>
      <c r="F2228" t="s">
        <v>874</v>
      </c>
      <c r="G2228" t="s">
        <v>875</v>
      </c>
      <c r="H2228" t="s">
        <v>876</v>
      </c>
      <c r="I2228" t="s">
        <v>877</v>
      </c>
      <c r="J2228" t="s">
        <v>841</v>
      </c>
      <c r="K2228" t="s">
        <v>844</v>
      </c>
      <c r="L2228" t="s">
        <v>879</v>
      </c>
      <c r="M2228" t="s">
        <v>15</v>
      </c>
      <c r="N2228" s="2">
        <v>0</v>
      </c>
      <c r="O2228" s="2">
        <v>2400</v>
      </c>
      <c r="P2228" s="2">
        <v>0</v>
      </c>
      <c r="Q2228" s="2">
        <v>2400</v>
      </c>
      <c r="R2228" s="2">
        <v>164.15</v>
      </c>
      <c r="S2228" s="2">
        <v>2235.85</v>
      </c>
      <c r="T2228" s="2">
        <v>2235.85</v>
      </c>
      <c r="U2228" s="2">
        <v>164.15</v>
      </c>
      <c r="V2228" s="2">
        <v>164.15</v>
      </c>
      <c r="W2228" s="2">
        <v>0</v>
      </c>
    </row>
    <row r="2229" spans="1:23" outlineLevel="2" x14ac:dyDescent="0.2">
      <c r="A2229" t="s">
        <v>836</v>
      </c>
      <c r="B2229" t="s">
        <v>31</v>
      </c>
      <c r="C2229" t="s">
        <v>79</v>
      </c>
      <c r="D2229" t="s">
        <v>83</v>
      </c>
      <c r="E2229" t="s">
        <v>84</v>
      </c>
      <c r="F2229" t="s">
        <v>874</v>
      </c>
      <c r="G2229" t="s">
        <v>875</v>
      </c>
      <c r="H2229" t="s">
        <v>876</v>
      </c>
      <c r="I2229" t="s">
        <v>877</v>
      </c>
      <c r="J2229" t="s">
        <v>841</v>
      </c>
      <c r="K2229" t="s">
        <v>846</v>
      </c>
      <c r="L2229" t="s">
        <v>880</v>
      </c>
      <c r="M2229" t="s">
        <v>15</v>
      </c>
      <c r="N2229" s="2">
        <v>0</v>
      </c>
      <c r="O2229" s="2">
        <v>69480</v>
      </c>
      <c r="P2229" s="2">
        <v>0</v>
      </c>
      <c r="Q2229" s="2">
        <v>69480</v>
      </c>
      <c r="R2229" s="2">
        <v>17652</v>
      </c>
      <c r="S2229" s="2">
        <v>51828</v>
      </c>
      <c r="T2229" s="2">
        <v>51828</v>
      </c>
      <c r="U2229" s="2">
        <v>17652</v>
      </c>
      <c r="V2229" s="2">
        <v>17652</v>
      </c>
      <c r="W2229" s="2">
        <v>0</v>
      </c>
    </row>
    <row r="2230" spans="1:23" outlineLevel="2" x14ac:dyDescent="0.2">
      <c r="A2230" t="s">
        <v>836</v>
      </c>
      <c r="B2230" t="s">
        <v>31</v>
      </c>
      <c r="C2230" t="s">
        <v>79</v>
      </c>
      <c r="D2230" t="s">
        <v>83</v>
      </c>
      <c r="E2230" t="s">
        <v>84</v>
      </c>
      <c r="F2230" t="s">
        <v>874</v>
      </c>
      <c r="G2230" t="s">
        <v>875</v>
      </c>
      <c r="H2230" t="s">
        <v>876</v>
      </c>
      <c r="I2230" t="s">
        <v>877</v>
      </c>
      <c r="J2230" t="s">
        <v>841</v>
      </c>
      <c r="K2230" t="s">
        <v>848</v>
      </c>
      <c r="L2230" t="s">
        <v>881</v>
      </c>
      <c r="M2230" t="s">
        <v>15</v>
      </c>
      <c r="N2230" s="2">
        <v>0</v>
      </c>
      <c r="O2230" s="2">
        <v>8789.2199999999993</v>
      </c>
      <c r="P2230" s="2">
        <v>0</v>
      </c>
      <c r="Q2230" s="2">
        <v>8789.2199999999993</v>
      </c>
      <c r="R2230" s="2">
        <v>2232.84</v>
      </c>
      <c r="S2230" s="2">
        <v>6556.38</v>
      </c>
      <c r="T2230" s="2">
        <v>6556.38</v>
      </c>
      <c r="U2230" s="2">
        <v>2232.84</v>
      </c>
      <c r="V2230" s="2">
        <v>2232.84</v>
      </c>
      <c r="W2230" s="2">
        <v>0</v>
      </c>
    </row>
    <row r="2231" spans="1:23" outlineLevel="2" x14ac:dyDescent="0.2">
      <c r="A2231" t="s">
        <v>836</v>
      </c>
      <c r="B2231" t="s">
        <v>31</v>
      </c>
      <c r="C2231" t="s">
        <v>79</v>
      </c>
      <c r="D2231" t="s">
        <v>83</v>
      </c>
      <c r="E2231" t="s">
        <v>84</v>
      </c>
      <c r="F2231" t="s">
        <v>874</v>
      </c>
      <c r="G2231" t="s">
        <v>875</v>
      </c>
      <c r="H2231" t="s">
        <v>876</v>
      </c>
      <c r="I2231" t="s">
        <v>877</v>
      </c>
      <c r="J2231" t="s">
        <v>841</v>
      </c>
      <c r="K2231" t="s">
        <v>850</v>
      </c>
      <c r="L2231" t="s">
        <v>882</v>
      </c>
      <c r="M2231" t="s">
        <v>15</v>
      </c>
      <c r="N2231" s="2">
        <v>0</v>
      </c>
      <c r="O2231" s="2">
        <v>5790</v>
      </c>
      <c r="P2231" s="2">
        <v>0</v>
      </c>
      <c r="Q2231" s="2">
        <v>5790</v>
      </c>
      <c r="R2231" s="2">
        <v>4392.87</v>
      </c>
      <c r="S2231" s="2">
        <v>1397.13</v>
      </c>
      <c r="T2231" s="2">
        <v>1397.13</v>
      </c>
      <c r="U2231" s="2">
        <v>4392.87</v>
      </c>
      <c r="V2231" s="2">
        <v>4392.87</v>
      </c>
      <c r="W2231" s="2">
        <v>0</v>
      </c>
    </row>
    <row r="2232" spans="1:23" outlineLevel="2" x14ac:dyDescent="0.2">
      <c r="A2232" t="s">
        <v>836</v>
      </c>
      <c r="B2232" t="s">
        <v>31</v>
      </c>
      <c r="C2232" t="s">
        <v>79</v>
      </c>
      <c r="D2232" t="s">
        <v>83</v>
      </c>
      <c r="E2232" t="s">
        <v>84</v>
      </c>
      <c r="F2232" t="s">
        <v>883</v>
      </c>
      <c r="G2232" t="s">
        <v>884</v>
      </c>
      <c r="H2232" t="s">
        <v>885</v>
      </c>
      <c r="I2232" t="s">
        <v>886</v>
      </c>
      <c r="J2232" t="s">
        <v>841</v>
      </c>
      <c r="K2232" t="s">
        <v>842</v>
      </c>
      <c r="L2232" t="s">
        <v>887</v>
      </c>
      <c r="M2232" t="s">
        <v>15</v>
      </c>
      <c r="N2232" s="2">
        <v>0</v>
      </c>
      <c r="O2232" s="2">
        <v>89486</v>
      </c>
      <c r="P2232" s="2">
        <v>0</v>
      </c>
      <c r="Q2232" s="2">
        <v>89486</v>
      </c>
      <c r="R2232" s="2">
        <v>84132.63</v>
      </c>
      <c r="S2232" s="2">
        <v>5353.37</v>
      </c>
      <c r="T2232" s="2">
        <v>5353.37</v>
      </c>
      <c r="U2232" s="2">
        <v>84132.63</v>
      </c>
      <c r="V2232" s="2">
        <v>84132.63</v>
      </c>
      <c r="W2232" s="2">
        <v>0</v>
      </c>
    </row>
    <row r="2233" spans="1:23" outlineLevel="2" x14ac:dyDescent="0.2">
      <c r="A2233" t="s">
        <v>836</v>
      </c>
      <c r="B2233" t="s">
        <v>31</v>
      </c>
      <c r="C2233" t="s">
        <v>79</v>
      </c>
      <c r="D2233" t="s">
        <v>83</v>
      </c>
      <c r="E2233" t="s">
        <v>84</v>
      </c>
      <c r="F2233" t="s">
        <v>883</v>
      </c>
      <c r="G2233" t="s">
        <v>884</v>
      </c>
      <c r="H2233" t="s">
        <v>885</v>
      </c>
      <c r="I2233" t="s">
        <v>886</v>
      </c>
      <c r="J2233" t="s">
        <v>841</v>
      </c>
      <c r="K2233" t="s">
        <v>844</v>
      </c>
      <c r="L2233" t="s">
        <v>888</v>
      </c>
      <c r="M2233" t="s">
        <v>15</v>
      </c>
      <c r="N2233" s="2">
        <v>0</v>
      </c>
      <c r="O2233" s="2">
        <v>42000</v>
      </c>
      <c r="P2233" s="2">
        <v>0</v>
      </c>
      <c r="Q2233" s="2">
        <v>42000</v>
      </c>
      <c r="R2233" s="2">
        <v>2378.17</v>
      </c>
      <c r="S2233" s="2">
        <v>39621.83</v>
      </c>
      <c r="T2233" s="2">
        <v>39621.83</v>
      </c>
      <c r="U2233" s="2">
        <v>2378.17</v>
      </c>
      <c r="V2233" s="2">
        <v>2378.17</v>
      </c>
      <c r="W2233" s="2">
        <v>0</v>
      </c>
    </row>
    <row r="2234" spans="1:23" outlineLevel="2" x14ac:dyDescent="0.2">
      <c r="A2234" t="s">
        <v>836</v>
      </c>
      <c r="B2234" t="s">
        <v>31</v>
      </c>
      <c r="C2234" t="s">
        <v>79</v>
      </c>
      <c r="D2234" t="s">
        <v>83</v>
      </c>
      <c r="E2234" t="s">
        <v>84</v>
      </c>
      <c r="F2234" t="s">
        <v>883</v>
      </c>
      <c r="G2234" t="s">
        <v>884</v>
      </c>
      <c r="H2234" t="s">
        <v>885</v>
      </c>
      <c r="I2234" t="s">
        <v>886</v>
      </c>
      <c r="J2234" t="s">
        <v>841</v>
      </c>
      <c r="K2234" t="s">
        <v>854</v>
      </c>
      <c r="L2234" t="s">
        <v>889</v>
      </c>
      <c r="M2234" t="s">
        <v>12</v>
      </c>
      <c r="N2234" s="2">
        <v>0</v>
      </c>
      <c r="O2234" s="2">
        <v>0</v>
      </c>
      <c r="P2234" s="2">
        <v>449.35</v>
      </c>
      <c r="Q2234" s="2">
        <v>449.35</v>
      </c>
      <c r="R2234" s="2">
        <v>0</v>
      </c>
      <c r="S2234" s="2">
        <v>0</v>
      </c>
      <c r="T2234" s="2">
        <v>0</v>
      </c>
      <c r="U2234" s="2">
        <v>449.35</v>
      </c>
      <c r="V2234" s="2">
        <v>449.35</v>
      </c>
      <c r="W2234" s="2">
        <v>449.35</v>
      </c>
    </row>
    <row r="2235" spans="1:23" outlineLevel="2" x14ac:dyDescent="0.2">
      <c r="A2235" t="s">
        <v>836</v>
      </c>
      <c r="B2235" t="s">
        <v>31</v>
      </c>
      <c r="C2235" t="s">
        <v>79</v>
      </c>
      <c r="D2235" t="s">
        <v>83</v>
      </c>
      <c r="E2235" t="s">
        <v>84</v>
      </c>
      <c r="F2235" t="s">
        <v>883</v>
      </c>
      <c r="G2235" t="s">
        <v>884</v>
      </c>
      <c r="H2235" t="s">
        <v>885</v>
      </c>
      <c r="I2235" t="s">
        <v>886</v>
      </c>
      <c r="J2235" t="s">
        <v>841</v>
      </c>
      <c r="K2235" t="s">
        <v>854</v>
      </c>
      <c r="L2235" t="s">
        <v>889</v>
      </c>
      <c r="M2235" t="s">
        <v>15</v>
      </c>
      <c r="N2235" s="2">
        <v>0</v>
      </c>
      <c r="O2235" s="2">
        <v>1389</v>
      </c>
      <c r="P2235" s="2">
        <v>-0.1</v>
      </c>
      <c r="Q2235" s="2">
        <v>1388.9</v>
      </c>
      <c r="R2235" s="2">
        <v>0</v>
      </c>
      <c r="S2235" s="2">
        <v>1388.9</v>
      </c>
      <c r="T2235" s="2">
        <v>1388.9</v>
      </c>
      <c r="U2235" s="2">
        <v>0</v>
      </c>
      <c r="V2235" s="2">
        <v>0</v>
      </c>
      <c r="W2235" s="2">
        <v>0</v>
      </c>
    </row>
    <row r="2236" spans="1:23" outlineLevel="2" x14ac:dyDescent="0.2">
      <c r="A2236" t="s">
        <v>836</v>
      </c>
      <c r="B2236" t="s">
        <v>31</v>
      </c>
      <c r="C2236" t="s">
        <v>79</v>
      </c>
      <c r="D2236" t="s">
        <v>83</v>
      </c>
      <c r="E2236" t="s">
        <v>84</v>
      </c>
      <c r="F2236" t="s">
        <v>883</v>
      </c>
      <c r="G2236" t="s">
        <v>884</v>
      </c>
      <c r="H2236" t="s">
        <v>885</v>
      </c>
      <c r="I2236" t="s">
        <v>886</v>
      </c>
      <c r="J2236" t="s">
        <v>841</v>
      </c>
      <c r="K2236" t="s">
        <v>846</v>
      </c>
      <c r="L2236" t="s">
        <v>890</v>
      </c>
      <c r="M2236" t="s">
        <v>15</v>
      </c>
      <c r="N2236" s="2">
        <v>0</v>
      </c>
      <c r="O2236" s="2">
        <v>1073832</v>
      </c>
      <c r="P2236" s="2">
        <v>0</v>
      </c>
      <c r="Q2236" s="2">
        <v>1073832</v>
      </c>
      <c r="R2236" s="2">
        <v>115466.61</v>
      </c>
      <c r="S2236" s="2">
        <v>958365.39</v>
      </c>
      <c r="T2236" s="2">
        <v>958365.39</v>
      </c>
      <c r="U2236" s="2">
        <v>115466.61</v>
      </c>
      <c r="V2236" s="2">
        <v>115466.61</v>
      </c>
      <c r="W2236" s="2">
        <v>0</v>
      </c>
    </row>
    <row r="2237" spans="1:23" outlineLevel="2" x14ac:dyDescent="0.2">
      <c r="A2237" t="s">
        <v>836</v>
      </c>
      <c r="B2237" t="s">
        <v>31</v>
      </c>
      <c r="C2237" t="s">
        <v>79</v>
      </c>
      <c r="D2237" t="s">
        <v>83</v>
      </c>
      <c r="E2237" t="s">
        <v>84</v>
      </c>
      <c r="F2237" t="s">
        <v>883</v>
      </c>
      <c r="G2237" t="s">
        <v>884</v>
      </c>
      <c r="H2237" t="s">
        <v>885</v>
      </c>
      <c r="I2237" t="s">
        <v>886</v>
      </c>
      <c r="J2237" t="s">
        <v>841</v>
      </c>
      <c r="K2237" t="s">
        <v>848</v>
      </c>
      <c r="L2237" t="s">
        <v>891</v>
      </c>
      <c r="M2237" t="s">
        <v>15</v>
      </c>
      <c r="N2237" s="2">
        <v>0</v>
      </c>
      <c r="O2237" s="2">
        <v>135839.75</v>
      </c>
      <c r="P2237" s="2">
        <v>0</v>
      </c>
      <c r="Q2237" s="2">
        <v>135839.75</v>
      </c>
      <c r="R2237" s="2">
        <v>26009.66</v>
      </c>
      <c r="S2237" s="2">
        <v>109830.09</v>
      </c>
      <c r="T2237" s="2">
        <v>109830.09</v>
      </c>
      <c r="U2237" s="2">
        <v>26009.66</v>
      </c>
      <c r="V2237" s="2">
        <v>26009.66</v>
      </c>
      <c r="W2237" s="2">
        <v>0</v>
      </c>
    </row>
    <row r="2238" spans="1:23" outlineLevel="2" x14ac:dyDescent="0.2">
      <c r="A2238" t="s">
        <v>836</v>
      </c>
      <c r="B2238" t="s">
        <v>31</v>
      </c>
      <c r="C2238" t="s">
        <v>79</v>
      </c>
      <c r="D2238" t="s">
        <v>83</v>
      </c>
      <c r="E2238" t="s">
        <v>84</v>
      </c>
      <c r="F2238" t="s">
        <v>883</v>
      </c>
      <c r="G2238" t="s">
        <v>884</v>
      </c>
      <c r="H2238" t="s">
        <v>885</v>
      </c>
      <c r="I2238" t="s">
        <v>886</v>
      </c>
      <c r="J2238" t="s">
        <v>841</v>
      </c>
      <c r="K2238" t="s">
        <v>850</v>
      </c>
      <c r="L2238" t="s">
        <v>892</v>
      </c>
      <c r="M2238" t="s">
        <v>15</v>
      </c>
      <c r="N2238" s="2">
        <v>0</v>
      </c>
      <c r="O2238" s="2">
        <v>89486</v>
      </c>
      <c r="P2238" s="2">
        <v>0</v>
      </c>
      <c r="Q2238" s="2">
        <v>89486</v>
      </c>
      <c r="R2238" s="2">
        <v>15821.63</v>
      </c>
      <c r="S2238" s="2">
        <v>73664.37</v>
      </c>
      <c r="T2238" s="2">
        <v>73664.37</v>
      </c>
      <c r="U2238" s="2">
        <v>15821.63</v>
      </c>
      <c r="V2238" s="2">
        <v>15821.63</v>
      </c>
      <c r="W2238" s="2">
        <v>0</v>
      </c>
    </row>
    <row r="2239" spans="1:23" outlineLevel="2" x14ac:dyDescent="0.2">
      <c r="A2239" t="s">
        <v>836</v>
      </c>
      <c r="B2239" t="s">
        <v>31</v>
      </c>
      <c r="C2239" t="s">
        <v>49</v>
      </c>
      <c r="D2239" t="s">
        <v>50</v>
      </c>
      <c r="E2239" t="s">
        <v>51</v>
      </c>
      <c r="F2239" t="s">
        <v>893</v>
      </c>
      <c r="G2239" t="s">
        <v>894</v>
      </c>
      <c r="H2239" t="s">
        <v>895</v>
      </c>
      <c r="I2239" t="s">
        <v>896</v>
      </c>
      <c r="J2239" t="s">
        <v>841</v>
      </c>
      <c r="K2239" t="s">
        <v>842</v>
      </c>
      <c r="L2239" t="s">
        <v>897</v>
      </c>
      <c r="M2239" t="s">
        <v>15</v>
      </c>
      <c r="N2239" s="2">
        <v>7873</v>
      </c>
      <c r="O2239" s="2">
        <v>0</v>
      </c>
      <c r="P2239" s="2">
        <v>0</v>
      </c>
      <c r="Q2239" s="2">
        <v>7873</v>
      </c>
      <c r="R2239" s="2">
        <v>6762.2</v>
      </c>
      <c r="S2239" s="2">
        <v>1110.8</v>
      </c>
      <c r="T2239" s="2">
        <v>1110.8</v>
      </c>
      <c r="U2239" s="2">
        <v>6762.2</v>
      </c>
      <c r="V2239" s="2">
        <v>6762.2</v>
      </c>
      <c r="W2239" s="2">
        <v>0</v>
      </c>
    </row>
    <row r="2240" spans="1:23" outlineLevel="2" x14ac:dyDescent="0.2">
      <c r="A2240" t="s">
        <v>836</v>
      </c>
      <c r="B2240" t="s">
        <v>31</v>
      </c>
      <c r="C2240" t="s">
        <v>49</v>
      </c>
      <c r="D2240" t="s">
        <v>50</v>
      </c>
      <c r="E2240" t="s">
        <v>51</v>
      </c>
      <c r="F2240" t="s">
        <v>893</v>
      </c>
      <c r="G2240" t="s">
        <v>894</v>
      </c>
      <c r="H2240" t="s">
        <v>895</v>
      </c>
      <c r="I2240" t="s">
        <v>896</v>
      </c>
      <c r="J2240" t="s">
        <v>841</v>
      </c>
      <c r="K2240" t="s">
        <v>844</v>
      </c>
      <c r="L2240" t="s">
        <v>898</v>
      </c>
      <c r="M2240" t="s">
        <v>12</v>
      </c>
      <c r="N2240" s="2">
        <v>0</v>
      </c>
      <c r="O2240" s="2">
        <v>0</v>
      </c>
      <c r="P2240" s="2">
        <v>34.92</v>
      </c>
      <c r="Q2240" s="2">
        <v>34.92</v>
      </c>
      <c r="R2240" s="2">
        <v>0</v>
      </c>
      <c r="S2240" s="2">
        <v>0</v>
      </c>
      <c r="T2240" s="2">
        <v>0</v>
      </c>
      <c r="U2240" s="2">
        <v>34.92</v>
      </c>
      <c r="V2240" s="2">
        <v>34.92</v>
      </c>
      <c r="W2240" s="2">
        <v>34.92</v>
      </c>
    </row>
    <row r="2241" spans="1:23" outlineLevel="2" x14ac:dyDescent="0.2">
      <c r="A2241" t="s">
        <v>836</v>
      </c>
      <c r="B2241" t="s">
        <v>31</v>
      </c>
      <c r="C2241" t="s">
        <v>49</v>
      </c>
      <c r="D2241" t="s">
        <v>50</v>
      </c>
      <c r="E2241" t="s">
        <v>51</v>
      </c>
      <c r="F2241" t="s">
        <v>893</v>
      </c>
      <c r="G2241" t="s">
        <v>894</v>
      </c>
      <c r="H2241" t="s">
        <v>895</v>
      </c>
      <c r="I2241" t="s">
        <v>896</v>
      </c>
      <c r="J2241" t="s">
        <v>841</v>
      </c>
      <c r="K2241" t="s">
        <v>844</v>
      </c>
      <c r="L2241" t="s">
        <v>898</v>
      </c>
      <c r="M2241" t="s">
        <v>15</v>
      </c>
      <c r="N2241" s="2">
        <v>2434.92</v>
      </c>
      <c r="O2241" s="2">
        <v>0</v>
      </c>
      <c r="P2241" s="2">
        <v>-34.92</v>
      </c>
      <c r="Q2241" s="2">
        <v>2400</v>
      </c>
      <c r="R2241" s="2">
        <v>1580.03</v>
      </c>
      <c r="S2241" s="2">
        <v>819.97</v>
      </c>
      <c r="T2241" s="2">
        <v>819.97</v>
      </c>
      <c r="U2241" s="2">
        <v>1580.03</v>
      </c>
      <c r="V2241" s="2">
        <v>1580.03</v>
      </c>
      <c r="W2241" s="2">
        <v>0</v>
      </c>
    </row>
    <row r="2242" spans="1:23" outlineLevel="2" x14ac:dyDescent="0.2">
      <c r="A2242" t="s">
        <v>836</v>
      </c>
      <c r="B2242" t="s">
        <v>31</v>
      </c>
      <c r="C2242" t="s">
        <v>49</v>
      </c>
      <c r="D2242" t="s">
        <v>50</v>
      </c>
      <c r="E2242" t="s">
        <v>51</v>
      </c>
      <c r="F2242" t="s">
        <v>893</v>
      </c>
      <c r="G2242" t="s">
        <v>894</v>
      </c>
      <c r="H2242" t="s">
        <v>895</v>
      </c>
      <c r="I2242" t="s">
        <v>896</v>
      </c>
      <c r="J2242" t="s">
        <v>841</v>
      </c>
      <c r="K2242" t="s">
        <v>846</v>
      </c>
      <c r="L2242" t="s">
        <v>899</v>
      </c>
      <c r="M2242" t="s">
        <v>15</v>
      </c>
      <c r="N2242" s="2">
        <v>94476</v>
      </c>
      <c r="O2242" s="2">
        <v>0</v>
      </c>
      <c r="P2242" s="2">
        <v>0</v>
      </c>
      <c r="Q2242" s="2">
        <v>94476</v>
      </c>
      <c r="R2242" s="2">
        <v>47746.3</v>
      </c>
      <c r="S2242" s="2">
        <v>46729.7</v>
      </c>
      <c r="T2242" s="2">
        <v>46729.7</v>
      </c>
      <c r="U2242" s="2">
        <v>47746.3</v>
      </c>
      <c r="V2242" s="2">
        <v>47746.3</v>
      </c>
      <c r="W2242" s="2">
        <v>0</v>
      </c>
    </row>
    <row r="2243" spans="1:23" outlineLevel="2" x14ac:dyDescent="0.2">
      <c r="A2243" t="s">
        <v>836</v>
      </c>
      <c r="B2243" t="s">
        <v>31</v>
      </c>
      <c r="C2243" t="s">
        <v>49</v>
      </c>
      <c r="D2243" t="s">
        <v>50</v>
      </c>
      <c r="E2243" t="s">
        <v>51</v>
      </c>
      <c r="F2243" t="s">
        <v>893</v>
      </c>
      <c r="G2243" t="s">
        <v>894</v>
      </c>
      <c r="H2243" t="s">
        <v>895</v>
      </c>
      <c r="I2243" t="s">
        <v>896</v>
      </c>
      <c r="J2243" t="s">
        <v>841</v>
      </c>
      <c r="K2243" t="s">
        <v>848</v>
      </c>
      <c r="L2243" t="s">
        <v>900</v>
      </c>
      <c r="M2243" t="s">
        <v>15</v>
      </c>
      <c r="N2243" s="2">
        <v>11951.21</v>
      </c>
      <c r="O2243" s="2">
        <v>0</v>
      </c>
      <c r="P2243" s="2">
        <v>0</v>
      </c>
      <c r="Q2243" s="2">
        <v>11951.21</v>
      </c>
      <c r="R2243" s="2">
        <v>6039.95</v>
      </c>
      <c r="S2243" s="2">
        <v>5911.26</v>
      </c>
      <c r="T2243" s="2">
        <v>5911.26</v>
      </c>
      <c r="U2243" s="2">
        <v>6039.95</v>
      </c>
      <c r="V2243" s="2">
        <v>6039.95</v>
      </c>
      <c r="W2243" s="2">
        <v>0</v>
      </c>
    </row>
    <row r="2244" spans="1:23" outlineLevel="2" x14ac:dyDescent="0.2">
      <c r="A2244" t="s">
        <v>836</v>
      </c>
      <c r="B2244" t="s">
        <v>31</v>
      </c>
      <c r="C2244" t="s">
        <v>49</v>
      </c>
      <c r="D2244" t="s">
        <v>50</v>
      </c>
      <c r="E2244" t="s">
        <v>51</v>
      </c>
      <c r="F2244" t="s">
        <v>893</v>
      </c>
      <c r="G2244" t="s">
        <v>894</v>
      </c>
      <c r="H2244" t="s">
        <v>895</v>
      </c>
      <c r="I2244" t="s">
        <v>896</v>
      </c>
      <c r="J2244" t="s">
        <v>841</v>
      </c>
      <c r="K2244" t="s">
        <v>850</v>
      </c>
      <c r="L2244" t="s">
        <v>901</v>
      </c>
      <c r="M2244" t="s">
        <v>15</v>
      </c>
      <c r="N2244" s="2">
        <v>7873</v>
      </c>
      <c r="O2244" s="2">
        <v>0</v>
      </c>
      <c r="P2244" s="2">
        <v>0</v>
      </c>
      <c r="Q2244" s="2">
        <v>7873</v>
      </c>
      <c r="R2244" s="2">
        <v>5666.29</v>
      </c>
      <c r="S2244" s="2">
        <v>2206.71</v>
      </c>
      <c r="T2244" s="2">
        <v>2206.71</v>
      </c>
      <c r="U2244" s="2">
        <v>5666.29</v>
      </c>
      <c r="V2244" s="2">
        <v>5666.29</v>
      </c>
      <c r="W2244" s="2">
        <v>0</v>
      </c>
    </row>
    <row r="2245" spans="1:23" outlineLevel="2" x14ac:dyDescent="0.2">
      <c r="A2245" t="s">
        <v>836</v>
      </c>
      <c r="B2245" t="s">
        <v>31</v>
      </c>
      <c r="C2245" t="s">
        <v>49</v>
      </c>
      <c r="D2245" t="s">
        <v>50</v>
      </c>
      <c r="E2245" t="s">
        <v>51</v>
      </c>
      <c r="F2245" t="s">
        <v>893</v>
      </c>
      <c r="G2245" t="s">
        <v>894</v>
      </c>
      <c r="H2245" t="s">
        <v>902</v>
      </c>
      <c r="I2245" t="s">
        <v>903</v>
      </c>
      <c r="J2245" t="s">
        <v>841</v>
      </c>
      <c r="K2245" t="s">
        <v>842</v>
      </c>
      <c r="L2245" t="s">
        <v>897</v>
      </c>
      <c r="M2245" t="s">
        <v>15</v>
      </c>
      <c r="N2245" s="2">
        <v>5673</v>
      </c>
      <c r="O2245" s="2">
        <v>0</v>
      </c>
      <c r="P2245" s="2">
        <v>0</v>
      </c>
      <c r="Q2245" s="2">
        <v>5673</v>
      </c>
      <c r="R2245" s="2">
        <v>4750.87</v>
      </c>
      <c r="S2245" s="2">
        <v>922.13</v>
      </c>
      <c r="T2245" s="2">
        <v>922.13</v>
      </c>
      <c r="U2245" s="2">
        <v>4750.87</v>
      </c>
      <c r="V2245" s="2">
        <v>4750.87</v>
      </c>
      <c r="W2245" s="2">
        <v>0</v>
      </c>
    </row>
    <row r="2246" spans="1:23" outlineLevel="2" x14ac:dyDescent="0.2">
      <c r="A2246" t="s">
        <v>836</v>
      </c>
      <c r="B2246" t="s">
        <v>39</v>
      </c>
      <c r="C2246" t="s">
        <v>58</v>
      </c>
      <c r="D2246" t="s">
        <v>135</v>
      </c>
      <c r="E2246" t="s">
        <v>136</v>
      </c>
      <c r="F2246" t="s">
        <v>893</v>
      </c>
      <c r="G2246" t="s">
        <v>894</v>
      </c>
      <c r="H2246" t="s">
        <v>902</v>
      </c>
      <c r="I2246" t="s">
        <v>903</v>
      </c>
      <c r="J2246" t="s">
        <v>841</v>
      </c>
      <c r="K2246" t="s">
        <v>842</v>
      </c>
      <c r="L2246" t="s">
        <v>904</v>
      </c>
      <c r="M2246" t="s">
        <v>15</v>
      </c>
      <c r="N2246" s="2">
        <v>1631</v>
      </c>
      <c r="O2246" s="2">
        <v>0</v>
      </c>
      <c r="P2246" s="2">
        <v>0</v>
      </c>
      <c r="Q2246" s="2">
        <v>1631</v>
      </c>
      <c r="R2246" s="2">
        <v>721.6</v>
      </c>
      <c r="S2246" s="2">
        <v>909.4</v>
      </c>
      <c r="T2246" s="2">
        <v>909.4</v>
      </c>
      <c r="U2246" s="2">
        <v>721.6</v>
      </c>
      <c r="V2246" s="2">
        <v>721.6</v>
      </c>
      <c r="W2246" s="2">
        <v>0</v>
      </c>
    </row>
    <row r="2247" spans="1:23" outlineLevel="2" x14ac:dyDescent="0.2">
      <c r="A2247" t="s">
        <v>836</v>
      </c>
      <c r="B2247" t="s">
        <v>31</v>
      </c>
      <c r="C2247" t="s">
        <v>49</v>
      </c>
      <c r="D2247" t="s">
        <v>50</v>
      </c>
      <c r="E2247" t="s">
        <v>51</v>
      </c>
      <c r="F2247" t="s">
        <v>893</v>
      </c>
      <c r="G2247" t="s">
        <v>894</v>
      </c>
      <c r="H2247" t="s">
        <v>902</v>
      </c>
      <c r="I2247" t="s">
        <v>903</v>
      </c>
      <c r="J2247" t="s">
        <v>841</v>
      </c>
      <c r="K2247" t="s">
        <v>844</v>
      </c>
      <c r="L2247" t="s">
        <v>898</v>
      </c>
      <c r="M2247" t="s">
        <v>15</v>
      </c>
      <c r="N2247" s="2">
        <v>2434.92</v>
      </c>
      <c r="O2247" s="2">
        <v>720.63</v>
      </c>
      <c r="P2247" s="2">
        <v>-34.89</v>
      </c>
      <c r="Q2247" s="2">
        <v>3120.66</v>
      </c>
      <c r="R2247" s="2">
        <v>34.01</v>
      </c>
      <c r="S2247" s="2">
        <v>3086.65</v>
      </c>
      <c r="T2247" s="2">
        <v>3086.65</v>
      </c>
      <c r="U2247" s="2">
        <v>34.01</v>
      </c>
      <c r="V2247" s="2">
        <v>34.01</v>
      </c>
      <c r="W2247" s="2">
        <v>0</v>
      </c>
    </row>
    <row r="2248" spans="1:23" outlineLevel="2" x14ac:dyDescent="0.2">
      <c r="A2248" t="s">
        <v>836</v>
      </c>
      <c r="B2248" t="s">
        <v>39</v>
      </c>
      <c r="C2248" t="s">
        <v>58</v>
      </c>
      <c r="D2248" t="s">
        <v>135</v>
      </c>
      <c r="E2248" t="s">
        <v>136</v>
      </c>
      <c r="F2248" t="s">
        <v>893</v>
      </c>
      <c r="G2248" t="s">
        <v>894</v>
      </c>
      <c r="H2248" t="s">
        <v>902</v>
      </c>
      <c r="I2248" t="s">
        <v>903</v>
      </c>
      <c r="J2248" t="s">
        <v>841</v>
      </c>
      <c r="K2248" t="s">
        <v>844</v>
      </c>
      <c r="L2248" t="s">
        <v>905</v>
      </c>
      <c r="M2248" t="s">
        <v>12</v>
      </c>
      <c r="N2248" s="2">
        <v>0</v>
      </c>
      <c r="O2248" s="2">
        <v>0</v>
      </c>
      <c r="P2248" s="2">
        <v>11.64</v>
      </c>
      <c r="Q2248" s="2">
        <v>11.64</v>
      </c>
      <c r="R2248" s="2">
        <v>0</v>
      </c>
      <c r="S2248" s="2">
        <v>0</v>
      </c>
      <c r="T2248" s="2">
        <v>0</v>
      </c>
      <c r="U2248" s="2">
        <v>11.64</v>
      </c>
      <c r="V2248" s="2">
        <v>11.64</v>
      </c>
      <c r="W2248" s="2">
        <v>11.64</v>
      </c>
    </row>
    <row r="2249" spans="1:23" outlineLevel="2" x14ac:dyDescent="0.2">
      <c r="A2249" t="s">
        <v>836</v>
      </c>
      <c r="B2249" t="s">
        <v>31</v>
      </c>
      <c r="C2249" t="s">
        <v>49</v>
      </c>
      <c r="D2249" t="s">
        <v>50</v>
      </c>
      <c r="E2249" t="s">
        <v>51</v>
      </c>
      <c r="F2249" t="s">
        <v>893</v>
      </c>
      <c r="G2249" t="s">
        <v>894</v>
      </c>
      <c r="H2249" t="s">
        <v>902</v>
      </c>
      <c r="I2249" t="s">
        <v>903</v>
      </c>
      <c r="J2249" t="s">
        <v>841</v>
      </c>
      <c r="K2249" t="s">
        <v>844</v>
      </c>
      <c r="L2249" t="s">
        <v>898</v>
      </c>
      <c r="M2249" t="s">
        <v>12</v>
      </c>
      <c r="N2249" s="2">
        <v>0</v>
      </c>
      <c r="O2249" s="2">
        <v>0</v>
      </c>
      <c r="P2249" s="2">
        <v>34.89</v>
      </c>
      <c r="Q2249" s="2">
        <v>34.89</v>
      </c>
      <c r="R2249" s="2">
        <v>0</v>
      </c>
      <c r="S2249" s="2">
        <v>0</v>
      </c>
      <c r="T2249" s="2">
        <v>0</v>
      </c>
      <c r="U2249" s="2">
        <v>34.89</v>
      </c>
      <c r="V2249" s="2">
        <v>34.89</v>
      </c>
      <c r="W2249" s="2">
        <v>34.89</v>
      </c>
    </row>
    <row r="2250" spans="1:23" outlineLevel="2" x14ac:dyDescent="0.2">
      <c r="A2250" t="s">
        <v>836</v>
      </c>
      <c r="B2250" t="s">
        <v>39</v>
      </c>
      <c r="C2250" t="s">
        <v>58</v>
      </c>
      <c r="D2250" t="s">
        <v>135</v>
      </c>
      <c r="E2250" t="s">
        <v>136</v>
      </c>
      <c r="F2250" t="s">
        <v>893</v>
      </c>
      <c r="G2250" t="s">
        <v>894</v>
      </c>
      <c r="H2250" t="s">
        <v>902</v>
      </c>
      <c r="I2250" t="s">
        <v>903</v>
      </c>
      <c r="J2250" t="s">
        <v>841</v>
      </c>
      <c r="K2250" t="s">
        <v>844</v>
      </c>
      <c r="L2250" t="s">
        <v>905</v>
      </c>
      <c r="M2250" t="s">
        <v>15</v>
      </c>
      <c r="N2250" s="2">
        <v>811.64</v>
      </c>
      <c r="O2250" s="2">
        <v>0</v>
      </c>
      <c r="P2250" s="2">
        <v>-11.64</v>
      </c>
      <c r="Q2250" s="2">
        <v>800</v>
      </c>
      <c r="R2250" s="2">
        <v>430.83</v>
      </c>
      <c r="S2250" s="2">
        <v>369.17</v>
      </c>
      <c r="T2250" s="2">
        <v>369.17</v>
      </c>
      <c r="U2250" s="2">
        <v>430.83</v>
      </c>
      <c r="V2250" s="2">
        <v>430.83</v>
      </c>
      <c r="W2250" s="2">
        <v>0</v>
      </c>
    </row>
    <row r="2251" spans="1:23" outlineLevel="2" x14ac:dyDescent="0.2">
      <c r="A2251" t="s">
        <v>836</v>
      </c>
      <c r="B2251" t="s">
        <v>31</v>
      </c>
      <c r="C2251" t="s">
        <v>49</v>
      </c>
      <c r="D2251" t="s">
        <v>50</v>
      </c>
      <c r="E2251" t="s">
        <v>51</v>
      </c>
      <c r="F2251" t="s">
        <v>893</v>
      </c>
      <c r="G2251" t="s">
        <v>894</v>
      </c>
      <c r="H2251" t="s">
        <v>902</v>
      </c>
      <c r="I2251" t="s">
        <v>903</v>
      </c>
      <c r="J2251" t="s">
        <v>841</v>
      </c>
      <c r="K2251" t="s">
        <v>854</v>
      </c>
      <c r="L2251" t="s">
        <v>906</v>
      </c>
      <c r="M2251" t="s">
        <v>15</v>
      </c>
      <c r="N2251" s="2">
        <v>0</v>
      </c>
      <c r="O2251" s="2">
        <v>612</v>
      </c>
      <c r="P2251" s="2">
        <v>0</v>
      </c>
      <c r="Q2251" s="2">
        <v>612</v>
      </c>
      <c r="R2251" s="2">
        <v>0</v>
      </c>
      <c r="S2251" s="2">
        <v>612</v>
      </c>
      <c r="T2251" s="2">
        <v>612</v>
      </c>
      <c r="U2251" s="2">
        <v>0</v>
      </c>
      <c r="V2251" s="2">
        <v>0</v>
      </c>
      <c r="W2251" s="2">
        <v>0</v>
      </c>
    </row>
    <row r="2252" spans="1:23" outlineLevel="2" x14ac:dyDescent="0.2">
      <c r="A2252" t="s">
        <v>836</v>
      </c>
      <c r="B2252" t="s">
        <v>39</v>
      </c>
      <c r="C2252" t="s">
        <v>58</v>
      </c>
      <c r="D2252" t="s">
        <v>135</v>
      </c>
      <c r="E2252" t="s">
        <v>136</v>
      </c>
      <c r="F2252" t="s">
        <v>893</v>
      </c>
      <c r="G2252" t="s">
        <v>894</v>
      </c>
      <c r="H2252" t="s">
        <v>902</v>
      </c>
      <c r="I2252" t="s">
        <v>903</v>
      </c>
      <c r="J2252" t="s">
        <v>841</v>
      </c>
      <c r="K2252" t="s">
        <v>846</v>
      </c>
      <c r="L2252" t="s">
        <v>907</v>
      </c>
      <c r="M2252" t="s">
        <v>15</v>
      </c>
      <c r="N2252" s="2">
        <v>19572</v>
      </c>
      <c r="O2252" s="2">
        <v>0</v>
      </c>
      <c r="P2252" s="2">
        <v>0</v>
      </c>
      <c r="Q2252" s="2">
        <v>19572</v>
      </c>
      <c r="R2252" s="2">
        <v>9474</v>
      </c>
      <c r="S2252" s="2">
        <v>10098</v>
      </c>
      <c r="T2252" s="2">
        <v>10098</v>
      </c>
      <c r="U2252" s="2">
        <v>9474</v>
      </c>
      <c r="V2252" s="2">
        <v>9474</v>
      </c>
      <c r="W2252" s="2">
        <v>0</v>
      </c>
    </row>
    <row r="2253" spans="1:23" outlineLevel="2" x14ac:dyDescent="0.2">
      <c r="A2253" t="s">
        <v>836</v>
      </c>
      <c r="B2253" t="s">
        <v>31</v>
      </c>
      <c r="C2253" t="s">
        <v>49</v>
      </c>
      <c r="D2253" t="s">
        <v>50</v>
      </c>
      <c r="E2253" t="s">
        <v>51</v>
      </c>
      <c r="F2253" t="s">
        <v>893</v>
      </c>
      <c r="G2253" t="s">
        <v>894</v>
      </c>
      <c r="H2253" t="s">
        <v>902</v>
      </c>
      <c r="I2253" t="s">
        <v>903</v>
      </c>
      <c r="J2253" t="s">
        <v>841</v>
      </c>
      <c r="K2253" t="s">
        <v>846</v>
      </c>
      <c r="L2253" t="s">
        <v>899</v>
      </c>
      <c r="M2253" t="s">
        <v>12</v>
      </c>
      <c r="N2253" s="2">
        <v>0</v>
      </c>
      <c r="O2253" s="2">
        <v>0</v>
      </c>
      <c r="P2253" s="2">
        <v>41140.33</v>
      </c>
      <c r="Q2253" s="2">
        <v>41140.33</v>
      </c>
      <c r="R2253" s="2">
        <v>4467</v>
      </c>
      <c r="S2253" s="2">
        <v>4473</v>
      </c>
      <c r="T2253" s="2">
        <v>4473</v>
      </c>
      <c r="U2253" s="2">
        <v>36667.33</v>
      </c>
      <c r="V2253" s="2">
        <v>36667.33</v>
      </c>
      <c r="W2253" s="2">
        <v>32200.33</v>
      </c>
    </row>
    <row r="2254" spans="1:23" outlineLevel="2" x14ac:dyDescent="0.2">
      <c r="A2254" t="s">
        <v>836</v>
      </c>
      <c r="B2254" t="s">
        <v>31</v>
      </c>
      <c r="C2254" t="s">
        <v>49</v>
      </c>
      <c r="D2254" t="s">
        <v>50</v>
      </c>
      <c r="E2254" t="s">
        <v>51</v>
      </c>
      <c r="F2254" t="s">
        <v>893</v>
      </c>
      <c r="G2254" t="s">
        <v>894</v>
      </c>
      <c r="H2254" t="s">
        <v>902</v>
      </c>
      <c r="I2254" t="s">
        <v>903</v>
      </c>
      <c r="J2254" t="s">
        <v>841</v>
      </c>
      <c r="K2254" t="s">
        <v>846</v>
      </c>
      <c r="L2254" t="s">
        <v>899</v>
      </c>
      <c r="M2254" t="s">
        <v>15</v>
      </c>
      <c r="N2254" s="2">
        <v>68076</v>
      </c>
      <c r="O2254" s="2">
        <v>18295</v>
      </c>
      <c r="P2254" s="2">
        <v>0</v>
      </c>
      <c r="Q2254" s="2">
        <v>86371</v>
      </c>
      <c r="R2254" s="2">
        <v>7</v>
      </c>
      <c r="S2254" s="2">
        <v>86364</v>
      </c>
      <c r="T2254" s="2">
        <v>86364</v>
      </c>
      <c r="U2254" s="2">
        <v>7</v>
      </c>
      <c r="V2254" s="2">
        <v>7</v>
      </c>
      <c r="W2254" s="2">
        <v>0</v>
      </c>
    </row>
    <row r="2255" spans="1:23" outlineLevel="2" x14ac:dyDescent="0.2">
      <c r="A2255" t="s">
        <v>836</v>
      </c>
      <c r="B2255" t="s">
        <v>39</v>
      </c>
      <c r="C2255" t="s">
        <v>58</v>
      </c>
      <c r="D2255" t="s">
        <v>135</v>
      </c>
      <c r="E2255" t="s">
        <v>136</v>
      </c>
      <c r="F2255" t="s">
        <v>893</v>
      </c>
      <c r="G2255" t="s">
        <v>894</v>
      </c>
      <c r="H2255" t="s">
        <v>902</v>
      </c>
      <c r="I2255" t="s">
        <v>903</v>
      </c>
      <c r="J2255" t="s">
        <v>841</v>
      </c>
      <c r="K2255" t="s">
        <v>866</v>
      </c>
      <c r="L2255" t="s">
        <v>908</v>
      </c>
      <c r="M2255" t="s">
        <v>12</v>
      </c>
      <c r="N2255" s="2">
        <v>0</v>
      </c>
      <c r="O2255" s="2">
        <v>1650</v>
      </c>
      <c r="P2255" s="2">
        <v>0</v>
      </c>
      <c r="Q2255" s="2">
        <v>1650</v>
      </c>
      <c r="R2255" s="2">
        <v>0</v>
      </c>
      <c r="S2255" s="2">
        <v>814.8</v>
      </c>
      <c r="T2255" s="2">
        <v>814.8</v>
      </c>
      <c r="U2255" s="2">
        <v>835.2</v>
      </c>
      <c r="V2255" s="2">
        <v>835.2</v>
      </c>
      <c r="W2255" s="2">
        <v>835.2</v>
      </c>
    </row>
    <row r="2256" spans="1:23" outlineLevel="2" x14ac:dyDescent="0.2">
      <c r="A2256" t="s">
        <v>836</v>
      </c>
      <c r="B2256" t="s">
        <v>39</v>
      </c>
      <c r="C2256" t="s">
        <v>58</v>
      </c>
      <c r="D2256" t="s">
        <v>135</v>
      </c>
      <c r="E2256" t="s">
        <v>136</v>
      </c>
      <c r="F2256" t="s">
        <v>893</v>
      </c>
      <c r="G2256" t="s">
        <v>894</v>
      </c>
      <c r="H2256" t="s">
        <v>902</v>
      </c>
      <c r="I2256" t="s">
        <v>903</v>
      </c>
      <c r="J2256" t="s">
        <v>841</v>
      </c>
      <c r="K2256" t="s">
        <v>848</v>
      </c>
      <c r="L2256" t="s">
        <v>909</v>
      </c>
      <c r="M2256" t="s">
        <v>15</v>
      </c>
      <c r="N2256" s="2">
        <v>2475.86</v>
      </c>
      <c r="O2256" s="2">
        <v>0</v>
      </c>
      <c r="P2256" s="2">
        <v>0</v>
      </c>
      <c r="Q2256" s="2">
        <v>2475.86</v>
      </c>
      <c r="R2256" s="2">
        <v>1095.3599999999999</v>
      </c>
      <c r="S2256" s="2">
        <v>1380.5</v>
      </c>
      <c r="T2256" s="2">
        <v>1380.5</v>
      </c>
      <c r="U2256" s="2">
        <v>1095.3599999999999</v>
      </c>
      <c r="V2256" s="2">
        <v>1095.3599999999999</v>
      </c>
      <c r="W2256" s="2">
        <v>0</v>
      </c>
    </row>
    <row r="2257" spans="1:23" outlineLevel="2" x14ac:dyDescent="0.2">
      <c r="A2257" t="s">
        <v>836</v>
      </c>
      <c r="B2257" t="s">
        <v>31</v>
      </c>
      <c r="C2257" t="s">
        <v>49</v>
      </c>
      <c r="D2257" t="s">
        <v>50</v>
      </c>
      <c r="E2257" t="s">
        <v>51</v>
      </c>
      <c r="F2257" t="s">
        <v>893</v>
      </c>
      <c r="G2257" t="s">
        <v>894</v>
      </c>
      <c r="H2257" t="s">
        <v>902</v>
      </c>
      <c r="I2257" t="s">
        <v>903</v>
      </c>
      <c r="J2257" t="s">
        <v>841</v>
      </c>
      <c r="K2257" t="s">
        <v>848</v>
      </c>
      <c r="L2257" t="s">
        <v>900</v>
      </c>
      <c r="M2257" t="s">
        <v>12</v>
      </c>
      <c r="N2257" s="2">
        <v>0</v>
      </c>
      <c r="O2257" s="2">
        <v>0</v>
      </c>
      <c r="P2257" s="2">
        <v>5204.29</v>
      </c>
      <c r="Q2257" s="2">
        <v>5204.29</v>
      </c>
      <c r="R2257" s="2">
        <v>574.16</v>
      </c>
      <c r="S2257" s="2">
        <v>565.84</v>
      </c>
      <c r="T2257" s="2">
        <v>565.84</v>
      </c>
      <c r="U2257" s="2">
        <v>4638.45</v>
      </c>
      <c r="V2257" s="2">
        <v>4638.45</v>
      </c>
      <c r="W2257" s="2">
        <v>4064.29</v>
      </c>
    </row>
    <row r="2258" spans="1:23" outlineLevel="2" x14ac:dyDescent="0.2">
      <c r="A2258" t="s">
        <v>836</v>
      </c>
      <c r="B2258" t="s">
        <v>31</v>
      </c>
      <c r="C2258" t="s">
        <v>49</v>
      </c>
      <c r="D2258" t="s">
        <v>50</v>
      </c>
      <c r="E2258" t="s">
        <v>51</v>
      </c>
      <c r="F2258" t="s">
        <v>893</v>
      </c>
      <c r="G2258" t="s">
        <v>894</v>
      </c>
      <c r="H2258" t="s">
        <v>902</v>
      </c>
      <c r="I2258" t="s">
        <v>903</v>
      </c>
      <c r="J2258" t="s">
        <v>841</v>
      </c>
      <c r="K2258" t="s">
        <v>848</v>
      </c>
      <c r="L2258" t="s">
        <v>900</v>
      </c>
      <c r="M2258" t="s">
        <v>15</v>
      </c>
      <c r="N2258" s="2">
        <v>8611.61</v>
      </c>
      <c r="O2258" s="2">
        <v>2391.6999999999998</v>
      </c>
      <c r="P2258" s="2">
        <v>0</v>
      </c>
      <c r="Q2258" s="2">
        <v>11003.31</v>
      </c>
      <c r="R2258" s="2">
        <v>0.81</v>
      </c>
      <c r="S2258" s="2">
        <v>11002.5</v>
      </c>
      <c r="T2258" s="2">
        <v>11002.5</v>
      </c>
      <c r="U2258" s="2">
        <v>0.81</v>
      </c>
      <c r="V2258" s="2">
        <v>0.81</v>
      </c>
      <c r="W2258" s="2">
        <v>0</v>
      </c>
    </row>
    <row r="2259" spans="1:23" outlineLevel="2" x14ac:dyDescent="0.2">
      <c r="A2259" t="s">
        <v>836</v>
      </c>
      <c r="B2259" t="s">
        <v>39</v>
      </c>
      <c r="C2259" t="s">
        <v>58</v>
      </c>
      <c r="D2259" t="s">
        <v>135</v>
      </c>
      <c r="E2259" t="s">
        <v>136</v>
      </c>
      <c r="F2259" t="s">
        <v>893</v>
      </c>
      <c r="G2259" t="s">
        <v>894</v>
      </c>
      <c r="H2259" t="s">
        <v>902</v>
      </c>
      <c r="I2259" t="s">
        <v>903</v>
      </c>
      <c r="J2259" t="s">
        <v>841</v>
      </c>
      <c r="K2259" t="s">
        <v>850</v>
      </c>
      <c r="L2259" t="s">
        <v>910</v>
      </c>
      <c r="M2259" t="s">
        <v>15</v>
      </c>
      <c r="N2259" s="2">
        <v>1631</v>
      </c>
      <c r="O2259" s="2">
        <v>0</v>
      </c>
      <c r="P2259" s="2">
        <v>0</v>
      </c>
      <c r="Q2259" s="2">
        <v>1631</v>
      </c>
      <c r="R2259" s="2">
        <v>721.96</v>
      </c>
      <c r="S2259" s="2">
        <v>909.04</v>
      </c>
      <c r="T2259" s="2">
        <v>909.04</v>
      </c>
      <c r="U2259" s="2">
        <v>721.96</v>
      </c>
      <c r="V2259" s="2">
        <v>721.96</v>
      </c>
      <c r="W2259" s="2">
        <v>0</v>
      </c>
    </row>
    <row r="2260" spans="1:23" outlineLevel="2" x14ac:dyDescent="0.2">
      <c r="A2260" t="s">
        <v>836</v>
      </c>
      <c r="B2260" t="s">
        <v>31</v>
      </c>
      <c r="C2260" t="s">
        <v>49</v>
      </c>
      <c r="D2260" t="s">
        <v>50</v>
      </c>
      <c r="E2260" t="s">
        <v>51</v>
      </c>
      <c r="F2260" t="s">
        <v>893</v>
      </c>
      <c r="G2260" t="s">
        <v>894</v>
      </c>
      <c r="H2260" t="s">
        <v>902</v>
      </c>
      <c r="I2260" t="s">
        <v>903</v>
      </c>
      <c r="J2260" t="s">
        <v>841</v>
      </c>
      <c r="K2260" t="s">
        <v>850</v>
      </c>
      <c r="L2260" t="s">
        <v>901</v>
      </c>
      <c r="M2260" t="s">
        <v>15</v>
      </c>
      <c r="N2260" s="2">
        <v>5673</v>
      </c>
      <c r="O2260" s="2">
        <v>0</v>
      </c>
      <c r="P2260" s="2">
        <v>0</v>
      </c>
      <c r="Q2260" s="2">
        <v>5673</v>
      </c>
      <c r="R2260" s="2">
        <v>939.19</v>
      </c>
      <c r="S2260" s="2">
        <v>4733.8100000000004</v>
      </c>
      <c r="T2260" s="2">
        <v>4733.8100000000004</v>
      </c>
      <c r="U2260" s="2">
        <v>939.19</v>
      </c>
      <c r="V2260" s="2">
        <v>939.19</v>
      </c>
      <c r="W2260" s="2">
        <v>0</v>
      </c>
    </row>
    <row r="2261" spans="1:23" outlineLevel="2" x14ac:dyDescent="0.2">
      <c r="A2261" t="s">
        <v>836</v>
      </c>
      <c r="B2261" t="s">
        <v>1</v>
      </c>
      <c r="C2261" t="s">
        <v>2</v>
      </c>
      <c r="D2261" t="s">
        <v>463</v>
      </c>
      <c r="E2261" t="s">
        <v>464</v>
      </c>
      <c r="F2261" t="s">
        <v>911</v>
      </c>
      <c r="G2261" t="s">
        <v>912</v>
      </c>
      <c r="H2261" t="s">
        <v>913</v>
      </c>
      <c r="I2261" t="s">
        <v>914</v>
      </c>
      <c r="J2261" t="s">
        <v>841</v>
      </c>
      <c r="K2261" t="s">
        <v>842</v>
      </c>
      <c r="L2261" t="s">
        <v>915</v>
      </c>
      <c r="M2261" t="s">
        <v>15</v>
      </c>
      <c r="N2261" s="2">
        <v>0</v>
      </c>
      <c r="O2261" s="2">
        <v>23389.5</v>
      </c>
      <c r="P2261" s="2">
        <v>-7796.5</v>
      </c>
      <c r="Q2261" s="2">
        <v>15593</v>
      </c>
      <c r="R2261" s="2">
        <v>15593</v>
      </c>
      <c r="S2261" s="2">
        <v>0</v>
      </c>
      <c r="T2261" s="2">
        <v>0</v>
      </c>
      <c r="U2261" s="2">
        <v>15593</v>
      </c>
      <c r="V2261" s="2">
        <v>15593</v>
      </c>
      <c r="W2261" s="2">
        <v>0</v>
      </c>
    </row>
    <row r="2262" spans="1:23" outlineLevel="2" x14ac:dyDescent="0.2">
      <c r="A2262" t="s">
        <v>836</v>
      </c>
      <c r="B2262" t="s">
        <v>1</v>
      </c>
      <c r="C2262" t="s">
        <v>2</v>
      </c>
      <c r="D2262" t="s">
        <v>463</v>
      </c>
      <c r="E2262" t="s">
        <v>464</v>
      </c>
      <c r="F2262" t="s">
        <v>911</v>
      </c>
      <c r="G2262" t="s">
        <v>912</v>
      </c>
      <c r="H2262" t="s">
        <v>913</v>
      </c>
      <c r="I2262" t="s">
        <v>914</v>
      </c>
      <c r="J2262" t="s">
        <v>841</v>
      </c>
      <c r="K2262" t="s">
        <v>842</v>
      </c>
      <c r="L2262" t="s">
        <v>915</v>
      </c>
      <c r="M2262" t="s">
        <v>12</v>
      </c>
      <c r="N2262" s="2">
        <v>0</v>
      </c>
      <c r="O2262" s="2">
        <v>0</v>
      </c>
      <c r="P2262" s="2">
        <v>7796.5</v>
      </c>
      <c r="Q2262" s="2">
        <v>7796.5</v>
      </c>
      <c r="R2262" s="2">
        <v>0</v>
      </c>
      <c r="S2262" s="2">
        <v>0</v>
      </c>
      <c r="T2262" s="2">
        <v>0</v>
      </c>
      <c r="U2262" s="2">
        <v>7796.5</v>
      </c>
      <c r="V2262" s="2">
        <v>7796.5</v>
      </c>
      <c r="W2262" s="2">
        <v>7796.5</v>
      </c>
    </row>
    <row r="2263" spans="1:23" outlineLevel="2" x14ac:dyDescent="0.2">
      <c r="A2263" t="s">
        <v>836</v>
      </c>
      <c r="B2263" t="s">
        <v>1</v>
      </c>
      <c r="C2263" t="s">
        <v>2</v>
      </c>
      <c r="D2263" t="s">
        <v>463</v>
      </c>
      <c r="E2263" t="s">
        <v>464</v>
      </c>
      <c r="F2263" t="s">
        <v>911</v>
      </c>
      <c r="G2263" t="s">
        <v>912</v>
      </c>
      <c r="H2263" t="s">
        <v>913</v>
      </c>
      <c r="I2263" t="s">
        <v>914</v>
      </c>
      <c r="J2263" t="s">
        <v>841</v>
      </c>
      <c r="K2263" t="s">
        <v>844</v>
      </c>
      <c r="L2263" t="s">
        <v>916</v>
      </c>
      <c r="M2263" t="s">
        <v>15</v>
      </c>
      <c r="N2263" s="2">
        <v>0</v>
      </c>
      <c r="O2263" s="2">
        <v>9300</v>
      </c>
      <c r="P2263" s="2">
        <v>-3100</v>
      </c>
      <c r="Q2263" s="2">
        <v>6200</v>
      </c>
      <c r="R2263" s="2">
        <v>6200</v>
      </c>
      <c r="S2263" s="2">
        <v>0</v>
      </c>
      <c r="T2263" s="2">
        <v>0</v>
      </c>
      <c r="U2263" s="2">
        <v>6200</v>
      </c>
      <c r="V2263" s="2">
        <v>6200</v>
      </c>
      <c r="W2263" s="2">
        <v>0</v>
      </c>
    </row>
    <row r="2264" spans="1:23" outlineLevel="2" x14ac:dyDescent="0.2">
      <c r="A2264" t="s">
        <v>836</v>
      </c>
      <c r="B2264" t="s">
        <v>1</v>
      </c>
      <c r="C2264" t="s">
        <v>2</v>
      </c>
      <c r="D2264" t="s">
        <v>463</v>
      </c>
      <c r="E2264" t="s">
        <v>464</v>
      </c>
      <c r="F2264" t="s">
        <v>911</v>
      </c>
      <c r="G2264" t="s">
        <v>912</v>
      </c>
      <c r="H2264" t="s">
        <v>913</v>
      </c>
      <c r="I2264" t="s">
        <v>914</v>
      </c>
      <c r="J2264" t="s">
        <v>841</v>
      </c>
      <c r="K2264" t="s">
        <v>844</v>
      </c>
      <c r="L2264" t="s">
        <v>916</v>
      </c>
      <c r="M2264" t="s">
        <v>12</v>
      </c>
      <c r="N2264" s="2">
        <v>0</v>
      </c>
      <c r="O2264" s="2">
        <v>0</v>
      </c>
      <c r="P2264" s="2">
        <v>3100</v>
      </c>
      <c r="Q2264" s="2">
        <v>3100</v>
      </c>
      <c r="R2264" s="2">
        <v>0</v>
      </c>
      <c r="S2264" s="2">
        <v>0</v>
      </c>
      <c r="T2264" s="2">
        <v>0</v>
      </c>
      <c r="U2264" s="2">
        <v>3100</v>
      </c>
      <c r="V2264" s="2">
        <v>3100</v>
      </c>
      <c r="W2264" s="2">
        <v>3100</v>
      </c>
    </row>
    <row r="2265" spans="1:23" outlineLevel="2" x14ac:dyDescent="0.2">
      <c r="A2265" t="s">
        <v>836</v>
      </c>
      <c r="B2265" t="s">
        <v>1</v>
      </c>
      <c r="C2265" t="s">
        <v>2</v>
      </c>
      <c r="D2265" t="s">
        <v>463</v>
      </c>
      <c r="E2265" t="s">
        <v>464</v>
      </c>
      <c r="F2265" t="s">
        <v>911</v>
      </c>
      <c r="G2265" t="s">
        <v>912</v>
      </c>
      <c r="H2265" t="s">
        <v>913</v>
      </c>
      <c r="I2265" t="s">
        <v>914</v>
      </c>
      <c r="J2265" t="s">
        <v>841</v>
      </c>
      <c r="K2265" t="s">
        <v>846</v>
      </c>
      <c r="L2265" t="s">
        <v>917</v>
      </c>
      <c r="M2265" t="s">
        <v>15</v>
      </c>
      <c r="N2265" s="2">
        <v>0</v>
      </c>
      <c r="O2265" s="2">
        <v>280674</v>
      </c>
      <c r="P2265" s="2">
        <v>-93558</v>
      </c>
      <c r="Q2265" s="2">
        <v>187116</v>
      </c>
      <c r="R2265" s="2">
        <v>187116</v>
      </c>
      <c r="S2265" s="2">
        <v>0</v>
      </c>
      <c r="T2265" s="2">
        <v>0</v>
      </c>
      <c r="U2265" s="2">
        <v>187116</v>
      </c>
      <c r="V2265" s="2">
        <v>187116</v>
      </c>
      <c r="W2265" s="2">
        <v>0</v>
      </c>
    </row>
    <row r="2266" spans="1:23" outlineLevel="2" x14ac:dyDescent="0.2">
      <c r="A2266" t="s">
        <v>836</v>
      </c>
      <c r="B2266" t="s">
        <v>1</v>
      </c>
      <c r="C2266" t="s">
        <v>2</v>
      </c>
      <c r="D2266" t="s">
        <v>463</v>
      </c>
      <c r="E2266" t="s">
        <v>464</v>
      </c>
      <c r="F2266" t="s">
        <v>911</v>
      </c>
      <c r="G2266" t="s">
        <v>912</v>
      </c>
      <c r="H2266" t="s">
        <v>913</v>
      </c>
      <c r="I2266" t="s">
        <v>914</v>
      </c>
      <c r="J2266" t="s">
        <v>841</v>
      </c>
      <c r="K2266" t="s">
        <v>846</v>
      </c>
      <c r="L2266" t="s">
        <v>917</v>
      </c>
      <c r="M2266" t="s">
        <v>12</v>
      </c>
      <c r="N2266" s="2">
        <v>0</v>
      </c>
      <c r="O2266" s="2">
        <v>0</v>
      </c>
      <c r="P2266" s="2">
        <v>93558</v>
      </c>
      <c r="Q2266" s="2">
        <v>93558</v>
      </c>
      <c r="R2266" s="2">
        <v>0</v>
      </c>
      <c r="S2266" s="2">
        <v>0</v>
      </c>
      <c r="T2266" s="2">
        <v>0</v>
      </c>
      <c r="U2266" s="2">
        <v>93558</v>
      </c>
      <c r="V2266" s="2">
        <v>93558</v>
      </c>
      <c r="W2266" s="2">
        <v>93558</v>
      </c>
    </row>
    <row r="2267" spans="1:23" outlineLevel="2" x14ac:dyDescent="0.2">
      <c r="A2267" t="s">
        <v>836</v>
      </c>
      <c r="B2267" t="s">
        <v>1</v>
      </c>
      <c r="C2267" t="s">
        <v>2</v>
      </c>
      <c r="D2267" t="s">
        <v>463</v>
      </c>
      <c r="E2267" t="s">
        <v>464</v>
      </c>
      <c r="F2267" t="s">
        <v>911</v>
      </c>
      <c r="G2267" t="s">
        <v>912</v>
      </c>
      <c r="H2267" t="s">
        <v>913</v>
      </c>
      <c r="I2267" t="s">
        <v>914</v>
      </c>
      <c r="J2267" t="s">
        <v>841</v>
      </c>
      <c r="K2267" t="s">
        <v>848</v>
      </c>
      <c r="L2267" t="s">
        <v>918</v>
      </c>
      <c r="M2267" t="s">
        <v>15</v>
      </c>
      <c r="N2267" s="2">
        <v>0</v>
      </c>
      <c r="O2267" s="2">
        <v>35505.26</v>
      </c>
      <c r="P2267" s="2">
        <v>-11835.09</v>
      </c>
      <c r="Q2267" s="2">
        <v>23670.17</v>
      </c>
      <c r="R2267" s="2">
        <v>23670.17</v>
      </c>
      <c r="S2267" s="2">
        <v>0</v>
      </c>
      <c r="T2267" s="2">
        <v>0</v>
      </c>
      <c r="U2267" s="2">
        <v>23670.17</v>
      </c>
      <c r="V2267" s="2">
        <v>23670.17</v>
      </c>
      <c r="W2267" s="2">
        <v>0</v>
      </c>
    </row>
    <row r="2268" spans="1:23" outlineLevel="2" x14ac:dyDescent="0.2">
      <c r="A2268" t="s">
        <v>836</v>
      </c>
      <c r="B2268" t="s">
        <v>1</v>
      </c>
      <c r="C2268" t="s">
        <v>2</v>
      </c>
      <c r="D2268" t="s">
        <v>463</v>
      </c>
      <c r="E2268" t="s">
        <v>464</v>
      </c>
      <c r="F2268" t="s">
        <v>911</v>
      </c>
      <c r="G2268" t="s">
        <v>912</v>
      </c>
      <c r="H2268" t="s">
        <v>913</v>
      </c>
      <c r="I2268" t="s">
        <v>914</v>
      </c>
      <c r="J2268" t="s">
        <v>841</v>
      </c>
      <c r="K2268" t="s">
        <v>848</v>
      </c>
      <c r="L2268" t="s">
        <v>918</v>
      </c>
      <c r="M2268" t="s">
        <v>12</v>
      </c>
      <c r="N2268" s="2">
        <v>0</v>
      </c>
      <c r="O2268" s="2">
        <v>0</v>
      </c>
      <c r="P2268" s="2">
        <v>11835.09</v>
      </c>
      <c r="Q2268" s="2">
        <v>11835.09</v>
      </c>
      <c r="R2268" s="2">
        <v>0</v>
      </c>
      <c r="S2268" s="2">
        <v>0</v>
      </c>
      <c r="T2268" s="2">
        <v>0</v>
      </c>
      <c r="U2268" s="2">
        <v>11835.09</v>
      </c>
      <c r="V2268" s="2">
        <v>11835.09</v>
      </c>
      <c r="W2268" s="2">
        <v>11835.09</v>
      </c>
    </row>
    <row r="2269" spans="1:23" outlineLevel="2" x14ac:dyDescent="0.2">
      <c r="A2269" t="s">
        <v>836</v>
      </c>
      <c r="B2269" t="s">
        <v>1</v>
      </c>
      <c r="C2269" t="s">
        <v>2</v>
      </c>
      <c r="D2269" t="s">
        <v>463</v>
      </c>
      <c r="E2269" t="s">
        <v>464</v>
      </c>
      <c r="F2269" t="s">
        <v>911</v>
      </c>
      <c r="G2269" t="s">
        <v>912</v>
      </c>
      <c r="H2269" t="s">
        <v>913</v>
      </c>
      <c r="I2269" t="s">
        <v>914</v>
      </c>
      <c r="J2269" t="s">
        <v>841</v>
      </c>
      <c r="K2269" t="s">
        <v>850</v>
      </c>
      <c r="L2269" t="s">
        <v>919</v>
      </c>
      <c r="M2269" t="s">
        <v>15</v>
      </c>
      <c r="N2269" s="2">
        <v>0</v>
      </c>
      <c r="O2269" s="2">
        <v>23389.5</v>
      </c>
      <c r="P2269" s="2">
        <v>-7796.5</v>
      </c>
      <c r="Q2269" s="2">
        <v>15593</v>
      </c>
      <c r="R2269" s="2">
        <v>15593</v>
      </c>
      <c r="S2269" s="2">
        <v>0</v>
      </c>
      <c r="T2269" s="2">
        <v>0</v>
      </c>
      <c r="U2269" s="2">
        <v>15593</v>
      </c>
      <c r="V2269" s="2">
        <v>15593</v>
      </c>
      <c r="W2269" s="2">
        <v>0</v>
      </c>
    </row>
    <row r="2270" spans="1:23" outlineLevel="2" x14ac:dyDescent="0.2">
      <c r="A2270" t="s">
        <v>836</v>
      </c>
      <c r="B2270" t="s">
        <v>1</v>
      </c>
      <c r="C2270" t="s">
        <v>2</v>
      </c>
      <c r="D2270" t="s">
        <v>463</v>
      </c>
      <c r="E2270" t="s">
        <v>464</v>
      </c>
      <c r="F2270" t="s">
        <v>911</v>
      </c>
      <c r="G2270" t="s">
        <v>912</v>
      </c>
      <c r="H2270" t="s">
        <v>913</v>
      </c>
      <c r="I2270" t="s">
        <v>914</v>
      </c>
      <c r="J2270" t="s">
        <v>841</v>
      </c>
      <c r="K2270" t="s">
        <v>850</v>
      </c>
      <c r="L2270" t="s">
        <v>919</v>
      </c>
      <c r="M2270" t="s">
        <v>12</v>
      </c>
      <c r="N2270" s="2">
        <v>0</v>
      </c>
      <c r="O2270" s="2">
        <v>0</v>
      </c>
      <c r="P2270" s="2">
        <v>7796.5</v>
      </c>
      <c r="Q2270" s="2">
        <v>7796.5</v>
      </c>
      <c r="R2270" s="2">
        <v>0</v>
      </c>
      <c r="S2270" s="2">
        <v>0</v>
      </c>
      <c r="T2270" s="2">
        <v>0</v>
      </c>
      <c r="U2270" s="2">
        <v>7796.5</v>
      </c>
      <c r="V2270" s="2">
        <v>7796.5</v>
      </c>
      <c r="W2270" s="2">
        <v>7796.5</v>
      </c>
    </row>
    <row r="2271" spans="1:23" outlineLevel="2" x14ac:dyDescent="0.2">
      <c r="A2271" t="s">
        <v>836</v>
      </c>
      <c r="B2271" t="s">
        <v>1</v>
      </c>
      <c r="C2271" t="s">
        <v>91</v>
      </c>
      <c r="D2271" t="s">
        <v>92</v>
      </c>
      <c r="E2271" t="s">
        <v>93</v>
      </c>
      <c r="F2271" t="s">
        <v>911</v>
      </c>
      <c r="G2271" t="s">
        <v>912</v>
      </c>
      <c r="H2271" t="s">
        <v>920</v>
      </c>
      <c r="I2271" t="s">
        <v>921</v>
      </c>
      <c r="J2271" t="s">
        <v>841</v>
      </c>
      <c r="K2271" t="s">
        <v>842</v>
      </c>
      <c r="L2271" t="s">
        <v>922</v>
      </c>
      <c r="M2271" t="s">
        <v>15</v>
      </c>
      <c r="N2271" s="2">
        <v>0</v>
      </c>
      <c r="O2271" s="2">
        <v>229715</v>
      </c>
      <c r="P2271" s="2">
        <v>0</v>
      </c>
      <c r="Q2271" s="2">
        <v>229715</v>
      </c>
      <c r="R2271" s="2">
        <v>206412.29</v>
      </c>
      <c r="S2271" s="2">
        <v>23302.71</v>
      </c>
      <c r="T2271" s="2">
        <v>23302.71</v>
      </c>
      <c r="U2271" s="2">
        <v>206412.29</v>
      </c>
      <c r="V2271" s="2">
        <v>206412.29</v>
      </c>
      <c r="W2271" s="2">
        <v>0</v>
      </c>
    </row>
    <row r="2272" spans="1:23" outlineLevel="2" x14ac:dyDescent="0.2">
      <c r="A2272" t="s">
        <v>836</v>
      </c>
      <c r="B2272" t="s">
        <v>1</v>
      </c>
      <c r="C2272" t="s">
        <v>91</v>
      </c>
      <c r="D2272" t="s">
        <v>92</v>
      </c>
      <c r="E2272" t="s">
        <v>93</v>
      </c>
      <c r="F2272" t="s">
        <v>911</v>
      </c>
      <c r="G2272" t="s">
        <v>912</v>
      </c>
      <c r="H2272" t="s">
        <v>920</v>
      </c>
      <c r="I2272" t="s">
        <v>921</v>
      </c>
      <c r="J2272" t="s">
        <v>841</v>
      </c>
      <c r="K2272" t="s">
        <v>844</v>
      </c>
      <c r="L2272" t="s">
        <v>923</v>
      </c>
      <c r="M2272" t="s">
        <v>15</v>
      </c>
      <c r="N2272" s="2">
        <v>0</v>
      </c>
      <c r="O2272" s="2">
        <v>76676.61</v>
      </c>
      <c r="P2272" s="2">
        <v>0</v>
      </c>
      <c r="Q2272" s="2">
        <v>76676.61</v>
      </c>
      <c r="R2272" s="2">
        <v>29602.34</v>
      </c>
      <c r="S2272" s="2">
        <v>47074.27</v>
      </c>
      <c r="T2272" s="2">
        <v>47074.27</v>
      </c>
      <c r="U2272" s="2">
        <v>29602.34</v>
      </c>
      <c r="V2272" s="2">
        <v>29602.34</v>
      </c>
      <c r="W2272" s="2">
        <v>0</v>
      </c>
    </row>
    <row r="2273" spans="1:23" outlineLevel="2" x14ac:dyDescent="0.2">
      <c r="A2273" t="s">
        <v>836</v>
      </c>
      <c r="B2273" t="s">
        <v>1</v>
      </c>
      <c r="C2273" t="s">
        <v>91</v>
      </c>
      <c r="D2273" t="s">
        <v>92</v>
      </c>
      <c r="E2273" t="s">
        <v>93</v>
      </c>
      <c r="F2273" t="s">
        <v>911</v>
      </c>
      <c r="G2273" t="s">
        <v>912</v>
      </c>
      <c r="H2273" t="s">
        <v>920</v>
      </c>
      <c r="I2273" t="s">
        <v>921</v>
      </c>
      <c r="J2273" t="s">
        <v>841</v>
      </c>
      <c r="K2273" t="s">
        <v>924</v>
      </c>
      <c r="L2273" t="s">
        <v>925</v>
      </c>
      <c r="M2273" t="s">
        <v>15</v>
      </c>
      <c r="N2273" s="2">
        <v>21105.599999999999</v>
      </c>
      <c r="O2273" s="2">
        <v>-11237.24</v>
      </c>
      <c r="P2273" s="2">
        <v>-2415.35</v>
      </c>
      <c r="Q2273" s="2">
        <v>7453.01</v>
      </c>
      <c r="R2273" s="2">
        <v>0</v>
      </c>
      <c r="S2273" s="2">
        <v>7453.01</v>
      </c>
      <c r="T2273" s="2">
        <v>7453.01</v>
      </c>
      <c r="U2273" s="2">
        <v>0</v>
      </c>
      <c r="V2273" s="2">
        <v>0</v>
      </c>
      <c r="W2273" s="2">
        <v>0</v>
      </c>
    </row>
    <row r="2274" spans="1:23" outlineLevel="2" x14ac:dyDescent="0.2">
      <c r="A2274" t="s">
        <v>836</v>
      </c>
      <c r="B2274" t="s">
        <v>1</v>
      </c>
      <c r="C2274" t="s">
        <v>91</v>
      </c>
      <c r="D2274" t="s">
        <v>92</v>
      </c>
      <c r="E2274" t="s">
        <v>93</v>
      </c>
      <c r="F2274" t="s">
        <v>911</v>
      </c>
      <c r="G2274" t="s">
        <v>912</v>
      </c>
      <c r="H2274" t="s">
        <v>920</v>
      </c>
      <c r="I2274" t="s">
        <v>921</v>
      </c>
      <c r="J2274" t="s">
        <v>841</v>
      </c>
      <c r="K2274" t="s">
        <v>863</v>
      </c>
      <c r="L2274" t="s">
        <v>926</v>
      </c>
      <c r="M2274" t="s">
        <v>12</v>
      </c>
      <c r="N2274" s="2">
        <v>0</v>
      </c>
      <c r="O2274" s="2">
        <v>0</v>
      </c>
      <c r="P2274" s="2">
        <v>10825.38</v>
      </c>
      <c r="Q2274" s="2">
        <v>10825.38</v>
      </c>
      <c r="R2274" s="2">
        <v>0</v>
      </c>
      <c r="S2274" s="2">
        <v>370.07</v>
      </c>
      <c r="T2274" s="2">
        <v>370.07</v>
      </c>
      <c r="U2274" s="2">
        <v>10455.31</v>
      </c>
      <c r="V2274" s="2">
        <v>10455.31</v>
      </c>
      <c r="W2274" s="2">
        <v>10455.31</v>
      </c>
    </row>
    <row r="2275" spans="1:23" outlineLevel="2" x14ac:dyDescent="0.2">
      <c r="A2275" t="s">
        <v>836</v>
      </c>
      <c r="B2275" t="s">
        <v>1</v>
      </c>
      <c r="C2275" t="s">
        <v>91</v>
      </c>
      <c r="D2275" t="s">
        <v>92</v>
      </c>
      <c r="E2275" t="s">
        <v>93</v>
      </c>
      <c r="F2275" t="s">
        <v>911</v>
      </c>
      <c r="G2275" t="s">
        <v>912</v>
      </c>
      <c r="H2275" t="s">
        <v>920</v>
      </c>
      <c r="I2275" t="s">
        <v>921</v>
      </c>
      <c r="J2275" t="s">
        <v>841</v>
      </c>
      <c r="K2275" t="s">
        <v>863</v>
      </c>
      <c r="L2275" t="s">
        <v>926</v>
      </c>
      <c r="M2275" t="s">
        <v>15</v>
      </c>
      <c r="N2275" s="2">
        <v>0</v>
      </c>
      <c r="O2275" s="2">
        <v>12000</v>
      </c>
      <c r="P2275" s="2">
        <v>-10825.38</v>
      </c>
      <c r="Q2275" s="2">
        <v>1174.6199999999999</v>
      </c>
      <c r="R2275" s="2">
        <v>0</v>
      </c>
      <c r="S2275" s="2">
        <v>1174.6199999999999</v>
      </c>
      <c r="T2275" s="2">
        <v>1174.6199999999999</v>
      </c>
      <c r="U2275" s="2">
        <v>0</v>
      </c>
      <c r="V2275" s="2">
        <v>0</v>
      </c>
      <c r="W2275" s="2">
        <v>0</v>
      </c>
    </row>
    <row r="2276" spans="1:23" outlineLevel="2" x14ac:dyDescent="0.2">
      <c r="A2276" t="s">
        <v>836</v>
      </c>
      <c r="B2276" t="s">
        <v>1</v>
      </c>
      <c r="C2276" t="s">
        <v>91</v>
      </c>
      <c r="D2276" t="s">
        <v>92</v>
      </c>
      <c r="E2276" t="s">
        <v>93</v>
      </c>
      <c r="F2276" t="s">
        <v>911</v>
      </c>
      <c r="G2276" t="s">
        <v>912</v>
      </c>
      <c r="H2276" t="s">
        <v>920</v>
      </c>
      <c r="I2276" t="s">
        <v>921</v>
      </c>
      <c r="J2276" t="s">
        <v>841</v>
      </c>
      <c r="K2276" t="s">
        <v>846</v>
      </c>
      <c r="L2276" t="s">
        <v>927</v>
      </c>
      <c r="M2276" t="s">
        <v>15</v>
      </c>
      <c r="N2276" s="2">
        <v>0</v>
      </c>
      <c r="O2276" s="2">
        <v>1308875</v>
      </c>
      <c r="P2276" s="2">
        <v>0</v>
      </c>
      <c r="Q2276" s="2">
        <v>1308875</v>
      </c>
      <c r="R2276" s="2">
        <v>355513.43</v>
      </c>
      <c r="S2276" s="2">
        <v>953361.57</v>
      </c>
      <c r="T2276" s="2">
        <v>953361.57</v>
      </c>
      <c r="U2276" s="2">
        <v>355513.43</v>
      </c>
      <c r="V2276" s="2">
        <v>355513.43</v>
      </c>
      <c r="W2276" s="2">
        <v>0</v>
      </c>
    </row>
    <row r="2277" spans="1:23" outlineLevel="2" x14ac:dyDescent="0.2">
      <c r="A2277" t="s">
        <v>836</v>
      </c>
      <c r="B2277" t="s">
        <v>1</v>
      </c>
      <c r="C2277" t="s">
        <v>91</v>
      </c>
      <c r="D2277" t="s">
        <v>92</v>
      </c>
      <c r="E2277" t="s">
        <v>93</v>
      </c>
      <c r="F2277" t="s">
        <v>911</v>
      </c>
      <c r="G2277" t="s">
        <v>912</v>
      </c>
      <c r="H2277" t="s">
        <v>920</v>
      </c>
      <c r="I2277" t="s">
        <v>921</v>
      </c>
      <c r="J2277" t="s">
        <v>841</v>
      </c>
      <c r="K2277" t="s">
        <v>866</v>
      </c>
      <c r="L2277" t="s">
        <v>928</v>
      </c>
      <c r="M2277" t="s">
        <v>12</v>
      </c>
      <c r="N2277" s="2">
        <v>0</v>
      </c>
      <c r="O2277" s="2">
        <v>0</v>
      </c>
      <c r="P2277" s="2">
        <v>1936.6</v>
      </c>
      <c r="Q2277" s="2">
        <v>1936.6</v>
      </c>
      <c r="R2277" s="2">
        <v>0</v>
      </c>
      <c r="S2277" s="2">
        <v>0</v>
      </c>
      <c r="T2277" s="2">
        <v>0</v>
      </c>
      <c r="U2277" s="2">
        <v>1936.6</v>
      </c>
      <c r="V2277" s="2">
        <v>1936.6</v>
      </c>
      <c r="W2277" s="2">
        <v>1936.6</v>
      </c>
    </row>
    <row r="2278" spans="1:23" outlineLevel="2" x14ac:dyDescent="0.2">
      <c r="A2278" t="s">
        <v>836</v>
      </c>
      <c r="B2278" t="s">
        <v>1</v>
      </c>
      <c r="C2278" t="s">
        <v>91</v>
      </c>
      <c r="D2278" t="s">
        <v>92</v>
      </c>
      <c r="E2278" t="s">
        <v>93</v>
      </c>
      <c r="F2278" t="s">
        <v>911</v>
      </c>
      <c r="G2278" t="s">
        <v>912</v>
      </c>
      <c r="H2278" t="s">
        <v>920</v>
      </c>
      <c r="I2278" t="s">
        <v>921</v>
      </c>
      <c r="J2278" t="s">
        <v>841</v>
      </c>
      <c r="K2278" t="s">
        <v>866</v>
      </c>
      <c r="L2278" t="s">
        <v>928</v>
      </c>
      <c r="M2278" t="s">
        <v>15</v>
      </c>
      <c r="N2278" s="2">
        <v>0</v>
      </c>
      <c r="O2278" s="2">
        <v>2700</v>
      </c>
      <c r="P2278" s="2">
        <v>-1936.6</v>
      </c>
      <c r="Q2278" s="2">
        <v>763.4</v>
      </c>
      <c r="R2278" s="2">
        <v>0</v>
      </c>
      <c r="S2278" s="2">
        <v>763.4</v>
      </c>
      <c r="T2278" s="2">
        <v>763.4</v>
      </c>
      <c r="U2278" s="2">
        <v>0</v>
      </c>
      <c r="V2278" s="2">
        <v>0</v>
      </c>
      <c r="W2278" s="2">
        <v>0</v>
      </c>
    </row>
    <row r="2279" spans="1:23" outlineLevel="2" x14ac:dyDescent="0.2">
      <c r="A2279" t="s">
        <v>836</v>
      </c>
      <c r="B2279" t="s">
        <v>1</v>
      </c>
      <c r="C2279" t="s">
        <v>91</v>
      </c>
      <c r="D2279" t="s">
        <v>92</v>
      </c>
      <c r="E2279" t="s">
        <v>93</v>
      </c>
      <c r="F2279" t="s">
        <v>911</v>
      </c>
      <c r="G2279" t="s">
        <v>912</v>
      </c>
      <c r="H2279" t="s">
        <v>920</v>
      </c>
      <c r="I2279" t="s">
        <v>921</v>
      </c>
      <c r="J2279" t="s">
        <v>841</v>
      </c>
      <c r="K2279" t="s">
        <v>848</v>
      </c>
      <c r="L2279" t="s">
        <v>929</v>
      </c>
      <c r="M2279" t="s">
        <v>15</v>
      </c>
      <c r="N2279" s="2">
        <v>11094.4</v>
      </c>
      <c r="O2279" s="2">
        <v>162954.91</v>
      </c>
      <c r="P2279" s="2">
        <v>-1257.26</v>
      </c>
      <c r="Q2279" s="2">
        <v>172792.05</v>
      </c>
      <c r="R2279" s="2">
        <v>47568.3</v>
      </c>
      <c r="S2279" s="2">
        <v>125223.75</v>
      </c>
      <c r="T2279" s="2">
        <v>125223.75</v>
      </c>
      <c r="U2279" s="2">
        <v>47568.3</v>
      </c>
      <c r="V2279" s="2">
        <v>47568.3</v>
      </c>
      <c r="W2279" s="2">
        <v>0</v>
      </c>
    </row>
    <row r="2280" spans="1:23" outlineLevel="2" x14ac:dyDescent="0.2">
      <c r="A2280" t="s">
        <v>836</v>
      </c>
      <c r="B2280" t="s">
        <v>1</v>
      </c>
      <c r="C2280" t="s">
        <v>91</v>
      </c>
      <c r="D2280" t="s">
        <v>92</v>
      </c>
      <c r="E2280" t="s">
        <v>93</v>
      </c>
      <c r="F2280" t="s">
        <v>911</v>
      </c>
      <c r="G2280" t="s">
        <v>912</v>
      </c>
      <c r="H2280" t="s">
        <v>920</v>
      </c>
      <c r="I2280" t="s">
        <v>921</v>
      </c>
      <c r="J2280" t="s">
        <v>841</v>
      </c>
      <c r="K2280" t="s">
        <v>850</v>
      </c>
      <c r="L2280" t="s">
        <v>930</v>
      </c>
      <c r="M2280" t="s">
        <v>15</v>
      </c>
      <c r="N2280" s="2">
        <v>0</v>
      </c>
      <c r="O2280" s="2">
        <v>223410</v>
      </c>
      <c r="P2280" s="2">
        <v>0</v>
      </c>
      <c r="Q2280" s="2">
        <v>223410</v>
      </c>
      <c r="R2280" s="2">
        <v>183167.06</v>
      </c>
      <c r="S2280" s="2">
        <v>40242.94</v>
      </c>
      <c r="T2280" s="2">
        <v>40242.94</v>
      </c>
      <c r="U2280" s="2">
        <v>183167.06</v>
      </c>
      <c r="V2280" s="2">
        <v>183167.06</v>
      </c>
      <c r="W2280" s="2">
        <v>0</v>
      </c>
    </row>
    <row r="2281" spans="1:23" outlineLevel="2" x14ac:dyDescent="0.2">
      <c r="A2281" t="s">
        <v>836</v>
      </c>
      <c r="B2281" t="s">
        <v>1</v>
      </c>
      <c r="C2281" t="s">
        <v>2</v>
      </c>
      <c r="D2281" t="s">
        <v>589</v>
      </c>
      <c r="E2281" t="s">
        <v>590</v>
      </c>
      <c r="F2281" t="s">
        <v>911</v>
      </c>
      <c r="G2281" t="s">
        <v>912</v>
      </c>
      <c r="H2281" t="s">
        <v>931</v>
      </c>
      <c r="I2281" t="s">
        <v>932</v>
      </c>
      <c r="J2281" t="s">
        <v>841</v>
      </c>
      <c r="K2281" t="s">
        <v>842</v>
      </c>
      <c r="L2281" t="s">
        <v>915</v>
      </c>
      <c r="M2281" t="s">
        <v>12</v>
      </c>
      <c r="N2281" s="2">
        <v>0</v>
      </c>
      <c r="O2281" s="2">
        <v>0</v>
      </c>
      <c r="P2281" s="2">
        <v>3353.33</v>
      </c>
      <c r="Q2281" s="2">
        <v>3353.33</v>
      </c>
      <c r="R2281" s="2">
        <v>0</v>
      </c>
      <c r="S2281" s="2">
        <v>0</v>
      </c>
      <c r="T2281" s="2">
        <v>0</v>
      </c>
      <c r="U2281" s="2">
        <v>3353.33</v>
      </c>
      <c r="V2281" s="2">
        <v>3353.33</v>
      </c>
      <c r="W2281" s="2">
        <v>3353.33</v>
      </c>
    </row>
    <row r="2282" spans="1:23" outlineLevel="2" x14ac:dyDescent="0.2">
      <c r="A2282" t="s">
        <v>836</v>
      </c>
      <c r="B2282" t="s">
        <v>1</v>
      </c>
      <c r="C2282" t="s">
        <v>2</v>
      </c>
      <c r="D2282" t="s">
        <v>589</v>
      </c>
      <c r="E2282" t="s">
        <v>590</v>
      </c>
      <c r="F2282" t="s">
        <v>911</v>
      </c>
      <c r="G2282" t="s">
        <v>912</v>
      </c>
      <c r="H2282" t="s">
        <v>931</v>
      </c>
      <c r="I2282" t="s">
        <v>932</v>
      </c>
      <c r="J2282" t="s">
        <v>841</v>
      </c>
      <c r="K2282" t="s">
        <v>842</v>
      </c>
      <c r="L2282" t="s">
        <v>915</v>
      </c>
      <c r="M2282" t="s">
        <v>15</v>
      </c>
      <c r="N2282" s="2">
        <v>0</v>
      </c>
      <c r="O2282" s="2">
        <v>3353.33</v>
      </c>
      <c r="P2282" s="2">
        <v>-3353.33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</row>
    <row r="2283" spans="1:23" outlineLevel="2" x14ac:dyDescent="0.2">
      <c r="A2283" t="s">
        <v>836</v>
      </c>
      <c r="B2283" t="s">
        <v>1</v>
      </c>
      <c r="C2283" t="s">
        <v>2</v>
      </c>
      <c r="D2283" t="s">
        <v>589</v>
      </c>
      <c r="E2283" t="s">
        <v>590</v>
      </c>
      <c r="F2283" t="s">
        <v>911</v>
      </c>
      <c r="G2283" t="s">
        <v>912</v>
      </c>
      <c r="H2283" t="s">
        <v>931</v>
      </c>
      <c r="I2283" t="s">
        <v>932</v>
      </c>
      <c r="J2283" t="s">
        <v>841</v>
      </c>
      <c r="K2283" t="s">
        <v>844</v>
      </c>
      <c r="L2283" t="s">
        <v>916</v>
      </c>
      <c r="M2283" t="s">
        <v>12</v>
      </c>
      <c r="N2283" s="2">
        <v>0</v>
      </c>
      <c r="O2283" s="2">
        <v>0</v>
      </c>
      <c r="P2283" s="2">
        <v>1333.33</v>
      </c>
      <c r="Q2283" s="2">
        <v>1333.33</v>
      </c>
      <c r="R2283" s="2">
        <v>0</v>
      </c>
      <c r="S2283" s="2">
        <v>0</v>
      </c>
      <c r="T2283" s="2">
        <v>0</v>
      </c>
      <c r="U2283" s="2">
        <v>1333.33</v>
      </c>
      <c r="V2283" s="2">
        <v>1333.33</v>
      </c>
      <c r="W2283" s="2">
        <v>1333.33</v>
      </c>
    </row>
    <row r="2284" spans="1:23" outlineLevel="2" x14ac:dyDescent="0.2">
      <c r="A2284" t="s">
        <v>836</v>
      </c>
      <c r="B2284" t="s">
        <v>1</v>
      </c>
      <c r="C2284" t="s">
        <v>2</v>
      </c>
      <c r="D2284" t="s">
        <v>589</v>
      </c>
      <c r="E2284" t="s">
        <v>590</v>
      </c>
      <c r="F2284" t="s">
        <v>911</v>
      </c>
      <c r="G2284" t="s">
        <v>912</v>
      </c>
      <c r="H2284" t="s">
        <v>931</v>
      </c>
      <c r="I2284" t="s">
        <v>932</v>
      </c>
      <c r="J2284" t="s">
        <v>841</v>
      </c>
      <c r="K2284" t="s">
        <v>844</v>
      </c>
      <c r="L2284" t="s">
        <v>916</v>
      </c>
      <c r="M2284" t="s">
        <v>15</v>
      </c>
      <c r="N2284" s="2">
        <v>0</v>
      </c>
      <c r="O2284" s="2">
        <v>1333.33</v>
      </c>
      <c r="P2284" s="2">
        <v>-1333.33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</row>
    <row r="2285" spans="1:23" outlineLevel="2" x14ac:dyDescent="0.2">
      <c r="A2285" t="s">
        <v>836</v>
      </c>
      <c r="B2285" t="s">
        <v>1</v>
      </c>
      <c r="C2285" t="s">
        <v>2</v>
      </c>
      <c r="D2285" t="s">
        <v>589</v>
      </c>
      <c r="E2285" t="s">
        <v>590</v>
      </c>
      <c r="F2285" t="s">
        <v>911</v>
      </c>
      <c r="G2285" t="s">
        <v>912</v>
      </c>
      <c r="H2285" t="s">
        <v>931</v>
      </c>
      <c r="I2285" t="s">
        <v>932</v>
      </c>
      <c r="J2285" t="s">
        <v>841</v>
      </c>
      <c r="K2285" t="s">
        <v>846</v>
      </c>
      <c r="L2285" t="s">
        <v>917</v>
      </c>
      <c r="M2285" t="s">
        <v>15</v>
      </c>
      <c r="N2285" s="2">
        <v>0</v>
      </c>
      <c r="O2285" s="2">
        <v>40240</v>
      </c>
      <c r="P2285" s="2">
        <v>-40240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</row>
    <row r="2286" spans="1:23" outlineLevel="2" x14ac:dyDescent="0.2">
      <c r="A2286" t="s">
        <v>836</v>
      </c>
      <c r="B2286" t="s">
        <v>1</v>
      </c>
      <c r="C2286" t="s">
        <v>2</v>
      </c>
      <c r="D2286" t="s">
        <v>589</v>
      </c>
      <c r="E2286" t="s">
        <v>590</v>
      </c>
      <c r="F2286" t="s">
        <v>911</v>
      </c>
      <c r="G2286" t="s">
        <v>912</v>
      </c>
      <c r="H2286" t="s">
        <v>931</v>
      </c>
      <c r="I2286" t="s">
        <v>932</v>
      </c>
      <c r="J2286" t="s">
        <v>841</v>
      </c>
      <c r="K2286" t="s">
        <v>846</v>
      </c>
      <c r="L2286" t="s">
        <v>917</v>
      </c>
      <c r="M2286" t="s">
        <v>12</v>
      </c>
      <c r="N2286" s="2">
        <v>0</v>
      </c>
      <c r="O2286" s="2">
        <v>0</v>
      </c>
      <c r="P2286" s="2">
        <v>40240</v>
      </c>
      <c r="Q2286" s="2">
        <v>40240</v>
      </c>
      <c r="R2286" s="2">
        <v>0</v>
      </c>
      <c r="S2286" s="2">
        <v>0</v>
      </c>
      <c r="T2286" s="2">
        <v>0</v>
      </c>
      <c r="U2286" s="2">
        <v>40240</v>
      </c>
      <c r="V2286" s="2">
        <v>40240</v>
      </c>
      <c r="W2286" s="2">
        <v>40240</v>
      </c>
    </row>
    <row r="2287" spans="1:23" outlineLevel="2" x14ac:dyDescent="0.2">
      <c r="A2287" t="s">
        <v>836</v>
      </c>
      <c r="B2287" t="s">
        <v>1</v>
      </c>
      <c r="C2287" t="s">
        <v>2</v>
      </c>
      <c r="D2287" t="s">
        <v>589</v>
      </c>
      <c r="E2287" t="s">
        <v>590</v>
      </c>
      <c r="F2287" t="s">
        <v>911</v>
      </c>
      <c r="G2287" t="s">
        <v>912</v>
      </c>
      <c r="H2287" t="s">
        <v>931</v>
      </c>
      <c r="I2287" t="s">
        <v>932</v>
      </c>
      <c r="J2287" t="s">
        <v>841</v>
      </c>
      <c r="K2287" t="s">
        <v>848</v>
      </c>
      <c r="L2287" t="s">
        <v>918</v>
      </c>
      <c r="M2287" t="s">
        <v>15</v>
      </c>
      <c r="N2287" s="2">
        <v>0</v>
      </c>
      <c r="O2287" s="2">
        <v>5090.37</v>
      </c>
      <c r="P2287" s="2">
        <v>-5090.37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</row>
    <row r="2288" spans="1:23" outlineLevel="2" x14ac:dyDescent="0.2">
      <c r="A2288" t="s">
        <v>836</v>
      </c>
      <c r="B2288" t="s">
        <v>1</v>
      </c>
      <c r="C2288" t="s">
        <v>2</v>
      </c>
      <c r="D2288" t="s">
        <v>589</v>
      </c>
      <c r="E2288" t="s">
        <v>590</v>
      </c>
      <c r="F2288" t="s">
        <v>911</v>
      </c>
      <c r="G2288" t="s">
        <v>912</v>
      </c>
      <c r="H2288" t="s">
        <v>931</v>
      </c>
      <c r="I2288" t="s">
        <v>932</v>
      </c>
      <c r="J2288" t="s">
        <v>841</v>
      </c>
      <c r="K2288" t="s">
        <v>848</v>
      </c>
      <c r="L2288" t="s">
        <v>918</v>
      </c>
      <c r="M2288" t="s">
        <v>12</v>
      </c>
      <c r="N2288" s="2">
        <v>0</v>
      </c>
      <c r="O2288" s="2">
        <v>0</v>
      </c>
      <c r="P2288" s="2">
        <v>5090.37</v>
      </c>
      <c r="Q2288" s="2">
        <v>5090.37</v>
      </c>
      <c r="R2288" s="2">
        <v>0</v>
      </c>
      <c r="S2288" s="2">
        <v>0</v>
      </c>
      <c r="T2288" s="2">
        <v>0</v>
      </c>
      <c r="U2288" s="2">
        <v>5090.37</v>
      </c>
      <c r="V2288" s="2">
        <v>5090.37</v>
      </c>
      <c r="W2288" s="2">
        <v>5090.37</v>
      </c>
    </row>
    <row r="2289" spans="1:23" outlineLevel="2" x14ac:dyDescent="0.2">
      <c r="A2289" t="s">
        <v>836</v>
      </c>
      <c r="B2289" t="s">
        <v>1</v>
      </c>
      <c r="C2289" t="s">
        <v>2</v>
      </c>
      <c r="D2289" t="s">
        <v>589</v>
      </c>
      <c r="E2289" t="s">
        <v>590</v>
      </c>
      <c r="F2289" t="s">
        <v>911</v>
      </c>
      <c r="G2289" t="s">
        <v>912</v>
      </c>
      <c r="H2289" t="s">
        <v>931</v>
      </c>
      <c r="I2289" t="s">
        <v>932</v>
      </c>
      <c r="J2289" t="s">
        <v>841</v>
      </c>
      <c r="K2289" t="s">
        <v>850</v>
      </c>
      <c r="L2289" t="s">
        <v>919</v>
      </c>
      <c r="M2289" t="s">
        <v>15</v>
      </c>
      <c r="N2289" s="2">
        <v>0</v>
      </c>
      <c r="O2289" s="2">
        <v>3353.33</v>
      </c>
      <c r="P2289" s="2">
        <v>-3353.33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</row>
    <row r="2290" spans="1:23" outlineLevel="2" x14ac:dyDescent="0.2">
      <c r="A2290" t="s">
        <v>836</v>
      </c>
      <c r="B2290" t="s">
        <v>1</v>
      </c>
      <c r="C2290" t="s">
        <v>2</v>
      </c>
      <c r="D2290" t="s">
        <v>589</v>
      </c>
      <c r="E2290" t="s">
        <v>590</v>
      </c>
      <c r="F2290" t="s">
        <v>911</v>
      </c>
      <c r="G2290" t="s">
        <v>912</v>
      </c>
      <c r="H2290" t="s">
        <v>931</v>
      </c>
      <c r="I2290" t="s">
        <v>932</v>
      </c>
      <c r="J2290" t="s">
        <v>841</v>
      </c>
      <c r="K2290" t="s">
        <v>850</v>
      </c>
      <c r="L2290" t="s">
        <v>919</v>
      </c>
      <c r="M2290" t="s">
        <v>12</v>
      </c>
      <c r="N2290" s="2">
        <v>0</v>
      </c>
      <c r="O2290" s="2">
        <v>0</v>
      </c>
      <c r="P2290" s="2">
        <v>3353.33</v>
      </c>
      <c r="Q2290" s="2">
        <v>3353.33</v>
      </c>
      <c r="R2290" s="2">
        <v>0</v>
      </c>
      <c r="S2290" s="2">
        <v>0</v>
      </c>
      <c r="T2290" s="2">
        <v>0</v>
      </c>
      <c r="U2290" s="2">
        <v>3353.33</v>
      </c>
      <c r="V2290" s="2">
        <v>3353.33</v>
      </c>
      <c r="W2290" s="2">
        <v>3353.33</v>
      </c>
    </row>
    <row r="2291" spans="1:23" outlineLevel="2" x14ac:dyDescent="0.2">
      <c r="A2291" t="s">
        <v>836</v>
      </c>
      <c r="B2291" t="s">
        <v>39</v>
      </c>
      <c r="C2291" t="s">
        <v>58</v>
      </c>
      <c r="D2291" t="s">
        <v>143</v>
      </c>
      <c r="E2291" t="s">
        <v>144</v>
      </c>
      <c r="F2291" t="s">
        <v>933</v>
      </c>
      <c r="G2291" t="s">
        <v>934</v>
      </c>
      <c r="H2291" t="s">
        <v>935</v>
      </c>
      <c r="I2291" t="s">
        <v>936</v>
      </c>
      <c r="J2291" t="s">
        <v>841</v>
      </c>
      <c r="K2291" t="s">
        <v>842</v>
      </c>
      <c r="L2291" t="s">
        <v>937</v>
      </c>
      <c r="M2291" t="s">
        <v>12</v>
      </c>
      <c r="N2291" s="2">
        <v>0</v>
      </c>
      <c r="O2291" s="2">
        <v>777.58</v>
      </c>
      <c r="P2291" s="2">
        <v>0</v>
      </c>
      <c r="Q2291" s="2">
        <v>777.58</v>
      </c>
      <c r="R2291" s="2">
        <v>555.41999999999996</v>
      </c>
      <c r="S2291" s="2">
        <v>0</v>
      </c>
      <c r="T2291" s="2">
        <v>0</v>
      </c>
      <c r="U2291" s="2">
        <v>777.58</v>
      </c>
      <c r="V2291" s="2">
        <v>777.58</v>
      </c>
      <c r="W2291" s="2">
        <v>222.16</v>
      </c>
    </row>
    <row r="2292" spans="1:23" outlineLevel="2" x14ac:dyDescent="0.2">
      <c r="A2292" t="s">
        <v>836</v>
      </c>
      <c r="B2292" t="s">
        <v>39</v>
      </c>
      <c r="C2292" t="s">
        <v>58</v>
      </c>
      <c r="D2292" t="s">
        <v>149</v>
      </c>
      <c r="E2292" t="s">
        <v>150</v>
      </c>
      <c r="F2292" t="s">
        <v>933</v>
      </c>
      <c r="G2292" t="s">
        <v>934</v>
      </c>
      <c r="H2292" t="s">
        <v>935</v>
      </c>
      <c r="I2292" t="s">
        <v>936</v>
      </c>
      <c r="J2292" t="s">
        <v>841</v>
      </c>
      <c r="K2292" t="s">
        <v>842</v>
      </c>
      <c r="L2292" t="s">
        <v>937</v>
      </c>
      <c r="M2292" t="s">
        <v>12</v>
      </c>
      <c r="N2292" s="2">
        <v>0</v>
      </c>
      <c r="O2292" s="2">
        <v>777.58</v>
      </c>
      <c r="P2292" s="2">
        <v>-222.16</v>
      </c>
      <c r="Q2292" s="2">
        <v>555.41999999999996</v>
      </c>
      <c r="R2292" s="2">
        <v>333.26</v>
      </c>
      <c r="S2292" s="2">
        <v>222.16</v>
      </c>
      <c r="T2292" s="2">
        <v>222.16</v>
      </c>
      <c r="U2292" s="2">
        <v>333.26</v>
      </c>
      <c r="V2292" s="2">
        <v>333.26</v>
      </c>
      <c r="W2292" s="2">
        <v>0</v>
      </c>
    </row>
    <row r="2293" spans="1:23" outlineLevel="2" x14ac:dyDescent="0.2">
      <c r="A2293" t="s">
        <v>836</v>
      </c>
      <c r="B2293" t="s">
        <v>39</v>
      </c>
      <c r="C2293" t="s">
        <v>58</v>
      </c>
      <c r="D2293" t="s">
        <v>59</v>
      </c>
      <c r="E2293" t="s">
        <v>60</v>
      </c>
      <c r="F2293" t="s">
        <v>933</v>
      </c>
      <c r="G2293" t="s">
        <v>934</v>
      </c>
      <c r="H2293" t="s">
        <v>935</v>
      </c>
      <c r="I2293" t="s">
        <v>936</v>
      </c>
      <c r="J2293" t="s">
        <v>841</v>
      </c>
      <c r="K2293" t="s">
        <v>842</v>
      </c>
      <c r="L2293" t="s">
        <v>937</v>
      </c>
      <c r="M2293" t="s">
        <v>12</v>
      </c>
      <c r="N2293" s="2">
        <v>0</v>
      </c>
      <c r="O2293" s="2">
        <v>777.58</v>
      </c>
      <c r="P2293" s="2">
        <v>0</v>
      </c>
      <c r="Q2293" s="2">
        <v>777.58</v>
      </c>
      <c r="R2293" s="2">
        <v>555.41999999999996</v>
      </c>
      <c r="S2293" s="2">
        <v>0</v>
      </c>
      <c r="T2293" s="2">
        <v>0</v>
      </c>
      <c r="U2293" s="2">
        <v>777.58</v>
      </c>
      <c r="V2293" s="2">
        <v>777.58</v>
      </c>
      <c r="W2293" s="2">
        <v>222.16</v>
      </c>
    </row>
    <row r="2294" spans="1:23" outlineLevel="2" x14ac:dyDescent="0.2">
      <c r="A2294" t="s">
        <v>836</v>
      </c>
      <c r="B2294" t="s">
        <v>39</v>
      </c>
      <c r="C2294" t="s">
        <v>58</v>
      </c>
      <c r="D2294" t="s">
        <v>147</v>
      </c>
      <c r="E2294" t="s">
        <v>148</v>
      </c>
      <c r="F2294" t="s">
        <v>933</v>
      </c>
      <c r="G2294" t="s">
        <v>934</v>
      </c>
      <c r="H2294" t="s">
        <v>935</v>
      </c>
      <c r="I2294" t="s">
        <v>936</v>
      </c>
      <c r="J2294" t="s">
        <v>841</v>
      </c>
      <c r="K2294" t="s">
        <v>842</v>
      </c>
      <c r="L2294" t="s">
        <v>937</v>
      </c>
      <c r="M2294" t="s">
        <v>12</v>
      </c>
      <c r="N2294" s="2">
        <v>0</v>
      </c>
      <c r="O2294" s="2">
        <v>777.58</v>
      </c>
      <c r="P2294" s="2">
        <v>0</v>
      </c>
      <c r="Q2294" s="2">
        <v>777.58</v>
      </c>
      <c r="R2294" s="2">
        <v>555.41999999999996</v>
      </c>
      <c r="S2294" s="2">
        <v>0</v>
      </c>
      <c r="T2294" s="2">
        <v>0</v>
      </c>
      <c r="U2294" s="2">
        <v>777.58</v>
      </c>
      <c r="V2294" s="2">
        <v>777.58</v>
      </c>
      <c r="W2294" s="2">
        <v>222.16</v>
      </c>
    </row>
    <row r="2295" spans="1:23" outlineLevel="2" x14ac:dyDescent="0.2">
      <c r="A2295" t="s">
        <v>836</v>
      </c>
      <c r="B2295" t="s">
        <v>39</v>
      </c>
      <c r="C2295" t="s">
        <v>58</v>
      </c>
      <c r="D2295" t="s">
        <v>139</v>
      </c>
      <c r="E2295" t="s">
        <v>140</v>
      </c>
      <c r="F2295" t="s">
        <v>933</v>
      </c>
      <c r="G2295" t="s">
        <v>934</v>
      </c>
      <c r="H2295" t="s">
        <v>935</v>
      </c>
      <c r="I2295" t="s">
        <v>936</v>
      </c>
      <c r="J2295" t="s">
        <v>841</v>
      </c>
      <c r="K2295" t="s">
        <v>842</v>
      </c>
      <c r="L2295" t="s">
        <v>937</v>
      </c>
      <c r="M2295" t="s">
        <v>12</v>
      </c>
      <c r="N2295" s="2">
        <v>0</v>
      </c>
      <c r="O2295" s="2">
        <v>777.58</v>
      </c>
      <c r="P2295" s="2">
        <v>0</v>
      </c>
      <c r="Q2295" s="2">
        <v>777.58</v>
      </c>
      <c r="R2295" s="2">
        <v>251.8</v>
      </c>
      <c r="S2295" s="2">
        <v>303.62</v>
      </c>
      <c r="T2295" s="2">
        <v>303.62</v>
      </c>
      <c r="U2295" s="2">
        <v>473.96</v>
      </c>
      <c r="V2295" s="2">
        <v>473.96</v>
      </c>
      <c r="W2295" s="2">
        <v>222.16</v>
      </c>
    </row>
    <row r="2296" spans="1:23" outlineLevel="2" x14ac:dyDescent="0.2">
      <c r="A2296" t="s">
        <v>836</v>
      </c>
      <c r="B2296" t="s">
        <v>39</v>
      </c>
      <c r="C2296" t="s">
        <v>58</v>
      </c>
      <c r="D2296" t="s">
        <v>135</v>
      </c>
      <c r="E2296" t="s">
        <v>136</v>
      </c>
      <c r="F2296" t="s">
        <v>933</v>
      </c>
      <c r="G2296" t="s">
        <v>934</v>
      </c>
      <c r="H2296" t="s">
        <v>935</v>
      </c>
      <c r="I2296" t="s">
        <v>936</v>
      </c>
      <c r="J2296" t="s">
        <v>841</v>
      </c>
      <c r="K2296" t="s">
        <v>842</v>
      </c>
      <c r="L2296" t="s">
        <v>937</v>
      </c>
      <c r="M2296" t="s">
        <v>12</v>
      </c>
      <c r="N2296" s="2">
        <v>0</v>
      </c>
      <c r="O2296" s="2">
        <v>777.58</v>
      </c>
      <c r="P2296" s="2">
        <v>0</v>
      </c>
      <c r="Q2296" s="2">
        <v>777.58</v>
      </c>
      <c r="R2296" s="2">
        <v>233.29</v>
      </c>
      <c r="S2296" s="2">
        <v>322.13</v>
      </c>
      <c r="T2296" s="2">
        <v>322.13</v>
      </c>
      <c r="U2296" s="2">
        <v>455.45</v>
      </c>
      <c r="V2296" s="2">
        <v>455.45</v>
      </c>
      <c r="W2296" s="2">
        <v>222.16</v>
      </c>
    </row>
    <row r="2297" spans="1:23" outlineLevel="2" x14ac:dyDescent="0.2">
      <c r="A2297" t="s">
        <v>836</v>
      </c>
      <c r="B2297" t="s">
        <v>31</v>
      </c>
      <c r="C2297" t="s">
        <v>32</v>
      </c>
      <c r="D2297" t="s">
        <v>141</v>
      </c>
      <c r="E2297" t="s">
        <v>142</v>
      </c>
      <c r="F2297" t="s">
        <v>933</v>
      </c>
      <c r="G2297" t="s">
        <v>934</v>
      </c>
      <c r="H2297" t="s">
        <v>935</v>
      </c>
      <c r="I2297" t="s">
        <v>936</v>
      </c>
      <c r="J2297" t="s">
        <v>841</v>
      </c>
      <c r="K2297" t="s">
        <v>842</v>
      </c>
      <c r="L2297" t="s">
        <v>938</v>
      </c>
      <c r="M2297" t="s">
        <v>15</v>
      </c>
      <c r="N2297" s="2">
        <v>0</v>
      </c>
      <c r="O2297" s="2">
        <v>11755</v>
      </c>
      <c r="P2297" s="2">
        <v>0</v>
      </c>
      <c r="Q2297" s="2">
        <v>11755</v>
      </c>
      <c r="R2297" s="2">
        <v>9942.6299999999992</v>
      </c>
      <c r="S2297" s="2">
        <v>1812.37</v>
      </c>
      <c r="T2297" s="2">
        <v>1812.37</v>
      </c>
      <c r="U2297" s="2">
        <v>9942.6299999999992</v>
      </c>
      <c r="V2297" s="2">
        <v>9942.6299999999992</v>
      </c>
      <c r="W2297" s="2">
        <v>0</v>
      </c>
    </row>
    <row r="2298" spans="1:23" outlineLevel="2" x14ac:dyDescent="0.2">
      <c r="A2298" t="s">
        <v>836</v>
      </c>
      <c r="B2298" t="s">
        <v>31</v>
      </c>
      <c r="C2298" t="s">
        <v>32</v>
      </c>
      <c r="D2298" t="s">
        <v>141</v>
      </c>
      <c r="E2298" t="s">
        <v>142</v>
      </c>
      <c r="F2298" t="s">
        <v>933</v>
      </c>
      <c r="G2298" t="s">
        <v>934</v>
      </c>
      <c r="H2298" t="s">
        <v>935</v>
      </c>
      <c r="I2298" t="s">
        <v>936</v>
      </c>
      <c r="J2298" t="s">
        <v>841</v>
      </c>
      <c r="K2298" t="s">
        <v>842</v>
      </c>
      <c r="L2298" t="s">
        <v>938</v>
      </c>
      <c r="M2298" t="s">
        <v>12</v>
      </c>
      <c r="N2298" s="2">
        <v>0</v>
      </c>
      <c r="O2298" s="2">
        <v>51806.75</v>
      </c>
      <c r="P2298" s="2">
        <v>0</v>
      </c>
      <c r="Q2298" s="2">
        <v>51806.75</v>
      </c>
      <c r="R2298" s="2">
        <v>44313.33</v>
      </c>
      <c r="S2298" s="2">
        <v>7493.42</v>
      </c>
      <c r="T2298" s="2">
        <v>7493.42</v>
      </c>
      <c r="U2298" s="2">
        <v>44313.33</v>
      </c>
      <c r="V2298" s="2">
        <v>44313.33</v>
      </c>
      <c r="W2298" s="2">
        <v>0</v>
      </c>
    </row>
    <row r="2299" spans="1:23" outlineLevel="2" x14ac:dyDescent="0.2">
      <c r="A2299" t="s">
        <v>836</v>
      </c>
      <c r="B2299" t="s">
        <v>39</v>
      </c>
      <c r="C2299" t="s">
        <v>58</v>
      </c>
      <c r="D2299" t="s">
        <v>137</v>
      </c>
      <c r="E2299" t="s">
        <v>138</v>
      </c>
      <c r="F2299" t="s">
        <v>933</v>
      </c>
      <c r="G2299" t="s">
        <v>934</v>
      </c>
      <c r="H2299" t="s">
        <v>935</v>
      </c>
      <c r="I2299" t="s">
        <v>936</v>
      </c>
      <c r="J2299" t="s">
        <v>841</v>
      </c>
      <c r="K2299" t="s">
        <v>842</v>
      </c>
      <c r="L2299" t="s">
        <v>937</v>
      </c>
      <c r="M2299" t="s">
        <v>12</v>
      </c>
      <c r="N2299" s="2">
        <v>0</v>
      </c>
      <c r="O2299" s="2">
        <v>777.58</v>
      </c>
      <c r="P2299" s="2">
        <v>0</v>
      </c>
      <c r="Q2299" s="2">
        <v>777.58</v>
      </c>
      <c r="R2299" s="2">
        <v>333.26</v>
      </c>
      <c r="S2299" s="2">
        <v>222.16</v>
      </c>
      <c r="T2299" s="2">
        <v>222.16</v>
      </c>
      <c r="U2299" s="2">
        <v>555.41999999999996</v>
      </c>
      <c r="V2299" s="2">
        <v>555.41999999999996</v>
      </c>
      <c r="W2299" s="2">
        <v>222.16</v>
      </c>
    </row>
    <row r="2300" spans="1:23" outlineLevel="2" x14ac:dyDescent="0.2">
      <c r="A2300" t="s">
        <v>836</v>
      </c>
      <c r="B2300" t="s">
        <v>39</v>
      </c>
      <c r="C2300" t="s">
        <v>58</v>
      </c>
      <c r="D2300" t="s">
        <v>145</v>
      </c>
      <c r="E2300" t="s">
        <v>146</v>
      </c>
      <c r="F2300" t="s">
        <v>933</v>
      </c>
      <c r="G2300" t="s">
        <v>934</v>
      </c>
      <c r="H2300" t="s">
        <v>935</v>
      </c>
      <c r="I2300" t="s">
        <v>936</v>
      </c>
      <c r="J2300" t="s">
        <v>841</v>
      </c>
      <c r="K2300" t="s">
        <v>842</v>
      </c>
      <c r="L2300" t="s">
        <v>937</v>
      </c>
      <c r="M2300" t="s">
        <v>12</v>
      </c>
      <c r="N2300" s="2">
        <v>0</v>
      </c>
      <c r="O2300" s="2">
        <v>777.58</v>
      </c>
      <c r="P2300" s="2">
        <v>0</v>
      </c>
      <c r="Q2300" s="2">
        <v>777.58</v>
      </c>
      <c r="R2300" s="2">
        <v>222.18</v>
      </c>
      <c r="S2300" s="2">
        <v>333.24</v>
      </c>
      <c r="T2300" s="2">
        <v>333.24</v>
      </c>
      <c r="U2300" s="2">
        <v>444.34</v>
      </c>
      <c r="V2300" s="2">
        <v>444.34</v>
      </c>
      <c r="W2300" s="2">
        <v>222.16</v>
      </c>
    </row>
    <row r="2301" spans="1:23" outlineLevel="2" x14ac:dyDescent="0.2">
      <c r="A2301" t="s">
        <v>836</v>
      </c>
      <c r="B2301" t="s">
        <v>39</v>
      </c>
      <c r="C2301" t="s">
        <v>58</v>
      </c>
      <c r="D2301" t="s">
        <v>139</v>
      </c>
      <c r="E2301" t="s">
        <v>140</v>
      </c>
      <c r="F2301" t="s">
        <v>933</v>
      </c>
      <c r="G2301" t="s">
        <v>934</v>
      </c>
      <c r="H2301" t="s">
        <v>935</v>
      </c>
      <c r="I2301" t="s">
        <v>936</v>
      </c>
      <c r="J2301" t="s">
        <v>841</v>
      </c>
      <c r="K2301" t="s">
        <v>844</v>
      </c>
      <c r="L2301" t="s">
        <v>939</v>
      </c>
      <c r="M2301" t="s">
        <v>12</v>
      </c>
      <c r="N2301" s="2">
        <v>0</v>
      </c>
      <c r="O2301" s="2">
        <v>233.33</v>
      </c>
      <c r="P2301" s="2">
        <v>0</v>
      </c>
      <c r="Q2301" s="2">
        <v>233.33</v>
      </c>
      <c r="R2301" s="2">
        <v>75.569999999999993</v>
      </c>
      <c r="S2301" s="2">
        <v>91.1</v>
      </c>
      <c r="T2301" s="2">
        <v>91.1</v>
      </c>
      <c r="U2301" s="2">
        <v>142.22999999999999</v>
      </c>
      <c r="V2301" s="2">
        <v>142.22999999999999</v>
      </c>
      <c r="W2301" s="2">
        <v>66.66</v>
      </c>
    </row>
    <row r="2302" spans="1:23" outlineLevel="2" x14ac:dyDescent="0.2">
      <c r="A2302" t="s">
        <v>836</v>
      </c>
      <c r="B2302" t="s">
        <v>39</v>
      </c>
      <c r="C2302" t="s">
        <v>58</v>
      </c>
      <c r="D2302" t="s">
        <v>137</v>
      </c>
      <c r="E2302" t="s">
        <v>138</v>
      </c>
      <c r="F2302" t="s">
        <v>933</v>
      </c>
      <c r="G2302" t="s">
        <v>934</v>
      </c>
      <c r="H2302" t="s">
        <v>935</v>
      </c>
      <c r="I2302" t="s">
        <v>936</v>
      </c>
      <c r="J2302" t="s">
        <v>841</v>
      </c>
      <c r="K2302" t="s">
        <v>844</v>
      </c>
      <c r="L2302" t="s">
        <v>939</v>
      </c>
      <c r="M2302" t="s">
        <v>12</v>
      </c>
      <c r="N2302" s="2">
        <v>0</v>
      </c>
      <c r="O2302" s="2">
        <v>233.33</v>
      </c>
      <c r="P2302" s="2">
        <v>0</v>
      </c>
      <c r="Q2302" s="2">
        <v>233.33</v>
      </c>
      <c r="R2302" s="2">
        <v>100.01</v>
      </c>
      <c r="S2302" s="2">
        <v>66.66</v>
      </c>
      <c r="T2302" s="2">
        <v>66.66</v>
      </c>
      <c r="U2302" s="2">
        <v>166.67</v>
      </c>
      <c r="V2302" s="2">
        <v>166.67</v>
      </c>
      <c r="W2302" s="2">
        <v>66.66</v>
      </c>
    </row>
    <row r="2303" spans="1:23" outlineLevel="2" x14ac:dyDescent="0.2">
      <c r="A2303" t="s">
        <v>836</v>
      </c>
      <c r="B2303" t="s">
        <v>31</v>
      </c>
      <c r="C2303" t="s">
        <v>32</v>
      </c>
      <c r="D2303" t="s">
        <v>141</v>
      </c>
      <c r="E2303" t="s">
        <v>142</v>
      </c>
      <c r="F2303" t="s">
        <v>933</v>
      </c>
      <c r="G2303" t="s">
        <v>934</v>
      </c>
      <c r="H2303" t="s">
        <v>935</v>
      </c>
      <c r="I2303" t="s">
        <v>936</v>
      </c>
      <c r="J2303" t="s">
        <v>841</v>
      </c>
      <c r="K2303" t="s">
        <v>844</v>
      </c>
      <c r="L2303" t="s">
        <v>940</v>
      </c>
      <c r="M2303" t="s">
        <v>15</v>
      </c>
      <c r="N2303" s="2">
        <v>0</v>
      </c>
      <c r="O2303" s="2">
        <v>3600</v>
      </c>
      <c r="P2303" s="2">
        <v>0</v>
      </c>
      <c r="Q2303" s="2">
        <v>3600</v>
      </c>
      <c r="R2303" s="2">
        <v>2863.36</v>
      </c>
      <c r="S2303" s="2">
        <v>736.64</v>
      </c>
      <c r="T2303" s="2">
        <v>736.64</v>
      </c>
      <c r="U2303" s="2">
        <v>2863.36</v>
      </c>
      <c r="V2303" s="2">
        <v>2863.36</v>
      </c>
      <c r="W2303" s="2">
        <v>0</v>
      </c>
    </row>
    <row r="2304" spans="1:23" outlineLevel="2" x14ac:dyDescent="0.2">
      <c r="A2304" t="s">
        <v>836</v>
      </c>
      <c r="B2304" t="s">
        <v>39</v>
      </c>
      <c r="C2304" t="s">
        <v>58</v>
      </c>
      <c r="D2304" t="s">
        <v>135</v>
      </c>
      <c r="E2304" t="s">
        <v>136</v>
      </c>
      <c r="F2304" t="s">
        <v>933</v>
      </c>
      <c r="G2304" t="s">
        <v>934</v>
      </c>
      <c r="H2304" t="s">
        <v>935</v>
      </c>
      <c r="I2304" t="s">
        <v>936</v>
      </c>
      <c r="J2304" t="s">
        <v>841</v>
      </c>
      <c r="K2304" t="s">
        <v>844</v>
      </c>
      <c r="L2304" t="s">
        <v>939</v>
      </c>
      <c r="M2304" t="s">
        <v>12</v>
      </c>
      <c r="N2304" s="2">
        <v>0</v>
      </c>
      <c r="O2304" s="2">
        <v>233.33</v>
      </c>
      <c r="P2304" s="2">
        <v>0</v>
      </c>
      <c r="Q2304" s="2">
        <v>233.33</v>
      </c>
      <c r="R2304" s="2">
        <v>70.010000000000005</v>
      </c>
      <c r="S2304" s="2">
        <v>96.66</v>
      </c>
      <c r="T2304" s="2">
        <v>96.66</v>
      </c>
      <c r="U2304" s="2">
        <v>136.66999999999999</v>
      </c>
      <c r="V2304" s="2">
        <v>136.66999999999999</v>
      </c>
      <c r="W2304" s="2">
        <v>66.66</v>
      </c>
    </row>
    <row r="2305" spans="1:23" outlineLevel="2" x14ac:dyDescent="0.2">
      <c r="A2305" t="s">
        <v>836</v>
      </c>
      <c r="B2305" t="s">
        <v>39</v>
      </c>
      <c r="C2305" t="s">
        <v>58</v>
      </c>
      <c r="D2305" t="s">
        <v>149</v>
      </c>
      <c r="E2305" t="s">
        <v>150</v>
      </c>
      <c r="F2305" t="s">
        <v>933</v>
      </c>
      <c r="G2305" t="s">
        <v>934</v>
      </c>
      <c r="H2305" t="s">
        <v>935</v>
      </c>
      <c r="I2305" t="s">
        <v>936</v>
      </c>
      <c r="J2305" t="s">
        <v>841</v>
      </c>
      <c r="K2305" t="s">
        <v>844</v>
      </c>
      <c r="L2305" t="s">
        <v>939</v>
      </c>
      <c r="M2305" t="s">
        <v>12</v>
      </c>
      <c r="N2305" s="2">
        <v>0</v>
      </c>
      <c r="O2305" s="2">
        <v>233.33</v>
      </c>
      <c r="P2305" s="2">
        <v>-66.66</v>
      </c>
      <c r="Q2305" s="2">
        <v>166.67</v>
      </c>
      <c r="R2305" s="2">
        <v>100.01</v>
      </c>
      <c r="S2305" s="2">
        <v>66.66</v>
      </c>
      <c r="T2305" s="2">
        <v>66.66</v>
      </c>
      <c r="U2305" s="2">
        <v>100.01</v>
      </c>
      <c r="V2305" s="2">
        <v>100.01</v>
      </c>
      <c r="W2305" s="2">
        <v>0</v>
      </c>
    </row>
    <row r="2306" spans="1:23" outlineLevel="2" x14ac:dyDescent="0.2">
      <c r="A2306" t="s">
        <v>836</v>
      </c>
      <c r="B2306" t="s">
        <v>39</v>
      </c>
      <c r="C2306" t="s">
        <v>58</v>
      </c>
      <c r="D2306" t="s">
        <v>145</v>
      </c>
      <c r="E2306" t="s">
        <v>146</v>
      </c>
      <c r="F2306" t="s">
        <v>933</v>
      </c>
      <c r="G2306" t="s">
        <v>934</v>
      </c>
      <c r="H2306" t="s">
        <v>935</v>
      </c>
      <c r="I2306" t="s">
        <v>936</v>
      </c>
      <c r="J2306" t="s">
        <v>841</v>
      </c>
      <c r="K2306" t="s">
        <v>844</v>
      </c>
      <c r="L2306" t="s">
        <v>939</v>
      </c>
      <c r="M2306" t="s">
        <v>12</v>
      </c>
      <c r="N2306" s="2">
        <v>0</v>
      </c>
      <c r="O2306" s="2">
        <v>233.33</v>
      </c>
      <c r="P2306" s="2">
        <v>0</v>
      </c>
      <c r="Q2306" s="2">
        <v>233.33</v>
      </c>
      <c r="R2306" s="2">
        <v>66.680000000000007</v>
      </c>
      <c r="S2306" s="2">
        <v>99.99</v>
      </c>
      <c r="T2306" s="2">
        <v>99.99</v>
      </c>
      <c r="U2306" s="2">
        <v>133.34</v>
      </c>
      <c r="V2306" s="2">
        <v>133.34</v>
      </c>
      <c r="W2306" s="2">
        <v>66.66</v>
      </c>
    </row>
    <row r="2307" spans="1:23" outlineLevel="2" x14ac:dyDescent="0.2">
      <c r="A2307" t="s">
        <v>836</v>
      </c>
      <c r="B2307" t="s">
        <v>31</v>
      </c>
      <c r="C2307" t="s">
        <v>32</v>
      </c>
      <c r="D2307" t="s">
        <v>141</v>
      </c>
      <c r="E2307" t="s">
        <v>142</v>
      </c>
      <c r="F2307" t="s">
        <v>933</v>
      </c>
      <c r="G2307" t="s">
        <v>934</v>
      </c>
      <c r="H2307" t="s">
        <v>935</v>
      </c>
      <c r="I2307" t="s">
        <v>936</v>
      </c>
      <c r="J2307" t="s">
        <v>841</v>
      </c>
      <c r="K2307" t="s">
        <v>844</v>
      </c>
      <c r="L2307" t="s">
        <v>940</v>
      </c>
      <c r="M2307" t="s">
        <v>12</v>
      </c>
      <c r="N2307" s="2">
        <v>0</v>
      </c>
      <c r="O2307" s="2">
        <v>19333.330000000002</v>
      </c>
      <c r="P2307" s="2">
        <v>0</v>
      </c>
      <c r="Q2307" s="2">
        <v>19333.330000000002</v>
      </c>
      <c r="R2307" s="2">
        <v>8321.42</v>
      </c>
      <c r="S2307" s="2">
        <v>11011.91</v>
      </c>
      <c r="T2307" s="2">
        <v>11011.91</v>
      </c>
      <c r="U2307" s="2">
        <v>8321.42</v>
      </c>
      <c r="V2307" s="2">
        <v>8321.42</v>
      </c>
      <c r="W2307" s="2">
        <v>0</v>
      </c>
    </row>
    <row r="2308" spans="1:23" outlineLevel="2" x14ac:dyDescent="0.2">
      <c r="A2308" t="s">
        <v>836</v>
      </c>
      <c r="B2308" t="s">
        <v>39</v>
      </c>
      <c r="C2308" t="s">
        <v>58</v>
      </c>
      <c r="D2308" t="s">
        <v>147</v>
      </c>
      <c r="E2308" t="s">
        <v>148</v>
      </c>
      <c r="F2308" t="s">
        <v>933</v>
      </c>
      <c r="G2308" t="s">
        <v>934</v>
      </c>
      <c r="H2308" t="s">
        <v>935</v>
      </c>
      <c r="I2308" t="s">
        <v>936</v>
      </c>
      <c r="J2308" t="s">
        <v>841</v>
      </c>
      <c r="K2308" t="s">
        <v>844</v>
      </c>
      <c r="L2308" t="s">
        <v>939</v>
      </c>
      <c r="M2308" t="s">
        <v>12</v>
      </c>
      <c r="N2308" s="2">
        <v>0</v>
      </c>
      <c r="O2308" s="2">
        <v>233.33</v>
      </c>
      <c r="P2308" s="2">
        <v>0</v>
      </c>
      <c r="Q2308" s="2">
        <v>233.33</v>
      </c>
      <c r="R2308" s="2">
        <v>166.67</v>
      </c>
      <c r="S2308" s="2">
        <v>0</v>
      </c>
      <c r="T2308" s="2">
        <v>0</v>
      </c>
      <c r="U2308" s="2">
        <v>233.33</v>
      </c>
      <c r="V2308" s="2">
        <v>233.33</v>
      </c>
      <c r="W2308" s="2">
        <v>66.66</v>
      </c>
    </row>
    <row r="2309" spans="1:23" outlineLevel="2" x14ac:dyDescent="0.2">
      <c r="A2309" t="s">
        <v>836</v>
      </c>
      <c r="B2309" t="s">
        <v>39</v>
      </c>
      <c r="C2309" t="s">
        <v>58</v>
      </c>
      <c r="D2309" t="s">
        <v>143</v>
      </c>
      <c r="E2309" t="s">
        <v>144</v>
      </c>
      <c r="F2309" t="s">
        <v>933</v>
      </c>
      <c r="G2309" t="s">
        <v>934</v>
      </c>
      <c r="H2309" t="s">
        <v>935</v>
      </c>
      <c r="I2309" t="s">
        <v>936</v>
      </c>
      <c r="J2309" t="s">
        <v>841</v>
      </c>
      <c r="K2309" t="s">
        <v>844</v>
      </c>
      <c r="L2309" t="s">
        <v>939</v>
      </c>
      <c r="M2309" t="s">
        <v>12</v>
      </c>
      <c r="N2309" s="2">
        <v>0</v>
      </c>
      <c r="O2309" s="2">
        <v>233.33</v>
      </c>
      <c r="P2309" s="2">
        <v>0</v>
      </c>
      <c r="Q2309" s="2">
        <v>233.33</v>
      </c>
      <c r="R2309" s="2">
        <v>166.67</v>
      </c>
      <c r="S2309" s="2">
        <v>0</v>
      </c>
      <c r="T2309" s="2">
        <v>0</v>
      </c>
      <c r="U2309" s="2">
        <v>233.33</v>
      </c>
      <c r="V2309" s="2">
        <v>233.33</v>
      </c>
      <c r="W2309" s="2">
        <v>66.66</v>
      </c>
    </row>
    <row r="2310" spans="1:23" outlineLevel="2" x14ac:dyDescent="0.2">
      <c r="A2310" t="s">
        <v>836</v>
      </c>
      <c r="B2310" t="s">
        <v>39</v>
      </c>
      <c r="C2310" t="s">
        <v>58</v>
      </c>
      <c r="D2310" t="s">
        <v>59</v>
      </c>
      <c r="E2310" t="s">
        <v>60</v>
      </c>
      <c r="F2310" t="s">
        <v>933</v>
      </c>
      <c r="G2310" t="s">
        <v>934</v>
      </c>
      <c r="H2310" t="s">
        <v>935</v>
      </c>
      <c r="I2310" t="s">
        <v>936</v>
      </c>
      <c r="J2310" t="s">
        <v>841</v>
      </c>
      <c r="K2310" t="s">
        <v>844</v>
      </c>
      <c r="L2310" t="s">
        <v>939</v>
      </c>
      <c r="M2310" t="s">
        <v>12</v>
      </c>
      <c r="N2310" s="2">
        <v>0</v>
      </c>
      <c r="O2310" s="2">
        <v>233.33</v>
      </c>
      <c r="P2310" s="2">
        <v>0</v>
      </c>
      <c r="Q2310" s="2">
        <v>233.33</v>
      </c>
      <c r="R2310" s="2">
        <v>166.67</v>
      </c>
      <c r="S2310" s="2">
        <v>0</v>
      </c>
      <c r="T2310" s="2">
        <v>0</v>
      </c>
      <c r="U2310" s="2">
        <v>233.33</v>
      </c>
      <c r="V2310" s="2">
        <v>233.33</v>
      </c>
      <c r="W2310" s="2">
        <v>66.66</v>
      </c>
    </row>
    <row r="2311" spans="1:23" outlineLevel="2" x14ac:dyDescent="0.2">
      <c r="A2311" t="s">
        <v>836</v>
      </c>
      <c r="B2311" t="s">
        <v>31</v>
      </c>
      <c r="C2311" t="s">
        <v>32</v>
      </c>
      <c r="D2311" t="s">
        <v>141</v>
      </c>
      <c r="E2311" t="s">
        <v>142</v>
      </c>
      <c r="F2311" t="s">
        <v>933</v>
      </c>
      <c r="G2311" t="s">
        <v>934</v>
      </c>
      <c r="H2311" t="s">
        <v>935</v>
      </c>
      <c r="I2311" t="s">
        <v>936</v>
      </c>
      <c r="J2311" t="s">
        <v>841</v>
      </c>
      <c r="K2311" t="s">
        <v>854</v>
      </c>
      <c r="L2311" t="s">
        <v>941</v>
      </c>
      <c r="M2311" t="s">
        <v>12</v>
      </c>
      <c r="N2311" s="2">
        <v>0</v>
      </c>
      <c r="O2311" s="2">
        <v>0</v>
      </c>
      <c r="P2311" s="2">
        <v>1058.54</v>
      </c>
      <c r="Q2311" s="2">
        <v>1058.54</v>
      </c>
      <c r="R2311" s="2">
        <v>0</v>
      </c>
      <c r="S2311" s="2">
        <v>0</v>
      </c>
      <c r="T2311" s="2">
        <v>0</v>
      </c>
      <c r="U2311" s="2">
        <v>1058.54</v>
      </c>
      <c r="V2311" s="2">
        <v>1058.54</v>
      </c>
      <c r="W2311" s="2">
        <v>1058.54</v>
      </c>
    </row>
    <row r="2312" spans="1:23" outlineLevel="2" x14ac:dyDescent="0.2">
      <c r="A2312" t="s">
        <v>836</v>
      </c>
      <c r="B2312" t="s">
        <v>39</v>
      </c>
      <c r="C2312" t="s">
        <v>58</v>
      </c>
      <c r="D2312" t="s">
        <v>143</v>
      </c>
      <c r="E2312" t="s">
        <v>144</v>
      </c>
      <c r="F2312" t="s">
        <v>933</v>
      </c>
      <c r="G2312" t="s">
        <v>934</v>
      </c>
      <c r="H2312" t="s">
        <v>935</v>
      </c>
      <c r="I2312" t="s">
        <v>936</v>
      </c>
      <c r="J2312" t="s">
        <v>841</v>
      </c>
      <c r="K2312" t="s">
        <v>854</v>
      </c>
      <c r="L2312" t="s">
        <v>942</v>
      </c>
      <c r="M2312" t="s">
        <v>12</v>
      </c>
      <c r="N2312" s="2">
        <v>0</v>
      </c>
      <c r="O2312" s="2">
        <v>1245</v>
      </c>
      <c r="P2312" s="2">
        <v>0</v>
      </c>
      <c r="Q2312" s="2">
        <v>1245</v>
      </c>
      <c r="R2312" s="2">
        <v>0</v>
      </c>
      <c r="S2312" s="2">
        <v>1244.1300000000001</v>
      </c>
      <c r="T2312" s="2">
        <v>1244.1300000000001</v>
      </c>
      <c r="U2312" s="2">
        <v>0.87</v>
      </c>
      <c r="V2312" s="2">
        <v>0.87</v>
      </c>
      <c r="W2312" s="2">
        <v>0.87</v>
      </c>
    </row>
    <row r="2313" spans="1:23" outlineLevel="2" x14ac:dyDescent="0.2">
      <c r="A2313" t="s">
        <v>836</v>
      </c>
      <c r="B2313" t="s">
        <v>39</v>
      </c>
      <c r="C2313" t="s">
        <v>58</v>
      </c>
      <c r="D2313" t="s">
        <v>139</v>
      </c>
      <c r="E2313" t="s">
        <v>140</v>
      </c>
      <c r="F2313" t="s">
        <v>933</v>
      </c>
      <c r="G2313" t="s">
        <v>934</v>
      </c>
      <c r="H2313" t="s">
        <v>935</v>
      </c>
      <c r="I2313" t="s">
        <v>936</v>
      </c>
      <c r="J2313" t="s">
        <v>841</v>
      </c>
      <c r="K2313" t="s">
        <v>854</v>
      </c>
      <c r="L2313" t="s">
        <v>942</v>
      </c>
      <c r="M2313" t="s">
        <v>12</v>
      </c>
      <c r="N2313" s="2">
        <v>0</v>
      </c>
      <c r="O2313" s="2">
        <v>980</v>
      </c>
      <c r="P2313" s="2">
        <v>0</v>
      </c>
      <c r="Q2313" s="2">
        <v>980</v>
      </c>
      <c r="R2313" s="2">
        <v>0</v>
      </c>
      <c r="S2313" s="2">
        <v>977.53</v>
      </c>
      <c r="T2313" s="2">
        <v>977.53</v>
      </c>
      <c r="U2313" s="2">
        <v>2.4700000000000002</v>
      </c>
      <c r="V2313" s="2">
        <v>2.4700000000000002</v>
      </c>
      <c r="W2313" s="2">
        <v>2.4700000000000002</v>
      </c>
    </row>
    <row r="2314" spans="1:23" outlineLevel="2" x14ac:dyDescent="0.2">
      <c r="A2314" t="s">
        <v>836</v>
      </c>
      <c r="B2314" t="s">
        <v>31</v>
      </c>
      <c r="C2314" t="s">
        <v>32</v>
      </c>
      <c r="D2314" t="s">
        <v>141</v>
      </c>
      <c r="E2314" t="s">
        <v>142</v>
      </c>
      <c r="F2314" t="s">
        <v>933</v>
      </c>
      <c r="G2314" t="s">
        <v>934</v>
      </c>
      <c r="H2314" t="s">
        <v>935</v>
      </c>
      <c r="I2314" t="s">
        <v>936</v>
      </c>
      <c r="J2314" t="s">
        <v>841</v>
      </c>
      <c r="K2314" t="s">
        <v>854</v>
      </c>
      <c r="L2314" t="s">
        <v>941</v>
      </c>
      <c r="M2314" t="s">
        <v>15</v>
      </c>
      <c r="N2314" s="2">
        <v>0</v>
      </c>
      <c r="O2314" s="2">
        <v>2636.86</v>
      </c>
      <c r="P2314" s="2">
        <v>-45.5</v>
      </c>
      <c r="Q2314" s="2">
        <v>2591.36</v>
      </c>
      <c r="R2314" s="2">
        <v>0</v>
      </c>
      <c r="S2314" s="2">
        <v>2591.36</v>
      </c>
      <c r="T2314" s="2">
        <v>2591.36</v>
      </c>
      <c r="U2314" s="2">
        <v>0</v>
      </c>
      <c r="V2314" s="2">
        <v>0</v>
      </c>
      <c r="W2314" s="2">
        <v>0</v>
      </c>
    </row>
    <row r="2315" spans="1:23" outlineLevel="2" x14ac:dyDescent="0.2">
      <c r="A2315" t="s">
        <v>836</v>
      </c>
      <c r="B2315" t="s">
        <v>39</v>
      </c>
      <c r="C2315" t="s">
        <v>58</v>
      </c>
      <c r="D2315" t="s">
        <v>135</v>
      </c>
      <c r="E2315" t="s">
        <v>136</v>
      </c>
      <c r="F2315" t="s">
        <v>933</v>
      </c>
      <c r="G2315" t="s">
        <v>934</v>
      </c>
      <c r="H2315" t="s">
        <v>935</v>
      </c>
      <c r="I2315" t="s">
        <v>936</v>
      </c>
      <c r="J2315" t="s">
        <v>841</v>
      </c>
      <c r="K2315" t="s">
        <v>854</v>
      </c>
      <c r="L2315" t="s">
        <v>942</v>
      </c>
      <c r="M2315" t="s">
        <v>12</v>
      </c>
      <c r="N2315" s="2">
        <v>0</v>
      </c>
      <c r="O2315" s="2">
        <v>1200</v>
      </c>
      <c r="P2315" s="2">
        <v>0</v>
      </c>
      <c r="Q2315" s="2">
        <v>1200</v>
      </c>
      <c r="R2315" s="2">
        <v>0</v>
      </c>
      <c r="S2315" s="2">
        <v>1199.7</v>
      </c>
      <c r="T2315" s="2">
        <v>1199.7</v>
      </c>
      <c r="U2315" s="2">
        <v>0.3</v>
      </c>
      <c r="V2315" s="2">
        <v>0.3</v>
      </c>
      <c r="W2315" s="2">
        <v>0.3</v>
      </c>
    </row>
    <row r="2316" spans="1:23" outlineLevel="2" x14ac:dyDescent="0.2">
      <c r="A2316" t="s">
        <v>836</v>
      </c>
      <c r="B2316" t="s">
        <v>31</v>
      </c>
      <c r="C2316" t="s">
        <v>32</v>
      </c>
      <c r="D2316" t="s">
        <v>141</v>
      </c>
      <c r="E2316" t="s">
        <v>142</v>
      </c>
      <c r="F2316" t="s">
        <v>933</v>
      </c>
      <c r="G2316" t="s">
        <v>934</v>
      </c>
      <c r="H2316" t="s">
        <v>935</v>
      </c>
      <c r="I2316" t="s">
        <v>936</v>
      </c>
      <c r="J2316" t="s">
        <v>841</v>
      </c>
      <c r="K2316" t="s">
        <v>846</v>
      </c>
      <c r="L2316" t="s">
        <v>943</v>
      </c>
      <c r="M2316" t="s">
        <v>12</v>
      </c>
      <c r="N2316" s="2">
        <v>0</v>
      </c>
      <c r="O2316" s="2">
        <v>621681</v>
      </c>
      <c r="P2316" s="2">
        <v>1942.71</v>
      </c>
      <c r="Q2316" s="2">
        <v>623623.71</v>
      </c>
      <c r="R2316" s="2">
        <v>143527.29999999999</v>
      </c>
      <c r="S2316" s="2">
        <v>478153.7</v>
      </c>
      <c r="T2316" s="2">
        <v>478153.7</v>
      </c>
      <c r="U2316" s="2">
        <v>145470.01</v>
      </c>
      <c r="V2316" s="2">
        <v>145470.01</v>
      </c>
      <c r="W2316" s="2">
        <v>1942.71</v>
      </c>
    </row>
    <row r="2317" spans="1:23" outlineLevel="2" x14ac:dyDescent="0.2">
      <c r="A2317" t="s">
        <v>836</v>
      </c>
      <c r="B2317" t="s">
        <v>39</v>
      </c>
      <c r="C2317" t="s">
        <v>58</v>
      </c>
      <c r="D2317" t="s">
        <v>143</v>
      </c>
      <c r="E2317" t="s">
        <v>144</v>
      </c>
      <c r="F2317" t="s">
        <v>933</v>
      </c>
      <c r="G2317" t="s">
        <v>934</v>
      </c>
      <c r="H2317" t="s">
        <v>935</v>
      </c>
      <c r="I2317" t="s">
        <v>936</v>
      </c>
      <c r="J2317" t="s">
        <v>841</v>
      </c>
      <c r="K2317" t="s">
        <v>846</v>
      </c>
      <c r="L2317" t="s">
        <v>944</v>
      </c>
      <c r="M2317" t="s">
        <v>12</v>
      </c>
      <c r="N2317" s="2">
        <v>0</v>
      </c>
      <c r="O2317" s="2">
        <v>8086</v>
      </c>
      <c r="P2317" s="2">
        <v>0</v>
      </c>
      <c r="Q2317" s="2">
        <v>8086</v>
      </c>
      <c r="R2317" s="2">
        <v>3999</v>
      </c>
      <c r="S2317" s="2">
        <v>2666</v>
      </c>
      <c r="T2317" s="2">
        <v>2666</v>
      </c>
      <c r="U2317" s="2">
        <v>5420</v>
      </c>
      <c r="V2317" s="2">
        <v>5420</v>
      </c>
      <c r="W2317" s="2">
        <v>1421</v>
      </c>
    </row>
    <row r="2318" spans="1:23" outlineLevel="2" x14ac:dyDescent="0.2">
      <c r="A2318" t="s">
        <v>836</v>
      </c>
      <c r="B2318" t="s">
        <v>39</v>
      </c>
      <c r="C2318" t="s">
        <v>58</v>
      </c>
      <c r="D2318" t="s">
        <v>137</v>
      </c>
      <c r="E2318" t="s">
        <v>138</v>
      </c>
      <c r="F2318" t="s">
        <v>933</v>
      </c>
      <c r="G2318" t="s">
        <v>934</v>
      </c>
      <c r="H2318" t="s">
        <v>935</v>
      </c>
      <c r="I2318" t="s">
        <v>936</v>
      </c>
      <c r="J2318" t="s">
        <v>841</v>
      </c>
      <c r="K2318" t="s">
        <v>846</v>
      </c>
      <c r="L2318" t="s">
        <v>944</v>
      </c>
      <c r="M2318" t="s">
        <v>12</v>
      </c>
      <c r="N2318" s="2">
        <v>0</v>
      </c>
      <c r="O2318" s="2">
        <v>9331</v>
      </c>
      <c r="P2318" s="2">
        <v>0</v>
      </c>
      <c r="Q2318" s="2">
        <v>9331</v>
      </c>
      <c r="R2318" s="2">
        <v>3999</v>
      </c>
      <c r="S2318" s="2">
        <v>2666</v>
      </c>
      <c r="T2318" s="2">
        <v>2666</v>
      </c>
      <c r="U2318" s="2">
        <v>6665</v>
      </c>
      <c r="V2318" s="2">
        <v>6665</v>
      </c>
      <c r="W2318" s="2">
        <v>2666</v>
      </c>
    </row>
    <row r="2319" spans="1:23" outlineLevel="2" x14ac:dyDescent="0.2">
      <c r="A2319" t="s">
        <v>836</v>
      </c>
      <c r="B2319" t="s">
        <v>39</v>
      </c>
      <c r="C2319" t="s">
        <v>58</v>
      </c>
      <c r="D2319" t="s">
        <v>145</v>
      </c>
      <c r="E2319" t="s">
        <v>146</v>
      </c>
      <c r="F2319" t="s">
        <v>933</v>
      </c>
      <c r="G2319" t="s">
        <v>934</v>
      </c>
      <c r="H2319" t="s">
        <v>935</v>
      </c>
      <c r="I2319" t="s">
        <v>936</v>
      </c>
      <c r="J2319" t="s">
        <v>841</v>
      </c>
      <c r="K2319" t="s">
        <v>846</v>
      </c>
      <c r="L2319" t="s">
        <v>944</v>
      </c>
      <c r="M2319" t="s">
        <v>12</v>
      </c>
      <c r="N2319" s="2">
        <v>0</v>
      </c>
      <c r="O2319" s="2">
        <v>9331</v>
      </c>
      <c r="P2319" s="2">
        <v>0</v>
      </c>
      <c r="Q2319" s="2">
        <v>9331</v>
      </c>
      <c r="R2319" s="2">
        <v>2666</v>
      </c>
      <c r="S2319" s="2">
        <v>3999</v>
      </c>
      <c r="T2319" s="2">
        <v>3999</v>
      </c>
      <c r="U2319" s="2">
        <v>5332</v>
      </c>
      <c r="V2319" s="2">
        <v>5332</v>
      </c>
      <c r="W2319" s="2">
        <v>2666</v>
      </c>
    </row>
    <row r="2320" spans="1:23" outlineLevel="2" x14ac:dyDescent="0.2">
      <c r="A2320" t="s">
        <v>836</v>
      </c>
      <c r="B2320" t="s">
        <v>39</v>
      </c>
      <c r="C2320" t="s">
        <v>58</v>
      </c>
      <c r="D2320" t="s">
        <v>135</v>
      </c>
      <c r="E2320" t="s">
        <v>136</v>
      </c>
      <c r="F2320" t="s">
        <v>933</v>
      </c>
      <c r="G2320" t="s">
        <v>934</v>
      </c>
      <c r="H2320" t="s">
        <v>935</v>
      </c>
      <c r="I2320" t="s">
        <v>936</v>
      </c>
      <c r="J2320" t="s">
        <v>841</v>
      </c>
      <c r="K2320" t="s">
        <v>846</v>
      </c>
      <c r="L2320" t="s">
        <v>944</v>
      </c>
      <c r="M2320" t="s">
        <v>12</v>
      </c>
      <c r="N2320" s="2">
        <v>0</v>
      </c>
      <c r="O2320" s="2">
        <v>8131</v>
      </c>
      <c r="P2320" s="2">
        <v>0</v>
      </c>
      <c r="Q2320" s="2">
        <v>8131</v>
      </c>
      <c r="R2320" s="2">
        <v>3999</v>
      </c>
      <c r="S2320" s="2">
        <v>2666</v>
      </c>
      <c r="T2320" s="2">
        <v>2666</v>
      </c>
      <c r="U2320" s="2">
        <v>5465</v>
      </c>
      <c r="V2320" s="2">
        <v>5465</v>
      </c>
      <c r="W2320" s="2">
        <v>1466</v>
      </c>
    </row>
    <row r="2321" spans="1:23" outlineLevel="2" x14ac:dyDescent="0.2">
      <c r="A2321" t="s">
        <v>836</v>
      </c>
      <c r="B2321" t="s">
        <v>39</v>
      </c>
      <c r="C2321" t="s">
        <v>58</v>
      </c>
      <c r="D2321" t="s">
        <v>149</v>
      </c>
      <c r="E2321" t="s">
        <v>150</v>
      </c>
      <c r="F2321" t="s">
        <v>933</v>
      </c>
      <c r="G2321" t="s">
        <v>934</v>
      </c>
      <c r="H2321" t="s">
        <v>935</v>
      </c>
      <c r="I2321" t="s">
        <v>936</v>
      </c>
      <c r="J2321" t="s">
        <v>841</v>
      </c>
      <c r="K2321" t="s">
        <v>846</v>
      </c>
      <c r="L2321" t="s">
        <v>944</v>
      </c>
      <c r="M2321" t="s">
        <v>12</v>
      </c>
      <c r="N2321" s="2">
        <v>0</v>
      </c>
      <c r="O2321" s="2">
        <v>9331</v>
      </c>
      <c r="P2321" s="2">
        <v>-2666</v>
      </c>
      <c r="Q2321" s="2">
        <v>6665</v>
      </c>
      <c r="R2321" s="2">
        <v>3999</v>
      </c>
      <c r="S2321" s="2">
        <v>2666</v>
      </c>
      <c r="T2321" s="2">
        <v>2666</v>
      </c>
      <c r="U2321" s="2">
        <v>3999</v>
      </c>
      <c r="V2321" s="2">
        <v>3999</v>
      </c>
      <c r="W2321" s="2">
        <v>0</v>
      </c>
    </row>
    <row r="2322" spans="1:23" outlineLevel="2" x14ac:dyDescent="0.2">
      <c r="A2322" t="s">
        <v>836</v>
      </c>
      <c r="B2322" t="s">
        <v>31</v>
      </c>
      <c r="C2322" t="s">
        <v>32</v>
      </c>
      <c r="D2322" t="s">
        <v>141</v>
      </c>
      <c r="E2322" t="s">
        <v>142</v>
      </c>
      <c r="F2322" t="s">
        <v>933</v>
      </c>
      <c r="G2322" t="s">
        <v>934</v>
      </c>
      <c r="H2322" t="s">
        <v>935</v>
      </c>
      <c r="I2322" t="s">
        <v>936</v>
      </c>
      <c r="J2322" t="s">
        <v>841</v>
      </c>
      <c r="K2322" t="s">
        <v>846</v>
      </c>
      <c r="L2322" t="s">
        <v>943</v>
      </c>
      <c r="M2322" t="s">
        <v>15</v>
      </c>
      <c r="N2322" s="2">
        <v>0</v>
      </c>
      <c r="O2322" s="2">
        <v>141060</v>
      </c>
      <c r="P2322" s="2">
        <v>0</v>
      </c>
      <c r="Q2322" s="2">
        <v>141060</v>
      </c>
      <c r="R2322" s="2">
        <v>57372.66</v>
      </c>
      <c r="S2322" s="2">
        <v>83687.34</v>
      </c>
      <c r="T2322" s="2">
        <v>83687.34</v>
      </c>
      <c r="U2322" s="2">
        <v>57372.66</v>
      </c>
      <c r="V2322" s="2">
        <v>57372.66</v>
      </c>
      <c r="W2322" s="2">
        <v>0</v>
      </c>
    </row>
    <row r="2323" spans="1:23" outlineLevel="2" x14ac:dyDescent="0.2">
      <c r="A2323" t="s">
        <v>836</v>
      </c>
      <c r="B2323" t="s">
        <v>39</v>
      </c>
      <c r="C2323" t="s">
        <v>58</v>
      </c>
      <c r="D2323" t="s">
        <v>59</v>
      </c>
      <c r="E2323" t="s">
        <v>60</v>
      </c>
      <c r="F2323" t="s">
        <v>933</v>
      </c>
      <c r="G2323" t="s">
        <v>934</v>
      </c>
      <c r="H2323" t="s">
        <v>935</v>
      </c>
      <c r="I2323" t="s">
        <v>936</v>
      </c>
      <c r="J2323" t="s">
        <v>841</v>
      </c>
      <c r="K2323" t="s">
        <v>846</v>
      </c>
      <c r="L2323" t="s">
        <v>944</v>
      </c>
      <c r="M2323" t="s">
        <v>12</v>
      </c>
      <c r="N2323" s="2">
        <v>0</v>
      </c>
      <c r="O2323" s="2">
        <v>9331</v>
      </c>
      <c r="P2323" s="2">
        <v>0</v>
      </c>
      <c r="Q2323" s="2">
        <v>9331</v>
      </c>
      <c r="R2323" s="2">
        <v>2666</v>
      </c>
      <c r="S2323" s="2">
        <v>3999</v>
      </c>
      <c r="T2323" s="2">
        <v>3999</v>
      </c>
      <c r="U2323" s="2">
        <v>5332</v>
      </c>
      <c r="V2323" s="2">
        <v>5332</v>
      </c>
      <c r="W2323" s="2">
        <v>2666</v>
      </c>
    </row>
    <row r="2324" spans="1:23" outlineLevel="2" x14ac:dyDescent="0.2">
      <c r="A2324" t="s">
        <v>836</v>
      </c>
      <c r="B2324" t="s">
        <v>39</v>
      </c>
      <c r="C2324" t="s">
        <v>58</v>
      </c>
      <c r="D2324" t="s">
        <v>147</v>
      </c>
      <c r="E2324" t="s">
        <v>148</v>
      </c>
      <c r="F2324" t="s">
        <v>933</v>
      </c>
      <c r="G2324" t="s">
        <v>934</v>
      </c>
      <c r="H2324" t="s">
        <v>935</v>
      </c>
      <c r="I2324" t="s">
        <v>936</v>
      </c>
      <c r="J2324" t="s">
        <v>841</v>
      </c>
      <c r="K2324" t="s">
        <v>846</v>
      </c>
      <c r="L2324" t="s">
        <v>944</v>
      </c>
      <c r="M2324" t="s">
        <v>12</v>
      </c>
      <c r="N2324" s="2">
        <v>0</v>
      </c>
      <c r="O2324" s="2">
        <v>9331</v>
      </c>
      <c r="P2324" s="2">
        <v>0</v>
      </c>
      <c r="Q2324" s="2">
        <v>9331</v>
      </c>
      <c r="R2324" s="2">
        <v>3599.1</v>
      </c>
      <c r="S2324" s="2">
        <v>3065.9</v>
      </c>
      <c r="T2324" s="2">
        <v>3065.9</v>
      </c>
      <c r="U2324" s="2">
        <v>6265.1</v>
      </c>
      <c r="V2324" s="2">
        <v>6265.1</v>
      </c>
      <c r="W2324" s="2">
        <v>2666</v>
      </c>
    </row>
    <row r="2325" spans="1:23" outlineLevel="2" x14ac:dyDescent="0.2">
      <c r="A2325" t="s">
        <v>836</v>
      </c>
      <c r="B2325" t="s">
        <v>39</v>
      </c>
      <c r="C2325" t="s">
        <v>58</v>
      </c>
      <c r="D2325" t="s">
        <v>139</v>
      </c>
      <c r="E2325" t="s">
        <v>140</v>
      </c>
      <c r="F2325" t="s">
        <v>933</v>
      </c>
      <c r="G2325" t="s">
        <v>934</v>
      </c>
      <c r="H2325" t="s">
        <v>935</v>
      </c>
      <c r="I2325" t="s">
        <v>936</v>
      </c>
      <c r="J2325" t="s">
        <v>841</v>
      </c>
      <c r="K2325" t="s">
        <v>846</v>
      </c>
      <c r="L2325" t="s">
        <v>944</v>
      </c>
      <c r="M2325" t="s">
        <v>12</v>
      </c>
      <c r="N2325" s="2">
        <v>0</v>
      </c>
      <c r="O2325" s="2">
        <v>8351</v>
      </c>
      <c r="P2325" s="2">
        <v>0</v>
      </c>
      <c r="Q2325" s="2">
        <v>8351</v>
      </c>
      <c r="R2325" s="2">
        <v>3999</v>
      </c>
      <c r="S2325" s="2">
        <v>2666</v>
      </c>
      <c r="T2325" s="2">
        <v>2666</v>
      </c>
      <c r="U2325" s="2">
        <v>5685</v>
      </c>
      <c r="V2325" s="2">
        <v>5685</v>
      </c>
      <c r="W2325" s="2">
        <v>1686</v>
      </c>
    </row>
    <row r="2326" spans="1:23" outlineLevel="2" x14ac:dyDescent="0.2">
      <c r="A2326" t="s">
        <v>836</v>
      </c>
      <c r="B2326" t="s">
        <v>39</v>
      </c>
      <c r="C2326" t="s">
        <v>58</v>
      </c>
      <c r="D2326" t="s">
        <v>149</v>
      </c>
      <c r="E2326" t="s">
        <v>150</v>
      </c>
      <c r="F2326" t="s">
        <v>933</v>
      </c>
      <c r="G2326" t="s">
        <v>934</v>
      </c>
      <c r="H2326" t="s">
        <v>935</v>
      </c>
      <c r="I2326" t="s">
        <v>936</v>
      </c>
      <c r="J2326" t="s">
        <v>841</v>
      </c>
      <c r="K2326" t="s">
        <v>848</v>
      </c>
      <c r="L2326" t="s">
        <v>945</v>
      </c>
      <c r="M2326" t="s">
        <v>12</v>
      </c>
      <c r="N2326" s="2">
        <v>0</v>
      </c>
      <c r="O2326" s="2">
        <v>1180.3800000000001</v>
      </c>
      <c r="P2326" s="2">
        <v>-337.26</v>
      </c>
      <c r="Q2326" s="2">
        <v>843.12</v>
      </c>
      <c r="R2326" s="2">
        <v>505.88</v>
      </c>
      <c r="S2326" s="2">
        <v>337.24</v>
      </c>
      <c r="T2326" s="2">
        <v>337.24</v>
      </c>
      <c r="U2326" s="2">
        <v>505.88</v>
      </c>
      <c r="V2326" s="2">
        <v>505.88</v>
      </c>
      <c r="W2326" s="2">
        <v>0</v>
      </c>
    </row>
    <row r="2327" spans="1:23" outlineLevel="2" x14ac:dyDescent="0.2">
      <c r="A2327" t="s">
        <v>836</v>
      </c>
      <c r="B2327" t="s">
        <v>39</v>
      </c>
      <c r="C2327" t="s">
        <v>58</v>
      </c>
      <c r="D2327" t="s">
        <v>147</v>
      </c>
      <c r="E2327" t="s">
        <v>148</v>
      </c>
      <c r="F2327" t="s">
        <v>933</v>
      </c>
      <c r="G2327" t="s">
        <v>934</v>
      </c>
      <c r="H2327" t="s">
        <v>935</v>
      </c>
      <c r="I2327" t="s">
        <v>936</v>
      </c>
      <c r="J2327" t="s">
        <v>841</v>
      </c>
      <c r="K2327" t="s">
        <v>848</v>
      </c>
      <c r="L2327" t="s">
        <v>945</v>
      </c>
      <c r="M2327" t="s">
        <v>12</v>
      </c>
      <c r="N2327" s="2">
        <v>0</v>
      </c>
      <c r="O2327" s="2">
        <v>1180.3800000000001</v>
      </c>
      <c r="P2327" s="2">
        <v>0</v>
      </c>
      <c r="Q2327" s="2">
        <v>1180.3800000000001</v>
      </c>
      <c r="R2327" s="2">
        <v>455.29</v>
      </c>
      <c r="S2327" s="2">
        <v>387.83</v>
      </c>
      <c r="T2327" s="2">
        <v>387.83</v>
      </c>
      <c r="U2327" s="2">
        <v>792.55</v>
      </c>
      <c r="V2327" s="2">
        <v>792.55</v>
      </c>
      <c r="W2327" s="2">
        <v>337.26</v>
      </c>
    </row>
    <row r="2328" spans="1:23" outlineLevel="2" x14ac:dyDescent="0.2">
      <c r="A2328" t="s">
        <v>836</v>
      </c>
      <c r="B2328" t="s">
        <v>39</v>
      </c>
      <c r="C2328" t="s">
        <v>58</v>
      </c>
      <c r="D2328" t="s">
        <v>143</v>
      </c>
      <c r="E2328" t="s">
        <v>144</v>
      </c>
      <c r="F2328" t="s">
        <v>933</v>
      </c>
      <c r="G2328" t="s">
        <v>934</v>
      </c>
      <c r="H2328" t="s">
        <v>935</v>
      </c>
      <c r="I2328" t="s">
        <v>936</v>
      </c>
      <c r="J2328" t="s">
        <v>841</v>
      </c>
      <c r="K2328" t="s">
        <v>848</v>
      </c>
      <c r="L2328" t="s">
        <v>945</v>
      </c>
      <c r="M2328" t="s">
        <v>12</v>
      </c>
      <c r="N2328" s="2">
        <v>0</v>
      </c>
      <c r="O2328" s="2">
        <v>1180.3800000000001</v>
      </c>
      <c r="P2328" s="2">
        <v>0</v>
      </c>
      <c r="Q2328" s="2">
        <v>1180.3800000000001</v>
      </c>
      <c r="R2328" s="2">
        <v>348.5</v>
      </c>
      <c r="S2328" s="2">
        <v>494.62</v>
      </c>
      <c r="T2328" s="2">
        <v>494.62</v>
      </c>
      <c r="U2328" s="2">
        <v>685.76</v>
      </c>
      <c r="V2328" s="2">
        <v>685.76</v>
      </c>
      <c r="W2328" s="2">
        <v>337.26</v>
      </c>
    </row>
    <row r="2329" spans="1:23" outlineLevel="2" x14ac:dyDescent="0.2">
      <c r="A2329" t="s">
        <v>836</v>
      </c>
      <c r="B2329" t="s">
        <v>31</v>
      </c>
      <c r="C2329" t="s">
        <v>32</v>
      </c>
      <c r="D2329" t="s">
        <v>141</v>
      </c>
      <c r="E2329" t="s">
        <v>142</v>
      </c>
      <c r="F2329" t="s">
        <v>933</v>
      </c>
      <c r="G2329" t="s">
        <v>934</v>
      </c>
      <c r="H2329" t="s">
        <v>935</v>
      </c>
      <c r="I2329" t="s">
        <v>936</v>
      </c>
      <c r="J2329" t="s">
        <v>841</v>
      </c>
      <c r="K2329" t="s">
        <v>848</v>
      </c>
      <c r="L2329" t="s">
        <v>946</v>
      </c>
      <c r="M2329" t="s">
        <v>12</v>
      </c>
      <c r="N2329" s="2">
        <v>0</v>
      </c>
      <c r="O2329" s="2">
        <v>78643.5</v>
      </c>
      <c r="P2329" s="2">
        <v>0</v>
      </c>
      <c r="Q2329" s="2">
        <v>78643.5</v>
      </c>
      <c r="R2329" s="2">
        <v>17829.73</v>
      </c>
      <c r="S2329" s="2">
        <v>60813.77</v>
      </c>
      <c r="T2329" s="2">
        <v>60813.77</v>
      </c>
      <c r="U2329" s="2">
        <v>17829.73</v>
      </c>
      <c r="V2329" s="2">
        <v>17829.73</v>
      </c>
      <c r="W2329" s="2">
        <v>0</v>
      </c>
    </row>
    <row r="2330" spans="1:23" outlineLevel="2" x14ac:dyDescent="0.2">
      <c r="A2330" t="s">
        <v>836</v>
      </c>
      <c r="B2330" t="s">
        <v>31</v>
      </c>
      <c r="C2330" t="s">
        <v>32</v>
      </c>
      <c r="D2330" t="s">
        <v>141</v>
      </c>
      <c r="E2330" t="s">
        <v>142</v>
      </c>
      <c r="F2330" t="s">
        <v>933</v>
      </c>
      <c r="G2330" t="s">
        <v>934</v>
      </c>
      <c r="H2330" t="s">
        <v>935</v>
      </c>
      <c r="I2330" t="s">
        <v>936</v>
      </c>
      <c r="J2330" t="s">
        <v>841</v>
      </c>
      <c r="K2330" t="s">
        <v>848</v>
      </c>
      <c r="L2330" t="s">
        <v>946</v>
      </c>
      <c r="M2330" t="s">
        <v>15</v>
      </c>
      <c r="N2330" s="2">
        <v>0</v>
      </c>
      <c r="O2330" s="2">
        <v>17844.09</v>
      </c>
      <c r="P2330" s="2">
        <v>0</v>
      </c>
      <c r="Q2330" s="2">
        <v>17844.09</v>
      </c>
      <c r="R2330" s="2">
        <v>7257.61</v>
      </c>
      <c r="S2330" s="2">
        <v>10586.48</v>
      </c>
      <c r="T2330" s="2">
        <v>10586.48</v>
      </c>
      <c r="U2330" s="2">
        <v>7257.61</v>
      </c>
      <c r="V2330" s="2">
        <v>7257.61</v>
      </c>
      <c r="W2330" s="2">
        <v>0</v>
      </c>
    </row>
    <row r="2331" spans="1:23" outlineLevel="2" x14ac:dyDescent="0.2">
      <c r="A2331" t="s">
        <v>836</v>
      </c>
      <c r="B2331" t="s">
        <v>39</v>
      </c>
      <c r="C2331" t="s">
        <v>58</v>
      </c>
      <c r="D2331" t="s">
        <v>59</v>
      </c>
      <c r="E2331" t="s">
        <v>60</v>
      </c>
      <c r="F2331" t="s">
        <v>933</v>
      </c>
      <c r="G2331" t="s">
        <v>934</v>
      </c>
      <c r="H2331" t="s">
        <v>935</v>
      </c>
      <c r="I2331" t="s">
        <v>936</v>
      </c>
      <c r="J2331" t="s">
        <v>841</v>
      </c>
      <c r="K2331" t="s">
        <v>848</v>
      </c>
      <c r="L2331" t="s">
        <v>945</v>
      </c>
      <c r="M2331" t="s">
        <v>12</v>
      </c>
      <c r="N2331" s="2">
        <v>0</v>
      </c>
      <c r="O2331" s="2">
        <v>1180.3800000000001</v>
      </c>
      <c r="P2331" s="2">
        <v>0</v>
      </c>
      <c r="Q2331" s="2">
        <v>1180.3800000000001</v>
      </c>
      <c r="R2331" s="2">
        <v>337.26</v>
      </c>
      <c r="S2331" s="2">
        <v>505.86</v>
      </c>
      <c r="T2331" s="2">
        <v>505.86</v>
      </c>
      <c r="U2331" s="2">
        <v>674.52</v>
      </c>
      <c r="V2331" s="2">
        <v>674.52</v>
      </c>
      <c r="W2331" s="2">
        <v>337.26</v>
      </c>
    </row>
    <row r="2332" spans="1:23" outlineLevel="2" x14ac:dyDescent="0.2">
      <c r="A2332" t="s">
        <v>836</v>
      </c>
      <c r="B2332" t="s">
        <v>39</v>
      </c>
      <c r="C2332" t="s">
        <v>58</v>
      </c>
      <c r="D2332" t="s">
        <v>145</v>
      </c>
      <c r="E2332" t="s">
        <v>146</v>
      </c>
      <c r="F2332" t="s">
        <v>933</v>
      </c>
      <c r="G2332" t="s">
        <v>934</v>
      </c>
      <c r="H2332" t="s">
        <v>935</v>
      </c>
      <c r="I2332" t="s">
        <v>936</v>
      </c>
      <c r="J2332" t="s">
        <v>841</v>
      </c>
      <c r="K2332" t="s">
        <v>848</v>
      </c>
      <c r="L2332" t="s">
        <v>945</v>
      </c>
      <c r="M2332" t="s">
        <v>12</v>
      </c>
      <c r="N2332" s="2">
        <v>0</v>
      </c>
      <c r="O2332" s="2">
        <v>1180.3800000000001</v>
      </c>
      <c r="P2332" s="2">
        <v>0</v>
      </c>
      <c r="Q2332" s="2">
        <v>1180.3800000000001</v>
      </c>
      <c r="R2332" s="2">
        <v>337.26</v>
      </c>
      <c r="S2332" s="2">
        <v>505.86</v>
      </c>
      <c r="T2332" s="2">
        <v>505.86</v>
      </c>
      <c r="U2332" s="2">
        <v>674.52</v>
      </c>
      <c r="V2332" s="2">
        <v>674.52</v>
      </c>
      <c r="W2332" s="2">
        <v>337.26</v>
      </c>
    </row>
    <row r="2333" spans="1:23" outlineLevel="2" x14ac:dyDescent="0.2">
      <c r="A2333" t="s">
        <v>836</v>
      </c>
      <c r="B2333" t="s">
        <v>39</v>
      </c>
      <c r="C2333" t="s">
        <v>58</v>
      </c>
      <c r="D2333" t="s">
        <v>139</v>
      </c>
      <c r="E2333" t="s">
        <v>140</v>
      </c>
      <c r="F2333" t="s">
        <v>933</v>
      </c>
      <c r="G2333" t="s">
        <v>934</v>
      </c>
      <c r="H2333" t="s">
        <v>935</v>
      </c>
      <c r="I2333" t="s">
        <v>936</v>
      </c>
      <c r="J2333" t="s">
        <v>841</v>
      </c>
      <c r="K2333" t="s">
        <v>848</v>
      </c>
      <c r="L2333" t="s">
        <v>945</v>
      </c>
      <c r="M2333" t="s">
        <v>12</v>
      </c>
      <c r="N2333" s="2">
        <v>0</v>
      </c>
      <c r="O2333" s="2">
        <v>1180.3800000000001</v>
      </c>
      <c r="P2333" s="2">
        <v>0</v>
      </c>
      <c r="Q2333" s="2">
        <v>1180.3800000000001</v>
      </c>
      <c r="R2333" s="2">
        <v>382.22</v>
      </c>
      <c r="S2333" s="2">
        <v>460.9</v>
      </c>
      <c r="T2333" s="2">
        <v>460.9</v>
      </c>
      <c r="U2333" s="2">
        <v>719.48</v>
      </c>
      <c r="V2333" s="2">
        <v>719.48</v>
      </c>
      <c r="W2333" s="2">
        <v>337.26</v>
      </c>
    </row>
    <row r="2334" spans="1:23" outlineLevel="2" x14ac:dyDescent="0.2">
      <c r="A2334" t="s">
        <v>836</v>
      </c>
      <c r="B2334" t="s">
        <v>39</v>
      </c>
      <c r="C2334" t="s">
        <v>58</v>
      </c>
      <c r="D2334" t="s">
        <v>137</v>
      </c>
      <c r="E2334" t="s">
        <v>138</v>
      </c>
      <c r="F2334" t="s">
        <v>933</v>
      </c>
      <c r="G2334" t="s">
        <v>934</v>
      </c>
      <c r="H2334" t="s">
        <v>935</v>
      </c>
      <c r="I2334" t="s">
        <v>936</v>
      </c>
      <c r="J2334" t="s">
        <v>841</v>
      </c>
      <c r="K2334" t="s">
        <v>848</v>
      </c>
      <c r="L2334" t="s">
        <v>945</v>
      </c>
      <c r="M2334" t="s">
        <v>12</v>
      </c>
      <c r="N2334" s="2">
        <v>0</v>
      </c>
      <c r="O2334" s="2">
        <v>1180.3800000000001</v>
      </c>
      <c r="P2334" s="2">
        <v>0</v>
      </c>
      <c r="Q2334" s="2">
        <v>1180.3800000000001</v>
      </c>
      <c r="R2334" s="2">
        <v>505.88</v>
      </c>
      <c r="S2334" s="2">
        <v>337.24</v>
      </c>
      <c r="T2334" s="2">
        <v>337.24</v>
      </c>
      <c r="U2334" s="2">
        <v>843.14</v>
      </c>
      <c r="V2334" s="2">
        <v>843.14</v>
      </c>
      <c r="W2334" s="2">
        <v>337.26</v>
      </c>
    </row>
    <row r="2335" spans="1:23" outlineLevel="2" x14ac:dyDescent="0.2">
      <c r="A2335" t="s">
        <v>836</v>
      </c>
      <c r="B2335" t="s">
        <v>39</v>
      </c>
      <c r="C2335" t="s">
        <v>58</v>
      </c>
      <c r="D2335" t="s">
        <v>135</v>
      </c>
      <c r="E2335" t="s">
        <v>136</v>
      </c>
      <c r="F2335" t="s">
        <v>933</v>
      </c>
      <c r="G2335" t="s">
        <v>934</v>
      </c>
      <c r="H2335" t="s">
        <v>935</v>
      </c>
      <c r="I2335" t="s">
        <v>936</v>
      </c>
      <c r="J2335" t="s">
        <v>841</v>
      </c>
      <c r="K2335" t="s">
        <v>848</v>
      </c>
      <c r="L2335" t="s">
        <v>945</v>
      </c>
      <c r="M2335" t="s">
        <v>12</v>
      </c>
      <c r="N2335" s="2">
        <v>0</v>
      </c>
      <c r="O2335" s="2">
        <v>1180.3800000000001</v>
      </c>
      <c r="P2335" s="2">
        <v>0</v>
      </c>
      <c r="Q2335" s="2">
        <v>1180.3800000000001</v>
      </c>
      <c r="R2335" s="2">
        <v>354.12</v>
      </c>
      <c r="S2335" s="2">
        <v>489</v>
      </c>
      <c r="T2335" s="2">
        <v>489</v>
      </c>
      <c r="U2335" s="2">
        <v>691.38</v>
      </c>
      <c r="V2335" s="2">
        <v>691.38</v>
      </c>
      <c r="W2335" s="2">
        <v>337.26</v>
      </c>
    </row>
    <row r="2336" spans="1:23" outlineLevel="2" x14ac:dyDescent="0.2">
      <c r="A2336" t="s">
        <v>836</v>
      </c>
      <c r="B2336" t="s">
        <v>39</v>
      </c>
      <c r="C2336" t="s">
        <v>58</v>
      </c>
      <c r="D2336" t="s">
        <v>145</v>
      </c>
      <c r="E2336" t="s">
        <v>146</v>
      </c>
      <c r="F2336" t="s">
        <v>933</v>
      </c>
      <c r="G2336" t="s">
        <v>934</v>
      </c>
      <c r="H2336" t="s">
        <v>935</v>
      </c>
      <c r="I2336" t="s">
        <v>936</v>
      </c>
      <c r="J2336" t="s">
        <v>841</v>
      </c>
      <c r="K2336" t="s">
        <v>850</v>
      </c>
      <c r="L2336" t="s">
        <v>947</v>
      </c>
      <c r="M2336" t="s">
        <v>12</v>
      </c>
      <c r="N2336" s="2">
        <v>0</v>
      </c>
      <c r="O2336" s="2">
        <v>777.58</v>
      </c>
      <c r="P2336" s="2">
        <v>0</v>
      </c>
      <c r="Q2336" s="2">
        <v>777.58</v>
      </c>
      <c r="R2336" s="2">
        <v>555.41999999999996</v>
      </c>
      <c r="S2336" s="2">
        <v>0</v>
      </c>
      <c r="T2336" s="2">
        <v>0</v>
      </c>
      <c r="U2336" s="2">
        <v>777.58</v>
      </c>
      <c r="V2336" s="2">
        <v>777.58</v>
      </c>
      <c r="W2336" s="2">
        <v>222.16</v>
      </c>
    </row>
    <row r="2337" spans="1:23" outlineLevel="2" x14ac:dyDescent="0.2">
      <c r="A2337" t="s">
        <v>836</v>
      </c>
      <c r="B2337" t="s">
        <v>39</v>
      </c>
      <c r="C2337" t="s">
        <v>58</v>
      </c>
      <c r="D2337" t="s">
        <v>137</v>
      </c>
      <c r="E2337" t="s">
        <v>138</v>
      </c>
      <c r="F2337" t="s">
        <v>933</v>
      </c>
      <c r="G2337" t="s">
        <v>934</v>
      </c>
      <c r="H2337" t="s">
        <v>935</v>
      </c>
      <c r="I2337" t="s">
        <v>936</v>
      </c>
      <c r="J2337" t="s">
        <v>841</v>
      </c>
      <c r="K2337" t="s">
        <v>850</v>
      </c>
      <c r="L2337" t="s">
        <v>947</v>
      </c>
      <c r="M2337" t="s">
        <v>12</v>
      </c>
      <c r="N2337" s="2">
        <v>0</v>
      </c>
      <c r="O2337" s="2">
        <v>777.58</v>
      </c>
      <c r="P2337" s="2">
        <v>0</v>
      </c>
      <c r="Q2337" s="2">
        <v>777.58</v>
      </c>
      <c r="R2337" s="2">
        <v>555.41999999999996</v>
      </c>
      <c r="S2337" s="2">
        <v>0</v>
      </c>
      <c r="T2337" s="2">
        <v>0</v>
      </c>
      <c r="U2337" s="2">
        <v>777.58</v>
      </c>
      <c r="V2337" s="2">
        <v>777.58</v>
      </c>
      <c r="W2337" s="2">
        <v>222.16</v>
      </c>
    </row>
    <row r="2338" spans="1:23" outlineLevel="2" x14ac:dyDescent="0.2">
      <c r="A2338" t="s">
        <v>836</v>
      </c>
      <c r="B2338" t="s">
        <v>39</v>
      </c>
      <c r="C2338" t="s">
        <v>58</v>
      </c>
      <c r="D2338" t="s">
        <v>147</v>
      </c>
      <c r="E2338" t="s">
        <v>148</v>
      </c>
      <c r="F2338" t="s">
        <v>933</v>
      </c>
      <c r="G2338" t="s">
        <v>934</v>
      </c>
      <c r="H2338" t="s">
        <v>935</v>
      </c>
      <c r="I2338" t="s">
        <v>936</v>
      </c>
      <c r="J2338" t="s">
        <v>841</v>
      </c>
      <c r="K2338" t="s">
        <v>850</v>
      </c>
      <c r="L2338" t="s">
        <v>947</v>
      </c>
      <c r="M2338" t="s">
        <v>12</v>
      </c>
      <c r="N2338" s="2">
        <v>0</v>
      </c>
      <c r="O2338" s="2">
        <v>777.58</v>
      </c>
      <c r="P2338" s="2">
        <v>0</v>
      </c>
      <c r="Q2338" s="2">
        <v>777.58</v>
      </c>
      <c r="R2338" s="2">
        <v>555.41999999999996</v>
      </c>
      <c r="S2338" s="2">
        <v>0</v>
      </c>
      <c r="T2338" s="2">
        <v>0</v>
      </c>
      <c r="U2338" s="2">
        <v>777.58</v>
      </c>
      <c r="V2338" s="2">
        <v>777.58</v>
      </c>
      <c r="W2338" s="2">
        <v>222.16</v>
      </c>
    </row>
    <row r="2339" spans="1:23" outlineLevel="2" x14ac:dyDescent="0.2">
      <c r="A2339" t="s">
        <v>836</v>
      </c>
      <c r="B2339" t="s">
        <v>39</v>
      </c>
      <c r="C2339" t="s">
        <v>58</v>
      </c>
      <c r="D2339" t="s">
        <v>135</v>
      </c>
      <c r="E2339" t="s">
        <v>136</v>
      </c>
      <c r="F2339" t="s">
        <v>933</v>
      </c>
      <c r="G2339" t="s">
        <v>934</v>
      </c>
      <c r="H2339" t="s">
        <v>935</v>
      </c>
      <c r="I2339" t="s">
        <v>936</v>
      </c>
      <c r="J2339" t="s">
        <v>841</v>
      </c>
      <c r="K2339" t="s">
        <v>850</v>
      </c>
      <c r="L2339" t="s">
        <v>947</v>
      </c>
      <c r="M2339" t="s">
        <v>12</v>
      </c>
      <c r="N2339" s="2">
        <v>0</v>
      </c>
      <c r="O2339" s="2">
        <v>777.58</v>
      </c>
      <c r="P2339" s="2">
        <v>0</v>
      </c>
      <c r="Q2339" s="2">
        <v>777.58</v>
      </c>
      <c r="R2339" s="2">
        <v>555.41999999999996</v>
      </c>
      <c r="S2339" s="2">
        <v>0</v>
      </c>
      <c r="T2339" s="2">
        <v>0</v>
      </c>
      <c r="U2339" s="2">
        <v>777.58</v>
      </c>
      <c r="V2339" s="2">
        <v>777.58</v>
      </c>
      <c r="W2339" s="2">
        <v>222.16</v>
      </c>
    </row>
    <row r="2340" spans="1:23" outlineLevel="2" x14ac:dyDescent="0.2">
      <c r="A2340" t="s">
        <v>836</v>
      </c>
      <c r="B2340" t="s">
        <v>31</v>
      </c>
      <c r="C2340" t="s">
        <v>32</v>
      </c>
      <c r="D2340" t="s">
        <v>141</v>
      </c>
      <c r="E2340" t="s">
        <v>142</v>
      </c>
      <c r="F2340" t="s">
        <v>933</v>
      </c>
      <c r="G2340" t="s">
        <v>934</v>
      </c>
      <c r="H2340" t="s">
        <v>935</v>
      </c>
      <c r="I2340" t="s">
        <v>936</v>
      </c>
      <c r="J2340" t="s">
        <v>841</v>
      </c>
      <c r="K2340" t="s">
        <v>850</v>
      </c>
      <c r="L2340" t="s">
        <v>948</v>
      </c>
      <c r="M2340" t="s">
        <v>15</v>
      </c>
      <c r="N2340" s="2">
        <v>0</v>
      </c>
      <c r="O2340" s="2">
        <v>11755</v>
      </c>
      <c r="P2340" s="2">
        <v>0</v>
      </c>
      <c r="Q2340" s="2">
        <v>11755</v>
      </c>
      <c r="R2340" s="2">
        <v>10556.11</v>
      </c>
      <c r="S2340" s="2">
        <v>1198.8900000000001</v>
      </c>
      <c r="T2340" s="2">
        <v>1198.8900000000001</v>
      </c>
      <c r="U2340" s="2">
        <v>10556.11</v>
      </c>
      <c r="V2340" s="2">
        <v>10556.11</v>
      </c>
      <c r="W2340" s="2">
        <v>0</v>
      </c>
    </row>
    <row r="2341" spans="1:23" outlineLevel="2" x14ac:dyDescent="0.2">
      <c r="A2341" t="s">
        <v>836</v>
      </c>
      <c r="B2341" t="s">
        <v>39</v>
      </c>
      <c r="C2341" t="s">
        <v>58</v>
      </c>
      <c r="D2341" t="s">
        <v>59</v>
      </c>
      <c r="E2341" t="s">
        <v>60</v>
      </c>
      <c r="F2341" t="s">
        <v>933</v>
      </c>
      <c r="G2341" t="s">
        <v>934</v>
      </c>
      <c r="H2341" t="s">
        <v>935</v>
      </c>
      <c r="I2341" t="s">
        <v>936</v>
      </c>
      <c r="J2341" t="s">
        <v>841</v>
      </c>
      <c r="K2341" t="s">
        <v>850</v>
      </c>
      <c r="L2341" t="s">
        <v>947</v>
      </c>
      <c r="M2341" t="s">
        <v>12</v>
      </c>
      <c r="N2341" s="2">
        <v>0</v>
      </c>
      <c r="O2341" s="2">
        <v>777.58</v>
      </c>
      <c r="P2341" s="2">
        <v>0</v>
      </c>
      <c r="Q2341" s="2">
        <v>777.58</v>
      </c>
      <c r="R2341" s="2">
        <v>555.41999999999996</v>
      </c>
      <c r="S2341" s="2">
        <v>0</v>
      </c>
      <c r="T2341" s="2">
        <v>0</v>
      </c>
      <c r="U2341" s="2">
        <v>777.58</v>
      </c>
      <c r="V2341" s="2">
        <v>777.58</v>
      </c>
      <c r="W2341" s="2">
        <v>222.16</v>
      </c>
    </row>
    <row r="2342" spans="1:23" outlineLevel="2" x14ac:dyDescent="0.2">
      <c r="A2342" t="s">
        <v>836</v>
      </c>
      <c r="B2342" t="s">
        <v>39</v>
      </c>
      <c r="C2342" t="s">
        <v>58</v>
      </c>
      <c r="D2342" t="s">
        <v>139</v>
      </c>
      <c r="E2342" t="s">
        <v>140</v>
      </c>
      <c r="F2342" t="s">
        <v>933</v>
      </c>
      <c r="G2342" t="s">
        <v>934</v>
      </c>
      <c r="H2342" t="s">
        <v>935</v>
      </c>
      <c r="I2342" t="s">
        <v>936</v>
      </c>
      <c r="J2342" t="s">
        <v>841</v>
      </c>
      <c r="K2342" t="s">
        <v>850</v>
      </c>
      <c r="L2342" t="s">
        <v>947</v>
      </c>
      <c r="M2342" t="s">
        <v>12</v>
      </c>
      <c r="N2342" s="2">
        <v>0</v>
      </c>
      <c r="O2342" s="2">
        <v>777.58</v>
      </c>
      <c r="P2342" s="2">
        <v>0</v>
      </c>
      <c r="Q2342" s="2">
        <v>777.58</v>
      </c>
      <c r="R2342" s="2">
        <v>555.41999999999996</v>
      </c>
      <c r="S2342" s="2">
        <v>0</v>
      </c>
      <c r="T2342" s="2">
        <v>0</v>
      </c>
      <c r="U2342" s="2">
        <v>777.58</v>
      </c>
      <c r="V2342" s="2">
        <v>777.58</v>
      </c>
      <c r="W2342" s="2">
        <v>222.16</v>
      </c>
    </row>
    <row r="2343" spans="1:23" outlineLevel="2" x14ac:dyDescent="0.2">
      <c r="A2343" t="s">
        <v>836</v>
      </c>
      <c r="B2343" t="s">
        <v>31</v>
      </c>
      <c r="C2343" t="s">
        <v>32</v>
      </c>
      <c r="D2343" t="s">
        <v>141</v>
      </c>
      <c r="E2343" t="s">
        <v>142</v>
      </c>
      <c r="F2343" t="s">
        <v>933</v>
      </c>
      <c r="G2343" t="s">
        <v>934</v>
      </c>
      <c r="H2343" t="s">
        <v>935</v>
      </c>
      <c r="I2343" t="s">
        <v>936</v>
      </c>
      <c r="J2343" t="s">
        <v>841</v>
      </c>
      <c r="K2343" t="s">
        <v>850</v>
      </c>
      <c r="L2343" t="s">
        <v>948</v>
      </c>
      <c r="M2343" t="s">
        <v>12</v>
      </c>
      <c r="N2343" s="2">
        <v>0</v>
      </c>
      <c r="O2343" s="2">
        <v>51806.75</v>
      </c>
      <c r="P2343" s="2">
        <v>0</v>
      </c>
      <c r="Q2343" s="2">
        <v>51806.75</v>
      </c>
      <c r="R2343" s="2">
        <v>45898.96</v>
      </c>
      <c r="S2343" s="2">
        <v>5907.54</v>
      </c>
      <c r="T2343" s="2">
        <v>5907.54</v>
      </c>
      <c r="U2343" s="2">
        <v>45899.21</v>
      </c>
      <c r="V2343" s="2">
        <v>45899.21</v>
      </c>
      <c r="W2343" s="2">
        <v>0.25</v>
      </c>
    </row>
    <row r="2344" spans="1:23" outlineLevel="2" x14ac:dyDescent="0.2">
      <c r="A2344" t="s">
        <v>836</v>
      </c>
      <c r="B2344" t="s">
        <v>39</v>
      </c>
      <c r="C2344" t="s">
        <v>58</v>
      </c>
      <c r="D2344" t="s">
        <v>143</v>
      </c>
      <c r="E2344" t="s">
        <v>144</v>
      </c>
      <c r="F2344" t="s">
        <v>933</v>
      </c>
      <c r="G2344" t="s">
        <v>934</v>
      </c>
      <c r="H2344" t="s">
        <v>935</v>
      </c>
      <c r="I2344" t="s">
        <v>936</v>
      </c>
      <c r="J2344" t="s">
        <v>841</v>
      </c>
      <c r="K2344" t="s">
        <v>850</v>
      </c>
      <c r="L2344" t="s">
        <v>947</v>
      </c>
      <c r="M2344" t="s">
        <v>12</v>
      </c>
      <c r="N2344" s="2">
        <v>0</v>
      </c>
      <c r="O2344" s="2">
        <v>777.58</v>
      </c>
      <c r="P2344" s="2">
        <v>0</v>
      </c>
      <c r="Q2344" s="2">
        <v>777.58</v>
      </c>
      <c r="R2344" s="2">
        <v>555.41999999999996</v>
      </c>
      <c r="S2344" s="2">
        <v>0</v>
      </c>
      <c r="T2344" s="2">
        <v>0</v>
      </c>
      <c r="U2344" s="2">
        <v>777.58</v>
      </c>
      <c r="V2344" s="2">
        <v>777.58</v>
      </c>
      <c r="W2344" s="2">
        <v>222.16</v>
      </c>
    </row>
    <row r="2345" spans="1:23" outlineLevel="2" x14ac:dyDescent="0.2">
      <c r="A2345" t="s">
        <v>836</v>
      </c>
      <c r="B2345" t="s">
        <v>39</v>
      </c>
      <c r="C2345" t="s">
        <v>58</v>
      </c>
      <c r="D2345" t="s">
        <v>149</v>
      </c>
      <c r="E2345" t="s">
        <v>150</v>
      </c>
      <c r="F2345" t="s">
        <v>933</v>
      </c>
      <c r="G2345" t="s">
        <v>934</v>
      </c>
      <c r="H2345" t="s">
        <v>935</v>
      </c>
      <c r="I2345" t="s">
        <v>936</v>
      </c>
      <c r="J2345" t="s">
        <v>841</v>
      </c>
      <c r="K2345" t="s">
        <v>850</v>
      </c>
      <c r="L2345" t="s">
        <v>947</v>
      </c>
      <c r="M2345" t="s">
        <v>12</v>
      </c>
      <c r="N2345" s="2">
        <v>0</v>
      </c>
      <c r="O2345" s="2">
        <v>777.58</v>
      </c>
      <c r="P2345" s="2">
        <v>-222.16</v>
      </c>
      <c r="Q2345" s="2">
        <v>555.41999999999996</v>
      </c>
      <c r="R2345" s="2">
        <v>555.41999999999996</v>
      </c>
      <c r="S2345" s="2">
        <v>0</v>
      </c>
      <c r="T2345" s="2">
        <v>0</v>
      </c>
      <c r="U2345" s="2">
        <v>555.41999999999996</v>
      </c>
      <c r="V2345" s="2">
        <v>555.41999999999996</v>
      </c>
      <c r="W2345" s="2">
        <v>0</v>
      </c>
    </row>
    <row r="2346" spans="1:23" outlineLevel="2" x14ac:dyDescent="0.2">
      <c r="A2346" t="s">
        <v>836</v>
      </c>
      <c r="B2346" t="s">
        <v>31</v>
      </c>
      <c r="C2346" t="s">
        <v>32</v>
      </c>
      <c r="D2346" t="s">
        <v>33</v>
      </c>
      <c r="E2346" t="s">
        <v>34</v>
      </c>
      <c r="F2346" t="s">
        <v>933</v>
      </c>
      <c r="G2346" t="s">
        <v>934</v>
      </c>
      <c r="H2346" t="s">
        <v>949</v>
      </c>
      <c r="I2346" t="s">
        <v>950</v>
      </c>
      <c r="J2346" t="s">
        <v>841</v>
      </c>
      <c r="K2346" t="s">
        <v>951</v>
      </c>
      <c r="L2346" t="s">
        <v>952</v>
      </c>
      <c r="M2346" t="s">
        <v>12</v>
      </c>
      <c r="N2346" s="2">
        <v>0</v>
      </c>
      <c r="O2346" s="2">
        <v>367027</v>
      </c>
      <c r="P2346" s="2">
        <v>0</v>
      </c>
      <c r="Q2346" s="2">
        <v>367027</v>
      </c>
      <c r="R2346" s="2">
        <v>60965.32</v>
      </c>
      <c r="S2346" s="2">
        <v>238494.68</v>
      </c>
      <c r="T2346" s="2">
        <v>238494.68</v>
      </c>
      <c r="U2346" s="2">
        <v>128532.32</v>
      </c>
      <c r="V2346" s="2">
        <v>128532.32</v>
      </c>
      <c r="W2346" s="2">
        <v>67567</v>
      </c>
    </row>
    <row r="2347" spans="1:23" outlineLevel="2" x14ac:dyDescent="0.2">
      <c r="A2347" t="s">
        <v>836</v>
      </c>
      <c r="B2347" t="s">
        <v>31</v>
      </c>
      <c r="C2347" t="s">
        <v>32</v>
      </c>
      <c r="D2347" t="s">
        <v>33</v>
      </c>
      <c r="E2347" t="s">
        <v>34</v>
      </c>
      <c r="F2347" t="s">
        <v>933</v>
      </c>
      <c r="G2347" t="s">
        <v>934</v>
      </c>
      <c r="H2347" t="s">
        <v>949</v>
      </c>
      <c r="I2347" t="s">
        <v>950</v>
      </c>
      <c r="J2347" t="s">
        <v>841</v>
      </c>
      <c r="K2347" t="s">
        <v>842</v>
      </c>
      <c r="L2347" t="s">
        <v>938</v>
      </c>
      <c r="M2347" t="s">
        <v>12</v>
      </c>
      <c r="N2347" s="2">
        <v>0</v>
      </c>
      <c r="O2347" s="2">
        <v>221729.66</v>
      </c>
      <c r="P2347" s="2">
        <v>0</v>
      </c>
      <c r="Q2347" s="2">
        <v>221729.66</v>
      </c>
      <c r="R2347" s="2">
        <v>125752.42</v>
      </c>
      <c r="S2347" s="2">
        <v>95977.24</v>
      </c>
      <c r="T2347" s="2">
        <v>95977.24</v>
      </c>
      <c r="U2347" s="2">
        <v>125752.42</v>
      </c>
      <c r="V2347" s="2">
        <v>125752.42</v>
      </c>
      <c r="W2347" s="2">
        <v>0</v>
      </c>
    </row>
    <row r="2348" spans="1:23" outlineLevel="2" x14ac:dyDescent="0.2">
      <c r="A2348" t="s">
        <v>836</v>
      </c>
      <c r="B2348" t="s">
        <v>31</v>
      </c>
      <c r="C2348" t="s">
        <v>32</v>
      </c>
      <c r="D2348" t="s">
        <v>33</v>
      </c>
      <c r="E2348" t="s">
        <v>34</v>
      </c>
      <c r="F2348" t="s">
        <v>933</v>
      </c>
      <c r="G2348" t="s">
        <v>934</v>
      </c>
      <c r="H2348" t="s">
        <v>949</v>
      </c>
      <c r="I2348" t="s">
        <v>950</v>
      </c>
      <c r="J2348" t="s">
        <v>841</v>
      </c>
      <c r="K2348" t="s">
        <v>844</v>
      </c>
      <c r="L2348" t="s">
        <v>940</v>
      </c>
      <c r="M2348" t="s">
        <v>12</v>
      </c>
      <c r="N2348" s="2">
        <v>0</v>
      </c>
      <c r="O2348" s="2">
        <v>64100</v>
      </c>
      <c r="P2348" s="2">
        <v>0</v>
      </c>
      <c r="Q2348" s="2">
        <v>64100</v>
      </c>
      <c r="R2348" s="2">
        <v>32459.73</v>
      </c>
      <c r="S2348" s="2">
        <v>31640.27</v>
      </c>
      <c r="T2348" s="2">
        <v>31640.27</v>
      </c>
      <c r="U2348" s="2">
        <v>32459.73</v>
      </c>
      <c r="V2348" s="2">
        <v>32459.73</v>
      </c>
      <c r="W2348" s="2">
        <v>0</v>
      </c>
    </row>
    <row r="2349" spans="1:23" outlineLevel="2" x14ac:dyDescent="0.2">
      <c r="A2349" t="s">
        <v>836</v>
      </c>
      <c r="B2349" t="s">
        <v>31</v>
      </c>
      <c r="C2349" t="s">
        <v>32</v>
      </c>
      <c r="D2349" t="s">
        <v>33</v>
      </c>
      <c r="E2349" t="s">
        <v>34</v>
      </c>
      <c r="F2349" t="s">
        <v>933</v>
      </c>
      <c r="G2349" t="s">
        <v>934</v>
      </c>
      <c r="H2349" t="s">
        <v>949</v>
      </c>
      <c r="I2349" t="s">
        <v>950</v>
      </c>
      <c r="J2349" t="s">
        <v>841</v>
      </c>
      <c r="K2349" t="s">
        <v>953</v>
      </c>
      <c r="L2349" t="s">
        <v>954</v>
      </c>
      <c r="M2349" t="s">
        <v>12</v>
      </c>
      <c r="N2349" s="2">
        <v>0</v>
      </c>
      <c r="O2349" s="2">
        <v>3720</v>
      </c>
      <c r="P2349" s="2">
        <v>0</v>
      </c>
      <c r="Q2349" s="2">
        <v>3720</v>
      </c>
      <c r="R2349" s="2">
        <v>3203</v>
      </c>
      <c r="S2349" s="2">
        <v>517</v>
      </c>
      <c r="T2349" s="2">
        <v>517</v>
      </c>
      <c r="U2349" s="2">
        <v>3203</v>
      </c>
      <c r="V2349" s="2">
        <v>3203</v>
      </c>
      <c r="W2349" s="2">
        <v>0</v>
      </c>
    </row>
    <row r="2350" spans="1:23" outlineLevel="2" x14ac:dyDescent="0.2">
      <c r="A2350" t="s">
        <v>836</v>
      </c>
      <c r="B2350" t="s">
        <v>31</v>
      </c>
      <c r="C2350" t="s">
        <v>32</v>
      </c>
      <c r="D2350" t="s">
        <v>33</v>
      </c>
      <c r="E2350" t="s">
        <v>34</v>
      </c>
      <c r="F2350" t="s">
        <v>933</v>
      </c>
      <c r="G2350" t="s">
        <v>934</v>
      </c>
      <c r="H2350" t="s">
        <v>949</v>
      </c>
      <c r="I2350" t="s">
        <v>950</v>
      </c>
      <c r="J2350" t="s">
        <v>841</v>
      </c>
      <c r="K2350" t="s">
        <v>955</v>
      </c>
      <c r="L2350" t="s">
        <v>956</v>
      </c>
      <c r="M2350" t="s">
        <v>12</v>
      </c>
      <c r="N2350" s="2">
        <v>0</v>
      </c>
      <c r="O2350" s="2">
        <v>30000</v>
      </c>
      <c r="P2350" s="2">
        <v>0</v>
      </c>
      <c r="Q2350" s="2">
        <v>30000</v>
      </c>
      <c r="R2350" s="2">
        <v>21984</v>
      </c>
      <c r="S2350" s="2">
        <v>8016</v>
      </c>
      <c r="T2350" s="2">
        <v>8016</v>
      </c>
      <c r="U2350" s="2">
        <v>21984</v>
      </c>
      <c r="V2350" s="2">
        <v>21984</v>
      </c>
      <c r="W2350" s="2">
        <v>0</v>
      </c>
    </row>
    <row r="2351" spans="1:23" outlineLevel="2" x14ac:dyDescent="0.2">
      <c r="A2351" t="s">
        <v>836</v>
      </c>
      <c r="B2351" t="s">
        <v>31</v>
      </c>
      <c r="C2351" t="s">
        <v>32</v>
      </c>
      <c r="D2351" t="s">
        <v>33</v>
      </c>
      <c r="E2351" t="s">
        <v>34</v>
      </c>
      <c r="F2351" t="s">
        <v>933</v>
      </c>
      <c r="G2351" t="s">
        <v>934</v>
      </c>
      <c r="H2351" t="s">
        <v>949</v>
      </c>
      <c r="I2351" t="s">
        <v>950</v>
      </c>
      <c r="J2351" t="s">
        <v>841</v>
      </c>
      <c r="K2351" t="s">
        <v>957</v>
      </c>
      <c r="L2351" t="s">
        <v>958</v>
      </c>
      <c r="M2351" t="s">
        <v>12</v>
      </c>
      <c r="N2351" s="2">
        <v>0</v>
      </c>
      <c r="O2351" s="2">
        <v>4464</v>
      </c>
      <c r="P2351" s="2">
        <v>0</v>
      </c>
      <c r="Q2351" s="2">
        <v>4464</v>
      </c>
      <c r="R2351" s="2">
        <v>4464</v>
      </c>
      <c r="S2351" s="2">
        <v>0</v>
      </c>
      <c r="T2351" s="2">
        <v>0</v>
      </c>
      <c r="U2351" s="2">
        <v>4464</v>
      </c>
      <c r="V2351" s="2">
        <v>4464</v>
      </c>
      <c r="W2351" s="2">
        <v>0</v>
      </c>
    </row>
    <row r="2352" spans="1:23" outlineLevel="2" x14ac:dyDescent="0.2">
      <c r="A2352" t="s">
        <v>836</v>
      </c>
      <c r="B2352" t="s">
        <v>31</v>
      </c>
      <c r="C2352" t="s">
        <v>32</v>
      </c>
      <c r="D2352" t="s">
        <v>33</v>
      </c>
      <c r="E2352" t="s">
        <v>34</v>
      </c>
      <c r="F2352" t="s">
        <v>933</v>
      </c>
      <c r="G2352" t="s">
        <v>934</v>
      </c>
      <c r="H2352" t="s">
        <v>949</v>
      </c>
      <c r="I2352" t="s">
        <v>950</v>
      </c>
      <c r="J2352" t="s">
        <v>841</v>
      </c>
      <c r="K2352" t="s">
        <v>854</v>
      </c>
      <c r="L2352" t="s">
        <v>941</v>
      </c>
      <c r="M2352" t="s">
        <v>15</v>
      </c>
      <c r="N2352" s="2">
        <v>0</v>
      </c>
      <c r="O2352" s="2">
        <v>187079.39</v>
      </c>
      <c r="P2352" s="2">
        <v>-3.13</v>
      </c>
      <c r="Q2352" s="2">
        <v>187076.26</v>
      </c>
      <c r="R2352" s="2">
        <v>0</v>
      </c>
      <c r="S2352" s="2">
        <v>187076.26</v>
      </c>
      <c r="T2352" s="2">
        <v>187076.26</v>
      </c>
      <c r="U2352" s="2">
        <v>0</v>
      </c>
      <c r="V2352" s="2">
        <v>0</v>
      </c>
      <c r="W2352" s="2">
        <v>0</v>
      </c>
    </row>
    <row r="2353" spans="1:23" outlineLevel="2" x14ac:dyDescent="0.2">
      <c r="A2353" t="s">
        <v>836</v>
      </c>
      <c r="B2353" t="s">
        <v>31</v>
      </c>
      <c r="C2353" t="s">
        <v>32</v>
      </c>
      <c r="D2353" t="s">
        <v>33</v>
      </c>
      <c r="E2353" t="s">
        <v>34</v>
      </c>
      <c r="F2353" t="s">
        <v>933</v>
      </c>
      <c r="G2353" t="s">
        <v>934</v>
      </c>
      <c r="H2353" t="s">
        <v>949</v>
      </c>
      <c r="I2353" t="s">
        <v>950</v>
      </c>
      <c r="J2353" t="s">
        <v>841</v>
      </c>
      <c r="K2353" t="s">
        <v>854</v>
      </c>
      <c r="L2353" t="s">
        <v>941</v>
      </c>
      <c r="M2353" t="s">
        <v>12</v>
      </c>
      <c r="N2353" s="2">
        <v>0</v>
      </c>
      <c r="O2353" s="2">
        <v>1663</v>
      </c>
      <c r="P2353" s="2">
        <v>31411.85</v>
      </c>
      <c r="Q2353" s="2">
        <v>33074.85</v>
      </c>
      <c r="R2353" s="2">
        <v>0</v>
      </c>
      <c r="S2353" s="2">
        <v>1662.27</v>
      </c>
      <c r="T2353" s="2">
        <v>1662.27</v>
      </c>
      <c r="U2353" s="2">
        <v>31412.58</v>
      </c>
      <c r="V2353" s="2">
        <v>31412.58</v>
      </c>
      <c r="W2353" s="2">
        <v>31412.58</v>
      </c>
    </row>
    <row r="2354" spans="1:23" outlineLevel="2" x14ac:dyDescent="0.2">
      <c r="A2354" t="s">
        <v>836</v>
      </c>
      <c r="B2354" t="s">
        <v>31</v>
      </c>
      <c r="C2354" t="s">
        <v>32</v>
      </c>
      <c r="D2354" t="s">
        <v>33</v>
      </c>
      <c r="E2354" t="s">
        <v>34</v>
      </c>
      <c r="F2354" t="s">
        <v>933</v>
      </c>
      <c r="G2354" t="s">
        <v>934</v>
      </c>
      <c r="H2354" t="s">
        <v>949</v>
      </c>
      <c r="I2354" t="s">
        <v>950</v>
      </c>
      <c r="J2354" t="s">
        <v>841</v>
      </c>
      <c r="K2354" t="s">
        <v>846</v>
      </c>
      <c r="L2354" t="s">
        <v>943</v>
      </c>
      <c r="M2354" t="s">
        <v>12</v>
      </c>
      <c r="N2354" s="2">
        <v>0</v>
      </c>
      <c r="O2354" s="2">
        <v>2361296</v>
      </c>
      <c r="P2354" s="2">
        <v>0</v>
      </c>
      <c r="Q2354" s="2">
        <v>2361296</v>
      </c>
      <c r="R2354" s="2">
        <v>1056796.1100000001</v>
      </c>
      <c r="S2354" s="2">
        <v>1304499.8899999999</v>
      </c>
      <c r="T2354" s="2">
        <v>1304499.8899999999</v>
      </c>
      <c r="U2354" s="2">
        <v>1056796.1100000001</v>
      </c>
      <c r="V2354" s="2">
        <v>1056796.1100000001</v>
      </c>
      <c r="W2354" s="2">
        <v>0</v>
      </c>
    </row>
    <row r="2355" spans="1:23" outlineLevel="2" x14ac:dyDescent="0.2">
      <c r="A2355" t="s">
        <v>836</v>
      </c>
      <c r="B2355" t="s">
        <v>31</v>
      </c>
      <c r="C2355" t="s">
        <v>32</v>
      </c>
      <c r="D2355" t="s">
        <v>33</v>
      </c>
      <c r="E2355" t="s">
        <v>34</v>
      </c>
      <c r="F2355" t="s">
        <v>933</v>
      </c>
      <c r="G2355" t="s">
        <v>934</v>
      </c>
      <c r="H2355" t="s">
        <v>949</v>
      </c>
      <c r="I2355" t="s">
        <v>950</v>
      </c>
      <c r="J2355" t="s">
        <v>841</v>
      </c>
      <c r="K2355" t="s">
        <v>848</v>
      </c>
      <c r="L2355" t="s">
        <v>946</v>
      </c>
      <c r="M2355" t="s">
        <v>12</v>
      </c>
      <c r="N2355" s="2">
        <v>0</v>
      </c>
      <c r="O2355" s="2">
        <v>335088.33</v>
      </c>
      <c r="P2355" s="2">
        <v>0</v>
      </c>
      <c r="Q2355" s="2">
        <v>335088.33</v>
      </c>
      <c r="R2355" s="2">
        <v>118890.69</v>
      </c>
      <c r="S2355" s="2">
        <v>216197.64</v>
      </c>
      <c r="T2355" s="2">
        <v>216197.64</v>
      </c>
      <c r="U2355" s="2">
        <v>118890.69</v>
      </c>
      <c r="V2355" s="2">
        <v>118890.69</v>
      </c>
      <c r="W2355" s="2">
        <v>0</v>
      </c>
    </row>
    <row r="2356" spans="1:23" outlineLevel="2" x14ac:dyDescent="0.2">
      <c r="A2356" t="s">
        <v>836</v>
      </c>
      <c r="B2356" t="s">
        <v>31</v>
      </c>
      <c r="C2356" t="s">
        <v>32</v>
      </c>
      <c r="D2356" t="s">
        <v>33</v>
      </c>
      <c r="E2356" t="s">
        <v>34</v>
      </c>
      <c r="F2356" t="s">
        <v>933</v>
      </c>
      <c r="G2356" t="s">
        <v>934</v>
      </c>
      <c r="H2356" t="s">
        <v>949</v>
      </c>
      <c r="I2356" t="s">
        <v>950</v>
      </c>
      <c r="J2356" t="s">
        <v>841</v>
      </c>
      <c r="K2356" t="s">
        <v>850</v>
      </c>
      <c r="L2356" t="s">
        <v>948</v>
      </c>
      <c r="M2356" t="s">
        <v>12</v>
      </c>
      <c r="N2356" s="2">
        <v>0</v>
      </c>
      <c r="O2356" s="2">
        <v>196774.67</v>
      </c>
      <c r="P2356" s="2">
        <v>0</v>
      </c>
      <c r="Q2356" s="2">
        <v>196774.67</v>
      </c>
      <c r="R2356" s="2">
        <v>196774.67</v>
      </c>
      <c r="S2356" s="2">
        <v>0</v>
      </c>
      <c r="T2356" s="2">
        <v>0</v>
      </c>
      <c r="U2356" s="2">
        <v>196774.67</v>
      </c>
      <c r="V2356" s="2">
        <v>196774.67</v>
      </c>
      <c r="W2356" s="2">
        <v>0</v>
      </c>
    </row>
    <row r="2357" spans="1:23" outlineLevel="2" x14ac:dyDescent="0.2">
      <c r="A2357" t="s">
        <v>836</v>
      </c>
      <c r="B2357" t="s">
        <v>31</v>
      </c>
      <c r="C2357" t="s">
        <v>32</v>
      </c>
      <c r="D2357" t="s">
        <v>33</v>
      </c>
      <c r="E2357" t="s">
        <v>34</v>
      </c>
      <c r="F2357" t="s">
        <v>933</v>
      </c>
      <c r="G2357" t="s">
        <v>934</v>
      </c>
      <c r="H2357" t="s">
        <v>949</v>
      </c>
      <c r="I2357" t="s">
        <v>950</v>
      </c>
      <c r="J2357" t="s">
        <v>841</v>
      </c>
      <c r="K2357" t="s">
        <v>959</v>
      </c>
      <c r="L2357" t="s">
        <v>960</v>
      </c>
      <c r="M2357" t="s">
        <v>12</v>
      </c>
      <c r="N2357" s="2">
        <v>0</v>
      </c>
      <c r="O2357" s="2">
        <v>10465</v>
      </c>
      <c r="P2357" s="2">
        <v>0</v>
      </c>
      <c r="Q2357" s="2">
        <v>10465</v>
      </c>
      <c r="R2357" s="2">
        <v>10465</v>
      </c>
      <c r="S2357" s="2">
        <v>0</v>
      </c>
      <c r="T2357" s="2">
        <v>0</v>
      </c>
      <c r="U2357" s="2">
        <v>10465</v>
      </c>
      <c r="V2357" s="2">
        <v>10465</v>
      </c>
      <c r="W2357" s="2">
        <v>0</v>
      </c>
    </row>
    <row r="2358" spans="1:23" outlineLevel="2" x14ac:dyDescent="0.2">
      <c r="A2358" t="s">
        <v>836</v>
      </c>
      <c r="B2358" t="s">
        <v>31</v>
      </c>
      <c r="C2358" t="s">
        <v>32</v>
      </c>
      <c r="D2358" t="s">
        <v>33</v>
      </c>
      <c r="E2358" t="s">
        <v>34</v>
      </c>
      <c r="F2358" t="s">
        <v>933</v>
      </c>
      <c r="G2358" t="s">
        <v>934</v>
      </c>
      <c r="H2358" t="s">
        <v>949</v>
      </c>
      <c r="I2358" t="s">
        <v>950</v>
      </c>
      <c r="J2358" t="s">
        <v>841</v>
      </c>
      <c r="K2358" t="s">
        <v>961</v>
      </c>
      <c r="L2358" t="s">
        <v>962</v>
      </c>
      <c r="M2358" t="s">
        <v>12</v>
      </c>
      <c r="N2358" s="2">
        <v>0</v>
      </c>
      <c r="O2358" s="2">
        <v>70985.84</v>
      </c>
      <c r="P2358" s="2">
        <v>0</v>
      </c>
      <c r="Q2358" s="2">
        <v>70985.84</v>
      </c>
      <c r="R2358" s="2">
        <v>1744.17</v>
      </c>
      <c r="S2358" s="2">
        <v>0</v>
      </c>
      <c r="T2358" s="2">
        <v>0</v>
      </c>
      <c r="U2358" s="2">
        <v>70985.84</v>
      </c>
      <c r="V2358" s="2">
        <v>70985.84</v>
      </c>
      <c r="W2358" s="2">
        <v>69241.67</v>
      </c>
    </row>
    <row r="2359" spans="1:23" outlineLevel="2" x14ac:dyDescent="0.2">
      <c r="A2359" t="s">
        <v>836</v>
      </c>
      <c r="B2359" t="s">
        <v>31</v>
      </c>
      <c r="C2359" t="s">
        <v>32</v>
      </c>
      <c r="D2359" t="s">
        <v>75</v>
      </c>
      <c r="E2359" t="s">
        <v>76</v>
      </c>
      <c r="F2359" t="s">
        <v>933</v>
      </c>
      <c r="G2359" t="s">
        <v>934</v>
      </c>
      <c r="H2359" t="s">
        <v>963</v>
      </c>
      <c r="I2359" t="s">
        <v>964</v>
      </c>
      <c r="J2359" t="s">
        <v>841</v>
      </c>
      <c r="K2359" t="s">
        <v>842</v>
      </c>
      <c r="L2359" t="s">
        <v>938</v>
      </c>
      <c r="M2359" t="s">
        <v>15</v>
      </c>
      <c r="N2359" s="2">
        <v>0</v>
      </c>
      <c r="O2359" s="2">
        <v>50810</v>
      </c>
      <c r="P2359" s="2">
        <v>-1009.76</v>
      </c>
      <c r="Q2359" s="2">
        <v>49800.24</v>
      </c>
      <c r="R2359" s="2">
        <v>40648.839999999997</v>
      </c>
      <c r="S2359" s="2">
        <v>9151.4</v>
      </c>
      <c r="T2359" s="2">
        <v>9151.4</v>
      </c>
      <c r="U2359" s="2">
        <v>40648.839999999997</v>
      </c>
      <c r="V2359" s="2">
        <v>40648.839999999997</v>
      </c>
      <c r="W2359" s="2">
        <v>0</v>
      </c>
    </row>
    <row r="2360" spans="1:23" outlineLevel="2" x14ac:dyDescent="0.2">
      <c r="A2360" t="s">
        <v>836</v>
      </c>
      <c r="B2360" t="s">
        <v>31</v>
      </c>
      <c r="C2360" t="s">
        <v>32</v>
      </c>
      <c r="D2360" t="s">
        <v>75</v>
      </c>
      <c r="E2360" t="s">
        <v>76</v>
      </c>
      <c r="F2360" t="s">
        <v>933</v>
      </c>
      <c r="G2360" t="s">
        <v>934</v>
      </c>
      <c r="H2360" t="s">
        <v>963</v>
      </c>
      <c r="I2360" t="s">
        <v>964</v>
      </c>
      <c r="J2360" t="s">
        <v>841</v>
      </c>
      <c r="K2360" t="s">
        <v>842</v>
      </c>
      <c r="L2360" t="s">
        <v>938</v>
      </c>
      <c r="M2360" t="s">
        <v>12</v>
      </c>
      <c r="N2360" s="2">
        <v>0</v>
      </c>
      <c r="O2360" s="2">
        <v>14234.25</v>
      </c>
      <c r="P2360" s="2">
        <v>1009.76</v>
      </c>
      <c r="Q2360" s="2">
        <v>15244.01</v>
      </c>
      <c r="R2360" s="2">
        <v>12783.27</v>
      </c>
      <c r="S2360" s="2">
        <v>1450.98</v>
      </c>
      <c r="T2360" s="2">
        <v>1450.98</v>
      </c>
      <c r="U2360" s="2">
        <v>13793.03</v>
      </c>
      <c r="V2360" s="2">
        <v>13793.03</v>
      </c>
      <c r="W2360" s="2">
        <v>1009.76</v>
      </c>
    </row>
    <row r="2361" spans="1:23" outlineLevel="2" x14ac:dyDescent="0.2">
      <c r="A2361" t="s">
        <v>836</v>
      </c>
      <c r="B2361" t="s">
        <v>31</v>
      </c>
      <c r="C2361" t="s">
        <v>32</v>
      </c>
      <c r="D2361" t="s">
        <v>75</v>
      </c>
      <c r="E2361" t="s">
        <v>76</v>
      </c>
      <c r="F2361" t="s">
        <v>933</v>
      </c>
      <c r="G2361" t="s">
        <v>934</v>
      </c>
      <c r="H2361" t="s">
        <v>963</v>
      </c>
      <c r="I2361" t="s">
        <v>964</v>
      </c>
      <c r="J2361" t="s">
        <v>841</v>
      </c>
      <c r="K2361" t="s">
        <v>844</v>
      </c>
      <c r="L2361" t="s">
        <v>940</v>
      </c>
      <c r="M2361" t="s">
        <v>15</v>
      </c>
      <c r="N2361" s="2">
        <v>0</v>
      </c>
      <c r="O2361" s="2">
        <v>15200</v>
      </c>
      <c r="P2361" s="2">
        <v>-200.02</v>
      </c>
      <c r="Q2361" s="2">
        <v>14999.98</v>
      </c>
      <c r="R2361" s="2">
        <v>1740.18</v>
      </c>
      <c r="S2361" s="2">
        <v>13259.8</v>
      </c>
      <c r="T2361" s="2">
        <v>13259.8</v>
      </c>
      <c r="U2361" s="2">
        <v>1740.18</v>
      </c>
      <c r="V2361" s="2">
        <v>1740.18</v>
      </c>
      <c r="W2361" s="2">
        <v>0</v>
      </c>
    </row>
    <row r="2362" spans="1:23" outlineLevel="2" x14ac:dyDescent="0.2">
      <c r="A2362" t="s">
        <v>836</v>
      </c>
      <c r="B2362" t="s">
        <v>31</v>
      </c>
      <c r="C2362" t="s">
        <v>32</v>
      </c>
      <c r="D2362" t="s">
        <v>75</v>
      </c>
      <c r="E2362" t="s">
        <v>76</v>
      </c>
      <c r="F2362" t="s">
        <v>933</v>
      </c>
      <c r="G2362" t="s">
        <v>934</v>
      </c>
      <c r="H2362" t="s">
        <v>963</v>
      </c>
      <c r="I2362" t="s">
        <v>964</v>
      </c>
      <c r="J2362" t="s">
        <v>841</v>
      </c>
      <c r="K2362" t="s">
        <v>844</v>
      </c>
      <c r="L2362" t="s">
        <v>940</v>
      </c>
      <c r="M2362" t="s">
        <v>12</v>
      </c>
      <c r="N2362" s="2">
        <v>0</v>
      </c>
      <c r="O2362" s="2">
        <v>4600</v>
      </c>
      <c r="P2362" s="2">
        <v>200.02</v>
      </c>
      <c r="Q2362" s="2">
        <v>4800.0200000000004</v>
      </c>
      <c r="R2362" s="2">
        <v>4200.04</v>
      </c>
      <c r="S2362" s="2">
        <v>399.96</v>
      </c>
      <c r="T2362" s="2">
        <v>399.96</v>
      </c>
      <c r="U2362" s="2">
        <v>4400.0600000000004</v>
      </c>
      <c r="V2362" s="2">
        <v>4400.0600000000004</v>
      </c>
      <c r="W2362" s="2">
        <v>200.02</v>
      </c>
    </row>
    <row r="2363" spans="1:23" outlineLevel="2" x14ac:dyDescent="0.2">
      <c r="A2363" t="s">
        <v>836</v>
      </c>
      <c r="B2363" t="s">
        <v>31</v>
      </c>
      <c r="C2363" t="s">
        <v>32</v>
      </c>
      <c r="D2363" t="s">
        <v>75</v>
      </c>
      <c r="E2363" t="s">
        <v>76</v>
      </c>
      <c r="F2363" t="s">
        <v>933</v>
      </c>
      <c r="G2363" t="s">
        <v>934</v>
      </c>
      <c r="H2363" t="s">
        <v>963</v>
      </c>
      <c r="I2363" t="s">
        <v>964</v>
      </c>
      <c r="J2363" t="s">
        <v>841</v>
      </c>
      <c r="K2363" t="s">
        <v>854</v>
      </c>
      <c r="L2363" t="s">
        <v>941</v>
      </c>
      <c r="M2363" t="s">
        <v>12</v>
      </c>
      <c r="N2363" s="2">
        <v>0</v>
      </c>
      <c r="O2363" s="2">
        <v>0</v>
      </c>
      <c r="P2363" s="2">
        <v>1639.16</v>
      </c>
      <c r="Q2363" s="2">
        <v>1639.16</v>
      </c>
      <c r="R2363" s="2">
        <v>0</v>
      </c>
      <c r="S2363" s="2">
        <v>0</v>
      </c>
      <c r="T2363" s="2">
        <v>0</v>
      </c>
      <c r="U2363" s="2">
        <v>1639.16</v>
      </c>
      <c r="V2363" s="2">
        <v>1639.16</v>
      </c>
      <c r="W2363" s="2">
        <v>1639.16</v>
      </c>
    </row>
    <row r="2364" spans="1:23" outlineLevel="2" x14ac:dyDescent="0.2">
      <c r="A2364" t="s">
        <v>836</v>
      </c>
      <c r="B2364" t="s">
        <v>31</v>
      </c>
      <c r="C2364" t="s">
        <v>32</v>
      </c>
      <c r="D2364" t="s">
        <v>75</v>
      </c>
      <c r="E2364" t="s">
        <v>76</v>
      </c>
      <c r="F2364" t="s">
        <v>933</v>
      </c>
      <c r="G2364" t="s">
        <v>934</v>
      </c>
      <c r="H2364" t="s">
        <v>963</v>
      </c>
      <c r="I2364" t="s">
        <v>964</v>
      </c>
      <c r="J2364" t="s">
        <v>841</v>
      </c>
      <c r="K2364" t="s">
        <v>854</v>
      </c>
      <c r="L2364" t="s">
        <v>941</v>
      </c>
      <c r="M2364" t="s">
        <v>15</v>
      </c>
      <c r="N2364" s="2">
        <v>0</v>
      </c>
      <c r="O2364" s="2">
        <v>17898.330000000002</v>
      </c>
      <c r="P2364" s="2">
        <v>-2.2599999999999998</v>
      </c>
      <c r="Q2364" s="2">
        <v>17896.07</v>
      </c>
      <c r="R2364" s="2">
        <v>0</v>
      </c>
      <c r="S2364" s="2">
        <v>17896.07</v>
      </c>
      <c r="T2364" s="2">
        <v>17896.07</v>
      </c>
      <c r="U2364" s="2">
        <v>0</v>
      </c>
      <c r="V2364" s="2">
        <v>0</v>
      </c>
      <c r="W2364" s="2">
        <v>0</v>
      </c>
    </row>
    <row r="2365" spans="1:23" outlineLevel="2" x14ac:dyDescent="0.2">
      <c r="A2365" t="s">
        <v>836</v>
      </c>
      <c r="B2365" t="s">
        <v>31</v>
      </c>
      <c r="C2365" t="s">
        <v>32</v>
      </c>
      <c r="D2365" t="s">
        <v>75</v>
      </c>
      <c r="E2365" t="s">
        <v>76</v>
      </c>
      <c r="F2365" t="s">
        <v>933</v>
      </c>
      <c r="G2365" t="s">
        <v>934</v>
      </c>
      <c r="H2365" t="s">
        <v>963</v>
      </c>
      <c r="I2365" t="s">
        <v>964</v>
      </c>
      <c r="J2365" t="s">
        <v>841</v>
      </c>
      <c r="K2365" t="s">
        <v>846</v>
      </c>
      <c r="L2365" t="s">
        <v>943</v>
      </c>
      <c r="M2365" t="s">
        <v>15</v>
      </c>
      <c r="N2365" s="2">
        <v>0</v>
      </c>
      <c r="O2365" s="2">
        <v>609720</v>
      </c>
      <c r="P2365" s="2">
        <v>-8788</v>
      </c>
      <c r="Q2365" s="2">
        <v>600932</v>
      </c>
      <c r="R2365" s="2">
        <v>81333.53</v>
      </c>
      <c r="S2365" s="2">
        <v>519598.47</v>
      </c>
      <c r="T2365" s="2">
        <v>519598.47</v>
      </c>
      <c r="U2365" s="2">
        <v>81333.53</v>
      </c>
      <c r="V2365" s="2">
        <v>81333.53</v>
      </c>
      <c r="W2365" s="2">
        <v>0</v>
      </c>
    </row>
    <row r="2366" spans="1:23" outlineLevel="2" x14ac:dyDescent="0.2">
      <c r="A2366" t="s">
        <v>836</v>
      </c>
      <c r="B2366" t="s">
        <v>31</v>
      </c>
      <c r="C2366" t="s">
        <v>32</v>
      </c>
      <c r="D2366" t="s">
        <v>75</v>
      </c>
      <c r="E2366" t="s">
        <v>76</v>
      </c>
      <c r="F2366" t="s">
        <v>933</v>
      </c>
      <c r="G2366" t="s">
        <v>934</v>
      </c>
      <c r="H2366" t="s">
        <v>963</v>
      </c>
      <c r="I2366" t="s">
        <v>964</v>
      </c>
      <c r="J2366" t="s">
        <v>841</v>
      </c>
      <c r="K2366" t="s">
        <v>846</v>
      </c>
      <c r="L2366" t="s">
        <v>943</v>
      </c>
      <c r="M2366" t="s">
        <v>12</v>
      </c>
      <c r="N2366" s="2">
        <v>0</v>
      </c>
      <c r="O2366" s="2">
        <v>170811</v>
      </c>
      <c r="P2366" s="2">
        <v>134154.18</v>
      </c>
      <c r="Q2366" s="2">
        <v>304965.18</v>
      </c>
      <c r="R2366" s="2">
        <v>62304.13</v>
      </c>
      <c r="S2366" s="2">
        <v>108506.87</v>
      </c>
      <c r="T2366" s="2">
        <v>108506.87</v>
      </c>
      <c r="U2366" s="2">
        <v>196458.31</v>
      </c>
      <c r="V2366" s="2">
        <v>196458.31</v>
      </c>
      <c r="W2366" s="2">
        <v>134154.18</v>
      </c>
    </row>
    <row r="2367" spans="1:23" outlineLevel="2" x14ac:dyDescent="0.2">
      <c r="A2367" t="s">
        <v>836</v>
      </c>
      <c r="B2367" t="s">
        <v>31</v>
      </c>
      <c r="C2367" t="s">
        <v>32</v>
      </c>
      <c r="D2367" t="s">
        <v>75</v>
      </c>
      <c r="E2367" t="s">
        <v>76</v>
      </c>
      <c r="F2367" t="s">
        <v>933</v>
      </c>
      <c r="G2367" t="s">
        <v>934</v>
      </c>
      <c r="H2367" t="s">
        <v>963</v>
      </c>
      <c r="I2367" t="s">
        <v>964</v>
      </c>
      <c r="J2367" t="s">
        <v>841</v>
      </c>
      <c r="K2367" t="s">
        <v>848</v>
      </c>
      <c r="L2367" t="s">
        <v>946</v>
      </c>
      <c r="M2367" t="s">
        <v>15</v>
      </c>
      <c r="N2367" s="2">
        <v>0</v>
      </c>
      <c r="O2367" s="2">
        <v>77129.58</v>
      </c>
      <c r="P2367" s="2">
        <v>-1111.6500000000001</v>
      </c>
      <c r="Q2367" s="2">
        <v>76017.929999999993</v>
      </c>
      <c r="R2367" s="2">
        <v>8024.58</v>
      </c>
      <c r="S2367" s="2">
        <v>67993.350000000006</v>
      </c>
      <c r="T2367" s="2">
        <v>67993.350000000006</v>
      </c>
      <c r="U2367" s="2">
        <v>8024.58</v>
      </c>
      <c r="V2367" s="2">
        <v>8024.58</v>
      </c>
      <c r="W2367" s="2">
        <v>0</v>
      </c>
    </row>
    <row r="2368" spans="1:23" outlineLevel="2" x14ac:dyDescent="0.2">
      <c r="A2368" t="s">
        <v>836</v>
      </c>
      <c r="B2368" t="s">
        <v>31</v>
      </c>
      <c r="C2368" t="s">
        <v>32</v>
      </c>
      <c r="D2368" t="s">
        <v>75</v>
      </c>
      <c r="E2368" t="s">
        <v>76</v>
      </c>
      <c r="F2368" t="s">
        <v>933</v>
      </c>
      <c r="G2368" t="s">
        <v>934</v>
      </c>
      <c r="H2368" t="s">
        <v>963</v>
      </c>
      <c r="I2368" t="s">
        <v>964</v>
      </c>
      <c r="J2368" t="s">
        <v>841</v>
      </c>
      <c r="K2368" t="s">
        <v>848</v>
      </c>
      <c r="L2368" t="s">
        <v>946</v>
      </c>
      <c r="M2368" t="s">
        <v>12</v>
      </c>
      <c r="N2368" s="2">
        <v>0</v>
      </c>
      <c r="O2368" s="2">
        <v>21607.59</v>
      </c>
      <c r="P2368" s="2">
        <v>17426.46</v>
      </c>
      <c r="Q2368" s="2">
        <v>39034.050000000003</v>
      </c>
      <c r="R2368" s="2">
        <v>7881.41</v>
      </c>
      <c r="S2368" s="2">
        <v>13726.18</v>
      </c>
      <c r="T2368" s="2">
        <v>13726.18</v>
      </c>
      <c r="U2368" s="2">
        <v>25307.87</v>
      </c>
      <c r="V2368" s="2">
        <v>25307.87</v>
      </c>
      <c r="W2368" s="2">
        <v>17426.46</v>
      </c>
    </row>
    <row r="2369" spans="1:23" outlineLevel="2" x14ac:dyDescent="0.2">
      <c r="A2369" t="s">
        <v>836</v>
      </c>
      <c r="B2369" t="s">
        <v>31</v>
      </c>
      <c r="C2369" t="s">
        <v>32</v>
      </c>
      <c r="D2369" t="s">
        <v>75</v>
      </c>
      <c r="E2369" t="s">
        <v>76</v>
      </c>
      <c r="F2369" t="s">
        <v>933</v>
      </c>
      <c r="G2369" t="s">
        <v>934</v>
      </c>
      <c r="H2369" t="s">
        <v>963</v>
      </c>
      <c r="I2369" t="s">
        <v>964</v>
      </c>
      <c r="J2369" t="s">
        <v>841</v>
      </c>
      <c r="K2369" t="s">
        <v>850</v>
      </c>
      <c r="L2369" t="s">
        <v>948</v>
      </c>
      <c r="M2369" t="s">
        <v>15</v>
      </c>
      <c r="N2369" s="2">
        <v>0</v>
      </c>
      <c r="O2369" s="2">
        <v>50810</v>
      </c>
      <c r="P2369" s="2">
        <v>-3890.21</v>
      </c>
      <c r="Q2369" s="2">
        <v>46919.79</v>
      </c>
      <c r="R2369" s="2">
        <v>43971.65</v>
      </c>
      <c r="S2369" s="2">
        <v>2948.14</v>
      </c>
      <c r="T2369" s="2">
        <v>2948.14</v>
      </c>
      <c r="U2369" s="2">
        <v>43971.65</v>
      </c>
      <c r="V2369" s="2">
        <v>43971.65</v>
      </c>
      <c r="W2369" s="2">
        <v>0</v>
      </c>
    </row>
    <row r="2370" spans="1:23" outlineLevel="2" x14ac:dyDescent="0.2">
      <c r="A2370" t="s">
        <v>836</v>
      </c>
      <c r="B2370" t="s">
        <v>31</v>
      </c>
      <c r="C2370" t="s">
        <v>32</v>
      </c>
      <c r="D2370" t="s">
        <v>75</v>
      </c>
      <c r="E2370" t="s">
        <v>76</v>
      </c>
      <c r="F2370" t="s">
        <v>933</v>
      </c>
      <c r="G2370" t="s">
        <v>934</v>
      </c>
      <c r="H2370" t="s">
        <v>963</v>
      </c>
      <c r="I2370" t="s">
        <v>964</v>
      </c>
      <c r="J2370" t="s">
        <v>841</v>
      </c>
      <c r="K2370" t="s">
        <v>850</v>
      </c>
      <c r="L2370" t="s">
        <v>948</v>
      </c>
      <c r="M2370" t="s">
        <v>12</v>
      </c>
      <c r="N2370" s="2">
        <v>0</v>
      </c>
      <c r="O2370" s="2">
        <v>14234.25</v>
      </c>
      <c r="P2370" s="2">
        <v>3890.21</v>
      </c>
      <c r="Q2370" s="2">
        <v>18124.46</v>
      </c>
      <c r="R2370" s="2">
        <v>9688.93</v>
      </c>
      <c r="S2370" s="2">
        <v>4545.32</v>
      </c>
      <c r="T2370" s="2">
        <v>4545.32</v>
      </c>
      <c r="U2370" s="2">
        <v>13579.14</v>
      </c>
      <c r="V2370" s="2">
        <v>13579.14</v>
      </c>
      <c r="W2370" s="2">
        <v>3890.21</v>
      </c>
    </row>
    <row r="2371" spans="1:23" outlineLevel="2" x14ac:dyDescent="0.2">
      <c r="A2371" t="s">
        <v>836</v>
      </c>
      <c r="B2371" t="s">
        <v>31</v>
      </c>
      <c r="C2371" t="s">
        <v>32</v>
      </c>
      <c r="D2371" t="s">
        <v>75</v>
      </c>
      <c r="E2371" t="s">
        <v>76</v>
      </c>
      <c r="F2371" t="s">
        <v>933</v>
      </c>
      <c r="G2371" t="s">
        <v>934</v>
      </c>
      <c r="H2371" t="s">
        <v>963</v>
      </c>
      <c r="I2371" t="s">
        <v>964</v>
      </c>
      <c r="J2371" t="s">
        <v>841</v>
      </c>
      <c r="K2371" t="s">
        <v>961</v>
      </c>
      <c r="L2371" t="s">
        <v>962</v>
      </c>
      <c r="M2371" t="s">
        <v>12</v>
      </c>
      <c r="N2371" s="2">
        <v>0</v>
      </c>
      <c r="O2371" s="2">
        <v>70699.44</v>
      </c>
      <c r="P2371" s="2">
        <v>0</v>
      </c>
      <c r="Q2371" s="2">
        <v>70699.44</v>
      </c>
      <c r="R2371" s="2">
        <v>0</v>
      </c>
      <c r="S2371" s="2">
        <v>4715.6000000000004</v>
      </c>
      <c r="T2371" s="2">
        <v>4715.6000000000004</v>
      </c>
      <c r="U2371" s="2">
        <v>65983.839999999997</v>
      </c>
      <c r="V2371" s="2">
        <v>65983.839999999997</v>
      </c>
      <c r="W2371" s="2">
        <v>65983.839999999997</v>
      </c>
    </row>
    <row r="2372" spans="1:23" outlineLevel="2" x14ac:dyDescent="0.2">
      <c r="A2372" t="s">
        <v>836</v>
      </c>
      <c r="B2372" t="s">
        <v>31</v>
      </c>
      <c r="C2372" t="s">
        <v>32</v>
      </c>
      <c r="D2372" t="s">
        <v>123</v>
      </c>
      <c r="E2372" t="s">
        <v>124</v>
      </c>
      <c r="F2372" t="s">
        <v>933</v>
      </c>
      <c r="G2372" t="s">
        <v>934</v>
      </c>
      <c r="H2372" t="s">
        <v>965</v>
      </c>
      <c r="I2372" t="s">
        <v>966</v>
      </c>
      <c r="J2372" t="s">
        <v>841</v>
      </c>
      <c r="K2372" t="s">
        <v>842</v>
      </c>
      <c r="L2372" t="s">
        <v>938</v>
      </c>
      <c r="M2372" t="s">
        <v>15</v>
      </c>
      <c r="N2372" s="2">
        <v>0</v>
      </c>
      <c r="O2372" s="2">
        <v>45867</v>
      </c>
      <c r="P2372" s="2">
        <v>0</v>
      </c>
      <c r="Q2372" s="2">
        <v>45867</v>
      </c>
      <c r="R2372" s="2">
        <v>40858.54</v>
      </c>
      <c r="S2372" s="2">
        <v>5008.46</v>
      </c>
      <c r="T2372" s="2">
        <v>5008.46</v>
      </c>
      <c r="U2372" s="2">
        <v>40858.54</v>
      </c>
      <c r="V2372" s="2">
        <v>40858.54</v>
      </c>
      <c r="W2372" s="2">
        <v>0</v>
      </c>
    </row>
    <row r="2373" spans="1:23" outlineLevel="2" x14ac:dyDescent="0.2">
      <c r="A2373" t="s">
        <v>836</v>
      </c>
      <c r="B2373" t="s">
        <v>31</v>
      </c>
      <c r="C2373" t="s">
        <v>32</v>
      </c>
      <c r="D2373" t="s">
        <v>123</v>
      </c>
      <c r="E2373" t="s">
        <v>124</v>
      </c>
      <c r="F2373" t="s">
        <v>933</v>
      </c>
      <c r="G2373" t="s">
        <v>934</v>
      </c>
      <c r="H2373" t="s">
        <v>965</v>
      </c>
      <c r="I2373" t="s">
        <v>966</v>
      </c>
      <c r="J2373" t="s">
        <v>841</v>
      </c>
      <c r="K2373" t="s">
        <v>844</v>
      </c>
      <c r="L2373" t="s">
        <v>940</v>
      </c>
      <c r="M2373" t="s">
        <v>15</v>
      </c>
      <c r="N2373" s="2">
        <v>0</v>
      </c>
      <c r="O2373" s="2">
        <v>14800</v>
      </c>
      <c r="P2373" s="2">
        <v>0</v>
      </c>
      <c r="Q2373" s="2">
        <v>14800</v>
      </c>
      <c r="R2373" s="2">
        <v>1200.32</v>
      </c>
      <c r="S2373" s="2">
        <v>13599.68</v>
      </c>
      <c r="T2373" s="2">
        <v>13599.68</v>
      </c>
      <c r="U2373" s="2">
        <v>1200.32</v>
      </c>
      <c r="V2373" s="2">
        <v>1200.32</v>
      </c>
      <c r="W2373" s="2">
        <v>0</v>
      </c>
    </row>
    <row r="2374" spans="1:23" outlineLevel="2" x14ac:dyDescent="0.2">
      <c r="A2374" t="s">
        <v>836</v>
      </c>
      <c r="B2374" t="s">
        <v>31</v>
      </c>
      <c r="C2374" t="s">
        <v>32</v>
      </c>
      <c r="D2374" t="s">
        <v>123</v>
      </c>
      <c r="E2374" t="s">
        <v>124</v>
      </c>
      <c r="F2374" t="s">
        <v>933</v>
      </c>
      <c r="G2374" t="s">
        <v>934</v>
      </c>
      <c r="H2374" t="s">
        <v>965</v>
      </c>
      <c r="I2374" t="s">
        <v>966</v>
      </c>
      <c r="J2374" t="s">
        <v>841</v>
      </c>
      <c r="K2374" t="s">
        <v>854</v>
      </c>
      <c r="L2374" t="s">
        <v>941</v>
      </c>
      <c r="M2374" t="s">
        <v>12</v>
      </c>
      <c r="N2374" s="2">
        <v>0</v>
      </c>
      <c r="O2374" s="2">
        <v>0</v>
      </c>
      <c r="P2374" s="2">
        <v>1508.57</v>
      </c>
      <c r="Q2374" s="2">
        <v>1508.57</v>
      </c>
      <c r="R2374" s="2">
        <v>0</v>
      </c>
      <c r="S2374" s="2">
        <v>0</v>
      </c>
      <c r="T2374" s="2">
        <v>0</v>
      </c>
      <c r="U2374" s="2">
        <v>1508.57</v>
      </c>
      <c r="V2374" s="2">
        <v>1508.57</v>
      </c>
      <c r="W2374" s="2">
        <v>1508.57</v>
      </c>
    </row>
    <row r="2375" spans="1:23" outlineLevel="2" x14ac:dyDescent="0.2">
      <c r="A2375" t="s">
        <v>836</v>
      </c>
      <c r="B2375" t="s">
        <v>31</v>
      </c>
      <c r="C2375" t="s">
        <v>32</v>
      </c>
      <c r="D2375" t="s">
        <v>123</v>
      </c>
      <c r="E2375" t="s">
        <v>124</v>
      </c>
      <c r="F2375" t="s">
        <v>933</v>
      </c>
      <c r="G2375" t="s">
        <v>934</v>
      </c>
      <c r="H2375" t="s">
        <v>965</v>
      </c>
      <c r="I2375" t="s">
        <v>966</v>
      </c>
      <c r="J2375" t="s">
        <v>841</v>
      </c>
      <c r="K2375" t="s">
        <v>854</v>
      </c>
      <c r="L2375" t="s">
        <v>941</v>
      </c>
      <c r="M2375" t="s">
        <v>15</v>
      </c>
      <c r="N2375" s="2">
        <v>0</v>
      </c>
      <c r="O2375" s="2">
        <v>1920</v>
      </c>
      <c r="P2375" s="2">
        <v>0</v>
      </c>
      <c r="Q2375" s="2">
        <v>1920</v>
      </c>
      <c r="R2375" s="2">
        <v>0</v>
      </c>
      <c r="S2375" s="2">
        <v>1920</v>
      </c>
      <c r="T2375" s="2">
        <v>1920</v>
      </c>
      <c r="U2375" s="2">
        <v>0</v>
      </c>
      <c r="V2375" s="2">
        <v>0</v>
      </c>
      <c r="W2375" s="2">
        <v>0</v>
      </c>
    </row>
    <row r="2376" spans="1:23" outlineLevel="2" x14ac:dyDescent="0.2">
      <c r="A2376" t="s">
        <v>836</v>
      </c>
      <c r="B2376" t="s">
        <v>31</v>
      </c>
      <c r="C2376" t="s">
        <v>32</v>
      </c>
      <c r="D2376" t="s">
        <v>123</v>
      </c>
      <c r="E2376" t="s">
        <v>124</v>
      </c>
      <c r="F2376" t="s">
        <v>933</v>
      </c>
      <c r="G2376" t="s">
        <v>934</v>
      </c>
      <c r="H2376" t="s">
        <v>965</v>
      </c>
      <c r="I2376" t="s">
        <v>966</v>
      </c>
      <c r="J2376" t="s">
        <v>841</v>
      </c>
      <c r="K2376" t="s">
        <v>846</v>
      </c>
      <c r="L2376" t="s">
        <v>943</v>
      </c>
      <c r="M2376" t="s">
        <v>15</v>
      </c>
      <c r="N2376" s="2">
        <v>0</v>
      </c>
      <c r="O2376" s="2">
        <v>550404</v>
      </c>
      <c r="P2376" s="2">
        <v>0</v>
      </c>
      <c r="Q2376" s="2">
        <v>550404</v>
      </c>
      <c r="R2376" s="2">
        <v>53170</v>
      </c>
      <c r="S2376" s="2">
        <v>497234</v>
      </c>
      <c r="T2376" s="2">
        <v>497234</v>
      </c>
      <c r="U2376" s="2">
        <v>53170</v>
      </c>
      <c r="V2376" s="2">
        <v>53170</v>
      </c>
      <c r="W2376" s="2">
        <v>0</v>
      </c>
    </row>
    <row r="2377" spans="1:23" outlineLevel="2" x14ac:dyDescent="0.2">
      <c r="A2377" t="s">
        <v>836</v>
      </c>
      <c r="B2377" t="s">
        <v>31</v>
      </c>
      <c r="C2377" t="s">
        <v>32</v>
      </c>
      <c r="D2377" t="s">
        <v>123</v>
      </c>
      <c r="E2377" t="s">
        <v>124</v>
      </c>
      <c r="F2377" t="s">
        <v>933</v>
      </c>
      <c r="G2377" t="s">
        <v>934</v>
      </c>
      <c r="H2377" t="s">
        <v>965</v>
      </c>
      <c r="I2377" t="s">
        <v>966</v>
      </c>
      <c r="J2377" t="s">
        <v>841</v>
      </c>
      <c r="K2377" t="s">
        <v>848</v>
      </c>
      <c r="L2377" t="s">
        <v>946</v>
      </c>
      <c r="M2377" t="s">
        <v>15</v>
      </c>
      <c r="N2377" s="2">
        <v>0</v>
      </c>
      <c r="O2377" s="2">
        <v>69626.11</v>
      </c>
      <c r="P2377" s="2">
        <v>0</v>
      </c>
      <c r="Q2377" s="2">
        <v>69626.11</v>
      </c>
      <c r="R2377" s="2">
        <v>6483.19</v>
      </c>
      <c r="S2377" s="2">
        <v>63142.92</v>
      </c>
      <c r="T2377" s="2">
        <v>63142.92</v>
      </c>
      <c r="U2377" s="2">
        <v>6483.19</v>
      </c>
      <c r="V2377" s="2">
        <v>6483.19</v>
      </c>
      <c r="W2377" s="2">
        <v>0</v>
      </c>
    </row>
    <row r="2378" spans="1:23" outlineLevel="2" x14ac:dyDescent="0.2">
      <c r="A2378" t="s">
        <v>836</v>
      </c>
      <c r="B2378" t="s">
        <v>31</v>
      </c>
      <c r="C2378" t="s">
        <v>32</v>
      </c>
      <c r="D2378" t="s">
        <v>123</v>
      </c>
      <c r="E2378" t="s">
        <v>124</v>
      </c>
      <c r="F2378" t="s">
        <v>933</v>
      </c>
      <c r="G2378" t="s">
        <v>934</v>
      </c>
      <c r="H2378" t="s">
        <v>965</v>
      </c>
      <c r="I2378" t="s">
        <v>966</v>
      </c>
      <c r="J2378" t="s">
        <v>841</v>
      </c>
      <c r="K2378" t="s">
        <v>850</v>
      </c>
      <c r="L2378" t="s">
        <v>948</v>
      </c>
      <c r="M2378" t="s">
        <v>12</v>
      </c>
      <c r="N2378" s="2">
        <v>0</v>
      </c>
      <c r="O2378" s="2">
        <v>2500</v>
      </c>
      <c r="P2378" s="2">
        <v>0</v>
      </c>
      <c r="Q2378" s="2">
        <v>2500</v>
      </c>
      <c r="R2378" s="2">
        <v>2500</v>
      </c>
      <c r="S2378" s="2">
        <v>0</v>
      </c>
      <c r="T2378" s="2">
        <v>0</v>
      </c>
      <c r="U2378" s="2">
        <v>2500</v>
      </c>
      <c r="V2378" s="2">
        <v>2500</v>
      </c>
      <c r="W2378" s="2">
        <v>0</v>
      </c>
    </row>
    <row r="2379" spans="1:23" outlineLevel="2" x14ac:dyDescent="0.2">
      <c r="A2379" t="s">
        <v>836</v>
      </c>
      <c r="B2379" t="s">
        <v>31</v>
      </c>
      <c r="C2379" t="s">
        <v>32</v>
      </c>
      <c r="D2379" t="s">
        <v>123</v>
      </c>
      <c r="E2379" t="s">
        <v>124</v>
      </c>
      <c r="F2379" t="s">
        <v>933</v>
      </c>
      <c r="G2379" t="s">
        <v>934</v>
      </c>
      <c r="H2379" t="s">
        <v>965</v>
      </c>
      <c r="I2379" t="s">
        <v>966</v>
      </c>
      <c r="J2379" t="s">
        <v>841</v>
      </c>
      <c r="K2379" t="s">
        <v>850</v>
      </c>
      <c r="L2379" t="s">
        <v>948</v>
      </c>
      <c r="M2379" t="s">
        <v>15</v>
      </c>
      <c r="N2379" s="2">
        <v>0</v>
      </c>
      <c r="O2379" s="2">
        <v>45867</v>
      </c>
      <c r="P2379" s="2">
        <v>0</v>
      </c>
      <c r="Q2379" s="2">
        <v>45867</v>
      </c>
      <c r="R2379" s="2">
        <v>1237.52</v>
      </c>
      <c r="S2379" s="2">
        <v>44629.48</v>
      </c>
      <c r="T2379" s="2">
        <v>44629.48</v>
      </c>
      <c r="U2379" s="2">
        <v>1237.52</v>
      </c>
      <c r="V2379" s="2">
        <v>1237.52</v>
      </c>
      <c r="W2379" s="2">
        <v>0</v>
      </c>
    </row>
    <row r="2380" spans="1:23" outlineLevel="2" x14ac:dyDescent="0.2">
      <c r="A2380" t="s">
        <v>836</v>
      </c>
      <c r="B2380" t="s">
        <v>39</v>
      </c>
      <c r="C2380" t="s">
        <v>66</v>
      </c>
      <c r="D2380" t="s">
        <v>67</v>
      </c>
      <c r="E2380" t="s">
        <v>68</v>
      </c>
      <c r="F2380" t="s">
        <v>967</v>
      </c>
      <c r="G2380" t="s">
        <v>968</v>
      </c>
      <c r="H2380" t="s">
        <v>969</v>
      </c>
      <c r="I2380" t="s">
        <v>970</v>
      </c>
      <c r="J2380" t="s">
        <v>841</v>
      </c>
      <c r="K2380" t="s">
        <v>842</v>
      </c>
      <c r="L2380" t="s">
        <v>971</v>
      </c>
      <c r="M2380" t="s">
        <v>15</v>
      </c>
      <c r="N2380" s="2">
        <v>1543</v>
      </c>
      <c r="O2380" s="2">
        <v>4419</v>
      </c>
      <c r="P2380" s="2">
        <v>0</v>
      </c>
      <c r="Q2380" s="2">
        <v>5962</v>
      </c>
      <c r="R2380" s="2">
        <v>3349.69</v>
      </c>
      <c r="S2380" s="2">
        <v>2612.31</v>
      </c>
      <c r="T2380" s="2">
        <v>2612.31</v>
      </c>
      <c r="U2380" s="2">
        <v>3349.69</v>
      </c>
      <c r="V2380" s="2">
        <v>3349.69</v>
      </c>
      <c r="W2380" s="2">
        <v>0</v>
      </c>
    </row>
    <row r="2381" spans="1:23" outlineLevel="2" x14ac:dyDescent="0.2">
      <c r="A2381" t="s">
        <v>836</v>
      </c>
      <c r="B2381" t="s">
        <v>39</v>
      </c>
      <c r="C2381" t="s">
        <v>66</v>
      </c>
      <c r="D2381" t="s">
        <v>67</v>
      </c>
      <c r="E2381" t="s">
        <v>68</v>
      </c>
      <c r="F2381" t="s">
        <v>967</v>
      </c>
      <c r="G2381" t="s">
        <v>968</v>
      </c>
      <c r="H2381" t="s">
        <v>969</v>
      </c>
      <c r="I2381" t="s">
        <v>970</v>
      </c>
      <c r="J2381" t="s">
        <v>841</v>
      </c>
      <c r="K2381" t="s">
        <v>844</v>
      </c>
      <c r="L2381" t="s">
        <v>972</v>
      </c>
      <c r="M2381" t="s">
        <v>12</v>
      </c>
      <c r="N2381" s="2">
        <v>0</v>
      </c>
      <c r="O2381" s="2">
        <v>0</v>
      </c>
      <c r="P2381" s="2">
        <v>3.28</v>
      </c>
      <c r="Q2381" s="2">
        <v>3.28</v>
      </c>
      <c r="R2381" s="2">
        <v>0</v>
      </c>
      <c r="S2381" s="2">
        <v>0</v>
      </c>
      <c r="T2381" s="2">
        <v>0</v>
      </c>
      <c r="U2381" s="2">
        <v>3.28</v>
      </c>
      <c r="V2381" s="2">
        <v>3.28</v>
      </c>
      <c r="W2381" s="2">
        <v>3.28</v>
      </c>
    </row>
    <row r="2382" spans="1:23" outlineLevel="2" x14ac:dyDescent="0.2">
      <c r="A2382" t="s">
        <v>836</v>
      </c>
      <c r="B2382" t="s">
        <v>39</v>
      </c>
      <c r="C2382" t="s">
        <v>66</v>
      </c>
      <c r="D2382" t="s">
        <v>67</v>
      </c>
      <c r="E2382" t="s">
        <v>68</v>
      </c>
      <c r="F2382" t="s">
        <v>967</v>
      </c>
      <c r="G2382" t="s">
        <v>968</v>
      </c>
      <c r="H2382" t="s">
        <v>969</v>
      </c>
      <c r="I2382" t="s">
        <v>970</v>
      </c>
      <c r="J2382" t="s">
        <v>841</v>
      </c>
      <c r="K2382" t="s">
        <v>844</v>
      </c>
      <c r="L2382" t="s">
        <v>972</v>
      </c>
      <c r="M2382" t="s">
        <v>15</v>
      </c>
      <c r="N2382" s="2">
        <v>405.82</v>
      </c>
      <c r="O2382" s="2">
        <v>1400</v>
      </c>
      <c r="P2382" s="2">
        <v>-3.28</v>
      </c>
      <c r="Q2382" s="2">
        <v>1802.54</v>
      </c>
      <c r="R2382" s="2">
        <v>439.04</v>
      </c>
      <c r="S2382" s="2">
        <v>1363.5</v>
      </c>
      <c r="T2382" s="2">
        <v>1363.5</v>
      </c>
      <c r="U2382" s="2">
        <v>439.04</v>
      </c>
      <c r="V2382" s="2">
        <v>439.04</v>
      </c>
      <c r="W2382" s="2">
        <v>0</v>
      </c>
    </row>
    <row r="2383" spans="1:23" outlineLevel="2" x14ac:dyDescent="0.2">
      <c r="A2383" t="s">
        <v>836</v>
      </c>
      <c r="B2383" t="s">
        <v>39</v>
      </c>
      <c r="C2383" t="s">
        <v>66</v>
      </c>
      <c r="D2383" t="s">
        <v>67</v>
      </c>
      <c r="E2383" t="s">
        <v>68</v>
      </c>
      <c r="F2383" t="s">
        <v>967</v>
      </c>
      <c r="G2383" t="s">
        <v>968</v>
      </c>
      <c r="H2383" t="s">
        <v>969</v>
      </c>
      <c r="I2383" t="s">
        <v>970</v>
      </c>
      <c r="J2383" t="s">
        <v>841</v>
      </c>
      <c r="K2383" t="s">
        <v>854</v>
      </c>
      <c r="L2383" t="s">
        <v>973</v>
      </c>
      <c r="M2383" t="s">
        <v>15</v>
      </c>
      <c r="N2383" s="2">
        <v>0</v>
      </c>
      <c r="O2383" s="2">
        <v>2630.63</v>
      </c>
      <c r="P2383" s="2">
        <v>-42.23</v>
      </c>
      <c r="Q2383" s="2">
        <v>2588.4</v>
      </c>
      <c r="R2383" s="2">
        <v>0</v>
      </c>
      <c r="S2383" s="2">
        <v>2588.4</v>
      </c>
      <c r="T2383" s="2">
        <v>2588.4</v>
      </c>
      <c r="U2383" s="2">
        <v>0</v>
      </c>
      <c r="V2383" s="2">
        <v>0</v>
      </c>
      <c r="W2383" s="2">
        <v>0</v>
      </c>
    </row>
    <row r="2384" spans="1:23" outlineLevel="2" x14ac:dyDescent="0.2">
      <c r="A2384" t="s">
        <v>836</v>
      </c>
      <c r="B2384" t="s">
        <v>39</v>
      </c>
      <c r="C2384" t="s">
        <v>66</v>
      </c>
      <c r="D2384" t="s">
        <v>67</v>
      </c>
      <c r="E2384" t="s">
        <v>68</v>
      </c>
      <c r="F2384" t="s">
        <v>967</v>
      </c>
      <c r="G2384" t="s">
        <v>968</v>
      </c>
      <c r="H2384" t="s">
        <v>969</v>
      </c>
      <c r="I2384" t="s">
        <v>970</v>
      </c>
      <c r="J2384" t="s">
        <v>841</v>
      </c>
      <c r="K2384" t="s">
        <v>854</v>
      </c>
      <c r="L2384" t="s">
        <v>973</v>
      </c>
      <c r="M2384" t="s">
        <v>12</v>
      </c>
      <c r="N2384" s="2">
        <v>0</v>
      </c>
      <c r="O2384" s="2">
        <v>0</v>
      </c>
      <c r="P2384" s="2">
        <v>42.23</v>
      </c>
      <c r="Q2384" s="2">
        <v>42.23</v>
      </c>
      <c r="R2384" s="2">
        <v>0</v>
      </c>
      <c r="S2384" s="2">
        <v>0</v>
      </c>
      <c r="T2384" s="2">
        <v>0</v>
      </c>
      <c r="U2384" s="2">
        <v>42.23</v>
      </c>
      <c r="V2384" s="2">
        <v>42.23</v>
      </c>
      <c r="W2384" s="2">
        <v>42.23</v>
      </c>
    </row>
    <row r="2385" spans="1:23" outlineLevel="2" x14ac:dyDescent="0.2">
      <c r="A2385" t="s">
        <v>836</v>
      </c>
      <c r="B2385" t="s">
        <v>39</v>
      </c>
      <c r="C2385" t="s">
        <v>66</v>
      </c>
      <c r="D2385" t="s">
        <v>67</v>
      </c>
      <c r="E2385" t="s">
        <v>68</v>
      </c>
      <c r="F2385" t="s">
        <v>967</v>
      </c>
      <c r="G2385" t="s">
        <v>968</v>
      </c>
      <c r="H2385" t="s">
        <v>969</v>
      </c>
      <c r="I2385" t="s">
        <v>970</v>
      </c>
      <c r="J2385" t="s">
        <v>841</v>
      </c>
      <c r="K2385" t="s">
        <v>846</v>
      </c>
      <c r="L2385" t="s">
        <v>974</v>
      </c>
      <c r="M2385" t="s">
        <v>15</v>
      </c>
      <c r="N2385" s="2">
        <v>18516</v>
      </c>
      <c r="O2385" s="2">
        <v>53028</v>
      </c>
      <c r="P2385" s="2">
        <v>0</v>
      </c>
      <c r="Q2385" s="2">
        <v>71544</v>
      </c>
      <c r="R2385" s="2">
        <v>8838</v>
      </c>
      <c r="S2385" s="2">
        <v>62706</v>
      </c>
      <c r="T2385" s="2">
        <v>62706</v>
      </c>
      <c r="U2385" s="2">
        <v>8838</v>
      </c>
      <c r="V2385" s="2">
        <v>8838</v>
      </c>
      <c r="W2385" s="2">
        <v>0</v>
      </c>
    </row>
    <row r="2386" spans="1:23" outlineLevel="2" x14ac:dyDescent="0.2">
      <c r="A2386" t="s">
        <v>836</v>
      </c>
      <c r="B2386" t="s">
        <v>39</v>
      </c>
      <c r="C2386" t="s">
        <v>66</v>
      </c>
      <c r="D2386" t="s">
        <v>67</v>
      </c>
      <c r="E2386" t="s">
        <v>68</v>
      </c>
      <c r="F2386" t="s">
        <v>967</v>
      </c>
      <c r="G2386" t="s">
        <v>968</v>
      </c>
      <c r="H2386" t="s">
        <v>969</v>
      </c>
      <c r="I2386" t="s">
        <v>970</v>
      </c>
      <c r="J2386" t="s">
        <v>841</v>
      </c>
      <c r="K2386" t="s">
        <v>848</v>
      </c>
      <c r="L2386" t="s">
        <v>975</v>
      </c>
      <c r="M2386" t="s">
        <v>12</v>
      </c>
      <c r="N2386" s="2">
        <v>0</v>
      </c>
      <c r="O2386" s="2">
        <v>0</v>
      </c>
      <c r="P2386" s="2">
        <v>75.39</v>
      </c>
      <c r="Q2386" s="2">
        <v>75.39</v>
      </c>
      <c r="R2386" s="2">
        <v>0</v>
      </c>
      <c r="S2386" s="2">
        <v>0</v>
      </c>
      <c r="T2386" s="2">
        <v>0</v>
      </c>
      <c r="U2386" s="2">
        <v>75.39</v>
      </c>
      <c r="V2386" s="2">
        <v>75.39</v>
      </c>
      <c r="W2386" s="2">
        <v>75.39</v>
      </c>
    </row>
    <row r="2387" spans="1:23" outlineLevel="2" x14ac:dyDescent="0.2">
      <c r="A2387" t="s">
        <v>836</v>
      </c>
      <c r="B2387" t="s">
        <v>39</v>
      </c>
      <c r="C2387" t="s">
        <v>66</v>
      </c>
      <c r="D2387" t="s">
        <v>67</v>
      </c>
      <c r="E2387" t="s">
        <v>68</v>
      </c>
      <c r="F2387" t="s">
        <v>967</v>
      </c>
      <c r="G2387" t="s">
        <v>968</v>
      </c>
      <c r="H2387" t="s">
        <v>969</v>
      </c>
      <c r="I2387" t="s">
        <v>970</v>
      </c>
      <c r="J2387" t="s">
        <v>841</v>
      </c>
      <c r="K2387" t="s">
        <v>848</v>
      </c>
      <c r="L2387" t="s">
        <v>975</v>
      </c>
      <c r="M2387" t="s">
        <v>15</v>
      </c>
      <c r="N2387" s="2">
        <v>2342.27</v>
      </c>
      <c r="O2387" s="2">
        <v>6708.04</v>
      </c>
      <c r="P2387" s="2">
        <v>0</v>
      </c>
      <c r="Q2387" s="2">
        <v>9050.31</v>
      </c>
      <c r="R2387" s="2">
        <v>790.6</v>
      </c>
      <c r="S2387" s="2">
        <v>8259.7099999999991</v>
      </c>
      <c r="T2387" s="2">
        <v>8259.7099999999991</v>
      </c>
      <c r="U2387" s="2">
        <v>790.6</v>
      </c>
      <c r="V2387" s="2">
        <v>790.6</v>
      </c>
      <c r="W2387" s="2">
        <v>0</v>
      </c>
    </row>
    <row r="2388" spans="1:23" outlineLevel="2" x14ac:dyDescent="0.2">
      <c r="A2388" t="s">
        <v>836</v>
      </c>
      <c r="B2388" t="s">
        <v>39</v>
      </c>
      <c r="C2388" t="s">
        <v>66</v>
      </c>
      <c r="D2388" t="s">
        <v>67</v>
      </c>
      <c r="E2388" t="s">
        <v>68</v>
      </c>
      <c r="F2388" t="s">
        <v>967</v>
      </c>
      <c r="G2388" t="s">
        <v>968</v>
      </c>
      <c r="H2388" t="s">
        <v>969</v>
      </c>
      <c r="I2388" t="s">
        <v>970</v>
      </c>
      <c r="J2388" t="s">
        <v>841</v>
      </c>
      <c r="K2388" t="s">
        <v>850</v>
      </c>
      <c r="L2388" t="s">
        <v>976</v>
      </c>
      <c r="M2388" t="s">
        <v>15</v>
      </c>
      <c r="N2388" s="2">
        <v>1543</v>
      </c>
      <c r="O2388" s="2">
        <v>4419</v>
      </c>
      <c r="P2388" s="2">
        <v>0</v>
      </c>
      <c r="Q2388" s="2">
        <v>5962</v>
      </c>
      <c r="R2388" s="2">
        <v>3513.83</v>
      </c>
      <c r="S2388" s="2">
        <v>2448.17</v>
      </c>
      <c r="T2388" s="2">
        <v>2448.17</v>
      </c>
      <c r="U2388" s="2">
        <v>3513.83</v>
      </c>
      <c r="V2388" s="2">
        <v>3513.83</v>
      </c>
      <c r="W2388" s="2">
        <v>0</v>
      </c>
    </row>
    <row r="2389" spans="1:23" outlineLevel="2" x14ac:dyDescent="0.2">
      <c r="A2389" t="s">
        <v>836</v>
      </c>
      <c r="B2389" t="s">
        <v>39</v>
      </c>
      <c r="C2389" t="s">
        <v>66</v>
      </c>
      <c r="D2389" t="s">
        <v>67</v>
      </c>
      <c r="E2389" t="s">
        <v>68</v>
      </c>
      <c r="F2389" t="s">
        <v>967</v>
      </c>
      <c r="G2389" t="s">
        <v>968</v>
      </c>
      <c r="H2389" t="s">
        <v>969</v>
      </c>
      <c r="I2389" t="s">
        <v>970</v>
      </c>
      <c r="J2389" t="s">
        <v>841</v>
      </c>
      <c r="K2389" t="s">
        <v>961</v>
      </c>
      <c r="L2389" t="s">
        <v>977</v>
      </c>
      <c r="M2389" t="s">
        <v>15</v>
      </c>
      <c r="N2389" s="2">
        <v>0</v>
      </c>
      <c r="O2389" s="2">
        <v>7307.48</v>
      </c>
      <c r="P2389" s="2">
        <v>-4952.96</v>
      </c>
      <c r="Q2389" s="2">
        <v>2354.52</v>
      </c>
      <c r="R2389" s="2">
        <v>0</v>
      </c>
      <c r="S2389" s="2">
        <v>2354.52</v>
      </c>
      <c r="T2389" s="2">
        <v>2354.52</v>
      </c>
      <c r="U2389" s="2">
        <v>0</v>
      </c>
      <c r="V2389" s="2">
        <v>0</v>
      </c>
      <c r="W2389" s="2">
        <v>0</v>
      </c>
    </row>
    <row r="2390" spans="1:23" outlineLevel="2" x14ac:dyDescent="0.2">
      <c r="A2390" t="s">
        <v>836</v>
      </c>
      <c r="B2390" t="s">
        <v>39</v>
      </c>
      <c r="C2390" t="s">
        <v>66</v>
      </c>
      <c r="D2390" t="s">
        <v>67</v>
      </c>
      <c r="E2390" t="s">
        <v>68</v>
      </c>
      <c r="F2390" t="s">
        <v>967</v>
      </c>
      <c r="G2390" t="s">
        <v>968</v>
      </c>
      <c r="H2390" t="s">
        <v>969</v>
      </c>
      <c r="I2390" t="s">
        <v>970</v>
      </c>
      <c r="J2390" t="s">
        <v>841</v>
      </c>
      <c r="K2390" t="s">
        <v>961</v>
      </c>
      <c r="L2390" t="s">
        <v>977</v>
      </c>
      <c r="M2390" t="s">
        <v>12</v>
      </c>
      <c r="N2390" s="2">
        <v>0</v>
      </c>
      <c r="O2390" s="2">
        <v>0</v>
      </c>
      <c r="P2390" s="2">
        <v>4952.96</v>
      </c>
      <c r="Q2390" s="2">
        <v>4952.96</v>
      </c>
      <c r="R2390" s="2">
        <v>0</v>
      </c>
      <c r="S2390" s="2">
        <v>0</v>
      </c>
      <c r="T2390" s="2">
        <v>0</v>
      </c>
      <c r="U2390" s="2">
        <v>4952.96</v>
      </c>
      <c r="V2390" s="2">
        <v>4952.96</v>
      </c>
      <c r="W2390" s="2">
        <v>4952.96</v>
      </c>
    </row>
    <row r="2391" spans="1:23" outlineLevel="2" x14ac:dyDescent="0.2">
      <c r="A2391" t="s">
        <v>836</v>
      </c>
      <c r="B2391" t="s">
        <v>39</v>
      </c>
      <c r="C2391" t="s">
        <v>66</v>
      </c>
      <c r="D2391" t="s">
        <v>67</v>
      </c>
      <c r="E2391" t="s">
        <v>68</v>
      </c>
      <c r="F2391" t="s">
        <v>967</v>
      </c>
      <c r="G2391" t="s">
        <v>968</v>
      </c>
      <c r="H2391" t="s">
        <v>978</v>
      </c>
      <c r="I2391" t="s">
        <v>979</v>
      </c>
      <c r="J2391" t="s">
        <v>841</v>
      </c>
      <c r="K2391" t="s">
        <v>842</v>
      </c>
      <c r="L2391" t="s">
        <v>971</v>
      </c>
      <c r="M2391" t="s">
        <v>15</v>
      </c>
      <c r="N2391" s="2">
        <v>0</v>
      </c>
      <c r="O2391" s="2">
        <v>817</v>
      </c>
      <c r="P2391" s="2">
        <v>0</v>
      </c>
      <c r="Q2391" s="2">
        <v>817</v>
      </c>
      <c r="R2391" s="2">
        <v>68.12</v>
      </c>
      <c r="S2391" s="2">
        <v>748.88</v>
      </c>
      <c r="T2391" s="2">
        <v>748.88</v>
      </c>
      <c r="U2391" s="2">
        <v>68.12</v>
      </c>
      <c r="V2391" s="2">
        <v>68.12</v>
      </c>
      <c r="W2391" s="2">
        <v>0</v>
      </c>
    </row>
    <row r="2392" spans="1:23" outlineLevel="2" x14ac:dyDescent="0.2">
      <c r="A2392" t="s">
        <v>836</v>
      </c>
      <c r="B2392" t="s">
        <v>39</v>
      </c>
      <c r="C2392" t="s">
        <v>66</v>
      </c>
      <c r="D2392" t="s">
        <v>67</v>
      </c>
      <c r="E2392" t="s">
        <v>68</v>
      </c>
      <c r="F2392" t="s">
        <v>967</v>
      </c>
      <c r="G2392" t="s">
        <v>968</v>
      </c>
      <c r="H2392" t="s">
        <v>978</v>
      </c>
      <c r="I2392" t="s">
        <v>979</v>
      </c>
      <c r="J2392" t="s">
        <v>841</v>
      </c>
      <c r="K2392" t="s">
        <v>844</v>
      </c>
      <c r="L2392" t="s">
        <v>972</v>
      </c>
      <c r="M2392" t="s">
        <v>15</v>
      </c>
      <c r="N2392" s="2">
        <v>0</v>
      </c>
      <c r="O2392" s="2">
        <v>420</v>
      </c>
      <c r="P2392" s="2">
        <v>0</v>
      </c>
      <c r="Q2392" s="2">
        <v>420</v>
      </c>
      <c r="R2392" s="2">
        <v>50.83</v>
      </c>
      <c r="S2392" s="2">
        <v>369.17</v>
      </c>
      <c r="T2392" s="2">
        <v>369.17</v>
      </c>
      <c r="U2392" s="2">
        <v>50.83</v>
      </c>
      <c r="V2392" s="2">
        <v>50.83</v>
      </c>
      <c r="W2392" s="2">
        <v>0</v>
      </c>
    </row>
    <row r="2393" spans="1:23" outlineLevel="2" x14ac:dyDescent="0.2">
      <c r="A2393" t="s">
        <v>836</v>
      </c>
      <c r="B2393" t="s">
        <v>39</v>
      </c>
      <c r="C2393" t="s">
        <v>66</v>
      </c>
      <c r="D2393" t="s">
        <v>67</v>
      </c>
      <c r="E2393" t="s">
        <v>68</v>
      </c>
      <c r="F2393" t="s">
        <v>967</v>
      </c>
      <c r="G2393" t="s">
        <v>968</v>
      </c>
      <c r="H2393" t="s">
        <v>978</v>
      </c>
      <c r="I2393" t="s">
        <v>979</v>
      </c>
      <c r="J2393" t="s">
        <v>841</v>
      </c>
      <c r="K2393" t="s">
        <v>846</v>
      </c>
      <c r="L2393" t="s">
        <v>974</v>
      </c>
      <c r="M2393" t="s">
        <v>15</v>
      </c>
      <c r="N2393" s="2">
        <v>0</v>
      </c>
      <c r="O2393" s="2">
        <v>9804</v>
      </c>
      <c r="P2393" s="2">
        <v>0</v>
      </c>
      <c r="Q2393" s="2">
        <v>9804</v>
      </c>
      <c r="R2393" s="2">
        <v>817</v>
      </c>
      <c r="S2393" s="2">
        <v>8987</v>
      </c>
      <c r="T2393" s="2">
        <v>8987</v>
      </c>
      <c r="U2393" s="2">
        <v>817</v>
      </c>
      <c r="V2393" s="2">
        <v>817</v>
      </c>
      <c r="W2393" s="2">
        <v>0</v>
      </c>
    </row>
    <row r="2394" spans="1:23" outlineLevel="2" x14ac:dyDescent="0.2">
      <c r="A2394" t="s">
        <v>836</v>
      </c>
      <c r="B2394" t="s">
        <v>39</v>
      </c>
      <c r="C2394" t="s">
        <v>66</v>
      </c>
      <c r="D2394" t="s">
        <v>67</v>
      </c>
      <c r="E2394" t="s">
        <v>68</v>
      </c>
      <c r="F2394" t="s">
        <v>967</v>
      </c>
      <c r="G2394" t="s">
        <v>968</v>
      </c>
      <c r="H2394" t="s">
        <v>978</v>
      </c>
      <c r="I2394" t="s">
        <v>979</v>
      </c>
      <c r="J2394" t="s">
        <v>841</v>
      </c>
      <c r="K2394" t="s">
        <v>848</v>
      </c>
      <c r="L2394" t="s">
        <v>975</v>
      </c>
      <c r="M2394" t="s">
        <v>15</v>
      </c>
      <c r="N2394" s="2">
        <v>0</v>
      </c>
      <c r="O2394" s="2">
        <v>1240.21</v>
      </c>
      <c r="P2394" s="2">
        <v>0</v>
      </c>
      <c r="Q2394" s="2">
        <v>1240.21</v>
      </c>
      <c r="R2394" s="2">
        <v>103.36</v>
      </c>
      <c r="S2394" s="2">
        <v>1136.8499999999999</v>
      </c>
      <c r="T2394" s="2">
        <v>1136.8499999999999</v>
      </c>
      <c r="U2394" s="2">
        <v>103.36</v>
      </c>
      <c r="V2394" s="2">
        <v>103.36</v>
      </c>
      <c r="W2394" s="2">
        <v>0</v>
      </c>
    </row>
    <row r="2395" spans="1:23" outlineLevel="2" x14ac:dyDescent="0.2">
      <c r="A2395" t="s">
        <v>836</v>
      </c>
      <c r="B2395" t="s">
        <v>39</v>
      </c>
      <c r="C2395" t="s">
        <v>66</v>
      </c>
      <c r="D2395" t="s">
        <v>67</v>
      </c>
      <c r="E2395" t="s">
        <v>68</v>
      </c>
      <c r="F2395" t="s">
        <v>967</v>
      </c>
      <c r="G2395" t="s">
        <v>968</v>
      </c>
      <c r="H2395" t="s">
        <v>978</v>
      </c>
      <c r="I2395" t="s">
        <v>979</v>
      </c>
      <c r="J2395" t="s">
        <v>841</v>
      </c>
      <c r="K2395" t="s">
        <v>848</v>
      </c>
      <c r="L2395" t="s">
        <v>975</v>
      </c>
      <c r="M2395" t="s">
        <v>12</v>
      </c>
      <c r="N2395" s="2">
        <v>0</v>
      </c>
      <c r="O2395" s="2">
        <v>0</v>
      </c>
      <c r="P2395" s="2">
        <v>10.33</v>
      </c>
      <c r="Q2395" s="2">
        <v>10.33</v>
      </c>
      <c r="R2395" s="2">
        <v>0</v>
      </c>
      <c r="S2395" s="2">
        <v>0</v>
      </c>
      <c r="T2395" s="2">
        <v>0</v>
      </c>
      <c r="U2395" s="2">
        <v>10.33</v>
      </c>
      <c r="V2395" s="2">
        <v>10.33</v>
      </c>
      <c r="W2395" s="2">
        <v>10.33</v>
      </c>
    </row>
    <row r="2396" spans="1:23" outlineLevel="2" x14ac:dyDescent="0.2">
      <c r="A2396" t="s">
        <v>836</v>
      </c>
      <c r="B2396" t="s">
        <v>39</v>
      </c>
      <c r="C2396" t="s">
        <v>66</v>
      </c>
      <c r="D2396" t="s">
        <v>67</v>
      </c>
      <c r="E2396" t="s">
        <v>68</v>
      </c>
      <c r="F2396" t="s">
        <v>967</v>
      </c>
      <c r="G2396" t="s">
        <v>968</v>
      </c>
      <c r="H2396" t="s">
        <v>978</v>
      </c>
      <c r="I2396" t="s">
        <v>979</v>
      </c>
      <c r="J2396" t="s">
        <v>841</v>
      </c>
      <c r="K2396" t="s">
        <v>850</v>
      </c>
      <c r="L2396" t="s">
        <v>976</v>
      </c>
      <c r="M2396" t="s">
        <v>15</v>
      </c>
      <c r="N2396" s="2">
        <v>0</v>
      </c>
      <c r="O2396" s="2">
        <v>817</v>
      </c>
      <c r="P2396" s="2">
        <v>0</v>
      </c>
      <c r="Q2396" s="2">
        <v>817</v>
      </c>
      <c r="R2396" s="2">
        <v>444.94</v>
      </c>
      <c r="S2396" s="2">
        <v>372.06</v>
      </c>
      <c r="T2396" s="2">
        <v>372.06</v>
      </c>
      <c r="U2396" s="2">
        <v>444.94</v>
      </c>
      <c r="V2396" s="2">
        <v>444.94</v>
      </c>
      <c r="W2396" s="2">
        <v>0</v>
      </c>
    </row>
    <row r="2397" spans="1:23" outlineLevel="2" x14ac:dyDescent="0.2">
      <c r="A2397" t="s">
        <v>836</v>
      </c>
      <c r="B2397" t="s">
        <v>39</v>
      </c>
      <c r="C2397" t="s">
        <v>66</v>
      </c>
      <c r="D2397" t="s">
        <v>67</v>
      </c>
      <c r="E2397" t="s">
        <v>68</v>
      </c>
      <c r="F2397" t="s">
        <v>967</v>
      </c>
      <c r="G2397" t="s">
        <v>968</v>
      </c>
      <c r="H2397" t="s">
        <v>978</v>
      </c>
      <c r="I2397" t="s">
        <v>979</v>
      </c>
      <c r="J2397" t="s">
        <v>841</v>
      </c>
      <c r="K2397" t="s">
        <v>961</v>
      </c>
      <c r="L2397" t="s">
        <v>977</v>
      </c>
      <c r="M2397" t="s">
        <v>15</v>
      </c>
      <c r="N2397" s="2">
        <v>0</v>
      </c>
      <c r="O2397" s="2">
        <v>1000</v>
      </c>
      <c r="P2397" s="2">
        <v>-1000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</row>
    <row r="2398" spans="1:23" outlineLevel="2" x14ac:dyDescent="0.2">
      <c r="A2398" t="s">
        <v>836</v>
      </c>
      <c r="B2398" t="s">
        <v>39</v>
      </c>
      <c r="C2398" t="s">
        <v>66</v>
      </c>
      <c r="D2398" t="s">
        <v>67</v>
      </c>
      <c r="E2398" t="s">
        <v>68</v>
      </c>
      <c r="F2398" t="s">
        <v>967</v>
      </c>
      <c r="G2398" t="s">
        <v>968</v>
      </c>
      <c r="H2398" t="s">
        <v>978</v>
      </c>
      <c r="I2398" t="s">
        <v>979</v>
      </c>
      <c r="J2398" t="s">
        <v>841</v>
      </c>
      <c r="K2398" t="s">
        <v>961</v>
      </c>
      <c r="L2398" t="s">
        <v>977</v>
      </c>
      <c r="M2398" t="s">
        <v>12</v>
      </c>
      <c r="N2398" s="2">
        <v>0</v>
      </c>
      <c r="O2398" s="2">
        <v>0</v>
      </c>
      <c r="P2398" s="2">
        <v>1000</v>
      </c>
      <c r="Q2398" s="2">
        <v>1000</v>
      </c>
      <c r="R2398" s="2">
        <v>0</v>
      </c>
      <c r="S2398" s="2">
        <v>0</v>
      </c>
      <c r="T2398" s="2">
        <v>0</v>
      </c>
      <c r="U2398" s="2">
        <v>1000</v>
      </c>
      <c r="V2398" s="2">
        <v>1000</v>
      </c>
      <c r="W2398" s="2">
        <v>1000</v>
      </c>
    </row>
    <row r="2399" spans="1:23" outlineLevel="2" x14ac:dyDescent="0.2">
      <c r="A2399" t="s">
        <v>836</v>
      </c>
      <c r="B2399" t="s">
        <v>39</v>
      </c>
      <c r="C2399" t="s">
        <v>66</v>
      </c>
      <c r="D2399" t="s">
        <v>121</v>
      </c>
      <c r="E2399" t="s">
        <v>122</v>
      </c>
      <c r="F2399" t="s">
        <v>980</v>
      </c>
      <c r="G2399" t="s">
        <v>981</v>
      </c>
      <c r="H2399" t="s">
        <v>982</v>
      </c>
      <c r="I2399" t="s">
        <v>983</v>
      </c>
      <c r="J2399" t="s">
        <v>841</v>
      </c>
      <c r="K2399" t="s">
        <v>842</v>
      </c>
      <c r="L2399" t="s">
        <v>984</v>
      </c>
      <c r="M2399" t="s">
        <v>12</v>
      </c>
      <c r="N2399" s="2">
        <v>0</v>
      </c>
      <c r="O2399" s="2">
        <v>41065.75</v>
      </c>
      <c r="P2399" s="2">
        <v>0</v>
      </c>
      <c r="Q2399" s="2">
        <v>41065.75</v>
      </c>
      <c r="R2399" s="2">
        <v>27490.68</v>
      </c>
      <c r="S2399" s="2">
        <v>13575.07</v>
      </c>
      <c r="T2399" s="2">
        <v>13575.07</v>
      </c>
      <c r="U2399" s="2">
        <v>27490.68</v>
      </c>
      <c r="V2399" s="2">
        <v>27490.68</v>
      </c>
      <c r="W2399" s="2">
        <v>0</v>
      </c>
    </row>
    <row r="2400" spans="1:23" outlineLevel="2" x14ac:dyDescent="0.2">
      <c r="A2400" t="s">
        <v>836</v>
      </c>
      <c r="B2400" t="s">
        <v>39</v>
      </c>
      <c r="C2400" t="s">
        <v>66</v>
      </c>
      <c r="D2400" t="s">
        <v>121</v>
      </c>
      <c r="E2400" t="s">
        <v>122</v>
      </c>
      <c r="F2400" t="s">
        <v>980</v>
      </c>
      <c r="G2400" t="s">
        <v>981</v>
      </c>
      <c r="H2400" t="s">
        <v>982</v>
      </c>
      <c r="I2400" t="s">
        <v>983</v>
      </c>
      <c r="J2400" t="s">
        <v>841</v>
      </c>
      <c r="K2400" t="s">
        <v>844</v>
      </c>
      <c r="L2400" t="s">
        <v>985</v>
      </c>
      <c r="M2400" t="s">
        <v>12</v>
      </c>
      <c r="N2400" s="2">
        <v>0</v>
      </c>
      <c r="O2400" s="2">
        <v>10633.33</v>
      </c>
      <c r="P2400" s="2">
        <v>0</v>
      </c>
      <c r="Q2400" s="2">
        <v>10633.33</v>
      </c>
      <c r="R2400" s="2">
        <v>3200.24</v>
      </c>
      <c r="S2400" s="2">
        <v>7433.09</v>
      </c>
      <c r="T2400" s="2">
        <v>7433.09</v>
      </c>
      <c r="U2400" s="2">
        <v>3200.24</v>
      </c>
      <c r="V2400" s="2">
        <v>3200.24</v>
      </c>
      <c r="W2400" s="2">
        <v>0</v>
      </c>
    </row>
    <row r="2401" spans="1:23" outlineLevel="2" x14ac:dyDescent="0.2">
      <c r="A2401" t="s">
        <v>836</v>
      </c>
      <c r="B2401" t="s">
        <v>39</v>
      </c>
      <c r="C2401" t="s">
        <v>66</v>
      </c>
      <c r="D2401" t="s">
        <v>121</v>
      </c>
      <c r="E2401" t="s">
        <v>122</v>
      </c>
      <c r="F2401" t="s">
        <v>980</v>
      </c>
      <c r="G2401" t="s">
        <v>981</v>
      </c>
      <c r="H2401" t="s">
        <v>982</v>
      </c>
      <c r="I2401" t="s">
        <v>983</v>
      </c>
      <c r="J2401" t="s">
        <v>841</v>
      </c>
      <c r="K2401" t="s">
        <v>854</v>
      </c>
      <c r="L2401" t="s">
        <v>986</v>
      </c>
      <c r="M2401" t="s">
        <v>12</v>
      </c>
      <c r="N2401" s="2">
        <v>0</v>
      </c>
      <c r="O2401" s="2">
        <v>16325.63</v>
      </c>
      <c r="P2401" s="2">
        <v>-11870.32</v>
      </c>
      <c r="Q2401" s="2">
        <v>4455.3100000000004</v>
      </c>
      <c r="R2401" s="2">
        <v>0</v>
      </c>
      <c r="S2401" s="2">
        <v>2338.67</v>
      </c>
      <c r="T2401" s="2">
        <v>2338.67</v>
      </c>
      <c r="U2401" s="2">
        <v>2116.64</v>
      </c>
      <c r="V2401" s="2">
        <v>2116.64</v>
      </c>
      <c r="W2401" s="2">
        <v>2116.64</v>
      </c>
    </row>
    <row r="2402" spans="1:23" outlineLevel="2" x14ac:dyDescent="0.2">
      <c r="A2402" t="s">
        <v>836</v>
      </c>
      <c r="B2402" t="s">
        <v>39</v>
      </c>
      <c r="C2402" t="s">
        <v>66</v>
      </c>
      <c r="D2402" t="s">
        <v>121</v>
      </c>
      <c r="E2402" t="s">
        <v>122</v>
      </c>
      <c r="F2402" t="s">
        <v>980</v>
      </c>
      <c r="G2402" t="s">
        <v>981</v>
      </c>
      <c r="H2402" t="s">
        <v>982</v>
      </c>
      <c r="I2402" t="s">
        <v>983</v>
      </c>
      <c r="J2402" t="s">
        <v>841</v>
      </c>
      <c r="K2402" t="s">
        <v>846</v>
      </c>
      <c r="L2402" t="s">
        <v>987</v>
      </c>
      <c r="M2402" t="s">
        <v>12</v>
      </c>
      <c r="N2402" s="2">
        <v>0</v>
      </c>
      <c r="O2402" s="2">
        <v>510189</v>
      </c>
      <c r="P2402" s="2">
        <v>0</v>
      </c>
      <c r="Q2402" s="2">
        <v>510189</v>
      </c>
      <c r="R2402" s="2">
        <v>63590.400000000001</v>
      </c>
      <c r="S2402" s="2">
        <v>446598.6</v>
      </c>
      <c r="T2402" s="2">
        <v>446598.6</v>
      </c>
      <c r="U2402" s="2">
        <v>63590.400000000001</v>
      </c>
      <c r="V2402" s="2">
        <v>63590.400000000001</v>
      </c>
      <c r="W2402" s="2">
        <v>0</v>
      </c>
    </row>
    <row r="2403" spans="1:23" outlineLevel="2" x14ac:dyDescent="0.2">
      <c r="A2403" t="s">
        <v>836</v>
      </c>
      <c r="B2403" t="s">
        <v>39</v>
      </c>
      <c r="C2403" t="s">
        <v>66</v>
      </c>
      <c r="D2403" t="s">
        <v>121</v>
      </c>
      <c r="E2403" t="s">
        <v>122</v>
      </c>
      <c r="F2403" t="s">
        <v>980</v>
      </c>
      <c r="G2403" t="s">
        <v>981</v>
      </c>
      <c r="H2403" t="s">
        <v>982</v>
      </c>
      <c r="I2403" t="s">
        <v>983</v>
      </c>
      <c r="J2403" t="s">
        <v>841</v>
      </c>
      <c r="K2403" t="s">
        <v>866</v>
      </c>
      <c r="L2403" t="s">
        <v>988</v>
      </c>
      <c r="M2403" t="s">
        <v>12</v>
      </c>
      <c r="N2403" s="2">
        <v>0</v>
      </c>
      <c r="O2403" s="2">
        <v>879</v>
      </c>
      <c r="P2403" s="2">
        <v>0.33</v>
      </c>
      <c r="Q2403" s="2">
        <v>879.33</v>
      </c>
      <c r="R2403" s="2">
        <v>0</v>
      </c>
      <c r="S2403" s="2">
        <v>878.33</v>
      </c>
      <c r="T2403" s="2">
        <v>878.33</v>
      </c>
      <c r="U2403" s="2">
        <v>1</v>
      </c>
      <c r="V2403" s="2">
        <v>1</v>
      </c>
      <c r="W2403" s="2">
        <v>1</v>
      </c>
    </row>
    <row r="2404" spans="1:23" outlineLevel="2" x14ac:dyDescent="0.2">
      <c r="A2404" t="s">
        <v>836</v>
      </c>
      <c r="B2404" t="s">
        <v>39</v>
      </c>
      <c r="C2404" t="s">
        <v>66</v>
      </c>
      <c r="D2404" t="s">
        <v>121</v>
      </c>
      <c r="E2404" t="s">
        <v>122</v>
      </c>
      <c r="F2404" t="s">
        <v>980</v>
      </c>
      <c r="G2404" t="s">
        <v>981</v>
      </c>
      <c r="H2404" t="s">
        <v>982</v>
      </c>
      <c r="I2404" t="s">
        <v>983</v>
      </c>
      <c r="J2404" t="s">
        <v>841</v>
      </c>
      <c r="K2404" t="s">
        <v>866</v>
      </c>
      <c r="L2404" t="s">
        <v>988</v>
      </c>
      <c r="M2404" t="s">
        <v>15</v>
      </c>
      <c r="N2404" s="2">
        <v>0</v>
      </c>
      <c r="O2404" s="2">
        <v>310.33</v>
      </c>
      <c r="P2404" s="2">
        <v>-0.33</v>
      </c>
      <c r="Q2404" s="2">
        <v>310</v>
      </c>
      <c r="R2404" s="2">
        <v>0</v>
      </c>
      <c r="S2404" s="2">
        <v>310</v>
      </c>
      <c r="T2404" s="2">
        <v>310</v>
      </c>
      <c r="U2404" s="2">
        <v>0</v>
      </c>
      <c r="V2404" s="2">
        <v>0</v>
      </c>
      <c r="W2404" s="2">
        <v>0</v>
      </c>
    </row>
    <row r="2405" spans="1:23" outlineLevel="2" x14ac:dyDescent="0.2">
      <c r="A2405" t="s">
        <v>836</v>
      </c>
      <c r="B2405" t="s">
        <v>39</v>
      </c>
      <c r="C2405" t="s">
        <v>66</v>
      </c>
      <c r="D2405" t="s">
        <v>121</v>
      </c>
      <c r="E2405" t="s">
        <v>122</v>
      </c>
      <c r="F2405" t="s">
        <v>980</v>
      </c>
      <c r="G2405" t="s">
        <v>981</v>
      </c>
      <c r="H2405" t="s">
        <v>982</v>
      </c>
      <c r="I2405" t="s">
        <v>983</v>
      </c>
      <c r="J2405" t="s">
        <v>841</v>
      </c>
      <c r="K2405" t="s">
        <v>848</v>
      </c>
      <c r="L2405" t="s">
        <v>989</v>
      </c>
      <c r="M2405" t="s">
        <v>12</v>
      </c>
      <c r="N2405" s="2">
        <v>0</v>
      </c>
      <c r="O2405" s="2">
        <v>51292.88</v>
      </c>
      <c r="P2405" s="2">
        <v>16049.36</v>
      </c>
      <c r="Q2405" s="2">
        <v>67342.240000000005</v>
      </c>
      <c r="R2405" s="2">
        <v>5653.86</v>
      </c>
      <c r="S2405" s="2">
        <v>56939.02</v>
      </c>
      <c r="T2405" s="2">
        <v>56939.02</v>
      </c>
      <c r="U2405" s="2">
        <v>10403.219999999999</v>
      </c>
      <c r="V2405" s="2">
        <v>10403.219999999999</v>
      </c>
      <c r="W2405" s="2">
        <v>4749.3599999999997</v>
      </c>
    </row>
    <row r="2406" spans="1:23" outlineLevel="2" x14ac:dyDescent="0.2">
      <c r="A2406" t="s">
        <v>836</v>
      </c>
      <c r="B2406" t="s">
        <v>39</v>
      </c>
      <c r="C2406" t="s">
        <v>66</v>
      </c>
      <c r="D2406" t="s">
        <v>121</v>
      </c>
      <c r="E2406" t="s">
        <v>122</v>
      </c>
      <c r="F2406" t="s">
        <v>980</v>
      </c>
      <c r="G2406" t="s">
        <v>981</v>
      </c>
      <c r="H2406" t="s">
        <v>982</v>
      </c>
      <c r="I2406" t="s">
        <v>983</v>
      </c>
      <c r="J2406" t="s">
        <v>841</v>
      </c>
      <c r="K2406" t="s">
        <v>850</v>
      </c>
      <c r="L2406" t="s">
        <v>990</v>
      </c>
      <c r="M2406" t="s">
        <v>12</v>
      </c>
      <c r="N2406" s="2">
        <v>0</v>
      </c>
      <c r="O2406" s="2">
        <v>41065.75</v>
      </c>
      <c r="P2406" s="2">
        <v>0</v>
      </c>
      <c r="Q2406" s="2">
        <v>41065.75</v>
      </c>
      <c r="R2406" s="2">
        <v>36580.699999999997</v>
      </c>
      <c r="S2406" s="2">
        <v>4485.05</v>
      </c>
      <c r="T2406" s="2">
        <v>4485.05</v>
      </c>
      <c r="U2406" s="2">
        <v>36580.699999999997</v>
      </c>
      <c r="V2406" s="2">
        <v>36580.699999999997</v>
      </c>
      <c r="W2406" s="2">
        <v>0</v>
      </c>
    </row>
    <row r="2407" spans="1:23" outlineLevel="2" x14ac:dyDescent="0.2">
      <c r="A2407" t="s">
        <v>836</v>
      </c>
      <c r="B2407" t="s">
        <v>39</v>
      </c>
      <c r="C2407" t="s">
        <v>58</v>
      </c>
      <c r="D2407" t="s">
        <v>119</v>
      </c>
      <c r="E2407" t="s">
        <v>120</v>
      </c>
      <c r="F2407" t="s">
        <v>980</v>
      </c>
      <c r="G2407" t="s">
        <v>981</v>
      </c>
      <c r="H2407" t="s">
        <v>991</v>
      </c>
      <c r="I2407" t="s">
        <v>992</v>
      </c>
      <c r="J2407" t="s">
        <v>841</v>
      </c>
      <c r="K2407" t="s">
        <v>842</v>
      </c>
      <c r="L2407" t="s">
        <v>993</v>
      </c>
      <c r="M2407" t="s">
        <v>12</v>
      </c>
      <c r="N2407" s="2">
        <v>0</v>
      </c>
      <c r="O2407" s="2">
        <v>23210</v>
      </c>
      <c r="P2407" s="2">
        <v>-9284</v>
      </c>
      <c r="Q2407" s="2">
        <v>13926</v>
      </c>
      <c r="R2407" s="2">
        <v>13444.65</v>
      </c>
      <c r="S2407" s="2">
        <v>481.35</v>
      </c>
      <c r="T2407" s="2">
        <v>481.35</v>
      </c>
      <c r="U2407" s="2">
        <v>13444.65</v>
      </c>
      <c r="V2407" s="2">
        <v>13444.65</v>
      </c>
      <c r="W2407" s="2">
        <v>0</v>
      </c>
    </row>
    <row r="2408" spans="1:23" outlineLevel="2" x14ac:dyDescent="0.2">
      <c r="A2408" t="s">
        <v>836</v>
      </c>
      <c r="B2408" t="s">
        <v>39</v>
      </c>
      <c r="C2408" t="s">
        <v>58</v>
      </c>
      <c r="D2408" t="s">
        <v>119</v>
      </c>
      <c r="E2408" t="s">
        <v>120</v>
      </c>
      <c r="F2408" t="s">
        <v>980</v>
      </c>
      <c r="G2408" t="s">
        <v>981</v>
      </c>
      <c r="H2408" t="s">
        <v>991</v>
      </c>
      <c r="I2408" t="s">
        <v>992</v>
      </c>
      <c r="J2408" t="s">
        <v>841</v>
      </c>
      <c r="K2408" t="s">
        <v>844</v>
      </c>
      <c r="L2408" t="s">
        <v>994</v>
      </c>
      <c r="M2408" t="s">
        <v>12</v>
      </c>
      <c r="N2408" s="2">
        <v>0</v>
      </c>
      <c r="O2408" s="2">
        <v>7000</v>
      </c>
      <c r="P2408" s="2">
        <v>-2800</v>
      </c>
      <c r="Q2408" s="2">
        <v>4200</v>
      </c>
      <c r="R2408" s="2">
        <v>4066.68</v>
      </c>
      <c r="S2408" s="2">
        <v>133.32</v>
      </c>
      <c r="T2408" s="2">
        <v>133.32</v>
      </c>
      <c r="U2408" s="2">
        <v>4066.68</v>
      </c>
      <c r="V2408" s="2">
        <v>4066.68</v>
      </c>
      <c r="W2408" s="2">
        <v>0</v>
      </c>
    </row>
    <row r="2409" spans="1:23" outlineLevel="2" x14ac:dyDescent="0.2">
      <c r="A2409" t="s">
        <v>836</v>
      </c>
      <c r="B2409" t="s">
        <v>39</v>
      </c>
      <c r="C2409" t="s">
        <v>58</v>
      </c>
      <c r="D2409" t="s">
        <v>119</v>
      </c>
      <c r="E2409" t="s">
        <v>120</v>
      </c>
      <c r="F2409" t="s">
        <v>980</v>
      </c>
      <c r="G2409" t="s">
        <v>981</v>
      </c>
      <c r="H2409" t="s">
        <v>991</v>
      </c>
      <c r="I2409" t="s">
        <v>992</v>
      </c>
      <c r="J2409" t="s">
        <v>841</v>
      </c>
      <c r="K2409" t="s">
        <v>854</v>
      </c>
      <c r="L2409" t="s">
        <v>995</v>
      </c>
      <c r="M2409" t="s">
        <v>15</v>
      </c>
      <c r="N2409" s="2">
        <v>0</v>
      </c>
      <c r="O2409" s="2">
        <v>1244.1300000000001</v>
      </c>
      <c r="P2409" s="2">
        <v>0</v>
      </c>
      <c r="Q2409" s="2">
        <v>1244.1300000000001</v>
      </c>
      <c r="R2409" s="2">
        <v>0</v>
      </c>
      <c r="S2409" s="2">
        <v>1244.1300000000001</v>
      </c>
      <c r="T2409" s="2">
        <v>1244.1300000000001</v>
      </c>
      <c r="U2409" s="2">
        <v>0</v>
      </c>
      <c r="V2409" s="2">
        <v>0</v>
      </c>
      <c r="W2409" s="2">
        <v>0</v>
      </c>
    </row>
    <row r="2410" spans="1:23" outlineLevel="2" x14ac:dyDescent="0.2">
      <c r="A2410" t="s">
        <v>836</v>
      </c>
      <c r="B2410" t="s">
        <v>39</v>
      </c>
      <c r="C2410" t="s">
        <v>58</v>
      </c>
      <c r="D2410" t="s">
        <v>119</v>
      </c>
      <c r="E2410" t="s">
        <v>120</v>
      </c>
      <c r="F2410" t="s">
        <v>980</v>
      </c>
      <c r="G2410" t="s">
        <v>981</v>
      </c>
      <c r="H2410" t="s">
        <v>991</v>
      </c>
      <c r="I2410" t="s">
        <v>992</v>
      </c>
      <c r="J2410" t="s">
        <v>841</v>
      </c>
      <c r="K2410" t="s">
        <v>846</v>
      </c>
      <c r="L2410" t="s">
        <v>996</v>
      </c>
      <c r="M2410" t="s">
        <v>12</v>
      </c>
      <c r="N2410" s="2">
        <v>0</v>
      </c>
      <c r="O2410" s="2">
        <v>278520</v>
      </c>
      <c r="P2410" s="2">
        <v>-111408</v>
      </c>
      <c r="Q2410" s="2">
        <v>167112</v>
      </c>
      <c r="R2410" s="2">
        <v>97073.37</v>
      </c>
      <c r="S2410" s="2">
        <v>70038.63</v>
      </c>
      <c r="T2410" s="2">
        <v>70038.63</v>
      </c>
      <c r="U2410" s="2">
        <v>97073.37</v>
      </c>
      <c r="V2410" s="2">
        <v>97073.37</v>
      </c>
      <c r="W2410" s="2">
        <v>0</v>
      </c>
    </row>
    <row r="2411" spans="1:23" outlineLevel="2" x14ac:dyDescent="0.2">
      <c r="A2411" t="s">
        <v>836</v>
      </c>
      <c r="B2411" t="s">
        <v>39</v>
      </c>
      <c r="C2411" t="s">
        <v>58</v>
      </c>
      <c r="D2411" t="s">
        <v>119</v>
      </c>
      <c r="E2411" t="s">
        <v>120</v>
      </c>
      <c r="F2411" t="s">
        <v>980</v>
      </c>
      <c r="G2411" t="s">
        <v>981</v>
      </c>
      <c r="H2411" t="s">
        <v>991</v>
      </c>
      <c r="I2411" t="s">
        <v>992</v>
      </c>
      <c r="J2411" t="s">
        <v>841</v>
      </c>
      <c r="K2411" t="s">
        <v>848</v>
      </c>
      <c r="L2411" t="s">
        <v>997</v>
      </c>
      <c r="M2411" t="s">
        <v>12</v>
      </c>
      <c r="N2411" s="2">
        <v>0</v>
      </c>
      <c r="O2411" s="2">
        <v>35232.78</v>
      </c>
      <c r="P2411" s="2">
        <v>-14093.11</v>
      </c>
      <c r="Q2411" s="2">
        <v>21139.67</v>
      </c>
      <c r="R2411" s="2">
        <v>12122.59</v>
      </c>
      <c r="S2411" s="2">
        <v>9017.08</v>
      </c>
      <c r="T2411" s="2">
        <v>9017.08</v>
      </c>
      <c r="U2411" s="2">
        <v>12122.59</v>
      </c>
      <c r="V2411" s="2">
        <v>12122.59</v>
      </c>
      <c r="W2411" s="2">
        <v>0</v>
      </c>
    </row>
    <row r="2412" spans="1:23" outlineLevel="2" x14ac:dyDescent="0.2">
      <c r="A2412" t="s">
        <v>836</v>
      </c>
      <c r="B2412" t="s">
        <v>39</v>
      </c>
      <c r="C2412" t="s">
        <v>58</v>
      </c>
      <c r="D2412" t="s">
        <v>119</v>
      </c>
      <c r="E2412" t="s">
        <v>120</v>
      </c>
      <c r="F2412" t="s">
        <v>980</v>
      </c>
      <c r="G2412" t="s">
        <v>981</v>
      </c>
      <c r="H2412" t="s">
        <v>991</v>
      </c>
      <c r="I2412" t="s">
        <v>992</v>
      </c>
      <c r="J2412" t="s">
        <v>841</v>
      </c>
      <c r="K2412" t="s">
        <v>850</v>
      </c>
      <c r="L2412" t="s">
        <v>998</v>
      </c>
      <c r="M2412" t="s">
        <v>12</v>
      </c>
      <c r="N2412" s="2">
        <v>0</v>
      </c>
      <c r="O2412" s="2">
        <v>23210</v>
      </c>
      <c r="P2412" s="2">
        <v>-9284</v>
      </c>
      <c r="Q2412" s="2">
        <v>13926</v>
      </c>
      <c r="R2412" s="2">
        <v>11985.53</v>
      </c>
      <c r="S2412" s="2">
        <v>1940.47</v>
      </c>
      <c r="T2412" s="2">
        <v>1940.47</v>
      </c>
      <c r="U2412" s="2">
        <v>11985.53</v>
      </c>
      <c r="V2412" s="2">
        <v>11985.53</v>
      </c>
      <c r="W2412" s="2">
        <v>0</v>
      </c>
    </row>
    <row r="2413" spans="1:23" outlineLevel="2" x14ac:dyDescent="0.2">
      <c r="A2413" t="s">
        <v>999</v>
      </c>
      <c r="B2413" t="s">
        <v>1</v>
      </c>
      <c r="C2413" t="s">
        <v>91</v>
      </c>
      <c r="D2413" t="s">
        <v>92</v>
      </c>
      <c r="E2413" t="s">
        <v>93</v>
      </c>
      <c r="F2413" t="s">
        <v>5</v>
      </c>
      <c r="G2413" t="s">
        <v>6</v>
      </c>
      <c r="H2413" t="s">
        <v>7</v>
      </c>
      <c r="I2413" t="s">
        <v>8</v>
      </c>
      <c r="J2413" t="s">
        <v>1000</v>
      </c>
      <c r="K2413" t="s">
        <v>1001</v>
      </c>
      <c r="L2413" t="s">
        <v>1002</v>
      </c>
      <c r="M2413" t="s">
        <v>15</v>
      </c>
      <c r="N2413" s="2">
        <v>177100</v>
      </c>
      <c r="O2413" s="2">
        <v>-177100</v>
      </c>
      <c r="P2413" s="2">
        <v>0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</row>
    <row r="2414" spans="1:23" outlineLevel="2" x14ac:dyDescent="0.2">
      <c r="A2414" t="s">
        <v>999</v>
      </c>
      <c r="B2414" t="s">
        <v>31</v>
      </c>
      <c r="C2414" t="s">
        <v>79</v>
      </c>
      <c r="D2414" t="s">
        <v>115</v>
      </c>
      <c r="E2414" t="s">
        <v>116</v>
      </c>
      <c r="F2414" t="s">
        <v>5</v>
      </c>
      <c r="G2414" t="s">
        <v>6</v>
      </c>
      <c r="H2414" t="s">
        <v>7</v>
      </c>
      <c r="I2414" t="s">
        <v>8</v>
      </c>
      <c r="J2414" t="s">
        <v>1000</v>
      </c>
      <c r="K2414" t="s">
        <v>1003</v>
      </c>
      <c r="L2414" t="s">
        <v>1004</v>
      </c>
      <c r="M2414" t="s">
        <v>12</v>
      </c>
      <c r="N2414" s="2">
        <v>6600</v>
      </c>
      <c r="O2414" s="2">
        <v>0</v>
      </c>
      <c r="P2414" s="2">
        <v>-6600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</row>
    <row r="2415" spans="1:23" outlineLevel="2" x14ac:dyDescent="0.2">
      <c r="A2415" t="s">
        <v>999</v>
      </c>
      <c r="B2415" t="s">
        <v>39</v>
      </c>
      <c r="C2415" t="s">
        <v>58</v>
      </c>
      <c r="D2415" t="s">
        <v>143</v>
      </c>
      <c r="E2415" t="s">
        <v>144</v>
      </c>
      <c r="F2415" t="s">
        <v>1005</v>
      </c>
      <c r="G2415" t="s">
        <v>1006</v>
      </c>
      <c r="H2415" t="s">
        <v>1007</v>
      </c>
      <c r="I2415" t="s">
        <v>1008</v>
      </c>
      <c r="J2415" t="s">
        <v>1000</v>
      </c>
      <c r="K2415" t="s">
        <v>1009</v>
      </c>
      <c r="L2415" t="s">
        <v>1010</v>
      </c>
      <c r="M2415" t="s">
        <v>12</v>
      </c>
      <c r="N2415" s="2">
        <v>2000</v>
      </c>
      <c r="O2415" s="2">
        <v>0</v>
      </c>
      <c r="P2415" s="2">
        <v>-2000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</row>
    <row r="2416" spans="1:23" outlineLevel="2" x14ac:dyDescent="0.2">
      <c r="A2416" t="s">
        <v>999</v>
      </c>
      <c r="B2416" t="s">
        <v>39</v>
      </c>
      <c r="C2416" t="s">
        <v>58</v>
      </c>
      <c r="D2416" t="s">
        <v>59</v>
      </c>
      <c r="E2416" t="s">
        <v>60</v>
      </c>
      <c r="F2416" t="s">
        <v>1005</v>
      </c>
      <c r="G2416" t="s">
        <v>1006</v>
      </c>
      <c r="H2416" t="s">
        <v>1007</v>
      </c>
      <c r="I2416" t="s">
        <v>1008</v>
      </c>
      <c r="J2416" t="s">
        <v>1000</v>
      </c>
      <c r="K2416" t="s">
        <v>1011</v>
      </c>
      <c r="L2416" t="s">
        <v>1012</v>
      </c>
      <c r="M2416" t="s">
        <v>12</v>
      </c>
      <c r="N2416" s="2">
        <v>5300</v>
      </c>
      <c r="O2416" s="2">
        <v>0</v>
      </c>
      <c r="P2416" s="2">
        <v>-5300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</row>
    <row r="2417" spans="1:23" outlineLevel="2" x14ac:dyDescent="0.2">
      <c r="A2417" t="s">
        <v>999</v>
      </c>
      <c r="B2417" t="s">
        <v>39</v>
      </c>
      <c r="C2417" t="s">
        <v>58</v>
      </c>
      <c r="D2417" t="s">
        <v>143</v>
      </c>
      <c r="E2417" t="s">
        <v>144</v>
      </c>
      <c r="F2417" t="s">
        <v>1005</v>
      </c>
      <c r="G2417" t="s">
        <v>1006</v>
      </c>
      <c r="H2417" t="s">
        <v>1007</v>
      </c>
      <c r="I2417" t="s">
        <v>1008</v>
      </c>
      <c r="J2417" t="s">
        <v>1000</v>
      </c>
      <c r="K2417" t="s">
        <v>1011</v>
      </c>
      <c r="L2417" t="s">
        <v>1012</v>
      </c>
      <c r="M2417" t="s">
        <v>12</v>
      </c>
      <c r="N2417" s="2">
        <v>6000</v>
      </c>
      <c r="O2417" s="2">
        <v>0</v>
      </c>
      <c r="P2417" s="2">
        <v>-6000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</row>
    <row r="2418" spans="1:23" outlineLevel="2" x14ac:dyDescent="0.2">
      <c r="A2418" t="s">
        <v>999</v>
      </c>
      <c r="B2418" t="s">
        <v>39</v>
      </c>
      <c r="C2418" t="s">
        <v>58</v>
      </c>
      <c r="D2418" t="s">
        <v>147</v>
      </c>
      <c r="E2418" t="s">
        <v>148</v>
      </c>
      <c r="F2418" t="s">
        <v>1005</v>
      </c>
      <c r="G2418" t="s">
        <v>1006</v>
      </c>
      <c r="H2418" t="s">
        <v>1007</v>
      </c>
      <c r="I2418" t="s">
        <v>1008</v>
      </c>
      <c r="J2418" t="s">
        <v>1000</v>
      </c>
      <c r="K2418" t="s">
        <v>1013</v>
      </c>
      <c r="L2418" t="s">
        <v>1014</v>
      </c>
      <c r="M2418" t="s">
        <v>12</v>
      </c>
      <c r="N2418" s="2">
        <v>83758</v>
      </c>
      <c r="O2418" s="2">
        <v>0</v>
      </c>
      <c r="P2418" s="2">
        <v>-83758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</row>
    <row r="2419" spans="1:23" outlineLevel="2" x14ac:dyDescent="0.2">
      <c r="A2419" t="s">
        <v>999</v>
      </c>
      <c r="B2419" t="s">
        <v>39</v>
      </c>
      <c r="C2419" t="s">
        <v>58</v>
      </c>
      <c r="D2419" t="s">
        <v>59</v>
      </c>
      <c r="E2419" t="s">
        <v>60</v>
      </c>
      <c r="F2419" t="s">
        <v>1005</v>
      </c>
      <c r="G2419" t="s">
        <v>1006</v>
      </c>
      <c r="H2419" t="s">
        <v>1007</v>
      </c>
      <c r="I2419" t="s">
        <v>1008</v>
      </c>
      <c r="J2419" t="s">
        <v>1000</v>
      </c>
      <c r="K2419" t="s">
        <v>1015</v>
      </c>
      <c r="L2419" t="s">
        <v>1016</v>
      </c>
      <c r="M2419" t="s">
        <v>12</v>
      </c>
      <c r="N2419" s="2">
        <v>15000</v>
      </c>
      <c r="O2419" s="2">
        <v>0</v>
      </c>
      <c r="P2419" s="2">
        <v>-15000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</row>
    <row r="2420" spans="1:23" outlineLevel="2" x14ac:dyDescent="0.2">
      <c r="A2420" t="s">
        <v>999</v>
      </c>
      <c r="B2420" t="s">
        <v>39</v>
      </c>
      <c r="C2420" t="s">
        <v>58</v>
      </c>
      <c r="D2420" t="s">
        <v>143</v>
      </c>
      <c r="E2420" t="s">
        <v>144</v>
      </c>
      <c r="F2420" t="s">
        <v>1005</v>
      </c>
      <c r="G2420" t="s">
        <v>1006</v>
      </c>
      <c r="H2420" t="s">
        <v>1007</v>
      </c>
      <c r="I2420" t="s">
        <v>1008</v>
      </c>
      <c r="J2420" t="s">
        <v>1000</v>
      </c>
      <c r="K2420" t="s">
        <v>1015</v>
      </c>
      <c r="L2420" t="s">
        <v>1016</v>
      </c>
      <c r="M2420" t="s">
        <v>12</v>
      </c>
      <c r="N2420" s="2">
        <v>15000</v>
      </c>
      <c r="O2420" s="2">
        <v>0</v>
      </c>
      <c r="P2420" s="2">
        <v>-15000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</row>
    <row r="2421" spans="1:23" outlineLevel="2" x14ac:dyDescent="0.2">
      <c r="A2421" t="s">
        <v>999</v>
      </c>
      <c r="B2421" t="s">
        <v>39</v>
      </c>
      <c r="C2421" t="s">
        <v>58</v>
      </c>
      <c r="D2421" t="s">
        <v>143</v>
      </c>
      <c r="E2421" t="s">
        <v>144</v>
      </c>
      <c r="F2421" t="s">
        <v>1005</v>
      </c>
      <c r="G2421" t="s">
        <v>1006</v>
      </c>
      <c r="H2421" t="s">
        <v>1007</v>
      </c>
      <c r="I2421" t="s">
        <v>1008</v>
      </c>
      <c r="J2421" t="s">
        <v>1000</v>
      </c>
      <c r="K2421" t="s">
        <v>1017</v>
      </c>
      <c r="L2421" t="s">
        <v>1018</v>
      </c>
      <c r="M2421" t="s">
        <v>12</v>
      </c>
      <c r="N2421" s="2">
        <v>3159.01</v>
      </c>
      <c r="O2421" s="2">
        <v>0</v>
      </c>
      <c r="P2421" s="2">
        <v>-3159.01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</row>
    <row r="2422" spans="1:23" outlineLevel="2" x14ac:dyDescent="0.2">
      <c r="A2422" t="s">
        <v>999</v>
      </c>
      <c r="B2422" t="s">
        <v>39</v>
      </c>
      <c r="C2422" t="s">
        <v>58</v>
      </c>
      <c r="D2422" t="s">
        <v>59</v>
      </c>
      <c r="E2422" t="s">
        <v>60</v>
      </c>
      <c r="F2422" t="s">
        <v>1005</v>
      </c>
      <c r="G2422" t="s">
        <v>1006</v>
      </c>
      <c r="H2422" t="s">
        <v>1007</v>
      </c>
      <c r="I2422" t="s">
        <v>1008</v>
      </c>
      <c r="J2422" t="s">
        <v>1000</v>
      </c>
      <c r="K2422" t="s">
        <v>1017</v>
      </c>
      <c r="L2422" t="s">
        <v>1018</v>
      </c>
      <c r="M2422" t="s">
        <v>12</v>
      </c>
      <c r="N2422" s="2">
        <v>3158</v>
      </c>
      <c r="O2422" s="2">
        <v>0</v>
      </c>
      <c r="P2422" s="2">
        <v>-3158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</row>
    <row r="2423" spans="1:23" outlineLevel="2" x14ac:dyDescent="0.2">
      <c r="A2423" t="s">
        <v>999</v>
      </c>
      <c r="B2423" t="s">
        <v>39</v>
      </c>
      <c r="C2423" t="s">
        <v>58</v>
      </c>
      <c r="D2423" t="s">
        <v>59</v>
      </c>
      <c r="E2423" t="s">
        <v>60</v>
      </c>
      <c r="F2423" t="s">
        <v>1005</v>
      </c>
      <c r="G2423" t="s">
        <v>1006</v>
      </c>
      <c r="H2423" t="s">
        <v>1007</v>
      </c>
      <c r="I2423" t="s">
        <v>1008</v>
      </c>
      <c r="J2423" t="s">
        <v>1000</v>
      </c>
      <c r="K2423" t="s">
        <v>1019</v>
      </c>
      <c r="L2423" t="s">
        <v>1020</v>
      </c>
      <c r="M2423" t="s">
        <v>12</v>
      </c>
      <c r="N2423" s="2">
        <v>300</v>
      </c>
      <c r="O2423" s="2">
        <v>0</v>
      </c>
      <c r="P2423" s="2">
        <v>-300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</row>
    <row r="2424" spans="1:23" outlineLevel="2" x14ac:dyDescent="0.2">
      <c r="A2424" t="s">
        <v>999</v>
      </c>
      <c r="B2424" t="s">
        <v>39</v>
      </c>
      <c r="C2424" t="s">
        <v>58</v>
      </c>
      <c r="D2424" t="s">
        <v>143</v>
      </c>
      <c r="E2424" t="s">
        <v>144</v>
      </c>
      <c r="F2424" t="s">
        <v>1005</v>
      </c>
      <c r="G2424" t="s">
        <v>1006</v>
      </c>
      <c r="H2424" t="s">
        <v>1007</v>
      </c>
      <c r="I2424" t="s">
        <v>1008</v>
      </c>
      <c r="J2424" t="s">
        <v>1000</v>
      </c>
      <c r="K2424" t="s">
        <v>1019</v>
      </c>
      <c r="L2424" t="s">
        <v>1020</v>
      </c>
      <c r="M2424" t="s">
        <v>12</v>
      </c>
      <c r="N2424" s="2">
        <v>300</v>
      </c>
      <c r="O2424" s="2">
        <v>0</v>
      </c>
      <c r="P2424" s="2">
        <v>-300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</row>
    <row r="2425" spans="1:23" outlineLevel="2" x14ac:dyDescent="0.2">
      <c r="A2425" t="s">
        <v>999</v>
      </c>
      <c r="B2425" t="s">
        <v>39</v>
      </c>
      <c r="C2425" t="s">
        <v>58</v>
      </c>
      <c r="D2425" t="s">
        <v>143</v>
      </c>
      <c r="E2425" t="s">
        <v>144</v>
      </c>
      <c r="F2425" t="s">
        <v>1005</v>
      </c>
      <c r="G2425" t="s">
        <v>1006</v>
      </c>
      <c r="H2425" t="s">
        <v>1007</v>
      </c>
      <c r="I2425" t="s">
        <v>1008</v>
      </c>
      <c r="J2425" t="s">
        <v>1000</v>
      </c>
      <c r="K2425" t="s">
        <v>1021</v>
      </c>
      <c r="L2425" t="s">
        <v>1022</v>
      </c>
      <c r="M2425" t="s">
        <v>12</v>
      </c>
      <c r="N2425" s="2">
        <v>700</v>
      </c>
      <c r="O2425" s="2">
        <v>0</v>
      </c>
      <c r="P2425" s="2">
        <v>-700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</row>
    <row r="2426" spans="1:23" outlineLevel="2" x14ac:dyDescent="0.2">
      <c r="A2426" t="s">
        <v>999</v>
      </c>
      <c r="B2426" t="s">
        <v>39</v>
      </c>
      <c r="C2426" t="s">
        <v>58</v>
      </c>
      <c r="D2426" t="s">
        <v>59</v>
      </c>
      <c r="E2426" t="s">
        <v>60</v>
      </c>
      <c r="F2426" t="s">
        <v>1005</v>
      </c>
      <c r="G2426" t="s">
        <v>1006</v>
      </c>
      <c r="H2426" t="s">
        <v>1007</v>
      </c>
      <c r="I2426" t="s">
        <v>1008</v>
      </c>
      <c r="J2426" t="s">
        <v>1000</v>
      </c>
      <c r="K2426" t="s">
        <v>1021</v>
      </c>
      <c r="L2426" t="s">
        <v>1022</v>
      </c>
      <c r="M2426" t="s">
        <v>12</v>
      </c>
      <c r="N2426" s="2">
        <v>1000</v>
      </c>
      <c r="O2426" s="2">
        <v>0</v>
      </c>
      <c r="P2426" s="2">
        <v>-1000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</row>
    <row r="2427" spans="1:23" outlineLevel="2" x14ac:dyDescent="0.2">
      <c r="A2427" t="s">
        <v>999</v>
      </c>
      <c r="B2427" t="s">
        <v>39</v>
      </c>
      <c r="C2427" t="s">
        <v>58</v>
      </c>
      <c r="D2427" t="s">
        <v>143</v>
      </c>
      <c r="E2427" t="s">
        <v>144</v>
      </c>
      <c r="F2427" t="s">
        <v>1005</v>
      </c>
      <c r="G2427" t="s">
        <v>1006</v>
      </c>
      <c r="H2427" t="s">
        <v>1007</v>
      </c>
      <c r="I2427" t="s">
        <v>1008</v>
      </c>
      <c r="J2427" t="s">
        <v>1000</v>
      </c>
      <c r="K2427" t="s">
        <v>1023</v>
      </c>
      <c r="L2427" t="s">
        <v>1024</v>
      </c>
      <c r="M2427" t="s">
        <v>12</v>
      </c>
      <c r="N2427" s="2">
        <v>600</v>
      </c>
      <c r="O2427" s="2">
        <v>0</v>
      </c>
      <c r="P2427" s="2">
        <v>-600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</row>
    <row r="2428" spans="1:23" outlineLevel="2" x14ac:dyDescent="0.2">
      <c r="A2428" t="s">
        <v>999</v>
      </c>
      <c r="B2428" t="s">
        <v>39</v>
      </c>
      <c r="C2428" t="s">
        <v>58</v>
      </c>
      <c r="D2428" t="s">
        <v>59</v>
      </c>
      <c r="E2428" t="s">
        <v>60</v>
      </c>
      <c r="F2428" t="s">
        <v>1005</v>
      </c>
      <c r="G2428" t="s">
        <v>1006</v>
      </c>
      <c r="H2428" t="s">
        <v>1007</v>
      </c>
      <c r="I2428" t="s">
        <v>1008</v>
      </c>
      <c r="J2428" t="s">
        <v>1000</v>
      </c>
      <c r="K2428" t="s">
        <v>1023</v>
      </c>
      <c r="L2428" t="s">
        <v>1024</v>
      </c>
      <c r="M2428" t="s">
        <v>12</v>
      </c>
      <c r="N2428" s="2">
        <v>1000</v>
      </c>
      <c r="O2428" s="2">
        <v>0</v>
      </c>
      <c r="P2428" s="2">
        <v>-1000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</row>
    <row r="2429" spans="1:23" outlineLevel="2" x14ac:dyDescent="0.2">
      <c r="A2429" t="s">
        <v>999</v>
      </c>
      <c r="B2429" t="s">
        <v>39</v>
      </c>
      <c r="C2429" t="s">
        <v>95</v>
      </c>
      <c r="D2429" t="s">
        <v>96</v>
      </c>
      <c r="E2429" t="s">
        <v>97</v>
      </c>
      <c r="F2429" t="s">
        <v>1025</v>
      </c>
      <c r="G2429" t="s">
        <v>1026</v>
      </c>
      <c r="H2429" t="s">
        <v>1027</v>
      </c>
      <c r="I2429" t="s">
        <v>1028</v>
      </c>
      <c r="J2429" t="s">
        <v>1000</v>
      </c>
      <c r="K2429" t="s">
        <v>1029</v>
      </c>
      <c r="L2429" t="s">
        <v>1030</v>
      </c>
      <c r="M2429" t="s">
        <v>12</v>
      </c>
      <c r="N2429" s="2">
        <v>10000</v>
      </c>
      <c r="O2429" s="2">
        <v>0</v>
      </c>
      <c r="P2429" s="2">
        <v>-10000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</row>
    <row r="2430" spans="1:23" outlineLevel="2" x14ac:dyDescent="0.2">
      <c r="A2430" t="s">
        <v>999</v>
      </c>
      <c r="B2430" t="s">
        <v>39</v>
      </c>
      <c r="C2430" t="s">
        <v>95</v>
      </c>
      <c r="D2430" t="s">
        <v>96</v>
      </c>
      <c r="E2430" t="s">
        <v>97</v>
      </c>
      <c r="F2430" t="s">
        <v>1025</v>
      </c>
      <c r="G2430" t="s">
        <v>1026</v>
      </c>
      <c r="H2430" t="s">
        <v>1027</v>
      </c>
      <c r="I2430" t="s">
        <v>1028</v>
      </c>
      <c r="J2430" t="s">
        <v>1000</v>
      </c>
      <c r="K2430" t="s">
        <v>1031</v>
      </c>
      <c r="L2430" t="s">
        <v>1032</v>
      </c>
      <c r="M2430" t="s">
        <v>12</v>
      </c>
      <c r="N2430" s="2">
        <v>45000</v>
      </c>
      <c r="O2430" s="2">
        <v>0</v>
      </c>
      <c r="P2430" s="2">
        <v>-37000</v>
      </c>
      <c r="Q2430" s="2">
        <v>8000</v>
      </c>
      <c r="R2430" s="2">
        <v>0</v>
      </c>
      <c r="S2430" s="2">
        <v>0</v>
      </c>
      <c r="T2430" s="2">
        <v>0</v>
      </c>
      <c r="U2430" s="2">
        <v>8000</v>
      </c>
      <c r="V2430" s="2">
        <v>8000</v>
      </c>
      <c r="W2430" s="2">
        <v>8000</v>
      </c>
    </row>
    <row r="2431" spans="1:23" outlineLevel="2" x14ac:dyDescent="0.2">
      <c r="A2431" t="s">
        <v>999</v>
      </c>
      <c r="B2431" t="s">
        <v>39</v>
      </c>
      <c r="C2431" t="s">
        <v>95</v>
      </c>
      <c r="D2431" t="s">
        <v>96</v>
      </c>
      <c r="E2431" t="s">
        <v>97</v>
      </c>
      <c r="F2431" t="s">
        <v>1033</v>
      </c>
      <c r="G2431" t="s">
        <v>1034</v>
      </c>
      <c r="H2431" t="s">
        <v>1035</v>
      </c>
      <c r="I2431" t="s">
        <v>1036</v>
      </c>
      <c r="J2431" t="s">
        <v>1000</v>
      </c>
      <c r="K2431" t="s">
        <v>1037</v>
      </c>
      <c r="L2431" t="s">
        <v>1038</v>
      </c>
      <c r="M2431" t="s">
        <v>12</v>
      </c>
      <c r="N2431" s="2">
        <v>5000</v>
      </c>
      <c r="O2431" s="2">
        <v>0</v>
      </c>
      <c r="P2431" s="2">
        <v>-5000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</row>
    <row r="2432" spans="1:23" outlineLevel="2" x14ac:dyDescent="0.2">
      <c r="A2432" t="s">
        <v>999</v>
      </c>
      <c r="B2432" t="s">
        <v>39</v>
      </c>
      <c r="C2432" t="s">
        <v>95</v>
      </c>
      <c r="D2432" t="s">
        <v>96</v>
      </c>
      <c r="E2432" t="s">
        <v>97</v>
      </c>
      <c r="F2432" t="s">
        <v>1033</v>
      </c>
      <c r="G2432" t="s">
        <v>1034</v>
      </c>
      <c r="H2432" t="s">
        <v>1035</v>
      </c>
      <c r="I2432" t="s">
        <v>1036</v>
      </c>
      <c r="J2432" t="s">
        <v>1000</v>
      </c>
      <c r="K2432" t="s">
        <v>1039</v>
      </c>
      <c r="L2432" t="s">
        <v>1040</v>
      </c>
      <c r="M2432" t="s">
        <v>12</v>
      </c>
      <c r="N2432" s="2">
        <v>5000</v>
      </c>
      <c r="O2432" s="2">
        <v>0</v>
      </c>
      <c r="P2432" s="2">
        <v>-5000</v>
      </c>
      <c r="Q2432" s="2">
        <v>0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</row>
    <row r="2433" spans="1:23" outlineLevel="2" x14ac:dyDescent="0.2">
      <c r="A2433" t="s">
        <v>999</v>
      </c>
      <c r="B2433" t="s">
        <v>39</v>
      </c>
      <c r="C2433" t="s">
        <v>95</v>
      </c>
      <c r="D2433" t="s">
        <v>96</v>
      </c>
      <c r="E2433" t="s">
        <v>97</v>
      </c>
      <c r="F2433" t="s">
        <v>1033</v>
      </c>
      <c r="G2433" t="s">
        <v>1034</v>
      </c>
      <c r="H2433" t="s">
        <v>1035</v>
      </c>
      <c r="I2433" t="s">
        <v>1036</v>
      </c>
      <c r="J2433" t="s">
        <v>1000</v>
      </c>
      <c r="K2433" t="s">
        <v>1041</v>
      </c>
      <c r="L2433" t="s">
        <v>1042</v>
      </c>
      <c r="M2433" t="s">
        <v>12</v>
      </c>
      <c r="N2433" s="2">
        <v>28500</v>
      </c>
      <c r="O2433" s="2">
        <v>67500</v>
      </c>
      <c r="P2433" s="2">
        <v>0</v>
      </c>
      <c r="Q2433" s="2">
        <v>96000</v>
      </c>
      <c r="R2433" s="2">
        <v>0</v>
      </c>
      <c r="S2433" s="2">
        <v>0</v>
      </c>
      <c r="T2433" s="2">
        <v>0</v>
      </c>
      <c r="U2433" s="2">
        <v>96000</v>
      </c>
      <c r="V2433" s="2">
        <v>96000</v>
      </c>
      <c r="W2433" s="2">
        <v>96000</v>
      </c>
    </row>
    <row r="2434" spans="1:23" outlineLevel="2" x14ac:dyDescent="0.2">
      <c r="A2434" t="s">
        <v>999</v>
      </c>
      <c r="B2434" t="s">
        <v>39</v>
      </c>
      <c r="C2434" t="s">
        <v>95</v>
      </c>
      <c r="D2434" t="s">
        <v>96</v>
      </c>
      <c r="E2434" t="s">
        <v>97</v>
      </c>
      <c r="F2434" t="s">
        <v>1033</v>
      </c>
      <c r="G2434" t="s">
        <v>1034</v>
      </c>
      <c r="H2434" t="s">
        <v>1035</v>
      </c>
      <c r="I2434" t="s">
        <v>1036</v>
      </c>
      <c r="J2434" t="s">
        <v>1000</v>
      </c>
      <c r="K2434" t="s">
        <v>1043</v>
      </c>
      <c r="L2434" t="s">
        <v>1044</v>
      </c>
      <c r="M2434" t="s">
        <v>12</v>
      </c>
      <c r="N2434" s="2">
        <v>71000</v>
      </c>
      <c r="O2434" s="2">
        <v>-51000</v>
      </c>
      <c r="P2434" s="2">
        <v>-20000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</row>
    <row r="2435" spans="1:23" outlineLevel="2" x14ac:dyDescent="0.2">
      <c r="A2435" t="s">
        <v>999</v>
      </c>
      <c r="B2435" t="s">
        <v>39</v>
      </c>
      <c r="C2435" t="s">
        <v>95</v>
      </c>
      <c r="D2435" t="s">
        <v>96</v>
      </c>
      <c r="E2435" t="s">
        <v>97</v>
      </c>
      <c r="F2435" t="s">
        <v>1033</v>
      </c>
      <c r="G2435" t="s">
        <v>1034</v>
      </c>
      <c r="H2435" t="s">
        <v>1035</v>
      </c>
      <c r="I2435" t="s">
        <v>1036</v>
      </c>
      <c r="J2435" t="s">
        <v>1000</v>
      </c>
      <c r="K2435" t="s">
        <v>1045</v>
      </c>
      <c r="L2435" t="s">
        <v>1046</v>
      </c>
      <c r="M2435" t="s">
        <v>12</v>
      </c>
      <c r="N2435" s="2">
        <v>16500</v>
      </c>
      <c r="O2435" s="2">
        <v>-16500</v>
      </c>
      <c r="P2435" s="2">
        <v>0</v>
      </c>
      <c r="Q2435" s="2">
        <v>0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</row>
    <row r="2436" spans="1:23" outlineLevel="2" x14ac:dyDescent="0.2">
      <c r="A2436" t="s">
        <v>999</v>
      </c>
      <c r="B2436" t="s">
        <v>39</v>
      </c>
      <c r="C2436" t="s">
        <v>95</v>
      </c>
      <c r="D2436" t="s">
        <v>96</v>
      </c>
      <c r="E2436" t="s">
        <v>97</v>
      </c>
      <c r="F2436" t="s">
        <v>1047</v>
      </c>
      <c r="G2436" t="s">
        <v>1048</v>
      </c>
      <c r="H2436" t="s">
        <v>1049</v>
      </c>
      <c r="I2436" t="s">
        <v>1050</v>
      </c>
      <c r="J2436" t="s">
        <v>1000</v>
      </c>
      <c r="K2436" t="s">
        <v>1029</v>
      </c>
      <c r="L2436" t="s">
        <v>1051</v>
      </c>
      <c r="M2436" t="s">
        <v>12</v>
      </c>
      <c r="N2436" s="2">
        <v>22000</v>
      </c>
      <c r="O2436" s="2">
        <v>28000</v>
      </c>
      <c r="P2436" s="2">
        <v>0</v>
      </c>
      <c r="Q2436" s="2">
        <v>50000</v>
      </c>
      <c r="R2436" s="2">
        <v>0</v>
      </c>
      <c r="S2436" s="2">
        <v>0</v>
      </c>
      <c r="T2436" s="2">
        <v>0</v>
      </c>
      <c r="U2436" s="2">
        <v>50000</v>
      </c>
      <c r="V2436" s="2">
        <v>50000</v>
      </c>
      <c r="W2436" s="2">
        <v>50000</v>
      </c>
    </row>
    <row r="2437" spans="1:23" outlineLevel="2" x14ac:dyDescent="0.2">
      <c r="A2437" t="s">
        <v>999</v>
      </c>
      <c r="B2437" t="s">
        <v>39</v>
      </c>
      <c r="C2437" t="s">
        <v>95</v>
      </c>
      <c r="D2437" t="s">
        <v>96</v>
      </c>
      <c r="E2437" t="s">
        <v>97</v>
      </c>
      <c r="F2437" t="s">
        <v>1047</v>
      </c>
      <c r="G2437" t="s">
        <v>1048</v>
      </c>
      <c r="H2437" t="s">
        <v>1049</v>
      </c>
      <c r="I2437" t="s">
        <v>1050</v>
      </c>
      <c r="J2437" t="s">
        <v>1000</v>
      </c>
      <c r="K2437" t="s">
        <v>1031</v>
      </c>
      <c r="L2437" t="s">
        <v>1052</v>
      </c>
      <c r="M2437" t="s">
        <v>12</v>
      </c>
      <c r="N2437" s="2">
        <v>15000</v>
      </c>
      <c r="O2437" s="2">
        <v>-15000</v>
      </c>
      <c r="P2437" s="2">
        <v>0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</row>
    <row r="2438" spans="1:23" outlineLevel="2" x14ac:dyDescent="0.2">
      <c r="A2438" t="s">
        <v>999</v>
      </c>
      <c r="B2438" t="s">
        <v>39</v>
      </c>
      <c r="C2438" t="s">
        <v>95</v>
      </c>
      <c r="D2438" t="s">
        <v>96</v>
      </c>
      <c r="E2438" t="s">
        <v>97</v>
      </c>
      <c r="F2438" t="s">
        <v>1053</v>
      </c>
      <c r="G2438" t="s">
        <v>1054</v>
      </c>
      <c r="H2438" t="s">
        <v>1055</v>
      </c>
      <c r="I2438" t="s">
        <v>1056</v>
      </c>
      <c r="J2438" t="s">
        <v>1000</v>
      </c>
      <c r="K2438" t="s">
        <v>1037</v>
      </c>
      <c r="L2438" t="s">
        <v>1057</v>
      </c>
      <c r="M2438" t="s">
        <v>12</v>
      </c>
      <c r="N2438" s="2">
        <v>30000</v>
      </c>
      <c r="O2438" s="2">
        <v>0</v>
      </c>
      <c r="P2438" s="2">
        <v>0</v>
      </c>
      <c r="Q2438" s="2">
        <v>30000</v>
      </c>
      <c r="R2438" s="2">
        <v>0</v>
      </c>
      <c r="S2438" s="2">
        <v>0</v>
      </c>
      <c r="T2438" s="2">
        <v>0</v>
      </c>
      <c r="U2438" s="2">
        <v>30000</v>
      </c>
      <c r="V2438" s="2">
        <v>30000</v>
      </c>
      <c r="W2438" s="2">
        <v>30000</v>
      </c>
    </row>
    <row r="2439" spans="1:23" outlineLevel="2" x14ac:dyDescent="0.2">
      <c r="A2439" t="s">
        <v>999</v>
      </c>
      <c r="B2439" t="s">
        <v>39</v>
      </c>
      <c r="C2439" t="s">
        <v>95</v>
      </c>
      <c r="D2439" t="s">
        <v>96</v>
      </c>
      <c r="E2439" t="s">
        <v>97</v>
      </c>
      <c r="F2439" t="s">
        <v>1053</v>
      </c>
      <c r="G2439" t="s">
        <v>1054</v>
      </c>
      <c r="H2439" t="s">
        <v>1055</v>
      </c>
      <c r="I2439" t="s">
        <v>1056</v>
      </c>
      <c r="J2439" t="s">
        <v>1000</v>
      </c>
      <c r="K2439" t="s">
        <v>1058</v>
      </c>
      <c r="L2439" t="s">
        <v>1059</v>
      </c>
      <c r="M2439" t="s">
        <v>12</v>
      </c>
      <c r="N2439" s="2">
        <v>5000</v>
      </c>
      <c r="O2439" s="2">
        <v>0</v>
      </c>
      <c r="P2439" s="2">
        <v>-5000</v>
      </c>
      <c r="Q2439" s="2">
        <v>0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</row>
    <row r="2440" spans="1:23" outlineLevel="2" x14ac:dyDescent="0.2">
      <c r="A2440" t="s">
        <v>999</v>
      </c>
      <c r="B2440" t="s">
        <v>39</v>
      </c>
      <c r="C2440" t="s">
        <v>95</v>
      </c>
      <c r="D2440" t="s">
        <v>96</v>
      </c>
      <c r="E2440" t="s">
        <v>97</v>
      </c>
      <c r="F2440" t="s">
        <v>1053</v>
      </c>
      <c r="G2440" t="s">
        <v>1054</v>
      </c>
      <c r="H2440" t="s">
        <v>1055</v>
      </c>
      <c r="I2440" t="s">
        <v>1056</v>
      </c>
      <c r="J2440" t="s">
        <v>1000</v>
      </c>
      <c r="K2440" t="s">
        <v>1041</v>
      </c>
      <c r="L2440" t="s">
        <v>1060</v>
      </c>
      <c r="M2440" t="s">
        <v>12</v>
      </c>
      <c r="N2440" s="2">
        <v>267000</v>
      </c>
      <c r="O2440" s="2">
        <v>0</v>
      </c>
      <c r="P2440" s="2">
        <v>0</v>
      </c>
      <c r="Q2440" s="2">
        <v>267000</v>
      </c>
      <c r="R2440" s="2">
        <v>0</v>
      </c>
      <c r="S2440" s="2">
        <v>0</v>
      </c>
      <c r="T2440" s="2">
        <v>0</v>
      </c>
      <c r="U2440" s="2">
        <v>267000</v>
      </c>
      <c r="V2440" s="2">
        <v>267000</v>
      </c>
      <c r="W2440" s="2">
        <v>267000</v>
      </c>
    </row>
    <row r="2441" spans="1:23" outlineLevel="2" x14ac:dyDescent="0.2">
      <c r="A2441" t="s">
        <v>999</v>
      </c>
      <c r="B2441" t="s">
        <v>39</v>
      </c>
      <c r="C2441" t="s">
        <v>95</v>
      </c>
      <c r="D2441" t="s">
        <v>96</v>
      </c>
      <c r="E2441" t="s">
        <v>97</v>
      </c>
      <c r="F2441" t="s">
        <v>1053</v>
      </c>
      <c r="G2441" t="s">
        <v>1054</v>
      </c>
      <c r="H2441" t="s">
        <v>1055</v>
      </c>
      <c r="I2441" t="s">
        <v>1056</v>
      </c>
      <c r="J2441" t="s">
        <v>1000</v>
      </c>
      <c r="K2441" t="s">
        <v>1061</v>
      </c>
      <c r="L2441" t="s">
        <v>1062</v>
      </c>
      <c r="M2441" t="s">
        <v>12</v>
      </c>
      <c r="N2441" s="2">
        <v>3570</v>
      </c>
      <c r="O2441" s="2">
        <v>0</v>
      </c>
      <c r="P2441" s="2">
        <v>0</v>
      </c>
      <c r="Q2441" s="2">
        <v>3570</v>
      </c>
      <c r="R2441" s="2">
        <v>0</v>
      </c>
      <c r="S2441" s="2">
        <v>0</v>
      </c>
      <c r="T2441" s="2">
        <v>0</v>
      </c>
      <c r="U2441" s="2">
        <v>3570</v>
      </c>
      <c r="V2441" s="2">
        <v>3570</v>
      </c>
      <c r="W2441" s="2">
        <v>3570</v>
      </c>
    </row>
    <row r="2442" spans="1:23" outlineLevel="2" x14ac:dyDescent="0.2">
      <c r="A2442" t="s">
        <v>999</v>
      </c>
      <c r="B2442" t="s">
        <v>39</v>
      </c>
      <c r="C2442" t="s">
        <v>95</v>
      </c>
      <c r="D2442" t="s">
        <v>96</v>
      </c>
      <c r="E2442" t="s">
        <v>97</v>
      </c>
      <c r="F2442" t="s">
        <v>1053</v>
      </c>
      <c r="G2442" t="s">
        <v>1054</v>
      </c>
      <c r="H2442" t="s">
        <v>1055</v>
      </c>
      <c r="I2442" t="s">
        <v>1056</v>
      </c>
      <c r="J2442" t="s">
        <v>1000</v>
      </c>
      <c r="K2442" t="s">
        <v>1023</v>
      </c>
      <c r="L2442" t="s">
        <v>1063</v>
      </c>
      <c r="M2442" t="s">
        <v>12</v>
      </c>
      <c r="N2442" s="2">
        <v>1430</v>
      </c>
      <c r="O2442" s="2">
        <v>0</v>
      </c>
      <c r="P2442" s="2">
        <v>0</v>
      </c>
      <c r="Q2442" s="2">
        <v>1430</v>
      </c>
      <c r="R2442" s="2">
        <v>0</v>
      </c>
      <c r="S2442" s="2">
        <v>0</v>
      </c>
      <c r="T2442" s="2">
        <v>0</v>
      </c>
      <c r="U2442" s="2">
        <v>1430</v>
      </c>
      <c r="V2442" s="2">
        <v>1430</v>
      </c>
      <c r="W2442" s="2">
        <v>1430</v>
      </c>
    </row>
    <row r="2443" spans="1:23" outlineLevel="2" x14ac:dyDescent="0.2">
      <c r="A2443" t="s">
        <v>999</v>
      </c>
      <c r="B2443" t="s">
        <v>39</v>
      </c>
      <c r="C2443" t="s">
        <v>58</v>
      </c>
      <c r="D2443" t="s">
        <v>149</v>
      </c>
      <c r="E2443" t="s">
        <v>150</v>
      </c>
      <c r="F2443" t="s">
        <v>837</v>
      </c>
      <c r="G2443" t="s">
        <v>838</v>
      </c>
      <c r="H2443" t="s">
        <v>1064</v>
      </c>
      <c r="I2443" t="s">
        <v>1065</v>
      </c>
      <c r="J2443" t="s">
        <v>1000</v>
      </c>
      <c r="K2443" t="s">
        <v>1037</v>
      </c>
      <c r="L2443" t="s">
        <v>1066</v>
      </c>
      <c r="M2443" t="s">
        <v>12</v>
      </c>
      <c r="N2443" s="2">
        <v>12262.5</v>
      </c>
      <c r="O2443" s="2">
        <v>11114.76</v>
      </c>
      <c r="P2443" s="2">
        <v>-10000</v>
      </c>
      <c r="Q2443" s="2">
        <v>13377.26</v>
      </c>
      <c r="R2443" s="2">
        <v>0</v>
      </c>
      <c r="S2443" s="2">
        <v>13377.26</v>
      </c>
      <c r="T2443" s="2">
        <v>10422.700000000001</v>
      </c>
      <c r="U2443" s="2">
        <v>0</v>
      </c>
      <c r="V2443" s="2">
        <v>2954.56</v>
      </c>
      <c r="W2443" s="2">
        <v>0</v>
      </c>
    </row>
    <row r="2444" spans="1:23" outlineLevel="2" x14ac:dyDescent="0.2">
      <c r="A2444" t="s">
        <v>999</v>
      </c>
      <c r="B2444" t="s">
        <v>39</v>
      </c>
      <c r="C2444" t="s">
        <v>58</v>
      </c>
      <c r="D2444" t="s">
        <v>145</v>
      </c>
      <c r="E2444" t="s">
        <v>146</v>
      </c>
      <c r="F2444" t="s">
        <v>837</v>
      </c>
      <c r="G2444" t="s">
        <v>838</v>
      </c>
      <c r="H2444" t="s">
        <v>1064</v>
      </c>
      <c r="I2444" t="s">
        <v>1065</v>
      </c>
      <c r="J2444" t="s">
        <v>1000</v>
      </c>
      <c r="K2444" t="s">
        <v>1037</v>
      </c>
      <c r="L2444" t="s">
        <v>1066</v>
      </c>
      <c r="M2444" t="s">
        <v>12</v>
      </c>
      <c r="N2444" s="2">
        <v>7860</v>
      </c>
      <c r="O2444" s="2">
        <v>0</v>
      </c>
      <c r="P2444" s="2">
        <v>-7860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</row>
    <row r="2445" spans="1:23" outlineLevel="2" x14ac:dyDescent="0.2">
      <c r="A2445" t="s">
        <v>999</v>
      </c>
      <c r="B2445" t="s">
        <v>39</v>
      </c>
      <c r="C2445" t="s">
        <v>58</v>
      </c>
      <c r="D2445" t="s">
        <v>149</v>
      </c>
      <c r="E2445" t="s">
        <v>150</v>
      </c>
      <c r="F2445" t="s">
        <v>837</v>
      </c>
      <c r="G2445" t="s">
        <v>838</v>
      </c>
      <c r="H2445" t="s">
        <v>1064</v>
      </c>
      <c r="I2445" t="s">
        <v>1065</v>
      </c>
      <c r="J2445" t="s">
        <v>1000</v>
      </c>
      <c r="K2445" t="s">
        <v>1039</v>
      </c>
      <c r="L2445" t="s">
        <v>1067</v>
      </c>
      <c r="M2445" t="s">
        <v>12</v>
      </c>
      <c r="N2445" s="2">
        <v>79526.759999999995</v>
      </c>
      <c r="O2445" s="2">
        <v>-11602.11</v>
      </c>
      <c r="P2445" s="2">
        <v>-7548.65</v>
      </c>
      <c r="Q2445" s="2">
        <v>60376</v>
      </c>
      <c r="R2445" s="2">
        <v>0</v>
      </c>
      <c r="S2445" s="2">
        <v>60376</v>
      </c>
      <c r="T2445" s="2">
        <v>33376</v>
      </c>
      <c r="U2445" s="2">
        <v>0</v>
      </c>
      <c r="V2445" s="2">
        <v>27000</v>
      </c>
      <c r="W2445" s="2">
        <v>0</v>
      </c>
    </row>
    <row r="2446" spans="1:23" outlineLevel="2" x14ac:dyDescent="0.2">
      <c r="A2446" t="s">
        <v>999</v>
      </c>
      <c r="B2446" t="s">
        <v>39</v>
      </c>
      <c r="C2446" t="s">
        <v>58</v>
      </c>
      <c r="D2446" t="s">
        <v>145</v>
      </c>
      <c r="E2446" t="s">
        <v>146</v>
      </c>
      <c r="F2446" t="s">
        <v>837</v>
      </c>
      <c r="G2446" t="s">
        <v>838</v>
      </c>
      <c r="H2446" t="s">
        <v>1064</v>
      </c>
      <c r="I2446" t="s">
        <v>1065</v>
      </c>
      <c r="J2446" t="s">
        <v>1000</v>
      </c>
      <c r="K2446" t="s">
        <v>1039</v>
      </c>
      <c r="L2446" t="s">
        <v>1067</v>
      </c>
      <c r="M2446" t="s">
        <v>12</v>
      </c>
      <c r="N2446" s="2">
        <v>58766</v>
      </c>
      <c r="O2446" s="2">
        <v>1624</v>
      </c>
      <c r="P2446" s="2">
        <v>-60390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</row>
    <row r="2447" spans="1:23" outlineLevel="2" x14ac:dyDescent="0.2">
      <c r="A2447" t="s">
        <v>999</v>
      </c>
      <c r="B2447" t="s">
        <v>39</v>
      </c>
      <c r="C2447" t="s">
        <v>58</v>
      </c>
      <c r="D2447" t="s">
        <v>143</v>
      </c>
      <c r="E2447" t="s">
        <v>144</v>
      </c>
      <c r="F2447" t="s">
        <v>837</v>
      </c>
      <c r="G2447" t="s">
        <v>838</v>
      </c>
      <c r="H2447" t="s">
        <v>1064</v>
      </c>
      <c r="I2447" t="s">
        <v>1065</v>
      </c>
      <c r="J2447" t="s">
        <v>1000</v>
      </c>
      <c r="K2447" t="s">
        <v>1039</v>
      </c>
      <c r="L2447" t="s">
        <v>1067</v>
      </c>
      <c r="M2447" t="s">
        <v>12</v>
      </c>
      <c r="N2447" s="2">
        <v>125141.75</v>
      </c>
      <c r="O2447" s="2">
        <v>0</v>
      </c>
      <c r="P2447" s="2">
        <v>-125141.75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</row>
    <row r="2448" spans="1:23" outlineLevel="2" x14ac:dyDescent="0.2">
      <c r="A2448" t="s">
        <v>999</v>
      </c>
      <c r="B2448" t="s">
        <v>39</v>
      </c>
      <c r="C2448" t="s">
        <v>58</v>
      </c>
      <c r="D2448" t="s">
        <v>139</v>
      </c>
      <c r="E2448" t="s">
        <v>140</v>
      </c>
      <c r="F2448" t="s">
        <v>837</v>
      </c>
      <c r="G2448" t="s">
        <v>838</v>
      </c>
      <c r="H2448" t="s">
        <v>1064</v>
      </c>
      <c r="I2448" t="s">
        <v>1065</v>
      </c>
      <c r="J2448" t="s">
        <v>1000</v>
      </c>
      <c r="K2448" t="s">
        <v>1039</v>
      </c>
      <c r="L2448" t="s">
        <v>1067</v>
      </c>
      <c r="M2448" t="s">
        <v>12</v>
      </c>
      <c r="N2448" s="2">
        <v>5000</v>
      </c>
      <c r="O2448" s="2">
        <v>0</v>
      </c>
      <c r="P2448" s="2">
        <v>-5000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</row>
    <row r="2449" spans="1:23" outlineLevel="2" x14ac:dyDescent="0.2">
      <c r="A2449" t="s">
        <v>999</v>
      </c>
      <c r="B2449" t="s">
        <v>39</v>
      </c>
      <c r="C2449" t="s">
        <v>58</v>
      </c>
      <c r="D2449" t="s">
        <v>145</v>
      </c>
      <c r="E2449" t="s">
        <v>146</v>
      </c>
      <c r="F2449" t="s">
        <v>837</v>
      </c>
      <c r="G2449" t="s">
        <v>838</v>
      </c>
      <c r="H2449" t="s">
        <v>1064</v>
      </c>
      <c r="I2449" t="s">
        <v>1065</v>
      </c>
      <c r="J2449" t="s">
        <v>1000</v>
      </c>
      <c r="K2449" t="s">
        <v>1068</v>
      </c>
      <c r="L2449" t="s">
        <v>1069</v>
      </c>
      <c r="M2449" t="s">
        <v>12</v>
      </c>
      <c r="N2449" s="2">
        <v>6368</v>
      </c>
      <c r="O2449" s="2">
        <v>560</v>
      </c>
      <c r="P2449" s="2">
        <v>-6928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</row>
    <row r="2450" spans="1:23" outlineLevel="2" x14ac:dyDescent="0.2">
      <c r="A2450" t="s">
        <v>999</v>
      </c>
      <c r="B2450" t="s">
        <v>39</v>
      </c>
      <c r="C2450" t="s">
        <v>58</v>
      </c>
      <c r="D2450" t="s">
        <v>149</v>
      </c>
      <c r="E2450" t="s">
        <v>150</v>
      </c>
      <c r="F2450" t="s">
        <v>837</v>
      </c>
      <c r="G2450" t="s">
        <v>838</v>
      </c>
      <c r="H2450" t="s">
        <v>1064</v>
      </c>
      <c r="I2450" t="s">
        <v>1065</v>
      </c>
      <c r="J2450" t="s">
        <v>1000</v>
      </c>
      <c r="K2450" t="s">
        <v>1043</v>
      </c>
      <c r="L2450" t="s">
        <v>1070</v>
      </c>
      <c r="M2450" t="s">
        <v>12</v>
      </c>
      <c r="N2450" s="2">
        <v>37618.75</v>
      </c>
      <c r="O2450" s="2">
        <v>0</v>
      </c>
      <c r="P2450" s="2">
        <v>0</v>
      </c>
      <c r="Q2450" s="2">
        <v>37618.75</v>
      </c>
      <c r="R2450" s="2">
        <v>0</v>
      </c>
      <c r="S2450" s="2">
        <v>21618.76</v>
      </c>
      <c r="T2450" s="2">
        <v>21618.76</v>
      </c>
      <c r="U2450" s="2">
        <v>15999.99</v>
      </c>
      <c r="V2450" s="2">
        <v>15999.99</v>
      </c>
      <c r="W2450" s="2">
        <v>15999.99</v>
      </c>
    </row>
    <row r="2451" spans="1:23" outlineLevel="2" x14ac:dyDescent="0.2">
      <c r="A2451" t="s">
        <v>999</v>
      </c>
      <c r="B2451" t="s">
        <v>39</v>
      </c>
      <c r="C2451" t="s">
        <v>58</v>
      </c>
      <c r="D2451" t="s">
        <v>149</v>
      </c>
      <c r="E2451" t="s">
        <v>150</v>
      </c>
      <c r="F2451" t="s">
        <v>837</v>
      </c>
      <c r="G2451" t="s">
        <v>838</v>
      </c>
      <c r="H2451" t="s">
        <v>1064</v>
      </c>
      <c r="I2451" t="s">
        <v>1065</v>
      </c>
      <c r="J2451" t="s">
        <v>1000</v>
      </c>
      <c r="K2451" t="s">
        <v>1043</v>
      </c>
      <c r="L2451" t="s">
        <v>1070</v>
      </c>
      <c r="M2451" t="s">
        <v>15</v>
      </c>
      <c r="N2451" s="2">
        <v>0</v>
      </c>
      <c r="O2451" s="2">
        <v>36031.24</v>
      </c>
      <c r="P2451" s="2">
        <v>0</v>
      </c>
      <c r="Q2451" s="2">
        <v>36031.24</v>
      </c>
      <c r="R2451" s="2">
        <v>0</v>
      </c>
      <c r="S2451" s="2">
        <v>36031.24</v>
      </c>
      <c r="T2451" s="2">
        <v>36031.24</v>
      </c>
      <c r="U2451" s="2">
        <v>0</v>
      </c>
      <c r="V2451" s="2">
        <v>0</v>
      </c>
      <c r="W2451" s="2">
        <v>0</v>
      </c>
    </row>
    <row r="2452" spans="1:23" outlineLevel="2" x14ac:dyDescent="0.2">
      <c r="A2452" t="s">
        <v>999</v>
      </c>
      <c r="B2452" t="s">
        <v>39</v>
      </c>
      <c r="C2452" t="s">
        <v>58</v>
      </c>
      <c r="D2452" t="s">
        <v>143</v>
      </c>
      <c r="E2452" t="s">
        <v>144</v>
      </c>
      <c r="F2452" t="s">
        <v>837</v>
      </c>
      <c r="G2452" t="s">
        <v>838</v>
      </c>
      <c r="H2452" t="s">
        <v>1064</v>
      </c>
      <c r="I2452" t="s">
        <v>1065</v>
      </c>
      <c r="J2452" t="s">
        <v>1000</v>
      </c>
      <c r="K2452" t="s">
        <v>1043</v>
      </c>
      <c r="L2452" t="s">
        <v>1070</v>
      </c>
      <c r="M2452" t="s">
        <v>12</v>
      </c>
      <c r="N2452" s="2">
        <v>235978.45</v>
      </c>
      <c r="O2452" s="2">
        <v>0</v>
      </c>
      <c r="P2452" s="2">
        <v>-235978.45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</row>
    <row r="2453" spans="1:23" outlineLevel="2" x14ac:dyDescent="0.2">
      <c r="A2453" t="s">
        <v>999</v>
      </c>
      <c r="B2453" t="s">
        <v>39</v>
      </c>
      <c r="C2453" t="s">
        <v>58</v>
      </c>
      <c r="D2453" t="s">
        <v>143</v>
      </c>
      <c r="E2453" t="s">
        <v>144</v>
      </c>
      <c r="F2453" t="s">
        <v>837</v>
      </c>
      <c r="G2453" t="s">
        <v>838</v>
      </c>
      <c r="H2453" t="s">
        <v>1064</v>
      </c>
      <c r="I2453" t="s">
        <v>1065</v>
      </c>
      <c r="J2453" t="s">
        <v>1000</v>
      </c>
      <c r="K2453" t="s">
        <v>1071</v>
      </c>
      <c r="L2453" t="s">
        <v>1072</v>
      </c>
      <c r="M2453" t="s">
        <v>12</v>
      </c>
      <c r="N2453" s="2">
        <v>0</v>
      </c>
      <c r="O2453" s="2">
        <v>149381.75</v>
      </c>
      <c r="P2453" s="2">
        <v>-93381.75</v>
      </c>
      <c r="Q2453" s="2">
        <v>56000</v>
      </c>
      <c r="R2453" s="2">
        <v>7937.37</v>
      </c>
      <c r="S2453" s="2">
        <v>47191.14</v>
      </c>
      <c r="T2453" s="2">
        <v>0</v>
      </c>
      <c r="U2453" s="2">
        <v>8808.86</v>
      </c>
      <c r="V2453" s="2">
        <v>56000</v>
      </c>
      <c r="W2453" s="2">
        <v>871.49</v>
      </c>
    </row>
    <row r="2454" spans="1:23" outlineLevel="2" x14ac:dyDescent="0.2">
      <c r="A2454" t="s">
        <v>999</v>
      </c>
      <c r="B2454" t="s">
        <v>39</v>
      </c>
      <c r="C2454" t="s">
        <v>58</v>
      </c>
      <c r="D2454" t="s">
        <v>149</v>
      </c>
      <c r="E2454" t="s">
        <v>150</v>
      </c>
      <c r="F2454" t="s">
        <v>837</v>
      </c>
      <c r="G2454" t="s">
        <v>838</v>
      </c>
      <c r="H2454" t="s">
        <v>1064</v>
      </c>
      <c r="I2454" t="s">
        <v>1065</v>
      </c>
      <c r="J2454" t="s">
        <v>1000</v>
      </c>
      <c r="K2454" t="s">
        <v>1011</v>
      </c>
      <c r="L2454" t="s">
        <v>1073</v>
      </c>
      <c r="M2454" t="s">
        <v>12</v>
      </c>
      <c r="N2454" s="2">
        <v>3500</v>
      </c>
      <c r="O2454" s="2">
        <v>-2000</v>
      </c>
      <c r="P2454" s="2">
        <v>-1500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</row>
    <row r="2455" spans="1:23" outlineLevel="2" x14ac:dyDescent="0.2">
      <c r="A2455" t="s">
        <v>999</v>
      </c>
      <c r="B2455" t="s">
        <v>39</v>
      </c>
      <c r="C2455" t="s">
        <v>58</v>
      </c>
      <c r="D2455" t="s">
        <v>145</v>
      </c>
      <c r="E2455" t="s">
        <v>146</v>
      </c>
      <c r="F2455" t="s">
        <v>837</v>
      </c>
      <c r="G2455" t="s">
        <v>838</v>
      </c>
      <c r="H2455" t="s">
        <v>1064</v>
      </c>
      <c r="I2455" t="s">
        <v>1065</v>
      </c>
      <c r="J2455" t="s">
        <v>1000</v>
      </c>
      <c r="K2455" t="s">
        <v>1011</v>
      </c>
      <c r="L2455" t="s">
        <v>1073</v>
      </c>
      <c r="M2455" t="s">
        <v>12</v>
      </c>
      <c r="N2455" s="2">
        <v>9532</v>
      </c>
      <c r="O2455" s="2">
        <v>0</v>
      </c>
      <c r="P2455" s="2">
        <v>-9532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</row>
    <row r="2456" spans="1:23" outlineLevel="2" x14ac:dyDescent="0.2">
      <c r="A2456" t="s">
        <v>999</v>
      </c>
      <c r="B2456" t="s">
        <v>39</v>
      </c>
      <c r="C2456" t="s">
        <v>58</v>
      </c>
      <c r="D2456" t="s">
        <v>139</v>
      </c>
      <c r="E2456" t="s">
        <v>140</v>
      </c>
      <c r="F2456" t="s">
        <v>837</v>
      </c>
      <c r="G2456" t="s">
        <v>838</v>
      </c>
      <c r="H2456" t="s">
        <v>1064</v>
      </c>
      <c r="I2456" t="s">
        <v>1065</v>
      </c>
      <c r="J2456" t="s">
        <v>1000</v>
      </c>
      <c r="K2456" t="s">
        <v>1074</v>
      </c>
      <c r="L2456" t="s">
        <v>1075</v>
      </c>
      <c r="M2456" t="s">
        <v>12</v>
      </c>
      <c r="N2456" s="2">
        <v>63199.360000000001</v>
      </c>
      <c r="O2456" s="2">
        <v>-11331.6</v>
      </c>
      <c r="P2456" s="2">
        <v>-51867.76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</row>
    <row r="2457" spans="1:23" outlineLevel="2" x14ac:dyDescent="0.2">
      <c r="A2457" t="s">
        <v>999</v>
      </c>
      <c r="B2457" t="s">
        <v>39</v>
      </c>
      <c r="C2457" t="s">
        <v>58</v>
      </c>
      <c r="D2457" t="s">
        <v>149</v>
      </c>
      <c r="E2457" t="s">
        <v>150</v>
      </c>
      <c r="F2457" t="s">
        <v>837</v>
      </c>
      <c r="G2457" t="s">
        <v>838</v>
      </c>
      <c r="H2457" t="s">
        <v>1064</v>
      </c>
      <c r="I2457" t="s">
        <v>1065</v>
      </c>
      <c r="J2457" t="s">
        <v>1000</v>
      </c>
      <c r="K2457" t="s">
        <v>1015</v>
      </c>
      <c r="L2457" t="s">
        <v>1076</v>
      </c>
      <c r="M2457" t="s">
        <v>15</v>
      </c>
      <c r="N2457" s="2">
        <v>0</v>
      </c>
      <c r="O2457" s="2">
        <v>15812.51</v>
      </c>
      <c r="P2457" s="2">
        <v>-0.01</v>
      </c>
      <c r="Q2457" s="2">
        <v>15812.5</v>
      </c>
      <c r="R2457" s="2">
        <v>0</v>
      </c>
      <c r="S2457" s="2">
        <v>15812.5</v>
      </c>
      <c r="T2457" s="2">
        <v>15812.5</v>
      </c>
      <c r="U2457" s="2">
        <v>0</v>
      </c>
      <c r="V2457" s="2">
        <v>0</v>
      </c>
      <c r="W2457" s="2">
        <v>0</v>
      </c>
    </row>
    <row r="2458" spans="1:23" outlineLevel="2" x14ac:dyDescent="0.2">
      <c r="A2458" t="s">
        <v>999</v>
      </c>
      <c r="B2458" t="s">
        <v>39</v>
      </c>
      <c r="C2458" t="s">
        <v>58</v>
      </c>
      <c r="D2458" t="s">
        <v>143</v>
      </c>
      <c r="E2458" t="s">
        <v>144</v>
      </c>
      <c r="F2458" t="s">
        <v>837</v>
      </c>
      <c r="G2458" t="s">
        <v>838</v>
      </c>
      <c r="H2458" t="s">
        <v>1064</v>
      </c>
      <c r="I2458" t="s">
        <v>1065</v>
      </c>
      <c r="J2458" t="s">
        <v>1000</v>
      </c>
      <c r="K2458" t="s">
        <v>1015</v>
      </c>
      <c r="L2458" t="s">
        <v>1076</v>
      </c>
      <c r="M2458" t="s">
        <v>12</v>
      </c>
      <c r="N2458" s="2">
        <v>0</v>
      </c>
      <c r="O2458" s="2">
        <v>18232</v>
      </c>
      <c r="P2458" s="2">
        <v>-18232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</row>
    <row r="2459" spans="1:23" outlineLevel="2" x14ac:dyDescent="0.2">
      <c r="A2459" t="s">
        <v>999</v>
      </c>
      <c r="B2459" t="s">
        <v>39</v>
      </c>
      <c r="C2459" t="s">
        <v>58</v>
      </c>
      <c r="D2459" t="s">
        <v>149</v>
      </c>
      <c r="E2459" t="s">
        <v>150</v>
      </c>
      <c r="F2459" t="s">
        <v>837</v>
      </c>
      <c r="G2459" t="s">
        <v>838</v>
      </c>
      <c r="H2459" t="s">
        <v>1064</v>
      </c>
      <c r="I2459" t="s">
        <v>1065</v>
      </c>
      <c r="J2459" t="s">
        <v>1000</v>
      </c>
      <c r="K2459" t="s">
        <v>1015</v>
      </c>
      <c r="L2459" t="s">
        <v>1076</v>
      </c>
      <c r="M2459" t="s">
        <v>12</v>
      </c>
      <c r="N2459" s="2">
        <v>14005.36</v>
      </c>
      <c r="O2459" s="2">
        <v>0</v>
      </c>
      <c r="P2459" s="2">
        <v>0.01</v>
      </c>
      <c r="Q2459" s="2">
        <v>14005.37</v>
      </c>
      <c r="R2459" s="2">
        <v>0.01</v>
      </c>
      <c r="S2459" s="2">
        <v>9487.49</v>
      </c>
      <c r="T2459" s="2">
        <v>9487.49</v>
      </c>
      <c r="U2459" s="2">
        <v>4517.88</v>
      </c>
      <c r="V2459" s="2">
        <v>4517.88</v>
      </c>
      <c r="W2459" s="2">
        <v>4517.87</v>
      </c>
    </row>
    <row r="2460" spans="1:23" outlineLevel="2" x14ac:dyDescent="0.2">
      <c r="A2460" t="s">
        <v>999</v>
      </c>
      <c r="B2460" t="s">
        <v>39</v>
      </c>
      <c r="C2460" t="s">
        <v>58</v>
      </c>
      <c r="D2460" t="s">
        <v>135</v>
      </c>
      <c r="E2460" t="s">
        <v>136</v>
      </c>
      <c r="F2460" t="s">
        <v>837</v>
      </c>
      <c r="G2460" t="s">
        <v>838</v>
      </c>
      <c r="H2460" t="s">
        <v>1064</v>
      </c>
      <c r="I2460" t="s">
        <v>1065</v>
      </c>
      <c r="J2460" t="s">
        <v>1000</v>
      </c>
      <c r="K2460" t="s">
        <v>1015</v>
      </c>
      <c r="L2460" t="s">
        <v>1076</v>
      </c>
      <c r="M2460" t="s">
        <v>12</v>
      </c>
      <c r="N2460" s="2">
        <v>53420.66</v>
      </c>
      <c r="O2460" s="2">
        <v>-2399.89</v>
      </c>
      <c r="P2460" s="2">
        <v>0</v>
      </c>
      <c r="Q2460" s="2">
        <v>51020.77</v>
      </c>
      <c r="R2460" s="2">
        <v>0</v>
      </c>
      <c r="S2460" s="2">
        <v>49690.03</v>
      </c>
      <c r="T2460" s="2">
        <v>49690.03</v>
      </c>
      <c r="U2460" s="2">
        <v>1330.74</v>
      </c>
      <c r="V2460" s="2">
        <v>1330.74</v>
      </c>
      <c r="W2460" s="2">
        <v>1330.74</v>
      </c>
    </row>
    <row r="2461" spans="1:23" outlineLevel="2" x14ac:dyDescent="0.2">
      <c r="A2461" t="s">
        <v>999</v>
      </c>
      <c r="B2461" t="s">
        <v>39</v>
      </c>
      <c r="C2461" t="s">
        <v>58</v>
      </c>
      <c r="D2461" t="s">
        <v>145</v>
      </c>
      <c r="E2461" t="s">
        <v>146</v>
      </c>
      <c r="F2461" t="s">
        <v>837</v>
      </c>
      <c r="G2461" t="s">
        <v>838</v>
      </c>
      <c r="H2461" t="s">
        <v>1064</v>
      </c>
      <c r="I2461" t="s">
        <v>1065</v>
      </c>
      <c r="J2461" t="s">
        <v>1000</v>
      </c>
      <c r="K2461" t="s">
        <v>1015</v>
      </c>
      <c r="L2461" t="s">
        <v>1076</v>
      </c>
      <c r="M2461" t="s">
        <v>12</v>
      </c>
      <c r="N2461" s="2">
        <v>0</v>
      </c>
      <c r="O2461" s="2">
        <v>77800</v>
      </c>
      <c r="P2461" s="2">
        <v>-77800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</row>
    <row r="2462" spans="1:23" outlineLevel="2" x14ac:dyDescent="0.2">
      <c r="A2462" t="s">
        <v>999</v>
      </c>
      <c r="B2462" t="s">
        <v>39</v>
      </c>
      <c r="C2462" t="s">
        <v>58</v>
      </c>
      <c r="D2462" t="s">
        <v>143</v>
      </c>
      <c r="E2462" t="s">
        <v>144</v>
      </c>
      <c r="F2462" t="s">
        <v>837</v>
      </c>
      <c r="G2462" t="s">
        <v>838</v>
      </c>
      <c r="H2462" t="s">
        <v>1064</v>
      </c>
      <c r="I2462" t="s">
        <v>1065</v>
      </c>
      <c r="J2462" t="s">
        <v>1000</v>
      </c>
      <c r="K2462" t="s">
        <v>1017</v>
      </c>
      <c r="L2462" t="s">
        <v>1077</v>
      </c>
      <c r="M2462" t="s">
        <v>12</v>
      </c>
      <c r="N2462" s="2">
        <v>0</v>
      </c>
      <c r="O2462" s="2">
        <v>19397.12</v>
      </c>
      <c r="P2462" s="2">
        <v>-19397.12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</row>
    <row r="2463" spans="1:23" outlineLevel="2" x14ac:dyDescent="0.2">
      <c r="A2463" t="s">
        <v>999</v>
      </c>
      <c r="B2463" t="s">
        <v>39</v>
      </c>
      <c r="C2463" t="s">
        <v>58</v>
      </c>
      <c r="D2463" t="s">
        <v>149</v>
      </c>
      <c r="E2463" t="s">
        <v>150</v>
      </c>
      <c r="F2463" t="s">
        <v>837</v>
      </c>
      <c r="G2463" t="s">
        <v>838</v>
      </c>
      <c r="H2463" t="s">
        <v>1064</v>
      </c>
      <c r="I2463" t="s">
        <v>1065</v>
      </c>
      <c r="J2463" t="s">
        <v>1000</v>
      </c>
      <c r="K2463" t="s">
        <v>1017</v>
      </c>
      <c r="L2463" t="s">
        <v>1077</v>
      </c>
      <c r="M2463" t="s">
        <v>12</v>
      </c>
      <c r="N2463" s="2">
        <v>11309.76</v>
      </c>
      <c r="O2463" s="2">
        <v>0</v>
      </c>
      <c r="P2463" s="2">
        <v>-11309.76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</row>
    <row r="2464" spans="1:23" outlineLevel="2" x14ac:dyDescent="0.2">
      <c r="A2464" t="s">
        <v>999</v>
      </c>
      <c r="B2464" t="s">
        <v>39</v>
      </c>
      <c r="C2464" t="s">
        <v>58</v>
      </c>
      <c r="D2464" t="s">
        <v>147</v>
      </c>
      <c r="E2464" t="s">
        <v>148</v>
      </c>
      <c r="F2464" t="s">
        <v>837</v>
      </c>
      <c r="G2464" t="s">
        <v>838</v>
      </c>
      <c r="H2464" t="s">
        <v>1064</v>
      </c>
      <c r="I2464" t="s">
        <v>1065</v>
      </c>
      <c r="J2464" t="s">
        <v>1000</v>
      </c>
      <c r="K2464" t="s">
        <v>1078</v>
      </c>
      <c r="L2464" t="s">
        <v>1079</v>
      </c>
      <c r="M2464" t="s">
        <v>12</v>
      </c>
      <c r="N2464" s="2">
        <v>11520</v>
      </c>
      <c r="O2464" s="2">
        <v>0</v>
      </c>
      <c r="P2464" s="2">
        <v>-3680</v>
      </c>
      <c r="Q2464" s="2">
        <v>7840</v>
      </c>
      <c r="R2464" s="2">
        <v>0</v>
      </c>
      <c r="S2464" s="2">
        <v>7840</v>
      </c>
      <c r="T2464" s="2">
        <v>7840</v>
      </c>
      <c r="U2464" s="2">
        <v>0</v>
      </c>
      <c r="V2464" s="2">
        <v>0</v>
      </c>
      <c r="W2464" s="2">
        <v>0</v>
      </c>
    </row>
    <row r="2465" spans="1:23" outlineLevel="2" x14ac:dyDescent="0.2">
      <c r="A2465" t="s">
        <v>999</v>
      </c>
      <c r="B2465" t="s">
        <v>39</v>
      </c>
      <c r="C2465" t="s">
        <v>58</v>
      </c>
      <c r="D2465" t="s">
        <v>143</v>
      </c>
      <c r="E2465" t="s">
        <v>144</v>
      </c>
      <c r="F2465" t="s">
        <v>837</v>
      </c>
      <c r="G2465" t="s">
        <v>838</v>
      </c>
      <c r="H2465" t="s">
        <v>1064</v>
      </c>
      <c r="I2465" t="s">
        <v>1065</v>
      </c>
      <c r="J2465" t="s">
        <v>1000</v>
      </c>
      <c r="K2465" t="s">
        <v>1078</v>
      </c>
      <c r="L2465" t="s">
        <v>1079</v>
      </c>
      <c r="M2465" t="s">
        <v>12</v>
      </c>
      <c r="N2465" s="2">
        <v>16557.95</v>
      </c>
      <c r="O2465" s="2">
        <v>0</v>
      </c>
      <c r="P2465" s="2">
        <v>-16557.95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</row>
    <row r="2466" spans="1:23" outlineLevel="2" x14ac:dyDescent="0.2">
      <c r="A2466" t="s">
        <v>999</v>
      </c>
      <c r="B2466" t="s">
        <v>39</v>
      </c>
      <c r="C2466" t="s">
        <v>58</v>
      </c>
      <c r="D2466" t="s">
        <v>145</v>
      </c>
      <c r="E2466" t="s">
        <v>146</v>
      </c>
      <c r="F2466" t="s">
        <v>837</v>
      </c>
      <c r="G2466" t="s">
        <v>838</v>
      </c>
      <c r="H2466" t="s">
        <v>1064</v>
      </c>
      <c r="I2466" t="s">
        <v>1065</v>
      </c>
      <c r="J2466" t="s">
        <v>1000</v>
      </c>
      <c r="K2466" t="s">
        <v>1078</v>
      </c>
      <c r="L2466" t="s">
        <v>1079</v>
      </c>
      <c r="M2466" t="s">
        <v>12</v>
      </c>
      <c r="N2466" s="2">
        <v>46895.199999999997</v>
      </c>
      <c r="O2466" s="2">
        <v>2240</v>
      </c>
      <c r="P2466" s="2">
        <v>-49135.199999999997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</row>
    <row r="2467" spans="1:23" outlineLevel="2" x14ac:dyDescent="0.2">
      <c r="A2467" t="s">
        <v>999</v>
      </c>
      <c r="B2467" t="s">
        <v>39</v>
      </c>
      <c r="C2467" t="s">
        <v>58</v>
      </c>
      <c r="D2467" t="s">
        <v>139</v>
      </c>
      <c r="E2467" t="s">
        <v>140</v>
      </c>
      <c r="F2467" t="s">
        <v>837</v>
      </c>
      <c r="G2467" t="s">
        <v>838</v>
      </c>
      <c r="H2467" t="s">
        <v>1064</v>
      </c>
      <c r="I2467" t="s">
        <v>1065</v>
      </c>
      <c r="J2467" t="s">
        <v>1000</v>
      </c>
      <c r="K2467" t="s">
        <v>1078</v>
      </c>
      <c r="L2467" t="s">
        <v>1079</v>
      </c>
      <c r="M2467" t="s">
        <v>12</v>
      </c>
      <c r="N2467" s="2">
        <v>5000</v>
      </c>
      <c r="O2467" s="2">
        <v>0</v>
      </c>
      <c r="P2467" s="2">
        <v>-5000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</row>
    <row r="2468" spans="1:23" outlineLevel="2" x14ac:dyDescent="0.2">
      <c r="A2468" t="s">
        <v>999</v>
      </c>
      <c r="B2468" t="s">
        <v>39</v>
      </c>
      <c r="C2468" t="s">
        <v>58</v>
      </c>
      <c r="D2468" t="s">
        <v>149</v>
      </c>
      <c r="E2468" t="s">
        <v>150</v>
      </c>
      <c r="F2468" t="s">
        <v>837</v>
      </c>
      <c r="G2468" t="s">
        <v>838</v>
      </c>
      <c r="H2468" t="s">
        <v>1064</v>
      </c>
      <c r="I2468" t="s">
        <v>1065</v>
      </c>
      <c r="J2468" t="s">
        <v>1000</v>
      </c>
      <c r="K2468" t="s">
        <v>1078</v>
      </c>
      <c r="L2468" t="s">
        <v>1079</v>
      </c>
      <c r="M2468" t="s">
        <v>12</v>
      </c>
      <c r="N2468" s="2">
        <v>9500</v>
      </c>
      <c r="O2468" s="2">
        <v>-5000</v>
      </c>
      <c r="P2468" s="2">
        <v>-1500</v>
      </c>
      <c r="Q2468" s="2">
        <v>3000</v>
      </c>
      <c r="R2468" s="2">
        <v>0</v>
      </c>
      <c r="S2468" s="2">
        <v>3000</v>
      </c>
      <c r="T2468" s="2">
        <v>0</v>
      </c>
      <c r="U2468" s="2">
        <v>0</v>
      </c>
      <c r="V2468" s="2">
        <v>3000</v>
      </c>
      <c r="W2468" s="2">
        <v>0</v>
      </c>
    </row>
    <row r="2469" spans="1:23" outlineLevel="2" x14ac:dyDescent="0.2">
      <c r="A2469" t="s">
        <v>999</v>
      </c>
      <c r="B2469" t="s">
        <v>39</v>
      </c>
      <c r="C2469" t="s">
        <v>58</v>
      </c>
      <c r="D2469" t="s">
        <v>149</v>
      </c>
      <c r="E2469" t="s">
        <v>150</v>
      </c>
      <c r="F2469" t="s">
        <v>837</v>
      </c>
      <c r="G2469" t="s">
        <v>838</v>
      </c>
      <c r="H2469" t="s">
        <v>1064</v>
      </c>
      <c r="I2469" t="s">
        <v>1065</v>
      </c>
      <c r="J2469" t="s">
        <v>1000</v>
      </c>
      <c r="K2469" t="s">
        <v>1061</v>
      </c>
      <c r="L2469" t="s">
        <v>1080</v>
      </c>
      <c r="M2469" t="s">
        <v>12</v>
      </c>
      <c r="N2469" s="2">
        <v>1000</v>
      </c>
      <c r="O2469" s="2">
        <v>0</v>
      </c>
      <c r="P2469" s="2">
        <v>-1000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</row>
    <row r="2470" spans="1:23" outlineLevel="2" x14ac:dyDescent="0.2">
      <c r="A2470" t="s">
        <v>999</v>
      </c>
      <c r="B2470" t="s">
        <v>39</v>
      </c>
      <c r="C2470" t="s">
        <v>58</v>
      </c>
      <c r="D2470" t="s">
        <v>145</v>
      </c>
      <c r="E2470" t="s">
        <v>146</v>
      </c>
      <c r="F2470" t="s">
        <v>837</v>
      </c>
      <c r="G2470" t="s">
        <v>838</v>
      </c>
      <c r="H2470" t="s">
        <v>1064</v>
      </c>
      <c r="I2470" t="s">
        <v>1065</v>
      </c>
      <c r="J2470" t="s">
        <v>1000</v>
      </c>
      <c r="K2470" t="s">
        <v>1061</v>
      </c>
      <c r="L2470" t="s">
        <v>1080</v>
      </c>
      <c r="M2470" t="s">
        <v>12</v>
      </c>
      <c r="N2470" s="2">
        <v>1580.8</v>
      </c>
      <c r="O2470" s="2">
        <v>0</v>
      </c>
      <c r="P2470" s="2">
        <v>-1580.8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</row>
    <row r="2471" spans="1:23" outlineLevel="2" x14ac:dyDescent="0.2">
      <c r="A2471" t="s">
        <v>999</v>
      </c>
      <c r="B2471" t="s">
        <v>39</v>
      </c>
      <c r="C2471" t="s">
        <v>58</v>
      </c>
      <c r="D2471" t="s">
        <v>145</v>
      </c>
      <c r="E2471" t="s">
        <v>146</v>
      </c>
      <c r="F2471" t="s">
        <v>837</v>
      </c>
      <c r="G2471" t="s">
        <v>838</v>
      </c>
      <c r="H2471" t="s">
        <v>1064</v>
      </c>
      <c r="I2471" t="s">
        <v>1065</v>
      </c>
      <c r="J2471" t="s">
        <v>1000</v>
      </c>
      <c r="K2471" t="s">
        <v>1019</v>
      </c>
      <c r="L2471" t="s">
        <v>1081</v>
      </c>
      <c r="M2471" t="s">
        <v>12</v>
      </c>
      <c r="N2471" s="2">
        <v>2860</v>
      </c>
      <c r="O2471" s="2">
        <v>0</v>
      </c>
      <c r="P2471" s="2">
        <v>-2860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</row>
    <row r="2472" spans="1:23" outlineLevel="2" x14ac:dyDescent="0.2">
      <c r="A2472" t="s">
        <v>999</v>
      </c>
      <c r="B2472" t="s">
        <v>39</v>
      </c>
      <c r="C2472" t="s">
        <v>58</v>
      </c>
      <c r="D2472" t="s">
        <v>135</v>
      </c>
      <c r="E2472" t="s">
        <v>136</v>
      </c>
      <c r="F2472" t="s">
        <v>837</v>
      </c>
      <c r="G2472" t="s">
        <v>838</v>
      </c>
      <c r="H2472" t="s">
        <v>1064</v>
      </c>
      <c r="I2472" t="s">
        <v>1065</v>
      </c>
      <c r="J2472" t="s">
        <v>1000</v>
      </c>
      <c r="K2472" t="s">
        <v>1082</v>
      </c>
      <c r="L2472" t="s">
        <v>1083</v>
      </c>
      <c r="M2472" t="s">
        <v>12</v>
      </c>
      <c r="N2472" s="2">
        <v>316988.88</v>
      </c>
      <c r="O2472" s="2">
        <v>-19518</v>
      </c>
      <c r="P2472" s="2">
        <v>0</v>
      </c>
      <c r="Q2472" s="2">
        <v>297470.88</v>
      </c>
      <c r="R2472" s="2">
        <v>28587.62</v>
      </c>
      <c r="S2472" s="2">
        <v>268883.26</v>
      </c>
      <c r="T2472" s="2">
        <v>125403.39</v>
      </c>
      <c r="U2472" s="2">
        <v>28587.62</v>
      </c>
      <c r="V2472" s="2">
        <v>172067.49</v>
      </c>
      <c r="W2472" s="2">
        <v>0</v>
      </c>
    </row>
    <row r="2473" spans="1:23" outlineLevel="2" x14ac:dyDescent="0.2">
      <c r="A2473" t="s">
        <v>999</v>
      </c>
      <c r="B2473" t="s">
        <v>39</v>
      </c>
      <c r="C2473" t="s">
        <v>58</v>
      </c>
      <c r="D2473" t="s">
        <v>149</v>
      </c>
      <c r="E2473" t="s">
        <v>150</v>
      </c>
      <c r="F2473" t="s">
        <v>837</v>
      </c>
      <c r="G2473" t="s">
        <v>838</v>
      </c>
      <c r="H2473" t="s">
        <v>1064</v>
      </c>
      <c r="I2473" t="s">
        <v>1065</v>
      </c>
      <c r="J2473" t="s">
        <v>1000</v>
      </c>
      <c r="K2473" t="s">
        <v>1082</v>
      </c>
      <c r="L2473" t="s">
        <v>1083</v>
      </c>
      <c r="M2473" t="s">
        <v>12</v>
      </c>
      <c r="N2473" s="2">
        <v>3000</v>
      </c>
      <c r="O2473" s="2">
        <v>-299.81</v>
      </c>
      <c r="P2473" s="2">
        <v>0</v>
      </c>
      <c r="Q2473" s="2">
        <v>2700.19</v>
      </c>
      <c r="R2473" s="2">
        <v>40.44</v>
      </c>
      <c r="S2473" s="2">
        <v>2659.75</v>
      </c>
      <c r="T2473" s="2">
        <v>0</v>
      </c>
      <c r="U2473" s="2">
        <v>40.44</v>
      </c>
      <c r="V2473" s="2">
        <v>2700.19</v>
      </c>
      <c r="W2473" s="2">
        <v>0</v>
      </c>
    </row>
    <row r="2474" spans="1:23" outlineLevel="2" x14ac:dyDescent="0.2">
      <c r="A2474" t="s">
        <v>999</v>
      </c>
      <c r="B2474" t="s">
        <v>39</v>
      </c>
      <c r="C2474" t="s">
        <v>58</v>
      </c>
      <c r="D2474" t="s">
        <v>137</v>
      </c>
      <c r="E2474" t="s">
        <v>138</v>
      </c>
      <c r="F2474" t="s">
        <v>837</v>
      </c>
      <c r="G2474" t="s">
        <v>838</v>
      </c>
      <c r="H2474" t="s">
        <v>1064</v>
      </c>
      <c r="I2474" t="s">
        <v>1065</v>
      </c>
      <c r="J2474" t="s">
        <v>1000</v>
      </c>
      <c r="K2474" t="s">
        <v>1082</v>
      </c>
      <c r="L2474" t="s">
        <v>1083</v>
      </c>
      <c r="M2474" t="s">
        <v>12</v>
      </c>
      <c r="N2474" s="2">
        <v>100000</v>
      </c>
      <c r="O2474" s="2">
        <v>0</v>
      </c>
      <c r="P2474" s="2">
        <v>-0.34</v>
      </c>
      <c r="Q2474" s="2">
        <v>99999.66</v>
      </c>
      <c r="R2474" s="2">
        <v>138.19</v>
      </c>
      <c r="S2474" s="2">
        <v>99861.47</v>
      </c>
      <c r="T2474" s="2">
        <v>80401.33</v>
      </c>
      <c r="U2474" s="2">
        <v>138.19</v>
      </c>
      <c r="V2474" s="2">
        <v>19598.330000000002</v>
      </c>
      <c r="W2474" s="2">
        <v>0</v>
      </c>
    </row>
    <row r="2475" spans="1:23" outlineLevel="2" x14ac:dyDescent="0.2">
      <c r="A2475" t="s">
        <v>999</v>
      </c>
      <c r="B2475" t="s">
        <v>39</v>
      </c>
      <c r="C2475" t="s">
        <v>58</v>
      </c>
      <c r="D2475" t="s">
        <v>145</v>
      </c>
      <c r="E2475" t="s">
        <v>146</v>
      </c>
      <c r="F2475" t="s">
        <v>837</v>
      </c>
      <c r="G2475" t="s">
        <v>838</v>
      </c>
      <c r="H2475" t="s">
        <v>1064</v>
      </c>
      <c r="I2475" t="s">
        <v>1065</v>
      </c>
      <c r="J2475" t="s">
        <v>1000</v>
      </c>
      <c r="K2475" t="s">
        <v>1082</v>
      </c>
      <c r="L2475" t="s">
        <v>1083</v>
      </c>
      <c r="M2475" t="s">
        <v>12</v>
      </c>
      <c r="N2475" s="2">
        <v>12308.8</v>
      </c>
      <c r="O2475" s="2">
        <v>0</v>
      </c>
      <c r="P2475" s="2">
        <v>-12308.8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</row>
    <row r="2476" spans="1:23" outlineLevel="2" x14ac:dyDescent="0.2">
      <c r="A2476" t="s">
        <v>999</v>
      </c>
      <c r="B2476" t="s">
        <v>39</v>
      </c>
      <c r="C2476" t="s">
        <v>58</v>
      </c>
      <c r="D2476" t="s">
        <v>59</v>
      </c>
      <c r="E2476" t="s">
        <v>60</v>
      </c>
      <c r="F2476" t="s">
        <v>837</v>
      </c>
      <c r="G2476" t="s">
        <v>838</v>
      </c>
      <c r="H2476" t="s">
        <v>1064</v>
      </c>
      <c r="I2476" t="s">
        <v>1065</v>
      </c>
      <c r="J2476" t="s">
        <v>1000</v>
      </c>
      <c r="K2476" t="s">
        <v>1082</v>
      </c>
      <c r="L2476" t="s">
        <v>1083</v>
      </c>
      <c r="M2476" t="s">
        <v>12</v>
      </c>
      <c r="N2476" s="2">
        <v>201873</v>
      </c>
      <c r="O2476" s="2">
        <v>21627</v>
      </c>
      <c r="P2476" s="2">
        <v>-223500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</row>
    <row r="2477" spans="1:23" outlineLevel="2" x14ac:dyDescent="0.2">
      <c r="A2477" t="s">
        <v>999</v>
      </c>
      <c r="B2477" t="s">
        <v>39</v>
      </c>
      <c r="C2477" t="s">
        <v>58</v>
      </c>
      <c r="D2477" t="s">
        <v>139</v>
      </c>
      <c r="E2477" t="s">
        <v>140</v>
      </c>
      <c r="F2477" t="s">
        <v>837</v>
      </c>
      <c r="G2477" t="s">
        <v>838</v>
      </c>
      <c r="H2477" t="s">
        <v>1064</v>
      </c>
      <c r="I2477" t="s">
        <v>1065</v>
      </c>
      <c r="J2477" t="s">
        <v>1000</v>
      </c>
      <c r="K2477" t="s">
        <v>1084</v>
      </c>
      <c r="L2477" t="s">
        <v>1085</v>
      </c>
      <c r="M2477" t="s">
        <v>12</v>
      </c>
      <c r="N2477" s="2">
        <v>3440</v>
      </c>
      <c r="O2477" s="2">
        <v>0</v>
      </c>
      <c r="P2477" s="2">
        <v>-3440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0</v>
      </c>
    </row>
    <row r="2478" spans="1:23" outlineLevel="2" x14ac:dyDescent="0.2">
      <c r="A2478" t="s">
        <v>999</v>
      </c>
      <c r="B2478" t="s">
        <v>39</v>
      </c>
      <c r="C2478" t="s">
        <v>58</v>
      </c>
      <c r="D2478" t="s">
        <v>145</v>
      </c>
      <c r="E2478" t="s">
        <v>146</v>
      </c>
      <c r="F2478" t="s">
        <v>837</v>
      </c>
      <c r="G2478" t="s">
        <v>838</v>
      </c>
      <c r="H2478" t="s">
        <v>1064</v>
      </c>
      <c r="I2478" t="s">
        <v>1065</v>
      </c>
      <c r="J2478" t="s">
        <v>1000</v>
      </c>
      <c r="K2478" t="s">
        <v>1084</v>
      </c>
      <c r="L2478" t="s">
        <v>1085</v>
      </c>
      <c r="M2478" t="s">
        <v>12</v>
      </c>
      <c r="N2478" s="2">
        <v>8260</v>
      </c>
      <c r="O2478" s="2">
        <v>0</v>
      </c>
      <c r="P2478" s="2">
        <v>-8260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</row>
    <row r="2479" spans="1:23" outlineLevel="2" x14ac:dyDescent="0.2">
      <c r="A2479" t="s">
        <v>999</v>
      </c>
      <c r="B2479" t="s">
        <v>39</v>
      </c>
      <c r="C2479" t="s">
        <v>58</v>
      </c>
      <c r="D2479" t="s">
        <v>143</v>
      </c>
      <c r="E2479" t="s">
        <v>144</v>
      </c>
      <c r="F2479" t="s">
        <v>837</v>
      </c>
      <c r="G2479" t="s">
        <v>838</v>
      </c>
      <c r="H2479" t="s">
        <v>1064</v>
      </c>
      <c r="I2479" t="s">
        <v>1065</v>
      </c>
      <c r="J2479" t="s">
        <v>1000</v>
      </c>
      <c r="K2479" t="s">
        <v>1021</v>
      </c>
      <c r="L2479" t="s">
        <v>1086</v>
      </c>
      <c r="M2479" t="s">
        <v>12</v>
      </c>
      <c r="N2479" s="2">
        <v>3000</v>
      </c>
      <c r="O2479" s="2">
        <v>0</v>
      </c>
      <c r="P2479" s="2">
        <v>-3000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0</v>
      </c>
    </row>
    <row r="2480" spans="1:23" outlineLevel="2" x14ac:dyDescent="0.2">
      <c r="A2480" t="s">
        <v>999</v>
      </c>
      <c r="B2480" t="s">
        <v>39</v>
      </c>
      <c r="C2480" t="s">
        <v>58</v>
      </c>
      <c r="D2480" t="s">
        <v>147</v>
      </c>
      <c r="E2480" t="s">
        <v>148</v>
      </c>
      <c r="F2480" t="s">
        <v>837</v>
      </c>
      <c r="G2480" t="s">
        <v>838</v>
      </c>
      <c r="H2480" t="s">
        <v>839</v>
      </c>
      <c r="I2480" t="s">
        <v>840</v>
      </c>
      <c r="J2480" t="s">
        <v>1000</v>
      </c>
      <c r="K2480" t="s">
        <v>1037</v>
      </c>
      <c r="L2480" t="s">
        <v>1066</v>
      </c>
      <c r="M2480" t="s">
        <v>12</v>
      </c>
      <c r="N2480" s="2">
        <v>3500</v>
      </c>
      <c r="O2480" s="2">
        <v>0</v>
      </c>
      <c r="P2480" s="2">
        <v>-3500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</row>
    <row r="2481" spans="1:23" outlineLevel="2" x14ac:dyDescent="0.2">
      <c r="A2481" t="s">
        <v>999</v>
      </c>
      <c r="B2481" t="s">
        <v>39</v>
      </c>
      <c r="C2481" t="s">
        <v>58</v>
      </c>
      <c r="D2481" t="s">
        <v>145</v>
      </c>
      <c r="E2481" t="s">
        <v>146</v>
      </c>
      <c r="F2481" t="s">
        <v>837</v>
      </c>
      <c r="G2481" t="s">
        <v>838</v>
      </c>
      <c r="H2481" t="s">
        <v>839</v>
      </c>
      <c r="I2481" t="s">
        <v>840</v>
      </c>
      <c r="J2481" t="s">
        <v>1000</v>
      </c>
      <c r="K2481" t="s">
        <v>1037</v>
      </c>
      <c r="L2481" t="s">
        <v>1066</v>
      </c>
      <c r="M2481" t="s">
        <v>12</v>
      </c>
      <c r="N2481" s="2">
        <v>2800</v>
      </c>
      <c r="O2481" s="2">
        <v>0</v>
      </c>
      <c r="P2481" s="2">
        <v>-2800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</row>
    <row r="2482" spans="1:23" outlineLevel="2" x14ac:dyDescent="0.2">
      <c r="A2482" t="s">
        <v>999</v>
      </c>
      <c r="B2482" t="s">
        <v>39</v>
      </c>
      <c r="C2482" t="s">
        <v>58</v>
      </c>
      <c r="D2482" t="s">
        <v>135</v>
      </c>
      <c r="E2482" t="s">
        <v>136</v>
      </c>
      <c r="F2482" t="s">
        <v>837</v>
      </c>
      <c r="G2482" t="s">
        <v>838</v>
      </c>
      <c r="H2482" t="s">
        <v>839</v>
      </c>
      <c r="I2482" t="s">
        <v>840</v>
      </c>
      <c r="J2482" t="s">
        <v>1000</v>
      </c>
      <c r="K2482" t="s">
        <v>1037</v>
      </c>
      <c r="L2482" t="s">
        <v>1066</v>
      </c>
      <c r="M2482" t="s">
        <v>12</v>
      </c>
      <c r="N2482" s="2">
        <v>2500</v>
      </c>
      <c r="O2482" s="2">
        <v>0</v>
      </c>
      <c r="P2482" s="2">
        <v>-2500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</row>
    <row r="2483" spans="1:23" outlineLevel="2" x14ac:dyDescent="0.2">
      <c r="A2483" t="s">
        <v>999</v>
      </c>
      <c r="B2483" t="s">
        <v>39</v>
      </c>
      <c r="C2483" t="s">
        <v>58</v>
      </c>
      <c r="D2483" t="s">
        <v>59</v>
      </c>
      <c r="E2483" t="s">
        <v>60</v>
      </c>
      <c r="F2483" t="s">
        <v>837</v>
      </c>
      <c r="G2483" t="s">
        <v>838</v>
      </c>
      <c r="H2483" t="s">
        <v>839</v>
      </c>
      <c r="I2483" t="s">
        <v>840</v>
      </c>
      <c r="J2483" t="s">
        <v>1000</v>
      </c>
      <c r="K2483" t="s">
        <v>1037</v>
      </c>
      <c r="L2483" t="s">
        <v>1066</v>
      </c>
      <c r="M2483" t="s">
        <v>12</v>
      </c>
      <c r="N2483" s="2">
        <v>3000</v>
      </c>
      <c r="O2483" s="2">
        <v>0</v>
      </c>
      <c r="P2483" s="2">
        <v>-3000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</row>
    <row r="2484" spans="1:23" outlineLevel="2" x14ac:dyDescent="0.2">
      <c r="A2484" t="s">
        <v>999</v>
      </c>
      <c r="B2484" t="s">
        <v>39</v>
      </c>
      <c r="C2484" t="s">
        <v>58</v>
      </c>
      <c r="D2484" t="s">
        <v>137</v>
      </c>
      <c r="E2484" t="s">
        <v>138</v>
      </c>
      <c r="F2484" t="s">
        <v>837</v>
      </c>
      <c r="G2484" t="s">
        <v>838</v>
      </c>
      <c r="H2484" t="s">
        <v>839</v>
      </c>
      <c r="I2484" t="s">
        <v>840</v>
      </c>
      <c r="J2484" t="s">
        <v>1000</v>
      </c>
      <c r="K2484" t="s">
        <v>1037</v>
      </c>
      <c r="L2484" t="s">
        <v>1066</v>
      </c>
      <c r="M2484" t="s">
        <v>12</v>
      </c>
      <c r="N2484" s="2">
        <v>2000</v>
      </c>
      <c r="O2484" s="2">
        <v>0</v>
      </c>
      <c r="P2484" s="2">
        <v>-2000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</row>
    <row r="2485" spans="1:23" outlineLevel="2" x14ac:dyDescent="0.2">
      <c r="A2485" t="s">
        <v>999</v>
      </c>
      <c r="B2485" t="s">
        <v>39</v>
      </c>
      <c r="C2485" t="s">
        <v>58</v>
      </c>
      <c r="D2485" t="s">
        <v>149</v>
      </c>
      <c r="E2485" t="s">
        <v>150</v>
      </c>
      <c r="F2485" t="s">
        <v>837</v>
      </c>
      <c r="G2485" t="s">
        <v>838</v>
      </c>
      <c r="H2485" t="s">
        <v>839</v>
      </c>
      <c r="I2485" t="s">
        <v>840</v>
      </c>
      <c r="J2485" t="s">
        <v>1000</v>
      </c>
      <c r="K2485" t="s">
        <v>1037</v>
      </c>
      <c r="L2485" t="s">
        <v>1066</v>
      </c>
      <c r="M2485" t="s">
        <v>12</v>
      </c>
      <c r="N2485" s="2">
        <v>1308.05</v>
      </c>
      <c r="O2485" s="2">
        <v>0</v>
      </c>
      <c r="P2485" s="2">
        <v>-1308.05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</row>
    <row r="2486" spans="1:23" outlineLevel="2" x14ac:dyDescent="0.2">
      <c r="A2486" t="s">
        <v>999</v>
      </c>
      <c r="B2486" t="s">
        <v>39</v>
      </c>
      <c r="C2486" t="s">
        <v>58</v>
      </c>
      <c r="D2486" t="s">
        <v>143</v>
      </c>
      <c r="E2486" t="s">
        <v>144</v>
      </c>
      <c r="F2486" t="s">
        <v>837</v>
      </c>
      <c r="G2486" t="s">
        <v>838</v>
      </c>
      <c r="H2486" t="s">
        <v>839</v>
      </c>
      <c r="I2486" t="s">
        <v>840</v>
      </c>
      <c r="J2486" t="s">
        <v>1000</v>
      </c>
      <c r="K2486" t="s">
        <v>1037</v>
      </c>
      <c r="L2486" t="s">
        <v>1066</v>
      </c>
      <c r="M2486" t="s">
        <v>12</v>
      </c>
      <c r="N2486" s="2">
        <v>1400</v>
      </c>
      <c r="O2486" s="2">
        <v>0</v>
      </c>
      <c r="P2486" s="2">
        <v>-1400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</row>
    <row r="2487" spans="1:23" outlineLevel="2" x14ac:dyDescent="0.2">
      <c r="A2487" t="s">
        <v>999</v>
      </c>
      <c r="B2487" t="s">
        <v>39</v>
      </c>
      <c r="C2487" t="s">
        <v>58</v>
      </c>
      <c r="D2487" t="s">
        <v>105</v>
      </c>
      <c r="E2487" t="s">
        <v>106</v>
      </c>
      <c r="F2487" t="s">
        <v>837</v>
      </c>
      <c r="G2487" t="s">
        <v>838</v>
      </c>
      <c r="H2487" t="s">
        <v>839</v>
      </c>
      <c r="I2487" t="s">
        <v>840</v>
      </c>
      <c r="J2487" t="s">
        <v>1000</v>
      </c>
      <c r="K2487" t="s">
        <v>1039</v>
      </c>
      <c r="L2487" t="s">
        <v>1067</v>
      </c>
      <c r="M2487" t="s">
        <v>12</v>
      </c>
      <c r="N2487" s="2">
        <v>4772.79</v>
      </c>
      <c r="O2487" s="2">
        <v>0</v>
      </c>
      <c r="P2487" s="2">
        <v>-4772.79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</row>
    <row r="2488" spans="1:23" outlineLevel="2" x14ac:dyDescent="0.2">
      <c r="A2488" t="s">
        <v>999</v>
      </c>
      <c r="B2488" t="s">
        <v>39</v>
      </c>
      <c r="C2488" t="s">
        <v>58</v>
      </c>
      <c r="D2488" t="s">
        <v>147</v>
      </c>
      <c r="E2488" t="s">
        <v>148</v>
      </c>
      <c r="F2488" t="s">
        <v>837</v>
      </c>
      <c r="G2488" t="s">
        <v>838</v>
      </c>
      <c r="H2488" t="s">
        <v>839</v>
      </c>
      <c r="I2488" t="s">
        <v>840</v>
      </c>
      <c r="J2488" t="s">
        <v>1000</v>
      </c>
      <c r="K2488" t="s">
        <v>1039</v>
      </c>
      <c r="L2488" t="s">
        <v>1067</v>
      </c>
      <c r="M2488" t="s">
        <v>12</v>
      </c>
      <c r="N2488" s="2">
        <v>7500</v>
      </c>
      <c r="O2488" s="2">
        <v>0</v>
      </c>
      <c r="P2488" s="2">
        <v>-7500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</row>
    <row r="2489" spans="1:23" outlineLevel="2" x14ac:dyDescent="0.2">
      <c r="A2489" t="s">
        <v>999</v>
      </c>
      <c r="B2489" t="s">
        <v>39</v>
      </c>
      <c r="C2489" t="s">
        <v>58</v>
      </c>
      <c r="D2489" t="s">
        <v>145</v>
      </c>
      <c r="E2489" t="s">
        <v>146</v>
      </c>
      <c r="F2489" t="s">
        <v>837</v>
      </c>
      <c r="G2489" t="s">
        <v>838</v>
      </c>
      <c r="H2489" t="s">
        <v>839</v>
      </c>
      <c r="I2489" t="s">
        <v>840</v>
      </c>
      <c r="J2489" t="s">
        <v>1000</v>
      </c>
      <c r="K2489" t="s">
        <v>1039</v>
      </c>
      <c r="L2489" t="s">
        <v>1067</v>
      </c>
      <c r="M2489" t="s">
        <v>12</v>
      </c>
      <c r="N2489" s="2">
        <v>13000</v>
      </c>
      <c r="O2489" s="2">
        <v>0</v>
      </c>
      <c r="P2489" s="2">
        <v>-13000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</row>
    <row r="2490" spans="1:23" outlineLevel="2" x14ac:dyDescent="0.2">
      <c r="A2490" t="s">
        <v>999</v>
      </c>
      <c r="B2490" t="s">
        <v>39</v>
      </c>
      <c r="C2490" t="s">
        <v>58</v>
      </c>
      <c r="D2490" t="s">
        <v>143</v>
      </c>
      <c r="E2490" t="s">
        <v>144</v>
      </c>
      <c r="F2490" t="s">
        <v>837</v>
      </c>
      <c r="G2490" t="s">
        <v>838</v>
      </c>
      <c r="H2490" t="s">
        <v>839</v>
      </c>
      <c r="I2490" t="s">
        <v>840</v>
      </c>
      <c r="J2490" t="s">
        <v>1000</v>
      </c>
      <c r="K2490" t="s">
        <v>1039</v>
      </c>
      <c r="L2490" t="s">
        <v>1067</v>
      </c>
      <c r="M2490" t="s">
        <v>12</v>
      </c>
      <c r="N2490" s="2">
        <v>16395.41</v>
      </c>
      <c r="O2490" s="2">
        <v>0</v>
      </c>
      <c r="P2490" s="2">
        <v>-16395.41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</row>
    <row r="2491" spans="1:23" outlineLevel="2" x14ac:dyDescent="0.2">
      <c r="A2491" t="s">
        <v>999</v>
      </c>
      <c r="B2491" t="s">
        <v>39</v>
      </c>
      <c r="C2491" t="s">
        <v>58</v>
      </c>
      <c r="D2491" t="s">
        <v>135</v>
      </c>
      <c r="E2491" t="s">
        <v>136</v>
      </c>
      <c r="F2491" t="s">
        <v>837</v>
      </c>
      <c r="G2491" t="s">
        <v>838</v>
      </c>
      <c r="H2491" t="s">
        <v>839</v>
      </c>
      <c r="I2491" t="s">
        <v>840</v>
      </c>
      <c r="J2491" t="s">
        <v>1000</v>
      </c>
      <c r="K2491" t="s">
        <v>1039</v>
      </c>
      <c r="L2491" t="s">
        <v>1067</v>
      </c>
      <c r="M2491" t="s">
        <v>12</v>
      </c>
      <c r="N2491" s="2">
        <v>2477.34</v>
      </c>
      <c r="O2491" s="2">
        <v>0</v>
      </c>
      <c r="P2491" s="2">
        <v>-2477.34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</row>
    <row r="2492" spans="1:23" outlineLevel="2" x14ac:dyDescent="0.2">
      <c r="A2492" t="s">
        <v>999</v>
      </c>
      <c r="B2492" t="s">
        <v>39</v>
      </c>
      <c r="C2492" t="s">
        <v>58</v>
      </c>
      <c r="D2492" t="s">
        <v>139</v>
      </c>
      <c r="E2492" t="s">
        <v>140</v>
      </c>
      <c r="F2492" t="s">
        <v>837</v>
      </c>
      <c r="G2492" t="s">
        <v>838</v>
      </c>
      <c r="H2492" t="s">
        <v>839</v>
      </c>
      <c r="I2492" t="s">
        <v>840</v>
      </c>
      <c r="J2492" t="s">
        <v>1000</v>
      </c>
      <c r="K2492" t="s">
        <v>1039</v>
      </c>
      <c r="L2492" t="s">
        <v>1067</v>
      </c>
      <c r="M2492" t="s">
        <v>12</v>
      </c>
      <c r="N2492" s="2">
        <v>46491.57</v>
      </c>
      <c r="O2492" s="2">
        <v>0</v>
      </c>
      <c r="P2492" s="2">
        <v>-46491.57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</row>
    <row r="2493" spans="1:23" outlineLevel="2" x14ac:dyDescent="0.2">
      <c r="A2493" t="s">
        <v>999</v>
      </c>
      <c r="B2493" t="s">
        <v>39</v>
      </c>
      <c r="C2493" t="s">
        <v>58</v>
      </c>
      <c r="D2493" t="s">
        <v>137</v>
      </c>
      <c r="E2493" t="s">
        <v>138</v>
      </c>
      <c r="F2493" t="s">
        <v>837</v>
      </c>
      <c r="G2493" t="s">
        <v>838</v>
      </c>
      <c r="H2493" t="s">
        <v>839</v>
      </c>
      <c r="I2493" t="s">
        <v>840</v>
      </c>
      <c r="J2493" t="s">
        <v>1000</v>
      </c>
      <c r="K2493" t="s">
        <v>1039</v>
      </c>
      <c r="L2493" t="s">
        <v>1067</v>
      </c>
      <c r="M2493" t="s">
        <v>12</v>
      </c>
      <c r="N2493" s="2">
        <v>4000</v>
      </c>
      <c r="O2493" s="2">
        <v>0</v>
      </c>
      <c r="P2493" s="2">
        <v>-4000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</row>
    <row r="2494" spans="1:23" outlineLevel="2" x14ac:dyDescent="0.2">
      <c r="A2494" t="s">
        <v>999</v>
      </c>
      <c r="B2494" t="s">
        <v>39</v>
      </c>
      <c r="C2494" t="s">
        <v>58</v>
      </c>
      <c r="D2494" t="s">
        <v>149</v>
      </c>
      <c r="E2494" t="s">
        <v>150</v>
      </c>
      <c r="F2494" t="s">
        <v>837</v>
      </c>
      <c r="G2494" t="s">
        <v>838</v>
      </c>
      <c r="H2494" t="s">
        <v>839</v>
      </c>
      <c r="I2494" t="s">
        <v>840</v>
      </c>
      <c r="J2494" t="s">
        <v>1000</v>
      </c>
      <c r="K2494" t="s">
        <v>1039</v>
      </c>
      <c r="L2494" t="s">
        <v>1067</v>
      </c>
      <c r="M2494" t="s">
        <v>12</v>
      </c>
      <c r="N2494" s="2">
        <v>2000</v>
      </c>
      <c r="O2494" s="2">
        <v>0</v>
      </c>
      <c r="P2494" s="2">
        <v>-2000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</row>
    <row r="2495" spans="1:23" outlineLevel="2" x14ac:dyDescent="0.2">
      <c r="A2495" t="s">
        <v>999</v>
      </c>
      <c r="B2495" t="s">
        <v>39</v>
      </c>
      <c r="C2495" t="s">
        <v>58</v>
      </c>
      <c r="D2495" t="s">
        <v>129</v>
      </c>
      <c r="E2495" t="s">
        <v>130</v>
      </c>
      <c r="F2495" t="s">
        <v>837</v>
      </c>
      <c r="G2495" t="s">
        <v>838</v>
      </c>
      <c r="H2495" t="s">
        <v>839</v>
      </c>
      <c r="I2495" t="s">
        <v>840</v>
      </c>
      <c r="J2495" t="s">
        <v>1000</v>
      </c>
      <c r="K2495" t="s">
        <v>1039</v>
      </c>
      <c r="L2495" t="s">
        <v>1067</v>
      </c>
      <c r="M2495" t="s">
        <v>12</v>
      </c>
      <c r="N2495" s="2">
        <v>348.47</v>
      </c>
      <c r="O2495" s="2">
        <v>0</v>
      </c>
      <c r="P2495" s="2">
        <v>-348.47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</row>
    <row r="2496" spans="1:23" outlineLevel="2" x14ac:dyDescent="0.2">
      <c r="A2496" t="s">
        <v>999</v>
      </c>
      <c r="B2496" t="s">
        <v>39</v>
      </c>
      <c r="C2496" t="s">
        <v>58</v>
      </c>
      <c r="D2496" t="s">
        <v>59</v>
      </c>
      <c r="E2496" t="s">
        <v>60</v>
      </c>
      <c r="F2496" t="s">
        <v>837</v>
      </c>
      <c r="G2496" t="s">
        <v>838</v>
      </c>
      <c r="H2496" t="s">
        <v>839</v>
      </c>
      <c r="I2496" t="s">
        <v>840</v>
      </c>
      <c r="J2496" t="s">
        <v>1000</v>
      </c>
      <c r="K2496" t="s">
        <v>1039</v>
      </c>
      <c r="L2496" t="s">
        <v>1067</v>
      </c>
      <c r="M2496" t="s">
        <v>12</v>
      </c>
      <c r="N2496" s="2">
        <v>1906.48</v>
      </c>
      <c r="O2496" s="2">
        <v>0</v>
      </c>
      <c r="P2496" s="2">
        <v>-1906.48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</row>
    <row r="2497" spans="1:23" outlineLevel="2" x14ac:dyDescent="0.2">
      <c r="A2497" t="s">
        <v>999</v>
      </c>
      <c r="B2497" t="s">
        <v>39</v>
      </c>
      <c r="C2497" t="s">
        <v>58</v>
      </c>
      <c r="D2497" t="s">
        <v>105</v>
      </c>
      <c r="E2497" t="s">
        <v>106</v>
      </c>
      <c r="F2497" t="s">
        <v>837</v>
      </c>
      <c r="G2497" t="s">
        <v>838</v>
      </c>
      <c r="H2497" t="s">
        <v>839</v>
      </c>
      <c r="I2497" t="s">
        <v>840</v>
      </c>
      <c r="J2497" t="s">
        <v>1000</v>
      </c>
      <c r="K2497" t="s">
        <v>1058</v>
      </c>
      <c r="L2497" t="s">
        <v>1087</v>
      </c>
      <c r="M2497" t="s">
        <v>12</v>
      </c>
      <c r="N2497" s="2">
        <v>7500</v>
      </c>
      <c r="O2497" s="2">
        <v>0</v>
      </c>
      <c r="P2497" s="2">
        <v>-7500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</row>
    <row r="2498" spans="1:23" outlineLevel="2" x14ac:dyDescent="0.2">
      <c r="A2498" t="s">
        <v>999</v>
      </c>
      <c r="B2498" t="s">
        <v>39</v>
      </c>
      <c r="C2498" t="s">
        <v>58</v>
      </c>
      <c r="D2498" t="s">
        <v>145</v>
      </c>
      <c r="E2498" t="s">
        <v>146</v>
      </c>
      <c r="F2498" t="s">
        <v>837</v>
      </c>
      <c r="G2498" t="s">
        <v>838</v>
      </c>
      <c r="H2498" t="s">
        <v>839</v>
      </c>
      <c r="I2498" t="s">
        <v>840</v>
      </c>
      <c r="J2498" t="s">
        <v>1000</v>
      </c>
      <c r="K2498" t="s">
        <v>1068</v>
      </c>
      <c r="L2498" t="s">
        <v>1069</v>
      </c>
      <c r="M2498" t="s">
        <v>12</v>
      </c>
      <c r="N2498" s="2">
        <v>6172.82</v>
      </c>
      <c r="O2498" s="2">
        <v>0</v>
      </c>
      <c r="P2498" s="2">
        <v>-6172.82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</row>
    <row r="2499" spans="1:23" outlineLevel="2" x14ac:dyDescent="0.2">
      <c r="A2499" t="s">
        <v>999</v>
      </c>
      <c r="B2499" t="s">
        <v>39</v>
      </c>
      <c r="C2499" t="s">
        <v>58</v>
      </c>
      <c r="D2499" t="s">
        <v>147</v>
      </c>
      <c r="E2499" t="s">
        <v>148</v>
      </c>
      <c r="F2499" t="s">
        <v>837</v>
      </c>
      <c r="G2499" t="s">
        <v>838</v>
      </c>
      <c r="H2499" t="s">
        <v>839</v>
      </c>
      <c r="I2499" t="s">
        <v>840</v>
      </c>
      <c r="J2499" t="s">
        <v>1000</v>
      </c>
      <c r="K2499" t="s">
        <v>1068</v>
      </c>
      <c r="L2499" t="s">
        <v>1069</v>
      </c>
      <c r="M2499" t="s">
        <v>12</v>
      </c>
      <c r="N2499" s="2">
        <v>4500</v>
      </c>
      <c r="O2499" s="2">
        <v>0</v>
      </c>
      <c r="P2499" s="2">
        <v>-4500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</row>
    <row r="2500" spans="1:23" outlineLevel="2" x14ac:dyDescent="0.2">
      <c r="A2500" t="s">
        <v>999</v>
      </c>
      <c r="B2500" t="s">
        <v>39</v>
      </c>
      <c r="C2500" t="s">
        <v>58</v>
      </c>
      <c r="D2500" t="s">
        <v>135</v>
      </c>
      <c r="E2500" t="s">
        <v>136</v>
      </c>
      <c r="F2500" t="s">
        <v>837</v>
      </c>
      <c r="G2500" t="s">
        <v>838</v>
      </c>
      <c r="H2500" t="s">
        <v>839</v>
      </c>
      <c r="I2500" t="s">
        <v>840</v>
      </c>
      <c r="J2500" t="s">
        <v>1000</v>
      </c>
      <c r="K2500" t="s">
        <v>1068</v>
      </c>
      <c r="L2500" t="s">
        <v>1069</v>
      </c>
      <c r="M2500" t="s">
        <v>12</v>
      </c>
      <c r="N2500" s="2">
        <v>7000</v>
      </c>
      <c r="O2500" s="2">
        <v>0</v>
      </c>
      <c r="P2500" s="2">
        <v>-7000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</row>
    <row r="2501" spans="1:23" outlineLevel="2" x14ac:dyDescent="0.2">
      <c r="A2501" t="s">
        <v>999</v>
      </c>
      <c r="B2501" t="s">
        <v>39</v>
      </c>
      <c r="C2501" t="s">
        <v>58</v>
      </c>
      <c r="D2501" t="s">
        <v>149</v>
      </c>
      <c r="E2501" t="s">
        <v>150</v>
      </c>
      <c r="F2501" t="s">
        <v>837</v>
      </c>
      <c r="G2501" t="s">
        <v>838</v>
      </c>
      <c r="H2501" t="s">
        <v>839</v>
      </c>
      <c r="I2501" t="s">
        <v>840</v>
      </c>
      <c r="J2501" t="s">
        <v>1000</v>
      </c>
      <c r="K2501" t="s">
        <v>1068</v>
      </c>
      <c r="L2501" t="s">
        <v>1069</v>
      </c>
      <c r="M2501" t="s">
        <v>12</v>
      </c>
      <c r="N2501" s="2">
        <v>2000</v>
      </c>
      <c r="O2501" s="2">
        <v>0</v>
      </c>
      <c r="P2501" s="2">
        <v>-2000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</row>
    <row r="2502" spans="1:23" outlineLevel="2" x14ac:dyDescent="0.2">
      <c r="A2502" t="s">
        <v>999</v>
      </c>
      <c r="B2502" t="s">
        <v>39</v>
      </c>
      <c r="C2502" t="s">
        <v>58</v>
      </c>
      <c r="D2502" t="s">
        <v>59</v>
      </c>
      <c r="E2502" t="s">
        <v>60</v>
      </c>
      <c r="F2502" t="s">
        <v>837</v>
      </c>
      <c r="G2502" t="s">
        <v>838</v>
      </c>
      <c r="H2502" t="s">
        <v>839</v>
      </c>
      <c r="I2502" t="s">
        <v>840</v>
      </c>
      <c r="J2502" t="s">
        <v>1000</v>
      </c>
      <c r="K2502" t="s">
        <v>1068</v>
      </c>
      <c r="L2502" t="s">
        <v>1069</v>
      </c>
      <c r="M2502" t="s">
        <v>12</v>
      </c>
      <c r="N2502" s="2">
        <v>4000</v>
      </c>
      <c r="O2502" s="2">
        <v>0</v>
      </c>
      <c r="P2502" s="2">
        <v>-4000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</row>
    <row r="2503" spans="1:23" outlineLevel="2" x14ac:dyDescent="0.2">
      <c r="A2503" t="s">
        <v>999</v>
      </c>
      <c r="B2503" t="s">
        <v>39</v>
      </c>
      <c r="C2503" t="s">
        <v>58</v>
      </c>
      <c r="D2503" t="s">
        <v>143</v>
      </c>
      <c r="E2503" t="s">
        <v>144</v>
      </c>
      <c r="F2503" t="s">
        <v>837</v>
      </c>
      <c r="G2503" t="s">
        <v>838</v>
      </c>
      <c r="H2503" t="s">
        <v>839</v>
      </c>
      <c r="I2503" t="s">
        <v>840</v>
      </c>
      <c r="J2503" t="s">
        <v>1000</v>
      </c>
      <c r="K2503" t="s">
        <v>1068</v>
      </c>
      <c r="L2503" t="s">
        <v>1069</v>
      </c>
      <c r="M2503" t="s">
        <v>12</v>
      </c>
      <c r="N2503" s="2">
        <v>1845</v>
      </c>
      <c r="O2503" s="2">
        <v>0</v>
      </c>
      <c r="P2503" s="2">
        <v>-1845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</row>
    <row r="2504" spans="1:23" outlineLevel="2" x14ac:dyDescent="0.2">
      <c r="A2504" t="s">
        <v>999</v>
      </c>
      <c r="B2504" t="s">
        <v>39</v>
      </c>
      <c r="C2504" t="s">
        <v>58</v>
      </c>
      <c r="D2504" t="s">
        <v>137</v>
      </c>
      <c r="E2504" t="s">
        <v>138</v>
      </c>
      <c r="F2504" t="s">
        <v>837</v>
      </c>
      <c r="G2504" t="s">
        <v>838</v>
      </c>
      <c r="H2504" t="s">
        <v>839</v>
      </c>
      <c r="I2504" t="s">
        <v>840</v>
      </c>
      <c r="J2504" t="s">
        <v>1000</v>
      </c>
      <c r="K2504" t="s">
        <v>1068</v>
      </c>
      <c r="L2504" t="s">
        <v>1069</v>
      </c>
      <c r="M2504" t="s">
        <v>12</v>
      </c>
      <c r="N2504" s="2">
        <v>1000</v>
      </c>
      <c r="O2504" s="2">
        <v>0</v>
      </c>
      <c r="P2504" s="2">
        <v>-1000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</row>
    <row r="2505" spans="1:23" outlineLevel="2" x14ac:dyDescent="0.2">
      <c r="A2505" t="s">
        <v>999</v>
      </c>
      <c r="B2505" t="s">
        <v>39</v>
      </c>
      <c r="C2505" t="s">
        <v>58</v>
      </c>
      <c r="D2505" t="s">
        <v>59</v>
      </c>
      <c r="E2505" t="s">
        <v>60</v>
      </c>
      <c r="F2505" t="s">
        <v>837</v>
      </c>
      <c r="G2505" t="s">
        <v>838</v>
      </c>
      <c r="H2505" t="s">
        <v>839</v>
      </c>
      <c r="I2505" t="s">
        <v>840</v>
      </c>
      <c r="J2505" t="s">
        <v>1000</v>
      </c>
      <c r="K2505" t="s">
        <v>1088</v>
      </c>
      <c r="L2505" t="s">
        <v>1089</v>
      </c>
      <c r="M2505" t="s">
        <v>12</v>
      </c>
      <c r="N2505" s="2">
        <v>7152.23</v>
      </c>
      <c r="O2505" s="2">
        <v>0</v>
      </c>
      <c r="P2505" s="2">
        <v>-7152.23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</row>
    <row r="2506" spans="1:23" outlineLevel="2" x14ac:dyDescent="0.2">
      <c r="A2506" t="s">
        <v>999</v>
      </c>
      <c r="B2506" t="s">
        <v>39</v>
      </c>
      <c r="C2506" t="s">
        <v>58</v>
      </c>
      <c r="D2506" t="s">
        <v>143</v>
      </c>
      <c r="E2506" t="s">
        <v>144</v>
      </c>
      <c r="F2506" t="s">
        <v>837</v>
      </c>
      <c r="G2506" t="s">
        <v>838</v>
      </c>
      <c r="H2506" t="s">
        <v>839</v>
      </c>
      <c r="I2506" t="s">
        <v>840</v>
      </c>
      <c r="J2506" t="s">
        <v>1000</v>
      </c>
      <c r="K2506" t="s">
        <v>1090</v>
      </c>
      <c r="L2506" t="s">
        <v>1091</v>
      </c>
      <c r="M2506" t="s">
        <v>12</v>
      </c>
      <c r="N2506" s="2">
        <v>0</v>
      </c>
      <c r="O2506" s="2">
        <v>7900</v>
      </c>
      <c r="P2506" s="2">
        <v>0</v>
      </c>
      <c r="Q2506" s="2">
        <v>7900</v>
      </c>
      <c r="R2506" s="2">
        <v>0</v>
      </c>
      <c r="S2506" s="2">
        <v>7896</v>
      </c>
      <c r="T2506" s="2">
        <v>0</v>
      </c>
      <c r="U2506" s="2">
        <v>4</v>
      </c>
      <c r="V2506" s="2">
        <v>7900</v>
      </c>
      <c r="W2506" s="2">
        <v>4</v>
      </c>
    </row>
    <row r="2507" spans="1:23" outlineLevel="2" x14ac:dyDescent="0.2">
      <c r="A2507" t="s">
        <v>999</v>
      </c>
      <c r="B2507" t="s">
        <v>39</v>
      </c>
      <c r="C2507" t="s">
        <v>58</v>
      </c>
      <c r="D2507" t="s">
        <v>147</v>
      </c>
      <c r="E2507" t="s">
        <v>148</v>
      </c>
      <c r="F2507" t="s">
        <v>837</v>
      </c>
      <c r="G2507" t="s">
        <v>838</v>
      </c>
      <c r="H2507" t="s">
        <v>839</v>
      </c>
      <c r="I2507" t="s">
        <v>840</v>
      </c>
      <c r="J2507" t="s">
        <v>1000</v>
      </c>
      <c r="K2507" t="s">
        <v>1071</v>
      </c>
      <c r="L2507" t="s">
        <v>1072</v>
      </c>
      <c r="M2507" t="s">
        <v>12</v>
      </c>
      <c r="N2507" s="2">
        <v>10900.35</v>
      </c>
      <c r="O2507" s="2">
        <v>0</v>
      </c>
      <c r="P2507" s="2">
        <v>0</v>
      </c>
      <c r="Q2507" s="2">
        <v>10900.35</v>
      </c>
      <c r="R2507" s="2">
        <v>439.72</v>
      </c>
      <c r="S2507" s="2">
        <v>10460.629999999999</v>
      </c>
      <c r="T2507" s="2">
        <v>0</v>
      </c>
      <c r="U2507" s="2">
        <v>439.72</v>
      </c>
      <c r="V2507" s="2">
        <v>10900.35</v>
      </c>
      <c r="W2507" s="2">
        <v>0</v>
      </c>
    </row>
    <row r="2508" spans="1:23" outlineLevel="2" x14ac:dyDescent="0.2">
      <c r="A2508" t="s">
        <v>999</v>
      </c>
      <c r="B2508" t="s">
        <v>39</v>
      </c>
      <c r="C2508" t="s">
        <v>58</v>
      </c>
      <c r="D2508" t="s">
        <v>143</v>
      </c>
      <c r="E2508" t="s">
        <v>144</v>
      </c>
      <c r="F2508" t="s">
        <v>837</v>
      </c>
      <c r="G2508" t="s">
        <v>838</v>
      </c>
      <c r="H2508" t="s">
        <v>839</v>
      </c>
      <c r="I2508" t="s">
        <v>840</v>
      </c>
      <c r="J2508" t="s">
        <v>1000</v>
      </c>
      <c r="K2508" t="s">
        <v>1071</v>
      </c>
      <c r="L2508" t="s">
        <v>1072</v>
      </c>
      <c r="M2508" t="s">
        <v>12</v>
      </c>
      <c r="N2508" s="2">
        <v>16739.79</v>
      </c>
      <c r="O2508" s="2">
        <v>0</v>
      </c>
      <c r="P2508" s="2">
        <v>-16739.79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</row>
    <row r="2509" spans="1:23" outlineLevel="2" x14ac:dyDescent="0.2">
      <c r="A2509" t="s">
        <v>999</v>
      </c>
      <c r="B2509" t="s">
        <v>39</v>
      </c>
      <c r="C2509" t="s">
        <v>58</v>
      </c>
      <c r="D2509" t="s">
        <v>145</v>
      </c>
      <c r="E2509" t="s">
        <v>146</v>
      </c>
      <c r="F2509" t="s">
        <v>837</v>
      </c>
      <c r="G2509" t="s">
        <v>838</v>
      </c>
      <c r="H2509" t="s">
        <v>839</v>
      </c>
      <c r="I2509" t="s">
        <v>840</v>
      </c>
      <c r="J2509" t="s">
        <v>1000</v>
      </c>
      <c r="K2509" t="s">
        <v>1011</v>
      </c>
      <c r="L2509" t="s">
        <v>1073</v>
      </c>
      <c r="M2509" t="s">
        <v>12</v>
      </c>
      <c r="N2509" s="2">
        <v>3400</v>
      </c>
      <c r="O2509" s="2">
        <v>0</v>
      </c>
      <c r="P2509" s="2">
        <v>-3400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</row>
    <row r="2510" spans="1:23" outlineLevel="2" x14ac:dyDescent="0.2">
      <c r="A2510" t="s">
        <v>999</v>
      </c>
      <c r="B2510" t="s">
        <v>39</v>
      </c>
      <c r="C2510" t="s">
        <v>58</v>
      </c>
      <c r="D2510" t="s">
        <v>143</v>
      </c>
      <c r="E2510" t="s">
        <v>144</v>
      </c>
      <c r="F2510" t="s">
        <v>837</v>
      </c>
      <c r="G2510" t="s">
        <v>838</v>
      </c>
      <c r="H2510" t="s">
        <v>839</v>
      </c>
      <c r="I2510" t="s">
        <v>840</v>
      </c>
      <c r="J2510" t="s">
        <v>1000</v>
      </c>
      <c r="K2510" t="s">
        <v>1011</v>
      </c>
      <c r="L2510" t="s">
        <v>1073</v>
      </c>
      <c r="M2510" t="s">
        <v>12</v>
      </c>
      <c r="N2510" s="2">
        <v>1300</v>
      </c>
      <c r="O2510" s="2">
        <v>0</v>
      </c>
      <c r="P2510" s="2">
        <v>-1300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</row>
    <row r="2511" spans="1:23" outlineLevel="2" x14ac:dyDescent="0.2">
      <c r="A2511" t="s">
        <v>999</v>
      </c>
      <c r="B2511" t="s">
        <v>39</v>
      </c>
      <c r="C2511" t="s">
        <v>58</v>
      </c>
      <c r="D2511" t="s">
        <v>137</v>
      </c>
      <c r="E2511" t="s">
        <v>138</v>
      </c>
      <c r="F2511" t="s">
        <v>837</v>
      </c>
      <c r="G2511" t="s">
        <v>838</v>
      </c>
      <c r="H2511" t="s">
        <v>839</v>
      </c>
      <c r="I2511" t="s">
        <v>840</v>
      </c>
      <c r="J2511" t="s">
        <v>1000</v>
      </c>
      <c r="K2511" t="s">
        <v>1011</v>
      </c>
      <c r="L2511" t="s">
        <v>1073</v>
      </c>
      <c r="M2511" t="s">
        <v>12</v>
      </c>
      <c r="N2511" s="2">
        <v>9353.44</v>
      </c>
      <c r="O2511" s="2">
        <v>0</v>
      </c>
      <c r="P2511" s="2">
        <v>-9353.44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</row>
    <row r="2512" spans="1:23" outlineLevel="2" x14ac:dyDescent="0.2">
      <c r="A2512" t="s">
        <v>999</v>
      </c>
      <c r="B2512" t="s">
        <v>39</v>
      </c>
      <c r="C2512" t="s">
        <v>58</v>
      </c>
      <c r="D2512" t="s">
        <v>147</v>
      </c>
      <c r="E2512" t="s">
        <v>148</v>
      </c>
      <c r="F2512" t="s">
        <v>837</v>
      </c>
      <c r="G2512" t="s">
        <v>838</v>
      </c>
      <c r="H2512" t="s">
        <v>839</v>
      </c>
      <c r="I2512" t="s">
        <v>840</v>
      </c>
      <c r="J2512" t="s">
        <v>1000</v>
      </c>
      <c r="K2512" t="s">
        <v>1011</v>
      </c>
      <c r="L2512" t="s">
        <v>1073</v>
      </c>
      <c r="M2512" t="s">
        <v>12</v>
      </c>
      <c r="N2512" s="2">
        <v>5500</v>
      </c>
      <c r="O2512" s="2">
        <v>0</v>
      </c>
      <c r="P2512" s="2">
        <v>-5500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</row>
    <row r="2513" spans="1:23" outlineLevel="2" x14ac:dyDescent="0.2">
      <c r="A2513" t="s">
        <v>999</v>
      </c>
      <c r="B2513" t="s">
        <v>39</v>
      </c>
      <c r="C2513" t="s">
        <v>58</v>
      </c>
      <c r="D2513" t="s">
        <v>59</v>
      </c>
      <c r="E2513" t="s">
        <v>60</v>
      </c>
      <c r="F2513" t="s">
        <v>837</v>
      </c>
      <c r="G2513" t="s">
        <v>838</v>
      </c>
      <c r="H2513" t="s">
        <v>839</v>
      </c>
      <c r="I2513" t="s">
        <v>840</v>
      </c>
      <c r="J2513" t="s">
        <v>1000</v>
      </c>
      <c r="K2513" t="s">
        <v>1011</v>
      </c>
      <c r="L2513" t="s">
        <v>1073</v>
      </c>
      <c r="M2513" t="s">
        <v>12</v>
      </c>
      <c r="N2513" s="2">
        <v>1800</v>
      </c>
      <c r="O2513" s="2">
        <v>0</v>
      </c>
      <c r="P2513" s="2">
        <v>-1800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</row>
    <row r="2514" spans="1:23" outlineLevel="2" x14ac:dyDescent="0.2">
      <c r="A2514" t="s">
        <v>999</v>
      </c>
      <c r="B2514" t="s">
        <v>39</v>
      </c>
      <c r="C2514" t="s">
        <v>58</v>
      </c>
      <c r="D2514" t="s">
        <v>149</v>
      </c>
      <c r="E2514" t="s">
        <v>150</v>
      </c>
      <c r="F2514" t="s">
        <v>837</v>
      </c>
      <c r="G2514" t="s">
        <v>838</v>
      </c>
      <c r="H2514" t="s">
        <v>839</v>
      </c>
      <c r="I2514" t="s">
        <v>840</v>
      </c>
      <c r="J2514" t="s">
        <v>1000</v>
      </c>
      <c r="K2514" t="s">
        <v>1011</v>
      </c>
      <c r="L2514" t="s">
        <v>1073</v>
      </c>
      <c r="M2514" t="s">
        <v>12</v>
      </c>
      <c r="N2514" s="2">
        <v>14124.51</v>
      </c>
      <c r="O2514" s="2">
        <v>0</v>
      </c>
      <c r="P2514" s="2">
        <v>-14124.51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</row>
    <row r="2515" spans="1:23" outlineLevel="2" x14ac:dyDescent="0.2">
      <c r="A2515" t="s">
        <v>999</v>
      </c>
      <c r="B2515" t="s">
        <v>39</v>
      </c>
      <c r="C2515" t="s">
        <v>58</v>
      </c>
      <c r="D2515" t="s">
        <v>143</v>
      </c>
      <c r="E2515" t="s">
        <v>144</v>
      </c>
      <c r="F2515" t="s">
        <v>837</v>
      </c>
      <c r="G2515" t="s">
        <v>838</v>
      </c>
      <c r="H2515" t="s">
        <v>839</v>
      </c>
      <c r="I2515" t="s">
        <v>840</v>
      </c>
      <c r="J2515" t="s">
        <v>1000</v>
      </c>
      <c r="K2515" t="s">
        <v>1017</v>
      </c>
      <c r="L2515" t="s">
        <v>1077</v>
      </c>
      <c r="M2515" t="s">
        <v>12</v>
      </c>
      <c r="N2515" s="2">
        <v>11200</v>
      </c>
      <c r="O2515" s="2">
        <v>0</v>
      </c>
      <c r="P2515" s="2">
        <v>-11200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</row>
    <row r="2516" spans="1:23" outlineLevel="2" x14ac:dyDescent="0.2">
      <c r="A2516" t="s">
        <v>999</v>
      </c>
      <c r="B2516" t="s">
        <v>39</v>
      </c>
      <c r="C2516" t="s">
        <v>58</v>
      </c>
      <c r="D2516" t="s">
        <v>149</v>
      </c>
      <c r="E2516" t="s">
        <v>150</v>
      </c>
      <c r="F2516" t="s">
        <v>837</v>
      </c>
      <c r="G2516" t="s">
        <v>838</v>
      </c>
      <c r="H2516" t="s">
        <v>839</v>
      </c>
      <c r="I2516" t="s">
        <v>840</v>
      </c>
      <c r="J2516" t="s">
        <v>1000</v>
      </c>
      <c r="K2516" t="s">
        <v>1017</v>
      </c>
      <c r="L2516" t="s">
        <v>1077</v>
      </c>
      <c r="M2516" t="s">
        <v>12</v>
      </c>
      <c r="N2516" s="2">
        <v>11500</v>
      </c>
      <c r="O2516" s="2">
        <v>0</v>
      </c>
      <c r="P2516" s="2">
        <v>-11500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</row>
    <row r="2517" spans="1:23" outlineLevel="2" x14ac:dyDescent="0.2">
      <c r="A2517" t="s">
        <v>999</v>
      </c>
      <c r="B2517" t="s">
        <v>39</v>
      </c>
      <c r="C2517" t="s">
        <v>58</v>
      </c>
      <c r="D2517" t="s">
        <v>105</v>
      </c>
      <c r="E2517" t="s">
        <v>106</v>
      </c>
      <c r="F2517" t="s">
        <v>837</v>
      </c>
      <c r="G2517" t="s">
        <v>838</v>
      </c>
      <c r="H2517" t="s">
        <v>839</v>
      </c>
      <c r="I2517" t="s">
        <v>840</v>
      </c>
      <c r="J2517" t="s">
        <v>1000</v>
      </c>
      <c r="K2517" t="s">
        <v>1017</v>
      </c>
      <c r="L2517" t="s">
        <v>1077</v>
      </c>
      <c r="M2517" t="s">
        <v>12</v>
      </c>
      <c r="N2517" s="2">
        <v>15360</v>
      </c>
      <c r="O2517" s="2">
        <v>0</v>
      </c>
      <c r="P2517" s="2">
        <v>-5360</v>
      </c>
      <c r="Q2517" s="2">
        <v>10000</v>
      </c>
      <c r="R2517" s="2">
        <v>0</v>
      </c>
      <c r="S2517" s="2">
        <v>0</v>
      </c>
      <c r="T2517" s="2">
        <v>0</v>
      </c>
      <c r="U2517" s="2">
        <v>10000</v>
      </c>
      <c r="V2517" s="2">
        <v>10000</v>
      </c>
      <c r="W2517" s="2">
        <v>10000</v>
      </c>
    </row>
    <row r="2518" spans="1:23" outlineLevel="2" x14ac:dyDescent="0.2">
      <c r="A2518" t="s">
        <v>999</v>
      </c>
      <c r="B2518" t="s">
        <v>39</v>
      </c>
      <c r="C2518" t="s">
        <v>58</v>
      </c>
      <c r="D2518" t="s">
        <v>129</v>
      </c>
      <c r="E2518" t="s">
        <v>130</v>
      </c>
      <c r="F2518" t="s">
        <v>837</v>
      </c>
      <c r="G2518" t="s">
        <v>838</v>
      </c>
      <c r="H2518" t="s">
        <v>839</v>
      </c>
      <c r="I2518" t="s">
        <v>840</v>
      </c>
      <c r="J2518" t="s">
        <v>1000</v>
      </c>
      <c r="K2518" t="s">
        <v>1078</v>
      </c>
      <c r="L2518" t="s">
        <v>1079</v>
      </c>
      <c r="M2518" t="s">
        <v>12</v>
      </c>
      <c r="N2518" s="2">
        <v>1400</v>
      </c>
      <c r="O2518" s="2">
        <v>0</v>
      </c>
      <c r="P2518" s="2">
        <v>-1400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</row>
    <row r="2519" spans="1:23" outlineLevel="2" x14ac:dyDescent="0.2">
      <c r="A2519" t="s">
        <v>999</v>
      </c>
      <c r="B2519" t="s">
        <v>39</v>
      </c>
      <c r="C2519" t="s">
        <v>58</v>
      </c>
      <c r="D2519" t="s">
        <v>59</v>
      </c>
      <c r="E2519" t="s">
        <v>60</v>
      </c>
      <c r="F2519" t="s">
        <v>837</v>
      </c>
      <c r="G2519" t="s">
        <v>838</v>
      </c>
      <c r="H2519" t="s">
        <v>839</v>
      </c>
      <c r="I2519" t="s">
        <v>840</v>
      </c>
      <c r="J2519" t="s">
        <v>1000</v>
      </c>
      <c r="K2519" t="s">
        <v>1078</v>
      </c>
      <c r="L2519" t="s">
        <v>1079</v>
      </c>
      <c r="M2519" t="s">
        <v>12</v>
      </c>
      <c r="N2519" s="2">
        <v>2000</v>
      </c>
      <c r="O2519" s="2">
        <v>0</v>
      </c>
      <c r="P2519" s="2">
        <v>-2000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</row>
    <row r="2520" spans="1:23" outlineLevel="2" x14ac:dyDescent="0.2">
      <c r="A2520" t="s">
        <v>999</v>
      </c>
      <c r="B2520" t="s">
        <v>39</v>
      </c>
      <c r="C2520" t="s">
        <v>58</v>
      </c>
      <c r="D2520" t="s">
        <v>147</v>
      </c>
      <c r="E2520" t="s">
        <v>148</v>
      </c>
      <c r="F2520" t="s">
        <v>837</v>
      </c>
      <c r="G2520" t="s">
        <v>838</v>
      </c>
      <c r="H2520" t="s">
        <v>839</v>
      </c>
      <c r="I2520" t="s">
        <v>840</v>
      </c>
      <c r="J2520" t="s">
        <v>1000</v>
      </c>
      <c r="K2520" t="s">
        <v>1078</v>
      </c>
      <c r="L2520" t="s">
        <v>1079</v>
      </c>
      <c r="M2520" t="s">
        <v>12</v>
      </c>
      <c r="N2520" s="2">
        <v>6500</v>
      </c>
      <c r="O2520" s="2">
        <v>0</v>
      </c>
      <c r="P2520" s="2">
        <v>-6500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</row>
    <row r="2521" spans="1:23" outlineLevel="2" x14ac:dyDescent="0.2">
      <c r="A2521" t="s">
        <v>999</v>
      </c>
      <c r="B2521" t="s">
        <v>39</v>
      </c>
      <c r="C2521" t="s">
        <v>58</v>
      </c>
      <c r="D2521" t="s">
        <v>143</v>
      </c>
      <c r="E2521" t="s">
        <v>144</v>
      </c>
      <c r="F2521" t="s">
        <v>837</v>
      </c>
      <c r="G2521" t="s">
        <v>838</v>
      </c>
      <c r="H2521" t="s">
        <v>839</v>
      </c>
      <c r="I2521" t="s">
        <v>840</v>
      </c>
      <c r="J2521" t="s">
        <v>1000</v>
      </c>
      <c r="K2521" t="s">
        <v>1078</v>
      </c>
      <c r="L2521" t="s">
        <v>1079</v>
      </c>
      <c r="M2521" t="s">
        <v>12</v>
      </c>
      <c r="N2521" s="2">
        <v>3000</v>
      </c>
      <c r="O2521" s="2">
        <v>0</v>
      </c>
      <c r="P2521" s="2">
        <v>-3000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</row>
    <row r="2522" spans="1:23" outlineLevel="2" x14ac:dyDescent="0.2">
      <c r="A2522" t="s">
        <v>999</v>
      </c>
      <c r="B2522" t="s">
        <v>39</v>
      </c>
      <c r="C2522" t="s">
        <v>58</v>
      </c>
      <c r="D2522" t="s">
        <v>139</v>
      </c>
      <c r="E2522" t="s">
        <v>140</v>
      </c>
      <c r="F2522" t="s">
        <v>837</v>
      </c>
      <c r="G2522" t="s">
        <v>838</v>
      </c>
      <c r="H2522" t="s">
        <v>839</v>
      </c>
      <c r="I2522" t="s">
        <v>840</v>
      </c>
      <c r="J2522" t="s">
        <v>1000</v>
      </c>
      <c r="K2522" t="s">
        <v>1078</v>
      </c>
      <c r="L2522" t="s">
        <v>1079</v>
      </c>
      <c r="M2522" t="s">
        <v>12</v>
      </c>
      <c r="N2522" s="2">
        <v>15000</v>
      </c>
      <c r="O2522" s="2">
        <v>0</v>
      </c>
      <c r="P2522" s="2">
        <v>-15000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</row>
    <row r="2523" spans="1:23" outlineLevel="2" x14ac:dyDescent="0.2">
      <c r="A2523" t="s">
        <v>999</v>
      </c>
      <c r="B2523" t="s">
        <v>39</v>
      </c>
      <c r="C2523" t="s">
        <v>58</v>
      </c>
      <c r="D2523" t="s">
        <v>135</v>
      </c>
      <c r="E2523" t="s">
        <v>136</v>
      </c>
      <c r="F2523" t="s">
        <v>837</v>
      </c>
      <c r="G2523" t="s">
        <v>838</v>
      </c>
      <c r="H2523" t="s">
        <v>839</v>
      </c>
      <c r="I2523" t="s">
        <v>840</v>
      </c>
      <c r="J2523" t="s">
        <v>1000</v>
      </c>
      <c r="K2523" t="s">
        <v>1078</v>
      </c>
      <c r="L2523" t="s">
        <v>1079</v>
      </c>
      <c r="M2523" t="s">
        <v>12</v>
      </c>
      <c r="N2523" s="2">
        <v>3000</v>
      </c>
      <c r="O2523" s="2">
        <v>0</v>
      </c>
      <c r="P2523" s="2">
        <v>-3000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</row>
    <row r="2524" spans="1:23" outlineLevel="2" x14ac:dyDescent="0.2">
      <c r="A2524" t="s">
        <v>999</v>
      </c>
      <c r="B2524" t="s">
        <v>39</v>
      </c>
      <c r="C2524" t="s">
        <v>58</v>
      </c>
      <c r="D2524" t="s">
        <v>137</v>
      </c>
      <c r="E2524" t="s">
        <v>138</v>
      </c>
      <c r="F2524" t="s">
        <v>837</v>
      </c>
      <c r="G2524" t="s">
        <v>838</v>
      </c>
      <c r="H2524" t="s">
        <v>839</v>
      </c>
      <c r="I2524" t="s">
        <v>840</v>
      </c>
      <c r="J2524" t="s">
        <v>1000</v>
      </c>
      <c r="K2524" t="s">
        <v>1078</v>
      </c>
      <c r="L2524" t="s">
        <v>1079</v>
      </c>
      <c r="M2524" t="s">
        <v>12</v>
      </c>
      <c r="N2524" s="2">
        <v>21015.599999999999</v>
      </c>
      <c r="O2524" s="2">
        <v>0</v>
      </c>
      <c r="P2524" s="2">
        <v>-21015.599999999999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</row>
    <row r="2525" spans="1:23" outlineLevel="2" x14ac:dyDescent="0.2">
      <c r="A2525" t="s">
        <v>999</v>
      </c>
      <c r="B2525" t="s">
        <v>39</v>
      </c>
      <c r="C2525" t="s">
        <v>58</v>
      </c>
      <c r="D2525" t="s">
        <v>145</v>
      </c>
      <c r="E2525" t="s">
        <v>146</v>
      </c>
      <c r="F2525" t="s">
        <v>837</v>
      </c>
      <c r="G2525" t="s">
        <v>838</v>
      </c>
      <c r="H2525" t="s">
        <v>839</v>
      </c>
      <c r="I2525" t="s">
        <v>840</v>
      </c>
      <c r="J2525" t="s">
        <v>1000</v>
      </c>
      <c r="K2525" t="s">
        <v>1078</v>
      </c>
      <c r="L2525" t="s">
        <v>1079</v>
      </c>
      <c r="M2525" t="s">
        <v>12</v>
      </c>
      <c r="N2525" s="2">
        <v>4500</v>
      </c>
      <c r="O2525" s="2">
        <v>0</v>
      </c>
      <c r="P2525" s="2">
        <v>-4500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</row>
    <row r="2526" spans="1:23" outlineLevel="2" x14ac:dyDescent="0.2">
      <c r="A2526" t="s">
        <v>999</v>
      </c>
      <c r="B2526" t="s">
        <v>39</v>
      </c>
      <c r="C2526" t="s">
        <v>58</v>
      </c>
      <c r="D2526" t="s">
        <v>149</v>
      </c>
      <c r="E2526" t="s">
        <v>150</v>
      </c>
      <c r="F2526" t="s">
        <v>837</v>
      </c>
      <c r="G2526" t="s">
        <v>838</v>
      </c>
      <c r="H2526" t="s">
        <v>839</v>
      </c>
      <c r="I2526" t="s">
        <v>840</v>
      </c>
      <c r="J2526" t="s">
        <v>1000</v>
      </c>
      <c r="K2526" t="s">
        <v>1078</v>
      </c>
      <c r="L2526" t="s">
        <v>1079</v>
      </c>
      <c r="M2526" t="s">
        <v>12</v>
      </c>
      <c r="N2526" s="2">
        <v>3000</v>
      </c>
      <c r="O2526" s="2">
        <v>0</v>
      </c>
      <c r="P2526" s="2">
        <v>-3000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</row>
    <row r="2527" spans="1:23" outlineLevel="2" x14ac:dyDescent="0.2">
      <c r="A2527" t="s">
        <v>999</v>
      </c>
      <c r="B2527" t="s">
        <v>39</v>
      </c>
      <c r="C2527" t="s">
        <v>58</v>
      </c>
      <c r="D2527" t="s">
        <v>59</v>
      </c>
      <c r="E2527" t="s">
        <v>60</v>
      </c>
      <c r="F2527" t="s">
        <v>837</v>
      </c>
      <c r="G2527" t="s">
        <v>838</v>
      </c>
      <c r="H2527" t="s">
        <v>839</v>
      </c>
      <c r="I2527" t="s">
        <v>840</v>
      </c>
      <c r="J2527" t="s">
        <v>1000</v>
      </c>
      <c r="K2527" t="s">
        <v>1061</v>
      </c>
      <c r="L2527" t="s">
        <v>1080</v>
      </c>
      <c r="M2527" t="s">
        <v>12</v>
      </c>
      <c r="N2527" s="2">
        <v>4000</v>
      </c>
      <c r="O2527" s="2">
        <v>0</v>
      </c>
      <c r="P2527" s="2">
        <v>-4000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</row>
    <row r="2528" spans="1:23" outlineLevel="2" x14ac:dyDescent="0.2">
      <c r="A2528" t="s">
        <v>999</v>
      </c>
      <c r="B2528" t="s">
        <v>39</v>
      </c>
      <c r="C2528" t="s">
        <v>58</v>
      </c>
      <c r="D2528" t="s">
        <v>139</v>
      </c>
      <c r="E2528" t="s">
        <v>140</v>
      </c>
      <c r="F2528" t="s">
        <v>837</v>
      </c>
      <c r="G2528" t="s">
        <v>838</v>
      </c>
      <c r="H2528" t="s">
        <v>839</v>
      </c>
      <c r="I2528" t="s">
        <v>840</v>
      </c>
      <c r="J2528" t="s">
        <v>1000</v>
      </c>
      <c r="K2528" t="s">
        <v>1061</v>
      </c>
      <c r="L2528" t="s">
        <v>1080</v>
      </c>
      <c r="M2528" t="s">
        <v>12</v>
      </c>
      <c r="N2528" s="2">
        <v>10000</v>
      </c>
      <c r="O2528" s="2">
        <v>0</v>
      </c>
      <c r="P2528" s="2">
        <v>-10000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</row>
    <row r="2529" spans="1:23" outlineLevel="2" x14ac:dyDescent="0.2">
      <c r="A2529" t="s">
        <v>999</v>
      </c>
      <c r="B2529" t="s">
        <v>39</v>
      </c>
      <c r="C2529" t="s">
        <v>58</v>
      </c>
      <c r="D2529" t="s">
        <v>145</v>
      </c>
      <c r="E2529" t="s">
        <v>146</v>
      </c>
      <c r="F2529" t="s">
        <v>837</v>
      </c>
      <c r="G2529" t="s">
        <v>838</v>
      </c>
      <c r="H2529" t="s">
        <v>839</v>
      </c>
      <c r="I2529" t="s">
        <v>840</v>
      </c>
      <c r="J2529" t="s">
        <v>1000</v>
      </c>
      <c r="K2529" t="s">
        <v>1019</v>
      </c>
      <c r="L2529" t="s">
        <v>1081</v>
      </c>
      <c r="M2529" t="s">
        <v>12</v>
      </c>
      <c r="N2529" s="2">
        <v>2000</v>
      </c>
      <c r="O2529" s="2">
        <v>0</v>
      </c>
      <c r="P2529" s="2">
        <v>-2000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</row>
    <row r="2530" spans="1:23" outlineLevel="2" x14ac:dyDescent="0.2">
      <c r="A2530" t="s">
        <v>999</v>
      </c>
      <c r="B2530" t="s">
        <v>39</v>
      </c>
      <c r="C2530" t="s">
        <v>58</v>
      </c>
      <c r="D2530" t="s">
        <v>147</v>
      </c>
      <c r="E2530" t="s">
        <v>148</v>
      </c>
      <c r="F2530" t="s">
        <v>837</v>
      </c>
      <c r="G2530" t="s">
        <v>838</v>
      </c>
      <c r="H2530" t="s">
        <v>839</v>
      </c>
      <c r="I2530" t="s">
        <v>840</v>
      </c>
      <c r="J2530" t="s">
        <v>1000</v>
      </c>
      <c r="K2530" t="s">
        <v>1092</v>
      </c>
      <c r="L2530" t="s">
        <v>1093</v>
      </c>
      <c r="M2530" t="s">
        <v>12</v>
      </c>
      <c r="N2530" s="2">
        <v>3000</v>
      </c>
      <c r="O2530" s="2">
        <v>0</v>
      </c>
      <c r="P2530" s="2">
        <v>-3000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</row>
    <row r="2531" spans="1:23" outlineLevel="2" x14ac:dyDescent="0.2">
      <c r="A2531" t="s">
        <v>999</v>
      </c>
      <c r="B2531" t="s">
        <v>39</v>
      </c>
      <c r="C2531" t="s">
        <v>58</v>
      </c>
      <c r="D2531" t="s">
        <v>149</v>
      </c>
      <c r="E2531" t="s">
        <v>150</v>
      </c>
      <c r="F2531" t="s">
        <v>837</v>
      </c>
      <c r="G2531" t="s">
        <v>838</v>
      </c>
      <c r="H2531" t="s">
        <v>839</v>
      </c>
      <c r="I2531" t="s">
        <v>840</v>
      </c>
      <c r="J2531" t="s">
        <v>1000</v>
      </c>
      <c r="K2531" t="s">
        <v>1082</v>
      </c>
      <c r="L2531" t="s">
        <v>1083</v>
      </c>
      <c r="M2531" t="s">
        <v>12</v>
      </c>
      <c r="N2531" s="2">
        <v>3000</v>
      </c>
      <c r="O2531" s="2">
        <v>0</v>
      </c>
      <c r="P2531" s="2">
        <v>-3000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</row>
    <row r="2532" spans="1:23" outlineLevel="2" x14ac:dyDescent="0.2">
      <c r="A2532" t="s">
        <v>999</v>
      </c>
      <c r="B2532" t="s">
        <v>39</v>
      </c>
      <c r="C2532" t="s">
        <v>58</v>
      </c>
      <c r="D2532" t="s">
        <v>59</v>
      </c>
      <c r="E2532" t="s">
        <v>60</v>
      </c>
      <c r="F2532" t="s">
        <v>837</v>
      </c>
      <c r="G2532" t="s">
        <v>838</v>
      </c>
      <c r="H2532" t="s">
        <v>839</v>
      </c>
      <c r="I2532" t="s">
        <v>840</v>
      </c>
      <c r="J2532" t="s">
        <v>1000</v>
      </c>
      <c r="K2532" t="s">
        <v>1082</v>
      </c>
      <c r="L2532" t="s">
        <v>1083</v>
      </c>
      <c r="M2532" t="s">
        <v>12</v>
      </c>
      <c r="N2532" s="2">
        <v>1500</v>
      </c>
      <c r="O2532" s="2">
        <v>0</v>
      </c>
      <c r="P2532" s="2">
        <v>-1500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</row>
    <row r="2533" spans="1:23" outlineLevel="2" x14ac:dyDescent="0.2">
      <c r="A2533" t="s">
        <v>999</v>
      </c>
      <c r="B2533" t="s">
        <v>39</v>
      </c>
      <c r="C2533" t="s">
        <v>58</v>
      </c>
      <c r="D2533" t="s">
        <v>147</v>
      </c>
      <c r="E2533" t="s">
        <v>148</v>
      </c>
      <c r="F2533" t="s">
        <v>837</v>
      </c>
      <c r="G2533" t="s">
        <v>838</v>
      </c>
      <c r="H2533" t="s">
        <v>839</v>
      </c>
      <c r="I2533" t="s">
        <v>840</v>
      </c>
      <c r="J2533" t="s">
        <v>1000</v>
      </c>
      <c r="K2533" t="s">
        <v>1082</v>
      </c>
      <c r="L2533" t="s">
        <v>1083</v>
      </c>
      <c r="M2533" t="s">
        <v>12</v>
      </c>
      <c r="N2533" s="2">
        <v>8500</v>
      </c>
      <c r="O2533" s="2">
        <v>0</v>
      </c>
      <c r="P2533" s="2">
        <v>0</v>
      </c>
      <c r="Q2533" s="2">
        <v>8500</v>
      </c>
      <c r="R2533" s="2">
        <v>1778.27</v>
      </c>
      <c r="S2533" s="2">
        <v>6721.73</v>
      </c>
      <c r="T2533" s="2">
        <v>0</v>
      </c>
      <c r="U2533" s="2">
        <v>1778.27</v>
      </c>
      <c r="V2533" s="2">
        <v>8500</v>
      </c>
      <c r="W2533" s="2">
        <v>0</v>
      </c>
    </row>
    <row r="2534" spans="1:23" outlineLevel="2" x14ac:dyDescent="0.2">
      <c r="A2534" t="s">
        <v>999</v>
      </c>
      <c r="B2534" t="s">
        <v>39</v>
      </c>
      <c r="C2534" t="s">
        <v>58</v>
      </c>
      <c r="D2534" t="s">
        <v>139</v>
      </c>
      <c r="E2534" t="s">
        <v>140</v>
      </c>
      <c r="F2534" t="s">
        <v>837</v>
      </c>
      <c r="G2534" t="s">
        <v>838</v>
      </c>
      <c r="H2534" t="s">
        <v>839</v>
      </c>
      <c r="I2534" t="s">
        <v>840</v>
      </c>
      <c r="J2534" t="s">
        <v>1000</v>
      </c>
      <c r="K2534" t="s">
        <v>1084</v>
      </c>
      <c r="L2534" t="s">
        <v>1085</v>
      </c>
      <c r="M2534" t="s">
        <v>12</v>
      </c>
      <c r="N2534" s="2">
        <v>5000</v>
      </c>
      <c r="O2534" s="2">
        <v>0</v>
      </c>
      <c r="P2534" s="2">
        <v>-5000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</row>
    <row r="2535" spans="1:23" outlineLevel="2" x14ac:dyDescent="0.2">
      <c r="A2535" t="s">
        <v>999</v>
      </c>
      <c r="B2535" t="s">
        <v>39</v>
      </c>
      <c r="C2535" t="s">
        <v>58</v>
      </c>
      <c r="D2535" t="s">
        <v>149</v>
      </c>
      <c r="E2535" t="s">
        <v>150</v>
      </c>
      <c r="F2535" t="s">
        <v>837</v>
      </c>
      <c r="G2535" t="s">
        <v>838</v>
      </c>
      <c r="H2535" t="s">
        <v>1094</v>
      </c>
      <c r="I2535" t="s">
        <v>1095</v>
      </c>
      <c r="J2535" t="s">
        <v>1000</v>
      </c>
      <c r="K2535" t="s">
        <v>1037</v>
      </c>
      <c r="L2535" t="s">
        <v>1066</v>
      </c>
      <c r="M2535" t="s">
        <v>12</v>
      </c>
      <c r="N2535" s="2">
        <v>2000</v>
      </c>
      <c r="O2535" s="2">
        <v>0</v>
      </c>
      <c r="P2535" s="2">
        <v>-2000</v>
      </c>
      <c r="Q2535" s="2">
        <v>0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</row>
    <row r="2536" spans="1:23" outlineLevel="2" x14ac:dyDescent="0.2">
      <c r="A2536" t="s">
        <v>999</v>
      </c>
      <c r="B2536" t="s">
        <v>39</v>
      </c>
      <c r="C2536" t="s">
        <v>58</v>
      </c>
      <c r="D2536" t="s">
        <v>145</v>
      </c>
      <c r="E2536" t="s">
        <v>146</v>
      </c>
      <c r="F2536" t="s">
        <v>837</v>
      </c>
      <c r="G2536" t="s">
        <v>838</v>
      </c>
      <c r="H2536" t="s">
        <v>1094</v>
      </c>
      <c r="I2536" t="s">
        <v>1095</v>
      </c>
      <c r="J2536" t="s">
        <v>1000</v>
      </c>
      <c r="K2536" t="s">
        <v>1039</v>
      </c>
      <c r="L2536" t="s">
        <v>1067</v>
      </c>
      <c r="M2536" t="s">
        <v>12</v>
      </c>
      <c r="N2536" s="2">
        <v>5600</v>
      </c>
      <c r="O2536" s="2">
        <v>0</v>
      </c>
      <c r="P2536" s="2">
        <v>-5600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</row>
    <row r="2537" spans="1:23" outlineLevel="2" x14ac:dyDescent="0.2">
      <c r="A2537" t="s">
        <v>999</v>
      </c>
      <c r="B2537" t="s">
        <v>39</v>
      </c>
      <c r="C2537" t="s">
        <v>58</v>
      </c>
      <c r="D2537" t="s">
        <v>105</v>
      </c>
      <c r="E2537" t="s">
        <v>106</v>
      </c>
      <c r="F2537" t="s">
        <v>837</v>
      </c>
      <c r="G2537" t="s">
        <v>838</v>
      </c>
      <c r="H2537" t="s">
        <v>1094</v>
      </c>
      <c r="I2537" t="s">
        <v>1095</v>
      </c>
      <c r="J2537" t="s">
        <v>1000</v>
      </c>
      <c r="K2537" t="s">
        <v>1039</v>
      </c>
      <c r="L2537" t="s">
        <v>1067</v>
      </c>
      <c r="M2537" t="s">
        <v>12</v>
      </c>
      <c r="N2537" s="2">
        <v>1800</v>
      </c>
      <c r="O2537" s="2">
        <v>0</v>
      </c>
      <c r="P2537" s="2">
        <v>-1800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</row>
    <row r="2538" spans="1:23" outlineLevel="2" x14ac:dyDescent="0.2">
      <c r="A2538" t="s">
        <v>999</v>
      </c>
      <c r="B2538" t="s">
        <v>39</v>
      </c>
      <c r="C2538" t="s">
        <v>58</v>
      </c>
      <c r="D2538" t="s">
        <v>149</v>
      </c>
      <c r="E2538" t="s">
        <v>150</v>
      </c>
      <c r="F2538" t="s">
        <v>837</v>
      </c>
      <c r="G2538" t="s">
        <v>838</v>
      </c>
      <c r="H2538" t="s">
        <v>1094</v>
      </c>
      <c r="I2538" t="s">
        <v>1095</v>
      </c>
      <c r="J2538" t="s">
        <v>1000</v>
      </c>
      <c r="K2538" t="s">
        <v>1039</v>
      </c>
      <c r="L2538" t="s">
        <v>1067</v>
      </c>
      <c r="M2538" t="s">
        <v>12</v>
      </c>
      <c r="N2538" s="2">
        <v>4500</v>
      </c>
      <c r="O2538" s="2">
        <v>0</v>
      </c>
      <c r="P2538" s="2">
        <v>-4500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</row>
    <row r="2539" spans="1:23" outlineLevel="2" x14ac:dyDescent="0.2">
      <c r="A2539" t="s">
        <v>999</v>
      </c>
      <c r="B2539" t="s">
        <v>39</v>
      </c>
      <c r="C2539" t="s">
        <v>58</v>
      </c>
      <c r="D2539" t="s">
        <v>147</v>
      </c>
      <c r="E2539" t="s">
        <v>148</v>
      </c>
      <c r="F2539" t="s">
        <v>837</v>
      </c>
      <c r="G2539" t="s">
        <v>838</v>
      </c>
      <c r="H2539" t="s">
        <v>1094</v>
      </c>
      <c r="I2539" t="s">
        <v>1095</v>
      </c>
      <c r="J2539" t="s">
        <v>1000</v>
      </c>
      <c r="K2539" t="s">
        <v>1039</v>
      </c>
      <c r="L2539" t="s">
        <v>1067</v>
      </c>
      <c r="M2539" t="s">
        <v>12</v>
      </c>
      <c r="N2539" s="2">
        <v>4775</v>
      </c>
      <c r="O2539" s="2">
        <v>0</v>
      </c>
      <c r="P2539" s="2">
        <v>-4775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</row>
    <row r="2540" spans="1:23" outlineLevel="2" x14ac:dyDescent="0.2">
      <c r="A2540" t="s">
        <v>999</v>
      </c>
      <c r="B2540" t="s">
        <v>39</v>
      </c>
      <c r="C2540" t="s">
        <v>58</v>
      </c>
      <c r="D2540" t="s">
        <v>129</v>
      </c>
      <c r="E2540" t="s">
        <v>130</v>
      </c>
      <c r="F2540" t="s">
        <v>837</v>
      </c>
      <c r="G2540" t="s">
        <v>838</v>
      </c>
      <c r="H2540" t="s">
        <v>1094</v>
      </c>
      <c r="I2540" t="s">
        <v>1095</v>
      </c>
      <c r="J2540" t="s">
        <v>1000</v>
      </c>
      <c r="K2540" t="s">
        <v>1039</v>
      </c>
      <c r="L2540" t="s">
        <v>1067</v>
      </c>
      <c r="M2540" t="s">
        <v>12</v>
      </c>
      <c r="N2540" s="2">
        <v>9000</v>
      </c>
      <c r="O2540" s="2">
        <v>0</v>
      </c>
      <c r="P2540" s="2">
        <v>-9000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</row>
    <row r="2541" spans="1:23" outlineLevel="2" x14ac:dyDescent="0.2">
      <c r="A2541" t="s">
        <v>999</v>
      </c>
      <c r="B2541" t="s">
        <v>39</v>
      </c>
      <c r="C2541" t="s">
        <v>58</v>
      </c>
      <c r="D2541" t="s">
        <v>137</v>
      </c>
      <c r="E2541" t="s">
        <v>138</v>
      </c>
      <c r="F2541" t="s">
        <v>837</v>
      </c>
      <c r="G2541" t="s">
        <v>838</v>
      </c>
      <c r="H2541" t="s">
        <v>1094</v>
      </c>
      <c r="I2541" t="s">
        <v>1095</v>
      </c>
      <c r="J2541" t="s">
        <v>1000</v>
      </c>
      <c r="K2541" t="s">
        <v>1039</v>
      </c>
      <c r="L2541" t="s">
        <v>1067</v>
      </c>
      <c r="M2541" t="s">
        <v>12</v>
      </c>
      <c r="N2541" s="2">
        <v>3000</v>
      </c>
      <c r="O2541" s="2">
        <v>0</v>
      </c>
      <c r="P2541" s="2">
        <v>-3000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</row>
    <row r="2542" spans="1:23" outlineLevel="2" x14ac:dyDescent="0.2">
      <c r="A2542" t="s">
        <v>999</v>
      </c>
      <c r="B2542" t="s">
        <v>39</v>
      </c>
      <c r="C2542" t="s">
        <v>58</v>
      </c>
      <c r="D2542" t="s">
        <v>143</v>
      </c>
      <c r="E2542" t="s">
        <v>144</v>
      </c>
      <c r="F2542" t="s">
        <v>837</v>
      </c>
      <c r="G2542" t="s">
        <v>838</v>
      </c>
      <c r="H2542" t="s">
        <v>1094</v>
      </c>
      <c r="I2542" t="s">
        <v>1095</v>
      </c>
      <c r="J2542" t="s">
        <v>1000</v>
      </c>
      <c r="K2542" t="s">
        <v>1039</v>
      </c>
      <c r="L2542" t="s">
        <v>1067</v>
      </c>
      <c r="M2542" t="s">
        <v>12</v>
      </c>
      <c r="N2542" s="2">
        <v>7894.24</v>
      </c>
      <c r="O2542" s="2">
        <v>0</v>
      </c>
      <c r="P2542" s="2">
        <v>-7894.24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</row>
    <row r="2543" spans="1:23" outlineLevel="2" x14ac:dyDescent="0.2">
      <c r="A2543" t="s">
        <v>999</v>
      </c>
      <c r="B2543" t="s">
        <v>39</v>
      </c>
      <c r="C2543" t="s">
        <v>58</v>
      </c>
      <c r="D2543" t="s">
        <v>59</v>
      </c>
      <c r="E2543" t="s">
        <v>60</v>
      </c>
      <c r="F2543" t="s">
        <v>837</v>
      </c>
      <c r="G2543" t="s">
        <v>838</v>
      </c>
      <c r="H2543" t="s">
        <v>1094</v>
      </c>
      <c r="I2543" t="s">
        <v>1095</v>
      </c>
      <c r="J2543" t="s">
        <v>1000</v>
      </c>
      <c r="K2543" t="s">
        <v>1039</v>
      </c>
      <c r="L2543" t="s">
        <v>1067</v>
      </c>
      <c r="M2543" t="s">
        <v>12</v>
      </c>
      <c r="N2543" s="2">
        <v>5000</v>
      </c>
      <c r="O2543" s="2">
        <v>0</v>
      </c>
      <c r="P2543" s="2">
        <v>-5000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</row>
    <row r="2544" spans="1:23" outlineLevel="2" x14ac:dyDescent="0.2">
      <c r="A2544" t="s">
        <v>999</v>
      </c>
      <c r="B2544" t="s">
        <v>39</v>
      </c>
      <c r="C2544" t="s">
        <v>58</v>
      </c>
      <c r="D2544" t="s">
        <v>147</v>
      </c>
      <c r="E2544" t="s">
        <v>148</v>
      </c>
      <c r="F2544" t="s">
        <v>837</v>
      </c>
      <c r="G2544" t="s">
        <v>838</v>
      </c>
      <c r="H2544" t="s">
        <v>1094</v>
      </c>
      <c r="I2544" t="s">
        <v>1095</v>
      </c>
      <c r="J2544" t="s">
        <v>1000</v>
      </c>
      <c r="K2544" t="s">
        <v>1068</v>
      </c>
      <c r="L2544" t="s">
        <v>1069</v>
      </c>
      <c r="M2544" t="s">
        <v>12</v>
      </c>
      <c r="N2544" s="2">
        <v>1000</v>
      </c>
      <c r="O2544" s="2">
        <v>0</v>
      </c>
      <c r="P2544" s="2">
        <v>-1000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</row>
    <row r="2545" spans="1:23" outlineLevel="2" x14ac:dyDescent="0.2">
      <c r="A2545" t="s">
        <v>999</v>
      </c>
      <c r="B2545" t="s">
        <v>39</v>
      </c>
      <c r="C2545" t="s">
        <v>58</v>
      </c>
      <c r="D2545" t="s">
        <v>137</v>
      </c>
      <c r="E2545" t="s">
        <v>138</v>
      </c>
      <c r="F2545" t="s">
        <v>837</v>
      </c>
      <c r="G2545" t="s">
        <v>838</v>
      </c>
      <c r="H2545" t="s">
        <v>1094</v>
      </c>
      <c r="I2545" t="s">
        <v>1095</v>
      </c>
      <c r="J2545" t="s">
        <v>1000</v>
      </c>
      <c r="K2545" t="s">
        <v>1068</v>
      </c>
      <c r="L2545" t="s">
        <v>1069</v>
      </c>
      <c r="M2545" t="s">
        <v>12</v>
      </c>
      <c r="N2545" s="2">
        <v>500</v>
      </c>
      <c r="O2545" s="2">
        <v>0</v>
      </c>
      <c r="P2545" s="2">
        <v>-500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</row>
    <row r="2546" spans="1:23" outlineLevel="2" x14ac:dyDescent="0.2">
      <c r="A2546" t="s">
        <v>999</v>
      </c>
      <c r="B2546" t="s">
        <v>39</v>
      </c>
      <c r="C2546" t="s">
        <v>58</v>
      </c>
      <c r="D2546" t="s">
        <v>105</v>
      </c>
      <c r="E2546" t="s">
        <v>106</v>
      </c>
      <c r="F2546" t="s">
        <v>837</v>
      </c>
      <c r="G2546" t="s">
        <v>838</v>
      </c>
      <c r="H2546" t="s">
        <v>1094</v>
      </c>
      <c r="I2546" t="s">
        <v>1095</v>
      </c>
      <c r="J2546" t="s">
        <v>1000</v>
      </c>
      <c r="K2546" t="s">
        <v>1068</v>
      </c>
      <c r="L2546" t="s">
        <v>1069</v>
      </c>
      <c r="M2546" t="s">
        <v>12</v>
      </c>
      <c r="N2546" s="2">
        <v>4000</v>
      </c>
      <c r="O2546" s="2">
        <v>0</v>
      </c>
      <c r="P2546" s="2">
        <v>-4000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</row>
    <row r="2547" spans="1:23" outlineLevel="2" x14ac:dyDescent="0.2">
      <c r="A2547" t="s">
        <v>999</v>
      </c>
      <c r="B2547" t="s">
        <v>39</v>
      </c>
      <c r="C2547" t="s">
        <v>58</v>
      </c>
      <c r="D2547" t="s">
        <v>145</v>
      </c>
      <c r="E2547" t="s">
        <v>146</v>
      </c>
      <c r="F2547" t="s">
        <v>837</v>
      </c>
      <c r="G2547" t="s">
        <v>838</v>
      </c>
      <c r="H2547" t="s">
        <v>1094</v>
      </c>
      <c r="I2547" t="s">
        <v>1095</v>
      </c>
      <c r="J2547" t="s">
        <v>1000</v>
      </c>
      <c r="K2547" t="s">
        <v>1068</v>
      </c>
      <c r="L2547" t="s">
        <v>1069</v>
      </c>
      <c r="M2547" t="s">
        <v>12</v>
      </c>
      <c r="N2547" s="2">
        <v>3700</v>
      </c>
      <c r="O2547" s="2">
        <v>0</v>
      </c>
      <c r="P2547" s="2">
        <v>-3700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</row>
    <row r="2548" spans="1:23" outlineLevel="2" x14ac:dyDescent="0.2">
      <c r="A2548" t="s">
        <v>999</v>
      </c>
      <c r="B2548" t="s">
        <v>39</v>
      </c>
      <c r="C2548" t="s">
        <v>58</v>
      </c>
      <c r="D2548" t="s">
        <v>143</v>
      </c>
      <c r="E2548" t="s">
        <v>144</v>
      </c>
      <c r="F2548" t="s">
        <v>837</v>
      </c>
      <c r="G2548" t="s">
        <v>838</v>
      </c>
      <c r="H2548" t="s">
        <v>1094</v>
      </c>
      <c r="I2548" t="s">
        <v>1095</v>
      </c>
      <c r="J2548" t="s">
        <v>1000</v>
      </c>
      <c r="K2548" t="s">
        <v>1068</v>
      </c>
      <c r="L2548" t="s">
        <v>1069</v>
      </c>
      <c r="M2548" t="s">
        <v>12</v>
      </c>
      <c r="N2548" s="2">
        <v>1600</v>
      </c>
      <c r="O2548" s="2">
        <v>0</v>
      </c>
      <c r="P2548" s="2">
        <v>-1600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</row>
    <row r="2549" spans="1:23" outlineLevel="2" x14ac:dyDescent="0.2">
      <c r="A2549" t="s">
        <v>999</v>
      </c>
      <c r="B2549" t="s">
        <v>39</v>
      </c>
      <c r="C2549" t="s">
        <v>58</v>
      </c>
      <c r="D2549" t="s">
        <v>143</v>
      </c>
      <c r="E2549" t="s">
        <v>144</v>
      </c>
      <c r="F2549" t="s">
        <v>837</v>
      </c>
      <c r="G2549" t="s">
        <v>838</v>
      </c>
      <c r="H2549" t="s">
        <v>1094</v>
      </c>
      <c r="I2549" t="s">
        <v>1095</v>
      </c>
      <c r="J2549" t="s">
        <v>1000</v>
      </c>
      <c r="K2549" t="s">
        <v>1011</v>
      </c>
      <c r="L2549" t="s">
        <v>1073</v>
      </c>
      <c r="M2549" t="s">
        <v>12</v>
      </c>
      <c r="N2549" s="2">
        <v>1000</v>
      </c>
      <c r="O2549" s="2">
        <v>0</v>
      </c>
      <c r="P2549" s="2">
        <v>-1000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</row>
    <row r="2550" spans="1:23" outlineLevel="2" x14ac:dyDescent="0.2">
      <c r="A2550" t="s">
        <v>999</v>
      </c>
      <c r="B2550" t="s">
        <v>39</v>
      </c>
      <c r="C2550" t="s">
        <v>58</v>
      </c>
      <c r="D2550" t="s">
        <v>149</v>
      </c>
      <c r="E2550" t="s">
        <v>150</v>
      </c>
      <c r="F2550" t="s">
        <v>837</v>
      </c>
      <c r="G2550" t="s">
        <v>838</v>
      </c>
      <c r="H2550" t="s">
        <v>1094</v>
      </c>
      <c r="I2550" t="s">
        <v>1095</v>
      </c>
      <c r="J2550" t="s">
        <v>1000</v>
      </c>
      <c r="K2550" t="s">
        <v>1011</v>
      </c>
      <c r="L2550" t="s">
        <v>1073</v>
      </c>
      <c r="M2550" t="s">
        <v>12</v>
      </c>
      <c r="N2550" s="2">
        <v>1500</v>
      </c>
      <c r="O2550" s="2">
        <v>0</v>
      </c>
      <c r="P2550" s="2">
        <v>-1500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</row>
    <row r="2551" spans="1:23" outlineLevel="2" x14ac:dyDescent="0.2">
      <c r="A2551" t="s">
        <v>999</v>
      </c>
      <c r="B2551" t="s">
        <v>39</v>
      </c>
      <c r="C2551" t="s">
        <v>58</v>
      </c>
      <c r="D2551" t="s">
        <v>147</v>
      </c>
      <c r="E2551" t="s">
        <v>148</v>
      </c>
      <c r="F2551" t="s">
        <v>837</v>
      </c>
      <c r="G2551" t="s">
        <v>838</v>
      </c>
      <c r="H2551" t="s">
        <v>1094</v>
      </c>
      <c r="I2551" t="s">
        <v>1095</v>
      </c>
      <c r="J2551" t="s">
        <v>1000</v>
      </c>
      <c r="K2551" t="s">
        <v>1011</v>
      </c>
      <c r="L2551" t="s">
        <v>1073</v>
      </c>
      <c r="M2551" t="s">
        <v>12</v>
      </c>
      <c r="N2551" s="2">
        <v>1000</v>
      </c>
      <c r="O2551" s="2">
        <v>0</v>
      </c>
      <c r="P2551" s="2">
        <v>-1000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</row>
    <row r="2552" spans="1:23" outlineLevel="2" x14ac:dyDescent="0.2">
      <c r="A2552" t="s">
        <v>999</v>
      </c>
      <c r="B2552" t="s">
        <v>39</v>
      </c>
      <c r="C2552" t="s">
        <v>58</v>
      </c>
      <c r="D2552" t="s">
        <v>137</v>
      </c>
      <c r="E2552" t="s">
        <v>138</v>
      </c>
      <c r="F2552" t="s">
        <v>837</v>
      </c>
      <c r="G2552" t="s">
        <v>838</v>
      </c>
      <c r="H2552" t="s">
        <v>1094</v>
      </c>
      <c r="I2552" t="s">
        <v>1095</v>
      </c>
      <c r="J2552" t="s">
        <v>1000</v>
      </c>
      <c r="K2552" t="s">
        <v>1011</v>
      </c>
      <c r="L2552" t="s">
        <v>1073</v>
      </c>
      <c r="M2552" t="s">
        <v>12</v>
      </c>
      <c r="N2552" s="2">
        <v>4400</v>
      </c>
      <c r="O2552" s="2">
        <v>0</v>
      </c>
      <c r="P2552" s="2">
        <v>-4400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</row>
    <row r="2553" spans="1:23" outlineLevel="2" x14ac:dyDescent="0.2">
      <c r="A2553" t="s">
        <v>999</v>
      </c>
      <c r="B2553" t="s">
        <v>39</v>
      </c>
      <c r="C2553" t="s">
        <v>58</v>
      </c>
      <c r="D2553" t="s">
        <v>145</v>
      </c>
      <c r="E2553" t="s">
        <v>146</v>
      </c>
      <c r="F2553" t="s">
        <v>837</v>
      </c>
      <c r="G2553" t="s">
        <v>838</v>
      </c>
      <c r="H2553" t="s">
        <v>1094</v>
      </c>
      <c r="I2553" t="s">
        <v>1095</v>
      </c>
      <c r="J2553" t="s">
        <v>1000</v>
      </c>
      <c r="K2553" t="s">
        <v>1011</v>
      </c>
      <c r="L2553" t="s">
        <v>1073</v>
      </c>
      <c r="M2553" t="s">
        <v>12</v>
      </c>
      <c r="N2553" s="2">
        <v>2799</v>
      </c>
      <c r="O2553" s="2">
        <v>0</v>
      </c>
      <c r="P2553" s="2">
        <v>-2799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</row>
    <row r="2554" spans="1:23" outlineLevel="2" x14ac:dyDescent="0.2">
      <c r="A2554" t="s">
        <v>999</v>
      </c>
      <c r="B2554" t="s">
        <v>39</v>
      </c>
      <c r="C2554" t="s">
        <v>58</v>
      </c>
      <c r="D2554" t="s">
        <v>59</v>
      </c>
      <c r="E2554" t="s">
        <v>60</v>
      </c>
      <c r="F2554" t="s">
        <v>837</v>
      </c>
      <c r="G2554" t="s">
        <v>838</v>
      </c>
      <c r="H2554" t="s">
        <v>1094</v>
      </c>
      <c r="I2554" t="s">
        <v>1095</v>
      </c>
      <c r="J2554" t="s">
        <v>1000</v>
      </c>
      <c r="K2554" t="s">
        <v>1011</v>
      </c>
      <c r="L2554" t="s">
        <v>1073</v>
      </c>
      <c r="M2554" t="s">
        <v>12</v>
      </c>
      <c r="N2554" s="2">
        <v>1000</v>
      </c>
      <c r="O2554" s="2">
        <v>0</v>
      </c>
      <c r="P2554" s="2">
        <v>-1000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</row>
    <row r="2555" spans="1:23" outlineLevel="2" x14ac:dyDescent="0.2">
      <c r="A2555" t="s">
        <v>999</v>
      </c>
      <c r="B2555" t="s">
        <v>39</v>
      </c>
      <c r="C2555" t="s">
        <v>58</v>
      </c>
      <c r="D2555" t="s">
        <v>149</v>
      </c>
      <c r="E2555" t="s">
        <v>150</v>
      </c>
      <c r="F2555" t="s">
        <v>837</v>
      </c>
      <c r="G2555" t="s">
        <v>838</v>
      </c>
      <c r="H2555" t="s">
        <v>1094</v>
      </c>
      <c r="I2555" t="s">
        <v>1095</v>
      </c>
      <c r="J2555" t="s">
        <v>1000</v>
      </c>
      <c r="K2555" t="s">
        <v>1017</v>
      </c>
      <c r="L2555" t="s">
        <v>1077</v>
      </c>
      <c r="M2555" t="s">
        <v>12</v>
      </c>
      <c r="N2555" s="2">
        <v>11500</v>
      </c>
      <c r="O2555" s="2">
        <v>0</v>
      </c>
      <c r="P2555" s="2">
        <v>-11500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</row>
    <row r="2556" spans="1:23" outlineLevel="2" x14ac:dyDescent="0.2">
      <c r="A2556" t="s">
        <v>999</v>
      </c>
      <c r="B2556" t="s">
        <v>39</v>
      </c>
      <c r="C2556" t="s">
        <v>58</v>
      </c>
      <c r="D2556" t="s">
        <v>145</v>
      </c>
      <c r="E2556" t="s">
        <v>146</v>
      </c>
      <c r="F2556" t="s">
        <v>837</v>
      </c>
      <c r="G2556" t="s">
        <v>838</v>
      </c>
      <c r="H2556" t="s">
        <v>1094</v>
      </c>
      <c r="I2556" t="s">
        <v>1095</v>
      </c>
      <c r="J2556" t="s">
        <v>1000</v>
      </c>
      <c r="K2556" t="s">
        <v>1078</v>
      </c>
      <c r="L2556" t="s">
        <v>1079</v>
      </c>
      <c r="M2556" t="s">
        <v>12</v>
      </c>
      <c r="N2556" s="2">
        <v>1000</v>
      </c>
      <c r="O2556" s="2">
        <v>0</v>
      </c>
      <c r="P2556" s="2">
        <v>-1000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</row>
    <row r="2557" spans="1:23" outlineLevel="2" x14ac:dyDescent="0.2">
      <c r="A2557" t="s">
        <v>999</v>
      </c>
      <c r="B2557" t="s">
        <v>39</v>
      </c>
      <c r="C2557" t="s">
        <v>58</v>
      </c>
      <c r="D2557" t="s">
        <v>105</v>
      </c>
      <c r="E2557" t="s">
        <v>106</v>
      </c>
      <c r="F2557" t="s">
        <v>837</v>
      </c>
      <c r="G2557" t="s">
        <v>838</v>
      </c>
      <c r="H2557" t="s">
        <v>1094</v>
      </c>
      <c r="I2557" t="s">
        <v>1095</v>
      </c>
      <c r="J2557" t="s">
        <v>1000</v>
      </c>
      <c r="K2557" t="s">
        <v>1078</v>
      </c>
      <c r="L2557" t="s">
        <v>1079</v>
      </c>
      <c r="M2557" t="s">
        <v>12</v>
      </c>
      <c r="N2557" s="2">
        <v>11694.5</v>
      </c>
      <c r="O2557" s="2">
        <v>0</v>
      </c>
      <c r="P2557" s="2">
        <v>-11694.5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</row>
    <row r="2558" spans="1:23" outlineLevel="2" x14ac:dyDescent="0.2">
      <c r="A2558" t="s">
        <v>999</v>
      </c>
      <c r="B2558" t="s">
        <v>39</v>
      </c>
      <c r="C2558" t="s">
        <v>58</v>
      </c>
      <c r="D2558" t="s">
        <v>135</v>
      </c>
      <c r="E2558" t="s">
        <v>136</v>
      </c>
      <c r="F2558" t="s">
        <v>837</v>
      </c>
      <c r="G2558" t="s">
        <v>838</v>
      </c>
      <c r="H2558" t="s">
        <v>1094</v>
      </c>
      <c r="I2558" t="s">
        <v>1095</v>
      </c>
      <c r="J2558" t="s">
        <v>1000</v>
      </c>
      <c r="K2558" t="s">
        <v>1078</v>
      </c>
      <c r="L2558" t="s">
        <v>1079</v>
      </c>
      <c r="M2558" t="s">
        <v>12</v>
      </c>
      <c r="N2558" s="2">
        <v>4000</v>
      </c>
      <c r="O2558" s="2">
        <v>0</v>
      </c>
      <c r="P2558" s="2">
        <v>-4000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</row>
    <row r="2559" spans="1:23" outlineLevel="2" x14ac:dyDescent="0.2">
      <c r="A2559" t="s">
        <v>999</v>
      </c>
      <c r="B2559" t="s">
        <v>39</v>
      </c>
      <c r="C2559" t="s">
        <v>58</v>
      </c>
      <c r="D2559" t="s">
        <v>139</v>
      </c>
      <c r="E2559" t="s">
        <v>140</v>
      </c>
      <c r="F2559" t="s">
        <v>837</v>
      </c>
      <c r="G2559" t="s">
        <v>838</v>
      </c>
      <c r="H2559" t="s">
        <v>1094</v>
      </c>
      <c r="I2559" t="s">
        <v>1095</v>
      </c>
      <c r="J2559" t="s">
        <v>1000</v>
      </c>
      <c r="K2559" t="s">
        <v>1078</v>
      </c>
      <c r="L2559" t="s">
        <v>1079</v>
      </c>
      <c r="M2559" t="s">
        <v>12</v>
      </c>
      <c r="N2559" s="2">
        <v>4000</v>
      </c>
      <c r="O2559" s="2">
        <v>0</v>
      </c>
      <c r="P2559" s="2">
        <v>-4000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</row>
    <row r="2560" spans="1:23" outlineLevel="2" x14ac:dyDescent="0.2">
      <c r="A2560" t="s">
        <v>999</v>
      </c>
      <c r="B2560" t="s">
        <v>39</v>
      </c>
      <c r="C2560" t="s">
        <v>58</v>
      </c>
      <c r="D2560" t="s">
        <v>137</v>
      </c>
      <c r="E2560" t="s">
        <v>138</v>
      </c>
      <c r="F2560" t="s">
        <v>837</v>
      </c>
      <c r="G2560" t="s">
        <v>838</v>
      </c>
      <c r="H2560" t="s">
        <v>1094</v>
      </c>
      <c r="I2560" t="s">
        <v>1095</v>
      </c>
      <c r="J2560" t="s">
        <v>1000</v>
      </c>
      <c r="K2560" t="s">
        <v>1078</v>
      </c>
      <c r="L2560" t="s">
        <v>1079</v>
      </c>
      <c r="M2560" t="s">
        <v>12</v>
      </c>
      <c r="N2560" s="2">
        <v>3000</v>
      </c>
      <c r="O2560" s="2">
        <v>0</v>
      </c>
      <c r="P2560" s="2">
        <v>-3000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</row>
    <row r="2561" spans="1:23" outlineLevel="2" x14ac:dyDescent="0.2">
      <c r="A2561" t="s">
        <v>999</v>
      </c>
      <c r="B2561" t="s">
        <v>39</v>
      </c>
      <c r="C2561" t="s">
        <v>58</v>
      </c>
      <c r="D2561" t="s">
        <v>59</v>
      </c>
      <c r="E2561" t="s">
        <v>60</v>
      </c>
      <c r="F2561" t="s">
        <v>837</v>
      </c>
      <c r="G2561" t="s">
        <v>838</v>
      </c>
      <c r="H2561" t="s">
        <v>1094</v>
      </c>
      <c r="I2561" t="s">
        <v>1095</v>
      </c>
      <c r="J2561" t="s">
        <v>1000</v>
      </c>
      <c r="K2561" t="s">
        <v>1078</v>
      </c>
      <c r="L2561" t="s">
        <v>1079</v>
      </c>
      <c r="M2561" t="s">
        <v>12</v>
      </c>
      <c r="N2561" s="2">
        <v>2500</v>
      </c>
      <c r="O2561" s="2">
        <v>0</v>
      </c>
      <c r="P2561" s="2">
        <v>-2500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</row>
    <row r="2562" spans="1:23" outlineLevel="2" x14ac:dyDescent="0.2">
      <c r="A2562" t="s">
        <v>999</v>
      </c>
      <c r="B2562" t="s">
        <v>39</v>
      </c>
      <c r="C2562" t="s">
        <v>58</v>
      </c>
      <c r="D2562" t="s">
        <v>135</v>
      </c>
      <c r="E2562" t="s">
        <v>136</v>
      </c>
      <c r="F2562" t="s">
        <v>837</v>
      </c>
      <c r="G2562" t="s">
        <v>838</v>
      </c>
      <c r="H2562" t="s">
        <v>1094</v>
      </c>
      <c r="I2562" t="s">
        <v>1095</v>
      </c>
      <c r="J2562" t="s">
        <v>1000</v>
      </c>
      <c r="K2562" t="s">
        <v>1061</v>
      </c>
      <c r="L2562" t="s">
        <v>1080</v>
      </c>
      <c r="M2562" t="s">
        <v>12</v>
      </c>
      <c r="N2562" s="2">
        <v>7900</v>
      </c>
      <c r="O2562" s="2">
        <v>0</v>
      </c>
      <c r="P2562" s="2">
        <v>-7900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</row>
    <row r="2563" spans="1:23" outlineLevel="2" x14ac:dyDescent="0.2">
      <c r="A2563" t="s">
        <v>999</v>
      </c>
      <c r="B2563" t="s">
        <v>39</v>
      </c>
      <c r="C2563" t="s">
        <v>58</v>
      </c>
      <c r="D2563" t="s">
        <v>147</v>
      </c>
      <c r="E2563" t="s">
        <v>148</v>
      </c>
      <c r="F2563" t="s">
        <v>837</v>
      </c>
      <c r="G2563" t="s">
        <v>838</v>
      </c>
      <c r="H2563" t="s">
        <v>1094</v>
      </c>
      <c r="I2563" t="s">
        <v>1095</v>
      </c>
      <c r="J2563" t="s">
        <v>1000</v>
      </c>
      <c r="K2563" t="s">
        <v>1061</v>
      </c>
      <c r="L2563" t="s">
        <v>1080</v>
      </c>
      <c r="M2563" t="s">
        <v>12</v>
      </c>
      <c r="N2563" s="2">
        <v>1000</v>
      </c>
      <c r="O2563" s="2">
        <v>0</v>
      </c>
      <c r="P2563" s="2">
        <v>-1000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</row>
    <row r="2564" spans="1:23" outlineLevel="2" x14ac:dyDescent="0.2">
      <c r="A2564" t="s">
        <v>999</v>
      </c>
      <c r="B2564" t="s">
        <v>39</v>
      </c>
      <c r="C2564" t="s">
        <v>58</v>
      </c>
      <c r="D2564" t="s">
        <v>145</v>
      </c>
      <c r="E2564" t="s">
        <v>146</v>
      </c>
      <c r="F2564" t="s">
        <v>837</v>
      </c>
      <c r="G2564" t="s">
        <v>838</v>
      </c>
      <c r="H2564" t="s">
        <v>1094</v>
      </c>
      <c r="I2564" t="s">
        <v>1095</v>
      </c>
      <c r="J2564" t="s">
        <v>1000</v>
      </c>
      <c r="K2564" t="s">
        <v>1061</v>
      </c>
      <c r="L2564" t="s">
        <v>1080</v>
      </c>
      <c r="M2564" t="s">
        <v>12</v>
      </c>
      <c r="N2564" s="2">
        <v>2000</v>
      </c>
      <c r="O2564" s="2">
        <v>0</v>
      </c>
      <c r="P2564" s="2">
        <v>-2000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</row>
    <row r="2565" spans="1:23" outlineLevel="2" x14ac:dyDescent="0.2">
      <c r="A2565" t="s">
        <v>999</v>
      </c>
      <c r="B2565" t="s">
        <v>39</v>
      </c>
      <c r="C2565" t="s">
        <v>58</v>
      </c>
      <c r="D2565" t="s">
        <v>145</v>
      </c>
      <c r="E2565" t="s">
        <v>146</v>
      </c>
      <c r="F2565" t="s">
        <v>837</v>
      </c>
      <c r="G2565" t="s">
        <v>838</v>
      </c>
      <c r="H2565" t="s">
        <v>1094</v>
      </c>
      <c r="I2565" t="s">
        <v>1095</v>
      </c>
      <c r="J2565" t="s">
        <v>1000</v>
      </c>
      <c r="K2565" t="s">
        <v>1019</v>
      </c>
      <c r="L2565" t="s">
        <v>1081</v>
      </c>
      <c r="M2565" t="s">
        <v>12</v>
      </c>
      <c r="N2565" s="2">
        <v>400</v>
      </c>
      <c r="O2565" s="2">
        <v>0</v>
      </c>
      <c r="P2565" s="2">
        <v>-400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</row>
    <row r="2566" spans="1:23" outlineLevel="2" x14ac:dyDescent="0.2">
      <c r="A2566" t="s">
        <v>999</v>
      </c>
      <c r="B2566" t="s">
        <v>39</v>
      </c>
      <c r="C2566" t="s">
        <v>58</v>
      </c>
      <c r="D2566" t="s">
        <v>145</v>
      </c>
      <c r="E2566" t="s">
        <v>146</v>
      </c>
      <c r="F2566" t="s">
        <v>837</v>
      </c>
      <c r="G2566" t="s">
        <v>838</v>
      </c>
      <c r="H2566" t="s">
        <v>1094</v>
      </c>
      <c r="I2566" t="s">
        <v>1095</v>
      </c>
      <c r="J2566" t="s">
        <v>1000</v>
      </c>
      <c r="K2566" t="s">
        <v>1082</v>
      </c>
      <c r="L2566" t="s">
        <v>1083</v>
      </c>
      <c r="M2566" t="s">
        <v>12</v>
      </c>
      <c r="N2566" s="2">
        <v>3000</v>
      </c>
      <c r="O2566" s="2">
        <v>0</v>
      </c>
      <c r="P2566" s="2">
        <v>-3000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</row>
    <row r="2567" spans="1:23" outlineLevel="2" x14ac:dyDescent="0.2">
      <c r="A2567" t="s">
        <v>999</v>
      </c>
      <c r="B2567" t="s">
        <v>39</v>
      </c>
      <c r="C2567" t="s">
        <v>58</v>
      </c>
      <c r="D2567" t="s">
        <v>137</v>
      </c>
      <c r="E2567" t="s">
        <v>138</v>
      </c>
      <c r="F2567" t="s">
        <v>837</v>
      </c>
      <c r="G2567" t="s">
        <v>838</v>
      </c>
      <c r="H2567" t="s">
        <v>1094</v>
      </c>
      <c r="I2567" t="s">
        <v>1095</v>
      </c>
      <c r="J2567" t="s">
        <v>1000</v>
      </c>
      <c r="K2567" t="s">
        <v>1082</v>
      </c>
      <c r="L2567" t="s">
        <v>1083</v>
      </c>
      <c r="M2567" t="s">
        <v>12</v>
      </c>
      <c r="N2567" s="2">
        <v>1000</v>
      </c>
      <c r="O2567" s="2">
        <v>0</v>
      </c>
      <c r="P2567" s="2">
        <v>-1000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</row>
    <row r="2568" spans="1:23" outlineLevel="2" x14ac:dyDescent="0.2">
      <c r="A2568" t="s">
        <v>999</v>
      </c>
      <c r="B2568" t="s">
        <v>39</v>
      </c>
      <c r="C2568" t="s">
        <v>58</v>
      </c>
      <c r="D2568" t="s">
        <v>59</v>
      </c>
      <c r="E2568" t="s">
        <v>60</v>
      </c>
      <c r="F2568" t="s">
        <v>837</v>
      </c>
      <c r="G2568" t="s">
        <v>838</v>
      </c>
      <c r="H2568" t="s">
        <v>1094</v>
      </c>
      <c r="I2568" t="s">
        <v>1095</v>
      </c>
      <c r="J2568" t="s">
        <v>1000</v>
      </c>
      <c r="K2568" t="s">
        <v>1082</v>
      </c>
      <c r="L2568" t="s">
        <v>1083</v>
      </c>
      <c r="M2568" t="s">
        <v>12</v>
      </c>
      <c r="N2568" s="2">
        <v>2000</v>
      </c>
      <c r="O2568" s="2">
        <v>0</v>
      </c>
      <c r="P2568" s="2">
        <v>-2000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</row>
    <row r="2569" spans="1:23" outlineLevel="2" x14ac:dyDescent="0.2">
      <c r="A2569" t="s">
        <v>999</v>
      </c>
      <c r="B2569" t="s">
        <v>39</v>
      </c>
      <c r="C2569" t="s">
        <v>58</v>
      </c>
      <c r="D2569" t="s">
        <v>149</v>
      </c>
      <c r="E2569" t="s">
        <v>150</v>
      </c>
      <c r="F2569" t="s">
        <v>837</v>
      </c>
      <c r="G2569" t="s">
        <v>838</v>
      </c>
      <c r="H2569" t="s">
        <v>1094</v>
      </c>
      <c r="I2569" t="s">
        <v>1095</v>
      </c>
      <c r="J2569" t="s">
        <v>1000</v>
      </c>
      <c r="K2569" t="s">
        <v>1082</v>
      </c>
      <c r="L2569" t="s">
        <v>1083</v>
      </c>
      <c r="M2569" t="s">
        <v>12</v>
      </c>
      <c r="N2569" s="2">
        <v>2000</v>
      </c>
      <c r="O2569" s="2">
        <v>0</v>
      </c>
      <c r="P2569" s="2">
        <v>-2000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</row>
    <row r="2570" spans="1:23" outlineLevel="2" x14ac:dyDescent="0.2">
      <c r="A2570" t="s">
        <v>999</v>
      </c>
      <c r="B2570" t="s">
        <v>39</v>
      </c>
      <c r="C2570" t="s">
        <v>58</v>
      </c>
      <c r="D2570" t="s">
        <v>147</v>
      </c>
      <c r="E2570" t="s">
        <v>148</v>
      </c>
      <c r="F2570" t="s">
        <v>837</v>
      </c>
      <c r="G2570" t="s">
        <v>838</v>
      </c>
      <c r="H2570" t="s">
        <v>1094</v>
      </c>
      <c r="I2570" t="s">
        <v>1095</v>
      </c>
      <c r="J2570" t="s">
        <v>1000</v>
      </c>
      <c r="K2570" t="s">
        <v>1082</v>
      </c>
      <c r="L2570" t="s">
        <v>1083</v>
      </c>
      <c r="M2570" t="s">
        <v>12</v>
      </c>
      <c r="N2570" s="2">
        <v>2000</v>
      </c>
      <c r="O2570" s="2">
        <v>0</v>
      </c>
      <c r="P2570" s="2">
        <v>-2000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</row>
    <row r="2571" spans="1:23" outlineLevel="2" x14ac:dyDescent="0.2">
      <c r="A2571" t="s">
        <v>999</v>
      </c>
      <c r="B2571" t="s">
        <v>39</v>
      </c>
      <c r="C2571" t="s">
        <v>58</v>
      </c>
      <c r="D2571" t="s">
        <v>145</v>
      </c>
      <c r="E2571" t="s">
        <v>146</v>
      </c>
      <c r="F2571" t="s">
        <v>837</v>
      </c>
      <c r="G2571" t="s">
        <v>838</v>
      </c>
      <c r="H2571" t="s">
        <v>1094</v>
      </c>
      <c r="I2571" t="s">
        <v>1095</v>
      </c>
      <c r="J2571" t="s">
        <v>1000</v>
      </c>
      <c r="K2571" t="s">
        <v>1084</v>
      </c>
      <c r="L2571" t="s">
        <v>1085</v>
      </c>
      <c r="M2571" t="s">
        <v>12</v>
      </c>
      <c r="N2571" s="2">
        <v>800</v>
      </c>
      <c r="O2571" s="2">
        <v>0</v>
      </c>
      <c r="P2571" s="2">
        <v>-800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</row>
    <row r="2572" spans="1:23" outlineLevel="2" x14ac:dyDescent="0.2">
      <c r="A2572" t="s">
        <v>999</v>
      </c>
      <c r="B2572" t="s">
        <v>39</v>
      </c>
      <c r="C2572" t="s">
        <v>58</v>
      </c>
      <c r="D2572" t="s">
        <v>143</v>
      </c>
      <c r="E2572" t="s">
        <v>144</v>
      </c>
      <c r="F2572" t="s">
        <v>837</v>
      </c>
      <c r="G2572" t="s">
        <v>838</v>
      </c>
      <c r="H2572" t="s">
        <v>1094</v>
      </c>
      <c r="I2572" t="s">
        <v>1095</v>
      </c>
      <c r="J2572" t="s">
        <v>1000</v>
      </c>
      <c r="K2572" t="s">
        <v>1084</v>
      </c>
      <c r="L2572" t="s">
        <v>1085</v>
      </c>
      <c r="M2572" t="s">
        <v>12</v>
      </c>
      <c r="N2572" s="2">
        <v>300</v>
      </c>
      <c r="O2572" s="2">
        <v>0</v>
      </c>
      <c r="P2572" s="2">
        <v>-300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</row>
    <row r="2573" spans="1:23" outlineLevel="2" x14ac:dyDescent="0.2">
      <c r="A2573" t="s">
        <v>999</v>
      </c>
      <c r="B2573" t="s">
        <v>39</v>
      </c>
      <c r="C2573" t="s">
        <v>58</v>
      </c>
      <c r="D2573" t="s">
        <v>105</v>
      </c>
      <c r="E2573" t="s">
        <v>106</v>
      </c>
      <c r="F2573" t="s">
        <v>837</v>
      </c>
      <c r="G2573" t="s">
        <v>838</v>
      </c>
      <c r="H2573" t="s">
        <v>1094</v>
      </c>
      <c r="I2573" t="s">
        <v>1095</v>
      </c>
      <c r="J2573" t="s">
        <v>1000</v>
      </c>
      <c r="K2573" t="s">
        <v>1096</v>
      </c>
      <c r="L2573" t="s">
        <v>1097</v>
      </c>
      <c r="M2573" t="s">
        <v>12</v>
      </c>
      <c r="N2573" s="2">
        <v>800</v>
      </c>
      <c r="O2573" s="2">
        <v>1397.36</v>
      </c>
      <c r="P2573" s="2">
        <v>-800</v>
      </c>
      <c r="Q2573" s="2">
        <v>1397.36</v>
      </c>
      <c r="R2573" s="2">
        <v>0</v>
      </c>
      <c r="S2573" s="2">
        <v>0</v>
      </c>
      <c r="T2573" s="2">
        <v>0</v>
      </c>
      <c r="U2573" s="2">
        <v>1397.36</v>
      </c>
      <c r="V2573" s="2">
        <v>1397.36</v>
      </c>
      <c r="W2573" s="2">
        <v>1397.36</v>
      </c>
    </row>
    <row r="2574" spans="1:23" outlineLevel="2" x14ac:dyDescent="0.2">
      <c r="A2574" t="s">
        <v>999</v>
      </c>
      <c r="B2574" t="s">
        <v>39</v>
      </c>
      <c r="C2574" t="s">
        <v>58</v>
      </c>
      <c r="D2574" t="s">
        <v>59</v>
      </c>
      <c r="E2574" t="s">
        <v>60</v>
      </c>
      <c r="F2574" t="s">
        <v>837</v>
      </c>
      <c r="G2574" t="s">
        <v>838</v>
      </c>
      <c r="H2574" t="s">
        <v>1094</v>
      </c>
      <c r="I2574" t="s">
        <v>1095</v>
      </c>
      <c r="J2574" t="s">
        <v>1000</v>
      </c>
      <c r="K2574" t="s">
        <v>1098</v>
      </c>
      <c r="L2574" t="s">
        <v>1099</v>
      </c>
      <c r="M2574" t="s">
        <v>12</v>
      </c>
      <c r="N2574" s="2">
        <v>500</v>
      </c>
      <c r="O2574" s="2">
        <v>0</v>
      </c>
      <c r="P2574" s="2">
        <v>-500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</row>
    <row r="2575" spans="1:23" outlineLevel="2" x14ac:dyDescent="0.2">
      <c r="A2575" t="s">
        <v>999</v>
      </c>
      <c r="B2575" t="s">
        <v>39</v>
      </c>
      <c r="C2575" t="s">
        <v>58</v>
      </c>
      <c r="D2575" t="s">
        <v>147</v>
      </c>
      <c r="E2575" t="s">
        <v>148</v>
      </c>
      <c r="F2575" t="s">
        <v>837</v>
      </c>
      <c r="G2575" t="s">
        <v>838</v>
      </c>
      <c r="H2575" t="s">
        <v>852</v>
      </c>
      <c r="I2575" t="s">
        <v>853</v>
      </c>
      <c r="J2575" t="s">
        <v>1000</v>
      </c>
      <c r="K2575" t="s">
        <v>1100</v>
      </c>
      <c r="L2575" t="s">
        <v>1101</v>
      </c>
      <c r="M2575" t="s">
        <v>12</v>
      </c>
      <c r="N2575" s="2">
        <v>5200</v>
      </c>
      <c r="O2575" s="2">
        <v>0</v>
      </c>
      <c r="P2575" s="2">
        <v>0</v>
      </c>
      <c r="Q2575" s="2">
        <v>5200</v>
      </c>
      <c r="R2575" s="2">
        <v>0</v>
      </c>
      <c r="S2575" s="2">
        <v>5200</v>
      </c>
      <c r="T2575" s="2">
        <v>1200.23</v>
      </c>
      <c r="U2575" s="2">
        <v>0</v>
      </c>
      <c r="V2575" s="2">
        <v>3999.77</v>
      </c>
      <c r="W2575" s="2">
        <v>0</v>
      </c>
    </row>
    <row r="2576" spans="1:23" outlineLevel="2" x14ac:dyDescent="0.2">
      <c r="A2576" t="s">
        <v>999</v>
      </c>
      <c r="B2576" t="s">
        <v>39</v>
      </c>
      <c r="C2576" t="s">
        <v>58</v>
      </c>
      <c r="D2576" t="s">
        <v>147</v>
      </c>
      <c r="E2576" t="s">
        <v>148</v>
      </c>
      <c r="F2576" t="s">
        <v>837</v>
      </c>
      <c r="G2576" t="s">
        <v>838</v>
      </c>
      <c r="H2576" t="s">
        <v>852</v>
      </c>
      <c r="I2576" t="s">
        <v>853</v>
      </c>
      <c r="J2576" t="s">
        <v>1000</v>
      </c>
      <c r="K2576" t="s">
        <v>1102</v>
      </c>
      <c r="L2576" t="s">
        <v>1103</v>
      </c>
      <c r="M2576" t="s">
        <v>12</v>
      </c>
      <c r="N2576" s="2">
        <v>13119.1</v>
      </c>
      <c r="O2576" s="2">
        <v>0</v>
      </c>
      <c r="P2576" s="2">
        <v>0</v>
      </c>
      <c r="Q2576" s="2">
        <v>13119.1</v>
      </c>
      <c r="R2576" s="2">
        <v>0</v>
      </c>
      <c r="S2576" s="2">
        <v>13119.1</v>
      </c>
      <c r="T2576" s="2">
        <v>8012.76</v>
      </c>
      <c r="U2576" s="2">
        <v>0</v>
      </c>
      <c r="V2576" s="2">
        <v>5106.34</v>
      </c>
      <c r="W2576" s="2">
        <v>0</v>
      </c>
    </row>
    <row r="2577" spans="1:23" outlineLevel="2" x14ac:dyDescent="0.2">
      <c r="A2577" t="s">
        <v>999</v>
      </c>
      <c r="B2577" t="s">
        <v>39</v>
      </c>
      <c r="C2577" t="s">
        <v>58</v>
      </c>
      <c r="D2577" t="s">
        <v>147</v>
      </c>
      <c r="E2577" t="s">
        <v>148</v>
      </c>
      <c r="F2577" t="s">
        <v>837</v>
      </c>
      <c r="G2577" t="s">
        <v>838</v>
      </c>
      <c r="H2577" t="s">
        <v>852</v>
      </c>
      <c r="I2577" t="s">
        <v>853</v>
      </c>
      <c r="J2577" t="s">
        <v>1000</v>
      </c>
      <c r="K2577" t="s">
        <v>1104</v>
      </c>
      <c r="L2577" t="s">
        <v>1105</v>
      </c>
      <c r="M2577" t="s">
        <v>12</v>
      </c>
      <c r="N2577" s="2">
        <v>400</v>
      </c>
      <c r="O2577" s="2">
        <v>0</v>
      </c>
      <c r="P2577" s="2">
        <v>0</v>
      </c>
      <c r="Q2577" s="2">
        <v>400</v>
      </c>
      <c r="R2577" s="2">
        <v>0</v>
      </c>
      <c r="S2577" s="2">
        <v>400</v>
      </c>
      <c r="T2577" s="2">
        <v>194.1</v>
      </c>
      <c r="U2577" s="2">
        <v>0</v>
      </c>
      <c r="V2577" s="2">
        <v>205.9</v>
      </c>
      <c r="W2577" s="2">
        <v>0</v>
      </c>
    </row>
    <row r="2578" spans="1:23" outlineLevel="2" x14ac:dyDescent="0.2">
      <c r="A2578" t="s">
        <v>999</v>
      </c>
      <c r="B2578" t="s">
        <v>39</v>
      </c>
      <c r="C2578" t="s">
        <v>58</v>
      </c>
      <c r="D2578" t="s">
        <v>147</v>
      </c>
      <c r="E2578" t="s">
        <v>148</v>
      </c>
      <c r="F2578" t="s">
        <v>837</v>
      </c>
      <c r="G2578" t="s">
        <v>838</v>
      </c>
      <c r="H2578" t="s">
        <v>852</v>
      </c>
      <c r="I2578" t="s">
        <v>853</v>
      </c>
      <c r="J2578" t="s">
        <v>1000</v>
      </c>
      <c r="K2578" t="s">
        <v>1106</v>
      </c>
      <c r="L2578" t="s">
        <v>1107</v>
      </c>
      <c r="M2578" t="s">
        <v>12</v>
      </c>
      <c r="N2578" s="2">
        <v>1000</v>
      </c>
      <c r="O2578" s="2">
        <v>0</v>
      </c>
      <c r="P2578" s="2">
        <v>0</v>
      </c>
      <c r="Q2578" s="2">
        <v>1000</v>
      </c>
      <c r="R2578" s="2">
        <v>718.32</v>
      </c>
      <c r="S2578" s="2">
        <v>281.68</v>
      </c>
      <c r="T2578" s="2">
        <v>0</v>
      </c>
      <c r="U2578" s="2">
        <v>718.32</v>
      </c>
      <c r="V2578" s="2">
        <v>1000</v>
      </c>
      <c r="W2578" s="2">
        <v>0</v>
      </c>
    </row>
    <row r="2579" spans="1:23" outlineLevel="2" x14ac:dyDescent="0.2">
      <c r="A2579" t="s">
        <v>999</v>
      </c>
      <c r="B2579" t="s">
        <v>39</v>
      </c>
      <c r="C2579" t="s">
        <v>58</v>
      </c>
      <c r="D2579" t="s">
        <v>143</v>
      </c>
      <c r="E2579" t="s">
        <v>144</v>
      </c>
      <c r="F2579" t="s">
        <v>837</v>
      </c>
      <c r="G2579" t="s">
        <v>838</v>
      </c>
      <c r="H2579" t="s">
        <v>852</v>
      </c>
      <c r="I2579" t="s">
        <v>853</v>
      </c>
      <c r="J2579" t="s">
        <v>1000</v>
      </c>
      <c r="K2579" t="s">
        <v>1106</v>
      </c>
      <c r="L2579" t="s">
        <v>1107</v>
      </c>
      <c r="M2579" t="s">
        <v>12</v>
      </c>
      <c r="N2579" s="2">
        <v>1878.64</v>
      </c>
      <c r="O2579" s="2">
        <v>0</v>
      </c>
      <c r="P2579" s="2">
        <v>0</v>
      </c>
      <c r="Q2579" s="2">
        <v>1878.64</v>
      </c>
      <c r="R2579" s="2">
        <v>0</v>
      </c>
      <c r="S2579" s="2">
        <v>658.84</v>
      </c>
      <c r="T2579" s="2">
        <v>0</v>
      </c>
      <c r="U2579" s="2">
        <v>1219.8</v>
      </c>
      <c r="V2579" s="2">
        <v>1878.64</v>
      </c>
      <c r="W2579" s="2">
        <v>1219.8</v>
      </c>
    </row>
    <row r="2580" spans="1:23" outlineLevel="2" x14ac:dyDescent="0.2">
      <c r="A2580" t="s">
        <v>999</v>
      </c>
      <c r="B2580" t="s">
        <v>39</v>
      </c>
      <c r="C2580" t="s">
        <v>58</v>
      </c>
      <c r="D2580" t="s">
        <v>139</v>
      </c>
      <c r="E2580" t="s">
        <v>140</v>
      </c>
      <c r="F2580" t="s">
        <v>837</v>
      </c>
      <c r="G2580" t="s">
        <v>838</v>
      </c>
      <c r="H2580" t="s">
        <v>852</v>
      </c>
      <c r="I2580" t="s">
        <v>853</v>
      </c>
      <c r="J2580" t="s">
        <v>1000</v>
      </c>
      <c r="K2580" t="s">
        <v>1037</v>
      </c>
      <c r="L2580" t="s">
        <v>1066</v>
      </c>
      <c r="M2580" t="s">
        <v>12</v>
      </c>
      <c r="N2580" s="2">
        <v>1000</v>
      </c>
      <c r="O2580" s="2">
        <v>3000</v>
      </c>
      <c r="P2580" s="2">
        <v>-4000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</row>
    <row r="2581" spans="1:23" outlineLevel="2" x14ac:dyDescent="0.2">
      <c r="A2581" t="s">
        <v>999</v>
      </c>
      <c r="B2581" t="s">
        <v>39</v>
      </c>
      <c r="C2581" t="s">
        <v>58</v>
      </c>
      <c r="D2581" t="s">
        <v>145</v>
      </c>
      <c r="E2581" t="s">
        <v>146</v>
      </c>
      <c r="F2581" t="s">
        <v>837</v>
      </c>
      <c r="G2581" t="s">
        <v>838</v>
      </c>
      <c r="H2581" t="s">
        <v>852</v>
      </c>
      <c r="I2581" t="s">
        <v>853</v>
      </c>
      <c r="J2581" t="s">
        <v>1000</v>
      </c>
      <c r="K2581" t="s">
        <v>1037</v>
      </c>
      <c r="L2581" t="s">
        <v>1066</v>
      </c>
      <c r="M2581" t="s">
        <v>12</v>
      </c>
      <c r="N2581" s="2">
        <v>2500</v>
      </c>
      <c r="O2581" s="2">
        <v>0</v>
      </c>
      <c r="P2581" s="2">
        <v>-2500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</row>
    <row r="2582" spans="1:23" outlineLevel="2" x14ac:dyDescent="0.2">
      <c r="A2582" t="s">
        <v>999</v>
      </c>
      <c r="B2582" t="s">
        <v>39</v>
      </c>
      <c r="C2582" t="s">
        <v>58</v>
      </c>
      <c r="D2582" t="s">
        <v>149</v>
      </c>
      <c r="E2582" t="s">
        <v>150</v>
      </c>
      <c r="F2582" t="s">
        <v>837</v>
      </c>
      <c r="G2582" t="s">
        <v>838</v>
      </c>
      <c r="H2582" t="s">
        <v>852</v>
      </c>
      <c r="I2582" t="s">
        <v>853</v>
      </c>
      <c r="J2582" t="s">
        <v>1000</v>
      </c>
      <c r="K2582" t="s">
        <v>1037</v>
      </c>
      <c r="L2582" t="s">
        <v>1066</v>
      </c>
      <c r="M2582" t="s">
        <v>12</v>
      </c>
      <c r="N2582" s="2">
        <v>8500</v>
      </c>
      <c r="O2582" s="2">
        <v>0</v>
      </c>
      <c r="P2582" s="2">
        <v>-8500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</row>
    <row r="2583" spans="1:23" outlineLevel="2" x14ac:dyDescent="0.2">
      <c r="A2583" t="s">
        <v>999</v>
      </c>
      <c r="B2583" t="s">
        <v>39</v>
      </c>
      <c r="C2583" t="s">
        <v>58</v>
      </c>
      <c r="D2583" t="s">
        <v>135</v>
      </c>
      <c r="E2583" t="s">
        <v>136</v>
      </c>
      <c r="F2583" t="s">
        <v>837</v>
      </c>
      <c r="G2583" t="s">
        <v>838</v>
      </c>
      <c r="H2583" t="s">
        <v>852</v>
      </c>
      <c r="I2583" t="s">
        <v>853</v>
      </c>
      <c r="J2583" t="s">
        <v>1000</v>
      </c>
      <c r="K2583" t="s">
        <v>1037</v>
      </c>
      <c r="L2583" t="s">
        <v>1066</v>
      </c>
      <c r="M2583" t="s">
        <v>12</v>
      </c>
      <c r="N2583" s="2">
        <v>6500</v>
      </c>
      <c r="O2583" s="2">
        <v>0</v>
      </c>
      <c r="P2583" s="2">
        <v>-6500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</row>
    <row r="2584" spans="1:23" outlineLevel="2" x14ac:dyDescent="0.2">
      <c r="A2584" t="s">
        <v>999</v>
      </c>
      <c r="B2584" t="s">
        <v>39</v>
      </c>
      <c r="C2584" t="s">
        <v>58</v>
      </c>
      <c r="D2584" t="s">
        <v>143</v>
      </c>
      <c r="E2584" t="s">
        <v>144</v>
      </c>
      <c r="F2584" t="s">
        <v>837</v>
      </c>
      <c r="G2584" t="s">
        <v>838</v>
      </c>
      <c r="H2584" t="s">
        <v>852</v>
      </c>
      <c r="I2584" t="s">
        <v>853</v>
      </c>
      <c r="J2584" t="s">
        <v>1000</v>
      </c>
      <c r="K2584" t="s">
        <v>1037</v>
      </c>
      <c r="L2584" t="s">
        <v>1066</v>
      </c>
      <c r="M2584" t="s">
        <v>12</v>
      </c>
      <c r="N2584" s="2">
        <v>1000</v>
      </c>
      <c r="O2584" s="2">
        <v>-1000</v>
      </c>
      <c r="P2584" s="2">
        <v>0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</row>
    <row r="2585" spans="1:23" outlineLevel="2" x14ac:dyDescent="0.2">
      <c r="A2585" t="s">
        <v>999</v>
      </c>
      <c r="B2585" t="s">
        <v>39</v>
      </c>
      <c r="C2585" t="s">
        <v>58</v>
      </c>
      <c r="D2585" t="s">
        <v>147</v>
      </c>
      <c r="E2585" t="s">
        <v>148</v>
      </c>
      <c r="F2585" t="s">
        <v>837</v>
      </c>
      <c r="G2585" t="s">
        <v>838</v>
      </c>
      <c r="H2585" t="s">
        <v>852</v>
      </c>
      <c r="I2585" t="s">
        <v>853</v>
      </c>
      <c r="J2585" t="s">
        <v>1000</v>
      </c>
      <c r="K2585" t="s">
        <v>1037</v>
      </c>
      <c r="L2585" t="s">
        <v>1066</v>
      </c>
      <c r="M2585" t="s">
        <v>12</v>
      </c>
      <c r="N2585" s="2">
        <v>3000</v>
      </c>
      <c r="O2585" s="2">
        <v>0</v>
      </c>
      <c r="P2585" s="2">
        <v>-3000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</row>
    <row r="2586" spans="1:23" outlineLevel="2" x14ac:dyDescent="0.2">
      <c r="A2586" t="s">
        <v>999</v>
      </c>
      <c r="B2586" t="s">
        <v>39</v>
      </c>
      <c r="C2586" t="s">
        <v>58</v>
      </c>
      <c r="D2586" t="s">
        <v>59</v>
      </c>
      <c r="E2586" t="s">
        <v>60</v>
      </c>
      <c r="F2586" t="s">
        <v>837</v>
      </c>
      <c r="G2586" t="s">
        <v>838</v>
      </c>
      <c r="H2586" t="s">
        <v>852</v>
      </c>
      <c r="I2586" t="s">
        <v>853</v>
      </c>
      <c r="J2586" t="s">
        <v>1000</v>
      </c>
      <c r="K2586" t="s">
        <v>1037</v>
      </c>
      <c r="L2586" t="s">
        <v>1066</v>
      </c>
      <c r="M2586" t="s">
        <v>12</v>
      </c>
      <c r="N2586" s="2">
        <v>1500</v>
      </c>
      <c r="O2586" s="2">
        <v>0</v>
      </c>
      <c r="P2586" s="2">
        <v>-1500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</row>
    <row r="2587" spans="1:23" outlineLevel="2" x14ac:dyDescent="0.2">
      <c r="A2587" t="s">
        <v>999</v>
      </c>
      <c r="B2587" t="s">
        <v>39</v>
      </c>
      <c r="C2587" t="s">
        <v>58</v>
      </c>
      <c r="D2587" t="s">
        <v>137</v>
      </c>
      <c r="E2587" t="s">
        <v>138</v>
      </c>
      <c r="F2587" t="s">
        <v>837</v>
      </c>
      <c r="G2587" t="s">
        <v>838</v>
      </c>
      <c r="H2587" t="s">
        <v>852</v>
      </c>
      <c r="I2587" t="s">
        <v>853</v>
      </c>
      <c r="J2587" t="s">
        <v>1000</v>
      </c>
      <c r="K2587" t="s">
        <v>1037</v>
      </c>
      <c r="L2587" t="s">
        <v>1066</v>
      </c>
      <c r="M2587" t="s">
        <v>12</v>
      </c>
      <c r="N2587" s="2">
        <v>2000</v>
      </c>
      <c r="O2587" s="2">
        <v>0</v>
      </c>
      <c r="P2587" s="2">
        <v>-2000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</row>
    <row r="2588" spans="1:23" outlineLevel="2" x14ac:dyDescent="0.2">
      <c r="A2588" t="s">
        <v>999</v>
      </c>
      <c r="B2588" t="s">
        <v>39</v>
      </c>
      <c r="C2588" t="s">
        <v>58</v>
      </c>
      <c r="D2588" t="s">
        <v>145</v>
      </c>
      <c r="E2588" t="s">
        <v>146</v>
      </c>
      <c r="F2588" t="s">
        <v>837</v>
      </c>
      <c r="G2588" t="s">
        <v>838</v>
      </c>
      <c r="H2588" t="s">
        <v>852</v>
      </c>
      <c r="I2588" t="s">
        <v>853</v>
      </c>
      <c r="J2588" t="s">
        <v>1000</v>
      </c>
      <c r="K2588" t="s">
        <v>1039</v>
      </c>
      <c r="L2588" t="s">
        <v>1067</v>
      </c>
      <c r="M2588" t="s">
        <v>12</v>
      </c>
      <c r="N2588" s="2">
        <v>1500</v>
      </c>
      <c r="O2588" s="2">
        <v>0</v>
      </c>
      <c r="P2588" s="2">
        <v>-1500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</row>
    <row r="2589" spans="1:23" outlineLevel="2" x14ac:dyDescent="0.2">
      <c r="A2589" t="s">
        <v>999</v>
      </c>
      <c r="B2589" t="s">
        <v>39</v>
      </c>
      <c r="C2589" t="s">
        <v>58</v>
      </c>
      <c r="D2589" t="s">
        <v>149</v>
      </c>
      <c r="E2589" t="s">
        <v>150</v>
      </c>
      <c r="F2589" t="s">
        <v>837</v>
      </c>
      <c r="G2589" t="s">
        <v>838</v>
      </c>
      <c r="H2589" t="s">
        <v>852</v>
      </c>
      <c r="I2589" t="s">
        <v>853</v>
      </c>
      <c r="J2589" t="s">
        <v>1000</v>
      </c>
      <c r="K2589" t="s">
        <v>1039</v>
      </c>
      <c r="L2589" t="s">
        <v>1067</v>
      </c>
      <c r="M2589" t="s">
        <v>12</v>
      </c>
      <c r="N2589" s="2">
        <v>7000</v>
      </c>
      <c r="O2589" s="2">
        <v>0</v>
      </c>
      <c r="P2589" s="2">
        <v>-7000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</row>
    <row r="2590" spans="1:23" outlineLevel="2" x14ac:dyDescent="0.2">
      <c r="A2590" t="s">
        <v>999</v>
      </c>
      <c r="B2590" t="s">
        <v>39</v>
      </c>
      <c r="C2590" t="s">
        <v>58</v>
      </c>
      <c r="D2590" t="s">
        <v>147</v>
      </c>
      <c r="E2590" t="s">
        <v>148</v>
      </c>
      <c r="F2590" t="s">
        <v>837</v>
      </c>
      <c r="G2590" t="s">
        <v>838</v>
      </c>
      <c r="H2590" t="s">
        <v>852</v>
      </c>
      <c r="I2590" t="s">
        <v>853</v>
      </c>
      <c r="J2590" t="s">
        <v>1000</v>
      </c>
      <c r="K2590" t="s">
        <v>1039</v>
      </c>
      <c r="L2590" t="s">
        <v>1067</v>
      </c>
      <c r="M2590" t="s">
        <v>12</v>
      </c>
      <c r="N2590" s="2">
        <v>6000</v>
      </c>
      <c r="O2590" s="2">
        <v>0</v>
      </c>
      <c r="P2590" s="2">
        <v>-6000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</row>
    <row r="2591" spans="1:23" outlineLevel="2" x14ac:dyDescent="0.2">
      <c r="A2591" t="s">
        <v>999</v>
      </c>
      <c r="B2591" t="s">
        <v>39</v>
      </c>
      <c r="C2591" t="s">
        <v>58</v>
      </c>
      <c r="D2591" t="s">
        <v>137</v>
      </c>
      <c r="E2591" t="s">
        <v>138</v>
      </c>
      <c r="F2591" t="s">
        <v>837</v>
      </c>
      <c r="G2591" t="s">
        <v>838</v>
      </c>
      <c r="H2591" t="s">
        <v>852</v>
      </c>
      <c r="I2591" t="s">
        <v>853</v>
      </c>
      <c r="J2591" t="s">
        <v>1000</v>
      </c>
      <c r="K2591" t="s">
        <v>1039</v>
      </c>
      <c r="L2591" t="s">
        <v>1067</v>
      </c>
      <c r="M2591" t="s">
        <v>12</v>
      </c>
      <c r="N2591" s="2">
        <v>2000</v>
      </c>
      <c r="O2591" s="2">
        <v>0</v>
      </c>
      <c r="P2591" s="2">
        <v>-2000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</row>
    <row r="2592" spans="1:23" outlineLevel="2" x14ac:dyDescent="0.2">
      <c r="A2592" t="s">
        <v>999</v>
      </c>
      <c r="B2592" t="s">
        <v>39</v>
      </c>
      <c r="C2592" t="s">
        <v>58</v>
      </c>
      <c r="D2592" t="s">
        <v>59</v>
      </c>
      <c r="E2592" t="s">
        <v>60</v>
      </c>
      <c r="F2592" t="s">
        <v>837</v>
      </c>
      <c r="G2592" t="s">
        <v>838</v>
      </c>
      <c r="H2592" t="s">
        <v>852</v>
      </c>
      <c r="I2592" t="s">
        <v>853</v>
      </c>
      <c r="J2592" t="s">
        <v>1000</v>
      </c>
      <c r="K2592" t="s">
        <v>1039</v>
      </c>
      <c r="L2592" t="s">
        <v>1067</v>
      </c>
      <c r="M2592" t="s">
        <v>12</v>
      </c>
      <c r="N2592" s="2">
        <v>1000</v>
      </c>
      <c r="O2592" s="2">
        <v>0</v>
      </c>
      <c r="P2592" s="2">
        <v>-1000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</row>
    <row r="2593" spans="1:23" outlineLevel="2" x14ac:dyDescent="0.2">
      <c r="A2593" t="s">
        <v>999</v>
      </c>
      <c r="B2593" t="s">
        <v>39</v>
      </c>
      <c r="C2593" t="s">
        <v>58</v>
      </c>
      <c r="D2593" t="s">
        <v>143</v>
      </c>
      <c r="E2593" t="s">
        <v>144</v>
      </c>
      <c r="F2593" t="s">
        <v>837</v>
      </c>
      <c r="G2593" t="s">
        <v>838</v>
      </c>
      <c r="H2593" t="s">
        <v>852</v>
      </c>
      <c r="I2593" t="s">
        <v>853</v>
      </c>
      <c r="J2593" t="s">
        <v>1000</v>
      </c>
      <c r="K2593" t="s">
        <v>1039</v>
      </c>
      <c r="L2593" t="s">
        <v>1067</v>
      </c>
      <c r="M2593" t="s">
        <v>12</v>
      </c>
      <c r="N2593" s="2">
        <v>28000</v>
      </c>
      <c r="O2593" s="2">
        <v>-8553</v>
      </c>
      <c r="P2593" s="2">
        <v>0</v>
      </c>
      <c r="Q2593" s="2">
        <v>19447</v>
      </c>
      <c r="R2593" s="2">
        <v>0</v>
      </c>
      <c r="S2593" s="2">
        <v>19447</v>
      </c>
      <c r="T2593" s="2">
        <v>19447</v>
      </c>
      <c r="U2593" s="2">
        <v>0</v>
      </c>
      <c r="V2593" s="2">
        <v>0</v>
      </c>
      <c r="W2593" s="2">
        <v>0</v>
      </c>
    </row>
    <row r="2594" spans="1:23" outlineLevel="2" x14ac:dyDescent="0.2">
      <c r="A2594" t="s">
        <v>999</v>
      </c>
      <c r="B2594" t="s">
        <v>39</v>
      </c>
      <c r="C2594" t="s">
        <v>58</v>
      </c>
      <c r="D2594" t="s">
        <v>129</v>
      </c>
      <c r="E2594" t="s">
        <v>130</v>
      </c>
      <c r="F2594" t="s">
        <v>837</v>
      </c>
      <c r="G2594" t="s">
        <v>838</v>
      </c>
      <c r="H2594" t="s">
        <v>852</v>
      </c>
      <c r="I2594" t="s">
        <v>853</v>
      </c>
      <c r="J2594" t="s">
        <v>1000</v>
      </c>
      <c r="K2594" t="s">
        <v>1108</v>
      </c>
      <c r="L2594" t="s">
        <v>1109</v>
      </c>
      <c r="M2594" t="s">
        <v>12</v>
      </c>
      <c r="N2594" s="2">
        <v>25000</v>
      </c>
      <c r="O2594" s="2">
        <v>0</v>
      </c>
      <c r="P2594" s="2">
        <v>-1493.44</v>
      </c>
      <c r="Q2594" s="2">
        <v>23506.560000000001</v>
      </c>
      <c r="R2594" s="2">
        <v>0</v>
      </c>
      <c r="S2594" s="2">
        <v>14091.3</v>
      </c>
      <c r="T2594" s="2">
        <v>9794.4</v>
      </c>
      <c r="U2594" s="2">
        <v>9415.26</v>
      </c>
      <c r="V2594" s="2">
        <v>13712.16</v>
      </c>
      <c r="W2594" s="2">
        <v>9415.26</v>
      </c>
    </row>
    <row r="2595" spans="1:23" outlineLevel="2" x14ac:dyDescent="0.2">
      <c r="A2595" t="s">
        <v>999</v>
      </c>
      <c r="B2595" t="s">
        <v>39</v>
      </c>
      <c r="C2595" t="s">
        <v>58</v>
      </c>
      <c r="D2595" t="s">
        <v>143</v>
      </c>
      <c r="E2595" t="s">
        <v>144</v>
      </c>
      <c r="F2595" t="s">
        <v>837</v>
      </c>
      <c r="G2595" t="s">
        <v>838</v>
      </c>
      <c r="H2595" t="s">
        <v>852</v>
      </c>
      <c r="I2595" t="s">
        <v>853</v>
      </c>
      <c r="J2595" t="s">
        <v>1000</v>
      </c>
      <c r="K2595" t="s">
        <v>1108</v>
      </c>
      <c r="L2595" t="s">
        <v>1109</v>
      </c>
      <c r="M2595" t="s">
        <v>12</v>
      </c>
      <c r="N2595" s="2">
        <v>0</v>
      </c>
      <c r="O2595" s="2">
        <v>129191.76</v>
      </c>
      <c r="P2595" s="2">
        <v>0</v>
      </c>
      <c r="Q2595" s="2">
        <v>129191.76</v>
      </c>
      <c r="R2595" s="2">
        <v>0</v>
      </c>
      <c r="S2595" s="2">
        <v>128910.6</v>
      </c>
      <c r="T2595" s="2">
        <v>42970.2</v>
      </c>
      <c r="U2595" s="2">
        <v>281.16000000000003</v>
      </c>
      <c r="V2595" s="2">
        <v>86221.56</v>
      </c>
      <c r="W2595" s="2">
        <v>281.16000000000003</v>
      </c>
    </row>
    <row r="2596" spans="1:23" outlineLevel="2" x14ac:dyDescent="0.2">
      <c r="A2596" t="s">
        <v>999</v>
      </c>
      <c r="B2596" t="s">
        <v>39</v>
      </c>
      <c r="C2596" t="s">
        <v>58</v>
      </c>
      <c r="D2596" t="s">
        <v>129</v>
      </c>
      <c r="E2596" t="s">
        <v>130</v>
      </c>
      <c r="F2596" t="s">
        <v>837</v>
      </c>
      <c r="G2596" t="s">
        <v>838</v>
      </c>
      <c r="H2596" t="s">
        <v>852</v>
      </c>
      <c r="I2596" t="s">
        <v>853</v>
      </c>
      <c r="J2596" t="s">
        <v>1000</v>
      </c>
      <c r="K2596" t="s">
        <v>1110</v>
      </c>
      <c r="L2596" t="s">
        <v>1111</v>
      </c>
      <c r="M2596" t="s">
        <v>12</v>
      </c>
      <c r="N2596" s="2">
        <v>5000</v>
      </c>
      <c r="O2596" s="2">
        <v>-140.1</v>
      </c>
      <c r="P2596" s="2">
        <v>0</v>
      </c>
      <c r="Q2596" s="2">
        <v>4859.8999999999996</v>
      </c>
      <c r="R2596" s="2">
        <v>92.38</v>
      </c>
      <c r="S2596" s="2">
        <v>2794.82</v>
      </c>
      <c r="T2596" s="2">
        <v>1619.96</v>
      </c>
      <c r="U2596" s="2">
        <v>2065.08</v>
      </c>
      <c r="V2596" s="2">
        <v>3239.94</v>
      </c>
      <c r="W2596" s="2">
        <v>1972.7</v>
      </c>
    </row>
    <row r="2597" spans="1:23" outlineLevel="2" x14ac:dyDescent="0.2">
      <c r="A2597" t="s">
        <v>999</v>
      </c>
      <c r="B2597" t="s">
        <v>39</v>
      </c>
      <c r="C2597" t="s">
        <v>58</v>
      </c>
      <c r="D2597" t="s">
        <v>135</v>
      </c>
      <c r="E2597" t="s">
        <v>136</v>
      </c>
      <c r="F2597" t="s">
        <v>837</v>
      </c>
      <c r="G2597" t="s">
        <v>838</v>
      </c>
      <c r="H2597" t="s">
        <v>852</v>
      </c>
      <c r="I2597" t="s">
        <v>853</v>
      </c>
      <c r="J2597" t="s">
        <v>1000</v>
      </c>
      <c r="K2597" t="s">
        <v>1068</v>
      </c>
      <c r="L2597" t="s">
        <v>1069</v>
      </c>
      <c r="M2597" t="s">
        <v>12</v>
      </c>
      <c r="N2597" s="2">
        <v>500</v>
      </c>
      <c r="O2597" s="2">
        <v>0</v>
      </c>
      <c r="P2597" s="2">
        <v>-500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</row>
    <row r="2598" spans="1:23" outlineLevel="2" x14ac:dyDescent="0.2">
      <c r="A2598" t="s">
        <v>999</v>
      </c>
      <c r="B2598" t="s">
        <v>39</v>
      </c>
      <c r="C2598" t="s">
        <v>58</v>
      </c>
      <c r="D2598" t="s">
        <v>143</v>
      </c>
      <c r="E2598" t="s">
        <v>144</v>
      </c>
      <c r="F2598" t="s">
        <v>837</v>
      </c>
      <c r="G2598" t="s">
        <v>838</v>
      </c>
      <c r="H2598" t="s">
        <v>852</v>
      </c>
      <c r="I2598" t="s">
        <v>853</v>
      </c>
      <c r="J2598" t="s">
        <v>1000</v>
      </c>
      <c r="K2598" t="s">
        <v>1003</v>
      </c>
      <c r="L2598" t="s">
        <v>1112</v>
      </c>
      <c r="M2598" t="s">
        <v>12</v>
      </c>
      <c r="N2598" s="2">
        <v>80000</v>
      </c>
      <c r="O2598" s="2">
        <v>-41572</v>
      </c>
      <c r="P2598" s="2">
        <v>0</v>
      </c>
      <c r="Q2598" s="2">
        <v>38428</v>
      </c>
      <c r="R2598" s="2">
        <v>0</v>
      </c>
      <c r="S2598" s="2">
        <v>38113.120000000003</v>
      </c>
      <c r="T2598" s="2">
        <v>30455.81</v>
      </c>
      <c r="U2598" s="2">
        <v>314.88</v>
      </c>
      <c r="V2598" s="2">
        <v>7972.19</v>
      </c>
      <c r="W2598" s="2">
        <v>314.88</v>
      </c>
    </row>
    <row r="2599" spans="1:23" outlineLevel="2" x14ac:dyDescent="0.2">
      <c r="A2599" t="s">
        <v>999</v>
      </c>
      <c r="B2599" t="s">
        <v>39</v>
      </c>
      <c r="C2599" t="s">
        <v>58</v>
      </c>
      <c r="D2599" t="s">
        <v>145</v>
      </c>
      <c r="E2599" t="s">
        <v>146</v>
      </c>
      <c r="F2599" t="s">
        <v>837</v>
      </c>
      <c r="G2599" t="s">
        <v>838</v>
      </c>
      <c r="H2599" t="s">
        <v>852</v>
      </c>
      <c r="I2599" t="s">
        <v>853</v>
      </c>
      <c r="J2599" t="s">
        <v>1000</v>
      </c>
      <c r="K2599" t="s">
        <v>1003</v>
      </c>
      <c r="L2599" t="s">
        <v>1112</v>
      </c>
      <c r="M2599" t="s">
        <v>12</v>
      </c>
      <c r="N2599" s="2">
        <v>7500</v>
      </c>
      <c r="O2599" s="2">
        <v>0</v>
      </c>
      <c r="P2599" s="2">
        <v>-7500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</row>
    <row r="2600" spans="1:23" outlineLevel="2" x14ac:dyDescent="0.2">
      <c r="A2600" t="s">
        <v>999</v>
      </c>
      <c r="B2600" t="s">
        <v>39</v>
      </c>
      <c r="C2600" t="s">
        <v>58</v>
      </c>
      <c r="D2600" t="s">
        <v>135</v>
      </c>
      <c r="E2600" t="s">
        <v>136</v>
      </c>
      <c r="F2600" t="s">
        <v>837</v>
      </c>
      <c r="G2600" t="s">
        <v>838</v>
      </c>
      <c r="H2600" t="s">
        <v>852</v>
      </c>
      <c r="I2600" t="s">
        <v>853</v>
      </c>
      <c r="J2600" t="s">
        <v>1000</v>
      </c>
      <c r="K2600" t="s">
        <v>1003</v>
      </c>
      <c r="L2600" t="s">
        <v>1112</v>
      </c>
      <c r="M2600" t="s">
        <v>12</v>
      </c>
      <c r="N2600" s="2">
        <v>3000</v>
      </c>
      <c r="O2600" s="2">
        <v>0</v>
      </c>
      <c r="P2600" s="2">
        <v>-3000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</row>
    <row r="2601" spans="1:23" outlineLevel="2" x14ac:dyDescent="0.2">
      <c r="A2601" t="s">
        <v>999</v>
      </c>
      <c r="B2601" t="s">
        <v>39</v>
      </c>
      <c r="C2601" t="s">
        <v>58</v>
      </c>
      <c r="D2601" t="s">
        <v>149</v>
      </c>
      <c r="E2601" t="s">
        <v>150</v>
      </c>
      <c r="F2601" t="s">
        <v>837</v>
      </c>
      <c r="G2601" t="s">
        <v>838</v>
      </c>
      <c r="H2601" t="s">
        <v>852</v>
      </c>
      <c r="I2601" t="s">
        <v>853</v>
      </c>
      <c r="J2601" t="s">
        <v>1000</v>
      </c>
      <c r="K2601" t="s">
        <v>1003</v>
      </c>
      <c r="L2601" t="s">
        <v>1112</v>
      </c>
      <c r="M2601" t="s">
        <v>12</v>
      </c>
      <c r="N2601" s="2">
        <v>10000</v>
      </c>
      <c r="O2601" s="2">
        <v>0</v>
      </c>
      <c r="P2601" s="2">
        <v>-10000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</row>
    <row r="2602" spans="1:23" outlineLevel="2" x14ac:dyDescent="0.2">
      <c r="A2602" t="s">
        <v>999</v>
      </c>
      <c r="B2602" t="s">
        <v>39</v>
      </c>
      <c r="C2602" t="s">
        <v>58</v>
      </c>
      <c r="D2602" t="s">
        <v>137</v>
      </c>
      <c r="E2602" t="s">
        <v>138</v>
      </c>
      <c r="F2602" t="s">
        <v>837</v>
      </c>
      <c r="G2602" t="s">
        <v>838</v>
      </c>
      <c r="H2602" t="s">
        <v>852</v>
      </c>
      <c r="I2602" t="s">
        <v>853</v>
      </c>
      <c r="J2602" t="s">
        <v>1000</v>
      </c>
      <c r="K2602" t="s">
        <v>1003</v>
      </c>
      <c r="L2602" t="s">
        <v>1112</v>
      </c>
      <c r="M2602" t="s">
        <v>12</v>
      </c>
      <c r="N2602" s="2">
        <v>2000</v>
      </c>
      <c r="O2602" s="2">
        <v>0</v>
      </c>
      <c r="P2602" s="2">
        <v>-2000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</row>
    <row r="2603" spans="1:23" outlineLevel="2" x14ac:dyDescent="0.2">
      <c r="A2603" t="s">
        <v>999</v>
      </c>
      <c r="B2603" t="s">
        <v>39</v>
      </c>
      <c r="C2603" t="s">
        <v>58</v>
      </c>
      <c r="D2603" t="s">
        <v>129</v>
      </c>
      <c r="E2603" t="s">
        <v>130</v>
      </c>
      <c r="F2603" t="s">
        <v>837</v>
      </c>
      <c r="G2603" t="s">
        <v>838</v>
      </c>
      <c r="H2603" t="s">
        <v>852</v>
      </c>
      <c r="I2603" t="s">
        <v>853</v>
      </c>
      <c r="J2603" t="s">
        <v>1000</v>
      </c>
      <c r="K2603" t="s">
        <v>1003</v>
      </c>
      <c r="L2603" t="s">
        <v>1112</v>
      </c>
      <c r="M2603" t="s">
        <v>12</v>
      </c>
      <c r="N2603" s="2">
        <v>3000</v>
      </c>
      <c r="O2603" s="2">
        <v>14000</v>
      </c>
      <c r="P2603" s="2">
        <v>0</v>
      </c>
      <c r="Q2603" s="2">
        <v>17000</v>
      </c>
      <c r="R2603" s="2">
        <v>2456.8000000000002</v>
      </c>
      <c r="S2603" s="2">
        <v>14543.2</v>
      </c>
      <c r="T2603" s="2">
        <v>0</v>
      </c>
      <c r="U2603" s="2">
        <v>2456.8000000000002</v>
      </c>
      <c r="V2603" s="2">
        <v>17000</v>
      </c>
      <c r="W2603" s="2">
        <v>0</v>
      </c>
    </row>
    <row r="2604" spans="1:23" outlineLevel="2" x14ac:dyDescent="0.2">
      <c r="A2604" t="s">
        <v>999</v>
      </c>
      <c r="B2604" t="s">
        <v>39</v>
      </c>
      <c r="C2604" t="s">
        <v>58</v>
      </c>
      <c r="D2604" t="s">
        <v>139</v>
      </c>
      <c r="E2604" t="s">
        <v>140</v>
      </c>
      <c r="F2604" t="s">
        <v>837</v>
      </c>
      <c r="G2604" t="s">
        <v>838</v>
      </c>
      <c r="H2604" t="s">
        <v>852</v>
      </c>
      <c r="I2604" t="s">
        <v>853</v>
      </c>
      <c r="J2604" t="s">
        <v>1000</v>
      </c>
      <c r="K2604" t="s">
        <v>1003</v>
      </c>
      <c r="L2604" t="s">
        <v>1112</v>
      </c>
      <c r="M2604" t="s">
        <v>12</v>
      </c>
      <c r="N2604" s="2">
        <v>52000</v>
      </c>
      <c r="O2604" s="2">
        <v>0</v>
      </c>
      <c r="P2604" s="2">
        <v>-52000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</row>
    <row r="2605" spans="1:23" outlineLevel="2" x14ac:dyDescent="0.2">
      <c r="A2605" t="s">
        <v>999</v>
      </c>
      <c r="B2605" t="s">
        <v>39</v>
      </c>
      <c r="C2605" t="s">
        <v>58</v>
      </c>
      <c r="D2605" t="s">
        <v>59</v>
      </c>
      <c r="E2605" t="s">
        <v>60</v>
      </c>
      <c r="F2605" t="s">
        <v>837</v>
      </c>
      <c r="G2605" t="s">
        <v>838</v>
      </c>
      <c r="H2605" t="s">
        <v>852</v>
      </c>
      <c r="I2605" t="s">
        <v>853</v>
      </c>
      <c r="J2605" t="s">
        <v>1000</v>
      </c>
      <c r="K2605" t="s">
        <v>1003</v>
      </c>
      <c r="L2605" t="s">
        <v>1112</v>
      </c>
      <c r="M2605" t="s">
        <v>12</v>
      </c>
      <c r="N2605" s="2">
        <v>6400</v>
      </c>
      <c r="O2605" s="2">
        <v>0</v>
      </c>
      <c r="P2605" s="2">
        <v>-6400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</row>
    <row r="2606" spans="1:23" outlineLevel="2" x14ac:dyDescent="0.2">
      <c r="A2606" t="s">
        <v>999</v>
      </c>
      <c r="B2606" t="s">
        <v>39</v>
      </c>
      <c r="C2606" t="s">
        <v>58</v>
      </c>
      <c r="D2606" t="s">
        <v>147</v>
      </c>
      <c r="E2606" t="s">
        <v>148</v>
      </c>
      <c r="F2606" t="s">
        <v>837</v>
      </c>
      <c r="G2606" t="s">
        <v>838</v>
      </c>
      <c r="H2606" t="s">
        <v>852</v>
      </c>
      <c r="I2606" t="s">
        <v>853</v>
      </c>
      <c r="J2606" t="s">
        <v>1000</v>
      </c>
      <c r="K2606" t="s">
        <v>1003</v>
      </c>
      <c r="L2606" t="s">
        <v>1112</v>
      </c>
      <c r="M2606" t="s">
        <v>12</v>
      </c>
      <c r="N2606" s="2">
        <v>6000</v>
      </c>
      <c r="O2606" s="2">
        <v>13080.9</v>
      </c>
      <c r="P2606" s="2">
        <v>0</v>
      </c>
      <c r="Q2606" s="2">
        <v>19080.900000000001</v>
      </c>
      <c r="R2606" s="2">
        <v>19080.900000000001</v>
      </c>
      <c r="S2606" s="2">
        <v>0</v>
      </c>
      <c r="T2606" s="2">
        <v>0</v>
      </c>
      <c r="U2606" s="2">
        <v>19080.900000000001</v>
      </c>
      <c r="V2606" s="2">
        <v>19080.900000000001</v>
      </c>
      <c r="W2606" s="2">
        <v>0</v>
      </c>
    </row>
    <row r="2607" spans="1:23" outlineLevel="2" x14ac:dyDescent="0.2">
      <c r="A2607" t="s">
        <v>999</v>
      </c>
      <c r="B2607" t="s">
        <v>39</v>
      </c>
      <c r="C2607" t="s">
        <v>58</v>
      </c>
      <c r="D2607" t="s">
        <v>143</v>
      </c>
      <c r="E2607" t="s">
        <v>144</v>
      </c>
      <c r="F2607" t="s">
        <v>837</v>
      </c>
      <c r="G2607" t="s">
        <v>838</v>
      </c>
      <c r="H2607" t="s">
        <v>852</v>
      </c>
      <c r="I2607" t="s">
        <v>853</v>
      </c>
      <c r="J2607" t="s">
        <v>1000</v>
      </c>
      <c r="K2607" t="s">
        <v>1113</v>
      </c>
      <c r="L2607" t="s">
        <v>1114</v>
      </c>
      <c r="M2607" t="s">
        <v>12</v>
      </c>
      <c r="N2607" s="2">
        <v>20000</v>
      </c>
      <c r="O2607" s="2">
        <v>-20000</v>
      </c>
      <c r="P2607" s="2">
        <v>0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</row>
    <row r="2608" spans="1:23" outlineLevel="2" x14ac:dyDescent="0.2">
      <c r="A2608" t="s">
        <v>999</v>
      </c>
      <c r="B2608" t="s">
        <v>39</v>
      </c>
      <c r="C2608" t="s">
        <v>58</v>
      </c>
      <c r="D2608" t="s">
        <v>145</v>
      </c>
      <c r="E2608" t="s">
        <v>146</v>
      </c>
      <c r="F2608" t="s">
        <v>837</v>
      </c>
      <c r="G2608" t="s">
        <v>838</v>
      </c>
      <c r="H2608" t="s">
        <v>852</v>
      </c>
      <c r="I2608" t="s">
        <v>853</v>
      </c>
      <c r="J2608" t="s">
        <v>1000</v>
      </c>
      <c r="K2608" t="s">
        <v>1009</v>
      </c>
      <c r="L2608" t="s">
        <v>1115</v>
      </c>
      <c r="M2608" t="s">
        <v>12</v>
      </c>
      <c r="N2608" s="2">
        <v>1500</v>
      </c>
      <c r="O2608" s="2">
        <v>0</v>
      </c>
      <c r="P2608" s="2">
        <v>-1500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</row>
    <row r="2609" spans="1:23" outlineLevel="2" x14ac:dyDescent="0.2">
      <c r="A2609" t="s">
        <v>999</v>
      </c>
      <c r="B2609" t="s">
        <v>39</v>
      </c>
      <c r="C2609" t="s">
        <v>58</v>
      </c>
      <c r="D2609" t="s">
        <v>137</v>
      </c>
      <c r="E2609" t="s">
        <v>138</v>
      </c>
      <c r="F2609" t="s">
        <v>837</v>
      </c>
      <c r="G2609" t="s">
        <v>838</v>
      </c>
      <c r="H2609" t="s">
        <v>852</v>
      </c>
      <c r="I2609" t="s">
        <v>853</v>
      </c>
      <c r="J2609" t="s">
        <v>1000</v>
      </c>
      <c r="K2609" t="s">
        <v>1009</v>
      </c>
      <c r="L2609" t="s">
        <v>1115</v>
      </c>
      <c r="M2609" t="s">
        <v>12</v>
      </c>
      <c r="N2609" s="2">
        <v>2000</v>
      </c>
      <c r="O2609" s="2">
        <v>0</v>
      </c>
      <c r="P2609" s="2">
        <v>-2000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</row>
    <row r="2610" spans="1:23" outlineLevel="2" x14ac:dyDescent="0.2">
      <c r="A2610" t="s">
        <v>999</v>
      </c>
      <c r="B2610" t="s">
        <v>39</v>
      </c>
      <c r="C2610" t="s">
        <v>58</v>
      </c>
      <c r="D2610" t="s">
        <v>149</v>
      </c>
      <c r="E2610" t="s">
        <v>150</v>
      </c>
      <c r="F2610" t="s">
        <v>837</v>
      </c>
      <c r="G2610" t="s">
        <v>838</v>
      </c>
      <c r="H2610" t="s">
        <v>852</v>
      </c>
      <c r="I2610" t="s">
        <v>853</v>
      </c>
      <c r="J2610" t="s">
        <v>1000</v>
      </c>
      <c r="K2610" t="s">
        <v>1009</v>
      </c>
      <c r="L2610" t="s">
        <v>1115</v>
      </c>
      <c r="M2610" t="s">
        <v>12</v>
      </c>
      <c r="N2610" s="2">
        <v>844</v>
      </c>
      <c r="O2610" s="2">
        <v>0</v>
      </c>
      <c r="P2610" s="2">
        <v>-844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</row>
    <row r="2611" spans="1:23" outlineLevel="2" x14ac:dyDescent="0.2">
      <c r="A2611" t="s">
        <v>999</v>
      </c>
      <c r="B2611" t="s">
        <v>39</v>
      </c>
      <c r="C2611" t="s">
        <v>58</v>
      </c>
      <c r="D2611" t="s">
        <v>147</v>
      </c>
      <c r="E2611" t="s">
        <v>148</v>
      </c>
      <c r="F2611" t="s">
        <v>837</v>
      </c>
      <c r="G2611" t="s">
        <v>838</v>
      </c>
      <c r="H2611" t="s">
        <v>852</v>
      </c>
      <c r="I2611" t="s">
        <v>853</v>
      </c>
      <c r="J2611" t="s">
        <v>1000</v>
      </c>
      <c r="K2611" t="s">
        <v>1011</v>
      </c>
      <c r="L2611" t="s">
        <v>1073</v>
      </c>
      <c r="M2611" t="s">
        <v>12</v>
      </c>
      <c r="N2611" s="2">
        <v>800</v>
      </c>
      <c r="O2611" s="2">
        <v>0</v>
      </c>
      <c r="P2611" s="2">
        <v>-800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</row>
    <row r="2612" spans="1:23" outlineLevel="2" x14ac:dyDescent="0.2">
      <c r="A2612" t="s">
        <v>999</v>
      </c>
      <c r="B2612" t="s">
        <v>39</v>
      </c>
      <c r="C2612" t="s">
        <v>58</v>
      </c>
      <c r="D2612" t="s">
        <v>135</v>
      </c>
      <c r="E2612" t="s">
        <v>136</v>
      </c>
      <c r="F2612" t="s">
        <v>837</v>
      </c>
      <c r="G2612" t="s">
        <v>838</v>
      </c>
      <c r="H2612" t="s">
        <v>852</v>
      </c>
      <c r="I2612" t="s">
        <v>853</v>
      </c>
      <c r="J2612" t="s">
        <v>1000</v>
      </c>
      <c r="K2612" t="s">
        <v>1017</v>
      </c>
      <c r="L2612" t="s">
        <v>1077</v>
      </c>
      <c r="M2612" t="s">
        <v>12</v>
      </c>
      <c r="N2612" s="2">
        <v>100845.48</v>
      </c>
      <c r="O2612" s="2">
        <v>0</v>
      </c>
      <c r="P2612" s="2">
        <v>-100845.48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</row>
    <row r="2613" spans="1:23" outlineLevel="2" x14ac:dyDescent="0.2">
      <c r="A2613" t="s">
        <v>999</v>
      </c>
      <c r="B2613" t="s">
        <v>39</v>
      </c>
      <c r="C2613" t="s">
        <v>58</v>
      </c>
      <c r="D2613" t="s">
        <v>105</v>
      </c>
      <c r="E2613" t="s">
        <v>106</v>
      </c>
      <c r="F2613" t="s">
        <v>837</v>
      </c>
      <c r="G2613" t="s">
        <v>838</v>
      </c>
      <c r="H2613" t="s">
        <v>852</v>
      </c>
      <c r="I2613" t="s">
        <v>853</v>
      </c>
      <c r="J2613" t="s">
        <v>1000</v>
      </c>
      <c r="K2613" t="s">
        <v>1017</v>
      </c>
      <c r="L2613" t="s">
        <v>1077</v>
      </c>
      <c r="M2613" t="s">
        <v>12</v>
      </c>
      <c r="N2613" s="2">
        <v>38845.800000000003</v>
      </c>
      <c r="O2613" s="2">
        <v>-9237.36</v>
      </c>
      <c r="P2613" s="2">
        <v>-29608.44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</row>
    <row r="2614" spans="1:23" outlineLevel="2" x14ac:dyDescent="0.2">
      <c r="A2614" t="s">
        <v>999</v>
      </c>
      <c r="B2614" t="s">
        <v>39</v>
      </c>
      <c r="C2614" t="s">
        <v>58</v>
      </c>
      <c r="D2614" t="s">
        <v>143</v>
      </c>
      <c r="E2614" t="s">
        <v>144</v>
      </c>
      <c r="F2614" t="s">
        <v>837</v>
      </c>
      <c r="G2614" t="s">
        <v>838</v>
      </c>
      <c r="H2614" t="s">
        <v>852</v>
      </c>
      <c r="I2614" t="s">
        <v>853</v>
      </c>
      <c r="J2614" t="s">
        <v>1000</v>
      </c>
      <c r="K2614" t="s">
        <v>1078</v>
      </c>
      <c r="L2614" t="s">
        <v>1079</v>
      </c>
      <c r="M2614" t="s">
        <v>12</v>
      </c>
      <c r="N2614" s="2">
        <v>17000</v>
      </c>
      <c r="O2614" s="2">
        <v>-17000</v>
      </c>
      <c r="P2614" s="2">
        <v>0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</row>
    <row r="2615" spans="1:23" outlineLevel="2" x14ac:dyDescent="0.2">
      <c r="A2615" t="s">
        <v>999</v>
      </c>
      <c r="B2615" t="s">
        <v>39</v>
      </c>
      <c r="C2615" t="s">
        <v>58</v>
      </c>
      <c r="D2615" t="s">
        <v>135</v>
      </c>
      <c r="E2615" t="s">
        <v>136</v>
      </c>
      <c r="F2615" t="s">
        <v>837</v>
      </c>
      <c r="G2615" t="s">
        <v>838</v>
      </c>
      <c r="H2615" t="s">
        <v>852</v>
      </c>
      <c r="I2615" t="s">
        <v>853</v>
      </c>
      <c r="J2615" t="s">
        <v>1000</v>
      </c>
      <c r="K2615" t="s">
        <v>1078</v>
      </c>
      <c r="L2615" t="s">
        <v>1079</v>
      </c>
      <c r="M2615" t="s">
        <v>12</v>
      </c>
      <c r="N2615" s="2">
        <v>25000</v>
      </c>
      <c r="O2615" s="2">
        <v>0</v>
      </c>
      <c r="P2615" s="2">
        <v>-25000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</row>
    <row r="2616" spans="1:23" outlineLevel="2" x14ac:dyDescent="0.2">
      <c r="A2616" t="s">
        <v>999</v>
      </c>
      <c r="B2616" t="s">
        <v>39</v>
      </c>
      <c r="C2616" t="s">
        <v>58</v>
      </c>
      <c r="D2616" t="s">
        <v>147</v>
      </c>
      <c r="E2616" t="s">
        <v>148</v>
      </c>
      <c r="F2616" t="s">
        <v>837</v>
      </c>
      <c r="G2616" t="s">
        <v>838</v>
      </c>
      <c r="H2616" t="s">
        <v>852</v>
      </c>
      <c r="I2616" t="s">
        <v>853</v>
      </c>
      <c r="J2616" t="s">
        <v>1000</v>
      </c>
      <c r="K2616" t="s">
        <v>1078</v>
      </c>
      <c r="L2616" t="s">
        <v>1079</v>
      </c>
      <c r="M2616" t="s">
        <v>12</v>
      </c>
      <c r="N2616" s="2">
        <v>40000</v>
      </c>
      <c r="O2616" s="2">
        <v>0</v>
      </c>
      <c r="P2616" s="2">
        <v>-32160</v>
      </c>
      <c r="Q2616" s="2">
        <v>7840</v>
      </c>
      <c r="R2616" s="2">
        <v>0</v>
      </c>
      <c r="S2616" s="2">
        <v>7840</v>
      </c>
      <c r="T2616" s="2">
        <v>7840</v>
      </c>
      <c r="U2616" s="2">
        <v>0</v>
      </c>
      <c r="V2616" s="2">
        <v>0</v>
      </c>
      <c r="W2616" s="2">
        <v>0</v>
      </c>
    </row>
    <row r="2617" spans="1:23" outlineLevel="2" x14ac:dyDescent="0.2">
      <c r="A2617" t="s">
        <v>999</v>
      </c>
      <c r="B2617" t="s">
        <v>39</v>
      </c>
      <c r="C2617" t="s">
        <v>58</v>
      </c>
      <c r="D2617" t="s">
        <v>105</v>
      </c>
      <c r="E2617" t="s">
        <v>106</v>
      </c>
      <c r="F2617" t="s">
        <v>837</v>
      </c>
      <c r="G2617" t="s">
        <v>838</v>
      </c>
      <c r="H2617" t="s">
        <v>852</v>
      </c>
      <c r="I2617" t="s">
        <v>853</v>
      </c>
      <c r="J2617" t="s">
        <v>1000</v>
      </c>
      <c r="K2617" t="s">
        <v>1078</v>
      </c>
      <c r="L2617" t="s">
        <v>1079</v>
      </c>
      <c r="M2617" t="s">
        <v>12</v>
      </c>
      <c r="N2617" s="2">
        <v>3456</v>
      </c>
      <c r="O2617" s="2">
        <v>0</v>
      </c>
      <c r="P2617" s="2">
        <v>0</v>
      </c>
      <c r="Q2617" s="2">
        <v>3456</v>
      </c>
      <c r="R2617" s="2">
        <v>0</v>
      </c>
      <c r="S2617" s="2">
        <v>0</v>
      </c>
      <c r="T2617" s="2">
        <v>0</v>
      </c>
      <c r="U2617" s="2">
        <v>3456</v>
      </c>
      <c r="V2617" s="2">
        <v>3456</v>
      </c>
      <c r="W2617" s="2">
        <v>3456</v>
      </c>
    </row>
    <row r="2618" spans="1:23" outlineLevel="2" x14ac:dyDescent="0.2">
      <c r="A2618" t="s">
        <v>999</v>
      </c>
      <c r="B2618" t="s">
        <v>39</v>
      </c>
      <c r="C2618" t="s">
        <v>58</v>
      </c>
      <c r="D2618" t="s">
        <v>145</v>
      </c>
      <c r="E2618" t="s">
        <v>146</v>
      </c>
      <c r="F2618" t="s">
        <v>837</v>
      </c>
      <c r="G2618" t="s">
        <v>838</v>
      </c>
      <c r="H2618" t="s">
        <v>852</v>
      </c>
      <c r="I2618" t="s">
        <v>853</v>
      </c>
      <c r="J2618" t="s">
        <v>1000</v>
      </c>
      <c r="K2618" t="s">
        <v>1078</v>
      </c>
      <c r="L2618" t="s">
        <v>1079</v>
      </c>
      <c r="M2618" t="s">
        <v>12</v>
      </c>
      <c r="N2618" s="2">
        <v>11100</v>
      </c>
      <c r="O2618" s="2">
        <v>0</v>
      </c>
      <c r="P2618" s="2">
        <v>-11100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</row>
    <row r="2619" spans="1:23" outlineLevel="2" x14ac:dyDescent="0.2">
      <c r="A2619" t="s">
        <v>999</v>
      </c>
      <c r="B2619" t="s">
        <v>39</v>
      </c>
      <c r="C2619" t="s">
        <v>58</v>
      </c>
      <c r="D2619" t="s">
        <v>137</v>
      </c>
      <c r="E2619" t="s">
        <v>138</v>
      </c>
      <c r="F2619" t="s">
        <v>837</v>
      </c>
      <c r="G2619" t="s">
        <v>838</v>
      </c>
      <c r="H2619" t="s">
        <v>852</v>
      </c>
      <c r="I2619" t="s">
        <v>853</v>
      </c>
      <c r="J2619" t="s">
        <v>1000</v>
      </c>
      <c r="K2619" t="s">
        <v>1078</v>
      </c>
      <c r="L2619" t="s">
        <v>1079</v>
      </c>
      <c r="M2619" t="s">
        <v>12</v>
      </c>
      <c r="N2619" s="2">
        <v>16000</v>
      </c>
      <c r="O2619" s="2">
        <v>0</v>
      </c>
      <c r="P2619" s="2">
        <v>-16000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</row>
    <row r="2620" spans="1:23" outlineLevel="2" x14ac:dyDescent="0.2">
      <c r="A2620" t="s">
        <v>999</v>
      </c>
      <c r="B2620" t="s">
        <v>39</v>
      </c>
      <c r="C2620" t="s">
        <v>58</v>
      </c>
      <c r="D2620" t="s">
        <v>149</v>
      </c>
      <c r="E2620" t="s">
        <v>150</v>
      </c>
      <c r="F2620" t="s">
        <v>837</v>
      </c>
      <c r="G2620" t="s">
        <v>838</v>
      </c>
      <c r="H2620" t="s">
        <v>852</v>
      </c>
      <c r="I2620" t="s">
        <v>853</v>
      </c>
      <c r="J2620" t="s">
        <v>1000</v>
      </c>
      <c r="K2620" t="s">
        <v>1078</v>
      </c>
      <c r="L2620" t="s">
        <v>1079</v>
      </c>
      <c r="M2620" t="s">
        <v>12</v>
      </c>
      <c r="N2620" s="2">
        <v>27000</v>
      </c>
      <c r="O2620" s="2">
        <v>0</v>
      </c>
      <c r="P2620" s="2">
        <v>-27000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</row>
    <row r="2621" spans="1:23" outlineLevel="2" x14ac:dyDescent="0.2">
      <c r="A2621" t="s">
        <v>999</v>
      </c>
      <c r="B2621" t="s">
        <v>39</v>
      </c>
      <c r="C2621" t="s">
        <v>58</v>
      </c>
      <c r="D2621" t="s">
        <v>59</v>
      </c>
      <c r="E2621" t="s">
        <v>60</v>
      </c>
      <c r="F2621" t="s">
        <v>837</v>
      </c>
      <c r="G2621" t="s">
        <v>838</v>
      </c>
      <c r="H2621" t="s">
        <v>852</v>
      </c>
      <c r="I2621" t="s">
        <v>853</v>
      </c>
      <c r="J2621" t="s">
        <v>1000</v>
      </c>
      <c r="K2621" t="s">
        <v>1078</v>
      </c>
      <c r="L2621" t="s">
        <v>1079</v>
      </c>
      <c r="M2621" t="s">
        <v>12</v>
      </c>
      <c r="N2621" s="2">
        <v>9000</v>
      </c>
      <c r="O2621" s="2">
        <v>0</v>
      </c>
      <c r="P2621" s="2">
        <v>-9000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</row>
    <row r="2622" spans="1:23" outlineLevel="2" x14ac:dyDescent="0.2">
      <c r="A2622" t="s">
        <v>999</v>
      </c>
      <c r="B2622" t="s">
        <v>39</v>
      </c>
      <c r="C2622" t="s">
        <v>58</v>
      </c>
      <c r="D2622" t="s">
        <v>129</v>
      </c>
      <c r="E2622" t="s">
        <v>130</v>
      </c>
      <c r="F2622" t="s">
        <v>837</v>
      </c>
      <c r="G2622" t="s">
        <v>838</v>
      </c>
      <c r="H2622" t="s">
        <v>852</v>
      </c>
      <c r="I2622" t="s">
        <v>853</v>
      </c>
      <c r="J2622" t="s">
        <v>1000</v>
      </c>
      <c r="K2622" t="s">
        <v>1078</v>
      </c>
      <c r="L2622" t="s">
        <v>1079</v>
      </c>
      <c r="M2622" t="s">
        <v>12</v>
      </c>
      <c r="N2622" s="2">
        <v>7500</v>
      </c>
      <c r="O2622" s="2">
        <v>-2090.4</v>
      </c>
      <c r="P2622" s="2">
        <v>0</v>
      </c>
      <c r="Q2622" s="2">
        <v>5409.6</v>
      </c>
      <c r="R2622" s="2">
        <v>0</v>
      </c>
      <c r="S2622" s="2">
        <v>5409.6</v>
      </c>
      <c r="T2622" s="2">
        <v>0</v>
      </c>
      <c r="U2622" s="2">
        <v>0</v>
      </c>
      <c r="V2622" s="2">
        <v>5409.6</v>
      </c>
      <c r="W2622" s="2">
        <v>0</v>
      </c>
    </row>
    <row r="2623" spans="1:23" outlineLevel="2" x14ac:dyDescent="0.2">
      <c r="A2623" t="s">
        <v>999</v>
      </c>
      <c r="B2623" t="s">
        <v>39</v>
      </c>
      <c r="C2623" t="s">
        <v>58</v>
      </c>
      <c r="D2623" t="s">
        <v>139</v>
      </c>
      <c r="E2623" t="s">
        <v>140</v>
      </c>
      <c r="F2623" t="s">
        <v>837</v>
      </c>
      <c r="G2623" t="s">
        <v>838</v>
      </c>
      <c r="H2623" t="s">
        <v>852</v>
      </c>
      <c r="I2623" t="s">
        <v>853</v>
      </c>
      <c r="J2623" t="s">
        <v>1000</v>
      </c>
      <c r="K2623" t="s">
        <v>1078</v>
      </c>
      <c r="L2623" t="s">
        <v>1079</v>
      </c>
      <c r="M2623" t="s">
        <v>12</v>
      </c>
      <c r="N2623" s="2">
        <v>4000</v>
      </c>
      <c r="O2623" s="2">
        <v>0</v>
      </c>
      <c r="P2623" s="2">
        <v>-4000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</row>
    <row r="2624" spans="1:23" outlineLevel="2" x14ac:dyDescent="0.2">
      <c r="A2624" t="s">
        <v>999</v>
      </c>
      <c r="B2624" t="s">
        <v>39</v>
      </c>
      <c r="C2624" t="s">
        <v>58</v>
      </c>
      <c r="D2624" t="s">
        <v>147</v>
      </c>
      <c r="E2624" t="s">
        <v>148</v>
      </c>
      <c r="F2624" t="s">
        <v>837</v>
      </c>
      <c r="G2624" t="s">
        <v>838</v>
      </c>
      <c r="H2624" t="s">
        <v>852</v>
      </c>
      <c r="I2624" t="s">
        <v>853</v>
      </c>
      <c r="J2624" t="s">
        <v>1000</v>
      </c>
      <c r="K2624" t="s">
        <v>1116</v>
      </c>
      <c r="L2624" t="s">
        <v>1117</v>
      </c>
      <c r="M2624" t="s">
        <v>12</v>
      </c>
      <c r="N2624" s="2">
        <v>2000</v>
      </c>
      <c r="O2624" s="2">
        <v>0</v>
      </c>
      <c r="P2624" s="2">
        <v>-2000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</row>
    <row r="2625" spans="1:23" outlineLevel="2" x14ac:dyDescent="0.2">
      <c r="A2625" t="s">
        <v>999</v>
      </c>
      <c r="B2625" t="s">
        <v>39</v>
      </c>
      <c r="C2625" t="s">
        <v>58</v>
      </c>
      <c r="D2625" t="s">
        <v>137</v>
      </c>
      <c r="E2625" t="s">
        <v>138</v>
      </c>
      <c r="F2625" t="s">
        <v>837</v>
      </c>
      <c r="G2625" t="s">
        <v>838</v>
      </c>
      <c r="H2625" t="s">
        <v>852</v>
      </c>
      <c r="I2625" t="s">
        <v>853</v>
      </c>
      <c r="J2625" t="s">
        <v>1000</v>
      </c>
      <c r="K2625" t="s">
        <v>1019</v>
      </c>
      <c r="L2625" t="s">
        <v>1081</v>
      </c>
      <c r="M2625" t="s">
        <v>12</v>
      </c>
      <c r="N2625" s="2">
        <v>1000</v>
      </c>
      <c r="O2625" s="2">
        <v>0</v>
      </c>
      <c r="P2625" s="2">
        <v>-1000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</row>
    <row r="2626" spans="1:23" outlineLevel="2" x14ac:dyDescent="0.2">
      <c r="A2626" t="s">
        <v>999</v>
      </c>
      <c r="B2626" t="s">
        <v>39</v>
      </c>
      <c r="C2626" t="s">
        <v>58</v>
      </c>
      <c r="D2626" t="s">
        <v>139</v>
      </c>
      <c r="E2626" t="s">
        <v>140</v>
      </c>
      <c r="F2626" t="s">
        <v>837</v>
      </c>
      <c r="G2626" t="s">
        <v>838</v>
      </c>
      <c r="H2626" t="s">
        <v>852</v>
      </c>
      <c r="I2626" t="s">
        <v>853</v>
      </c>
      <c r="J2626" t="s">
        <v>1000</v>
      </c>
      <c r="K2626" t="s">
        <v>1019</v>
      </c>
      <c r="L2626" t="s">
        <v>1081</v>
      </c>
      <c r="M2626" t="s">
        <v>12</v>
      </c>
      <c r="N2626" s="2">
        <v>500</v>
      </c>
      <c r="O2626" s="2">
        <v>-500</v>
      </c>
      <c r="P2626" s="2">
        <v>0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</row>
    <row r="2627" spans="1:23" outlineLevel="2" x14ac:dyDescent="0.2">
      <c r="A2627" t="s">
        <v>999</v>
      </c>
      <c r="B2627" t="s">
        <v>39</v>
      </c>
      <c r="C2627" t="s">
        <v>58</v>
      </c>
      <c r="D2627" t="s">
        <v>59</v>
      </c>
      <c r="E2627" t="s">
        <v>60</v>
      </c>
      <c r="F2627" t="s">
        <v>837</v>
      </c>
      <c r="G2627" t="s">
        <v>838</v>
      </c>
      <c r="H2627" t="s">
        <v>852</v>
      </c>
      <c r="I2627" t="s">
        <v>853</v>
      </c>
      <c r="J2627" t="s">
        <v>1000</v>
      </c>
      <c r="K2627" t="s">
        <v>1019</v>
      </c>
      <c r="L2627" t="s">
        <v>1081</v>
      </c>
      <c r="M2627" t="s">
        <v>12</v>
      </c>
      <c r="N2627" s="2">
        <v>300</v>
      </c>
      <c r="O2627" s="2">
        <v>0</v>
      </c>
      <c r="P2627" s="2">
        <v>-300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</row>
    <row r="2628" spans="1:23" outlineLevel="2" x14ac:dyDescent="0.2">
      <c r="A2628" t="s">
        <v>999</v>
      </c>
      <c r="B2628" t="s">
        <v>39</v>
      </c>
      <c r="C2628" t="s">
        <v>58</v>
      </c>
      <c r="D2628" t="s">
        <v>143</v>
      </c>
      <c r="E2628" t="s">
        <v>144</v>
      </c>
      <c r="F2628" t="s">
        <v>837</v>
      </c>
      <c r="G2628" t="s">
        <v>838</v>
      </c>
      <c r="H2628" t="s">
        <v>852</v>
      </c>
      <c r="I2628" t="s">
        <v>853</v>
      </c>
      <c r="J2628" t="s">
        <v>1000</v>
      </c>
      <c r="K2628" t="s">
        <v>1019</v>
      </c>
      <c r="L2628" t="s">
        <v>1081</v>
      </c>
      <c r="M2628" t="s">
        <v>12</v>
      </c>
      <c r="N2628" s="2">
        <v>626.88</v>
      </c>
      <c r="O2628" s="2">
        <v>-626.88</v>
      </c>
      <c r="P2628" s="2">
        <v>0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</row>
    <row r="2629" spans="1:23" outlineLevel="2" x14ac:dyDescent="0.2">
      <c r="A2629" t="s">
        <v>999</v>
      </c>
      <c r="B2629" t="s">
        <v>39</v>
      </c>
      <c r="C2629" t="s">
        <v>58</v>
      </c>
      <c r="D2629" t="s">
        <v>145</v>
      </c>
      <c r="E2629" t="s">
        <v>146</v>
      </c>
      <c r="F2629" t="s">
        <v>837</v>
      </c>
      <c r="G2629" t="s">
        <v>838</v>
      </c>
      <c r="H2629" t="s">
        <v>852</v>
      </c>
      <c r="I2629" t="s">
        <v>853</v>
      </c>
      <c r="J2629" t="s">
        <v>1000</v>
      </c>
      <c r="K2629" t="s">
        <v>1019</v>
      </c>
      <c r="L2629" t="s">
        <v>1081</v>
      </c>
      <c r="M2629" t="s">
        <v>12</v>
      </c>
      <c r="N2629" s="2">
        <v>600</v>
      </c>
      <c r="O2629" s="2">
        <v>0</v>
      </c>
      <c r="P2629" s="2">
        <v>-600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</row>
    <row r="2630" spans="1:23" outlineLevel="2" x14ac:dyDescent="0.2">
      <c r="A2630" t="s">
        <v>999</v>
      </c>
      <c r="B2630" t="s">
        <v>39</v>
      </c>
      <c r="C2630" t="s">
        <v>58</v>
      </c>
      <c r="D2630" t="s">
        <v>129</v>
      </c>
      <c r="E2630" t="s">
        <v>130</v>
      </c>
      <c r="F2630" t="s">
        <v>837</v>
      </c>
      <c r="G2630" t="s">
        <v>838</v>
      </c>
      <c r="H2630" t="s">
        <v>852</v>
      </c>
      <c r="I2630" t="s">
        <v>853</v>
      </c>
      <c r="J2630" t="s">
        <v>1000</v>
      </c>
      <c r="K2630" t="s">
        <v>1019</v>
      </c>
      <c r="L2630" t="s">
        <v>1081</v>
      </c>
      <c r="M2630" t="s">
        <v>12</v>
      </c>
      <c r="N2630" s="2">
        <v>639.20000000000005</v>
      </c>
      <c r="O2630" s="2">
        <v>-295.27999999999997</v>
      </c>
      <c r="P2630" s="2">
        <v>0</v>
      </c>
      <c r="Q2630" s="2">
        <v>343.92</v>
      </c>
      <c r="R2630" s="2">
        <v>81.010000000000005</v>
      </c>
      <c r="S2630" s="2">
        <v>262.91000000000003</v>
      </c>
      <c r="T2630" s="2">
        <v>77.67</v>
      </c>
      <c r="U2630" s="2">
        <v>81.010000000000005</v>
      </c>
      <c r="V2630" s="2">
        <v>266.25</v>
      </c>
      <c r="W2630" s="2">
        <v>0</v>
      </c>
    </row>
    <row r="2631" spans="1:23" outlineLevel="2" x14ac:dyDescent="0.2">
      <c r="A2631" t="s">
        <v>999</v>
      </c>
      <c r="B2631" t="s">
        <v>39</v>
      </c>
      <c r="C2631" t="s">
        <v>58</v>
      </c>
      <c r="D2631" t="s">
        <v>147</v>
      </c>
      <c r="E2631" t="s">
        <v>148</v>
      </c>
      <c r="F2631" t="s">
        <v>837</v>
      </c>
      <c r="G2631" t="s">
        <v>838</v>
      </c>
      <c r="H2631" t="s">
        <v>852</v>
      </c>
      <c r="I2631" t="s">
        <v>853</v>
      </c>
      <c r="J2631" t="s">
        <v>1000</v>
      </c>
      <c r="K2631" t="s">
        <v>1019</v>
      </c>
      <c r="L2631" t="s">
        <v>1081</v>
      </c>
      <c r="M2631" t="s">
        <v>12</v>
      </c>
      <c r="N2631" s="2">
        <v>2000</v>
      </c>
      <c r="O2631" s="2">
        <v>0</v>
      </c>
      <c r="P2631" s="2">
        <v>0</v>
      </c>
      <c r="Q2631" s="2">
        <v>2000</v>
      </c>
      <c r="R2631" s="2">
        <v>498.48</v>
      </c>
      <c r="S2631" s="2">
        <v>1501.52</v>
      </c>
      <c r="T2631" s="2">
        <v>1501.52</v>
      </c>
      <c r="U2631" s="2">
        <v>498.48</v>
      </c>
      <c r="V2631" s="2">
        <v>498.48</v>
      </c>
      <c r="W2631" s="2">
        <v>0</v>
      </c>
    </row>
    <row r="2632" spans="1:23" outlineLevel="2" x14ac:dyDescent="0.2">
      <c r="A2632" t="s">
        <v>999</v>
      </c>
      <c r="B2632" t="s">
        <v>39</v>
      </c>
      <c r="C2632" t="s">
        <v>58</v>
      </c>
      <c r="D2632" t="s">
        <v>135</v>
      </c>
      <c r="E2632" t="s">
        <v>136</v>
      </c>
      <c r="F2632" t="s">
        <v>837</v>
      </c>
      <c r="G2632" t="s">
        <v>838</v>
      </c>
      <c r="H2632" t="s">
        <v>852</v>
      </c>
      <c r="I2632" t="s">
        <v>853</v>
      </c>
      <c r="J2632" t="s">
        <v>1000</v>
      </c>
      <c r="K2632" t="s">
        <v>1019</v>
      </c>
      <c r="L2632" t="s">
        <v>1081</v>
      </c>
      <c r="M2632" t="s">
        <v>12</v>
      </c>
      <c r="N2632" s="2">
        <v>1000</v>
      </c>
      <c r="O2632" s="2">
        <v>0</v>
      </c>
      <c r="P2632" s="2">
        <v>-1000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</row>
    <row r="2633" spans="1:23" outlineLevel="2" x14ac:dyDescent="0.2">
      <c r="A2633" t="s">
        <v>999</v>
      </c>
      <c r="B2633" t="s">
        <v>39</v>
      </c>
      <c r="C2633" t="s">
        <v>58</v>
      </c>
      <c r="D2633" t="s">
        <v>59</v>
      </c>
      <c r="E2633" t="s">
        <v>60</v>
      </c>
      <c r="F2633" t="s">
        <v>837</v>
      </c>
      <c r="G2633" t="s">
        <v>838</v>
      </c>
      <c r="H2633" t="s">
        <v>852</v>
      </c>
      <c r="I2633" t="s">
        <v>853</v>
      </c>
      <c r="J2633" t="s">
        <v>1000</v>
      </c>
      <c r="K2633" t="s">
        <v>1092</v>
      </c>
      <c r="L2633" t="s">
        <v>1093</v>
      </c>
      <c r="M2633" t="s">
        <v>12</v>
      </c>
      <c r="N2633" s="2">
        <v>300</v>
      </c>
      <c r="O2633" s="2">
        <v>0</v>
      </c>
      <c r="P2633" s="2">
        <v>-300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</row>
    <row r="2634" spans="1:23" outlineLevel="2" x14ac:dyDescent="0.2">
      <c r="A2634" t="s">
        <v>999</v>
      </c>
      <c r="B2634" t="s">
        <v>39</v>
      </c>
      <c r="C2634" t="s">
        <v>58</v>
      </c>
      <c r="D2634" t="s">
        <v>147</v>
      </c>
      <c r="E2634" t="s">
        <v>148</v>
      </c>
      <c r="F2634" t="s">
        <v>837</v>
      </c>
      <c r="G2634" t="s">
        <v>838</v>
      </c>
      <c r="H2634" t="s">
        <v>852</v>
      </c>
      <c r="I2634" t="s">
        <v>853</v>
      </c>
      <c r="J2634" t="s">
        <v>1000</v>
      </c>
      <c r="K2634" t="s">
        <v>1092</v>
      </c>
      <c r="L2634" t="s">
        <v>1093</v>
      </c>
      <c r="M2634" t="s">
        <v>12</v>
      </c>
      <c r="N2634" s="2">
        <v>3000</v>
      </c>
      <c r="O2634" s="2">
        <v>0</v>
      </c>
      <c r="P2634" s="2">
        <v>-3000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</row>
    <row r="2635" spans="1:23" outlineLevel="2" x14ac:dyDescent="0.2">
      <c r="A2635" t="s">
        <v>999</v>
      </c>
      <c r="B2635" t="s">
        <v>39</v>
      </c>
      <c r="C2635" t="s">
        <v>58</v>
      </c>
      <c r="D2635" t="s">
        <v>143</v>
      </c>
      <c r="E2635" t="s">
        <v>144</v>
      </c>
      <c r="F2635" t="s">
        <v>837</v>
      </c>
      <c r="G2635" t="s">
        <v>838</v>
      </c>
      <c r="H2635" t="s">
        <v>852</v>
      </c>
      <c r="I2635" t="s">
        <v>853</v>
      </c>
      <c r="J2635" t="s">
        <v>1000</v>
      </c>
      <c r="K2635" t="s">
        <v>1092</v>
      </c>
      <c r="L2635" t="s">
        <v>1093</v>
      </c>
      <c r="M2635" t="s">
        <v>12</v>
      </c>
      <c r="N2635" s="2">
        <v>10000</v>
      </c>
      <c r="O2635" s="2">
        <v>-10000</v>
      </c>
      <c r="P2635" s="2">
        <v>0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</row>
    <row r="2636" spans="1:23" outlineLevel="2" x14ac:dyDescent="0.2">
      <c r="A2636" t="s">
        <v>999</v>
      </c>
      <c r="B2636" t="s">
        <v>39</v>
      </c>
      <c r="C2636" t="s">
        <v>58</v>
      </c>
      <c r="D2636" t="s">
        <v>137</v>
      </c>
      <c r="E2636" t="s">
        <v>138</v>
      </c>
      <c r="F2636" t="s">
        <v>837</v>
      </c>
      <c r="G2636" t="s">
        <v>838</v>
      </c>
      <c r="H2636" t="s">
        <v>852</v>
      </c>
      <c r="I2636" t="s">
        <v>853</v>
      </c>
      <c r="J2636" t="s">
        <v>1000</v>
      </c>
      <c r="K2636" t="s">
        <v>1092</v>
      </c>
      <c r="L2636" t="s">
        <v>1093</v>
      </c>
      <c r="M2636" t="s">
        <v>12</v>
      </c>
      <c r="N2636" s="2">
        <v>4000</v>
      </c>
      <c r="O2636" s="2">
        <v>0</v>
      </c>
      <c r="P2636" s="2">
        <v>-4000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</row>
    <row r="2637" spans="1:23" outlineLevel="2" x14ac:dyDescent="0.2">
      <c r="A2637" t="s">
        <v>999</v>
      </c>
      <c r="B2637" t="s">
        <v>39</v>
      </c>
      <c r="C2637" t="s">
        <v>58</v>
      </c>
      <c r="D2637" t="s">
        <v>147</v>
      </c>
      <c r="E2637" t="s">
        <v>148</v>
      </c>
      <c r="F2637" t="s">
        <v>837</v>
      </c>
      <c r="G2637" t="s">
        <v>838</v>
      </c>
      <c r="H2637" t="s">
        <v>852</v>
      </c>
      <c r="I2637" t="s">
        <v>853</v>
      </c>
      <c r="J2637" t="s">
        <v>1000</v>
      </c>
      <c r="K2637" t="s">
        <v>1082</v>
      </c>
      <c r="L2637" t="s">
        <v>1083</v>
      </c>
      <c r="M2637" t="s">
        <v>12</v>
      </c>
      <c r="N2637" s="2">
        <v>2000</v>
      </c>
      <c r="O2637" s="2">
        <v>0</v>
      </c>
      <c r="P2637" s="2">
        <v>0</v>
      </c>
      <c r="Q2637" s="2">
        <v>2000</v>
      </c>
      <c r="R2637" s="2">
        <v>19.82</v>
      </c>
      <c r="S2637" s="2">
        <v>1980.18</v>
      </c>
      <c r="T2637" s="2">
        <v>0</v>
      </c>
      <c r="U2637" s="2">
        <v>19.82</v>
      </c>
      <c r="V2637" s="2">
        <v>2000</v>
      </c>
      <c r="W2637" s="2">
        <v>0</v>
      </c>
    </row>
    <row r="2638" spans="1:23" outlineLevel="2" x14ac:dyDescent="0.2">
      <c r="A2638" t="s">
        <v>999</v>
      </c>
      <c r="B2638" t="s">
        <v>39</v>
      </c>
      <c r="C2638" t="s">
        <v>58</v>
      </c>
      <c r="D2638" t="s">
        <v>147</v>
      </c>
      <c r="E2638" t="s">
        <v>148</v>
      </c>
      <c r="F2638" t="s">
        <v>837</v>
      </c>
      <c r="G2638" t="s">
        <v>838</v>
      </c>
      <c r="H2638" t="s">
        <v>852</v>
      </c>
      <c r="I2638" t="s">
        <v>853</v>
      </c>
      <c r="J2638" t="s">
        <v>1000</v>
      </c>
      <c r="K2638" t="s">
        <v>1084</v>
      </c>
      <c r="L2638" t="s">
        <v>1085</v>
      </c>
      <c r="M2638" t="s">
        <v>12</v>
      </c>
      <c r="N2638" s="2">
        <v>400</v>
      </c>
      <c r="O2638" s="2">
        <v>0</v>
      </c>
      <c r="P2638" s="2">
        <v>-400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</row>
    <row r="2639" spans="1:23" outlineLevel="2" x14ac:dyDescent="0.2">
      <c r="A2639" t="s">
        <v>999</v>
      </c>
      <c r="B2639" t="s">
        <v>39</v>
      </c>
      <c r="C2639" t="s">
        <v>58</v>
      </c>
      <c r="D2639" t="s">
        <v>139</v>
      </c>
      <c r="E2639" t="s">
        <v>140</v>
      </c>
      <c r="F2639" t="s">
        <v>837</v>
      </c>
      <c r="G2639" t="s">
        <v>838</v>
      </c>
      <c r="H2639" t="s">
        <v>852</v>
      </c>
      <c r="I2639" t="s">
        <v>853</v>
      </c>
      <c r="J2639" t="s">
        <v>1000</v>
      </c>
      <c r="K2639" t="s">
        <v>1084</v>
      </c>
      <c r="L2639" t="s">
        <v>1085</v>
      </c>
      <c r="M2639" t="s">
        <v>12</v>
      </c>
      <c r="N2639" s="2">
        <v>1000</v>
      </c>
      <c r="O2639" s="2">
        <v>-1000</v>
      </c>
      <c r="P2639" s="2">
        <v>0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</row>
    <row r="2640" spans="1:23" outlineLevel="2" x14ac:dyDescent="0.2">
      <c r="A2640" t="s">
        <v>999</v>
      </c>
      <c r="B2640" t="s">
        <v>39</v>
      </c>
      <c r="C2640" t="s">
        <v>58</v>
      </c>
      <c r="D2640" t="s">
        <v>145</v>
      </c>
      <c r="E2640" t="s">
        <v>146</v>
      </c>
      <c r="F2640" t="s">
        <v>837</v>
      </c>
      <c r="G2640" t="s">
        <v>838</v>
      </c>
      <c r="H2640" t="s">
        <v>852</v>
      </c>
      <c r="I2640" t="s">
        <v>853</v>
      </c>
      <c r="J2640" t="s">
        <v>1000</v>
      </c>
      <c r="K2640" t="s">
        <v>1084</v>
      </c>
      <c r="L2640" t="s">
        <v>1085</v>
      </c>
      <c r="M2640" t="s">
        <v>12</v>
      </c>
      <c r="N2640" s="2">
        <v>1000</v>
      </c>
      <c r="O2640" s="2">
        <v>0</v>
      </c>
      <c r="P2640" s="2">
        <v>-1000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</row>
    <row r="2641" spans="1:23" outlineLevel="2" x14ac:dyDescent="0.2">
      <c r="A2641" t="s">
        <v>999</v>
      </c>
      <c r="B2641" t="s">
        <v>39</v>
      </c>
      <c r="C2641" t="s">
        <v>58</v>
      </c>
      <c r="D2641" t="s">
        <v>149</v>
      </c>
      <c r="E2641" t="s">
        <v>150</v>
      </c>
      <c r="F2641" t="s">
        <v>837</v>
      </c>
      <c r="G2641" t="s">
        <v>838</v>
      </c>
      <c r="H2641" t="s">
        <v>852</v>
      </c>
      <c r="I2641" t="s">
        <v>853</v>
      </c>
      <c r="J2641" t="s">
        <v>1000</v>
      </c>
      <c r="K2641" t="s">
        <v>1084</v>
      </c>
      <c r="L2641" t="s">
        <v>1085</v>
      </c>
      <c r="M2641" t="s">
        <v>12</v>
      </c>
      <c r="N2641" s="2">
        <v>15000</v>
      </c>
      <c r="O2641" s="2">
        <v>0</v>
      </c>
      <c r="P2641" s="2">
        <v>-15000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</row>
    <row r="2642" spans="1:23" outlineLevel="2" x14ac:dyDescent="0.2">
      <c r="A2642" t="s">
        <v>999</v>
      </c>
      <c r="B2642" t="s">
        <v>39</v>
      </c>
      <c r="C2642" t="s">
        <v>58</v>
      </c>
      <c r="D2642" t="s">
        <v>147</v>
      </c>
      <c r="E2642" t="s">
        <v>148</v>
      </c>
      <c r="F2642" t="s">
        <v>837</v>
      </c>
      <c r="G2642" t="s">
        <v>838</v>
      </c>
      <c r="H2642" t="s">
        <v>852</v>
      </c>
      <c r="I2642" t="s">
        <v>853</v>
      </c>
      <c r="J2642" t="s">
        <v>1000</v>
      </c>
      <c r="K2642" t="s">
        <v>1118</v>
      </c>
      <c r="L2642" t="s">
        <v>1119</v>
      </c>
      <c r="M2642" t="s">
        <v>12</v>
      </c>
      <c r="N2642" s="2">
        <v>2000</v>
      </c>
      <c r="O2642" s="2">
        <v>-2000</v>
      </c>
      <c r="P2642" s="2">
        <v>0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</row>
    <row r="2643" spans="1:23" outlineLevel="2" x14ac:dyDescent="0.2">
      <c r="A2643" t="s">
        <v>999</v>
      </c>
      <c r="B2643" t="s">
        <v>39</v>
      </c>
      <c r="C2643" t="s">
        <v>58</v>
      </c>
      <c r="D2643" t="s">
        <v>143</v>
      </c>
      <c r="E2643" t="s">
        <v>144</v>
      </c>
      <c r="F2643" t="s">
        <v>837</v>
      </c>
      <c r="G2643" t="s">
        <v>838</v>
      </c>
      <c r="H2643" t="s">
        <v>852</v>
      </c>
      <c r="I2643" t="s">
        <v>853</v>
      </c>
      <c r="J2643" t="s">
        <v>1000</v>
      </c>
      <c r="K2643" t="s">
        <v>1118</v>
      </c>
      <c r="L2643" t="s">
        <v>1119</v>
      </c>
      <c r="M2643" t="s">
        <v>12</v>
      </c>
      <c r="N2643" s="2">
        <v>1000</v>
      </c>
      <c r="O2643" s="2">
        <v>-1000</v>
      </c>
      <c r="P2643" s="2">
        <v>0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</row>
    <row r="2644" spans="1:23" outlineLevel="2" x14ac:dyDescent="0.2">
      <c r="A2644" t="s">
        <v>999</v>
      </c>
      <c r="B2644" t="s">
        <v>39</v>
      </c>
      <c r="C2644" t="s">
        <v>58</v>
      </c>
      <c r="D2644" t="s">
        <v>145</v>
      </c>
      <c r="E2644" t="s">
        <v>146</v>
      </c>
      <c r="F2644" t="s">
        <v>837</v>
      </c>
      <c r="G2644" t="s">
        <v>838</v>
      </c>
      <c r="H2644" t="s">
        <v>852</v>
      </c>
      <c r="I2644" t="s">
        <v>853</v>
      </c>
      <c r="J2644" t="s">
        <v>1000</v>
      </c>
      <c r="K2644" t="s">
        <v>1118</v>
      </c>
      <c r="L2644" t="s">
        <v>1119</v>
      </c>
      <c r="M2644" t="s">
        <v>12</v>
      </c>
      <c r="N2644" s="2">
        <v>1500</v>
      </c>
      <c r="O2644" s="2">
        <v>0</v>
      </c>
      <c r="P2644" s="2">
        <v>-1500</v>
      </c>
      <c r="Q2644" s="2">
        <v>0</v>
      </c>
      <c r="R2644" s="2">
        <v>0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</row>
    <row r="2645" spans="1:23" outlineLevel="2" x14ac:dyDescent="0.2">
      <c r="A2645" t="s">
        <v>999</v>
      </c>
      <c r="B2645" t="s">
        <v>39</v>
      </c>
      <c r="C2645" t="s">
        <v>58</v>
      </c>
      <c r="D2645" t="s">
        <v>147</v>
      </c>
      <c r="E2645" t="s">
        <v>148</v>
      </c>
      <c r="F2645" t="s">
        <v>837</v>
      </c>
      <c r="G2645" t="s">
        <v>838</v>
      </c>
      <c r="H2645" t="s">
        <v>852</v>
      </c>
      <c r="I2645" t="s">
        <v>853</v>
      </c>
      <c r="J2645" t="s">
        <v>1000</v>
      </c>
      <c r="K2645" t="s">
        <v>1120</v>
      </c>
      <c r="L2645" t="s">
        <v>1121</v>
      </c>
      <c r="M2645" t="s">
        <v>12</v>
      </c>
      <c r="N2645" s="2">
        <v>2000</v>
      </c>
      <c r="O2645" s="2">
        <v>0</v>
      </c>
      <c r="P2645" s="2">
        <v>-2000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</row>
    <row r="2646" spans="1:23" outlineLevel="2" x14ac:dyDescent="0.2">
      <c r="A2646" t="s">
        <v>999</v>
      </c>
      <c r="B2646" t="s">
        <v>39</v>
      </c>
      <c r="C2646" t="s">
        <v>58</v>
      </c>
      <c r="D2646" t="s">
        <v>129</v>
      </c>
      <c r="E2646" t="s">
        <v>130</v>
      </c>
      <c r="F2646" t="s">
        <v>837</v>
      </c>
      <c r="G2646" t="s">
        <v>838</v>
      </c>
      <c r="H2646" t="s">
        <v>852</v>
      </c>
      <c r="I2646" t="s">
        <v>853</v>
      </c>
      <c r="J2646" t="s">
        <v>1000</v>
      </c>
      <c r="K2646" t="s">
        <v>1120</v>
      </c>
      <c r="L2646" t="s">
        <v>1121</v>
      </c>
      <c r="M2646" t="s">
        <v>12</v>
      </c>
      <c r="N2646" s="2">
        <v>0</v>
      </c>
      <c r="O2646" s="2">
        <v>295.27999999999997</v>
      </c>
      <c r="P2646" s="2">
        <v>0</v>
      </c>
      <c r="Q2646" s="2">
        <v>295.27999999999997</v>
      </c>
      <c r="R2646" s="2">
        <v>0</v>
      </c>
      <c r="S2646" s="2">
        <v>295.27999999999997</v>
      </c>
      <c r="T2646" s="2">
        <v>295.27999999999997</v>
      </c>
      <c r="U2646" s="2">
        <v>0</v>
      </c>
      <c r="V2646" s="2">
        <v>0</v>
      </c>
      <c r="W2646" s="2">
        <v>0</v>
      </c>
    </row>
    <row r="2647" spans="1:23" outlineLevel="2" x14ac:dyDescent="0.2">
      <c r="A2647" t="s">
        <v>999</v>
      </c>
      <c r="B2647" t="s">
        <v>39</v>
      </c>
      <c r="C2647" t="s">
        <v>58</v>
      </c>
      <c r="D2647" t="s">
        <v>139</v>
      </c>
      <c r="E2647" t="s">
        <v>140</v>
      </c>
      <c r="F2647" t="s">
        <v>837</v>
      </c>
      <c r="G2647" t="s">
        <v>838</v>
      </c>
      <c r="H2647" t="s">
        <v>852</v>
      </c>
      <c r="I2647" t="s">
        <v>853</v>
      </c>
      <c r="J2647" t="s">
        <v>1000</v>
      </c>
      <c r="K2647" t="s">
        <v>1023</v>
      </c>
      <c r="L2647" t="s">
        <v>1122</v>
      </c>
      <c r="M2647" t="s">
        <v>12</v>
      </c>
      <c r="N2647" s="2">
        <v>300</v>
      </c>
      <c r="O2647" s="2">
        <v>-300</v>
      </c>
      <c r="P2647" s="2">
        <v>0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</row>
    <row r="2648" spans="1:23" outlineLevel="2" x14ac:dyDescent="0.2">
      <c r="A2648" t="s">
        <v>999</v>
      </c>
      <c r="B2648" t="s">
        <v>39</v>
      </c>
      <c r="C2648" t="s">
        <v>58</v>
      </c>
      <c r="D2648" t="s">
        <v>143</v>
      </c>
      <c r="E2648" t="s">
        <v>144</v>
      </c>
      <c r="F2648" t="s">
        <v>837</v>
      </c>
      <c r="G2648" t="s">
        <v>838</v>
      </c>
      <c r="H2648" t="s">
        <v>852</v>
      </c>
      <c r="I2648" t="s">
        <v>853</v>
      </c>
      <c r="J2648" t="s">
        <v>1000</v>
      </c>
      <c r="K2648" t="s">
        <v>1123</v>
      </c>
      <c r="L2648" t="s">
        <v>1124</v>
      </c>
      <c r="M2648" t="s">
        <v>12</v>
      </c>
      <c r="N2648" s="2">
        <v>2000</v>
      </c>
      <c r="O2648" s="2">
        <v>-2000</v>
      </c>
      <c r="P2648" s="2">
        <v>0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</row>
    <row r="2649" spans="1:23" outlineLevel="2" x14ac:dyDescent="0.2">
      <c r="A2649" t="s">
        <v>999</v>
      </c>
      <c r="B2649" t="s">
        <v>39</v>
      </c>
      <c r="C2649" t="s">
        <v>58</v>
      </c>
      <c r="D2649" t="s">
        <v>149</v>
      </c>
      <c r="E2649" t="s">
        <v>150</v>
      </c>
      <c r="F2649" t="s">
        <v>837</v>
      </c>
      <c r="G2649" t="s">
        <v>838</v>
      </c>
      <c r="H2649" t="s">
        <v>1125</v>
      </c>
      <c r="I2649" t="s">
        <v>1126</v>
      </c>
      <c r="J2649" t="s">
        <v>1000</v>
      </c>
      <c r="K2649" t="s">
        <v>1039</v>
      </c>
      <c r="L2649" t="s">
        <v>1067</v>
      </c>
      <c r="M2649" t="s">
        <v>12</v>
      </c>
      <c r="N2649" s="2">
        <v>45000</v>
      </c>
      <c r="O2649" s="2">
        <v>-44978.11</v>
      </c>
      <c r="P2649" s="2">
        <v>-21.89</v>
      </c>
      <c r="Q2649" s="2">
        <v>0</v>
      </c>
      <c r="R2649" s="2">
        <v>0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</row>
    <row r="2650" spans="1:23" outlineLevel="2" x14ac:dyDescent="0.2">
      <c r="A2650" t="s">
        <v>999</v>
      </c>
      <c r="B2650" t="s">
        <v>39</v>
      </c>
      <c r="C2650" t="s">
        <v>58</v>
      </c>
      <c r="D2650" t="s">
        <v>149</v>
      </c>
      <c r="E2650" t="s">
        <v>150</v>
      </c>
      <c r="F2650" t="s">
        <v>837</v>
      </c>
      <c r="G2650" t="s">
        <v>838</v>
      </c>
      <c r="H2650" t="s">
        <v>1125</v>
      </c>
      <c r="I2650" t="s">
        <v>1126</v>
      </c>
      <c r="J2650" t="s">
        <v>1000</v>
      </c>
      <c r="K2650" t="s">
        <v>1043</v>
      </c>
      <c r="L2650" t="s">
        <v>1070</v>
      </c>
      <c r="M2650" t="s">
        <v>12</v>
      </c>
      <c r="N2650" s="2">
        <v>65719.990000000005</v>
      </c>
      <c r="O2650" s="2">
        <v>0</v>
      </c>
      <c r="P2650" s="2">
        <v>-65719.990000000005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</row>
    <row r="2651" spans="1:23" outlineLevel="2" x14ac:dyDescent="0.2">
      <c r="A2651" t="s">
        <v>999</v>
      </c>
      <c r="B2651" t="s">
        <v>39</v>
      </c>
      <c r="C2651" t="s">
        <v>58</v>
      </c>
      <c r="D2651" t="s">
        <v>135</v>
      </c>
      <c r="E2651" t="s">
        <v>136</v>
      </c>
      <c r="F2651" t="s">
        <v>837</v>
      </c>
      <c r="G2651" t="s">
        <v>838</v>
      </c>
      <c r="H2651" t="s">
        <v>1125</v>
      </c>
      <c r="I2651" t="s">
        <v>1126</v>
      </c>
      <c r="J2651" t="s">
        <v>1000</v>
      </c>
      <c r="K2651" t="s">
        <v>1127</v>
      </c>
      <c r="L2651" t="s">
        <v>1128</v>
      </c>
      <c r="M2651" t="s">
        <v>12</v>
      </c>
      <c r="N2651" s="2">
        <v>100000</v>
      </c>
      <c r="O2651" s="2">
        <v>-100000</v>
      </c>
      <c r="P2651" s="2">
        <v>0</v>
      </c>
      <c r="Q2651" s="2">
        <v>0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</row>
    <row r="2652" spans="1:23" outlineLevel="2" x14ac:dyDescent="0.2">
      <c r="A2652" t="s">
        <v>999</v>
      </c>
      <c r="B2652" t="s">
        <v>39</v>
      </c>
      <c r="C2652" t="s">
        <v>58</v>
      </c>
      <c r="D2652" t="s">
        <v>143</v>
      </c>
      <c r="E2652" t="s">
        <v>144</v>
      </c>
      <c r="F2652" t="s">
        <v>837</v>
      </c>
      <c r="G2652" t="s">
        <v>838</v>
      </c>
      <c r="H2652" t="s">
        <v>1125</v>
      </c>
      <c r="I2652" t="s">
        <v>1126</v>
      </c>
      <c r="J2652" t="s">
        <v>1000</v>
      </c>
      <c r="K2652" t="s">
        <v>1129</v>
      </c>
      <c r="L2652" t="s">
        <v>1130</v>
      </c>
      <c r="M2652" t="s">
        <v>12</v>
      </c>
      <c r="N2652" s="2">
        <v>55000</v>
      </c>
      <c r="O2652" s="2">
        <v>0</v>
      </c>
      <c r="P2652" s="2">
        <v>-39117.279999999999</v>
      </c>
      <c r="Q2652" s="2">
        <v>15882.72</v>
      </c>
      <c r="R2652" s="2">
        <v>5421.17</v>
      </c>
      <c r="S2652" s="2">
        <v>7930.72</v>
      </c>
      <c r="T2652" s="2">
        <v>7930.72</v>
      </c>
      <c r="U2652" s="2">
        <v>7952</v>
      </c>
      <c r="V2652" s="2">
        <v>7952</v>
      </c>
      <c r="W2652" s="2">
        <v>2530.83</v>
      </c>
    </row>
    <row r="2653" spans="1:23" outlineLevel="2" x14ac:dyDescent="0.2">
      <c r="A2653" t="s">
        <v>999</v>
      </c>
      <c r="B2653" t="s">
        <v>39</v>
      </c>
      <c r="C2653" t="s">
        <v>58</v>
      </c>
      <c r="D2653" t="s">
        <v>145</v>
      </c>
      <c r="E2653" t="s">
        <v>146</v>
      </c>
      <c r="F2653" t="s">
        <v>837</v>
      </c>
      <c r="G2653" t="s">
        <v>838</v>
      </c>
      <c r="H2653" t="s">
        <v>1125</v>
      </c>
      <c r="I2653" t="s">
        <v>1126</v>
      </c>
      <c r="J2653" t="s">
        <v>1000</v>
      </c>
      <c r="K2653" t="s">
        <v>1129</v>
      </c>
      <c r="L2653" t="s">
        <v>1130</v>
      </c>
      <c r="M2653" t="s">
        <v>12</v>
      </c>
      <c r="N2653" s="2">
        <v>60000</v>
      </c>
      <c r="O2653" s="2">
        <v>0</v>
      </c>
      <c r="P2653" s="2">
        <v>-60000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</row>
    <row r="2654" spans="1:23" outlineLevel="2" x14ac:dyDescent="0.2">
      <c r="A2654" t="s">
        <v>999</v>
      </c>
      <c r="B2654" t="s">
        <v>39</v>
      </c>
      <c r="C2654" t="s">
        <v>58</v>
      </c>
      <c r="D2654" t="s">
        <v>147</v>
      </c>
      <c r="E2654" t="s">
        <v>148</v>
      </c>
      <c r="F2654" t="s">
        <v>837</v>
      </c>
      <c r="G2654" t="s">
        <v>838</v>
      </c>
      <c r="H2654" t="s">
        <v>1125</v>
      </c>
      <c r="I2654" t="s">
        <v>1126</v>
      </c>
      <c r="J2654" t="s">
        <v>1000</v>
      </c>
      <c r="K2654" t="s">
        <v>1071</v>
      </c>
      <c r="L2654" t="s">
        <v>1072</v>
      </c>
      <c r="M2654" t="s">
        <v>12</v>
      </c>
      <c r="N2654" s="2">
        <v>100000</v>
      </c>
      <c r="O2654" s="2">
        <v>0</v>
      </c>
      <c r="P2654" s="2">
        <v>0</v>
      </c>
      <c r="Q2654" s="2">
        <v>100000</v>
      </c>
      <c r="R2654" s="2">
        <v>4034</v>
      </c>
      <c r="S2654" s="2">
        <v>95966</v>
      </c>
      <c r="T2654" s="2">
        <v>0</v>
      </c>
      <c r="U2654" s="2">
        <v>4034</v>
      </c>
      <c r="V2654" s="2">
        <v>100000</v>
      </c>
      <c r="W2654" s="2">
        <v>0</v>
      </c>
    </row>
    <row r="2655" spans="1:23" outlineLevel="2" x14ac:dyDescent="0.2">
      <c r="A2655" t="s">
        <v>999</v>
      </c>
      <c r="B2655" t="s">
        <v>39</v>
      </c>
      <c r="C2655" t="s">
        <v>58</v>
      </c>
      <c r="D2655" t="s">
        <v>147</v>
      </c>
      <c r="E2655" t="s">
        <v>148</v>
      </c>
      <c r="F2655" t="s">
        <v>837</v>
      </c>
      <c r="G2655" t="s">
        <v>838</v>
      </c>
      <c r="H2655" t="s">
        <v>1125</v>
      </c>
      <c r="I2655" t="s">
        <v>1126</v>
      </c>
      <c r="J2655" t="s">
        <v>1000</v>
      </c>
      <c r="K2655" t="s">
        <v>1013</v>
      </c>
      <c r="L2655" t="s">
        <v>1131</v>
      </c>
      <c r="M2655" t="s">
        <v>12</v>
      </c>
      <c r="N2655" s="2">
        <v>20000</v>
      </c>
      <c r="O2655" s="2">
        <v>4757.49</v>
      </c>
      <c r="P2655" s="2">
        <v>-20000</v>
      </c>
      <c r="Q2655" s="2">
        <v>4757.49</v>
      </c>
      <c r="R2655" s="2">
        <v>0</v>
      </c>
      <c r="S2655" s="2">
        <v>4757.49</v>
      </c>
      <c r="T2655" s="2">
        <v>4757.49</v>
      </c>
      <c r="U2655" s="2">
        <v>0</v>
      </c>
      <c r="V2655" s="2">
        <v>0</v>
      </c>
      <c r="W2655" s="2">
        <v>0</v>
      </c>
    </row>
    <row r="2656" spans="1:23" outlineLevel="2" x14ac:dyDescent="0.2">
      <c r="A2656" t="s">
        <v>999</v>
      </c>
      <c r="B2656" t="s">
        <v>39</v>
      </c>
      <c r="C2656" t="s">
        <v>58</v>
      </c>
      <c r="D2656" t="s">
        <v>147</v>
      </c>
      <c r="E2656" t="s">
        <v>148</v>
      </c>
      <c r="F2656" t="s">
        <v>837</v>
      </c>
      <c r="G2656" t="s">
        <v>838</v>
      </c>
      <c r="H2656" t="s">
        <v>1125</v>
      </c>
      <c r="I2656" t="s">
        <v>1126</v>
      </c>
      <c r="J2656" t="s">
        <v>1000</v>
      </c>
      <c r="K2656" t="s">
        <v>1074</v>
      </c>
      <c r="L2656" t="s">
        <v>1075</v>
      </c>
      <c r="M2656" t="s">
        <v>12</v>
      </c>
      <c r="N2656" s="2">
        <v>0</v>
      </c>
      <c r="O2656" s="2">
        <v>11500</v>
      </c>
      <c r="P2656" s="2">
        <v>-11500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</row>
    <row r="2657" spans="1:23" outlineLevel="2" x14ac:dyDescent="0.2">
      <c r="A2657" t="s">
        <v>999</v>
      </c>
      <c r="B2657" t="s">
        <v>39</v>
      </c>
      <c r="C2657" t="s">
        <v>58</v>
      </c>
      <c r="D2657" t="s">
        <v>149</v>
      </c>
      <c r="E2657" t="s">
        <v>150</v>
      </c>
      <c r="F2657" t="s">
        <v>837</v>
      </c>
      <c r="G2657" t="s">
        <v>838</v>
      </c>
      <c r="H2657" t="s">
        <v>1125</v>
      </c>
      <c r="I2657" t="s">
        <v>1126</v>
      </c>
      <c r="J2657" t="s">
        <v>1000</v>
      </c>
      <c r="K2657" t="s">
        <v>1015</v>
      </c>
      <c r="L2657" t="s">
        <v>1076</v>
      </c>
      <c r="M2657" t="s">
        <v>12</v>
      </c>
      <c r="N2657" s="2">
        <v>25300</v>
      </c>
      <c r="O2657" s="2">
        <v>-8678.08</v>
      </c>
      <c r="P2657" s="2">
        <v>-16621.919999999998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</row>
    <row r="2658" spans="1:23" outlineLevel="2" x14ac:dyDescent="0.2">
      <c r="A2658" t="s">
        <v>999</v>
      </c>
      <c r="B2658" t="s">
        <v>39</v>
      </c>
      <c r="C2658" t="s">
        <v>58</v>
      </c>
      <c r="D2658" t="s">
        <v>145</v>
      </c>
      <c r="E2658" t="s">
        <v>146</v>
      </c>
      <c r="F2658" t="s">
        <v>837</v>
      </c>
      <c r="G2658" t="s">
        <v>838</v>
      </c>
      <c r="H2658" t="s">
        <v>1125</v>
      </c>
      <c r="I2658" t="s">
        <v>1126</v>
      </c>
      <c r="J2658" t="s">
        <v>1000</v>
      </c>
      <c r="K2658" t="s">
        <v>1015</v>
      </c>
      <c r="L2658" t="s">
        <v>1076</v>
      </c>
      <c r="M2658" t="s">
        <v>12</v>
      </c>
      <c r="N2658" s="2">
        <v>20000</v>
      </c>
      <c r="O2658" s="2">
        <v>10371.459999999999</v>
      </c>
      <c r="P2658" s="2">
        <v>-30371.46</v>
      </c>
      <c r="Q2658" s="2">
        <v>0</v>
      </c>
      <c r="R2658" s="2">
        <v>0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</row>
    <row r="2659" spans="1:23" outlineLevel="2" x14ac:dyDescent="0.2">
      <c r="A2659" t="s">
        <v>999</v>
      </c>
      <c r="B2659" t="s">
        <v>39</v>
      </c>
      <c r="C2659" t="s">
        <v>58</v>
      </c>
      <c r="D2659" t="s">
        <v>59</v>
      </c>
      <c r="E2659" t="s">
        <v>60</v>
      </c>
      <c r="F2659" t="s">
        <v>837</v>
      </c>
      <c r="G2659" t="s">
        <v>838</v>
      </c>
      <c r="H2659" t="s">
        <v>1125</v>
      </c>
      <c r="I2659" t="s">
        <v>1126</v>
      </c>
      <c r="J2659" t="s">
        <v>1000</v>
      </c>
      <c r="K2659" t="s">
        <v>1017</v>
      </c>
      <c r="L2659" t="s">
        <v>1077</v>
      </c>
      <c r="M2659" t="s">
        <v>12</v>
      </c>
      <c r="N2659" s="2">
        <v>47100</v>
      </c>
      <c r="O2659" s="2">
        <v>0</v>
      </c>
      <c r="P2659" s="2">
        <v>-28260</v>
      </c>
      <c r="Q2659" s="2">
        <v>18840</v>
      </c>
      <c r="R2659" s="2">
        <v>0</v>
      </c>
      <c r="S2659" s="2">
        <v>0</v>
      </c>
      <c r="T2659" s="2">
        <v>0</v>
      </c>
      <c r="U2659" s="2">
        <v>18840</v>
      </c>
      <c r="V2659" s="2">
        <v>18840</v>
      </c>
      <c r="W2659" s="2">
        <v>18840</v>
      </c>
    </row>
    <row r="2660" spans="1:23" outlineLevel="2" x14ac:dyDescent="0.2">
      <c r="A2660" t="s">
        <v>999</v>
      </c>
      <c r="B2660" t="s">
        <v>39</v>
      </c>
      <c r="C2660" t="s">
        <v>58</v>
      </c>
      <c r="D2660" t="s">
        <v>135</v>
      </c>
      <c r="E2660" t="s">
        <v>136</v>
      </c>
      <c r="F2660" t="s">
        <v>837</v>
      </c>
      <c r="G2660" t="s">
        <v>838</v>
      </c>
      <c r="H2660" t="s">
        <v>1125</v>
      </c>
      <c r="I2660" t="s">
        <v>1126</v>
      </c>
      <c r="J2660" t="s">
        <v>1000</v>
      </c>
      <c r="K2660" t="s">
        <v>1082</v>
      </c>
      <c r="L2660" t="s">
        <v>1083</v>
      </c>
      <c r="M2660" t="s">
        <v>12</v>
      </c>
      <c r="N2660" s="2">
        <v>11000</v>
      </c>
      <c r="O2660" s="2">
        <v>35000</v>
      </c>
      <c r="P2660" s="2">
        <v>0</v>
      </c>
      <c r="Q2660" s="2">
        <v>46000</v>
      </c>
      <c r="R2660" s="2">
        <v>6977.81</v>
      </c>
      <c r="S2660" s="2">
        <v>32716</v>
      </c>
      <c r="T2660" s="2">
        <v>32716</v>
      </c>
      <c r="U2660" s="2">
        <v>13284</v>
      </c>
      <c r="V2660" s="2">
        <v>13284</v>
      </c>
      <c r="W2660" s="2">
        <v>6306.19</v>
      </c>
    </row>
    <row r="2661" spans="1:23" outlineLevel="2" x14ac:dyDescent="0.2">
      <c r="A2661" t="s">
        <v>999</v>
      </c>
      <c r="B2661" t="s">
        <v>39</v>
      </c>
      <c r="C2661" t="s">
        <v>58</v>
      </c>
      <c r="D2661" t="s">
        <v>147</v>
      </c>
      <c r="E2661" t="s">
        <v>148</v>
      </c>
      <c r="F2661" t="s">
        <v>837</v>
      </c>
      <c r="G2661" t="s">
        <v>838</v>
      </c>
      <c r="H2661" t="s">
        <v>1125</v>
      </c>
      <c r="I2661" t="s">
        <v>1126</v>
      </c>
      <c r="J2661" t="s">
        <v>1000</v>
      </c>
      <c r="K2661" t="s">
        <v>1082</v>
      </c>
      <c r="L2661" t="s">
        <v>1083</v>
      </c>
      <c r="M2661" t="s">
        <v>12</v>
      </c>
      <c r="N2661" s="2">
        <v>30000</v>
      </c>
      <c r="O2661" s="2">
        <v>0</v>
      </c>
      <c r="P2661" s="2">
        <v>0</v>
      </c>
      <c r="Q2661" s="2">
        <v>30000</v>
      </c>
      <c r="R2661" s="2">
        <v>8938.6299999999992</v>
      </c>
      <c r="S2661" s="2">
        <v>21061.37</v>
      </c>
      <c r="T2661" s="2">
        <v>0</v>
      </c>
      <c r="U2661" s="2">
        <v>8938.6299999999992</v>
      </c>
      <c r="V2661" s="2">
        <v>30000</v>
      </c>
      <c r="W2661" s="2">
        <v>0</v>
      </c>
    </row>
    <row r="2662" spans="1:23" outlineLevel="2" x14ac:dyDescent="0.2">
      <c r="A2662" t="s">
        <v>999</v>
      </c>
      <c r="B2662" t="s">
        <v>39</v>
      </c>
      <c r="C2662" t="s">
        <v>58</v>
      </c>
      <c r="D2662" t="s">
        <v>143</v>
      </c>
      <c r="E2662" t="s">
        <v>144</v>
      </c>
      <c r="F2662" t="s">
        <v>837</v>
      </c>
      <c r="G2662" t="s">
        <v>838</v>
      </c>
      <c r="H2662" t="s">
        <v>1125</v>
      </c>
      <c r="I2662" t="s">
        <v>1126</v>
      </c>
      <c r="J2662" t="s">
        <v>1000</v>
      </c>
      <c r="K2662" t="s">
        <v>1082</v>
      </c>
      <c r="L2662" t="s">
        <v>1083</v>
      </c>
      <c r="M2662" t="s">
        <v>12</v>
      </c>
      <c r="N2662" s="2">
        <v>20000</v>
      </c>
      <c r="O2662" s="2">
        <v>0</v>
      </c>
      <c r="P2662" s="2">
        <v>-20000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</row>
    <row r="2663" spans="1:23" outlineLevel="2" x14ac:dyDescent="0.2">
      <c r="A2663" t="s">
        <v>999</v>
      </c>
      <c r="B2663" t="s">
        <v>39</v>
      </c>
      <c r="C2663" t="s">
        <v>58</v>
      </c>
      <c r="D2663" t="s">
        <v>149</v>
      </c>
      <c r="E2663" t="s">
        <v>150</v>
      </c>
      <c r="F2663" t="s">
        <v>837</v>
      </c>
      <c r="G2663" t="s">
        <v>838</v>
      </c>
      <c r="H2663" t="s">
        <v>1132</v>
      </c>
      <c r="I2663" t="s">
        <v>1133</v>
      </c>
      <c r="J2663" t="s">
        <v>1000</v>
      </c>
      <c r="K2663" t="s">
        <v>1037</v>
      </c>
      <c r="L2663" t="s">
        <v>1066</v>
      </c>
      <c r="M2663" t="s">
        <v>12</v>
      </c>
      <c r="N2663" s="2">
        <v>3500</v>
      </c>
      <c r="O2663" s="2">
        <v>0</v>
      </c>
      <c r="P2663" s="2">
        <v>-3500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</row>
    <row r="2664" spans="1:23" outlineLevel="2" x14ac:dyDescent="0.2">
      <c r="A2664" t="s">
        <v>999</v>
      </c>
      <c r="B2664" t="s">
        <v>39</v>
      </c>
      <c r="C2664" t="s">
        <v>58</v>
      </c>
      <c r="D2664" t="s">
        <v>59</v>
      </c>
      <c r="E2664" t="s">
        <v>60</v>
      </c>
      <c r="F2664" t="s">
        <v>837</v>
      </c>
      <c r="G2664" t="s">
        <v>838</v>
      </c>
      <c r="H2664" t="s">
        <v>1132</v>
      </c>
      <c r="I2664" t="s">
        <v>1133</v>
      </c>
      <c r="J2664" t="s">
        <v>1000</v>
      </c>
      <c r="K2664" t="s">
        <v>1037</v>
      </c>
      <c r="L2664" t="s">
        <v>1066</v>
      </c>
      <c r="M2664" t="s">
        <v>12</v>
      </c>
      <c r="N2664" s="2">
        <v>2500</v>
      </c>
      <c r="O2664" s="2">
        <v>0</v>
      </c>
      <c r="P2664" s="2">
        <v>-2500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</row>
    <row r="2665" spans="1:23" outlineLevel="2" x14ac:dyDescent="0.2">
      <c r="A2665" t="s">
        <v>999</v>
      </c>
      <c r="B2665" t="s">
        <v>39</v>
      </c>
      <c r="C2665" t="s">
        <v>58</v>
      </c>
      <c r="D2665" t="s">
        <v>147</v>
      </c>
      <c r="E2665" t="s">
        <v>148</v>
      </c>
      <c r="F2665" t="s">
        <v>837</v>
      </c>
      <c r="G2665" t="s">
        <v>838</v>
      </c>
      <c r="H2665" t="s">
        <v>1132</v>
      </c>
      <c r="I2665" t="s">
        <v>1133</v>
      </c>
      <c r="J2665" t="s">
        <v>1000</v>
      </c>
      <c r="K2665" t="s">
        <v>1039</v>
      </c>
      <c r="L2665" t="s">
        <v>1067</v>
      </c>
      <c r="M2665" t="s">
        <v>12</v>
      </c>
      <c r="N2665" s="2">
        <v>5000</v>
      </c>
      <c r="O2665" s="2">
        <v>0</v>
      </c>
      <c r="P2665" s="2">
        <v>-5000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</row>
    <row r="2666" spans="1:23" outlineLevel="2" x14ac:dyDescent="0.2">
      <c r="A2666" t="s">
        <v>999</v>
      </c>
      <c r="B2666" t="s">
        <v>39</v>
      </c>
      <c r="C2666" t="s">
        <v>58</v>
      </c>
      <c r="D2666" t="s">
        <v>143</v>
      </c>
      <c r="E2666" t="s">
        <v>144</v>
      </c>
      <c r="F2666" t="s">
        <v>837</v>
      </c>
      <c r="G2666" t="s">
        <v>838</v>
      </c>
      <c r="H2666" t="s">
        <v>1132</v>
      </c>
      <c r="I2666" t="s">
        <v>1133</v>
      </c>
      <c r="J2666" t="s">
        <v>1000</v>
      </c>
      <c r="K2666" t="s">
        <v>1039</v>
      </c>
      <c r="L2666" t="s">
        <v>1067</v>
      </c>
      <c r="M2666" t="s">
        <v>12</v>
      </c>
      <c r="N2666" s="2">
        <v>1360</v>
      </c>
      <c r="O2666" s="2">
        <v>0</v>
      </c>
      <c r="P2666" s="2">
        <v>-1360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</row>
    <row r="2667" spans="1:23" outlineLevel="2" x14ac:dyDescent="0.2">
      <c r="A2667" t="s">
        <v>999</v>
      </c>
      <c r="B2667" t="s">
        <v>39</v>
      </c>
      <c r="C2667" t="s">
        <v>58</v>
      </c>
      <c r="D2667" t="s">
        <v>145</v>
      </c>
      <c r="E2667" t="s">
        <v>146</v>
      </c>
      <c r="F2667" t="s">
        <v>837</v>
      </c>
      <c r="G2667" t="s">
        <v>838</v>
      </c>
      <c r="H2667" t="s">
        <v>1132</v>
      </c>
      <c r="I2667" t="s">
        <v>1133</v>
      </c>
      <c r="J2667" t="s">
        <v>1000</v>
      </c>
      <c r="K2667" t="s">
        <v>1039</v>
      </c>
      <c r="L2667" t="s">
        <v>1067</v>
      </c>
      <c r="M2667" t="s">
        <v>12</v>
      </c>
      <c r="N2667" s="2">
        <v>10000</v>
      </c>
      <c r="O2667" s="2">
        <v>0</v>
      </c>
      <c r="P2667" s="2">
        <v>-10000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</row>
    <row r="2668" spans="1:23" outlineLevel="2" x14ac:dyDescent="0.2">
      <c r="A2668" t="s">
        <v>999</v>
      </c>
      <c r="B2668" t="s">
        <v>39</v>
      </c>
      <c r="C2668" t="s">
        <v>58</v>
      </c>
      <c r="D2668" t="s">
        <v>59</v>
      </c>
      <c r="E2668" t="s">
        <v>60</v>
      </c>
      <c r="F2668" t="s">
        <v>837</v>
      </c>
      <c r="G2668" t="s">
        <v>838</v>
      </c>
      <c r="H2668" t="s">
        <v>1132</v>
      </c>
      <c r="I2668" t="s">
        <v>1133</v>
      </c>
      <c r="J2668" t="s">
        <v>1000</v>
      </c>
      <c r="K2668" t="s">
        <v>1039</v>
      </c>
      <c r="L2668" t="s">
        <v>1067</v>
      </c>
      <c r="M2668" t="s">
        <v>12</v>
      </c>
      <c r="N2668" s="2">
        <v>8159</v>
      </c>
      <c r="O2668" s="2">
        <v>0</v>
      </c>
      <c r="P2668" s="2">
        <v>-8159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</row>
    <row r="2669" spans="1:23" outlineLevel="2" x14ac:dyDescent="0.2">
      <c r="A2669" t="s">
        <v>999</v>
      </c>
      <c r="B2669" t="s">
        <v>39</v>
      </c>
      <c r="C2669" t="s">
        <v>58</v>
      </c>
      <c r="D2669" t="s">
        <v>149</v>
      </c>
      <c r="E2669" t="s">
        <v>150</v>
      </c>
      <c r="F2669" t="s">
        <v>837</v>
      </c>
      <c r="G2669" t="s">
        <v>838</v>
      </c>
      <c r="H2669" t="s">
        <v>1132</v>
      </c>
      <c r="I2669" t="s">
        <v>1133</v>
      </c>
      <c r="J2669" t="s">
        <v>1000</v>
      </c>
      <c r="K2669" t="s">
        <v>1039</v>
      </c>
      <c r="L2669" t="s">
        <v>1067</v>
      </c>
      <c r="M2669" t="s">
        <v>12</v>
      </c>
      <c r="N2669" s="2">
        <v>5582.81</v>
      </c>
      <c r="O2669" s="2">
        <v>0</v>
      </c>
      <c r="P2669" s="2">
        <v>-5582.81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</row>
    <row r="2670" spans="1:23" outlineLevel="2" x14ac:dyDescent="0.2">
      <c r="A2670" t="s">
        <v>999</v>
      </c>
      <c r="B2670" t="s">
        <v>39</v>
      </c>
      <c r="C2670" t="s">
        <v>58</v>
      </c>
      <c r="D2670" t="s">
        <v>135</v>
      </c>
      <c r="E2670" t="s">
        <v>136</v>
      </c>
      <c r="F2670" t="s">
        <v>837</v>
      </c>
      <c r="G2670" t="s">
        <v>838</v>
      </c>
      <c r="H2670" t="s">
        <v>1132</v>
      </c>
      <c r="I2670" t="s">
        <v>1133</v>
      </c>
      <c r="J2670" t="s">
        <v>1000</v>
      </c>
      <c r="K2670" t="s">
        <v>1039</v>
      </c>
      <c r="L2670" t="s">
        <v>1067</v>
      </c>
      <c r="M2670" t="s">
        <v>12</v>
      </c>
      <c r="N2670" s="2">
        <v>3000</v>
      </c>
      <c r="O2670" s="2">
        <v>0</v>
      </c>
      <c r="P2670" s="2">
        <v>-3000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</row>
    <row r="2671" spans="1:23" outlineLevel="2" x14ac:dyDescent="0.2">
      <c r="A2671" t="s">
        <v>999</v>
      </c>
      <c r="B2671" t="s">
        <v>39</v>
      </c>
      <c r="C2671" t="s">
        <v>58</v>
      </c>
      <c r="D2671" t="s">
        <v>137</v>
      </c>
      <c r="E2671" t="s">
        <v>138</v>
      </c>
      <c r="F2671" t="s">
        <v>837</v>
      </c>
      <c r="G2671" t="s">
        <v>838</v>
      </c>
      <c r="H2671" t="s">
        <v>1132</v>
      </c>
      <c r="I2671" t="s">
        <v>1133</v>
      </c>
      <c r="J2671" t="s">
        <v>1000</v>
      </c>
      <c r="K2671" t="s">
        <v>1039</v>
      </c>
      <c r="L2671" t="s">
        <v>1067</v>
      </c>
      <c r="M2671" t="s">
        <v>12</v>
      </c>
      <c r="N2671" s="2">
        <v>3750</v>
      </c>
      <c r="O2671" s="2">
        <v>0</v>
      </c>
      <c r="P2671" s="2">
        <v>-3750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</row>
    <row r="2672" spans="1:23" outlineLevel="2" x14ac:dyDescent="0.2">
      <c r="A2672" t="s">
        <v>999</v>
      </c>
      <c r="B2672" t="s">
        <v>39</v>
      </c>
      <c r="C2672" t="s">
        <v>58</v>
      </c>
      <c r="D2672" t="s">
        <v>105</v>
      </c>
      <c r="E2672" t="s">
        <v>106</v>
      </c>
      <c r="F2672" t="s">
        <v>837</v>
      </c>
      <c r="G2672" t="s">
        <v>838</v>
      </c>
      <c r="H2672" t="s">
        <v>1132</v>
      </c>
      <c r="I2672" t="s">
        <v>1133</v>
      </c>
      <c r="J2672" t="s">
        <v>1000</v>
      </c>
      <c r="K2672" t="s">
        <v>1039</v>
      </c>
      <c r="L2672" t="s">
        <v>1067</v>
      </c>
      <c r="M2672" t="s">
        <v>12</v>
      </c>
      <c r="N2672" s="2">
        <v>6322.42</v>
      </c>
      <c r="O2672" s="2">
        <v>0</v>
      </c>
      <c r="P2672" s="2">
        <v>-6322.42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</row>
    <row r="2673" spans="1:23" outlineLevel="2" x14ac:dyDescent="0.2">
      <c r="A2673" t="s">
        <v>999</v>
      </c>
      <c r="B2673" t="s">
        <v>39</v>
      </c>
      <c r="C2673" t="s">
        <v>58</v>
      </c>
      <c r="D2673" t="s">
        <v>149</v>
      </c>
      <c r="E2673" t="s">
        <v>150</v>
      </c>
      <c r="F2673" t="s">
        <v>837</v>
      </c>
      <c r="G2673" t="s">
        <v>838</v>
      </c>
      <c r="H2673" t="s">
        <v>1132</v>
      </c>
      <c r="I2673" t="s">
        <v>1133</v>
      </c>
      <c r="J2673" t="s">
        <v>1000</v>
      </c>
      <c r="K2673" t="s">
        <v>1068</v>
      </c>
      <c r="L2673" t="s">
        <v>1069</v>
      </c>
      <c r="M2673" t="s">
        <v>12</v>
      </c>
      <c r="N2673" s="2">
        <v>39000</v>
      </c>
      <c r="O2673" s="2">
        <v>0</v>
      </c>
      <c r="P2673" s="2">
        <v>-39000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</row>
    <row r="2674" spans="1:23" outlineLevel="2" x14ac:dyDescent="0.2">
      <c r="A2674" t="s">
        <v>999</v>
      </c>
      <c r="B2674" t="s">
        <v>39</v>
      </c>
      <c r="C2674" t="s">
        <v>58</v>
      </c>
      <c r="D2674" t="s">
        <v>145</v>
      </c>
      <c r="E2674" t="s">
        <v>146</v>
      </c>
      <c r="F2674" t="s">
        <v>837</v>
      </c>
      <c r="G2674" t="s">
        <v>838</v>
      </c>
      <c r="H2674" t="s">
        <v>1132</v>
      </c>
      <c r="I2674" t="s">
        <v>1133</v>
      </c>
      <c r="J2674" t="s">
        <v>1000</v>
      </c>
      <c r="K2674" t="s">
        <v>1068</v>
      </c>
      <c r="L2674" t="s">
        <v>1069</v>
      </c>
      <c r="M2674" t="s">
        <v>12</v>
      </c>
      <c r="N2674" s="2">
        <v>67633.84</v>
      </c>
      <c r="O2674" s="2">
        <v>0</v>
      </c>
      <c r="P2674" s="2">
        <v>-67633.84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</row>
    <row r="2675" spans="1:23" outlineLevel="2" x14ac:dyDescent="0.2">
      <c r="A2675" t="s">
        <v>999</v>
      </c>
      <c r="B2675" t="s">
        <v>39</v>
      </c>
      <c r="C2675" t="s">
        <v>58</v>
      </c>
      <c r="D2675" t="s">
        <v>147</v>
      </c>
      <c r="E2675" t="s">
        <v>148</v>
      </c>
      <c r="F2675" t="s">
        <v>837</v>
      </c>
      <c r="G2675" t="s">
        <v>838</v>
      </c>
      <c r="H2675" t="s">
        <v>1132</v>
      </c>
      <c r="I2675" t="s">
        <v>1133</v>
      </c>
      <c r="J2675" t="s">
        <v>1000</v>
      </c>
      <c r="K2675" t="s">
        <v>1068</v>
      </c>
      <c r="L2675" t="s">
        <v>1069</v>
      </c>
      <c r="M2675" t="s">
        <v>12</v>
      </c>
      <c r="N2675" s="2">
        <v>17287.98</v>
      </c>
      <c r="O2675" s="2">
        <v>0</v>
      </c>
      <c r="P2675" s="2">
        <v>-17287.98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</row>
    <row r="2676" spans="1:23" outlineLevel="2" x14ac:dyDescent="0.2">
      <c r="A2676" t="s">
        <v>999</v>
      </c>
      <c r="B2676" t="s">
        <v>39</v>
      </c>
      <c r="C2676" t="s">
        <v>58</v>
      </c>
      <c r="D2676" t="s">
        <v>59</v>
      </c>
      <c r="E2676" t="s">
        <v>60</v>
      </c>
      <c r="F2676" t="s">
        <v>837</v>
      </c>
      <c r="G2676" t="s">
        <v>838</v>
      </c>
      <c r="H2676" t="s">
        <v>1132</v>
      </c>
      <c r="I2676" t="s">
        <v>1133</v>
      </c>
      <c r="J2676" t="s">
        <v>1000</v>
      </c>
      <c r="K2676" t="s">
        <v>1068</v>
      </c>
      <c r="L2676" t="s">
        <v>1069</v>
      </c>
      <c r="M2676" t="s">
        <v>12</v>
      </c>
      <c r="N2676" s="2">
        <v>38473.71</v>
      </c>
      <c r="O2676" s="2">
        <v>0</v>
      </c>
      <c r="P2676" s="2">
        <v>-38473.71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</row>
    <row r="2677" spans="1:23" outlineLevel="2" x14ac:dyDescent="0.2">
      <c r="A2677" t="s">
        <v>999</v>
      </c>
      <c r="B2677" t="s">
        <v>39</v>
      </c>
      <c r="C2677" t="s">
        <v>58</v>
      </c>
      <c r="D2677" t="s">
        <v>143</v>
      </c>
      <c r="E2677" t="s">
        <v>144</v>
      </c>
      <c r="F2677" t="s">
        <v>837</v>
      </c>
      <c r="G2677" t="s">
        <v>838</v>
      </c>
      <c r="H2677" t="s">
        <v>1132</v>
      </c>
      <c r="I2677" t="s">
        <v>1133</v>
      </c>
      <c r="J2677" t="s">
        <v>1000</v>
      </c>
      <c r="K2677" t="s">
        <v>1068</v>
      </c>
      <c r="L2677" t="s">
        <v>1069</v>
      </c>
      <c r="M2677" t="s">
        <v>12</v>
      </c>
      <c r="N2677" s="2">
        <v>46000</v>
      </c>
      <c r="O2677" s="2">
        <v>0</v>
      </c>
      <c r="P2677" s="2">
        <v>-46000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</row>
    <row r="2678" spans="1:23" outlineLevel="2" x14ac:dyDescent="0.2">
      <c r="A2678" t="s">
        <v>999</v>
      </c>
      <c r="B2678" t="s">
        <v>39</v>
      </c>
      <c r="C2678" t="s">
        <v>58</v>
      </c>
      <c r="D2678" t="s">
        <v>137</v>
      </c>
      <c r="E2678" t="s">
        <v>138</v>
      </c>
      <c r="F2678" t="s">
        <v>837</v>
      </c>
      <c r="G2678" t="s">
        <v>838</v>
      </c>
      <c r="H2678" t="s">
        <v>1132</v>
      </c>
      <c r="I2678" t="s">
        <v>1133</v>
      </c>
      <c r="J2678" t="s">
        <v>1000</v>
      </c>
      <c r="K2678" t="s">
        <v>1068</v>
      </c>
      <c r="L2678" t="s">
        <v>1069</v>
      </c>
      <c r="M2678" t="s">
        <v>12</v>
      </c>
      <c r="N2678" s="2">
        <v>37000</v>
      </c>
      <c r="O2678" s="2">
        <v>0</v>
      </c>
      <c r="P2678" s="2">
        <v>-37000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</row>
    <row r="2679" spans="1:23" outlineLevel="2" x14ac:dyDescent="0.2">
      <c r="A2679" t="s">
        <v>999</v>
      </c>
      <c r="B2679" t="s">
        <v>39</v>
      </c>
      <c r="C2679" t="s">
        <v>58</v>
      </c>
      <c r="D2679" t="s">
        <v>139</v>
      </c>
      <c r="E2679" t="s">
        <v>140</v>
      </c>
      <c r="F2679" t="s">
        <v>837</v>
      </c>
      <c r="G2679" t="s">
        <v>838</v>
      </c>
      <c r="H2679" t="s">
        <v>1132</v>
      </c>
      <c r="I2679" t="s">
        <v>1133</v>
      </c>
      <c r="J2679" t="s">
        <v>1000</v>
      </c>
      <c r="K2679" t="s">
        <v>1068</v>
      </c>
      <c r="L2679" t="s">
        <v>1069</v>
      </c>
      <c r="M2679" t="s">
        <v>12</v>
      </c>
      <c r="N2679" s="2">
        <v>48000</v>
      </c>
      <c r="O2679" s="2">
        <v>0</v>
      </c>
      <c r="P2679" s="2">
        <v>-48000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</row>
    <row r="2680" spans="1:23" outlineLevel="2" x14ac:dyDescent="0.2">
      <c r="A2680" t="s">
        <v>999</v>
      </c>
      <c r="B2680" t="s">
        <v>39</v>
      </c>
      <c r="C2680" t="s">
        <v>58</v>
      </c>
      <c r="D2680" t="s">
        <v>135</v>
      </c>
      <c r="E2680" t="s">
        <v>136</v>
      </c>
      <c r="F2680" t="s">
        <v>837</v>
      </c>
      <c r="G2680" t="s">
        <v>838</v>
      </c>
      <c r="H2680" t="s">
        <v>1132</v>
      </c>
      <c r="I2680" t="s">
        <v>1133</v>
      </c>
      <c r="J2680" t="s">
        <v>1000</v>
      </c>
      <c r="K2680" t="s">
        <v>1068</v>
      </c>
      <c r="L2680" t="s">
        <v>1069</v>
      </c>
      <c r="M2680" t="s">
        <v>12</v>
      </c>
      <c r="N2680" s="2">
        <v>52900</v>
      </c>
      <c r="O2680" s="2">
        <v>0</v>
      </c>
      <c r="P2680" s="2">
        <v>-52900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</row>
    <row r="2681" spans="1:23" outlineLevel="2" x14ac:dyDescent="0.2">
      <c r="A2681" t="s">
        <v>999</v>
      </c>
      <c r="B2681" t="s">
        <v>39</v>
      </c>
      <c r="C2681" t="s">
        <v>58</v>
      </c>
      <c r="D2681" t="s">
        <v>105</v>
      </c>
      <c r="E2681" t="s">
        <v>106</v>
      </c>
      <c r="F2681" t="s">
        <v>837</v>
      </c>
      <c r="G2681" t="s">
        <v>838</v>
      </c>
      <c r="H2681" t="s">
        <v>1132</v>
      </c>
      <c r="I2681" t="s">
        <v>1133</v>
      </c>
      <c r="J2681" t="s">
        <v>1000</v>
      </c>
      <c r="K2681" t="s">
        <v>1068</v>
      </c>
      <c r="L2681" t="s">
        <v>1069</v>
      </c>
      <c r="M2681" t="s">
        <v>12</v>
      </c>
      <c r="N2681" s="2">
        <v>6160</v>
      </c>
      <c r="O2681" s="2">
        <v>0</v>
      </c>
      <c r="P2681" s="2">
        <v>-6160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</row>
    <row r="2682" spans="1:23" outlineLevel="2" x14ac:dyDescent="0.2">
      <c r="A2682" t="s">
        <v>999</v>
      </c>
      <c r="B2682" t="s">
        <v>39</v>
      </c>
      <c r="C2682" t="s">
        <v>58</v>
      </c>
      <c r="D2682" t="s">
        <v>143</v>
      </c>
      <c r="E2682" t="s">
        <v>144</v>
      </c>
      <c r="F2682" t="s">
        <v>837</v>
      </c>
      <c r="G2682" t="s">
        <v>838</v>
      </c>
      <c r="H2682" t="s">
        <v>1132</v>
      </c>
      <c r="I2682" t="s">
        <v>1133</v>
      </c>
      <c r="J2682" t="s">
        <v>1000</v>
      </c>
      <c r="K2682" t="s">
        <v>1011</v>
      </c>
      <c r="L2682" t="s">
        <v>1073</v>
      </c>
      <c r="M2682" t="s">
        <v>12</v>
      </c>
      <c r="N2682" s="2">
        <v>14000</v>
      </c>
      <c r="O2682" s="2">
        <v>0</v>
      </c>
      <c r="P2682" s="2">
        <v>-14000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</row>
    <row r="2683" spans="1:23" outlineLevel="2" x14ac:dyDescent="0.2">
      <c r="A2683" t="s">
        <v>999</v>
      </c>
      <c r="B2683" t="s">
        <v>39</v>
      </c>
      <c r="C2683" t="s">
        <v>58</v>
      </c>
      <c r="D2683" t="s">
        <v>135</v>
      </c>
      <c r="E2683" t="s">
        <v>136</v>
      </c>
      <c r="F2683" t="s">
        <v>837</v>
      </c>
      <c r="G2683" t="s">
        <v>838</v>
      </c>
      <c r="H2683" t="s">
        <v>1132</v>
      </c>
      <c r="I2683" t="s">
        <v>1133</v>
      </c>
      <c r="J2683" t="s">
        <v>1000</v>
      </c>
      <c r="K2683" t="s">
        <v>1011</v>
      </c>
      <c r="L2683" t="s">
        <v>1073</v>
      </c>
      <c r="M2683" t="s">
        <v>12</v>
      </c>
      <c r="N2683" s="2">
        <v>13500</v>
      </c>
      <c r="O2683" s="2">
        <v>0</v>
      </c>
      <c r="P2683" s="2">
        <v>-13500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</row>
    <row r="2684" spans="1:23" outlineLevel="2" x14ac:dyDescent="0.2">
      <c r="A2684" t="s">
        <v>999</v>
      </c>
      <c r="B2684" t="s">
        <v>39</v>
      </c>
      <c r="C2684" t="s">
        <v>58</v>
      </c>
      <c r="D2684" t="s">
        <v>145</v>
      </c>
      <c r="E2684" t="s">
        <v>146</v>
      </c>
      <c r="F2684" t="s">
        <v>837</v>
      </c>
      <c r="G2684" t="s">
        <v>838</v>
      </c>
      <c r="H2684" t="s">
        <v>1132</v>
      </c>
      <c r="I2684" t="s">
        <v>1133</v>
      </c>
      <c r="J2684" t="s">
        <v>1000</v>
      </c>
      <c r="K2684" t="s">
        <v>1011</v>
      </c>
      <c r="L2684" t="s">
        <v>1073</v>
      </c>
      <c r="M2684" t="s">
        <v>12</v>
      </c>
      <c r="N2684" s="2">
        <v>15000</v>
      </c>
      <c r="O2684" s="2">
        <v>0</v>
      </c>
      <c r="P2684" s="2">
        <v>-15000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</row>
    <row r="2685" spans="1:23" outlineLevel="2" x14ac:dyDescent="0.2">
      <c r="A2685" t="s">
        <v>999</v>
      </c>
      <c r="B2685" t="s">
        <v>39</v>
      </c>
      <c r="C2685" t="s">
        <v>58</v>
      </c>
      <c r="D2685" t="s">
        <v>139</v>
      </c>
      <c r="E2685" t="s">
        <v>140</v>
      </c>
      <c r="F2685" t="s">
        <v>837</v>
      </c>
      <c r="G2685" t="s">
        <v>838</v>
      </c>
      <c r="H2685" t="s">
        <v>1132</v>
      </c>
      <c r="I2685" t="s">
        <v>1133</v>
      </c>
      <c r="J2685" t="s">
        <v>1000</v>
      </c>
      <c r="K2685" t="s">
        <v>1011</v>
      </c>
      <c r="L2685" t="s">
        <v>1073</v>
      </c>
      <c r="M2685" t="s">
        <v>12</v>
      </c>
      <c r="N2685" s="2">
        <v>13000</v>
      </c>
      <c r="O2685" s="2">
        <v>0</v>
      </c>
      <c r="P2685" s="2">
        <v>-13000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</row>
    <row r="2686" spans="1:23" outlineLevel="2" x14ac:dyDescent="0.2">
      <c r="A2686" t="s">
        <v>999</v>
      </c>
      <c r="B2686" t="s">
        <v>39</v>
      </c>
      <c r="C2686" t="s">
        <v>58</v>
      </c>
      <c r="D2686" t="s">
        <v>137</v>
      </c>
      <c r="E2686" t="s">
        <v>138</v>
      </c>
      <c r="F2686" t="s">
        <v>837</v>
      </c>
      <c r="G2686" t="s">
        <v>838</v>
      </c>
      <c r="H2686" t="s">
        <v>1132</v>
      </c>
      <c r="I2686" t="s">
        <v>1133</v>
      </c>
      <c r="J2686" t="s">
        <v>1000</v>
      </c>
      <c r="K2686" t="s">
        <v>1011</v>
      </c>
      <c r="L2686" t="s">
        <v>1073</v>
      </c>
      <c r="M2686" t="s">
        <v>12</v>
      </c>
      <c r="N2686" s="2">
        <v>14000</v>
      </c>
      <c r="O2686" s="2">
        <v>0</v>
      </c>
      <c r="P2686" s="2">
        <v>-14000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</row>
    <row r="2687" spans="1:23" outlineLevel="2" x14ac:dyDescent="0.2">
      <c r="A2687" t="s">
        <v>999</v>
      </c>
      <c r="B2687" t="s">
        <v>39</v>
      </c>
      <c r="C2687" t="s">
        <v>58</v>
      </c>
      <c r="D2687" t="s">
        <v>59</v>
      </c>
      <c r="E2687" t="s">
        <v>60</v>
      </c>
      <c r="F2687" t="s">
        <v>837</v>
      </c>
      <c r="G2687" t="s">
        <v>838</v>
      </c>
      <c r="H2687" t="s">
        <v>1132</v>
      </c>
      <c r="I2687" t="s">
        <v>1133</v>
      </c>
      <c r="J2687" t="s">
        <v>1000</v>
      </c>
      <c r="K2687" t="s">
        <v>1011</v>
      </c>
      <c r="L2687" t="s">
        <v>1073</v>
      </c>
      <c r="M2687" t="s">
        <v>12</v>
      </c>
      <c r="N2687" s="2">
        <v>14000</v>
      </c>
      <c r="O2687" s="2">
        <v>0</v>
      </c>
      <c r="P2687" s="2">
        <v>-14000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</row>
    <row r="2688" spans="1:23" outlineLevel="2" x14ac:dyDescent="0.2">
      <c r="A2688" t="s">
        <v>999</v>
      </c>
      <c r="B2688" t="s">
        <v>39</v>
      </c>
      <c r="C2688" t="s">
        <v>58</v>
      </c>
      <c r="D2688" t="s">
        <v>149</v>
      </c>
      <c r="E2688" t="s">
        <v>150</v>
      </c>
      <c r="F2688" t="s">
        <v>837</v>
      </c>
      <c r="G2688" t="s">
        <v>838</v>
      </c>
      <c r="H2688" t="s">
        <v>1132</v>
      </c>
      <c r="I2688" t="s">
        <v>1133</v>
      </c>
      <c r="J2688" t="s">
        <v>1000</v>
      </c>
      <c r="K2688" t="s">
        <v>1011</v>
      </c>
      <c r="L2688" t="s">
        <v>1073</v>
      </c>
      <c r="M2688" t="s">
        <v>12</v>
      </c>
      <c r="N2688" s="2">
        <v>13000</v>
      </c>
      <c r="O2688" s="2">
        <v>0</v>
      </c>
      <c r="P2688" s="2">
        <v>-13000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</row>
    <row r="2689" spans="1:23" outlineLevel="2" x14ac:dyDescent="0.2">
      <c r="A2689" t="s">
        <v>999</v>
      </c>
      <c r="B2689" t="s">
        <v>39</v>
      </c>
      <c r="C2689" t="s">
        <v>58</v>
      </c>
      <c r="D2689" t="s">
        <v>147</v>
      </c>
      <c r="E2689" t="s">
        <v>148</v>
      </c>
      <c r="F2689" t="s">
        <v>837</v>
      </c>
      <c r="G2689" t="s">
        <v>838</v>
      </c>
      <c r="H2689" t="s">
        <v>1132</v>
      </c>
      <c r="I2689" t="s">
        <v>1133</v>
      </c>
      <c r="J2689" t="s">
        <v>1000</v>
      </c>
      <c r="K2689" t="s">
        <v>1011</v>
      </c>
      <c r="L2689" t="s">
        <v>1073</v>
      </c>
      <c r="M2689" t="s">
        <v>12</v>
      </c>
      <c r="N2689" s="2">
        <v>8000</v>
      </c>
      <c r="O2689" s="2">
        <v>0</v>
      </c>
      <c r="P2689" s="2">
        <v>-8000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</row>
    <row r="2690" spans="1:23" outlineLevel="2" x14ac:dyDescent="0.2">
      <c r="A2690" t="s">
        <v>999</v>
      </c>
      <c r="B2690" t="s">
        <v>39</v>
      </c>
      <c r="C2690" t="s">
        <v>58</v>
      </c>
      <c r="D2690" t="s">
        <v>139</v>
      </c>
      <c r="E2690" t="s">
        <v>140</v>
      </c>
      <c r="F2690" t="s">
        <v>837</v>
      </c>
      <c r="G2690" t="s">
        <v>838</v>
      </c>
      <c r="H2690" t="s">
        <v>1132</v>
      </c>
      <c r="I2690" t="s">
        <v>1133</v>
      </c>
      <c r="J2690" t="s">
        <v>1000</v>
      </c>
      <c r="K2690" t="s">
        <v>1078</v>
      </c>
      <c r="L2690" t="s">
        <v>1079</v>
      </c>
      <c r="M2690" t="s">
        <v>12</v>
      </c>
      <c r="N2690" s="2">
        <v>7000</v>
      </c>
      <c r="O2690" s="2">
        <v>0</v>
      </c>
      <c r="P2690" s="2">
        <v>-7000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</row>
    <row r="2691" spans="1:23" outlineLevel="2" x14ac:dyDescent="0.2">
      <c r="A2691" t="s">
        <v>999</v>
      </c>
      <c r="B2691" t="s">
        <v>39</v>
      </c>
      <c r="C2691" t="s">
        <v>58</v>
      </c>
      <c r="D2691" t="s">
        <v>59</v>
      </c>
      <c r="E2691" t="s">
        <v>60</v>
      </c>
      <c r="F2691" t="s">
        <v>837</v>
      </c>
      <c r="G2691" t="s">
        <v>838</v>
      </c>
      <c r="H2691" t="s">
        <v>1132</v>
      </c>
      <c r="I2691" t="s">
        <v>1133</v>
      </c>
      <c r="J2691" t="s">
        <v>1000</v>
      </c>
      <c r="K2691" t="s">
        <v>1078</v>
      </c>
      <c r="L2691" t="s">
        <v>1079</v>
      </c>
      <c r="M2691" t="s">
        <v>12</v>
      </c>
      <c r="N2691" s="2">
        <v>2000</v>
      </c>
      <c r="O2691" s="2">
        <v>0</v>
      </c>
      <c r="P2691" s="2">
        <v>-2000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</row>
    <row r="2692" spans="1:23" outlineLevel="2" x14ac:dyDescent="0.2">
      <c r="A2692" t="s">
        <v>999</v>
      </c>
      <c r="B2692" t="s">
        <v>39</v>
      </c>
      <c r="C2692" t="s">
        <v>58</v>
      </c>
      <c r="D2692" t="s">
        <v>145</v>
      </c>
      <c r="E2692" t="s">
        <v>146</v>
      </c>
      <c r="F2692" t="s">
        <v>837</v>
      </c>
      <c r="G2692" t="s">
        <v>838</v>
      </c>
      <c r="H2692" t="s">
        <v>1132</v>
      </c>
      <c r="I2692" t="s">
        <v>1133</v>
      </c>
      <c r="J2692" t="s">
        <v>1000</v>
      </c>
      <c r="K2692" t="s">
        <v>1078</v>
      </c>
      <c r="L2692" t="s">
        <v>1079</v>
      </c>
      <c r="M2692" t="s">
        <v>12</v>
      </c>
      <c r="N2692" s="2">
        <v>5000</v>
      </c>
      <c r="O2692" s="2">
        <v>0</v>
      </c>
      <c r="P2692" s="2">
        <v>-5000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</row>
    <row r="2693" spans="1:23" outlineLevel="2" x14ac:dyDescent="0.2">
      <c r="A2693" t="s">
        <v>999</v>
      </c>
      <c r="B2693" t="s">
        <v>39</v>
      </c>
      <c r="C2693" t="s">
        <v>58</v>
      </c>
      <c r="D2693" t="s">
        <v>149</v>
      </c>
      <c r="E2693" t="s">
        <v>150</v>
      </c>
      <c r="F2693" t="s">
        <v>837</v>
      </c>
      <c r="G2693" t="s">
        <v>838</v>
      </c>
      <c r="H2693" t="s">
        <v>1132</v>
      </c>
      <c r="I2693" t="s">
        <v>1133</v>
      </c>
      <c r="J2693" t="s">
        <v>1000</v>
      </c>
      <c r="K2693" t="s">
        <v>1078</v>
      </c>
      <c r="L2693" t="s">
        <v>1079</v>
      </c>
      <c r="M2693" t="s">
        <v>12</v>
      </c>
      <c r="N2693" s="2">
        <v>2000</v>
      </c>
      <c r="O2693" s="2">
        <v>0</v>
      </c>
      <c r="P2693" s="2">
        <v>-2000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</row>
    <row r="2694" spans="1:23" outlineLevel="2" x14ac:dyDescent="0.2">
      <c r="A2694" t="s">
        <v>999</v>
      </c>
      <c r="B2694" t="s">
        <v>39</v>
      </c>
      <c r="C2694" t="s">
        <v>58</v>
      </c>
      <c r="D2694" t="s">
        <v>137</v>
      </c>
      <c r="E2694" t="s">
        <v>138</v>
      </c>
      <c r="F2694" t="s">
        <v>837</v>
      </c>
      <c r="G2694" t="s">
        <v>838</v>
      </c>
      <c r="H2694" t="s">
        <v>1132</v>
      </c>
      <c r="I2694" t="s">
        <v>1133</v>
      </c>
      <c r="J2694" t="s">
        <v>1000</v>
      </c>
      <c r="K2694" t="s">
        <v>1078</v>
      </c>
      <c r="L2694" t="s">
        <v>1079</v>
      </c>
      <c r="M2694" t="s">
        <v>12</v>
      </c>
      <c r="N2694" s="2">
        <v>1700</v>
      </c>
      <c r="O2694" s="2">
        <v>0</v>
      </c>
      <c r="P2694" s="2">
        <v>-1700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</row>
    <row r="2695" spans="1:23" outlineLevel="2" x14ac:dyDescent="0.2">
      <c r="A2695" t="s">
        <v>999</v>
      </c>
      <c r="B2695" t="s">
        <v>39</v>
      </c>
      <c r="C2695" t="s">
        <v>58</v>
      </c>
      <c r="D2695" t="s">
        <v>147</v>
      </c>
      <c r="E2695" t="s">
        <v>148</v>
      </c>
      <c r="F2695" t="s">
        <v>837</v>
      </c>
      <c r="G2695" t="s">
        <v>838</v>
      </c>
      <c r="H2695" t="s">
        <v>1132</v>
      </c>
      <c r="I2695" t="s">
        <v>1133</v>
      </c>
      <c r="J2695" t="s">
        <v>1000</v>
      </c>
      <c r="K2695" t="s">
        <v>1078</v>
      </c>
      <c r="L2695" t="s">
        <v>1079</v>
      </c>
      <c r="M2695" t="s">
        <v>12</v>
      </c>
      <c r="N2695" s="2">
        <v>4500</v>
      </c>
      <c r="O2695" s="2">
        <v>0</v>
      </c>
      <c r="P2695" s="2">
        <v>-4500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</row>
    <row r="2696" spans="1:23" outlineLevel="2" x14ac:dyDescent="0.2">
      <c r="A2696" t="s">
        <v>999</v>
      </c>
      <c r="B2696" t="s">
        <v>39</v>
      </c>
      <c r="C2696" t="s">
        <v>58</v>
      </c>
      <c r="D2696" t="s">
        <v>105</v>
      </c>
      <c r="E2696" t="s">
        <v>106</v>
      </c>
      <c r="F2696" t="s">
        <v>837</v>
      </c>
      <c r="G2696" t="s">
        <v>838</v>
      </c>
      <c r="H2696" t="s">
        <v>1132</v>
      </c>
      <c r="I2696" t="s">
        <v>1133</v>
      </c>
      <c r="J2696" t="s">
        <v>1000</v>
      </c>
      <c r="K2696" t="s">
        <v>1078</v>
      </c>
      <c r="L2696" t="s">
        <v>1079</v>
      </c>
      <c r="M2696" t="s">
        <v>12</v>
      </c>
      <c r="N2696" s="2">
        <v>12343.34</v>
      </c>
      <c r="O2696" s="2">
        <v>7840</v>
      </c>
      <c r="P2696" s="2">
        <v>-12343.34</v>
      </c>
      <c r="Q2696" s="2">
        <v>7840</v>
      </c>
      <c r="R2696" s="2">
        <v>0</v>
      </c>
      <c r="S2696" s="2">
        <v>7840</v>
      </c>
      <c r="T2696" s="2">
        <v>0</v>
      </c>
      <c r="U2696" s="2">
        <v>0</v>
      </c>
      <c r="V2696" s="2">
        <v>7840</v>
      </c>
      <c r="W2696" s="2">
        <v>0</v>
      </c>
    </row>
    <row r="2697" spans="1:23" outlineLevel="2" x14ac:dyDescent="0.2">
      <c r="A2697" t="s">
        <v>999</v>
      </c>
      <c r="B2697" t="s">
        <v>39</v>
      </c>
      <c r="C2697" t="s">
        <v>58</v>
      </c>
      <c r="D2697" t="s">
        <v>135</v>
      </c>
      <c r="E2697" t="s">
        <v>136</v>
      </c>
      <c r="F2697" t="s">
        <v>837</v>
      </c>
      <c r="G2697" t="s">
        <v>838</v>
      </c>
      <c r="H2697" t="s">
        <v>1132</v>
      </c>
      <c r="I2697" t="s">
        <v>1133</v>
      </c>
      <c r="J2697" t="s">
        <v>1000</v>
      </c>
      <c r="K2697" t="s">
        <v>1078</v>
      </c>
      <c r="L2697" t="s">
        <v>1079</v>
      </c>
      <c r="M2697" t="s">
        <v>12</v>
      </c>
      <c r="N2697" s="2">
        <v>9860.5</v>
      </c>
      <c r="O2697" s="2">
        <v>0</v>
      </c>
      <c r="P2697" s="2">
        <v>-9860.5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</row>
    <row r="2698" spans="1:23" outlineLevel="2" x14ac:dyDescent="0.2">
      <c r="A2698" t="s">
        <v>999</v>
      </c>
      <c r="B2698" t="s">
        <v>39</v>
      </c>
      <c r="C2698" t="s">
        <v>58</v>
      </c>
      <c r="D2698" t="s">
        <v>143</v>
      </c>
      <c r="E2698" t="s">
        <v>144</v>
      </c>
      <c r="F2698" t="s">
        <v>837</v>
      </c>
      <c r="G2698" t="s">
        <v>838</v>
      </c>
      <c r="H2698" t="s">
        <v>1132</v>
      </c>
      <c r="I2698" t="s">
        <v>1133</v>
      </c>
      <c r="J2698" t="s">
        <v>1000</v>
      </c>
      <c r="K2698" t="s">
        <v>1061</v>
      </c>
      <c r="L2698" t="s">
        <v>1080</v>
      </c>
      <c r="M2698" t="s">
        <v>12</v>
      </c>
      <c r="N2698" s="2">
        <v>15125.03</v>
      </c>
      <c r="O2698" s="2">
        <v>0</v>
      </c>
      <c r="P2698" s="2">
        <v>-3.6</v>
      </c>
      <c r="Q2698" s="2">
        <v>15121.43</v>
      </c>
      <c r="R2698" s="2">
        <v>81.540000000000006</v>
      </c>
      <c r="S2698" s="2">
        <v>15039.89</v>
      </c>
      <c r="T2698" s="2">
        <v>15039.89</v>
      </c>
      <c r="U2698" s="2">
        <v>81.540000000000006</v>
      </c>
      <c r="V2698" s="2">
        <v>81.540000000000006</v>
      </c>
      <c r="W2698" s="2">
        <v>0</v>
      </c>
    </row>
    <row r="2699" spans="1:23" outlineLevel="2" x14ac:dyDescent="0.2">
      <c r="A2699" t="s">
        <v>999</v>
      </c>
      <c r="B2699" t="s">
        <v>39</v>
      </c>
      <c r="C2699" t="s">
        <v>58</v>
      </c>
      <c r="D2699" t="s">
        <v>147</v>
      </c>
      <c r="E2699" t="s">
        <v>148</v>
      </c>
      <c r="F2699" t="s">
        <v>837</v>
      </c>
      <c r="G2699" t="s">
        <v>838</v>
      </c>
      <c r="H2699" t="s">
        <v>1132</v>
      </c>
      <c r="I2699" t="s">
        <v>1133</v>
      </c>
      <c r="J2699" t="s">
        <v>1000</v>
      </c>
      <c r="K2699" t="s">
        <v>1061</v>
      </c>
      <c r="L2699" t="s">
        <v>1080</v>
      </c>
      <c r="M2699" t="s">
        <v>12</v>
      </c>
      <c r="N2699" s="2">
        <v>15000</v>
      </c>
      <c r="O2699" s="2">
        <v>0</v>
      </c>
      <c r="P2699" s="2">
        <v>-15000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0</v>
      </c>
    </row>
    <row r="2700" spans="1:23" outlineLevel="2" x14ac:dyDescent="0.2">
      <c r="A2700" t="s">
        <v>999</v>
      </c>
      <c r="B2700" t="s">
        <v>39</v>
      </c>
      <c r="C2700" t="s">
        <v>58</v>
      </c>
      <c r="D2700" t="s">
        <v>145</v>
      </c>
      <c r="E2700" t="s">
        <v>146</v>
      </c>
      <c r="F2700" t="s">
        <v>837</v>
      </c>
      <c r="G2700" t="s">
        <v>838</v>
      </c>
      <c r="H2700" t="s">
        <v>1132</v>
      </c>
      <c r="I2700" t="s">
        <v>1133</v>
      </c>
      <c r="J2700" t="s">
        <v>1000</v>
      </c>
      <c r="K2700" t="s">
        <v>1061</v>
      </c>
      <c r="L2700" t="s">
        <v>1080</v>
      </c>
      <c r="M2700" t="s">
        <v>12</v>
      </c>
      <c r="N2700" s="2">
        <v>30000</v>
      </c>
      <c r="O2700" s="2">
        <v>0</v>
      </c>
      <c r="P2700" s="2">
        <v>-30000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</row>
    <row r="2701" spans="1:23" outlineLevel="2" x14ac:dyDescent="0.2">
      <c r="A2701" t="s">
        <v>999</v>
      </c>
      <c r="B2701" t="s">
        <v>39</v>
      </c>
      <c r="C2701" t="s">
        <v>58</v>
      </c>
      <c r="D2701" t="s">
        <v>137</v>
      </c>
      <c r="E2701" t="s">
        <v>138</v>
      </c>
      <c r="F2701" t="s">
        <v>837</v>
      </c>
      <c r="G2701" t="s">
        <v>838</v>
      </c>
      <c r="H2701" t="s">
        <v>1132</v>
      </c>
      <c r="I2701" t="s">
        <v>1133</v>
      </c>
      <c r="J2701" t="s">
        <v>1000</v>
      </c>
      <c r="K2701" t="s">
        <v>1061</v>
      </c>
      <c r="L2701" t="s">
        <v>1080</v>
      </c>
      <c r="M2701" t="s">
        <v>12</v>
      </c>
      <c r="N2701" s="2">
        <v>9675</v>
      </c>
      <c r="O2701" s="2">
        <v>0</v>
      </c>
      <c r="P2701" s="2">
        <v>-9675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</row>
    <row r="2702" spans="1:23" outlineLevel="2" x14ac:dyDescent="0.2">
      <c r="A2702" t="s">
        <v>999</v>
      </c>
      <c r="B2702" t="s">
        <v>39</v>
      </c>
      <c r="C2702" t="s">
        <v>58</v>
      </c>
      <c r="D2702" t="s">
        <v>59</v>
      </c>
      <c r="E2702" t="s">
        <v>60</v>
      </c>
      <c r="F2702" t="s">
        <v>837</v>
      </c>
      <c r="G2702" t="s">
        <v>838</v>
      </c>
      <c r="H2702" t="s">
        <v>1132</v>
      </c>
      <c r="I2702" t="s">
        <v>1133</v>
      </c>
      <c r="J2702" t="s">
        <v>1000</v>
      </c>
      <c r="K2702" t="s">
        <v>1061</v>
      </c>
      <c r="L2702" t="s">
        <v>1080</v>
      </c>
      <c r="M2702" t="s">
        <v>12</v>
      </c>
      <c r="N2702" s="2">
        <v>16058</v>
      </c>
      <c r="O2702" s="2">
        <v>0</v>
      </c>
      <c r="P2702" s="2">
        <v>-16058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0</v>
      </c>
    </row>
    <row r="2703" spans="1:23" outlineLevel="2" x14ac:dyDescent="0.2">
      <c r="A2703" t="s">
        <v>999</v>
      </c>
      <c r="B2703" t="s">
        <v>39</v>
      </c>
      <c r="C2703" t="s">
        <v>58</v>
      </c>
      <c r="D2703" t="s">
        <v>149</v>
      </c>
      <c r="E2703" t="s">
        <v>150</v>
      </c>
      <c r="F2703" t="s">
        <v>837</v>
      </c>
      <c r="G2703" t="s">
        <v>838</v>
      </c>
      <c r="H2703" t="s">
        <v>1132</v>
      </c>
      <c r="I2703" t="s">
        <v>1133</v>
      </c>
      <c r="J2703" t="s">
        <v>1000</v>
      </c>
      <c r="K2703" t="s">
        <v>1061</v>
      </c>
      <c r="L2703" t="s">
        <v>1080</v>
      </c>
      <c r="M2703" t="s">
        <v>12</v>
      </c>
      <c r="N2703" s="2">
        <v>18000</v>
      </c>
      <c r="O2703" s="2">
        <v>0</v>
      </c>
      <c r="P2703" s="2">
        <v>-18000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</row>
    <row r="2704" spans="1:23" outlineLevel="2" x14ac:dyDescent="0.2">
      <c r="A2704" t="s">
        <v>999</v>
      </c>
      <c r="B2704" t="s">
        <v>39</v>
      </c>
      <c r="C2704" t="s">
        <v>58</v>
      </c>
      <c r="D2704" t="s">
        <v>139</v>
      </c>
      <c r="E2704" t="s">
        <v>140</v>
      </c>
      <c r="F2704" t="s">
        <v>837</v>
      </c>
      <c r="G2704" t="s">
        <v>838</v>
      </c>
      <c r="H2704" t="s">
        <v>1132</v>
      </c>
      <c r="I2704" t="s">
        <v>1133</v>
      </c>
      <c r="J2704" t="s">
        <v>1000</v>
      </c>
      <c r="K2704" t="s">
        <v>1061</v>
      </c>
      <c r="L2704" t="s">
        <v>1080</v>
      </c>
      <c r="M2704" t="s">
        <v>12</v>
      </c>
      <c r="N2704" s="2">
        <v>25331.05</v>
      </c>
      <c r="O2704" s="2">
        <v>0</v>
      </c>
      <c r="P2704" s="2">
        <v>-25331.05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</row>
    <row r="2705" spans="1:23" outlineLevel="2" x14ac:dyDescent="0.2">
      <c r="A2705" t="s">
        <v>999</v>
      </c>
      <c r="B2705" t="s">
        <v>39</v>
      </c>
      <c r="C2705" t="s">
        <v>58</v>
      </c>
      <c r="D2705" t="s">
        <v>135</v>
      </c>
      <c r="E2705" t="s">
        <v>136</v>
      </c>
      <c r="F2705" t="s">
        <v>837</v>
      </c>
      <c r="G2705" t="s">
        <v>838</v>
      </c>
      <c r="H2705" t="s">
        <v>1132</v>
      </c>
      <c r="I2705" t="s">
        <v>1133</v>
      </c>
      <c r="J2705" t="s">
        <v>1000</v>
      </c>
      <c r="K2705" t="s">
        <v>1061</v>
      </c>
      <c r="L2705" t="s">
        <v>1080</v>
      </c>
      <c r="M2705" t="s">
        <v>12</v>
      </c>
      <c r="N2705" s="2">
        <v>12100</v>
      </c>
      <c r="O2705" s="2">
        <v>0</v>
      </c>
      <c r="P2705" s="2">
        <v>-12100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</row>
    <row r="2706" spans="1:23" outlineLevel="2" x14ac:dyDescent="0.2">
      <c r="A2706" t="s">
        <v>999</v>
      </c>
      <c r="B2706" t="s">
        <v>39</v>
      </c>
      <c r="C2706" t="s">
        <v>58</v>
      </c>
      <c r="D2706" t="s">
        <v>145</v>
      </c>
      <c r="E2706" t="s">
        <v>146</v>
      </c>
      <c r="F2706" t="s">
        <v>837</v>
      </c>
      <c r="G2706" t="s">
        <v>838</v>
      </c>
      <c r="H2706" t="s">
        <v>1132</v>
      </c>
      <c r="I2706" t="s">
        <v>1133</v>
      </c>
      <c r="J2706" t="s">
        <v>1000</v>
      </c>
      <c r="K2706" t="s">
        <v>1019</v>
      </c>
      <c r="L2706" t="s">
        <v>1081</v>
      </c>
      <c r="M2706" t="s">
        <v>12</v>
      </c>
      <c r="N2706" s="2">
        <v>1000</v>
      </c>
      <c r="O2706" s="2">
        <v>0</v>
      </c>
      <c r="P2706" s="2">
        <v>-1000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</row>
    <row r="2707" spans="1:23" outlineLevel="2" x14ac:dyDescent="0.2">
      <c r="A2707" t="s">
        <v>999</v>
      </c>
      <c r="B2707" t="s">
        <v>39</v>
      </c>
      <c r="C2707" t="s">
        <v>58</v>
      </c>
      <c r="D2707" t="s">
        <v>135</v>
      </c>
      <c r="E2707" t="s">
        <v>136</v>
      </c>
      <c r="F2707" t="s">
        <v>837</v>
      </c>
      <c r="G2707" t="s">
        <v>838</v>
      </c>
      <c r="H2707" t="s">
        <v>1132</v>
      </c>
      <c r="I2707" t="s">
        <v>1133</v>
      </c>
      <c r="J2707" t="s">
        <v>1000</v>
      </c>
      <c r="K2707" t="s">
        <v>1082</v>
      </c>
      <c r="L2707" t="s">
        <v>1083</v>
      </c>
      <c r="M2707" t="s">
        <v>12</v>
      </c>
      <c r="N2707" s="2">
        <v>600</v>
      </c>
      <c r="O2707" s="2">
        <v>0</v>
      </c>
      <c r="P2707" s="2">
        <v>-600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0</v>
      </c>
    </row>
    <row r="2708" spans="1:23" outlineLevel="2" x14ac:dyDescent="0.2">
      <c r="A2708" t="s">
        <v>999</v>
      </c>
      <c r="B2708" t="s">
        <v>39</v>
      </c>
      <c r="C2708" t="s">
        <v>58</v>
      </c>
      <c r="D2708" t="s">
        <v>139</v>
      </c>
      <c r="E2708" t="s">
        <v>140</v>
      </c>
      <c r="F2708" t="s">
        <v>837</v>
      </c>
      <c r="G2708" t="s">
        <v>838</v>
      </c>
      <c r="H2708" t="s">
        <v>1132</v>
      </c>
      <c r="I2708" t="s">
        <v>1133</v>
      </c>
      <c r="J2708" t="s">
        <v>1000</v>
      </c>
      <c r="K2708" t="s">
        <v>1084</v>
      </c>
      <c r="L2708" t="s">
        <v>1085</v>
      </c>
      <c r="M2708" t="s">
        <v>12</v>
      </c>
      <c r="N2708" s="2">
        <v>6000</v>
      </c>
      <c r="O2708" s="2">
        <v>0</v>
      </c>
      <c r="P2708" s="2">
        <v>-6000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</row>
    <row r="2709" spans="1:23" outlineLevel="2" x14ac:dyDescent="0.2">
      <c r="A2709" t="s">
        <v>999</v>
      </c>
      <c r="B2709" t="s">
        <v>39</v>
      </c>
      <c r="C2709" t="s">
        <v>58</v>
      </c>
      <c r="D2709" t="s">
        <v>59</v>
      </c>
      <c r="E2709" t="s">
        <v>60</v>
      </c>
      <c r="F2709" t="s">
        <v>837</v>
      </c>
      <c r="G2709" t="s">
        <v>838</v>
      </c>
      <c r="H2709" t="s">
        <v>1132</v>
      </c>
      <c r="I2709" t="s">
        <v>1133</v>
      </c>
      <c r="J2709" t="s">
        <v>1000</v>
      </c>
      <c r="K2709" t="s">
        <v>1084</v>
      </c>
      <c r="L2709" t="s">
        <v>1085</v>
      </c>
      <c r="M2709" t="s">
        <v>12</v>
      </c>
      <c r="N2709" s="2">
        <v>8000</v>
      </c>
      <c r="O2709" s="2">
        <v>0</v>
      </c>
      <c r="P2709" s="2">
        <v>-8000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</row>
    <row r="2710" spans="1:23" outlineLevel="2" x14ac:dyDescent="0.2">
      <c r="A2710" t="s">
        <v>999</v>
      </c>
      <c r="B2710" t="s">
        <v>39</v>
      </c>
      <c r="C2710" t="s">
        <v>58</v>
      </c>
      <c r="D2710" t="s">
        <v>149</v>
      </c>
      <c r="E2710" t="s">
        <v>150</v>
      </c>
      <c r="F2710" t="s">
        <v>837</v>
      </c>
      <c r="G2710" t="s">
        <v>838</v>
      </c>
      <c r="H2710" t="s">
        <v>1132</v>
      </c>
      <c r="I2710" t="s">
        <v>1133</v>
      </c>
      <c r="J2710" t="s">
        <v>1000</v>
      </c>
      <c r="K2710" t="s">
        <v>1084</v>
      </c>
      <c r="L2710" t="s">
        <v>1085</v>
      </c>
      <c r="M2710" t="s">
        <v>12</v>
      </c>
      <c r="N2710" s="2">
        <v>15000</v>
      </c>
      <c r="O2710" s="2">
        <v>0</v>
      </c>
      <c r="P2710" s="2">
        <v>-15000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</row>
    <row r="2711" spans="1:23" outlineLevel="2" x14ac:dyDescent="0.2">
      <c r="A2711" t="s">
        <v>999</v>
      </c>
      <c r="B2711" t="s">
        <v>39</v>
      </c>
      <c r="C2711" t="s">
        <v>58</v>
      </c>
      <c r="D2711" t="s">
        <v>143</v>
      </c>
      <c r="E2711" t="s">
        <v>144</v>
      </c>
      <c r="F2711" t="s">
        <v>837</v>
      </c>
      <c r="G2711" t="s">
        <v>838</v>
      </c>
      <c r="H2711" t="s">
        <v>1132</v>
      </c>
      <c r="I2711" t="s">
        <v>1133</v>
      </c>
      <c r="J2711" t="s">
        <v>1000</v>
      </c>
      <c r="K2711" t="s">
        <v>1084</v>
      </c>
      <c r="L2711" t="s">
        <v>1085</v>
      </c>
      <c r="M2711" t="s">
        <v>12</v>
      </c>
      <c r="N2711" s="2">
        <v>8000</v>
      </c>
      <c r="O2711" s="2">
        <v>0</v>
      </c>
      <c r="P2711" s="2">
        <v>-4516.0200000000004</v>
      </c>
      <c r="Q2711" s="2">
        <v>3483.98</v>
      </c>
      <c r="R2711" s="2">
        <v>0</v>
      </c>
      <c r="S2711" s="2">
        <v>3483.98</v>
      </c>
      <c r="T2711" s="2">
        <v>3483.98</v>
      </c>
      <c r="U2711" s="2">
        <v>0</v>
      </c>
      <c r="V2711" s="2">
        <v>0</v>
      </c>
      <c r="W2711" s="2">
        <v>0</v>
      </c>
    </row>
    <row r="2712" spans="1:23" outlineLevel="2" x14ac:dyDescent="0.2">
      <c r="A2712" t="s">
        <v>999</v>
      </c>
      <c r="B2712" t="s">
        <v>39</v>
      </c>
      <c r="C2712" t="s">
        <v>58</v>
      </c>
      <c r="D2712" t="s">
        <v>135</v>
      </c>
      <c r="E2712" t="s">
        <v>136</v>
      </c>
      <c r="F2712" t="s">
        <v>837</v>
      </c>
      <c r="G2712" t="s">
        <v>838</v>
      </c>
      <c r="H2712" t="s">
        <v>1132</v>
      </c>
      <c r="I2712" t="s">
        <v>1133</v>
      </c>
      <c r="J2712" t="s">
        <v>1000</v>
      </c>
      <c r="K2712" t="s">
        <v>1084</v>
      </c>
      <c r="L2712" t="s">
        <v>1085</v>
      </c>
      <c r="M2712" t="s">
        <v>12</v>
      </c>
      <c r="N2712" s="2">
        <v>5500</v>
      </c>
      <c r="O2712" s="2">
        <v>0</v>
      </c>
      <c r="P2712" s="2">
        <v>-5500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</row>
    <row r="2713" spans="1:23" outlineLevel="2" x14ac:dyDescent="0.2">
      <c r="A2713" t="s">
        <v>999</v>
      </c>
      <c r="B2713" t="s">
        <v>39</v>
      </c>
      <c r="C2713" t="s">
        <v>58</v>
      </c>
      <c r="D2713" t="s">
        <v>145</v>
      </c>
      <c r="E2713" t="s">
        <v>146</v>
      </c>
      <c r="F2713" t="s">
        <v>837</v>
      </c>
      <c r="G2713" t="s">
        <v>838</v>
      </c>
      <c r="H2713" t="s">
        <v>1132</v>
      </c>
      <c r="I2713" t="s">
        <v>1133</v>
      </c>
      <c r="J2713" t="s">
        <v>1000</v>
      </c>
      <c r="K2713" t="s">
        <v>1084</v>
      </c>
      <c r="L2713" t="s">
        <v>1085</v>
      </c>
      <c r="M2713" t="s">
        <v>12</v>
      </c>
      <c r="N2713" s="2">
        <v>7000</v>
      </c>
      <c r="O2713" s="2">
        <v>0</v>
      </c>
      <c r="P2713" s="2">
        <v>-7000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</row>
    <row r="2714" spans="1:23" outlineLevel="2" x14ac:dyDescent="0.2">
      <c r="A2714" t="s">
        <v>999</v>
      </c>
      <c r="B2714" t="s">
        <v>39</v>
      </c>
      <c r="C2714" t="s">
        <v>58</v>
      </c>
      <c r="D2714" t="s">
        <v>147</v>
      </c>
      <c r="E2714" t="s">
        <v>148</v>
      </c>
      <c r="F2714" t="s">
        <v>837</v>
      </c>
      <c r="G2714" t="s">
        <v>838</v>
      </c>
      <c r="H2714" t="s">
        <v>1132</v>
      </c>
      <c r="I2714" t="s">
        <v>1133</v>
      </c>
      <c r="J2714" t="s">
        <v>1000</v>
      </c>
      <c r="K2714" t="s">
        <v>1084</v>
      </c>
      <c r="L2714" t="s">
        <v>1085</v>
      </c>
      <c r="M2714" t="s">
        <v>12</v>
      </c>
      <c r="N2714" s="2">
        <v>3500</v>
      </c>
      <c r="O2714" s="2">
        <v>0</v>
      </c>
      <c r="P2714" s="2">
        <v>-3500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</row>
    <row r="2715" spans="1:23" outlineLevel="2" x14ac:dyDescent="0.2">
      <c r="A2715" t="s">
        <v>999</v>
      </c>
      <c r="B2715" t="s">
        <v>39</v>
      </c>
      <c r="C2715" t="s">
        <v>58</v>
      </c>
      <c r="D2715" t="s">
        <v>137</v>
      </c>
      <c r="E2715" t="s">
        <v>138</v>
      </c>
      <c r="F2715" t="s">
        <v>837</v>
      </c>
      <c r="G2715" t="s">
        <v>838</v>
      </c>
      <c r="H2715" t="s">
        <v>1132</v>
      </c>
      <c r="I2715" t="s">
        <v>1133</v>
      </c>
      <c r="J2715" t="s">
        <v>1000</v>
      </c>
      <c r="K2715" t="s">
        <v>1084</v>
      </c>
      <c r="L2715" t="s">
        <v>1085</v>
      </c>
      <c r="M2715" t="s">
        <v>12</v>
      </c>
      <c r="N2715" s="2">
        <v>7897.2</v>
      </c>
      <c r="O2715" s="2">
        <v>0</v>
      </c>
      <c r="P2715" s="2">
        <v>-7897.2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</row>
    <row r="2716" spans="1:23" outlineLevel="2" x14ac:dyDescent="0.2">
      <c r="A2716" t="s">
        <v>999</v>
      </c>
      <c r="B2716" t="s">
        <v>39</v>
      </c>
      <c r="C2716" t="s">
        <v>58</v>
      </c>
      <c r="D2716" t="s">
        <v>105</v>
      </c>
      <c r="E2716" t="s">
        <v>106</v>
      </c>
      <c r="F2716" t="s">
        <v>837</v>
      </c>
      <c r="G2716" t="s">
        <v>838</v>
      </c>
      <c r="H2716" t="s">
        <v>1134</v>
      </c>
      <c r="I2716" t="s">
        <v>1135</v>
      </c>
      <c r="J2716" t="s">
        <v>1000</v>
      </c>
      <c r="K2716" t="s">
        <v>1039</v>
      </c>
      <c r="L2716" t="s">
        <v>1067</v>
      </c>
      <c r="M2716" t="s">
        <v>12</v>
      </c>
      <c r="N2716" s="2">
        <v>1346248.22</v>
      </c>
      <c r="O2716" s="2">
        <v>-995500</v>
      </c>
      <c r="P2716" s="2">
        <v>-346248.22</v>
      </c>
      <c r="Q2716" s="2">
        <v>4500</v>
      </c>
      <c r="R2716" s="2">
        <v>0</v>
      </c>
      <c r="S2716" s="2">
        <v>4500</v>
      </c>
      <c r="T2716" s="2">
        <v>4499.99</v>
      </c>
      <c r="U2716" s="2">
        <v>0</v>
      </c>
      <c r="V2716" s="2">
        <v>0.01</v>
      </c>
      <c r="W2716" s="2">
        <v>0</v>
      </c>
    </row>
    <row r="2717" spans="1:23" outlineLevel="2" x14ac:dyDescent="0.2">
      <c r="A2717" t="s">
        <v>999</v>
      </c>
      <c r="B2717" t="s">
        <v>39</v>
      </c>
      <c r="C2717" t="s">
        <v>58</v>
      </c>
      <c r="D2717" t="s">
        <v>105</v>
      </c>
      <c r="E2717" t="s">
        <v>106</v>
      </c>
      <c r="F2717" t="s">
        <v>837</v>
      </c>
      <c r="G2717" t="s">
        <v>838</v>
      </c>
      <c r="H2717" t="s">
        <v>1134</v>
      </c>
      <c r="I2717" t="s">
        <v>1135</v>
      </c>
      <c r="J2717" t="s">
        <v>1000</v>
      </c>
      <c r="K2717" t="s">
        <v>1090</v>
      </c>
      <c r="L2717" t="s">
        <v>1091</v>
      </c>
      <c r="M2717" t="s">
        <v>12</v>
      </c>
      <c r="N2717" s="2">
        <v>5000</v>
      </c>
      <c r="O2717" s="2">
        <v>0</v>
      </c>
      <c r="P2717" s="2">
        <v>-5000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</row>
    <row r="2718" spans="1:23" outlineLevel="2" x14ac:dyDescent="0.2">
      <c r="A2718" t="s">
        <v>999</v>
      </c>
      <c r="B2718" t="s">
        <v>39</v>
      </c>
      <c r="C2718" t="s">
        <v>58</v>
      </c>
      <c r="D2718" t="s">
        <v>105</v>
      </c>
      <c r="E2718" t="s">
        <v>106</v>
      </c>
      <c r="F2718" t="s">
        <v>837</v>
      </c>
      <c r="G2718" t="s">
        <v>838</v>
      </c>
      <c r="H2718" t="s">
        <v>1134</v>
      </c>
      <c r="I2718" t="s">
        <v>1135</v>
      </c>
      <c r="J2718" t="s">
        <v>1000</v>
      </c>
      <c r="K2718" t="s">
        <v>1011</v>
      </c>
      <c r="L2718" t="s">
        <v>1073</v>
      </c>
      <c r="M2718" t="s">
        <v>12</v>
      </c>
      <c r="N2718" s="2">
        <v>1300</v>
      </c>
      <c r="O2718" s="2">
        <v>0</v>
      </c>
      <c r="P2718" s="2">
        <v>-1300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</row>
    <row r="2719" spans="1:23" outlineLevel="2" x14ac:dyDescent="0.2">
      <c r="A2719" t="s">
        <v>999</v>
      </c>
      <c r="B2719" t="s">
        <v>39</v>
      </c>
      <c r="C2719" t="s">
        <v>58</v>
      </c>
      <c r="D2719" t="s">
        <v>105</v>
      </c>
      <c r="E2719" t="s">
        <v>106</v>
      </c>
      <c r="F2719" t="s">
        <v>837</v>
      </c>
      <c r="G2719" t="s">
        <v>838</v>
      </c>
      <c r="H2719" t="s">
        <v>1134</v>
      </c>
      <c r="I2719" t="s">
        <v>1135</v>
      </c>
      <c r="J2719" t="s">
        <v>1000</v>
      </c>
      <c r="K2719" t="s">
        <v>1078</v>
      </c>
      <c r="L2719" t="s">
        <v>1079</v>
      </c>
      <c r="M2719" t="s">
        <v>12</v>
      </c>
      <c r="N2719" s="2">
        <v>8000</v>
      </c>
      <c r="O2719" s="2">
        <v>-4500</v>
      </c>
      <c r="P2719" s="2">
        <v>-3500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</row>
    <row r="2720" spans="1:23" outlineLevel="2" x14ac:dyDescent="0.2">
      <c r="A2720" t="s">
        <v>999</v>
      </c>
      <c r="B2720" t="s">
        <v>39</v>
      </c>
      <c r="C2720" t="s">
        <v>58</v>
      </c>
      <c r="D2720" t="s">
        <v>105</v>
      </c>
      <c r="E2720" t="s">
        <v>106</v>
      </c>
      <c r="F2720" t="s">
        <v>837</v>
      </c>
      <c r="G2720" t="s">
        <v>838</v>
      </c>
      <c r="H2720" t="s">
        <v>1136</v>
      </c>
      <c r="I2720" t="s">
        <v>1137</v>
      </c>
      <c r="J2720" t="s">
        <v>1000</v>
      </c>
      <c r="K2720" t="s">
        <v>1082</v>
      </c>
      <c r="L2720" t="s">
        <v>1083</v>
      </c>
      <c r="M2720" t="s">
        <v>12</v>
      </c>
      <c r="N2720" s="2">
        <v>10000</v>
      </c>
      <c r="O2720" s="2">
        <v>0</v>
      </c>
      <c r="P2720" s="2">
        <v>-10000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</row>
    <row r="2721" spans="1:23" outlineLevel="2" x14ac:dyDescent="0.2">
      <c r="A2721" t="s">
        <v>999</v>
      </c>
      <c r="B2721" t="s">
        <v>39</v>
      </c>
      <c r="C2721" t="s">
        <v>58</v>
      </c>
      <c r="D2721" t="s">
        <v>147</v>
      </c>
      <c r="E2721" t="s">
        <v>148</v>
      </c>
      <c r="F2721" t="s">
        <v>856</v>
      </c>
      <c r="G2721" t="s">
        <v>857</v>
      </c>
      <c r="H2721" t="s">
        <v>858</v>
      </c>
      <c r="I2721" t="s">
        <v>859</v>
      </c>
      <c r="J2721" t="s">
        <v>1000</v>
      </c>
      <c r="K2721" t="s">
        <v>1037</v>
      </c>
      <c r="L2721" t="s">
        <v>1138</v>
      </c>
      <c r="M2721" t="s">
        <v>12</v>
      </c>
      <c r="N2721" s="2">
        <v>1800</v>
      </c>
      <c r="O2721" s="2">
        <v>0</v>
      </c>
      <c r="P2721" s="2">
        <v>-1800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</row>
    <row r="2722" spans="1:23" outlineLevel="2" x14ac:dyDescent="0.2">
      <c r="A2722" t="s">
        <v>999</v>
      </c>
      <c r="B2722" t="s">
        <v>39</v>
      </c>
      <c r="C2722" t="s">
        <v>58</v>
      </c>
      <c r="D2722" t="s">
        <v>139</v>
      </c>
      <c r="E2722" t="s">
        <v>140</v>
      </c>
      <c r="F2722" t="s">
        <v>856</v>
      </c>
      <c r="G2722" t="s">
        <v>857</v>
      </c>
      <c r="H2722" t="s">
        <v>858</v>
      </c>
      <c r="I2722" t="s">
        <v>859</v>
      </c>
      <c r="J2722" t="s">
        <v>1000</v>
      </c>
      <c r="K2722" t="s">
        <v>1039</v>
      </c>
      <c r="L2722" t="s">
        <v>1139</v>
      </c>
      <c r="M2722" t="s">
        <v>12</v>
      </c>
      <c r="N2722" s="2">
        <v>40000</v>
      </c>
      <c r="O2722" s="2">
        <v>31224.46</v>
      </c>
      <c r="P2722" s="2">
        <v>-40000</v>
      </c>
      <c r="Q2722" s="2">
        <v>31224.46</v>
      </c>
      <c r="R2722" s="2">
        <v>0</v>
      </c>
      <c r="S2722" s="2">
        <v>0</v>
      </c>
      <c r="T2722" s="2">
        <v>0</v>
      </c>
      <c r="U2722" s="2">
        <v>31224.46</v>
      </c>
      <c r="V2722" s="2">
        <v>31224.46</v>
      </c>
      <c r="W2722" s="2">
        <v>31224.46</v>
      </c>
    </row>
    <row r="2723" spans="1:23" outlineLevel="2" x14ac:dyDescent="0.2">
      <c r="A2723" t="s">
        <v>999</v>
      </c>
      <c r="B2723" t="s">
        <v>39</v>
      </c>
      <c r="C2723" t="s">
        <v>58</v>
      </c>
      <c r="D2723" t="s">
        <v>145</v>
      </c>
      <c r="E2723" t="s">
        <v>146</v>
      </c>
      <c r="F2723" t="s">
        <v>856</v>
      </c>
      <c r="G2723" t="s">
        <v>857</v>
      </c>
      <c r="H2723" t="s">
        <v>858</v>
      </c>
      <c r="I2723" t="s">
        <v>859</v>
      </c>
      <c r="J2723" t="s">
        <v>1000</v>
      </c>
      <c r="K2723" t="s">
        <v>1039</v>
      </c>
      <c r="L2723" t="s">
        <v>1139</v>
      </c>
      <c r="M2723" t="s">
        <v>12</v>
      </c>
      <c r="N2723" s="2">
        <v>40000</v>
      </c>
      <c r="O2723" s="2">
        <v>0</v>
      </c>
      <c r="P2723" s="2">
        <v>-40000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</row>
    <row r="2724" spans="1:23" outlineLevel="2" x14ac:dyDescent="0.2">
      <c r="A2724" t="s">
        <v>999</v>
      </c>
      <c r="B2724" t="s">
        <v>39</v>
      </c>
      <c r="C2724" t="s">
        <v>58</v>
      </c>
      <c r="D2724" t="s">
        <v>129</v>
      </c>
      <c r="E2724" t="s">
        <v>130</v>
      </c>
      <c r="F2724" t="s">
        <v>856</v>
      </c>
      <c r="G2724" t="s">
        <v>857</v>
      </c>
      <c r="H2724" t="s">
        <v>858</v>
      </c>
      <c r="I2724" t="s">
        <v>859</v>
      </c>
      <c r="J2724" t="s">
        <v>1000</v>
      </c>
      <c r="K2724" t="s">
        <v>1039</v>
      </c>
      <c r="L2724" t="s">
        <v>1139</v>
      </c>
      <c r="M2724" t="s">
        <v>12</v>
      </c>
      <c r="N2724" s="2">
        <v>69318.759999999995</v>
      </c>
      <c r="O2724" s="2">
        <v>33282.14</v>
      </c>
      <c r="P2724" s="2">
        <v>-69318.759999999995</v>
      </c>
      <c r="Q2724" s="2">
        <v>33282.14</v>
      </c>
      <c r="R2724" s="2">
        <v>0</v>
      </c>
      <c r="S2724" s="2">
        <v>0</v>
      </c>
      <c r="T2724" s="2">
        <v>0</v>
      </c>
      <c r="U2724" s="2">
        <v>33282.14</v>
      </c>
      <c r="V2724" s="2">
        <v>33282.14</v>
      </c>
      <c r="W2724" s="2">
        <v>33282.14</v>
      </c>
    </row>
    <row r="2725" spans="1:23" outlineLevel="2" x14ac:dyDescent="0.2">
      <c r="A2725" t="s">
        <v>999</v>
      </c>
      <c r="B2725" t="s">
        <v>39</v>
      </c>
      <c r="C2725" t="s">
        <v>58</v>
      </c>
      <c r="D2725" t="s">
        <v>135</v>
      </c>
      <c r="E2725" t="s">
        <v>136</v>
      </c>
      <c r="F2725" t="s">
        <v>856</v>
      </c>
      <c r="G2725" t="s">
        <v>857</v>
      </c>
      <c r="H2725" t="s">
        <v>858</v>
      </c>
      <c r="I2725" t="s">
        <v>859</v>
      </c>
      <c r="J2725" t="s">
        <v>1000</v>
      </c>
      <c r="K2725" t="s">
        <v>1039</v>
      </c>
      <c r="L2725" t="s">
        <v>1139</v>
      </c>
      <c r="M2725" t="s">
        <v>12</v>
      </c>
      <c r="N2725" s="2">
        <v>120000</v>
      </c>
      <c r="O2725" s="2">
        <v>92623.96</v>
      </c>
      <c r="P2725" s="2">
        <v>-50000</v>
      </c>
      <c r="Q2725" s="2">
        <v>162623.96</v>
      </c>
      <c r="R2725" s="2">
        <v>92623.96</v>
      </c>
      <c r="S2725" s="2">
        <v>70000</v>
      </c>
      <c r="T2725" s="2">
        <v>70000</v>
      </c>
      <c r="U2725" s="2">
        <v>92623.96</v>
      </c>
      <c r="V2725" s="2">
        <v>92623.96</v>
      </c>
      <c r="W2725" s="2">
        <v>0</v>
      </c>
    </row>
    <row r="2726" spans="1:23" outlineLevel="2" x14ac:dyDescent="0.2">
      <c r="A2726" t="s">
        <v>999</v>
      </c>
      <c r="B2726" t="s">
        <v>39</v>
      </c>
      <c r="C2726" t="s">
        <v>58</v>
      </c>
      <c r="D2726" t="s">
        <v>149</v>
      </c>
      <c r="E2726" t="s">
        <v>150</v>
      </c>
      <c r="F2726" t="s">
        <v>856</v>
      </c>
      <c r="G2726" t="s">
        <v>857</v>
      </c>
      <c r="H2726" t="s">
        <v>858</v>
      </c>
      <c r="I2726" t="s">
        <v>859</v>
      </c>
      <c r="J2726" t="s">
        <v>1000</v>
      </c>
      <c r="K2726" t="s">
        <v>1039</v>
      </c>
      <c r="L2726" t="s">
        <v>1139</v>
      </c>
      <c r="M2726" t="s">
        <v>12</v>
      </c>
      <c r="N2726" s="2">
        <v>45000</v>
      </c>
      <c r="O2726" s="2">
        <v>136200</v>
      </c>
      <c r="P2726" s="2">
        <v>-45000</v>
      </c>
      <c r="Q2726" s="2">
        <v>136200</v>
      </c>
      <c r="R2726" s="2">
        <v>136200</v>
      </c>
      <c r="S2726" s="2">
        <v>0</v>
      </c>
      <c r="T2726" s="2">
        <v>0</v>
      </c>
      <c r="U2726" s="2">
        <v>136200</v>
      </c>
      <c r="V2726" s="2">
        <v>136200</v>
      </c>
      <c r="W2726" s="2">
        <v>0</v>
      </c>
    </row>
    <row r="2727" spans="1:23" outlineLevel="2" x14ac:dyDescent="0.2">
      <c r="A2727" t="s">
        <v>999</v>
      </c>
      <c r="B2727" t="s">
        <v>39</v>
      </c>
      <c r="C2727" t="s">
        <v>58</v>
      </c>
      <c r="D2727" t="s">
        <v>143</v>
      </c>
      <c r="E2727" t="s">
        <v>144</v>
      </c>
      <c r="F2727" t="s">
        <v>856</v>
      </c>
      <c r="G2727" t="s">
        <v>857</v>
      </c>
      <c r="H2727" t="s">
        <v>858</v>
      </c>
      <c r="I2727" t="s">
        <v>859</v>
      </c>
      <c r="J2727" t="s">
        <v>1000</v>
      </c>
      <c r="K2727" t="s">
        <v>1039</v>
      </c>
      <c r="L2727" t="s">
        <v>1139</v>
      </c>
      <c r="M2727" t="s">
        <v>12</v>
      </c>
      <c r="N2727" s="2">
        <v>45000</v>
      </c>
      <c r="O2727" s="2">
        <v>0</v>
      </c>
      <c r="P2727" s="2">
        <v>-41510</v>
      </c>
      <c r="Q2727" s="2">
        <v>3490</v>
      </c>
      <c r="R2727" s="2">
        <v>0</v>
      </c>
      <c r="S2727" s="2">
        <v>3490</v>
      </c>
      <c r="T2727" s="2">
        <v>0</v>
      </c>
      <c r="U2727" s="2">
        <v>0</v>
      </c>
      <c r="V2727" s="2">
        <v>3490</v>
      </c>
      <c r="W2727" s="2">
        <v>0</v>
      </c>
    </row>
    <row r="2728" spans="1:23" outlineLevel="2" x14ac:dyDescent="0.2">
      <c r="A2728" t="s">
        <v>999</v>
      </c>
      <c r="B2728" t="s">
        <v>39</v>
      </c>
      <c r="C2728" t="s">
        <v>58</v>
      </c>
      <c r="D2728" t="s">
        <v>147</v>
      </c>
      <c r="E2728" t="s">
        <v>148</v>
      </c>
      <c r="F2728" t="s">
        <v>856</v>
      </c>
      <c r="G2728" t="s">
        <v>857</v>
      </c>
      <c r="H2728" t="s">
        <v>858</v>
      </c>
      <c r="I2728" t="s">
        <v>859</v>
      </c>
      <c r="J2728" t="s">
        <v>1000</v>
      </c>
      <c r="K2728" t="s">
        <v>1039</v>
      </c>
      <c r="L2728" t="s">
        <v>1139</v>
      </c>
      <c r="M2728" t="s">
        <v>12</v>
      </c>
      <c r="N2728" s="2">
        <v>38200</v>
      </c>
      <c r="O2728" s="2">
        <v>0</v>
      </c>
      <c r="P2728" s="2">
        <v>-38200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</row>
    <row r="2729" spans="1:23" outlineLevel="2" x14ac:dyDescent="0.2">
      <c r="A2729" t="s">
        <v>999</v>
      </c>
      <c r="B2729" t="s">
        <v>39</v>
      </c>
      <c r="C2729" t="s">
        <v>58</v>
      </c>
      <c r="D2729" t="s">
        <v>59</v>
      </c>
      <c r="E2729" t="s">
        <v>60</v>
      </c>
      <c r="F2729" t="s">
        <v>856</v>
      </c>
      <c r="G2729" t="s">
        <v>857</v>
      </c>
      <c r="H2729" t="s">
        <v>858</v>
      </c>
      <c r="I2729" t="s">
        <v>859</v>
      </c>
      <c r="J2729" t="s">
        <v>1000</v>
      </c>
      <c r="K2729" t="s">
        <v>1039</v>
      </c>
      <c r="L2729" t="s">
        <v>1139</v>
      </c>
      <c r="M2729" t="s">
        <v>12</v>
      </c>
      <c r="N2729" s="2">
        <v>45000</v>
      </c>
      <c r="O2729" s="2">
        <v>-8300</v>
      </c>
      <c r="P2729" s="2">
        <v>-3700</v>
      </c>
      <c r="Q2729" s="2">
        <v>33000</v>
      </c>
      <c r="R2729" s="2">
        <v>0</v>
      </c>
      <c r="S2729" s="2">
        <v>33000</v>
      </c>
      <c r="T2729" s="2">
        <v>0</v>
      </c>
      <c r="U2729" s="2">
        <v>0</v>
      </c>
      <c r="V2729" s="2">
        <v>33000</v>
      </c>
      <c r="W2729" s="2">
        <v>0</v>
      </c>
    </row>
    <row r="2730" spans="1:23" outlineLevel="2" x14ac:dyDescent="0.2">
      <c r="A2730" t="s">
        <v>999</v>
      </c>
      <c r="B2730" t="s">
        <v>39</v>
      </c>
      <c r="C2730" t="s">
        <v>58</v>
      </c>
      <c r="D2730" t="s">
        <v>137</v>
      </c>
      <c r="E2730" t="s">
        <v>138</v>
      </c>
      <c r="F2730" t="s">
        <v>856</v>
      </c>
      <c r="G2730" t="s">
        <v>857</v>
      </c>
      <c r="H2730" t="s">
        <v>858</v>
      </c>
      <c r="I2730" t="s">
        <v>859</v>
      </c>
      <c r="J2730" t="s">
        <v>1000</v>
      </c>
      <c r="K2730" t="s">
        <v>1039</v>
      </c>
      <c r="L2730" t="s">
        <v>1139</v>
      </c>
      <c r="M2730" t="s">
        <v>12</v>
      </c>
      <c r="N2730" s="2">
        <v>45000</v>
      </c>
      <c r="O2730" s="2">
        <v>0</v>
      </c>
      <c r="P2730" s="2">
        <v>-45000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</row>
    <row r="2731" spans="1:23" outlineLevel="2" x14ac:dyDescent="0.2">
      <c r="A2731" t="s">
        <v>999</v>
      </c>
      <c r="B2731" t="s">
        <v>31</v>
      </c>
      <c r="C2731" t="s">
        <v>107</v>
      </c>
      <c r="D2731" t="s">
        <v>108</v>
      </c>
      <c r="E2731" t="s">
        <v>109</v>
      </c>
      <c r="F2731" t="s">
        <v>856</v>
      </c>
      <c r="G2731" t="s">
        <v>857</v>
      </c>
      <c r="H2731" t="s">
        <v>858</v>
      </c>
      <c r="I2731" t="s">
        <v>859</v>
      </c>
      <c r="J2731" t="s">
        <v>1000</v>
      </c>
      <c r="K2731" t="s">
        <v>1039</v>
      </c>
      <c r="L2731" t="s">
        <v>1140</v>
      </c>
      <c r="M2731" t="s">
        <v>12</v>
      </c>
      <c r="N2731" s="2">
        <v>2492000</v>
      </c>
      <c r="O2731" s="2">
        <v>-632150</v>
      </c>
      <c r="P2731" s="2">
        <v>81400</v>
      </c>
      <c r="Q2731" s="2">
        <v>1941250</v>
      </c>
      <c r="R2731" s="2">
        <v>300000</v>
      </c>
      <c r="S2731" s="2">
        <v>1506350</v>
      </c>
      <c r="T2731" s="2">
        <v>1263250</v>
      </c>
      <c r="U2731" s="2">
        <v>434900</v>
      </c>
      <c r="V2731" s="2">
        <v>678000</v>
      </c>
      <c r="W2731" s="2">
        <v>134900</v>
      </c>
    </row>
    <row r="2732" spans="1:23" outlineLevel="2" x14ac:dyDescent="0.2">
      <c r="A2732" t="s">
        <v>999</v>
      </c>
      <c r="B2732" t="s">
        <v>39</v>
      </c>
      <c r="C2732" t="s">
        <v>58</v>
      </c>
      <c r="D2732" t="s">
        <v>143</v>
      </c>
      <c r="E2732" t="s">
        <v>144</v>
      </c>
      <c r="F2732" t="s">
        <v>856</v>
      </c>
      <c r="G2732" t="s">
        <v>857</v>
      </c>
      <c r="H2732" t="s">
        <v>858</v>
      </c>
      <c r="I2732" t="s">
        <v>859</v>
      </c>
      <c r="J2732" t="s">
        <v>1000</v>
      </c>
      <c r="K2732" t="s">
        <v>1090</v>
      </c>
      <c r="L2732" t="s">
        <v>1141</v>
      </c>
      <c r="M2732" t="s">
        <v>12</v>
      </c>
      <c r="N2732" s="2">
        <v>0</v>
      </c>
      <c r="O2732" s="2">
        <v>7100</v>
      </c>
      <c r="P2732" s="2">
        <v>0</v>
      </c>
      <c r="Q2732" s="2">
        <v>7100</v>
      </c>
      <c r="R2732" s="2">
        <v>0</v>
      </c>
      <c r="S2732" s="2">
        <v>6850</v>
      </c>
      <c r="T2732" s="2">
        <v>0</v>
      </c>
      <c r="U2732" s="2">
        <v>250</v>
      </c>
      <c r="V2732" s="2">
        <v>7100</v>
      </c>
      <c r="W2732" s="2">
        <v>250</v>
      </c>
    </row>
    <row r="2733" spans="1:23" outlineLevel="2" x14ac:dyDescent="0.2">
      <c r="A2733" t="s">
        <v>999</v>
      </c>
      <c r="B2733" t="s">
        <v>31</v>
      </c>
      <c r="C2733" t="s">
        <v>107</v>
      </c>
      <c r="D2733" t="s">
        <v>108</v>
      </c>
      <c r="E2733" t="s">
        <v>109</v>
      </c>
      <c r="F2733" t="s">
        <v>856</v>
      </c>
      <c r="G2733" t="s">
        <v>857</v>
      </c>
      <c r="H2733" t="s">
        <v>858</v>
      </c>
      <c r="I2733" t="s">
        <v>859</v>
      </c>
      <c r="J2733" t="s">
        <v>1000</v>
      </c>
      <c r="K2733" t="s">
        <v>1071</v>
      </c>
      <c r="L2733" t="s">
        <v>1142</v>
      </c>
      <c r="M2733" t="s">
        <v>12</v>
      </c>
      <c r="N2733" s="2">
        <v>1068000</v>
      </c>
      <c r="O2733" s="2">
        <v>-1056000</v>
      </c>
      <c r="P2733" s="2">
        <v>0</v>
      </c>
      <c r="Q2733" s="2">
        <v>12000</v>
      </c>
      <c r="R2733" s="2">
        <v>0</v>
      </c>
      <c r="S2733" s="2">
        <v>0</v>
      </c>
      <c r="T2733" s="2">
        <v>0</v>
      </c>
      <c r="U2733" s="2">
        <v>12000</v>
      </c>
      <c r="V2733" s="2">
        <v>12000</v>
      </c>
      <c r="W2733" s="2">
        <v>12000</v>
      </c>
    </row>
    <row r="2734" spans="1:23" outlineLevel="2" x14ac:dyDescent="0.2">
      <c r="A2734" t="s">
        <v>999</v>
      </c>
      <c r="B2734" t="s">
        <v>31</v>
      </c>
      <c r="C2734" t="s">
        <v>107</v>
      </c>
      <c r="D2734" t="s">
        <v>108</v>
      </c>
      <c r="E2734" t="s">
        <v>109</v>
      </c>
      <c r="F2734" t="s">
        <v>856</v>
      </c>
      <c r="G2734" t="s">
        <v>857</v>
      </c>
      <c r="H2734" t="s">
        <v>1143</v>
      </c>
      <c r="I2734" t="s">
        <v>1144</v>
      </c>
      <c r="J2734" t="s">
        <v>1000</v>
      </c>
      <c r="K2734" t="s">
        <v>1037</v>
      </c>
      <c r="L2734" t="s">
        <v>1145</v>
      </c>
      <c r="M2734" t="s">
        <v>12</v>
      </c>
      <c r="N2734" s="2">
        <v>28000</v>
      </c>
      <c r="O2734" s="2">
        <v>-28000</v>
      </c>
      <c r="P2734" s="2">
        <v>0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</row>
    <row r="2735" spans="1:23" outlineLevel="2" x14ac:dyDescent="0.2">
      <c r="A2735" t="s">
        <v>999</v>
      </c>
      <c r="B2735" t="s">
        <v>31</v>
      </c>
      <c r="C2735" t="s">
        <v>107</v>
      </c>
      <c r="D2735" t="s">
        <v>108</v>
      </c>
      <c r="E2735" t="s">
        <v>109</v>
      </c>
      <c r="F2735" t="s">
        <v>856</v>
      </c>
      <c r="G2735" t="s">
        <v>857</v>
      </c>
      <c r="H2735" t="s">
        <v>1143</v>
      </c>
      <c r="I2735" t="s">
        <v>1144</v>
      </c>
      <c r="J2735" t="s">
        <v>1000</v>
      </c>
      <c r="K2735" t="s">
        <v>1039</v>
      </c>
      <c r="L2735" t="s">
        <v>1140</v>
      </c>
      <c r="M2735" t="s">
        <v>12</v>
      </c>
      <c r="N2735" s="2">
        <v>292500</v>
      </c>
      <c r="O2735" s="2">
        <v>-125856</v>
      </c>
      <c r="P2735" s="2">
        <v>-49500</v>
      </c>
      <c r="Q2735" s="2">
        <v>117144</v>
      </c>
      <c r="R2735" s="2">
        <v>117144</v>
      </c>
      <c r="S2735" s="2">
        <v>0</v>
      </c>
      <c r="T2735" s="2">
        <v>0</v>
      </c>
      <c r="U2735" s="2">
        <v>117144</v>
      </c>
      <c r="V2735" s="2">
        <v>117144</v>
      </c>
      <c r="W2735" s="2">
        <v>0</v>
      </c>
    </row>
    <row r="2736" spans="1:23" outlineLevel="2" x14ac:dyDescent="0.2">
      <c r="A2736" t="s">
        <v>999</v>
      </c>
      <c r="B2736" t="s">
        <v>31</v>
      </c>
      <c r="C2736" t="s">
        <v>107</v>
      </c>
      <c r="D2736" t="s">
        <v>108</v>
      </c>
      <c r="E2736" t="s">
        <v>109</v>
      </c>
      <c r="F2736" t="s">
        <v>856</v>
      </c>
      <c r="G2736" t="s">
        <v>857</v>
      </c>
      <c r="H2736" t="s">
        <v>1143</v>
      </c>
      <c r="I2736" t="s">
        <v>1144</v>
      </c>
      <c r="J2736" t="s">
        <v>1000</v>
      </c>
      <c r="K2736" t="s">
        <v>1058</v>
      </c>
      <c r="L2736" t="s">
        <v>1146</v>
      </c>
      <c r="M2736" t="s">
        <v>12</v>
      </c>
      <c r="N2736" s="2">
        <v>7000</v>
      </c>
      <c r="O2736" s="2">
        <v>-4144</v>
      </c>
      <c r="P2736" s="2">
        <v>0</v>
      </c>
      <c r="Q2736" s="2">
        <v>2856</v>
      </c>
      <c r="R2736" s="2">
        <v>0</v>
      </c>
      <c r="S2736" s="2">
        <v>2744</v>
      </c>
      <c r="T2736" s="2">
        <v>0</v>
      </c>
      <c r="U2736" s="2">
        <v>112</v>
      </c>
      <c r="V2736" s="2">
        <v>2856</v>
      </c>
      <c r="W2736" s="2">
        <v>112</v>
      </c>
    </row>
    <row r="2737" spans="1:23" outlineLevel="2" x14ac:dyDescent="0.2">
      <c r="A2737" t="s">
        <v>999</v>
      </c>
      <c r="B2737" t="s">
        <v>31</v>
      </c>
      <c r="C2737" t="s">
        <v>107</v>
      </c>
      <c r="D2737" t="s">
        <v>108</v>
      </c>
      <c r="E2737" t="s">
        <v>109</v>
      </c>
      <c r="F2737" t="s">
        <v>856</v>
      </c>
      <c r="G2737" t="s">
        <v>857</v>
      </c>
      <c r="H2737" t="s">
        <v>1143</v>
      </c>
      <c r="I2737" t="s">
        <v>1144</v>
      </c>
      <c r="J2737" t="s">
        <v>1000</v>
      </c>
      <c r="K2737" t="s">
        <v>1068</v>
      </c>
      <c r="L2737" t="s">
        <v>1147</v>
      </c>
      <c r="M2737" t="s">
        <v>12</v>
      </c>
      <c r="N2737" s="2">
        <v>1000</v>
      </c>
      <c r="O2737" s="2">
        <v>-1000</v>
      </c>
      <c r="P2737" s="2">
        <v>0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</row>
    <row r="2738" spans="1:23" outlineLevel="2" x14ac:dyDescent="0.2">
      <c r="A2738" t="s">
        <v>999</v>
      </c>
      <c r="B2738" t="s">
        <v>31</v>
      </c>
      <c r="C2738" t="s">
        <v>107</v>
      </c>
      <c r="D2738" t="s">
        <v>108</v>
      </c>
      <c r="E2738" t="s">
        <v>109</v>
      </c>
      <c r="F2738" t="s">
        <v>856</v>
      </c>
      <c r="G2738" t="s">
        <v>857</v>
      </c>
      <c r="H2738" t="s">
        <v>1143</v>
      </c>
      <c r="I2738" t="s">
        <v>1144</v>
      </c>
      <c r="J2738" t="s">
        <v>1000</v>
      </c>
      <c r="K2738" t="s">
        <v>1003</v>
      </c>
      <c r="L2738" t="s">
        <v>1148</v>
      </c>
      <c r="M2738" t="s">
        <v>12</v>
      </c>
      <c r="N2738" s="2">
        <v>20000</v>
      </c>
      <c r="O2738" s="2">
        <v>0</v>
      </c>
      <c r="P2738" s="2">
        <v>-20000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</row>
    <row r="2739" spans="1:23" outlineLevel="2" x14ac:dyDescent="0.2">
      <c r="A2739" t="s">
        <v>999</v>
      </c>
      <c r="B2739" t="s">
        <v>31</v>
      </c>
      <c r="C2739" t="s">
        <v>107</v>
      </c>
      <c r="D2739" t="s">
        <v>108</v>
      </c>
      <c r="E2739" t="s">
        <v>109</v>
      </c>
      <c r="F2739" t="s">
        <v>856</v>
      </c>
      <c r="G2739" t="s">
        <v>857</v>
      </c>
      <c r="H2739" t="s">
        <v>1143</v>
      </c>
      <c r="I2739" t="s">
        <v>1144</v>
      </c>
      <c r="J2739" t="s">
        <v>1000</v>
      </c>
      <c r="K2739" t="s">
        <v>1149</v>
      </c>
      <c r="L2739" t="s">
        <v>1150</v>
      </c>
      <c r="M2739" t="s">
        <v>12</v>
      </c>
      <c r="N2739" s="2">
        <v>15000</v>
      </c>
      <c r="O2739" s="2">
        <v>0</v>
      </c>
      <c r="P2739" s="2">
        <v>-15000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</row>
    <row r="2740" spans="1:23" outlineLevel="2" x14ac:dyDescent="0.2">
      <c r="A2740" t="s">
        <v>999</v>
      </c>
      <c r="B2740" t="s">
        <v>31</v>
      </c>
      <c r="C2740" t="s">
        <v>107</v>
      </c>
      <c r="D2740" t="s">
        <v>108</v>
      </c>
      <c r="E2740" t="s">
        <v>109</v>
      </c>
      <c r="F2740" t="s">
        <v>856</v>
      </c>
      <c r="G2740" t="s">
        <v>857</v>
      </c>
      <c r="H2740" t="s">
        <v>1143</v>
      </c>
      <c r="I2740" t="s">
        <v>1144</v>
      </c>
      <c r="J2740" t="s">
        <v>1000</v>
      </c>
      <c r="K2740" t="s">
        <v>1017</v>
      </c>
      <c r="L2740" t="s">
        <v>1151</v>
      </c>
      <c r="M2740" t="s">
        <v>12</v>
      </c>
      <c r="N2740" s="2">
        <v>65000</v>
      </c>
      <c r="O2740" s="2">
        <v>-60000</v>
      </c>
      <c r="P2740" s="2">
        <v>-5000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</row>
    <row r="2741" spans="1:23" outlineLevel="2" x14ac:dyDescent="0.2">
      <c r="A2741" t="s">
        <v>999</v>
      </c>
      <c r="B2741" t="s">
        <v>31</v>
      </c>
      <c r="C2741" t="s">
        <v>107</v>
      </c>
      <c r="D2741" t="s">
        <v>108</v>
      </c>
      <c r="E2741" t="s">
        <v>109</v>
      </c>
      <c r="F2741" t="s">
        <v>856</v>
      </c>
      <c r="G2741" t="s">
        <v>857</v>
      </c>
      <c r="H2741" t="s">
        <v>1143</v>
      </c>
      <c r="I2741" t="s">
        <v>1144</v>
      </c>
      <c r="J2741" t="s">
        <v>1000</v>
      </c>
      <c r="K2741" t="s">
        <v>1078</v>
      </c>
      <c r="L2741" t="s">
        <v>1152</v>
      </c>
      <c r="M2741" t="s">
        <v>12</v>
      </c>
      <c r="N2741" s="2">
        <v>95000</v>
      </c>
      <c r="O2741" s="2">
        <v>-95000</v>
      </c>
      <c r="P2741" s="2">
        <v>0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</row>
    <row r="2742" spans="1:23" outlineLevel="2" x14ac:dyDescent="0.2">
      <c r="A2742" t="s">
        <v>999</v>
      </c>
      <c r="B2742" t="s">
        <v>31</v>
      </c>
      <c r="C2742" t="s">
        <v>107</v>
      </c>
      <c r="D2742" t="s">
        <v>108</v>
      </c>
      <c r="E2742" t="s">
        <v>109</v>
      </c>
      <c r="F2742" t="s">
        <v>856</v>
      </c>
      <c r="G2742" t="s">
        <v>857</v>
      </c>
      <c r="H2742" t="s">
        <v>1143</v>
      </c>
      <c r="I2742" t="s">
        <v>1144</v>
      </c>
      <c r="J2742" t="s">
        <v>1000</v>
      </c>
      <c r="K2742" t="s">
        <v>1084</v>
      </c>
      <c r="L2742" t="s">
        <v>1153</v>
      </c>
      <c r="M2742" t="s">
        <v>12</v>
      </c>
      <c r="N2742" s="2">
        <v>1500</v>
      </c>
      <c r="O2742" s="2">
        <v>-1000</v>
      </c>
      <c r="P2742" s="2">
        <v>-500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</row>
    <row r="2743" spans="1:23" outlineLevel="2" x14ac:dyDescent="0.2">
      <c r="A2743" t="s">
        <v>999</v>
      </c>
      <c r="B2743" t="s">
        <v>31</v>
      </c>
      <c r="C2743" t="s">
        <v>107</v>
      </c>
      <c r="D2743" t="s">
        <v>108</v>
      </c>
      <c r="E2743" t="s">
        <v>109</v>
      </c>
      <c r="F2743" t="s">
        <v>856</v>
      </c>
      <c r="G2743" t="s">
        <v>857</v>
      </c>
      <c r="H2743" t="s">
        <v>870</v>
      </c>
      <c r="I2743" t="s">
        <v>871</v>
      </c>
      <c r="J2743" t="s">
        <v>1000</v>
      </c>
      <c r="K2743" t="s">
        <v>1037</v>
      </c>
      <c r="L2743" t="s">
        <v>1145</v>
      </c>
      <c r="M2743" t="s">
        <v>12</v>
      </c>
      <c r="N2743" s="2">
        <v>7000</v>
      </c>
      <c r="O2743" s="2">
        <v>0</v>
      </c>
      <c r="P2743" s="2">
        <v>-7000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</row>
    <row r="2744" spans="1:23" outlineLevel="2" x14ac:dyDescent="0.2">
      <c r="A2744" t="s">
        <v>999</v>
      </c>
      <c r="B2744" t="s">
        <v>31</v>
      </c>
      <c r="C2744" t="s">
        <v>107</v>
      </c>
      <c r="D2744" t="s">
        <v>108</v>
      </c>
      <c r="E2744" t="s">
        <v>109</v>
      </c>
      <c r="F2744" t="s">
        <v>856</v>
      </c>
      <c r="G2744" t="s">
        <v>857</v>
      </c>
      <c r="H2744" t="s">
        <v>870</v>
      </c>
      <c r="I2744" t="s">
        <v>871</v>
      </c>
      <c r="J2744" t="s">
        <v>1000</v>
      </c>
      <c r="K2744" t="s">
        <v>1039</v>
      </c>
      <c r="L2744" t="s">
        <v>1140</v>
      </c>
      <c r="M2744" t="s">
        <v>12</v>
      </c>
      <c r="N2744" s="2">
        <v>211700</v>
      </c>
      <c r="O2744" s="2">
        <v>-7492.56</v>
      </c>
      <c r="P2744" s="2">
        <v>-100260</v>
      </c>
      <c r="Q2744" s="2">
        <v>103947.44</v>
      </c>
      <c r="R2744" s="2">
        <v>103947.44</v>
      </c>
      <c r="S2744" s="2">
        <v>0</v>
      </c>
      <c r="T2744" s="2">
        <v>0</v>
      </c>
      <c r="U2744" s="2">
        <v>103947.44</v>
      </c>
      <c r="V2744" s="2">
        <v>103947.44</v>
      </c>
      <c r="W2744" s="2">
        <v>0</v>
      </c>
    </row>
    <row r="2745" spans="1:23" outlineLevel="2" x14ac:dyDescent="0.2">
      <c r="A2745" t="s">
        <v>999</v>
      </c>
      <c r="B2745" t="s">
        <v>31</v>
      </c>
      <c r="C2745" t="s">
        <v>107</v>
      </c>
      <c r="D2745" t="s">
        <v>108</v>
      </c>
      <c r="E2745" t="s">
        <v>109</v>
      </c>
      <c r="F2745" t="s">
        <v>856</v>
      </c>
      <c r="G2745" t="s">
        <v>857</v>
      </c>
      <c r="H2745" t="s">
        <v>870</v>
      </c>
      <c r="I2745" t="s">
        <v>871</v>
      </c>
      <c r="J2745" t="s">
        <v>1000</v>
      </c>
      <c r="K2745" t="s">
        <v>1058</v>
      </c>
      <c r="L2745" t="s">
        <v>1146</v>
      </c>
      <c r="M2745" t="s">
        <v>12</v>
      </c>
      <c r="N2745" s="2">
        <v>7500</v>
      </c>
      <c r="O2745" s="2">
        <v>0</v>
      </c>
      <c r="P2745" s="2">
        <v>-7500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</row>
    <row r="2746" spans="1:23" outlineLevel="2" x14ac:dyDescent="0.2">
      <c r="A2746" t="s">
        <v>999</v>
      </c>
      <c r="B2746" t="s">
        <v>31</v>
      </c>
      <c r="C2746" t="s">
        <v>107</v>
      </c>
      <c r="D2746" t="s">
        <v>108</v>
      </c>
      <c r="E2746" t="s">
        <v>109</v>
      </c>
      <c r="F2746" t="s">
        <v>856</v>
      </c>
      <c r="G2746" t="s">
        <v>857</v>
      </c>
      <c r="H2746" t="s">
        <v>870</v>
      </c>
      <c r="I2746" t="s">
        <v>871</v>
      </c>
      <c r="J2746" t="s">
        <v>1000</v>
      </c>
      <c r="K2746" t="s">
        <v>1110</v>
      </c>
      <c r="L2746" t="s">
        <v>1154</v>
      </c>
      <c r="M2746" t="s">
        <v>12</v>
      </c>
      <c r="N2746" s="2">
        <v>51570.400000000001</v>
      </c>
      <c r="O2746" s="2">
        <v>-12229.81</v>
      </c>
      <c r="P2746" s="2">
        <v>-29000</v>
      </c>
      <c r="Q2746" s="2">
        <v>10340.59</v>
      </c>
      <c r="R2746" s="2">
        <v>0</v>
      </c>
      <c r="S2746" s="2">
        <v>10340.59</v>
      </c>
      <c r="T2746" s="2">
        <v>10340.59</v>
      </c>
      <c r="U2746" s="2">
        <v>0</v>
      </c>
      <c r="V2746" s="2">
        <v>0</v>
      </c>
      <c r="W2746" s="2">
        <v>0</v>
      </c>
    </row>
    <row r="2747" spans="1:23" outlineLevel="2" x14ac:dyDescent="0.2">
      <c r="A2747" t="s">
        <v>999</v>
      </c>
      <c r="B2747" t="s">
        <v>31</v>
      </c>
      <c r="C2747" t="s">
        <v>107</v>
      </c>
      <c r="D2747" t="s">
        <v>108</v>
      </c>
      <c r="E2747" t="s">
        <v>109</v>
      </c>
      <c r="F2747" t="s">
        <v>856</v>
      </c>
      <c r="G2747" t="s">
        <v>857</v>
      </c>
      <c r="H2747" t="s">
        <v>870</v>
      </c>
      <c r="I2747" t="s">
        <v>871</v>
      </c>
      <c r="J2747" t="s">
        <v>1000</v>
      </c>
      <c r="K2747" t="s">
        <v>1003</v>
      </c>
      <c r="L2747" t="s">
        <v>1148</v>
      </c>
      <c r="M2747" t="s">
        <v>12</v>
      </c>
      <c r="N2747" s="2">
        <v>184154.4</v>
      </c>
      <c r="O2747" s="2">
        <v>-76032.960000000006</v>
      </c>
      <c r="P2747" s="2">
        <v>-87500</v>
      </c>
      <c r="Q2747" s="2">
        <v>20621.439999999999</v>
      </c>
      <c r="R2747" s="2">
        <v>0</v>
      </c>
      <c r="S2747" s="2">
        <v>19477.919999999998</v>
      </c>
      <c r="T2747" s="2">
        <v>4996.32</v>
      </c>
      <c r="U2747" s="2">
        <v>1143.52</v>
      </c>
      <c r="V2747" s="2">
        <v>15625.12</v>
      </c>
      <c r="W2747" s="2">
        <v>1143.52</v>
      </c>
    </row>
    <row r="2748" spans="1:23" outlineLevel="2" x14ac:dyDescent="0.2">
      <c r="A2748" t="s">
        <v>999</v>
      </c>
      <c r="B2748" t="s">
        <v>31</v>
      </c>
      <c r="C2748" t="s">
        <v>107</v>
      </c>
      <c r="D2748" t="s">
        <v>108</v>
      </c>
      <c r="E2748" t="s">
        <v>109</v>
      </c>
      <c r="F2748" t="s">
        <v>856</v>
      </c>
      <c r="G2748" t="s">
        <v>857</v>
      </c>
      <c r="H2748" t="s">
        <v>870</v>
      </c>
      <c r="I2748" t="s">
        <v>871</v>
      </c>
      <c r="J2748" t="s">
        <v>1000</v>
      </c>
      <c r="K2748" t="s">
        <v>1113</v>
      </c>
      <c r="L2748" t="s">
        <v>1155</v>
      </c>
      <c r="M2748" t="s">
        <v>12</v>
      </c>
      <c r="N2748" s="2">
        <v>12804.62</v>
      </c>
      <c r="O2748" s="2">
        <v>0</v>
      </c>
      <c r="P2748" s="2">
        <v>-12804.62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</row>
    <row r="2749" spans="1:23" outlineLevel="2" x14ac:dyDescent="0.2">
      <c r="A2749" t="s">
        <v>999</v>
      </c>
      <c r="B2749" t="s">
        <v>31</v>
      </c>
      <c r="C2749" t="s">
        <v>107</v>
      </c>
      <c r="D2749" t="s">
        <v>108</v>
      </c>
      <c r="E2749" t="s">
        <v>109</v>
      </c>
      <c r="F2749" t="s">
        <v>856</v>
      </c>
      <c r="G2749" t="s">
        <v>857</v>
      </c>
      <c r="H2749" t="s">
        <v>870</v>
      </c>
      <c r="I2749" t="s">
        <v>871</v>
      </c>
      <c r="J2749" t="s">
        <v>1000</v>
      </c>
      <c r="K2749" t="s">
        <v>1009</v>
      </c>
      <c r="L2749" t="s">
        <v>1156</v>
      </c>
      <c r="M2749" t="s">
        <v>12</v>
      </c>
      <c r="N2749" s="2">
        <v>48352.3</v>
      </c>
      <c r="O2749" s="2">
        <v>-2024.67</v>
      </c>
      <c r="P2749" s="2">
        <v>-29800</v>
      </c>
      <c r="Q2749" s="2">
        <v>16527.63</v>
      </c>
      <c r="R2749" s="2">
        <v>0</v>
      </c>
      <c r="S2749" s="2">
        <v>16527.63</v>
      </c>
      <c r="T2749" s="2">
        <v>10911.22</v>
      </c>
      <c r="U2749" s="2">
        <v>0</v>
      </c>
      <c r="V2749" s="2">
        <v>5616.41</v>
      </c>
      <c r="W2749" s="2">
        <v>0</v>
      </c>
    </row>
    <row r="2750" spans="1:23" outlineLevel="2" x14ac:dyDescent="0.2">
      <c r="A2750" t="s">
        <v>999</v>
      </c>
      <c r="B2750" t="s">
        <v>31</v>
      </c>
      <c r="C2750" t="s">
        <v>107</v>
      </c>
      <c r="D2750" t="s">
        <v>108</v>
      </c>
      <c r="E2750" t="s">
        <v>109</v>
      </c>
      <c r="F2750" t="s">
        <v>856</v>
      </c>
      <c r="G2750" t="s">
        <v>857</v>
      </c>
      <c r="H2750" t="s">
        <v>870</v>
      </c>
      <c r="I2750" t="s">
        <v>871</v>
      </c>
      <c r="J2750" t="s">
        <v>1000</v>
      </c>
      <c r="K2750" t="s">
        <v>1129</v>
      </c>
      <c r="L2750" t="s">
        <v>1157</v>
      </c>
      <c r="M2750" t="s">
        <v>12</v>
      </c>
      <c r="N2750" s="2">
        <v>20913.28</v>
      </c>
      <c r="O2750" s="2">
        <v>-5000</v>
      </c>
      <c r="P2750" s="2">
        <v>-15913.28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</row>
    <row r="2751" spans="1:23" outlineLevel="2" x14ac:dyDescent="0.2">
      <c r="A2751" t="s">
        <v>999</v>
      </c>
      <c r="B2751" t="s">
        <v>31</v>
      </c>
      <c r="C2751" t="s">
        <v>107</v>
      </c>
      <c r="D2751" t="s">
        <v>108</v>
      </c>
      <c r="E2751" t="s">
        <v>109</v>
      </c>
      <c r="F2751" t="s">
        <v>856</v>
      </c>
      <c r="G2751" t="s">
        <v>857</v>
      </c>
      <c r="H2751" t="s">
        <v>870</v>
      </c>
      <c r="I2751" t="s">
        <v>871</v>
      </c>
      <c r="J2751" t="s">
        <v>1000</v>
      </c>
      <c r="K2751" t="s">
        <v>1017</v>
      </c>
      <c r="L2751" t="s">
        <v>1151</v>
      </c>
      <c r="M2751" t="s">
        <v>12</v>
      </c>
      <c r="N2751" s="2">
        <v>2240</v>
      </c>
      <c r="O2751" s="2">
        <v>-2240</v>
      </c>
      <c r="P2751" s="2">
        <v>0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</row>
    <row r="2752" spans="1:23" outlineLevel="2" x14ac:dyDescent="0.2">
      <c r="A2752" t="s">
        <v>999</v>
      </c>
      <c r="B2752" t="s">
        <v>31</v>
      </c>
      <c r="C2752" t="s">
        <v>107</v>
      </c>
      <c r="D2752" t="s">
        <v>108</v>
      </c>
      <c r="E2752" t="s">
        <v>109</v>
      </c>
      <c r="F2752" t="s">
        <v>856</v>
      </c>
      <c r="G2752" t="s">
        <v>857</v>
      </c>
      <c r="H2752" t="s">
        <v>870</v>
      </c>
      <c r="I2752" t="s">
        <v>871</v>
      </c>
      <c r="J2752" t="s">
        <v>1000</v>
      </c>
      <c r="K2752" t="s">
        <v>1078</v>
      </c>
      <c r="L2752" t="s">
        <v>1152</v>
      </c>
      <c r="M2752" t="s">
        <v>12</v>
      </c>
      <c r="N2752" s="2">
        <v>95870</v>
      </c>
      <c r="O2752" s="2">
        <v>-61870</v>
      </c>
      <c r="P2752" s="2">
        <v>-34000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</row>
    <row r="2753" spans="1:23" outlineLevel="2" x14ac:dyDescent="0.2">
      <c r="A2753" t="s">
        <v>999</v>
      </c>
      <c r="B2753" t="s">
        <v>31</v>
      </c>
      <c r="C2753" t="s">
        <v>107</v>
      </c>
      <c r="D2753" t="s">
        <v>108</v>
      </c>
      <c r="E2753" t="s">
        <v>109</v>
      </c>
      <c r="F2753" t="s">
        <v>856</v>
      </c>
      <c r="G2753" t="s">
        <v>857</v>
      </c>
      <c r="H2753" t="s">
        <v>870</v>
      </c>
      <c r="I2753" t="s">
        <v>871</v>
      </c>
      <c r="J2753" t="s">
        <v>1000</v>
      </c>
      <c r="K2753" t="s">
        <v>1116</v>
      </c>
      <c r="L2753" t="s">
        <v>1158</v>
      </c>
      <c r="M2753" t="s">
        <v>12</v>
      </c>
      <c r="N2753" s="2">
        <v>2500</v>
      </c>
      <c r="O2753" s="2">
        <v>-2500</v>
      </c>
      <c r="P2753" s="2">
        <v>0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</row>
    <row r="2754" spans="1:23" outlineLevel="2" x14ac:dyDescent="0.2">
      <c r="A2754" t="s">
        <v>999</v>
      </c>
      <c r="B2754" t="s">
        <v>31</v>
      </c>
      <c r="C2754" t="s">
        <v>107</v>
      </c>
      <c r="D2754" t="s">
        <v>108</v>
      </c>
      <c r="E2754" t="s">
        <v>109</v>
      </c>
      <c r="F2754" t="s">
        <v>856</v>
      </c>
      <c r="G2754" t="s">
        <v>857</v>
      </c>
      <c r="H2754" t="s">
        <v>870</v>
      </c>
      <c r="I2754" t="s">
        <v>871</v>
      </c>
      <c r="J2754" t="s">
        <v>1000</v>
      </c>
      <c r="K2754" t="s">
        <v>1082</v>
      </c>
      <c r="L2754" t="s">
        <v>1159</v>
      </c>
      <c r="M2754" t="s">
        <v>12</v>
      </c>
      <c r="N2754" s="2">
        <v>5340</v>
      </c>
      <c r="O2754" s="2">
        <v>0</v>
      </c>
      <c r="P2754" s="2">
        <v>-5340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</row>
    <row r="2755" spans="1:23" outlineLevel="2" x14ac:dyDescent="0.2">
      <c r="A2755" t="s">
        <v>999</v>
      </c>
      <c r="B2755" t="s">
        <v>31</v>
      </c>
      <c r="C2755" t="s">
        <v>107</v>
      </c>
      <c r="D2755" t="s">
        <v>108</v>
      </c>
      <c r="E2755" t="s">
        <v>109</v>
      </c>
      <c r="F2755" t="s">
        <v>856</v>
      </c>
      <c r="G2755" t="s">
        <v>857</v>
      </c>
      <c r="H2755" t="s">
        <v>870</v>
      </c>
      <c r="I2755" t="s">
        <v>871</v>
      </c>
      <c r="J2755" t="s">
        <v>1000</v>
      </c>
      <c r="K2755" t="s">
        <v>1084</v>
      </c>
      <c r="L2755" t="s">
        <v>1153</v>
      </c>
      <c r="M2755" t="s">
        <v>12</v>
      </c>
      <c r="N2755" s="2">
        <v>7000</v>
      </c>
      <c r="O2755" s="2">
        <v>0</v>
      </c>
      <c r="P2755" s="2">
        <v>-7000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2">
        <v>0</v>
      </c>
    </row>
    <row r="2756" spans="1:23" outlineLevel="2" x14ac:dyDescent="0.2">
      <c r="A2756" t="s">
        <v>999</v>
      </c>
      <c r="B2756" t="s">
        <v>31</v>
      </c>
      <c r="C2756" t="s">
        <v>107</v>
      </c>
      <c r="D2756" t="s">
        <v>108</v>
      </c>
      <c r="E2756" t="s">
        <v>109</v>
      </c>
      <c r="F2756" t="s">
        <v>856</v>
      </c>
      <c r="G2756" t="s">
        <v>857</v>
      </c>
      <c r="H2756" t="s">
        <v>870</v>
      </c>
      <c r="I2756" t="s">
        <v>871</v>
      </c>
      <c r="J2756" t="s">
        <v>1000</v>
      </c>
      <c r="K2756" t="s">
        <v>1160</v>
      </c>
      <c r="L2756" t="s">
        <v>1161</v>
      </c>
      <c r="M2756" t="s">
        <v>12</v>
      </c>
      <c r="N2756" s="2">
        <v>2000</v>
      </c>
      <c r="O2756" s="2">
        <v>0</v>
      </c>
      <c r="P2756" s="2">
        <v>-2000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</row>
    <row r="2757" spans="1:23" outlineLevel="2" x14ac:dyDescent="0.2">
      <c r="A2757" t="s">
        <v>999</v>
      </c>
      <c r="B2757" t="s">
        <v>31</v>
      </c>
      <c r="C2757" t="s">
        <v>107</v>
      </c>
      <c r="D2757" t="s">
        <v>108</v>
      </c>
      <c r="E2757" t="s">
        <v>109</v>
      </c>
      <c r="F2757" t="s">
        <v>856</v>
      </c>
      <c r="G2757" t="s">
        <v>857</v>
      </c>
      <c r="H2757" t="s">
        <v>870</v>
      </c>
      <c r="I2757" t="s">
        <v>871</v>
      </c>
      <c r="J2757" t="s">
        <v>1000</v>
      </c>
      <c r="K2757" t="s">
        <v>1162</v>
      </c>
      <c r="L2757" t="s">
        <v>1163</v>
      </c>
      <c r="M2757" t="s">
        <v>12</v>
      </c>
      <c r="N2757" s="2">
        <v>6160</v>
      </c>
      <c r="O2757" s="2">
        <v>-6160</v>
      </c>
      <c r="P2757" s="2">
        <v>0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</row>
    <row r="2758" spans="1:23" outlineLevel="2" x14ac:dyDescent="0.2">
      <c r="A2758" t="s">
        <v>999</v>
      </c>
      <c r="B2758" t="s">
        <v>31</v>
      </c>
      <c r="C2758" t="s">
        <v>107</v>
      </c>
      <c r="D2758" t="s">
        <v>1164</v>
      </c>
      <c r="E2758" t="s">
        <v>1165</v>
      </c>
      <c r="F2758" t="s">
        <v>856</v>
      </c>
      <c r="G2758" t="s">
        <v>857</v>
      </c>
      <c r="H2758" t="s">
        <v>1166</v>
      </c>
      <c r="I2758" t="s">
        <v>1167</v>
      </c>
      <c r="J2758" t="s">
        <v>1000</v>
      </c>
      <c r="K2758" t="s">
        <v>1037</v>
      </c>
      <c r="L2758" t="s">
        <v>1145</v>
      </c>
      <c r="M2758" t="s">
        <v>12</v>
      </c>
      <c r="N2758" s="2">
        <v>40000</v>
      </c>
      <c r="O2758" s="2">
        <v>0</v>
      </c>
      <c r="P2758" s="2">
        <v>-40000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</row>
    <row r="2759" spans="1:23" outlineLevel="2" x14ac:dyDescent="0.2">
      <c r="A2759" t="s">
        <v>999</v>
      </c>
      <c r="B2759" t="s">
        <v>31</v>
      </c>
      <c r="C2759" t="s">
        <v>107</v>
      </c>
      <c r="D2759" t="s">
        <v>1164</v>
      </c>
      <c r="E2759" t="s">
        <v>1165</v>
      </c>
      <c r="F2759" t="s">
        <v>856</v>
      </c>
      <c r="G2759" t="s">
        <v>857</v>
      </c>
      <c r="H2759" t="s">
        <v>1166</v>
      </c>
      <c r="I2759" t="s">
        <v>1167</v>
      </c>
      <c r="J2759" t="s">
        <v>1000</v>
      </c>
      <c r="K2759" t="s">
        <v>1039</v>
      </c>
      <c r="L2759" t="s">
        <v>1140</v>
      </c>
      <c r="M2759" t="s">
        <v>12</v>
      </c>
      <c r="N2759" s="2">
        <v>75000</v>
      </c>
      <c r="O2759" s="2">
        <v>-10000</v>
      </c>
      <c r="P2759" s="2">
        <v>-65000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0</v>
      </c>
    </row>
    <row r="2760" spans="1:23" outlineLevel="2" x14ac:dyDescent="0.2">
      <c r="A2760" t="s">
        <v>999</v>
      </c>
      <c r="B2760" t="s">
        <v>31</v>
      </c>
      <c r="C2760" t="s">
        <v>107</v>
      </c>
      <c r="D2760" t="s">
        <v>1168</v>
      </c>
      <c r="E2760" t="s">
        <v>1169</v>
      </c>
      <c r="F2760" t="s">
        <v>856</v>
      </c>
      <c r="G2760" t="s">
        <v>857</v>
      </c>
      <c r="H2760" t="s">
        <v>1166</v>
      </c>
      <c r="I2760" t="s">
        <v>1167</v>
      </c>
      <c r="J2760" t="s">
        <v>1000</v>
      </c>
      <c r="K2760" t="s">
        <v>1039</v>
      </c>
      <c r="L2760" t="s">
        <v>1140</v>
      </c>
      <c r="M2760" t="s">
        <v>12</v>
      </c>
      <c r="N2760" s="2">
        <v>196000</v>
      </c>
      <c r="O2760" s="2">
        <v>-23730</v>
      </c>
      <c r="P2760" s="2">
        <v>-168770</v>
      </c>
      <c r="Q2760" s="2">
        <v>3500</v>
      </c>
      <c r="R2760" s="2">
        <v>0</v>
      </c>
      <c r="S2760" s="2">
        <v>3500</v>
      </c>
      <c r="T2760" s="2">
        <v>3500</v>
      </c>
      <c r="U2760" s="2">
        <v>0</v>
      </c>
      <c r="V2760" s="2">
        <v>0</v>
      </c>
      <c r="W2760" s="2">
        <v>0</v>
      </c>
    </row>
    <row r="2761" spans="1:23" outlineLevel="2" x14ac:dyDescent="0.2">
      <c r="A2761" t="s">
        <v>999</v>
      </c>
      <c r="B2761" t="s">
        <v>31</v>
      </c>
      <c r="C2761" t="s">
        <v>107</v>
      </c>
      <c r="D2761" t="s">
        <v>1168</v>
      </c>
      <c r="E2761" t="s">
        <v>1169</v>
      </c>
      <c r="F2761" t="s">
        <v>856</v>
      </c>
      <c r="G2761" t="s">
        <v>857</v>
      </c>
      <c r="H2761" t="s">
        <v>1166</v>
      </c>
      <c r="I2761" t="s">
        <v>1167</v>
      </c>
      <c r="J2761" t="s">
        <v>1000</v>
      </c>
      <c r="K2761" t="s">
        <v>1003</v>
      </c>
      <c r="L2761" t="s">
        <v>1148</v>
      </c>
      <c r="M2761" t="s">
        <v>12</v>
      </c>
      <c r="N2761" s="2">
        <v>20000</v>
      </c>
      <c r="O2761" s="2">
        <v>-20000</v>
      </c>
      <c r="P2761" s="2">
        <v>0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</row>
    <row r="2762" spans="1:23" outlineLevel="2" x14ac:dyDescent="0.2">
      <c r="A2762" t="s">
        <v>999</v>
      </c>
      <c r="B2762" t="s">
        <v>31</v>
      </c>
      <c r="C2762" t="s">
        <v>107</v>
      </c>
      <c r="D2762" t="s">
        <v>1168</v>
      </c>
      <c r="E2762" t="s">
        <v>1169</v>
      </c>
      <c r="F2762" t="s">
        <v>856</v>
      </c>
      <c r="G2762" t="s">
        <v>857</v>
      </c>
      <c r="H2762" t="s">
        <v>1166</v>
      </c>
      <c r="I2762" t="s">
        <v>1167</v>
      </c>
      <c r="J2762" t="s">
        <v>1000</v>
      </c>
      <c r="K2762" t="s">
        <v>1149</v>
      </c>
      <c r="L2762" t="s">
        <v>1150</v>
      </c>
      <c r="M2762" t="s">
        <v>12</v>
      </c>
      <c r="N2762" s="2">
        <v>14000</v>
      </c>
      <c r="O2762" s="2">
        <v>0</v>
      </c>
      <c r="P2762" s="2">
        <v>-14000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</row>
    <row r="2763" spans="1:23" outlineLevel="2" x14ac:dyDescent="0.2">
      <c r="A2763" t="s">
        <v>999</v>
      </c>
      <c r="B2763" t="s">
        <v>31</v>
      </c>
      <c r="C2763" t="s">
        <v>107</v>
      </c>
      <c r="D2763" t="s">
        <v>1164</v>
      </c>
      <c r="E2763" t="s">
        <v>1165</v>
      </c>
      <c r="F2763" t="s">
        <v>856</v>
      </c>
      <c r="G2763" t="s">
        <v>857</v>
      </c>
      <c r="H2763" t="s">
        <v>1166</v>
      </c>
      <c r="I2763" t="s">
        <v>1167</v>
      </c>
      <c r="J2763" t="s">
        <v>1000</v>
      </c>
      <c r="K2763" t="s">
        <v>1078</v>
      </c>
      <c r="L2763" t="s">
        <v>1152</v>
      </c>
      <c r="M2763" t="s">
        <v>12</v>
      </c>
      <c r="N2763" s="2">
        <v>15000</v>
      </c>
      <c r="O2763" s="2">
        <v>0</v>
      </c>
      <c r="P2763" s="2">
        <v>-15000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</row>
    <row r="2764" spans="1:23" outlineLevel="2" x14ac:dyDescent="0.2">
      <c r="A2764" t="s">
        <v>999</v>
      </c>
      <c r="B2764" t="s">
        <v>31</v>
      </c>
      <c r="C2764" t="s">
        <v>107</v>
      </c>
      <c r="D2764" t="s">
        <v>108</v>
      </c>
      <c r="E2764" t="s">
        <v>109</v>
      </c>
      <c r="F2764" t="s">
        <v>856</v>
      </c>
      <c r="G2764" t="s">
        <v>857</v>
      </c>
      <c r="H2764" t="s">
        <v>1170</v>
      </c>
      <c r="I2764" t="s">
        <v>1171</v>
      </c>
      <c r="J2764" t="s">
        <v>1000</v>
      </c>
      <c r="K2764" t="s">
        <v>1015</v>
      </c>
      <c r="L2764" t="s">
        <v>1172</v>
      </c>
      <c r="M2764" t="s">
        <v>12</v>
      </c>
      <c r="N2764" s="2">
        <v>50000</v>
      </c>
      <c r="O2764" s="2">
        <v>-50000</v>
      </c>
      <c r="P2764" s="2">
        <v>0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</row>
    <row r="2765" spans="1:23" outlineLevel="2" x14ac:dyDescent="0.2">
      <c r="A2765" t="s">
        <v>999</v>
      </c>
      <c r="B2765" t="s">
        <v>31</v>
      </c>
      <c r="C2765" t="s">
        <v>107</v>
      </c>
      <c r="D2765" t="s">
        <v>108</v>
      </c>
      <c r="E2765" t="s">
        <v>109</v>
      </c>
      <c r="F2765" t="s">
        <v>856</v>
      </c>
      <c r="G2765" t="s">
        <v>857</v>
      </c>
      <c r="H2765" t="s">
        <v>1170</v>
      </c>
      <c r="I2765" t="s">
        <v>1171</v>
      </c>
      <c r="J2765" t="s">
        <v>1000</v>
      </c>
      <c r="K2765" t="s">
        <v>1017</v>
      </c>
      <c r="L2765" t="s">
        <v>1151</v>
      </c>
      <c r="M2765" t="s">
        <v>12</v>
      </c>
      <c r="N2765" s="2">
        <v>50000</v>
      </c>
      <c r="O2765" s="2">
        <v>-50000</v>
      </c>
      <c r="P2765" s="2">
        <v>0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</row>
    <row r="2766" spans="1:23" outlineLevel="2" x14ac:dyDescent="0.2">
      <c r="A2766" t="s">
        <v>999</v>
      </c>
      <c r="B2766" t="s">
        <v>31</v>
      </c>
      <c r="C2766" t="s">
        <v>107</v>
      </c>
      <c r="D2766" t="s">
        <v>1168</v>
      </c>
      <c r="E2766" t="s">
        <v>1169</v>
      </c>
      <c r="F2766" t="s">
        <v>856</v>
      </c>
      <c r="G2766" t="s">
        <v>857</v>
      </c>
      <c r="H2766" t="s">
        <v>1173</v>
      </c>
      <c r="I2766" t="s">
        <v>1174</v>
      </c>
      <c r="J2766" t="s">
        <v>1000</v>
      </c>
      <c r="K2766" t="s">
        <v>1037</v>
      </c>
      <c r="L2766" t="s">
        <v>1145</v>
      </c>
      <c r="M2766" t="s">
        <v>12</v>
      </c>
      <c r="N2766" s="2">
        <v>15000</v>
      </c>
      <c r="O2766" s="2">
        <v>0</v>
      </c>
      <c r="P2766" s="2">
        <v>-15000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</row>
    <row r="2767" spans="1:23" outlineLevel="2" x14ac:dyDescent="0.2">
      <c r="A2767" t="s">
        <v>999</v>
      </c>
      <c r="B2767" t="s">
        <v>31</v>
      </c>
      <c r="C2767" t="s">
        <v>107</v>
      </c>
      <c r="D2767" t="s">
        <v>1168</v>
      </c>
      <c r="E2767" t="s">
        <v>1169</v>
      </c>
      <c r="F2767" t="s">
        <v>856</v>
      </c>
      <c r="G2767" t="s">
        <v>857</v>
      </c>
      <c r="H2767" t="s">
        <v>1173</v>
      </c>
      <c r="I2767" t="s">
        <v>1174</v>
      </c>
      <c r="J2767" t="s">
        <v>1000</v>
      </c>
      <c r="K2767" t="s">
        <v>1175</v>
      </c>
      <c r="L2767" t="s">
        <v>1176</v>
      </c>
      <c r="M2767" t="s">
        <v>12</v>
      </c>
      <c r="N2767" s="2">
        <v>5080</v>
      </c>
      <c r="O2767" s="2">
        <v>0</v>
      </c>
      <c r="P2767" s="2">
        <v>0</v>
      </c>
      <c r="Q2767" s="2">
        <v>5080</v>
      </c>
      <c r="R2767" s="2">
        <v>0</v>
      </c>
      <c r="S2767" s="2">
        <v>0</v>
      </c>
      <c r="T2767" s="2">
        <v>0</v>
      </c>
      <c r="U2767" s="2">
        <v>5080</v>
      </c>
      <c r="V2767" s="2">
        <v>5080</v>
      </c>
      <c r="W2767" s="2">
        <v>5080</v>
      </c>
    </row>
    <row r="2768" spans="1:23" outlineLevel="2" x14ac:dyDescent="0.2">
      <c r="A2768" t="s">
        <v>999</v>
      </c>
      <c r="B2768" t="s">
        <v>31</v>
      </c>
      <c r="C2768" t="s">
        <v>107</v>
      </c>
      <c r="D2768" t="s">
        <v>1168</v>
      </c>
      <c r="E2768" t="s">
        <v>1169</v>
      </c>
      <c r="F2768" t="s">
        <v>856</v>
      </c>
      <c r="G2768" t="s">
        <v>857</v>
      </c>
      <c r="H2768" t="s">
        <v>1173</v>
      </c>
      <c r="I2768" t="s">
        <v>1174</v>
      </c>
      <c r="J2768" t="s">
        <v>1000</v>
      </c>
      <c r="K2768" t="s">
        <v>1177</v>
      </c>
      <c r="L2768" t="s">
        <v>1178</v>
      </c>
      <c r="M2768" t="s">
        <v>12</v>
      </c>
      <c r="N2768" s="2">
        <v>2500</v>
      </c>
      <c r="O2768" s="2">
        <v>-2500</v>
      </c>
      <c r="P2768" s="2">
        <v>0</v>
      </c>
      <c r="Q2768" s="2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</row>
    <row r="2769" spans="1:23" outlineLevel="2" x14ac:dyDescent="0.2">
      <c r="A2769" t="s">
        <v>999</v>
      </c>
      <c r="B2769" t="s">
        <v>31</v>
      </c>
      <c r="C2769" t="s">
        <v>107</v>
      </c>
      <c r="D2769" t="s">
        <v>1168</v>
      </c>
      <c r="E2769" t="s">
        <v>1169</v>
      </c>
      <c r="F2769" t="s">
        <v>856</v>
      </c>
      <c r="G2769" t="s">
        <v>857</v>
      </c>
      <c r="H2769" t="s">
        <v>1173</v>
      </c>
      <c r="I2769" t="s">
        <v>1174</v>
      </c>
      <c r="J2769" t="s">
        <v>1000</v>
      </c>
      <c r="K2769" t="s">
        <v>1003</v>
      </c>
      <c r="L2769" t="s">
        <v>1148</v>
      </c>
      <c r="M2769" t="s">
        <v>12</v>
      </c>
      <c r="N2769" s="2">
        <v>10000</v>
      </c>
      <c r="O2769" s="2">
        <v>0</v>
      </c>
      <c r="P2769" s="2">
        <v>-10000</v>
      </c>
      <c r="Q2769" s="2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</row>
    <row r="2770" spans="1:23" outlineLevel="2" x14ac:dyDescent="0.2">
      <c r="A2770" t="s">
        <v>999</v>
      </c>
      <c r="B2770" t="s">
        <v>31</v>
      </c>
      <c r="C2770" t="s">
        <v>107</v>
      </c>
      <c r="D2770" t="s">
        <v>1168</v>
      </c>
      <c r="E2770" t="s">
        <v>1169</v>
      </c>
      <c r="F2770" t="s">
        <v>856</v>
      </c>
      <c r="G2770" t="s">
        <v>857</v>
      </c>
      <c r="H2770" t="s">
        <v>1173</v>
      </c>
      <c r="I2770" t="s">
        <v>1174</v>
      </c>
      <c r="J2770" t="s">
        <v>1000</v>
      </c>
      <c r="K2770" t="s">
        <v>1179</v>
      </c>
      <c r="L2770" t="s">
        <v>1180</v>
      </c>
      <c r="M2770" t="s">
        <v>12</v>
      </c>
      <c r="N2770" s="2">
        <v>5000</v>
      </c>
      <c r="O2770" s="2">
        <v>-5000</v>
      </c>
      <c r="P2770" s="2">
        <v>0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</row>
    <row r="2771" spans="1:23" outlineLevel="2" x14ac:dyDescent="0.2">
      <c r="A2771" t="s">
        <v>999</v>
      </c>
      <c r="B2771" t="s">
        <v>31</v>
      </c>
      <c r="C2771" t="s">
        <v>107</v>
      </c>
      <c r="D2771" t="s">
        <v>1168</v>
      </c>
      <c r="E2771" t="s">
        <v>1169</v>
      </c>
      <c r="F2771" t="s">
        <v>856</v>
      </c>
      <c r="G2771" t="s">
        <v>857</v>
      </c>
      <c r="H2771" t="s">
        <v>1173</v>
      </c>
      <c r="I2771" t="s">
        <v>1174</v>
      </c>
      <c r="J2771" t="s">
        <v>1000</v>
      </c>
      <c r="K2771" t="s">
        <v>1015</v>
      </c>
      <c r="L2771" t="s">
        <v>1172</v>
      </c>
      <c r="M2771" t="s">
        <v>12</v>
      </c>
      <c r="N2771" s="2">
        <v>15000</v>
      </c>
      <c r="O2771" s="2">
        <v>0</v>
      </c>
      <c r="P2771" s="2">
        <v>-15000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</row>
    <row r="2772" spans="1:23" outlineLevel="2" x14ac:dyDescent="0.2">
      <c r="A2772" t="s">
        <v>999</v>
      </c>
      <c r="B2772" t="s">
        <v>31</v>
      </c>
      <c r="C2772" t="s">
        <v>107</v>
      </c>
      <c r="D2772" t="s">
        <v>1168</v>
      </c>
      <c r="E2772" t="s">
        <v>1169</v>
      </c>
      <c r="F2772" t="s">
        <v>856</v>
      </c>
      <c r="G2772" t="s">
        <v>857</v>
      </c>
      <c r="H2772" t="s">
        <v>1173</v>
      </c>
      <c r="I2772" t="s">
        <v>1174</v>
      </c>
      <c r="J2772" t="s">
        <v>1000</v>
      </c>
      <c r="K2772" t="s">
        <v>1019</v>
      </c>
      <c r="L2772" t="s">
        <v>1181</v>
      </c>
      <c r="M2772" t="s">
        <v>12</v>
      </c>
      <c r="N2772" s="2">
        <v>2500</v>
      </c>
      <c r="O2772" s="2">
        <v>0</v>
      </c>
      <c r="P2772" s="2">
        <v>-2500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</row>
    <row r="2773" spans="1:23" outlineLevel="2" x14ac:dyDescent="0.2">
      <c r="A2773" t="s">
        <v>999</v>
      </c>
      <c r="B2773" t="s">
        <v>31</v>
      </c>
      <c r="C2773" t="s">
        <v>107</v>
      </c>
      <c r="D2773" t="s">
        <v>1168</v>
      </c>
      <c r="E2773" t="s">
        <v>1169</v>
      </c>
      <c r="F2773" t="s">
        <v>856</v>
      </c>
      <c r="G2773" t="s">
        <v>857</v>
      </c>
      <c r="H2773" t="s">
        <v>1173</v>
      </c>
      <c r="I2773" t="s">
        <v>1174</v>
      </c>
      <c r="J2773" t="s">
        <v>1000</v>
      </c>
      <c r="K2773" t="s">
        <v>1084</v>
      </c>
      <c r="L2773" t="s">
        <v>1153</v>
      </c>
      <c r="M2773" t="s">
        <v>12</v>
      </c>
      <c r="N2773" s="2">
        <v>30000</v>
      </c>
      <c r="O2773" s="2">
        <v>0</v>
      </c>
      <c r="P2773" s="2">
        <v>-30000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</row>
    <row r="2774" spans="1:23" outlineLevel="2" x14ac:dyDescent="0.2">
      <c r="A2774" t="s">
        <v>999</v>
      </c>
      <c r="B2774" t="s">
        <v>31</v>
      </c>
      <c r="C2774" t="s">
        <v>107</v>
      </c>
      <c r="D2774" t="s">
        <v>1168</v>
      </c>
      <c r="E2774" t="s">
        <v>1169</v>
      </c>
      <c r="F2774" t="s">
        <v>856</v>
      </c>
      <c r="G2774" t="s">
        <v>857</v>
      </c>
      <c r="H2774" t="s">
        <v>1173</v>
      </c>
      <c r="I2774" t="s">
        <v>1174</v>
      </c>
      <c r="J2774" t="s">
        <v>1000</v>
      </c>
      <c r="K2774" t="s">
        <v>1120</v>
      </c>
      <c r="L2774" t="s">
        <v>1182</v>
      </c>
      <c r="M2774" t="s">
        <v>12</v>
      </c>
      <c r="N2774" s="2">
        <v>25000</v>
      </c>
      <c r="O2774" s="2">
        <v>-5000</v>
      </c>
      <c r="P2774" s="2">
        <v>-20000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</row>
    <row r="2775" spans="1:23" outlineLevel="2" x14ac:dyDescent="0.2">
      <c r="A2775" t="s">
        <v>999</v>
      </c>
      <c r="B2775" t="s">
        <v>31</v>
      </c>
      <c r="C2775" t="s">
        <v>107</v>
      </c>
      <c r="D2775" t="s">
        <v>1168</v>
      </c>
      <c r="E2775" t="s">
        <v>1169</v>
      </c>
      <c r="F2775" t="s">
        <v>856</v>
      </c>
      <c r="G2775" t="s">
        <v>857</v>
      </c>
      <c r="H2775" t="s">
        <v>1173</v>
      </c>
      <c r="I2775" t="s">
        <v>1174</v>
      </c>
      <c r="J2775" t="s">
        <v>1000</v>
      </c>
      <c r="K2775" t="s">
        <v>1183</v>
      </c>
      <c r="L2775" t="s">
        <v>1184</v>
      </c>
      <c r="M2775" t="s">
        <v>12</v>
      </c>
      <c r="N2775" s="2">
        <v>10200</v>
      </c>
      <c r="O2775" s="2">
        <v>-10200</v>
      </c>
      <c r="P2775" s="2">
        <v>0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</row>
    <row r="2776" spans="1:23" outlineLevel="2" x14ac:dyDescent="0.2">
      <c r="A2776" t="s">
        <v>999</v>
      </c>
      <c r="B2776" t="s">
        <v>31</v>
      </c>
      <c r="C2776" t="s">
        <v>107</v>
      </c>
      <c r="D2776" t="s">
        <v>1168</v>
      </c>
      <c r="E2776" t="s">
        <v>1169</v>
      </c>
      <c r="F2776" t="s">
        <v>856</v>
      </c>
      <c r="G2776" t="s">
        <v>857</v>
      </c>
      <c r="H2776" t="s">
        <v>1173</v>
      </c>
      <c r="I2776" t="s">
        <v>1174</v>
      </c>
      <c r="J2776" t="s">
        <v>1000</v>
      </c>
      <c r="K2776" t="s">
        <v>1185</v>
      </c>
      <c r="L2776" t="s">
        <v>1186</v>
      </c>
      <c r="M2776" t="s">
        <v>12</v>
      </c>
      <c r="N2776" s="2">
        <v>18650</v>
      </c>
      <c r="O2776" s="2">
        <v>0</v>
      </c>
      <c r="P2776" s="2">
        <v>-18650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</row>
    <row r="2777" spans="1:23" outlineLevel="2" x14ac:dyDescent="0.2">
      <c r="A2777" t="s">
        <v>999</v>
      </c>
      <c r="B2777" t="s">
        <v>31</v>
      </c>
      <c r="C2777" t="s">
        <v>107</v>
      </c>
      <c r="D2777" t="s">
        <v>1168</v>
      </c>
      <c r="E2777" t="s">
        <v>1169</v>
      </c>
      <c r="F2777" t="s">
        <v>856</v>
      </c>
      <c r="G2777" t="s">
        <v>857</v>
      </c>
      <c r="H2777" t="s">
        <v>1173</v>
      </c>
      <c r="I2777" t="s">
        <v>1174</v>
      </c>
      <c r="J2777" t="s">
        <v>1000</v>
      </c>
      <c r="K2777" t="s">
        <v>1160</v>
      </c>
      <c r="L2777" t="s">
        <v>1161</v>
      </c>
      <c r="M2777" t="s">
        <v>12</v>
      </c>
      <c r="N2777" s="2">
        <v>7000</v>
      </c>
      <c r="O2777" s="2">
        <v>0</v>
      </c>
      <c r="P2777" s="2">
        <v>-7000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</row>
    <row r="2778" spans="1:23" outlineLevel="2" x14ac:dyDescent="0.2">
      <c r="A2778" t="s">
        <v>999</v>
      </c>
      <c r="B2778" t="s">
        <v>31</v>
      </c>
      <c r="C2778" t="s">
        <v>107</v>
      </c>
      <c r="D2778" t="s">
        <v>108</v>
      </c>
      <c r="E2778" t="s">
        <v>109</v>
      </c>
      <c r="F2778" t="s">
        <v>856</v>
      </c>
      <c r="G2778" t="s">
        <v>857</v>
      </c>
      <c r="H2778" t="s">
        <v>1187</v>
      </c>
      <c r="I2778" t="s">
        <v>1188</v>
      </c>
      <c r="J2778" t="s">
        <v>1000</v>
      </c>
      <c r="K2778" t="s">
        <v>1037</v>
      </c>
      <c r="L2778" t="s">
        <v>1145</v>
      </c>
      <c r="M2778" t="s">
        <v>12</v>
      </c>
      <c r="N2778" s="2">
        <v>33700</v>
      </c>
      <c r="O2778" s="2">
        <v>-17700</v>
      </c>
      <c r="P2778" s="2">
        <v>-16000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</row>
    <row r="2779" spans="1:23" outlineLevel="2" x14ac:dyDescent="0.2">
      <c r="A2779" t="s">
        <v>999</v>
      </c>
      <c r="B2779" t="s">
        <v>39</v>
      </c>
      <c r="C2779" t="s">
        <v>58</v>
      </c>
      <c r="D2779" t="s">
        <v>147</v>
      </c>
      <c r="E2779" t="s">
        <v>148</v>
      </c>
      <c r="F2779" t="s">
        <v>856</v>
      </c>
      <c r="G2779" t="s">
        <v>857</v>
      </c>
      <c r="H2779" t="s">
        <v>1187</v>
      </c>
      <c r="I2779" t="s">
        <v>1188</v>
      </c>
      <c r="J2779" t="s">
        <v>1000</v>
      </c>
      <c r="K2779" t="s">
        <v>1037</v>
      </c>
      <c r="L2779" t="s">
        <v>1138</v>
      </c>
      <c r="M2779" t="s">
        <v>12</v>
      </c>
      <c r="N2779" s="2">
        <v>3000</v>
      </c>
      <c r="O2779" s="2">
        <v>0</v>
      </c>
      <c r="P2779" s="2">
        <v>-3000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</row>
    <row r="2780" spans="1:23" outlineLevel="2" x14ac:dyDescent="0.2">
      <c r="A2780" t="s">
        <v>999</v>
      </c>
      <c r="B2780" t="s">
        <v>39</v>
      </c>
      <c r="C2780" t="s">
        <v>58</v>
      </c>
      <c r="D2780" t="s">
        <v>59</v>
      </c>
      <c r="E2780" t="s">
        <v>60</v>
      </c>
      <c r="F2780" t="s">
        <v>856</v>
      </c>
      <c r="G2780" t="s">
        <v>857</v>
      </c>
      <c r="H2780" t="s">
        <v>1187</v>
      </c>
      <c r="I2780" t="s">
        <v>1188</v>
      </c>
      <c r="J2780" t="s">
        <v>1000</v>
      </c>
      <c r="K2780" t="s">
        <v>1037</v>
      </c>
      <c r="L2780" t="s">
        <v>1138</v>
      </c>
      <c r="M2780" t="s">
        <v>12</v>
      </c>
      <c r="N2780" s="2">
        <v>3000</v>
      </c>
      <c r="O2780" s="2">
        <v>0</v>
      </c>
      <c r="P2780" s="2">
        <v>-3000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</row>
    <row r="2781" spans="1:23" outlineLevel="2" x14ac:dyDescent="0.2">
      <c r="A2781" t="s">
        <v>999</v>
      </c>
      <c r="B2781" t="s">
        <v>39</v>
      </c>
      <c r="C2781" t="s">
        <v>58</v>
      </c>
      <c r="D2781" t="s">
        <v>137</v>
      </c>
      <c r="E2781" t="s">
        <v>138</v>
      </c>
      <c r="F2781" t="s">
        <v>856</v>
      </c>
      <c r="G2781" t="s">
        <v>857</v>
      </c>
      <c r="H2781" t="s">
        <v>1187</v>
      </c>
      <c r="I2781" t="s">
        <v>1188</v>
      </c>
      <c r="J2781" t="s">
        <v>1000</v>
      </c>
      <c r="K2781" t="s">
        <v>1039</v>
      </c>
      <c r="L2781" t="s">
        <v>1139</v>
      </c>
      <c r="M2781" t="s">
        <v>12</v>
      </c>
      <c r="N2781" s="2">
        <v>62000</v>
      </c>
      <c r="O2781" s="2">
        <v>122775.43</v>
      </c>
      <c r="P2781" s="2">
        <v>-59000</v>
      </c>
      <c r="Q2781" s="2">
        <v>125775.43</v>
      </c>
      <c r="R2781" s="2">
        <v>0</v>
      </c>
      <c r="S2781" s="2">
        <v>3000</v>
      </c>
      <c r="T2781" s="2">
        <v>0</v>
      </c>
      <c r="U2781" s="2">
        <v>122775.43</v>
      </c>
      <c r="V2781" s="2">
        <v>125775.43</v>
      </c>
      <c r="W2781" s="2">
        <v>122775.43</v>
      </c>
    </row>
    <row r="2782" spans="1:23" outlineLevel="2" x14ac:dyDescent="0.2">
      <c r="A2782" t="s">
        <v>999</v>
      </c>
      <c r="B2782" t="s">
        <v>39</v>
      </c>
      <c r="C2782" t="s">
        <v>58</v>
      </c>
      <c r="D2782" t="s">
        <v>145</v>
      </c>
      <c r="E2782" t="s">
        <v>146</v>
      </c>
      <c r="F2782" t="s">
        <v>856</v>
      </c>
      <c r="G2782" t="s">
        <v>857</v>
      </c>
      <c r="H2782" t="s">
        <v>1187</v>
      </c>
      <c r="I2782" t="s">
        <v>1188</v>
      </c>
      <c r="J2782" t="s">
        <v>1000</v>
      </c>
      <c r="K2782" t="s">
        <v>1039</v>
      </c>
      <c r="L2782" t="s">
        <v>1139</v>
      </c>
      <c r="M2782" t="s">
        <v>12</v>
      </c>
      <c r="N2782" s="2">
        <v>66000</v>
      </c>
      <c r="O2782" s="2">
        <v>0</v>
      </c>
      <c r="P2782" s="2">
        <v>-66000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</row>
    <row r="2783" spans="1:23" outlineLevel="2" x14ac:dyDescent="0.2">
      <c r="A2783" t="s">
        <v>999</v>
      </c>
      <c r="B2783" t="s">
        <v>39</v>
      </c>
      <c r="C2783" t="s">
        <v>58</v>
      </c>
      <c r="D2783" t="s">
        <v>149</v>
      </c>
      <c r="E2783" t="s">
        <v>150</v>
      </c>
      <c r="F2783" t="s">
        <v>856</v>
      </c>
      <c r="G2783" t="s">
        <v>857</v>
      </c>
      <c r="H2783" t="s">
        <v>1187</v>
      </c>
      <c r="I2783" t="s">
        <v>1188</v>
      </c>
      <c r="J2783" t="s">
        <v>1000</v>
      </c>
      <c r="K2783" t="s">
        <v>1039</v>
      </c>
      <c r="L2783" t="s">
        <v>1139</v>
      </c>
      <c r="M2783" t="s">
        <v>12</v>
      </c>
      <c r="N2783" s="2">
        <v>67000</v>
      </c>
      <c r="O2783" s="2">
        <v>0</v>
      </c>
      <c r="P2783" s="2">
        <v>-67000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</row>
    <row r="2784" spans="1:23" outlineLevel="2" x14ac:dyDescent="0.2">
      <c r="A2784" t="s">
        <v>999</v>
      </c>
      <c r="B2784" t="s">
        <v>31</v>
      </c>
      <c r="C2784" t="s">
        <v>107</v>
      </c>
      <c r="D2784" t="s">
        <v>108</v>
      </c>
      <c r="E2784" t="s">
        <v>109</v>
      </c>
      <c r="F2784" t="s">
        <v>856</v>
      </c>
      <c r="G2784" t="s">
        <v>857</v>
      </c>
      <c r="H2784" t="s">
        <v>1187</v>
      </c>
      <c r="I2784" t="s">
        <v>1188</v>
      </c>
      <c r="J2784" t="s">
        <v>1000</v>
      </c>
      <c r="K2784" t="s">
        <v>1039</v>
      </c>
      <c r="L2784" t="s">
        <v>1140</v>
      </c>
      <c r="M2784" t="s">
        <v>12</v>
      </c>
      <c r="N2784" s="2">
        <v>505200</v>
      </c>
      <c r="O2784" s="2">
        <v>-365000</v>
      </c>
      <c r="P2784" s="2">
        <v>-140200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</row>
    <row r="2785" spans="1:23" outlineLevel="2" x14ac:dyDescent="0.2">
      <c r="A2785" t="s">
        <v>999</v>
      </c>
      <c r="B2785" t="s">
        <v>39</v>
      </c>
      <c r="C2785" t="s">
        <v>58</v>
      </c>
      <c r="D2785" t="s">
        <v>135</v>
      </c>
      <c r="E2785" t="s">
        <v>136</v>
      </c>
      <c r="F2785" t="s">
        <v>856</v>
      </c>
      <c r="G2785" t="s">
        <v>857</v>
      </c>
      <c r="H2785" t="s">
        <v>1187</v>
      </c>
      <c r="I2785" t="s">
        <v>1188</v>
      </c>
      <c r="J2785" t="s">
        <v>1000</v>
      </c>
      <c r="K2785" t="s">
        <v>1039</v>
      </c>
      <c r="L2785" t="s">
        <v>1139</v>
      </c>
      <c r="M2785" t="s">
        <v>12</v>
      </c>
      <c r="N2785" s="2">
        <v>62000</v>
      </c>
      <c r="O2785" s="2">
        <v>0</v>
      </c>
      <c r="P2785" s="2">
        <v>-62000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</row>
    <row r="2786" spans="1:23" outlineLevel="2" x14ac:dyDescent="0.2">
      <c r="A2786" t="s">
        <v>999</v>
      </c>
      <c r="B2786" t="s">
        <v>39</v>
      </c>
      <c r="C2786" t="s">
        <v>58</v>
      </c>
      <c r="D2786" t="s">
        <v>129</v>
      </c>
      <c r="E2786" t="s">
        <v>130</v>
      </c>
      <c r="F2786" t="s">
        <v>856</v>
      </c>
      <c r="G2786" t="s">
        <v>857</v>
      </c>
      <c r="H2786" t="s">
        <v>1187</v>
      </c>
      <c r="I2786" t="s">
        <v>1188</v>
      </c>
      <c r="J2786" t="s">
        <v>1000</v>
      </c>
      <c r="K2786" t="s">
        <v>1039</v>
      </c>
      <c r="L2786" t="s">
        <v>1139</v>
      </c>
      <c r="M2786" t="s">
        <v>12</v>
      </c>
      <c r="N2786" s="2">
        <v>30000</v>
      </c>
      <c r="O2786" s="2">
        <v>0</v>
      </c>
      <c r="P2786" s="2">
        <v>-30000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</row>
    <row r="2787" spans="1:23" outlineLevel="2" x14ac:dyDescent="0.2">
      <c r="A2787" t="s">
        <v>999</v>
      </c>
      <c r="B2787" t="s">
        <v>39</v>
      </c>
      <c r="C2787" t="s">
        <v>58</v>
      </c>
      <c r="D2787" t="s">
        <v>147</v>
      </c>
      <c r="E2787" t="s">
        <v>148</v>
      </c>
      <c r="F2787" t="s">
        <v>856</v>
      </c>
      <c r="G2787" t="s">
        <v>857</v>
      </c>
      <c r="H2787" t="s">
        <v>1187</v>
      </c>
      <c r="I2787" t="s">
        <v>1188</v>
      </c>
      <c r="J2787" t="s">
        <v>1000</v>
      </c>
      <c r="K2787" t="s">
        <v>1039</v>
      </c>
      <c r="L2787" t="s">
        <v>1139</v>
      </c>
      <c r="M2787" t="s">
        <v>12</v>
      </c>
      <c r="N2787" s="2">
        <v>77250</v>
      </c>
      <c r="O2787" s="2">
        <v>80108.149999999994</v>
      </c>
      <c r="P2787" s="2">
        <v>-64830</v>
      </c>
      <c r="Q2787" s="2">
        <v>92528.15</v>
      </c>
      <c r="R2787" s="2">
        <v>300.24</v>
      </c>
      <c r="S2787" s="2">
        <v>12119.76</v>
      </c>
      <c r="T2787" s="2">
        <v>11656.22</v>
      </c>
      <c r="U2787" s="2">
        <v>80408.39</v>
      </c>
      <c r="V2787" s="2">
        <v>80871.929999999993</v>
      </c>
      <c r="W2787" s="2">
        <v>80108.149999999994</v>
      </c>
    </row>
    <row r="2788" spans="1:23" outlineLevel="2" x14ac:dyDescent="0.2">
      <c r="A2788" t="s">
        <v>999</v>
      </c>
      <c r="B2788" t="s">
        <v>39</v>
      </c>
      <c r="C2788" t="s">
        <v>58</v>
      </c>
      <c r="D2788" t="s">
        <v>59</v>
      </c>
      <c r="E2788" t="s">
        <v>60</v>
      </c>
      <c r="F2788" t="s">
        <v>856</v>
      </c>
      <c r="G2788" t="s">
        <v>857</v>
      </c>
      <c r="H2788" t="s">
        <v>1187</v>
      </c>
      <c r="I2788" t="s">
        <v>1188</v>
      </c>
      <c r="J2788" t="s">
        <v>1000</v>
      </c>
      <c r="K2788" t="s">
        <v>1039</v>
      </c>
      <c r="L2788" t="s">
        <v>1139</v>
      </c>
      <c r="M2788" t="s">
        <v>12</v>
      </c>
      <c r="N2788" s="2">
        <v>50000</v>
      </c>
      <c r="O2788" s="2">
        <v>0</v>
      </c>
      <c r="P2788" s="2">
        <v>-10000</v>
      </c>
      <c r="Q2788" s="2">
        <v>40000</v>
      </c>
      <c r="R2788" s="2">
        <v>0</v>
      </c>
      <c r="S2788" s="2">
        <v>40000</v>
      </c>
      <c r="T2788" s="2">
        <v>18750</v>
      </c>
      <c r="U2788" s="2">
        <v>0</v>
      </c>
      <c r="V2788" s="2">
        <v>21250</v>
      </c>
      <c r="W2788" s="2">
        <v>0</v>
      </c>
    </row>
    <row r="2789" spans="1:23" outlineLevel="2" x14ac:dyDescent="0.2">
      <c r="A2789" t="s">
        <v>999</v>
      </c>
      <c r="B2789" t="s">
        <v>39</v>
      </c>
      <c r="C2789" t="s">
        <v>58</v>
      </c>
      <c r="D2789" t="s">
        <v>143</v>
      </c>
      <c r="E2789" t="s">
        <v>144</v>
      </c>
      <c r="F2789" t="s">
        <v>856</v>
      </c>
      <c r="G2789" t="s">
        <v>857</v>
      </c>
      <c r="H2789" t="s">
        <v>1187</v>
      </c>
      <c r="I2789" t="s">
        <v>1188</v>
      </c>
      <c r="J2789" t="s">
        <v>1000</v>
      </c>
      <c r="K2789" t="s">
        <v>1039</v>
      </c>
      <c r="L2789" t="s">
        <v>1139</v>
      </c>
      <c r="M2789" t="s">
        <v>12</v>
      </c>
      <c r="N2789" s="2">
        <v>67000</v>
      </c>
      <c r="O2789" s="2">
        <v>0</v>
      </c>
      <c r="P2789" s="2">
        <v>-59905</v>
      </c>
      <c r="Q2789" s="2">
        <v>7095</v>
      </c>
      <c r="R2789" s="2">
        <v>0</v>
      </c>
      <c r="S2789" s="2">
        <v>7095</v>
      </c>
      <c r="T2789" s="2">
        <v>7095</v>
      </c>
      <c r="U2789" s="2">
        <v>0</v>
      </c>
      <c r="V2789" s="2">
        <v>0</v>
      </c>
      <c r="W2789" s="2">
        <v>0</v>
      </c>
    </row>
    <row r="2790" spans="1:23" outlineLevel="2" x14ac:dyDescent="0.2">
      <c r="A2790" t="s">
        <v>999</v>
      </c>
      <c r="B2790" t="s">
        <v>39</v>
      </c>
      <c r="C2790" t="s">
        <v>58</v>
      </c>
      <c r="D2790" t="s">
        <v>139</v>
      </c>
      <c r="E2790" t="s">
        <v>140</v>
      </c>
      <c r="F2790" t="s">
        <v>856</v>
      </c>
      <c r="G2790" t="s">
        <v>857</v>
      </c>
      <c r="H2790" t="s">
        <v>1187</v>
      </c>
      <c r="I2790" t="s">
        <v>1188</v>
      </c>
      <c r="J2790" t="s">
        <v>1000</v>
      </c>
      <c r="K2790" t="s">
        <v>1039</v>
      </c>
      <c r="L2790" t="s">
        <v>1139</v>
      </c>
      <c r="M2790" t="s">
        <v>12</v>
      </c>
      <c r="N2790" s="2">
        <v>62000</v>
      </c>
      <c r="O2790" s="2">
        <v>0</v>
      </c>
      <c r="P2790" s="2">
        <v>-62000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</row>
    <row r="2791" spans="1:23" outlineLevel="2" x14ac:dyDescent="0.2">
      <c r="A2791" t="s">
        <v>999</v>
      </c>
      <c r="B2791" t="s">
        <v>39</v>
      </c>
      <c r="C2791" t="s">
        <v>58</v>
      </c>
      <c r="D2791" t="s">
        <v>59</v>
      </c>
      <c r="E2791" t="s">
        <v>60</v>
      </c>
      <c r="F2791" t="s">
        <v>856</v>
      </c>
      <c r="G2791" t="s">
        <v>857</v>
      </c>
      <c r="H2791" t="s">
        <v>1187</v>
      </c>
      <c r="I2791" t="s">
        <v>1188</v>
      </c>
      <c r="J2791" t="s">
        <v>1000</v>
      </c>
      <c r="K2791" t="s">
        <v>1068</v>
      </c>
      <c r="L2791" t="s">
        <v>1189</v>
      </c>
      <c r="M2791" t="s">
        <v>12</v>
      </c>
      <c r="N2791" s="2">
        <v>2000</v>
      </c>
      <c r="O2791" s="2">
        <v>0</v>
      </c>
      <c r="P2791" s="2">
        <v>-2000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</row>
    <row r="2792" spans="1:23" outlineLevel="2" x14ac:dyDescent="0.2">
      <c r="A2792" t="s">
        <v>999</v>
      </c>
      <c r="B2792" t="s">
        <v>39</v>
      </c>
      <c r="C2792" t="s">
        <v>58</v>
      </c>
      <c r="D2792" t="s">
        <v>147</v>
      </c>
      <c r="E2792" t="s">
        <v>148</v>
      </c>
      <c r="F2792" t="s">
        <v>856</v>
      </c>
      <c r="G2792" t="s">
        <v>857</v>
      </c>
      <c r="H2792" t="s">
        <v>1187</v>
      </c>
      <c r="I2792" t="s">
        <v>1188</v>
      </c>
      <c r="J2792" t="s">
        <v>1000</v>
      </c>
      <c r="K2792" t="s">
        <v>1068</v>
      </c>
      <c r="L2792" t="s">
        <v>1189</v>
      </c>
      <c r="M2792" t="s">
        <v>12</v>
      </c>
      <c r="N2792" s="2">
        <v>1750</v>
      </c>
      <c r="O2792" s="2">
        <v>0</v>
      </c>
      <c r="P2792" s="2">
        <v>-1050</v>
      </c>
      <c r="Q2792" s="2">
        <v>700</v>
      </c>
      <c r="R2792" s="2">
        <v>204.4</v>
      </c>
      <c r="S2792" s="2">
        <v>495.6</v>
      </c>
      <c r="T2792" s="2">
        <v>495.6</v>
      </c>
      <c r="U2792" s="2">
        <v>204.4</v>
      </c>
      <c r="V2792" s="2">
        <v>204.4</v>
      </c>
      <c r="W2792" s="2">
        <v>0</v>
      </c>
    </row>
    <row r="2793" spans="1:23" outlineLevel="2" x14ac:dyDescent="0.2">
      <c r="A2793" t="s">
        <v>999</v>
      </c>
      <c r="B2793" t="s">
        <v>39</v>
      </c>
      <c r="C2793" t="s">
        <v>58</v>
      </c>
      <c r="D2793" t="s">
        <v>129</v>
      </c>
      <c r="E2793" t="s">
        <v>130</v>
      </c>
      <c r="F2793" t="s">
        <v>856</v>
      </c>
      <c r="G2793" t="s">
        <v>857</v>
      </c>
      <c r="H2793" t="s">
        <v>1187</v>
      </c>
      <c r="I2793" t="s">
        <v>1188</v>
      </c>
      <c r="J2793" t="s">
        <v>1000</v>
      </c>
      <c r="K2793" t="s">
        <v>1090</v>
      </c>
      <c r="L2793" t="s">
        <v>1141</v>
      </c>
      <c r="M2793" t="s">
        <v>12</v>
      </c>
      <c r="N2793" s="2">
        <v>10000</v>
      </c>
      <c r="O2793" s="2">
        <v>0</v>
      </c>
      <c r="P2793" s="2">
        <v>0</v>
      </c>
      <c r="Q2793" s="2">
        <v>10000</v>
      </c>
      <c r="R2793" s="2">
        <v>0</v>
      </c>
      <c r="S2793" s="2">
        <v>9998.7199999999993</v>
      </c>
      <c r="T2793" s="2">
        <v>5415.2</v>
      </c>
      <c r="U2793" s="2">
        <v>1.28</v>
      </c>
      <c r="V2793" s="2">
        <v>4584.8</v>
      </c>
      <c r="W2793" s="2">
        <v>1.28</v>
      </c>
    </row>
    <row r="2794" spans="1:23" outlineLevel="2" x14ac:dyDescent="0.2">
      <c r="A2794" t="s">
        <v>999</v>
      </c>
      <c r="B2794" t="s">
        <v>39</v>
      </c>
      <c r="C2794" t="s">
        <v>58</v>
      </c>
      <c r="D2794" t="s">
        <v>143</v>
      </c>
      <c r="E2794" t="s">
        <v>144</v>
      </c>
      <c r="F2794" t="s">
        <v>856</v>
      </c>
      <c r="G2794" t="s">
        <v>857</v>
      </c>
      <c r="H2794" t="s">
        <v>1187</v>
      </c>
      <c r="I2794" t="s">
        <v>1188</v>
      </c>
      <c r="J2794" t="s">
        <v>1000</v>
      </c>
      <c r="K2794" t="s">
        <v>1090</v>
      </c>
      <c r="L2794" t="s">
        <v>1141</v>
      </c>
      <c r="M2794" t="s">
        <v>12</v>
      </c>
      <c r="N2794" s="2">
        <v>0</v>
      </c>
      <c r="O2794" s="2">
        <v>7900</v>
      </c>
      <c r="P2794" s="2">
        <v>0</v>
      </c>
      <c r="Q2794" s="2">
        <v>7900</v>
      </c>
      <c r="R2794" s="2">
        <v>0</v>
      </c>
      <c r="S2794" s="2">
        <v>7879.2</v>
      </c>
      <c r="T2794" s="2">
        <v>0</v>
      </c>
      <c r="U2794" s="2">
        <v>20.8</v>
      </c>
      <c r="V2794" s="2">
        <v>7900</v>
      </c>
      <c r="W2794" s="2">
        <v>20.8</v>
      </c>
    </row>
    <row r="2795" spans="1:23" outlineLevel="2" x14ac:dyDescent="0.2">
      <c r="A2795" t="s">
        <v>999</v>
      </c>
      <c r="B2795" t="s">
        <v>31</v>
      </c>
      <c r="C2795" t="s">
        <v>107</v>
      </c>
      <c r="D2795" t="s">
        <v>108</v>
      </c>
      <c r="E2795" t="s">
        <v>109</v>
      </c>
      <c r="F2795" t="s">
        <v>856</v>
      </c>
      <c r="G2795" t="s">
        <v>857</v>
      </c>
      <c r="H2795" t="s">
        <v>1187</v>
      </c>
      <c r="I2795" t="s">
        <v>1188</v>
      </c>
      <c r="J2795" t="s">
        <v>1000</v>
      </c>
      <c r="K2795" t="s">
        <v>1003</v>
      </c>
      <c r="L2795" t="s">
        <v>1148</v>
      </c>
      <c r="M2795" t="s">
        <v>12</v>
      </c>
      <c r="N2795" s="2">
        <v>60000</v>
      </c>
      <c r="O2795" s="2">
        <v>-7000</v>
      </c>
      <c r="P2795" s="2">
        <v>-48000</v>
      </c>
      <c r="Q2795" s="2">
        <v>5000</v>
      </c>
      <c r="R2795" s="2">
        <v>0</v>
      </c>
      <c r="S2795" s="2">
        <v>0</v>
      </c>
      <c r="T2795" s="2">
        <v>0</v>
      </c>
      <c r="U2795" s="2">
        <v>5000</v>
      </c>
      <c r="V2795" s="2">
        <v>5000</v>
      </c>
      <c r="W2795" s="2">
        <v>5000</v>
      </c>
    </row>
    <row r="2796" spans="1:23" outlineLevel="2" x14ac:dyDescent="0.2">
      <c r="A2796" t="s">
        <v>999</v>
      </c>
      <c r="B2796" t="s">
        <v>31</v>
      </c>
      <c r="C2796" t="s">
        <v>107</v>
      </c>
      <c r="D2796" t="s">
        <v>108</v>
      </c>
      <c r="E2796" t="s">
        <v>109</v>
      </c>
      <c r="F2796" t="s">
        <v>856</v>
      </c>
      <c r="G2796" t="s">
        <v>857</v>
      </c>
      <c r="H2796" t="s">
        <v>1187</v>
      </c>
      <c r="I2796" t="s">
        <v>1188</v>
      </c>
      <c r="J2796" t="s">
        <v>1000</v>
      </c>
      <c r="K2796" t="s">
        <v>1009</v>
      </c>
      <c r="L2796" t="s">
        <v>1156</v>
      </c>
      <c r="M2796" t="s">
        <v>12</v>
      </c>
      <c r="N2796" s="2">
        <v>8000</v>
      </c>
      <c r="O2796" s="2">
        <v>0</v>
      </c>
      <c r="P2796" s="2">
        <v>-7000</v>
      </c>
      <c r="Q2796" s="2">
        <v>1000</v>
      </c>
      <c r="R2796" s="2">
        <v>0</v>
      </c>
      <c r="S2796" s="2">
        <v>0</v>
      </c>
      <c r="T2796" s="2">
        <v>0</v>
      </c>
      <c r="U2796" s="2">
        <v>1000</v>
      </c>
      <c r="V2796" s="2">
        <v>1000</v>
      </c>
      <c r="W2796" s="2">
        <v>1000</v>
      </c>
    </row>
    <row r="2797" spans="1:23" outlineLevel="2" x14ac:dyDescent="0.2">
      <c r="A2797" t="s">
        <v>999</v>
      </c>
      <c r="B2797" t="s">
        <v>31</v>
      </c>
      <c r="C2797" t="s">
        <v>107</v>
      </c>
      <c r="D2797" t="s">
        <v>108</v>
      </c>
      <c r="E2797" t="s">
        <v>109</v>
      </c>
      <c r="F2797" t="s">
        <v>856</v>
      </c>
      <c r="G2797" t="s">
        <v>857</v>
      </c>
      <c r="H2797" t="s">
        <v>1187</v>
      </c>
      <c r="I2797" t="s">
        <v>1188</v>
      </c>
      <c r="J2797" t="s">
        <v>1000</v>
      </c>
      <c r="K2797" t="s">
        <v>1071</v>
      </c>
      <c r="L2797" t="s">
        <v>1142</v>
      </c>
      <c r="M2797" t="s">
        <v>12</v>
      </c>
      <c r="N2797" s="2">
        <v>113000</v>
      </c>
      <c r="O2797" s="2">
        <v>-89000</v>
      </c>
      <c r="P2797" s="2">
        <v>-24000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</row>
    <row r="2798" spans="1:23" outlineLevel="2" x14ac:dyDescent="0.2">
      <c r="A2798" t="s">
        <v>999</v>
      </c>
      <c r="B2798" t="s">
        <v>39</v>
      </c>
      <c r="C2798" t="s">
        <v>58</v>
      </c>
      <c r="D2798" t="s">
        <v>59</v>
      </c>
      <c r="E2798" t="s">
        <v>60</v>
      </c>
      <c r="F2798" t="s">
        <v>856</v>
      </c>
      <c r="G2798" t="s">
        <v>857</v>
      </c>
      <c r="H2798" t="s">
        <v>1187</v>
      </c>
      <c r="I2798" t="s">
        <v>1188</v>
      </c>
      <c r="J2798" t="s">
        <v>1000</v>
      </c>
      <c r="K2798" t="s">
        <v>1011</v>
      </c>
      <c r="L2798" t="s">
        <v>1190</v>
      </c>
      <c r="M2798" t="s">
        <v>12</v>
      </c>
      <c r="N2798" s="2">
        <v>2000</v>
      </c>
      <c r="O2798" s="2">
        <v>0</v>
      </c>
      <c r="P2798" s="2">
        <v>-2000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</row>
    <row r="2799" spans="1:23" outlineLevel="2" x14ac:dyDescent="0.2">
      <c r="A2799" t="s">
        <v>999</v>
      </c>
      <c r="B2799" t="s">
        <v>39</v>
      </c>
      <c r="C2799" t="s">
        <v>58</v>
      </c>
      <c r="D2799" t="s">
        <v>59</v>
      </c>
      <c r="E2799" t="s">
        <v>60</v>
      </c>
      <c r="F2799" t="s">
        <v>856</v>
      </c>
      <c r="G2799" t="s">
        <v>857</v>
      </c>
      <c r="H2799" t="s">
        <v>1187</v>
      </c>
      <c r="I2799" t="s">
        <v>1188</v>
      </c>
      <c r="J2799" t="s">
        <v>1000</v>
      </c>
      <c r="K2799" t="s">
        <v>1017</v>
      </c>
      <c r="L2799" t="s">
        <v>1191</v>
      </c>
      <c r="M2799" t="s">
        <v>12</v>
      </c>
      <c r="N2799" s="2">
        <v>0</v>
      </c>
      <c r="O2799" s="2">
        <v>8300</v>
      </c>
      <c r="P2799" s="2">
        <v>-8300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</row>
    <row r="2800" spans="1:23" outlineLevel="2" x14ac:dyDescent="0.2">
      <c r="A2800" t="s">
        <v>999</v>
      </c>
      <c r="B2800" t="s">
        <v>31</v>
      </c>
      <c r="C2800" t="s">
        <v>107</v>
      </c>
      <c r="D2800" t="s">
        <v>108</v>
      </c>
      <c r="E2800" t="s">
        <v>109</v>
      </c>
      <c r="F2800" t="s">
        <v>856</v>
      </c>
      <c r="G2800" t="s">
        <v>857</v>
      </c>
      <c r="H2800" t="s">
        <v>1187</v>
      </c>
      <c r="I2800" t="s">
        <v>1188</v>
      </c>
      <c r="J2800" t="s">
        <v>1000</v>
      </c>
      <c r="K2800" t="s">
        <v>1017</v>
      </c>
      <c r="L2800" t="s">
        <v>1151</v>
      </c>
      <c r="M2800" t="s">
        <v>12</v>
      </c>
      <c r="N2800" s="2">
        <v>24000</v>
      </c>
      <c r="O2800" s="2">
        <v>-14000</v>
      </c>
      <c r="P2800" s="2">
        <v>-10000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</row>
    <row r="2801" spans="1:23" outlineLevel="2" x14ac:dyDescent="0.2">
      <c r="A2801" t="s">
        <v>999</v>
      </c>
      <c r="B2801" t="s">
        <v>39</v>
      </c>
      <c r="C2801" t="s">
        <v>58</v>
      </c>
      <c r="D2801" t="s">
        <v>145</v>
      </c>
      <c r="E2801" t="s">
        <v>146</v>
      </c>
      <c r="F2801" t="s">
        <v>856</v>
      </c>
      <c r="G2801" t="s">
        <v>857</v>
      </c>
      <c r="H2801" t="s">
        <v>1187</v>
      </c>
      <c r="I2801" t="s">
        <v>1188</v>
      </c>
      <c r="J2801" t="s">
        <v>1000</v>
      </c>
      <c r="K2801" t="s">
        <v>1078</v>
      </c>
      <c r="L2801" t="s">
        <v>1192</v>
      </c>
      <c r="M2801" t="s">
        <v>12</v>
      </c>
      <c r="N2801" s="2">
        <v>6000</v>
      </c>
      <c r="O2801" s="2">
        <v>0</v>
      </c>
      <c r="P2801" s="2">
        <v>-6000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</row>
    <row r="2802" spans="1:23" outlineLevel="2" x14ac:dyDescent="0.2">
      <c r="A2802" t="s">
        <v>999</v>
      </c>
      <c r="B2802" t="s">
        <v>39</v>
      </c>
      <c r="C2802" t="s">
        <v>58</v>
      </c>
      <c r="D2802" t="s">
        <v>59</v>
      </c>
      <c r="E2802" t="s">
        <v>60</v>
      </c>
      <c r="F2802" t="s">
        <v>856</v>
      </c>
      <c r="G2802" t="s">
        <v>857</v>
      </c>
      <c r="H2802" t="s">
        <v>1187</v>
      </c>
      <c r="I2802" t="s">
        <v>1188</v>
      </c>
      <c r="J2802" t="s">
        <v>1000</v>
      </c>
      <c r="K2802" t="s">
        <v>1078</v>
      </c>
      <c r="L2802" t="s">
        <v>1192</v>
      </c>
      <c r="M2802" t="s">
        <v>12</v>
      </c>
      <c r="N2802" s="2">
        <v>2000</v>
      </c>
      <c r="O2802" s="2">
        <v>0</v>
      </c>
      <c r="P2802" s="2">
        <v>-2000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</row>
    <row r="2803" spans="1:23" outlineLevel="2" x14ac:dyDescent="0.2">
      <c r="A2803" t="s">
        <v>999</v>
      </c>
      <c r="B2803" t="s">
        <v>31</v>
      </c>
      <c r="C2803" t="s">
        <v>107</v>
      </c>
      <c r="D2803" t="s">
        <v>108</v>
      </c>
      <c r="E2803" t="s">
        <v>109</v>
      </c>
      <c r="F2803" t="s">
        <v>856</v>
      </c>
      <c r="G2803" t="s">
        <v>857</v>
      </c>
      <c r="H2803" t="s">
        <v>1187</v>
      </c>
      <c r="I2803" t="s">
        <v>1188</v>
      </c>
      <c r="J2803" t="s">
        <v>1000</v>
      </c>
      <c r="K2803" t="s">
        <v>1082</v>
      </c>
      <c r="L2803" t="s">
        <v>1159</v>
      </c>
      <c r="M2803" t="s">
        <v>12</v>
      </c>
      <c r="N2803" s="2">
        <v>3000</v>
      </c>
      <c r="O2803" s="2">
        <v>0</v>
      </c>
      <c r="P2803" s="2">
        <v>0</v>
      </c>
      <c r="Q2803" s="2">
        <v>3000</v>
      </c>
      <c r="R2803" s="2">
        <v>0</v>
      </c>
      <c r="S2803" s="2">
        <v>0</v>
      </c>
      <c r="T2803" s="2">
        <v>0</v>
      </c>
      <c r="U2803" s="2">
        <v>3000</v>
      </c>
      <c r="V2803" s="2">
        <v>3000</v>
      </c>
      <c r="W2803" s="2">
        <v>3000</v>
      </c>
    </row>
    <row r="2804" spans="1:23" outlineLevel="2" x14ac:dyDescent="0.2">
      <c r="A2804" t="s">
        <v>999</v>
      </c>
      <c r="B2804" t="s">
        <v>39</v>
      </c>
      <c r="C2804" t="s">
        <v>58</v>
      </c>
      <c r="D2804" t="s">
        <v>59</v>
      </c>
      <c r="E2804" t="s">
        <v>60</v>
      </c>
      <c r="F2804" t="s">
        <v>856</v>
      </c>
      <c r="G2804" t="s">
        <v>857</v>
      </c>
      <c r="H2804" t="s">
        <v>1187</v>
      </c>
      <c r="I2804" t="s">
        <v>1188</v>
      </c>
      <c r="J2804" t="s">
        <v>1000</v>
      </c>
      <c r="K2804" t="s">
        <v>1084</v>
      </c>
      <c r="L2804" t="s">
        <v>1193</v>
      </c>
      <c r="M2804" t="s">
        <v>12</v>
      </c>
      <c r="N2804" s="2">
        <v>3000</v>
      </c>
      <c r="O2804" s="2">
        <v>0</v>
      </c>
      <c r="P2804" s="2">
        <v>-3000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</row>
    <row r="2805" spans="1:23" outlineLevel="2" x14ac:dyDescent="0.2">
      <c r="A2805" t="s">
        <v>999</v>
      </c>
      <c r="B2805" t="s">
        <v>31</v>
      </c>
      <c r="C2805" t="s">
        <v>107</v>
      </c>
      <c r="D2805" t="s">
        <v>108</v>
      </c>
      <c r="E2805" t="s">
        <v>109</v>
      </c>
      <c r="F2805" t="s">
        <v>856</v>
      </c>
      <c r="G2805" t="s">
        <v>857</v>
      </c>
      <c r="H2805" t="s">
        <v>1187</v>
      </c>
      <c r="I2805" t="s">
        <v>1188</v>
      </c>
      <c r="J2805" t="s">
        <v>1000</v>
      </c>
      <c r="K2805" t="s">
        <v>1194</v>
      </c>
      <c r="L2805" t="s">
        <v>1195</v>
      </c>
      <c r="M2805" t="s">
        <v>12</v>
      </c>
      <c r="N2805" s="2">
        <v>10000</v>
      </c>
      <c r="O2805" s="2">
        <v>0</v>
      </c>
      <c r="P2805" s="2">
        <v>0</v>
      </c>
      <c r="Q2805" s="2">
        <v>10000</v>
      </c>
      <c r="R2805" s="2">
        <v>0.43</v>
      </c>
      <c r="S2805" s="2">
        <v>7799.56</v>
      </c>
      <c r="T2805" s="2">
        <v>7799.56</v>
      </c>
      <c r="U2805" s="2">
        <v>2200.44</v>
      </c>
      <c r="V2805" s="2">
        <v>2200.44</v>
      </c>
      <c r="W2805" s="2">
        <v>2200.0100000000002</v>
      </c>
    </row>
    <row r="2806" spans="1:23" outlineLevel="2" x14ac:dyDescent="0.2">
      <c r="A2806" t="s">
        <v>999</v>
      </c>
      <c r="B2806" t="s">
        <v>31</v>
      </c>
      <c r="C2806" t="s">
        <v>107</v>
      </c>
      <c r="D2806" t="s">
        <v>108</v>
      </c>
      <c r="E2806" t="s">
        <v>109</v>
      </c>
      <c r="F2806" t="s">
        <v>856</v>
      </c>
      <c r="G2806" t="s">
        <v>857</v>
      </c>
      <c r="H2806" t="s">
        <v>1187</v>
      </c>
      <c r="I2806" t="s">
        <v>1188</v>
      </c>
      <c r="J2806" t="s">
        <v>1000</v>
      </c>
      <c r="K2806" t="s">
        <v>1120</v>
      </c>
      <c r="L2806" t="s">
        <v>1182</v>
      </c>
      <c r="M2806" t="s">
        <v>12</v>
      </c>
      <c r="N2806" s="2">
        <v>2000</v>
      </c>
      <c r="O2806" s="2">
        <v>0</v>
      </c>
      <c r="P2806" s="2">
        <v>-2000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</row>
    <row r="2807" spans="1:23" outlineLevel="2" x14ac:dyDescent="0.2">
      <c r="A2807" t="s">
        <v>999</v>
      </c>
      <c r="B2807" t="s">
        <v>53</v>
      </c>
      <c r="C2807" t="s">
        <v>54</v>
      </c>
      <c r="D2807" t="s">
        <v>55</v>
      </c>
      <c r="E2807" t="s">
        <v>56</v>
      </c>
      <c r="F2807" t="s">
        <v>1196</v>
      </c>
      <c r="G2807" t="s">
        <v>1197</v>
      </c>
      <c r="H2807" t="s">
        <v>1198</v>
      </c>
      <c r="I2807" t="s">
        <v>1199</v>
      </c>
      <c r="J2807" t="s">
        <v>1000</v>
      </c>
      <c r="K2807" t="s">
        <v>1003</v>
      </c>
      <c r="L2807" t="s">
        <v>1200</v>
      </c>
      <c r="M2807" t="s">
        <v>12</v>
      </c>
      <c r="N2807" s="2">
        <v>0</v>
      </c>
      <c r="O2807" s="2">
        <v>9533.74</v>
      </c>
      <c r="P2807" s="2">
        <v>0</v>
      </c>
      <c r="Q2807" s="2">
        <v>9533.74</v>
      </c>
      <c r="R2807" s="2">
        <v>0</v>
      </c>
      <c r="S2807" s="2">
        <v>8471.75</v>
      </c>
      <c r="T2807" s="2">
        <v>0</v>
      </c>
      <c r="U2807" s="2">
        <v>1061.99</v>
      </c>
      <c r="V2807" s="2">
        <v>9533.74</v>
      </c>
      <c r="W2807" s="2">
        <v>1061.99</v>
      </c>
    </row>
    <row r="2808" spans="1:23" outlineLevel="2" x14ac:dyDescent="0.2">
      <c r="A2808" t="s">
        <v>999</v>
      </c>
      <c r="B2808" t="s">
        <v>53</v>
      </c>
      <c r="C2808" t="s">
        <v>54</v>
      </c>
      <c r="D2808" t="s">
        <v>55</v>
      </c>
      <c r="E2808" t="s">
        <v>56</v>
      </c>
      <c r="F2808" t="s">
        <v>1196</v>
      </c>
      <c r="G2808" t="s">
        <v>1197</v>
      </c>
      <c r="H2808" t="s">
        <v>1198</v>
      </c>
      <c r="I2808" t="s">
        <v>1199</v>
      </c>
      <c r="J2808" t="s">
        <v>1000</v>
      </c>
      <c r="K2808" t="s">
        <v>1013</v>
      </c>
      <c r="L2808" t="s">
        <v>1201</v>
      </c>
      <c r="M2808" t="s">
        <v>12</v>
      </c>
      <c r="N2808" s="2">
        <v>0</v>
      </c>
      <c r="O2808" s="2">
        <v>0</v>
      </c>
      <c r="P2808" s="2">
        <v>4188</v>
      </c>
      <c r="Q2808" s="2">
        <v>4188</v>
      </c>
      <c r="R2808" s="2">
        <v>0</v>
      </c>
      <c r="S2808" s="2">
        <v>2688</v>
      </c>
      <c r="T2808" s="2">
        <v>0</v>
      </c>
      <c r="U2808" s="2">
        <v>1500</v>
      </c>
      <c r="V2808" s="2">
        <v>4188</v>
      </c>
      <c r="W2808" s="2">
        <v>1500</v>
      </c>
    </row>
    <row r="2809" spans="1:23" outlineLevel="2" x14ac:dyDescent="0.2">
      <c r="A2809" t="s">
        <v>999</v>
      </c>
      <c r="B2809" t="s">
        <v>53</v>
      </c>
      <c r="C2809" t="s">
        <v>54</v>
      </c>
      <c r="D2809" t="s">
        <v>55</v>
      </c>
      <c r="E2809" t="s">
        <v>56</v>
      </c>
      <c r="F2809" t="s">
        <v>1196</v>
      </c>
      <c r="G2809" t="s">
        <v>1197</v>
      </c>
      <c r="H2809" t="s">
        <v>1202</v>
      </c>
      <c r="I2809" t="s">
        <v>1203</v>
      </c>
      <c r="J2809" t="s">
        <v>1000</v>
      </c>
      <c r="K2809" t="s">
        <v>1104</v>
      </c>
      <c r="L2809" t="s">
        <v>1204</v>
      </c>
      <c r="M2809" t="s">
        <v>12</v>
      </c>
      <c r="N2809" s="2">
        <v>0</v>
      </c>
      <c r="O2809" s="2">
        <v>4977.49</v>
      </c>
      <c r="P2809" s="2">
        <v>4032</v>
      </c>
      <c r="Q2809" s="2">
        <v>9009.49</v>
      </c>
      <c r="R2809" s="2">
        <v>0</v>
      </c>
      <c r="S2809" s="2">
        <v>7901.6</v>
      </c>
      <c r="T2809" s="2">
        <v>4057.02</v>
      </c>
      <c r="U2809" s="2">
        <v>1107.8900000000001</v>
      </c>
      <c r="V2809" s="2">
        <v>4952.47</v>
      </c>
      <c r="W2809" s="2">
        <v>1107.8900000000001</v>
      </c>
    </row>
    <row r="2810" spans="1:23" outlineLevel="2" x14ac:dyDescent="0.2">
      <c r="A2810" t="s">
        <v>999</v>
      </c>
      <c r="B2810" t="s">
        <v>53</v>
      </c>
      <c r="C2810" t="s">
        <v>54</v>
      </c>
      <c r="D2810" t="s">
        <v>55</v>
      </c>
      <c r="E2810" t="s">
        <v>56</v>
      </c>
      <c r="F2810" t="s">
        <v>1196</v>
      </c>
      <c r="G2810" t="s">
        <v>1197</v>
      </c>
      <c r="H2810" t="s">
        <v>1202</v>
      </c>
      <c r="I2810" t="s">
        <v>1203</v>
      </c>
      <c r="J2810" t="s">
        <v>1000</v>
      </c>
      <c r="K2810" t="s">
        <v>1058</v>
      </c>
      <c r="L2810" t="s">
        <v>1205</v>
      </c>
      <c r="M2810" t="s">
        <v>12</v>
      </c>
      <c r="N2810" s="2">
        <v>255000</v>
      </c>
      <c r="O2810" s="2">
        <v>-25632</v>
      </c>
      <c r="P2810" s="2">
        <v>-79368</v>
      </c>
      <c r="Q2810" s="2">
        <v>150000</v>
      </c>
      <c r="R2810" s="2">
        <v>0</v>
      </c>
      <c r="S2810" s="2">
        <v>0</v>
      </c>
      <c r="T2810" s="2">
        <v>0</v>
      </c>
      <c r="U2810" s="2">
        <v>150000</v>
      </c>
      <c r="V2810" s="2">
        <v>150000</v>
      </c>
      <c r="W2810" s="2">
        <v>150000</v>
      </c>
    </row>
    <row r="2811" spans="1:23" outlineLevel="2" x14ac:dyDescent="0.2">
      <c r="A2811" t="s">
        <v>999</v>
      </c>
      <c r="B2811" t="s">
        <v>53</v>
      </c>
      <c r="C2811" t="s">
        <v>54</v>
      </c>
      <c r="D2811" t="s">
        <v>55</v>
      </c>
      <c r="E2811" t="s">
        <v>56</v>
      </c>
      <c r="F2811" t="s">
        <v>1196</v>
      </c>
      <c r="G2811" t="s">
        <v>1197</v>
      </c>
      <c r="H2811" t="s">
        <v>1202</v>
      </c>
      <c r="I2811" t="s">
        <v>1203</v>
      </c>
      <c r="J2811" t="s">
        <v>1000</v>
      </c>
      <c r="K2811" t="s">
        <v>1206</v>
      </c>
      <c r="L2811" t="s">
        <v>1207</v>
      </c>
      <c r="M2811" t="s">
        <v>12</v>
      </c>
      <c r="N2811" s="2">
        <v>15000</v>
      </c>
      <c r="O2811" s="2">
        <v>0</v>
      </c>
      <c r="P2811" s="2">
        <v>-15000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</row>
    <row r="2812" spans="1:23" outlineLevel="2" x14ac:dyDescent="0.2">
      <c r="A2812" t="s">
        <v>999</v>
      </c>
      <c r="B2812" t="s">
        <v>53</v>
      </c>
      <c r="C2812" t="s">
        <v>54</v>
      </c>
      <c r="D2812" t="s">
        <v>55</v>
      </c>
      <c r="E2812" t="s">
        <v>56</v>
      </c>
      <c r="F2812" t="s">
        <v>1196</v>
      </c>
      <c r="G2812" t="s">
        <v>1197</v>
      </c>
      <c r="H2812" t="s">
        <v>1202</v>
      </c>
      <c r="I2812" t="s">
        <v>1203</v>
      </c>
      <c r="J2812" t="s">
        <v>1000</v>
      </c>
      <c r="K2812" t="s">
        <v>1090</v>
      </c>
      <c r="L2812" t="s">
        <v>1208</v>
      </c>
      <c r="M2812" t="s">
        <v>12</v>
      </c>
      <c r="N2812" s="2">
        <v>100000</v>
      </c>
      <c r="O2812" s="2">
        <v>-100000</v>
      </c>
      <c r="P2812" s="2">
        <v>0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</row>
    <row r="2813" spans="1:23" outlineLevel="2" x14ac:dyDescent="0.2">
      <c r="A2813" t="s">
        <v>999</v>
      </c>
      <c r="B2813" t="s">
        <v>53</v>
      </c>
      <c r="C2813" t="s">
        <v>54</v>
      </c>
      <c r="D2813" t="s">
        <v>55</v>
      </c>
      <c r="E2813" t="s">
        <v>56</v>
      </c>
      <c r="F2813" t="s">
        <v>1196</v>
      </c>
      <c r="G2813" t="s">
        <v>1197</v>
      </c>
      <c r="H2813" t="s">
        <v>1202</v>
      </c>
      <c r="I2813" t="s">
        <v>1203</v>
      </c>
      <c r="J2813" t="s">
        <v>1000</v>
      </c>
      <c r="K2813" t="s">
        <v>1003</v>
      </c>
      <c r="L2813" t="s">
        <v>1200</v>
      </c>
      <c r="M2813" t="s">
        <v>12</v>
      </c>
      <c r="N2813" s="2">
        <v>50000</v>
      </c>
      <c r="O2813" s="2">
        <v>10754.28</v>
      </c>
      <c r="P2813" s="2">
        <v>0</v>
      </c>
      <c r="Q2813" s="2">
        <v>60754.28</v>
      </c>
      <c r="R2813" s="2">
        <v>31793.43</v>
      </c>
      <c r="S2813" s="2">
        <v>0</v>
      </c>
      <c r="T2813" s="2">
        <v>0</v>
      </c>
      <c r="U2813" s="2">
        <v>60754.28</v>
      </c>
      <c r="V2813" s="2">
        <v>60754.28</v>
      </c>
      <c r="W2813" s="2">
        <v>28960.85</v>
      </c>
    </row>
    <row r="2814" spans="1:23" outlineLevel="2" x14ac:dyDescent="0.2">
      <c r="A2814" t="s">
        <v>999</v>
      </c>
      <c r="B2814" t="s">
        <v>53</v>
      </c>
      <c r="C2814" t="s">
        <v>54</v>
      </c>
      <c r="D2814" t="s">
        <v>55</v>
      </c>
      <c r="E2814" t="s">
        <v>56</v>
      </c>
      <c r="F2814" t="s">
        <v>1196</v>
      </c>
      <c r="G2814" t="s">
        <v>1197</v>
      </c>
      <c r="H2814" t="s">
        <v>1202</v>
      </c>
      <c r="I2814" t="s">
        <v>1203</v>
      </c>
      <c r="J2814" t="s">
        <v>1000</v>
      </c>
      <c r="K2814" t="s">
        <v>1009</v>
      </c>
      <c r="L2814" t="s">
        <v>1209</v>
      </c>
      <c r="M2814" t="s">
        <v>12</v>
      </c>
      <c r="N2814" s="2">
        <v>5000</v>
      </c>
      <c r="O2814" s="2">
        <v>17663</v>
      </c>
      <c r="P2814" s="2">
        <v>0</v>
      </c>
      <c r="Q2814" s="2">
        <v>22663</v>
      </c>
      <c r="R2814" s="2">
        <v>0</v>
      </c>
      <c r="S2814" s="2">
        <v>22632.44</v>
      </c>
      <c r="T2814" s="2">
        <v>0</v>
      </c>
      <c r="U2814" s="2">
        <v>30.56</v>
      </c>
      <c r="V2814" s="2">
        <v>22663</v>
      </c>
      <c r="W2814" s="2">
        <v>30.56</v>
      </c>
    </row>
    <row r="2815" spans="1:23" outlineLevel="2" x14ac:dyDescent="0.2">
      <c r="A2815" t="s">
        <v>999</v>
      </c>
      <c r="B2815" t="s">
        <v>53</v>
      </c>
      <c r="C2815" t="s">
        <v>54</v>
      </c>
      <c r="D2815" t="s">
        <v>55</v>
      </c>
      <c r="E2815" t="s">
        <v>56</v>
      </c>
      <c r="F2815" t="s">
        <v>1196</v>
      </c>
      <c r="G2815" t="s">
        <v>1197</v>
      </c>
      <c r="H2815" t="s">
        <v>1202</v>
      </c>
      <c r="I2815" t="s">
        <v>1203</v>
      </c>
      <c r="J2815" t="s">
        <v>1000</v>
      </c>
      <c r="K2815" t="s">
        <v>1013</v>
      </c>
      <c r="L2815" t="s">
        <v>1201</v>
      </c>
      <c r="M2815" t="s">
        <v>12</v>
      </c>
      <c r="N2815" s="2">
        <v>134000</v>
      </c>
      <c r="O2815" s="2">
        <v>0</v>
      </c>
      <c r="P2815" s="2">
        <v>-134000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</row>
    <row r="2816" spans="1:23" outlineLevel="2" x14ac:dyDescent="0.2">
      <c r="A2816" t="s">
        <v>999</v>
      </c>
      <c r="B2816" t="s">
        <v>53</v>
      </c>
      <c r="C2816" t="s">
        <v>54</v>
      </c>
      <c r="D2816" t="s">
        <v>55</v>
      </c>
      <c r="E2816" t="s">
        <v>56</v>
      </c>
      <c r="F2816" t="s">
        <v>1196</v>
      </c>
      <c r="G2816" t="s">
        <v>1197</v>
      </c>
      <c r="H2816" t="s">
        <v>1202</v>
      </c>
      <c r="I2816" t="s">
        <v>1203</v>
      </c>
      <c r="J2816" t="s">
        <v>1000</v>
      </c>
      <c r="K2816" t="s">
        <v>1078</v>
      </c>
      <c r="L2816" t="s">
        <v>1210</v>
      </c>
      <c r="M2816" t="s">
        <v>12</v>
      </c>
      <c r="N2816" s="2">
        <v>30000</v>
      </c>
      <c r="O2816" s="2">
        <v>0</v>
      </c>
      <c r="P2816" s="2">
        <v>-30000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</row>
    <row r="2817" spans="1:23" outlineLevel="2" x14ac:dyDescent="0.2">
      <c r="A2817" t="s">
        <v>999</v>
      </c>
      <c r="B2817" t="s">
        <v>53</v>
      </c>
      <c r="C2817" t="s">
        <v>54</v>
      </c>
      <c r="D2817" t="s">
        <v>55</v>
      </c>
      <c r="E2817" t="s">
        <v>56</v>
      </c>
      <c r="F2817" t="s">
        <v>1196</v>
      </c>
      <c r="G2817" t="s">
        <v>1197</v>
      </c>
      <c r="H2817" t="s">
        <v>1202</v>
      </c>
      <c r="I2817" t="s">
        <v>1203</v>
      </c>
      <c r="J2817" t="s">
        <v>1000</v>
      </c>
      <c r="K2817" t="s">
        <v>1031</v>
      </c>
      <c r="L2817" t="s">
        <v>1211</v>
      </c>
      <c r="M2817" t="s">
        <v>12</v>
      </c>
      <c r="N2817" s="2">
        <v>0</v>
      </c>
      <c r="O2817" s="2">
        <v>22.51</v>
      </c>
      <c r="P2817" s="2">
        <v>336</v>
      </c>
      <c r="Q2817" s="2">
        <v>358.51</v>
      </c>
      <c r="R2817" s="2">
        <v>0</v>
      </c>
      <c r="S2817" s="2">
        <v>358.51</v>
      </c>
      <c r="T2817" s="2">
        <v>0</v>
      </c>
      <c r="U2817" s="2">
        <v>0</v>
      </c>
      <c r="V2817" s="2">
        <v>358.51</v>
      </c>
      <c r="W2817" s="2">
        <v>0</v>
      </c>
    </row>
    <row r="2818" spans="1:23" outlineLevel="2" x14ac:dyDescent="0.2">
      <c r="A2818" t="s">
        <v>999</v>
      </c>
      <c r="B2818" t="s">
        <v>53</v>
      </c>
      <c r="C2818" t="s">
        <v>54</v>
      </c>
      <c r="D2818" t="s">
        <v>55</v>
      </c>
      <c r="E2818" t="s">
        <v>56</v>
      </c>
      <c r="F2818" t="s">
        <v>1196</v>
      </c>
      <c r="G2818" t="s">
        <v>1197</v>
      </c>
      <c r="H2818" t="s">
        <v>1202</v>
      </c>
      <c r="I2818" t="s">
        <v>1203</v>
      </c>
      <c r="J2818" t="s">
        <v>1000</v>
      </c>
      <c r="K2818" t="s">
        <v>1061</v>
      </c>
      <c r="L2818" t="s">
        <v>1212</v>
      </c>
      <c r="M2818" t="s">
        <v>12</v>
      </c>
      <c r="N2818" s="2">
        <v>0</v>
      </c>
      <c r="O2818" s="2">
        <v>50000</v>
      </c>
      <c r="P2818" s="2">
        <v>-32000</v>
      </c>
      <c r="Q2818" s="2">
        <v>18000</v>
      </c>
      <c r="R2818" s="2">
        <v>10574.51</v>
      </c>
      <c r="S2818" s="2">
        <v>7425.49</v>
      </c>
      <c r="T2818" s="2">
        <v>4241.8900000000003</v>
      </c>
      <c r="U2818" s="2">
        <v>10574.51</v>
      </c>
      <c r="V2818" s="2">
        <v>13758.11</v>
      </c>
      <c r="W2818" s="2">
        <v>0</v>
      </c>
    </row>
    <row r="2819" spans="1:23" outlineLevel="2" x14ac:dyDescent="0.2">
      <c r="A2819" t="s">
        <v>999</v>
      </c>
      <c r="B2819" t="s">
        <v>53</v>
      </c>
      <c r="C2819" t="s">
        <v>54</v>
      </c>
      <c r="D2819" t="s">
        <v>55</v>
      </c>
      <c r="E2819" t="s">
        <v>56</v>
      </c>
      <c r="F2819" t="s">
        <v>1196</v>
      </c>
      <c r="G2819" t="s">
        <v>1197</v>
      </c>
      <c r="H2819" t="s">
        <v>1202</v>
      </c>
      <c r="I2819" t="s">
        <v>1203</v>
      </c>
      <c r="J2819" t="s">
        <v>1000</v>
      </c>
      <c r="K2819" t="s">
        <v>1019</v>
      </c>
      <c r="L2819" t="s">
        <v>1213</v>
      </c>
      <c r="M2819" t="s">
        <v>12</v>
      </c>
      <c r="N2819" s="2">
        <v>0</v>
      </c>
      <c r="O2819" s="2">
        <v>3248</v>
      </c>
      <c r="P2819" s="2">
        <v>0</v>
      </c>
      <c r="Q2819" s="2">
        <v>3248</v>
      </c>
      <c r="R2819" s="2">
        <v>0</v>
      </c>
      <c r="S2819" s="2">
        <v>0</v>
      </c>
      <c r="T2819" s="2">
        <v>0</v>
      </c>
      <c r="U2819" s="2">
        <v>3248</v>
      </c>
      <c r="V2819" s="2">
        <v>3248</v>
      </c>
      <c r="W2819" s="2">
        <v>3248</v>
      </c>
    </row>
    <row r="2820" spans="1:23" outlineLevel="2" x14ac:dyDescent="0.2">
      <c r="A2820" t="s">
        <v>999</v>
      </c>
      <c r="B2820" t="s">
        <v>53</v>
      </c>
      <c r="C2820" t="s">
        <v>54</v>
      </c>
      <c r="D2820" t="s">
        <v>55</v>
      </c>
      <c r="E2820" t="s">
        <v>56</v>
      </c>
      <c r="F2820" t="s">
        <v>1196</v>
      </c>
      <c r="G2820" t="s">
        <v>1197</v>
      </c>
      <c r="H2820" t="s">
        <v>1202</v>
      </c>
      <c r="I2820" t="s">
        <v>1203</v>
      </c>
      <c r="J2820" t="s">
        <v>1000</v>
      </c>
      <c r="K2820" t="s">
        <v>1092</v>
      </c>
      <c r="L2820" t="s">
        <v>1214</v>
      </c>
      <c r="M2820" t="s">
        <v>12</v>
      </c>
      <c r="N2820" s="2">
        <v>0</v>
      </c>
      <c r="O2820" s="2">
        <v>1418.64</v>
      </c>
      <c r="P2820" s="2">
        <v>0</v>
      </c>
      <c r="Q2820" s="2">
        <v>1418.64</v>
      </c>
      <c r="R2820" s="2">
        <v>0</v>
      </c>
      <c r="S2820" s="2">
        <v>0</v>
      </c>
      <c r="T2820" s="2">
        <v>0</v>
      </c>
      <c r="U2820" s="2">
        <v>1418.64</v>
      </c>
      <c r="V2820" s="2">
        <v>1418.64</v>
      </c>
      <c r="W2820" s="2">
        <v>1418.64</v>
      </c>
    </row>
    <row r="2821" spans="1:23" outlineLevel="2" x14ac:dyDescent="0.2">
      <c r="A2821" t="s">
        <v>999</v>
      </c>
      <c r="B2821" t="s">
        <v>53</v>
      </c>
      <c r="C2821" t="s">
        <v>85</v>
      </c>
      <c r="D2821" t="s">
        <v>86</v>
      </c>
      <c r="E2821" t="s">
        <v>87</v>
      </c>
      <c r="F2821" t="s">
        <v>1215</v>
      </c>
      <c r="G2821" t="s">
        <v>1216</v>
      </c>
      <c r="H2821" t="s">
        <v>1217</v>
      </c>
      <c r="I2821" t="s">
        <v>1218</v>
      </c>
      <c r="J2821" t="s">
        <v>1000</v>
      </c>
      <c r="K2821" t="s">
        <v>1017</v>
      </c>
      <c r="L2821" t="s">
        <v>1219</v>
      </c>
      <c r="M2821" t="s">
        <v>12</v>
      </c>
      <c r="N2821" s="2">
        <v>6000</v>
      </c>
      <c r="O2821" s="2">
        <v>-6000</v>
      </c>
      <c r="P2821" s="2">
        <v>0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</row>
    <row r="2822" spans="1:23" outlineLevel="2" x14ac:dyDescent="0.2">
      <c r="A2822" t="s">
        <v>999</v>
      </c>
      <c r="B2822" t="s">
        <v>39</v>
      </c>
      <c r="C2822" t="s">
        <v>58</v>
      </c>
      <c r="D2822" t="s">
        <v>59</v>
      </c>
      <c r="E2822" t="s">
        <v>60</v>
      </c>
      <c r="F2822" t="s">
        <v>1220</v>
      </c>
      <c r="G2822" t="s">
        <v>1221</v>
      </c>
      <c r="H2822" t="s">
        <v>1222</v>
      </c>
      <c r="I2822" t="s">
        <v>1223</v>
      </c>
      <c r="J2822" t="s">
        <v>1000</v>
      </c>
      <c r="K2822" t="s">
        <v>1037</v>
      </c>
      <c r="L2822" t="s">
        <v>1224</v>
      </c>
      <c r="M2822" t="s">
        <v>12</v>
      </c>
      <c r="N2822" s="2">
        <v>1000</v>
      </c>
      <c r="O2822" s="2">
        <v>0</v>
      </c>
      <c r="P2822" s="2">
        <v>-1000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0</v>
      </c>
      <c r="W2822" s="2">
        <v>0</v>
      </c>
    </row>
    <row r="2823" spans="1:23" outlineLevel="2" x14ac:dyDescent="0.2">
      <c r="A2823" t="s">
        <v>999</v>
      </c>
      <c r="B2823" t="s">
        <v>39</v>
      </c>
      <c r="C2823" t="s">
        <v>58</v>
      </c>
      <c r="D2823" t="s">
        <v>129</v>
      </c>
      <c r="E2823" t="s">
        <v>130</v>
      </c>
      <c r="F2823" t="s">
        <v>1220</v>
      </c>
      <c r="G2823" t="s">
        <v>1221</v>
      </c>
      <c r="H2823" t="s">
        <v>1222</v>
      </c>
      <c r="I2823" t="s">
        <v>1223</v>
      </c>
      <c r="J2823" t="s">
        <v>1000</v>
      </c>
      <c r="K2823" t="s">
        <v>1037</v>
      </c>
      <c r="L2823" t="s">
        <v>1224</v>
      </c>
      <c r="M2823" t="s">
        <v>12</v>
      </c>
      <c r="N2823" s="2">
        <v>2450</v>
      </c>
      <c r="O2823" s="2">
        <v>0</v>
      </c>
      <c r="P2823" s="2">
        <v>0</v>
      </c>
      <c r="Q2823" s="2">
        <v>2450</v>
      </c>
      <c r="R2823" s="2">
        <v>0</v>
      </c>
      <c r="S2823" s="2">
        <v>2450</v>
      </c>
      <c r="T2823" s="2">
        <v>2450</v>
      </c>
      <c r="U2823" s="2">
        <v>0</v>
      </c>
      <c r="V2823" s="2">
        <v>0</v>
      </c>
      <c r="W2823" s="2">
        <v>0</v>
      </c>
    </row>
    <row r="2824" spans="1:23" outlineLevel="2" x14ac:dyDescent="0.2">
      <c r="A2824" t="s">
        <v>999</v>
      </c>
      <c r="B2824" t="s">
        <v>39</v>
      </c>
      <c r="C2824" t="s">
        <v>58</v>
      </c>
      <c r="D2824" t="s">
        <v>149</v>
      </c>
      <c r="E2824" t="s">
        <v>150</v>
      </c>
      <c r="F2824" t="s">
        <v>1220</v>
      </c>
      <c r="G2824" t="s">
        <v>1221</v>
      </c>
      <c r="H2824" t="s">
        <v>1222</v>
      </c>
      <c r="I2824" t="s">
        <v>1223</v>
      </c>
      <c r="J2824" t="s">
        <v>1000</v>
      </c>
      <c r="K2824" t="s">
        <v>1037</v>
      </c>
      <c r="L2824" t="s">
        <v>1224</v>
      </c>
      <c r="M2824" t="s">
        <v>12</v>
      </c>
      <c r="N2824" s="2">
        <v>1000</v>
      </c>
      <c r="O2824" s="2">
        <v>0</v>
      </c>
      <c r="P2824" s="2">
        <v>-1000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</row>
    <row r="2825" spans="1:23" outlineLevel="2" x14ac:dyDescent="0.2">
      <c r="A2825" t="s">
        <v>999</v>
      </c>
      <c r="B2825" t="s">
        <v>39</v>
      </c>
      <c r="C2825" t="s">
        <v>58</v>
      </c>
      <c r="D2825" t="s">
        <v>145</v>
      </c>
      <c r="E2825" t="s">
        <v>146</v>
      </c>
      <c r="F2825" t="s">
        <v>1220</v>
      </c>
      <c r="G2825" t="s">
        <v>1221</v>
      </c>
      <c r="H2825" t="s">
        <v>1222</v>
      </c>
      <c r="I2825" t="s">
        <v>1223</v>
      </c>
      <c r="J2825" t="s">
        <v>1000</v>
      </c>
      <c r="K2825" t="s">
        <v>1037</v>
      </c>
      <c r="L2825" t="s">
        <v>1224</v>
      </c>
      <c r="M2825" t="s">
        <v>12</v>
      </c>
      <c r="N2825" s="2">
        <v>1500</v>
      </c>
      <c r="O2825" s="2">
        <v>0</v>
      </c>
      <c r="P2825" s="2">
        <v>-1500</v>
      </c>
      <c r="Q2825" s="2">
        <v>0</v>
      </c>
      <c r="R2825" s="2">
        <v>0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</row>
    <row r="2826" spans="1:23" outlineLevel="2" x14ac:dyDescent="0.2">
      <c r="A2826" t="s">
        <v>999</v>
      </c>
      <c r="B2826" t="s">
        <v>39</v>
      </c>
      <c r="C2826" t="s">
        <v>58</v>
      </c>
      <c r="D2826" t="s">
        <v>143</v>
      </c>
      <c r="E2826" t="s">
        <v>144</v>
      </c>
      <c r="F2826" t="s">
        <v>1220</v>
      </c>
      <c r="G2826" t="s">
        <v>1221</v>
      </c>
      <c r="H2826" t="s">
        <v>1222</v>
      </c>
      <c r="I2826" t="s">
        <v>1223</v>
      </c>
      <c r="J2826" t="s">
        <v>1000</v>
      </c>
      <c r="K2826" t="s">
        <v>1037</v>
      </c>
      <c r="L2826" t="s">
        <v>1224</v>
      </c>
      <c r="M2826" t="s">
        <v>12</v>
      </c>
      <c r="N2826" s="2">
        <v>4255</v>
      </c>
      <c r="O2826" s="2">
        <v>0</v>
      </c>
      <c r="P2826" s="2">
        <v>-4255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</row>
    <row r="2827" spans="1:23" outlineLevel="2" x14ac:dyDescent="0.2">
      <c r="A2827" t="s">
        <v>999</v>
      </c>
      <c r="B2827" t="s">
        <v>39</v>
      </c>
      <c r="C2827" t="s">
        <v>58</v>
      </c>
      <c r="D2827" t="s">
        <v>135</v>
      </c>
      <c r="E2827" t="s">
        <v>136</v>
      </c>
      <c r="F2827" t="s">
        <v>1220</v>
      </c>
      <c r="G2827" t="s">
        <v>1221</v>
      </c>
      <c r="H2827" t="s">
        <v>1222</v>
      </c>
      <c r="I2827" t="s">
        <v>1223</v>
      </c>
      <c r="J2827" t="s">
        <v>1000</v>
      </c>
      <c r="K2827" t="s">
        <v>1037</v>
      </c>
      <c r="L2827" t="s">
        <v>1224</v>
      </c>
      <c r="M2827" t="s">
        <v>12</v>
      </c>
      <c r="N2827" s="2">
        <v>2014.23</v>
      </c>
      <c r="O2827" s="2">
        <v>0</v>
      </c>
      <c r="P2827" s="2">
        <v>-2014.23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</row>
    <row r="2828" spans="1:23" outlineLevel="2" x14ac:dyDescent="0.2">
      <c r="A2828" t="s">
        <v>999</v>
      </c>
      <c r="B2828" t="s">
        <v>39</v>
      </c>
      <c r="C2828" t="s">
        <v>58</v>
      </c>
      <c r="D2828" t="s">
        <v>147</v>
      </c>
      <c r="E2828" t="s">
        <v>148</v>
      </c>
      <c r="F2828" t="s">
        <v>1220</v>
      </c>
      <c r="G2828" t="s">
        <v>1221</v>
      </c>
      <c r="H2828" t="s">
        <v>1222</v>
      </c>
      <c r="I2828" t="s">
        <v>1223</v>
      </c>
      <c r="J2828" t="s">
        <v>1000</v>
      </c>
      <c r="K2828" t="s">
        <v>1037</v>
      </c>
      <c r="L2828" t="s">
        <v>1224</v>
      </c>
      <c r="M2828" t="s">
        <v>12</v>
      </c>
      <c r="N2828" s="2">
        <v>2000</v>
      </c>
      <c r="O2828" s="2">
        <v>0</v>
      </c>
      <c r="P2828" s="2">
        <v>-2000</v>
      </c>
      <c r="Q2828" s="2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v>0</v>
      </c>
      <c r="W2828" s="2">
        <v>0</v>
      </c>
    </row>
    <row r="2829" spans="1:23" outlineLevel="2" x14ac:dyDescent="0.2">
      <c r="A2829" t="s">
        <v>999</v>
      </c>
      <c r="B2829" t="s">
        <v>39</v>
      </c>
      <c r="C2829" t="s">
        <v>58</v>
      </c>
      <c r="D2829" t="s">
        <v>147</v>
      </c>
      <c r="E2829" t="s">
        <v>148</v>
      </c>
      <c r="F2829" t="s">
        <v>1220</v>
      </c>
      <c r="G2829" t="s">
        <v>1221</v>
      </c>
      <c r="H2829" t="s">
        <v>1222</v>
      </c>
      <c r="I2829" t="s">
        <v>1223</v>
      </c>
      <c r="J2829" t="s">
        <v>1000</v>
      </c>
      <c r="K2829" t="s">
        <v>1039</v>
      </c>
      <c r="L2829" t="s">
        <v>1225</v>
      </c>
      <c r="M2829" t="s">
        <v>12</v>
      </c>
      <c r="N2829" s="2">
        <v>12000</v>
      </c>
      <c r="O2829" s="2">
        <v>0</v>
      </c>
      <c r="P2829" s="2">
        <v>-12000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</row>
    <row r="2830" spans="1:23" outlineLevel="2" x14ac:dyDescent="0.2">
      <c r="A2830" t="s">
        <v>999</v>
      </c>
      <c r="B2830" t="s">
        <v>39</v>
      </c>
      <c r="C2830" t="s">
        <v>58</v>
      </c>
      <c r="D2830" t="s">
        <v>145</v>
      </c>
      <c r="E2830" t="s">
        <v>146</v>
      </c>
      <c r="F2830" t="s">
        <v>1220</v>
      </c>
      <c r="G2830" t="s">
        <v>1221</v>
      </c>
      <c r="H2830" t="s">
        <v>1222</v>
      </c>
      <c r="I2830" t="s">
        <v>1223</v>
      </c>
      <c r="J2830" t="s">
        <v>1000</v>
      </c>
      <c r="K2830" t="s">
        <v>1039</v>
      </c>
      <c r="L2830" t="s">
        <v>1225</v>
      </c>
      <c r="M2830" t="s">
        <v>12</v>
      </c>
      <c r="N2830" s="2">
        <v>15500</v>
      </c>
      <c r="O2830" s="2">
        <v>0</v>
      </c>
      <c r="P2830" s="2">
        <v>-15500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0</v>
      </c>
    </row>
    <row r="2831" spans="1:23" outlineLevel="2" x14ac:dyDescent="0.2">
      <c r="A2831" t="s">
        <v>999</v>
      </c>
      <c r="B2831" t="s">
        <v>39</v>
      </c>
      <c r="C2831" t="s">
        <v>58</v>
      </c>
      <c r="D2831" t="s">
        <v>139</v>
      </c>
      <c r="E2831" t="s">
        <v>140</v>
      </c>
      <c r="F2831" t="s">
        <v>1220</v>
      </c>
      <c r="G2831" t="s">
        <v>1221</v>
      </c>
      <c r="H2831" t="s">
        <v>1222</v>
      </c>
      <c r="I2831" t="s">
        <v>1223</v>
      </c>
      <c r="J2831" t="s">
        <v>1000</v>
      </c>
      <c r="K2831" t="s">
        <v>1039</v>
      </c>
      <c r="L2831" t="s">
        <v>1225</v>
      </c>
      <c r="M2831" t="s">
        <v>12</v>
      </c>
      <c r="N2831" s="2">
        <v>12500</v>
      </c>
      <c r="O2831" s="2">
        <v>0</v>
      </c>
      <c r="P2831" s="2">
        <v>-12500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</row>
    <row r="2832" spans="1:23" outlineLevel="2" x14ac:dyDescent="0.2">
      <c r="A2832" t="s">
        <v>999</v>
      </c>
      <c r="B2832" t="s">
        <v>39</v>
      </c>
      <c r="C2832" t="s">
        <v>58</v>
      </c>
      <c r="D2832" t="s">
        <v>149</v>
      </c>
      <c r="E2832" t="s">
        <v>150</v>
      </c>
      <c r="F2832" t="s">
        <v>1220</v>
      </c>
      <c r="G2832" t="s">
        <v>1221</v>
      </c>
      <c r="H2832" t="s">
        <v>1222</v>
      </c>
      <c r="I2832" t="s">
        <v>1223</v>
      </c>
      <c r="J2832" t="s">
        <v>1000</v>
      </c>
      <c r="K2832" t="s">
        <v>1039</v>
      </c>
      <c r="L2832" t="s">
        <v>1225</v>
      </c>
      <c r="M2832" t="s">
        <v>12</v>
      </c>
      <c r="N2832" s="2">
        <v>2000</v>
      </c>
      <c r="O2832" s="2">
        <v>0</v>
      </c>
      <c r="P2832" s="2">
        <v>-2000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</row>
    <row r="2833" spans="1:23" outlineLevel="2" x14ac:dyDescent="0.2">
      <c r="A2833" t="s">
        <v>999</v>
      </c>
      <c r="B2833" t="s">
        <v>39</v>
      </c>
      <c r="C2833" t="s">
        <v>58</v>
      </c>
      <c r="D2833" t="s">
        <v>143</v>
      </c>
      <c r="E2833" t="s">
        <v>144</v>
      </c>
      <c r="F2833" t="s">
        <v>1220</v>
      </c>
      <c r="G2833" t="s">
        <v>1221</v>
      </c>
      <c r="H2833" t="s">
        <v>1222</v>
      </c>
      <c r="I2833" t="s">
        <v>1223</v>
      </c>
      <c r="J2833" t="s">
        <v>1000</v>
      </c>
      <c r="K2833" t="s">
        <v>1068</v>
      </c>
      <c r="L2833" t="s">
        <v>1226</v>
      </c>
      <c r="M2833" t="s">
        <v>12</v>
      </c>
      <c r="N2833" s="2">
        <v>2300</v>
      </c>
      <c r="O2833" s="2">
        <v>0</v>
      </c>
      <c r="P2833" s="2">
        <v>-2300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</row>
    <row r="2834" spans="1:23" outlineLevel="2" x14ac:dyDescent="0.2">
      <c r="A2834" t="s">
        <v>999</v>
      </c>
      <c r="B2834" t="s">
        <v>39</v>
      </c>
      <c r="C2834" t="s">
        <v>58</v>
      </c>
      <c r="D2834" t="s">
        <v>59</v>
      </c>
      <c r="E2834" t="s">
        <v>60</v>
      </c>
      <c r="F2834" t="s">
        <v>1220</v>
      </c>
      <c r="G2834" t="s">
        <v>1221</v>
      </c>
      <c r="H2834" t="s">
        <v>1222</v>
      </c>
      <c r="I2834" t="s">
        <v>1223</v>
      </c>
      <c r="J2834" t="s">
        <v>1000</v>
      </c>
      <c r="K2834" t="s">
        <v>1090</v>
      </c>
      <c r="L2834" t="s">
        <v>1227</v>
      </c>
      <c r="M2834" t="s">
        <v>12</v>
      </c>
      <c r="N2834" s="2">
        <v>14000</v>
      </c>
      <c r="O2834" s="2">
        <v>0</v>
      </c>
      <c r="P2834" s="2">
        <v>-14000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</row>
    <row r="2835" spans="1:23" outlineLevel="2" x14ac:dyDescent="0.2">
      <c r="A2835" t="s">
        <v>999</v>
      </c>
      <c r="B2835" t="s">
        <v>39</v>
      </c>
      <c r="C2835" t="s">
        <v>58</v>
      </c>
      <c r="D2835" t="s">
        <v>143</v>
      </c>
      <c r="E2835" t="s">
        <v>144</v>
      </c>
      <c r="F2835" t="s">
        <v>1220</v>
      </c>
      <c r="G2835" t="s">
        <v>1221</v>
      </c>
      <c r="H2835" t="s">
        <v>1222</v>
      </c>
      <c r="I2835" t="s">
        <v>1223</v>
      </c>
      <c r="J2835" t="s">
        <v>1000</v>
      </c>
      <c r="K2835" t="s">
        <v>1090</v>
      </c>
      <c r="L2835" t="s">
        <v>1227</v>
      </c>
      <c r="M2835" t="s">
        <v>12</v>
      </c>
      <c r="N2835" s="2">
        <v>0</v>
      </c>
      <c r="O2835" s="2">
        <v>5943.53</v>
      </c>
      <c r="P2835" s="2">
        <v>0</v>
      </c>
      <c r="Q2835" s="2">
        <v>5943.53</v>
      </c>
      <c r="R2835" s="2">
        <v>0</v>
      </c>
      <c r="S2835" s="2">
        <v>5600</v>
      </c>
      <c r="T2835" s="2">
        <v>0</v>
      </c>
      <c r="U2835" s="2">
        <v>343.53</v>
      </c>
      <c r="V2835" s="2">
        <v>5943.53</v>
      </c>
      <c r="W2835" s="2">
        <v>343.53</v>
      </c>
    </row>
    <row r="2836" spans="1:23" outlineLevel="2" x14ac:dyDescent="0.2">
      <c r="A2836" t="s">
        <v>999</v>
      </c>
      <c r="B2836" t="s">
        <v>39</v>
      </c>
      <c r="C2836" t="s">
        <v>58</v>
      </c>
      <c r="D2836" t="s">
        <v>129</v>
      </c>
      <c r="E2836" t="s">
        <v>130</v>
      </c>
      <c r="F2836" t="s">
        <v>1220</v>
      </c>
      <c r="G2836" t="s">
        <v>1221</v>
      </c>
      <c r="H2836" t="s">
        <v>1222</v>
      </c>
      <c r="I2836" t="s">
        <v>1223</v>
      </c>
      <c r="J2836" t="s">
        <v>1000</v>
      </c>
      <c r="K2836" t="s">
        <v>1090</v>
      </c>
      <c r="L2836" t="s">
        <v>1227</v>
      </c>
      <c r="M2836" t="s">
        <v>12</v>
      </c>
      <c r="N2836" s="2">
        <v>18000</v>
      </c>
      <c r="O2836" s="2">
        <v>0</v>
      </c>
      <c r="P2836" s="2">
        <v>-4500</v>
      </c>
      <c r="Q2836" s="2">
        <v>13500</v>
      </c>
      <c r="R2836" s="2">
        <v>0</v>
      </c>
      <c r="S2836" s="2">
        <v>13500</v>
      </c>
      <c r="T2836" s="2">
        <v>5300.96</v>
      </c>
      <c r="U2836" s="2">
        <v>0</v>
      </c>
      <c r="V2836" s="2">
        <v>8199.0400000000009</v>
      </c>
      <c r="W2836" s="2">
        <v>0</v>
      </c>
    </row>
    <row r="2837" spans="1:23" outlineLevel="2" x14ac:dyDescent="0.2">
      <c r="A2837" t="s">
        <v>999</v>
      </c>
      <c r="B2837" t="s">
        <v>39</v>
      </c>
      <c r="C2837" t="s">
        <v>58</v>
      </c>
      <c r="D2837" t="s">
        <v>143</v>
      </c>
      <c r="E2837" t="s">
        <v>144</v>
      </c>
      <c r="F2837" t="s">
        <v>1220</v>
      </c>
      <c r="G2837" t="s">
        <v>1221</v>
      </c>
      <c r="H2837" t="s">
        <v>1222</v>
      </c>
      <c r="I2837" t="s">
        <v>1223</v>
      </c>
      <c r="J2837" t="s">
        <v>1000</v>
      </c>
      <c r="K2837" t="s">
        <v>1228</v>
      </c>
      <c r="L2837" t="s">
        <v>1229</v>
      </c>
      <c r="M2837" t="s">
        <v>12</v>
      </c>
      <c r="N2837" s="2">
        <v>6745</v>
      </c>
      <c r="O2837" s="2">
        <v>0</v>
      </c>
      <c r="P2837" s="2">
        <v>-6745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</row>
    <row r="2838" spans="1:23" outlineLevel="2" x14ac:dyDescent="0.2">
      <c r="A2838" t="s">
        <v>999</v>
      </c>
      <c r="B2838" t="s">
        <v>39</v>
      </c>
      <c r="C2838" t="s">
        <v>58</v>
      </c>
      <c r="D2838" t="s">
        <v>135</v>
      </c>
      <c r="E2838" t="s">
        <v>136</v>
      </c>
      <c r="F2838" t="s">
        <v>1220</v>
      </c>
      <c r="G2838" t="s">
        <v>1221</v>
      </c>
      <c r="H2838" t="s">
        <v>1222</v>
      </c>
      <c r="I2838" t="s">
        <v>1223</v>
      </c>
      <c r="J2838" t="s">
        <v>1000</v>
      </c>
      <c r="K2838" t="s">
        <v>1011</v>
      </c>
      <c r="L2838" t="s">
        <v>1230</v>
      </c>
      <c r="M2838" t="s">
        <v>12</v>
      </c>
      <c r="N2838" s="2">
        <v>1040</v>
      </c>
      <c r="O2838" s="2">
        <v>0</v>
      </c>
      <c r="P2838" s="2">
        <v>-1040</v>
      </c>
      <c r="Q2838" s="2">
        <v>0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</row>
    <row r="2839" spans="1:23" outlineLevel="2" x14ac:dyDescent="0.2">
      <c r="A2839" t="s">
        <v>999</v>
      </c>
      <c r="B2839" t="s">
        <v>39</v>
      </c>
      <c r="C2839" t="s">
        <v>58</v>
      </c>
      <c r="D2839" t="s">
        <v>143</v>
      </c>
      <c r="E2839" t="s">
        <v>144</v>
      </c>
      <c r="F2839" t="s">
        <v>1220</v>
      </c>
      <c r="G2839" t="s">
        <v>1221</v>
      </c>
      <c r="H2839" t="s">
        <v>1222</v>
      </c>
      <c r="I2839" t="s">
        <v>1223</v>
      </c>
      <c r="J2839" t="s">
        <v>1000</v>
      </c>
      <c r="K2839" t="s">
        <v>1011</v>
      </c>
      <c r="L2839" t="s">
        <v>1230</v>
      </c>
      <c r="M2839" t="s">
        <v>12</v>
      </c>
      <c r="N2839" s="2">
        <v>2700</v>
      </c>
      <c r="O2839" s="2">
        <v>0</v>
      </c>
      <c r="P2839" s="2">
        <v>-2700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</row>
    <row r="2840" spans="1:23" outlineLevel="2" x14ac:dyDescent="0.2">
      <c r="A2840" t="s">
        <v>999</v>
      </c>
      <c r="B2840" t="s">
        <v>39</v>
      </c>
      <c r="C2840" t="s">
        <v>58</v>
      </c>
      <c r="D2840" t="s">
        <v>149</v>
      </c>
      <c r="E2840" t="s">
        <v>150</v>
      </c>
      <c r="F2840" t="s">
        <v>1220</v>
      </c>
      <c r="G2840" t="s">
        <v>1221</v>
      </c>
      <c r="H2840" t="s">
        <v>1222</v>
      </c>
      <c r="I2840" t="s">
        <v>1223</v>
      </c>
      <c r="J2840" t="s">
        <v>1000</v>
      </c>
      <c r="K2840" t="s">
        <v>1011</v>
      </c>
      <c r="L2840" t="s">
        <v>1230</v>
      </c>
      <c r="M2840" t="s">
        <v>12</v>
      </c>
      <c r="N2840" s="2">
        <v>5000</v>
      </c>
      <c r="O2840" s="2">
        <v>0</v>
      </c>
      <c r="P2840" s="2">
        <v>-5000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</row>
    <row r="2841" spans="1:23" outlineLevel="2" x14ac:dyDescent="0.2">
      <c r="A2841" t="s">
        <v>999</v>
      </c>
      <c r="B2841" t="s">
        <v>39</v>
      </c>
      <c r="C2841" t="s">
        <v>58</v>
      </c>
      <c r="D2841" t="s">
        <v>137</v>
      </c>
      <c r="E2841" t="s">
        <v>138</v>
      </c>
      <c r="F2841" t="s">
        <v>1220</v>
      </c>
      <c r="G2841" t="s">
        <v>1221</v>
      </c>
      <c r="H2841" t="s">
        <v>1222</v>
      </c>
      <c r="I2841" t="s">
        <v>1223</v>
      </c>
      <c r="J2841" t="s">
        <v>1000</v>
      </c>
      <c r="K2841" t="s">
        <v>1017</v>
      </c>
      <c r="L2841" t="s">
        <v>1231</v>
      </c>
      <c r="M2841" t="s">
        <v>12</v>
      </c>
      <c r="N2841" s="2">
        <v>12500</v>
      </c>
      <c r="O2841" s="2">
        <v>-4500</v>
      </c>
      <c r="P2841" s="2">
        <v>-8000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</row>
    <row r="2842" spans="1:23" outlineLevel="2" x14ac:dyDescent="0.2">
      <c r="A2842" t="s">
        <v>999</v>
      </c>
      <c r="B2842" t="s">
        <v>39</v>
      </c>
      <c r="C2842" t="s">
        <v>58</v>
      </c>
      <c r="D2842" t="s">
        <v>139</v>
      </c>
      <c r="E2842" t="s">
        <v>140</v>
      </c>
      <c r="F2842" t="s">
        <v>1220</v>
      </c>
      <c r="G2842" t="s">
        <v>1221</v>
      </c>
      <c r="H2842" t="s">
        <v>1222</v>
      </c>
      <c r="I2842" t="s">
        <v>1223</v>
      </c>
      <c r="J2842" t="s">
        <v>1000</v>
      </c>
      <c r="K2842" t="s">
        <v>1078</v>
      </c>
      <c r="L2842" t="s">
        <v>1232</v>
      </c>
      <c r="M2842" t="s">
        <v>12</v>
      </c>
      <c r="N2842" s="2">
        <v>15700</v>
      </c>
      <c r="O2842" s="2">
        <v>0</v>
      </c>
      <c r="P2842" s="2">
        <v>-15700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</row>
    <row r="2843" spans="1:23" outlineLevel="2" x14ac:dyDescent="0.2">
      <c r="A2843" t="s">
        <v>999</v>
      </c>
      <c r="B2843" t="s">
        <v>39</v>
      </c>
      <c r="C2843" t="s">
        <v>58</v>
      </c>
      <c r="D2843" t="s">
        <v>135</v>
      </c>
      <c r="E2843" t="s">
        <v>136</v>
      </c>
      <c r="F2843" t="s">
        <v>1220</v>
      </c>
      <c r="G2843" t="s">
        <v>1221</v>
      </c>
      <c r="H2843" t="s">
        <v>1222</v>
      </c>
      <c r="I2843" t="s">
        <v>1223</v>
      </c>
      <c r="J2843" t="s">
        <v>1000</v>
      </c>
      <c r="K2843" t="s">
        <v>1078</v>
      </c>
      <c r="L2843" t="s">
        <v>1232</v>
      </c>
      <c r="M2843" t="s">
        <v>12</v>
      </c>
      <c r="N2843" s="2">
        <v>5000</v>
      </c>
      <c r="O2843" s="2">
        <v>0</v>
      </c>
      <c r="P2843" s="2">
        <v>-5000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</row>
    <row r="2844" spans="1:23" outlineLevel="2" x14ac:dyDescent="0.2">
      <c r="A2844" t="s">
        <v>999</v>
      </c>
      <c r="B2844" t="s">
        <v>39</v>
      </c>
      <c r="C2844" t="s">
        <v>58</v>
      </c>
      <c r="D2844" t="s">
        <v>143</v>
      </c>
      <c r="E2844" t="s">
        <v>144</v>
      </c>
      <c r="F2844" t="s">
        <v>1220</v>
      </c>
      <c r="G2844" t="s">
        <v>1221</v>
      </c>
      <c r="H2844" t="s">
        <v>1222</v>
      </c>
      <c r="I2844" t="s">
        <v>1223</v>
      </c>
      <c r="J2844" t="s">
        <v>1000</v>
      </c>
      <c r="K2844" t="s">
        <v>1078</v>
      </c>
      <c r="L2844" t="s">
        <v>1232</v>
      </c>
      <c r="M2844" t="s">
        <v>12</v>
      </c>
      <c r="N2844" s="2">
        <v>7000</v>
      </c>
      <c r="O2844" s="2">
        <v>0</v>
      </c>
      <c r="P2844" s="2">
        <v>-7000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</row>
    <row r="2845" spans="1:23" outlineLevel="2" x14ac:dyDescent="0.2">
      <c r="A2845" t="s">
        <v>999</v>
      </c>
      <c r="B2845" t="s">
        <v>39</v>
      </c>
      <c r="C2845" t="s">
        <v>58</v>
      </c>
      <c r="D2845" t="s">
        <v>145</v>
      </c>
      <c r="E2845" t="s">
        <v>146</v>
      </c>
      <c r="F2845" t="s">
        <v>1220</v>
      </c>
      <c r="G2845" t="s">
        <v>1221</v>
      </c>
      <c r="H2845" t="s">
        <v>1222</v>
      </c>
      <c r="I2845" t="s">
        <v>1223</v>
      </c>
      <c r="J2845" t="s">
        <v>1000</v>
      </c>
      <c r="K2845" t="s">
        <v>1078</v>
      </c>
      <c r="L2845" t="s">
        <v>1232</v>
      </c>
      <c r="M2845" t="s">
        <v>12</v>
      </c>
      <c r="N2845" s="2">
        <v>5000</v>
      </c>
      <c r="O2845" s="2">
        <v>0</v>
      </c>
      <c r="P2845" s="2">
        <v>-5000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</row>
    <row r="2846" spans="1:23" outlineLevel="2" x14ac:dyDescent="0.2">
      <c r="A2846" t="s">
        <v>999</v>
      </c>
      <c r="B2846" t="s">
        <v>39</v>
      </c>
      <c r="C2846" t="s">
        <v>58</v>
      </c>
      <c r="D2846" t="s">
        <v>149</v>
      </c>
      <c r="E2846" t="s">
        <v>150</v>
      </c>
      <c r="F2846" t="s">
        <v>1220</v>
      </c>
      <c r="G2846" t="s">
        <v>1221</v>
      </c>
      <c r="H2846" t="s">
        <v>1222</v>
      </c>
      <c r="I2846" t="s">
        <v>1223</v>
      </c>
      <c r="J2846" t="s">
        <v>1000</v>
      </c>
      <c r="K2846" t="s">
        <v>1078</v>
      </c>
      <c r="L2846" t="s">
        <v>1232</v>
      </c>
      <c r="M2846" t="s">
        <v>12</v>
      </c>
      <c r="N2846" s="2">
        <v>11000</v>
      </c>
      <c r="O2846" s="2">
        <v>0</v>
      </c>
      <c r="P2846" s="2">
        <v>-11000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</row>
    <row r="2847" spans="1:23" outlineLevel="2" x14ac:dyDescent="0.2">
      <c r="A2847" t="s">
        <v>999</v>
      </c>
      <c r="B2847" t="s">
        <v>39</v>
      </c>
      <c r="C2847" t="s">
        <v>58</v>
      </c>
      <c r="D2847" t="s">
        <v>59</v>
      </c>
      <c r="E2847" t="s">
        <v>60</v>
      </c>
      <c r="F2847" t="s">
        <v>1220</v>
      </c>
      <c r="G2847" t="s">
        <v>1221</v>
      </c>
      <c r="H2847" t="s">
        <v>1222</v>
      </c>
      <c r="I2847" t="s">
        <v>1223</v>
      </c>
      <c r="J2847" t="s">
        <v>1000</v>
      </c>
      <c r="K2847" t="s">
        <v>1078</v>
      </c>
      <c r="L2847" t="s">
        <v>1232</v>
      </c>
      <c r="M2847" t="s">
        <v>12</v>
      </c>
      <c r="N2847" s="2">
        <v>8000</v>
      </c>
      <c r="O2847" s="2">
        <v>0</v>
      </c>
      <c r="P2847" s="2">
        <v>-8000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</row>
    <row r="2848" spans="1:23" outlineLevel="2" x14ac:dyDescent="0.2">
      <c r="A2848" t="s">
        <v>999</v>
      </c>
      <c r="B2848" t="s">
        <v>39</v>
      </c>
      <c r="C2848" t="s">
        <v>58</v>
      </c>
      <c r="D2848" t="s">
        <v>147</v>
      </c>
      <c r="E2848" t="s">
        <v>148</v>
      </c>
      <c r="F2848" t="s">
        <v>1220</v>
      </c>
      <c r="G2848" t="s">
        <v>1221</v>
      </c>
      <c r="H2848" t="s">
        <v>1222</v>
      </c>
      <c r="I2848" t="s">
        <v>1223</v>
      </c>
      <c r="J2848" t="s">
        <v>1000</v>
      </c>
      <c r="K2848" t="s">
        <v>1078</v>
      </c>
      <c r="L2848" t="s">
        <v>1232</v>
      </c>
      <c r="M2848" t="s">
        <v>12</v>
      </c>
      <c r="N2848" s="2">
        <v>5000</v>
      </c>
      <c r="O2848" s="2">
        <v>0</v>
      </c>
      <c r="P2848" s="2">
        <v>-5000</v>
      </c>
      <c r="Q2848" s="2">
        <v>0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2">
        <v>0</v>
      </c>
    </row>
    <row r="2849" spans="1:23" outlineLevel="2" x14ac:dyDescent="0.2">
      <c r="A2849" t="s">
        <v>999</v>
      </c>
      <c r="B2849" t="s">
        <v>39</v>
      </c>
      <c r="C2849" t="s">
        <v>58</v>
      </c>
      <c r="D2849" t="s">
        <v>129</v>
      </c>
      <c r="E2849" t="s">
        <v>130</v>
      </c>
      <c r="F2849" t="s">
        <v>1220</v>
      </c>
      <c r="G2849" t="s">
        <v>1221</v>
      </c>
      <c r="H2849" t="s">
        <v>1222</v>
      </c>
      <c r="I2849" t="s">
        <v>1223</v>
      </c>
      <c r="J2849" t="s">
        <v>1000</v>
      </c>
      <c r="K2849" t="s">
        <v>1078</v>
      </c>
      <c r="L2849" t="s">
        <v>1232</v>
      </c>
      <c r="M2849" t="s">
        <v>12</v>
      </c>
      <c r="N2849" s="2">
        <v>20000</v>
      </c>
      <c r="O2849" s="2">
        <v>0</v>
      </c>
      <c r="P2849" s="2">
        <v>-20000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</row>
    <row r="2850" spans="1:23" outlineLevel="2" x14ac:dyDescent="0.2">
      <c r="A2850" t="s">
        <v>999</v>
      </c>
      <c r="B2850" t="s">
        <v>39</v>
      </c>
      <c r="C2850" t="s">
        <v>58</v>
      </c>
      <c r="D2850" t="s">
        <v>139</v>
      </c>
      <c r="E2850" t="s">
        <v>140</v>
      </c>
      <c r="F2850" t="s">
        <v>1220</v>
      </c>
      <c r="G2850" t="s">
        <v>1221</v>
      </c>
      <c r="H2850" t="s">
        <v>1222</v>
      </c>
      <c r="I2850" t="s">
        <v>1223</v>
      </c>
      <c r="J2850" t="s">
        <v>1000</v>
      </c>
      <c r="K2850" t="s">
        <v>1019</v>
      </c>
      <c r="L2850" t="s">
        <v>1233</v>
      </c>
      <c r="M2850" t="s">
        <v>12</v>
      </c>
      <c r="N2850" s="2">
        <v>1000</v>
      </c>
      <c r="O2850" s="2">
        <v>0</v>
      </c>
      <c r="P2850" s="2">
        <v>-1000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</row>
    <row r="2851" spans="1:23" outlineLevel="2" x14ac:dyDescent="0.2">
      <c r="A2851" t="s">
        <v>999</v>
      </c>
      <c r="B2851" t="s">
        <v>39</v>
      </c>
      <c r="C2851" t="s">
        <v>58</v>
      </c>
      <c r="D2851" t="s">
        <v>137</v>
      </c>
      <c r="E2851" t="s">
        <v>138</v>
      </c>
      <c r="F2851" t="s">
        <v>1220</v>
      </c>
      <c r="G2851" t="s">
        <v>1221</v>
      </c>
      <c r="H2851" t="s">
        <v>1222</v>
      </c>
      <c r="I2851" t="s">
        <v>1223</v>
      </c>
      <c r="J2851" t="s">
        <v>1000</v>
      </c>
      <c r="K2851" t="s">
        <v>1082</v>
      </c>
      <c r="L2851" t="s">
        <v>1234</v>
      </c>
      <c r="M2851" t="s">
        <v>12</v>
      </c>
      <c r="N2851" s="2">
        <v>1000</v>
      </c>
      <c r="O2851" s="2">
        <v>2500</v>
      </c>
      <c r="P2851" s="2">
        <v>-3500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</row>
    <row r="2852" spans="1:23" outlineLevel="2" x14ac:dyDescent="0.2">
      <c r="A2852" t="s">
        <v>999</v>
      </c>
      <c r="B2852" t="s">
        <v>39</v>
      </c>
      <c r="C2852" t="s">
        <v>58</v>
      </c>
      <c r="D2852" t="s">
        <v>137</v>
      </c>
      <c r="E2852" t="s">
        <v>138</v>
      </c>
      <c r="F2852" t="s">
        <v>1220</v>
      </c>
      <c r="G2852" t="s">
        <v>1221</v>
      </c>
      <c r="H2852" t="s">
        <v>1222</v>
      </c>
      <c r="I2852" t="s">
        <v>1223</v>
      </c>
      <c r="J2852" t="s">
        <v>1000</v>
      </c>
      <c r="K2852" t="s">
        <v>1021</v>
      </c>
      <c r="L2852" t="s">
        <v>1235</v>
      </c>
      <c r="M2852" t="s">
        <v>12</v>
      </c>
      <c r="N2852" s="2">
        <v>1500</v>
      </c>
      <c r="O2852" s="2">
        <v>2000</v>
      </c>
      <c r="P2852" s="2">
        <v>-3500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</row>
    <row r="2853" spans="1:23" outlineLevel="2" x14ac:dyDescent="0.2">
      <c r="A2853" t="s">
        <v>999</v>
      </c>
      <c r="B2853" t="s">
        <v>39</v>
      </c>
      <c r="C2853" t="s">
        <v>58</v>
      </c>
      <c r="D2853" t="s">
        <v>145</v>
      </c>
      <c r="E2853" t="s">
        <v>146</v>
      </c>
      <c r="F2853" t="s">
        <v>1220</v>
      </c>
      <c r="G2853" t="s">
        <v>1221</v>
      </c>
      <c r="H2853" t="s">
        <v>1222</v>
      </c>
      <c r="I2853" t="s">
        <v>1223</v>
      </c>
      <c r="J2853" t="s">
        <v>1000</v>
      </c>
      <c r="K2853" t="s">
        <v>1021</v>
      </c>
      <c r="L2853" t="s">
        <v>1235</v>
      </c>
      <c r="M2853" t="s">
        <v>12</v>
      </c>
      <c r="N2853" s="2">
        <v>8050</v>
      </c>
      <c r="O2853" s="2">
        <v>0</v>
      </c>
      <c r="P2853" s="2">
        <v>0</v>
      </c>
      <c r="Q2853" s="2">
        <v>8050</v>
      </c>
      <c r="R2853" s="2">
        <v>0</v>
      </c>
      <c r="S2853" s="2">
        <v>7050.5</v>
      </c>
      <c r="T2853" s="2">
        <v>7050.5</v>
      </c>
      <c r="U2853" s="2">
        <v>999.5</v>
      </c>
      <c r="V2853" s="2">
        <v>999.5</v>
      </c>
      <c r="W2853" s="2">
        <v>999.5</v>
      </c>
    </row>
    <row r="2854" spans="1:23" outlineLevel="2" x14ac:dyDescent="0.2">
      <c r="A2854" t="s">
        <v>999</v>
      </c>
      <c r="B2854" t="s">
        <v>39</v>
      </c>
      <c r="C2854" t="s">
        <v>58</v>
      </c>
      <c r="D2854" t="s">
        <v>135</v>
      </c>
      <c r="E2854" t="s">
        <v>136</v>
      </c>
      <c r="F2854" t="s">
        <v>1220</v>
      </c>
      <c r="G2854" t="s">
        <v>1221</v>
      </c>
      <c r="H2854" t="s">
        <v>1222</v>
      </c>
      <c r="I2854" t="s">
        <v>1223</v>
      </c>
      <c r="J2854" t="s">
        <v>1000</v>
      </c>
      <c r="K2854" t="s">
        <v>1021</v>
      </c>
      <c r="L2854" t="s">
        <v>1235</v>
      </c>
      <c r="M2854" t="s">
        <v>12</v>
      </c>
      <c r="N2854" s="2">
        <v>9000</v>
      </c>
      <c r="O2854" s="2">
        <v>0</v>
      </c>
      <c r="P2854" s="2">
        <v>-9000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</row>
    <row r="2855" spans="1:23" outlineLevel="2" x14ac:dyDescent="0.2">
      <c r="A2855" t="s">
        <v>999</v>
      </c>
      <c r="B2855" t="s">
        <v>39</v>
      </c>
      <c r="C2855" t="s">
        <v>58</v>
      </c>
      <c r="D2855" t="s">
        <v>139</v>
      </c>
      <c r="E2855" t="s">
        <v>140</v>
      </c>
      <c r="F2855" t="s">
        <v>1220</v>
      </c>
      <c r="G2855" t="s">
        <v>1221</v>
      </c>
      <c r="H2855" t="s">
        <v>1222</v>
      </c>
      <c r="I2855" t="s">
        <v>1223</v>
      </c>
      <c r="J2855" t="s">
        <v>1000</v>
      </c>
      <c r="K2855" t="s">
        <v>1021</v>
      </c>
      <c r="L2855" t="s">
        <v>1235</v>
      </c>
      <c r="M2855" t="s">
        <v>12</v>
      </c>
      <c r="N2855" s="2">
        <v>5000</v>
      </c>
      <c r="O2855" s="2">
        <v>0</v>
      </c>
      <c r="P2855" s="2">
        <v>0</v>
      </c>
      <c r="Q2855" s="2">
        <v>5000</v>
      </c>
      <c r="R2855" s="2">
        <v>0</v>
      </c>
      <c r="S2855" s="2">
        <v>5000</v>
      </c>
      <c r="T2855" s="2">
        <v>0</v>
      </c>
      <c r="U2855" s="2">
        <v>0</v>
      </c>
      <c r="V2855" s="2">
        <v>5000</v>
      </c>
      <c r="W2855" s="2">
        <v>0</v>
      </c>
    </row>
    <row r="2856" spans="1:23" outlineLevel="2" x14ac:dyDescent="0.2">
      <c r="A2856" t="s">
        <v>999</v>
      </c>
      <c r="B2856" t="s">
        <v>39</v>
      </c>
      <c r="C2856" t="s">
        <v>58</v>
      </c>
      <c r="D2856" t="s">
        <v>143</v>
      </c>
      <c r="E2856" t="s">
        <v>144</v>
      </c>
      <c r="F2856" t="s">
        <v>1220</v>
      </c>
      <c r="G2856" t="s">
        <v>1221</v>
      </c>
      <c r="H2856" t="s">
        <v>1222</v>
      </c>
      <c r="I2856" t="s">
        <v>1223</v>
      </c>
      <c r="J2856" t="s">
        <v>1000</v>
      </c>
      <c r="K2856" t="s">
        <v>1021</v>
      </c>
      <c r="L2856" t="s">
        <v>1235</v>
      </c>
      <c r="M2856" t="s">
        <v>12</v>
      </c>
      <c r="N2856" s="2">
        <v>1500</v>
      </c>
      <c r="O2856" s="2">
        <v>5000</v>
      </c>
      <c r="P2856" s="2">
        <v>0</v>
      </c>
      <c r="Q2856" s="2">
        <v>6500</v>
      </c>
      <c r="R2856" s="2">
        <v>0</v>
      </c>
      <c r="S2856" s="2">
        <v>6495.3</v>
      </c>
      <c r="T2856" s="2">
        <v>1498.5</v>
      </c>
      <c r="U2856" s="2">
        <v>4.7</v>
      </c>
      <c r="V2856" s="2">
        <v>5001.5</v>
      </c>
      <c r="W2856" s="2">
        <v>4.7</v>
      </c>
    </row>
    <row r="2857" spans="1:23" outlineLevel="2" x14ac:dyDescent="0.2">
      <c r="A2857" t="s">
        <v>999</v>
      </c>
      <c r="B2857" t="s">
        <v>39</v>
      </c>
      <c r="C2857" t="s">
        <v>58</v>
      </c>
      <c r="D2857" t="s">
        <v>149</v>
      </c>
      <c r="E2857" t="s">
        <v>150</v>
      </c>
      <c r="F2857" t="s">
        <v>1220</v>
      </c>
      <c r="G2857" t="s">
        <v>1221</v>
      </c>
      <c r="H2857" t="s">
        <v>1222</v>
      </c>
      <c r="I2857" t="s">
        <v>1223</v>
      </c>
      <c r="J2857" t="s">
        <v>1000</v>
      </c>
      <c r="K2857" t="s">
        <v>1021</v>
      </c>
      <c r="L2857" t="s">
        <v>1235</v>
      </c>
      <c r="M2857" t="s">
        <v>12</v>
      </c>
      <c r="N2857" s="2">
        <v>3000</v>
      </c>
      <c r="O2857" s="2">
        <v>0</v>
      </c>
      <c r="P2857" s="2">
        <v>-495.45</v>
      </c>
      <c r="Q2857" s="2">
        <v>2504.5500000000002</v>
      </c>
      <c r="R2857" s="2">
        <v>0</v>
      </c>
      <c r="S2857" s="2">
        <v>2504.5500000000002</v>
      </c>
      <c r="T2857" s="2">
        <v>2504.5500000000002</v>
      </c>
      <c r="U2857" s="2">
        <v>0</v>
      </c>
      <c r="V2857" s="2">
        <v>0</v>
      </c>
      <c r="W2857" s="2">
        <v>0</v>
      </c>
    </row>
    <row r="2858" spans="1:23" outlineLevel="2" x14ac:dyDescent="0.2">
      <c r="A2858" t="s">
        <v>999</v>
      </c>
      <c r="B2858" t="s">
        <v>39</v>
      </c>
      <c r="C2858" t="s">
        <v>58</v>
      </c>
      <c r="D2858" t="s">
        <v>59</v>
      </c>
      <c r="E2858" t="s">
        <v>60</v>
      </c>
      <c r="F2858" t="s">
        <v>1220</v>
      </c>
      <c r="G2858" t="s">
        <v>1221</v>
      </c>
      <c r="H2858" t="s">
        <v>1222</v>
      </c>
      <c r="I2858" t="s">
        <v>1223</v>
      </c>
      <c r="J2858" t="s">
        <v>1000</v>
      </c>
      <c r="K2858" t="s">
        <v>1021</v>
      </c>
      <c r="L2858" t="s">
        <v>1235</v>
      </c>
      <c r="M2858" t="s">
        <v>12</v>
      </c>
      <c r="N2858" s="2">
        <v>2000</v>
      </c>
      <c r="O2858" s="2">
        <v>0</v>
      </c>
      <c r="P2858" s="2">
        <v>0</v>
      </c>
      <c r="Q2858" s="2">
        <v>2000</v>
      </c>
      <c r="R2858" s="2">
        <v>0.25</v>
      </c>
      <c r="S2858" s="2">
        <v>1999.75</v>
      </c>
      <c r="T2858" s="2">
        <v>0</v>
      </c>
      <c r="U2858" s="2">
        <v>0.25</v>
      </c>
      <c r="V2858" s="2">
        <v>2000</v>
      </c>
      <c r="W2858" s="2">
        <v>0</v>
      </c>
    </row>
    <row r="2859" spans="1:23" outlineLevel="2" x14ac:dyDescent="0.2">
      <c r="A2859" t="s">
        <v>999</v>
      </c>
      <c r="B2859" t="s">
        <v>53</v>
      </c>
      <c r="C2859" t="s">
        <v>85</v>
      </c>
      <c r="D2859" t="s">
        <v>86</v>
      </c>
      <c r="E2859" t="s">
        <v>87</v>
      </c>
      <c r="F2859" t="s">
        <v>1236</v>
      </c>
      <c r="G2859" t="s">
        <v>1237</v>
      </c>
      <c r="H2859" t="s">
        <v>1238</v>
      </c>
      <c r="I2859" t="s">
        <v>1239</v>
      </c>
      <c r="J2859" t="s">
        <v>1000</v>
      </c>
      <c r="K2859" t="s">
        <v>1090</v>
      </c>
      <c r="L2859" t="s">
        <v>1240</v>
      </c>
      <c r="M2859" t="s">
        <v>12</v>
      </c>
      <c r="N2859" s="2">
        <v>6000</v>
      </c>
      <c r="O2859" s="2">
        <v>0</v>
      </c>
      <c r="P2859" s="2">
        <v>-4478.66</v>
      </c>
      <c r="Q2859" s="2">
        <v>1521.34</v>
      </c>
      <c r="R2859" s="2">
        <v>0</v>
      </c>
      <c r="S2859" s="2">
        <v>1521.34</v>
      </c>
      <c r="T2859" s="2">
        <v>0</v>
      </c>
      <c r="U2859" s="2">
        <v>0</v>
      </c>
      <c r="V2859" s="2">
        <v>1521.34</v>
      </c>
      <c r="W2859" s="2">
        <v>0</v>
      </c>
    </row>
    <row r="2860" spans="1:23" outlineLevel="2" x14ac:dyDescent="0.2">
      <c r="A2860" t="s">
        <v>999</v>
      </c>
      <c r="B2860" t="s">
        <v>53</v>
      </c>
      <c r="C2860" t="s">
        <v>85</v>
      </c>
      <c r="D2860" t="s">
        <v>86</v>
      </c>
      <c r="E2860" t="s">
        <v>87</v>
      </c>
      <c r="F2860" t="s">
        <v>1236</v>
      </c>
      <c r="G2860" t="s">
        <v>1237</v>
      </c>
      <c r="H2860" t="s">
        <v>1238</v>
      </c>
      <c r="I2860" t="s">
        <v>1239</v>
      </c>
      <c r="J2860" t="s">
        <v>1000</v>
      </c>
      <c r="K2860" t="s">
        <v>1013</v>
      </c>
      <c r="L2860" t="s">
        <v>1241</v>
      </c>
      <c r="M2860" t="s">
        <v>12</v>
      </c>
      <c r="N2860" s="2">
        <v>83000</v>
      </c>
      <c r="O2860" s="2">
        <v>0</v>
      </c>
      <c r="P2860" s="2">
        <v>-83000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</row>
    <row r="2861" spans="1:23" outlineLevel="2" x14ac:dyDescent="0.2">
      <c r="A2861" t="s">
        <v>999</v>
      </c>
      <c r="B2861" t="s">
        <v>53</v>
      </c>
      <c r="C2861" t="s">
        <v>85</v>
      </c>
      <c r="D2861" t="s">
        <v>86</v>
      </c>
      <c r="E2861" t="s">
        <v>87</v>
      </c>
      <c r="F2861" t="s">
        <v>1236</v>
      </c>
      <c r="G2861" t="s">
        <v>1237</v>
      </c>
      <c r="H2861" t="s">
        <v>1238</v>
      </c>
      <c r="I2861" t="s">
        <v>1239</v>
      </c>
      <c r="J2861" t="s">
        <v>1000</v>
      </c>
      <c r="K2861" t="s">
        <v>1017</v>
      </c>
      <c r="L2861" t="s">
        <v>1242</v>
      </c>
      <c r="M2861" t="s">
        <v>12</v>
      </c>
      <c r="N2861" s="2">
        <v>4574</v>
      </c>
      <c r="O2861" s="2">
        <v>0</v>
      </c>
      <c r="P2861" s="2">
        <v>-4574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</row>
    <row r="2862" spans="1:23" outlineLevel="2" x14ac:dyDescent="0.2">
      <c r="A2862" t="s">
        <v>999</v>
      </c>
      <c r="B2862" t="s">
        <v>53</v>
      </c>
      <c r="C2862" t="s">
        <v>85</v>
      </c>
      <c r="D2862" t="s">
        <v>86</v>
      </c>
      <c r="E2862" t="s">
        <v>87</v>
      </c>
      <c r="F2862" t="s">
        <v>1243</v>
      </c>
      <c r="G2862" t="s">
        <v>1244</v>
      </c>
      <c r="H2862" t="s">
        <v>1245</v>
      </c>
      <c r="I2862" t="s">
        <v>1246</v>
      </c>
      <c r="J2862" t="s">
        <v>1000</v>
      </c>
      <c r="K2862" t="s">
        <v>1090</v>
      </c>
      <c r="L2862" t="s">
        <v>1247</v>
      </c>
      <c r="M2862" t="s">
        <v>12</v>
      </c>
      <c r="N2862" s="2">
        <v>1000</v>
      </c>
      <c r="O2862" s="2">
        <v>0</v>
      </c>
      <c r="P2862" s="2">
        <v>-1000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</row>
    <row r="2863" spans="1:23" outlineLevel="2" x14ac:dyDescent="0.2">
      <c r="A2863" t="s">
        <v>999</v>
      </c>
      <c r="B2863" t="s">
        <v>53</v>
      </c>
      <c r="C2863" t="s">
        <v>85</v>
      </c>
      <c r="D2863" t="s">
        <v>86</v>
      </c>
      <c r="E2863" t="s">
        <v>87</v>
      </c>
      <c r="F2863" t="s">
        <v>1243</v>
      </c>
      <c r="G2863" t="s">
        <v>1244</v>
      </c>
      <c r="H2863" t="s">
        <v>1245</v>
      </c>
      <c r="I2863" t="s">
        <v>1246</v>
      </c>
      <c r="J2863" t="s">
        <v>1000</v>
      </c>
      <c r="K2863" t="s">
        <v>1013</v>
      </c>
      <c r="L2863" t="s">
        <v>1248</v>
      </c>
      <c r="M2863" t="s">
        <v>12</v>
      </c>
      <c r="N2863" s="2">
        <v>44000</v>
      </c>
      <c r="O2863" s="2">
        <v>17000</v>
      </c>
      <c r="P2863" s="2">
        <v>-61000</v>
      </c>
      <c r="Q2863" s="2">
        <v>0</v>
      </c>
      <c r="R2863" s="2">
        <v>0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</row>
    <row r="2864" spans="1:23" outlineLevel="2" x14ac:dyDescent="0.2">
      <c r="A2864" t="s">
        <v>999</v>
      </c>
      <c r="B2864" t="s">
        <v>31</v>
      </c>
      <c r="C2864" t="s">
        <v>79</v>
      </c>
      <c r="D2864" t="s">
        <v>83</v>
      </c>
      <c r="E2864" t="s">
        <v>84</v>
      </c>
      <c r="F2864" t="s">
        <v>874</v>
      </c>
      <c r="G2864" t="s">
        <v>875</v>
      </c>
      <c r="H2864" t="s">
        <v>876</v>
      </c>
      <c r="I2864" t="s">
        <v>877</v>
      </c>
      <c r="J2864" t="s">
        <v>1000</v>
      </c>
      <c r="K2864" t="s">
        <v>1039</v>
      </c>
      <c r="L2864" t="s">
        <v>1249</v>
      </c>
      <c r="M2864" t="s">
        <v>12</v>
      </c>
      <c r="N2864" s="2">
        <v>2647786.7799999998</v>
      </c>
      <c r="O2864" s="2">
        <v>-2095235.6</v>
      </c>
      <c r="P2864" s="2">
        <v>-253029.36</v>
      </c>
      <c r="Q2864" s="2">
        <v>299521.82</v>
      </c>
      <c r="R2864" s="2">
        <v>0</v>
      </c>
      <c r="S2864" s="2">
        <v>299521.82</v>
      </c>
      <c r="T2864" s="2">
        <v>23215.58</v>
      </c>
      <c r="U2864" s="2">
        <v>0</v>
      </c>
      <c r="V2864" s="2">
        <v>276306.24</v>
      </c>
      <c r="W2864" s="2">
        <v>0</v>
      </c>
    </row>
    <row r="2865" spans="1:23" outlineLevel="2" x14ac:dyDescent="0.2">
      <c r="A2865" t="s">
        <v>999</v>
      </c>
      <c r="B2865" t="s">
        <v>31</v>
      </c>
      <c r="C2865" t="s">
        <v>79</v>
      </c>
      <c r="D2865" t="s">
        <v>83</v>
      </c>
      <c r="E2865" t="s">
        <v>84</v>
      </c>
      <c r="F2865" t="s">
        <v>874</v>
      </c>
      <c r="G2865" t="s">
        <v>875</v>
      </c>
      <c r="H2865" t="s">
        <v>876</v>
      </c>
      <c r="I2865" t="s">
        <v>877</v>
      </c>
      <c r="J2865" t="s">
        <v>1000</v>
      </c>
      <c r="K2865" t="s">
        <v>1017</v>
      </c>
      <c r="L2865" t="s">
        <v>1250</v>
      </c>
      <c r="M2865" t="s">
        <v>12</v>
      </c>
      <c r="N2865" s="2">
        <v>92213.22</v>
      </c>
      <c r="O2865" s="2">
        <v>0</v>
      </c>
      <c r="P2865" s="2">
        <v>-92213.22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</row>
    <row r="2866" spans="1:23" outlineLevel="2" x14ac:dyDescent="0.2">
      <c r="A2866" t="s">
        <v>999</v>
      </c>
      <c r="B2866" t="s">
        <v>31</v>
      </c>
      <c r="C2866" t="s">
        <v>79</v>
      </c>
      <c r="D2866" t="s">
        <v>83</v>
      </c>
      <c r="E2866" t="s">
        <v>84</v>
      </c>
      <c r="F2866" t="s">
        <v>874</v>
      </c>
      <c r="G2866" t="s">
        <v>875</v>
      </c>
      <c r="H2866" t="s">
        <v>1251</v>
      </c>
      <c r="I2866" t="s">
        <v>1252</v>
      </c>
      <c r="J2866" t="s">
        <v>1000</v>
      </c>
      <c r="K2866" t="s">
        <v>1074</v>
      </c>
      <c r="L2866" t="s">
        <v>1253</v>
      </c>
      <c r="M2866" t="s">
        <v>12</v>
      </c>
      <c r="N2866" s="2">
        <v>627328</v>
      </c>
      <c r="O2866" s="2">
        <v>-239086.56</v>
      </c>
      <c r="P2866" s="2">
        <v>-388241.44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</row>
    <row r="2867" spans="1:23" outlineLevel="2" x14ac:dyDescent="0.2">
      <c r="A2867" t="s">
        <v>999</v>
      </c>
      <c r="B2867" t="s">
        <v>31</v>
      </c>
      <c r="C2867" t="s">
        <v>79</v>
      </c>
      <c r="D2867" t="s">
        <v>83</v>
      </c>
      <c r="E2867" t="s">
        <v>84</v>
      </c>
      <c r="F2867" t="s">
        <v>874</v>
      </c>
      <c r="G2867" t="s">
        <v>875</v>
      </c>
      <c r="H2867" t="s">
        <v>1251</v>
      </c>
      <c r="I2867" t="s">
        <v>1252</v>
      </c>
      <c r="J2867" t="s">
        <v>1000</v>
      </c>
      <c r="K2867" t="s">
        <v>1017</v>
      </c>
      <c r="L2867" t="s">
        <v>1250</v>
      </c>
      <c r="M2867" t="s">
        <v>12</v>
      </c>
      <c r="N2867" s="2">
        <v>230000</v>
      </c>
      <c r="O2867" s="2">
        <v>0</v>
      </c>
      <c r="P2867" s="2">
        <v>0</v>
      </c>
      <c r="Q2867" s="2">
        <v>230000</v>
      </c>
      <c r="R2867" s="2">
        <v>89328</v>
      </c>
      <c r="S2867" s="2">
        <v>140672</v>
      </c>
      <c r="T2867" s="2">
        <v>48384</v>
      </c>
      <c r="U2867" s="2">
        <v>89328</v>
      </c>
      <c r="V2867" s="2">
        <v>181616</v>
      </c>
      <c r="W2867" s="2">
        <v>0</v>
      </c>
    </row>
    <row r="2868" spans="1:23" outlineLevel="2" x14ac:dyDescent="0.2">
      <c r="A2868" t="s">
        <v>999</v>
      </c>
      <c r="B2868" t="s">
        <v>31</v>
      </c>
      <c r="C2868" t="s">
        <v>79</v>
      </c>
      <c r="D2868" t="s">
        <v>83</v>
      </c>
      <c r="E2868" t="s">
        <v>84</v>
      </c>
      <c r="F2868" t="s">
        <v>874</v>
      </c>
      <c r="G2868" t="s">
        <v>875</v>
      </c>
      <c r="H2868" t="s">
        <v>1251</v>
      </c>
      <c r="I2868" t="s">
        <v>1252</v>
      </c>
      <c r="J2868" t="s">
        <v>1000</v>
      </c>
      <c r="K2868" t="s">
        <v>1031</v>
      </c>
      <c r="L2868" t="s">
        <v>1254</v>
      </c>
      <c r="M2868" t="s">
        <v>12</v>
      </c>
      <c r="N2868" s="2">
        <v>2000</v>
      </c>
      <c r="O2868" s="2">
        <v>-2000</v>
      </c>
      <c r="P2868" s="2">
        <v>0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</row>
    <row r="2869" spans="1:23" outlineLevel="2" x14ac:dyDescent="0.2">
      <c r="A2869" t="s">
        <v>999</v>
      </c>
      <c r="B2869" t="s">
        <v>31</v>
      </c>
      <c r="C2869" t="s">
        <v>79</v>
      </c>
      <c r="D2869" t="s">
        <v>80</v>
      </c>
      <c r="E2869" t="s">
        <v>81</v>
      </c>
      <c r="F2869" t="s">
        <v>883</v>
      </c>
      <c r="G2869" t="s">
        <v>884</v>
      </c>
      <c r="H2869" t="s">
        <v>1255</v>
      </c>
      <c r="I2869" t="s">
        <v>1256</v>
      </c>
      <c r="J2869" t="s">
        <v>1000</v>
      </c>
      <c r="K2869" t="s">
        <v>1001</v>
      </c>
      <c r="L2869" t="s">
        <v>1257</v>
      </c>
      <c r="M2869" t="s">
        <v>12</v>
      </c>
      <c r="N2869" s="2">
        <v>3500</v>
      </c>
      <c r="O2869" s="2">
        <v>0</v>
      </c>
      <c r="P2869" s="2">
        <v>-3500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</row>
    <row r="2870" spans="1:23" outlineLevel="2" x14ac:dyDescent="0.2">
      <c r="A2870" t="s">
        <v>999</v>
      </c>
      <c r="B2870" t="s">
        <v>31</v>
      </c>
      <c r="C2870" t="s">
        <v>79</v>
      </c>
      <c r="D2870" t="s">
        <v>80</v>
      </c>
      <c r="E2870" t="s">
        <v>81</v>
      </c>
      <c r="F2870" t="s">
        <v>883</v>
      </c>
      <c r="G2870" t="s">
        <v>884</v>
      </c>
      <c r="H2870" t="s">
        <v>1255</v>
      </c>
      <c r="I2870" t="s">
        <v>1256</v>
      </c>
      <c r="J2870" t="s">
        <v>1000</v>
      </c>
      <c r="K2870" t="s">
        <v>1037</v>
      </c>
      <c r="L2870" t="s">
        <v>1258</v>
      </c>
      <c r="M2870" t="s">
        <v>12</v>
      </c>
      <c r="N2870" s="2">
        <v>7000</v>
      </c>
      <c r="O2870" s="2">
        <v>0</v>
      </c>
      <c r="P2870" s="2">
        <v>-7000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</row>
    <row r="2871" spans="1:23" outlineLevel="2" x14ac:dyDescent="0.2">
      <c r="A2871" t="s">
        <v>999</v>
      </c>
      <c r="B2871" t="s">
        <v>31</v>
      </c>
      <c r="C2871" t="s">
        <v>79</v>
      </c>
      <c r="D2871" t="s">
        <v>80</v>
      </c>
      <c r="E2871" t="s">
        <v>81</v>
      </c>
      <c r="F2871" t="s">
        <v>883</v>
      </c>
      <c r="G2871" t="s">
        <v>884</v>
      </c>
      <c r="H2871" t="s">
        <v>1255</v>
      </c>
      <c r="I2871" t="s">
        <v>1256</v>
      </c>
      <c r="J2871" t="s">
        <v>1000</v>
      </c>
      <c r="K2871" t="s">
        <v>1175</v>
      </c>
      <c r="L2871" t="s">
        <v>1259</v>
      </c>
      <c r="M2871" t="s">
        <v>12</v>
      </c>
      <c r="N2871" s="2">
        <v>63500</v>
      </c>
      <c r="O2871" s="2">
        <v>0</v>
      </c>
      <c r="P2871" s="2">
        <v>0</v>
      </c>
      <c r="Q2871" s="2">
        <v>63500</v>
      </c>
      <c r="R2871" s="2">
        <v>0</v>
      </c>
      <c r="S2871" s="2">
        <v>46715</v>
      </c>
      <c r="T2871" s="2">
        <v>46115</v>
      </c>
      <c r="U2871" s="2">
        <v>16785</v>
      </c>
      <c r="V2871" s="2">
        <v>17385</v>
      </c>
      <c r="W2871" s="2">
        <v>16785</v>
      </c>
    </row>
    <row r="2872" spans="1:23" outlineLevel="2" x14ac:dyDescent="0.2">
      <c r="A2872" t="s">
        <v>999</v>
      </c>
      <c r="B2872" t="s">
        <v>31</v>
      </c>
      <c r="C2872" t="s">
        <v>79</v>
      </c>
      <c r="D2872" t="s">
        <v>80</v>
      </c>
      <c r="E2872" t="s">
        <v>81</v>
      </c>
      <c r="F2872" t="s">
        <v>883</v>
      </c>
      <c r="G2872" t="s">
        <v>884</v>
      </c>
      <c r="H2872" t="s">
        <v>1255</v>
      </c>
      <c r="I2872" t="s">
        <v>1256</v>
      </c>
      <c r="J2872" t="s">
        <v>1000</v>
      </c>
      <c r="K2872" t="s">
        <v>1260</v>
      </c>
      <c r="L2872" t="s">
        <v>1261</v>
      </c>
      <c r="M2872" t="s">
        <v>12</v>
      </c>
      <c r="N2872" s="2">
        <v>10000</v>
      </c>
      <c r="O2872" s="2">
        <v>0</v>
      </c>
      <c r="P2872" s="2">
        <v>-10000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</row>
    <row r="2873" spans="1:23" outlineLevel="2" x14ac:dyDescent="0.2">
      <c r="A2873" t="s">
        <v>999</v>
      </c>
      <c r="B2873" t="s">
        <v>31</v>
      </c>
      <c r="C2873" t="s">
        <v>79</v>
      </c>
      <c r="D2873" t="s">
        <v>80</v>
      </c>
      <c r="E2873" t="s">
        <v>81</v>
      </c>
      <c r="F2873" t="s">
        <v>883</v>
      </c>
      <c r="G2873" t="s">
        <v>884</v>
      </c>
      <c r="H2873" t="s">
        <v>1255</v>
      </c>
      <c r="I2873" t="s">
        <v>1256</v>
      </c>
      <c r="J2873" t="s">
        <v>1000</v>
      </c>
      <c r="K2873" t="s">
        <v>1262</v>
      </c>
      <c r="L2873" t="s">
        <v>1263</v>
      </c>
      <c r="M2873" t="s">
        <v>12</v>
      </c>
      <c r="N2873" s="2">
        <v>10000</v>
      </c>
      <c r="O2873" s="2">
        <v>0</v>
      </c>
      <c r="P2873" s="2">
        <v>-10000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</row>
    <row r="2874" spans="1:23" outlineLevel="2" x14ac:dyDescent="0.2">
      <c r="A2874" t="s">
        <v>999</v>
      </c>
      <c r="B2874" t="s">
        <v>31</v>
      </c>
      <c r="C2874" t="s">
        <v>79</v>
      </c>
      <c r="D2874" t="s">
        <v>125</v>
      </c>
      <c r="E2874" t="s">
        <v>126</v>
      </c>
      <c r="F2874" t="s">
        <v>883</v>
      </c>
      <c r="G2874" t="s">
        <v>884</v>
      </c>
      <c r="H2874" t="s">
        <v>1255</v>
      </c>
      <c r="I2874" t="s">
        <v>1256</v>
      </c>
      <c r="J2874" t="s">
        <v>1000</v>
      </c>
      <c r="K2874" t="s">
        <v>1003</v>
      </c>
      <c r="L2874" t="s">
        <v>1264</v>
      </c>
      <c r="M2874" t="s">
        <v>12</v>
      </c>
      <c r="N2874" s="2">
        <v>502708.47</v>
      </c>
      <c r="O2874" s="2">
        <v>0</v>
      </c>
      <c r="P2874" s="2">
        <v>-502708.47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</row>
    <row r="2875" spans="1:23" outlineLevel="2" x14ac:dyDescent="0.2">
      <c r="A2875" t="s">
        <v>999</v>
      </c>
      <c r="B2875" t="s">
        <v>31</v>
      </c>
      <c r="C2875" t="s">
        <v>79</v>
      </c>
      <c r="D2875" t="s">
        <v>127</v>
      </c>
      <c r="E2875" t="s">
        <v>128</v>
      </c>
      <c r="F2875" t="s">
        <v>883</v>
      </c>
      <c r="G2875" t="s">
        <v>884</v>
      </c>
      <c r="H2875" t="s">
        <v>1255</v>
      </c>
      <c r="I2875" t="s">
        <v>1256</v>
      </c>
      <c r="J2875" t="s">
        <v>1000</v>
      </c>
      <c r="K2875" t="s">
        <v>1003</v>
      </c>
      <c r="L2875" t="s">
        <v>1264</v>
      </c>
      <c r="M2875" t="s">
        <v>12</v>
      </c>
      <c r="N2875" s="2">
        <v>0</v>
      </c>
      <c r="O2875" s="2">
        <v>50400</v>
      </c>
      <c r="P2875" s="2">
        <v>0</v>
      </c>
      <c r="Q2875" s="2">
        <v>50400</v>
      </c>
      <c r="R2875" s="2">
        <v>11200</v>
      </c>
      <c r="S2875" s="2">
        <v>39200</v>
      </c>
      <c r="T2875" s="2">
        <v>0</v>
      </c>
      <c r="U2875" s="2">
        <v>11200</v>
      </c>
      <c r="V2875" s="2">
        <v>50400</v>
      </c>
      <c r="W2875" s="2">
        <v>0</v>
      </c>
    </row>
    <row r="2876" spans="1:23" outlineLevel="2" x14ac:dyDescent="0.2">
      <c r="A2876" t="s">
        <v>999</v>
      </c>
      <c r="B2876" t="s">
        <v>31</v>
      </c>
      <c r="C2876" t="s">
        <v>79</v>
      </c>
      <c r="D2876" t="s">
        <v>115</v>
      </c>
      <c r="E2876" t="s">
        <v>116</v>
      </c>
      <c r="F2876" t="s">
        <v>883</v>
      </c>
      <c r="G2876" t="s">
        <v>884</v>
      </c>
      <c r="H2876" t="s">
        <v>1255</v>
      </c>
      <c r="I2876" t="s">
        <v>1256</v>
      </c>
      <c r="J2876" t="s">
        <v>1000</v>
      </c>
      <c r="K2876" t="s">
        <v>1009</v>
      </c>
      <c r="L2876" t="s">
        <v>1265</v>
      </c>
      <c r="M2876" t="s">
        <v>12</v>
      </c>
      <c r="N2876" s="2">
        <v>800</v>
      </c>
      <c r="O2876" s="2">
        <v>0</v>
      </c>
      <c r="P2876" s="2">
        <v>-800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</row>
    <row r="2877" spans="1:23" outlineLevel="2" x14ac:dyDescent="0.2">
      <c r="A2877" t="s">
        <v>999</v>
      </c>
      <c r="B2877" t="s">
        <v>31</v>
      </c>
      <c r="C2877" t="s">
        <v>79</v>
      </c>
      <c r="D2877" t="s">
        <v>133</v>
      </c>
      <c r="E2877" t="s">
        <v>134</v>
      </c>
      <c r="F2877" t="s">
        <v>883</v>
      </c>
      <c r="G2877" t="s">
        <v>884</v>
      </c>
      <c r="H2877" t="s">
        <v>1255</v>
      </c>
      <c r="I2877" t="s">
        <v>1256</v>
      </c>
      <c r="J2877" t="s">
        <v>1000</v>
      </c>
      <c r="K2877" t="s">
        <v>1017</v>
      </c>
      <c r="L2877" t="s">
        <v>1266</v>
      </c>
      <c r="M2877" t="s">
        <v>12</v>
      </c>
      <c r="N2877" s="2">
        <v>6000</v>
      </c>
      <c r="O2877" s="2">
        <v>0</v>
      </c>
      <c r="P2877" s="2">
        <v>-6000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</row>
    <row r="2878" spans="1:23" outlineLevel="2" x14ac:dyDescent="0.2">
      <c r="A2878" t="s">
        <v>999</v>
      </c>
      <c r="B2878" t="s">
        <v>31</v>
      </c>
      <c r="C2878" t="s">
        <v>79</v>
      </c>
      <c r="D2878" t="s">
        <v>80</v>
      </c>
      <c r="E2878" t="s">
        <v>81</v>
      </c>
      <c r="F2878" t="s">
        <v>883</v>
      </c>
      <c r="G2878" t="s">
        <v>884</v>
      </c>
      <c r="H2878" t="s">
        <v>1255</v>
      </c>
      <c r="I2878" t="s">
        <v>1256</v>
      </c>
      <c r="J2878" t="s">
        <v>1000</v>
      </c>
      <c r="K2878" t="s">
        <v>1267</v>
      </c>
      <c r="L2878" t="s">
        <v>1268</v>
      </c>
      <c r="M2878" t="s">
        <v>12</v>
      </c>
      <c r="N2878" s="2">
        <v>40000</v>
      </c>
      <c r="O2878" s="2">
        <v>0</v>
      </c>
      <c r="P2878" s="2">
        <v>-20000</v>
      </c>
      <c r="Q2878" s="2">
        <v>20000</v>
      </c>
      <c r="R2878" s="2">
        <v>0</v>
      </c>
      <c r="S2878" s="2">
        <v>20000</v>
      </c>
      <c r="T2878" s="2">
        <v>14560</v>
      </c>
      <c r="U2878" s="2">
        <v>0</v>
      </c>
      <c r="V2878" s="2">
        <v>5440</v>
      </c>
      <c r="W2878" s="2">
        <v>0</v>
      </c>
    </row>
    <row r="2879" spans="1:23" outlineLevel="2" x14ac:dyDescent="0.2">
      <c r="A2879" t="s">
        <v>999</v>
      </c>
      <c r="B2879" t="s">
        <v>31</v>
      </c>
      <c r="C2879" t="s">
        <v>79</v>
      </c>
      <c r="D2879" t="s">
        <v>111</v>
      </c>
      <c r="E2879" t="s">
        <v>112</v>
      </c>
      <c r="F2879" t="s">
        <v>883</v>
      </c>
      <c r="G2879" t="s">
        <v>884</v>
      </c>
      <c r="H2879" t="s">
        <v>1255</v>
      </c>
      <c r="I2879" t="s">
        <v>1256</v>
      </c>
      <c r="J2879" t="s">
        <v>1000</v>
      </c>
      <c r="K2879" t="s">
        <v>1267</v>
      </c>
      <c r="L2879" t="s">
        <v>1268</v>
      </c>
      <c r="M2879" t="s">
        <v>12</v>
      </c>
      <c r="N2879" s="2">
        <v>10260</v>
      </c>
      <c r="O2879" s="2">
        <v>0</v>
      </c>
      <c r="P2879" s="2">
        <v>-10260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</row>
    <row r="2880" spans="1:23" outlineLevel="2" x14ac:dyDescent="0.2">
      <c r="A2880" t="s">
        <v>999</v>
      </c>
      <c r="B2880" t="s">
        <v>31</v>
      </c>
      <c r="C2880" t="s">
        <v>79</v>
      </c>
      <c r="D2880" t="s">
        <v>113</v>
      </c>
      <c r="E2880" t="s">
        <v>114</v>
      </c>
      <c r="F2880" t="s">
        <v>883</v>
      </c>
      <c r="G2880" t="s">
        <v>884</v>
      </c>
      <c r="H2880" t="s">
        <v>1255</v>
      </c>
      <c r="I2880" t="s">
        <v>1256</v>
      </c>
      <c r="J2880" t="s">
        <v>1000</v>
      </c>
      <c r="K2880" t="s">
        <v>1267</v>
      </c>
      <c r="L2880" t="s">
        <v>1268</v>
      </c>
      <c r="M2880" t="s">
        <v>12</v>
      </c>
      <c r="N2880" s="2">
        <v>30000</v>
      </c>
      <c r="O2880" s="2">
        <v>0</v>
      </c>
      <c r="P2880" s="2">
        <v>-12000</v>
      </c>
      <c r="Q2880" s="2">
        <v>18000</v>
      </c>
      <c r="R2880" s="2">
        <v>5</v>
      </c>
      <c r="S2880" s="2">
        <v>5130</v>
      </c>
      <c r="T2880" s="2">
        <v>5130</v>
      </c>
      <c r="U2880" s="2">
        <v>12870</v>
      </c>
      <c r="V2880" s="2">
        <v>12870</v>
      </c>
      <c r="W2880" s="2">
        <v>12865</v>
      </c>
    </row>
    <row r="2881" spans="1:23" outlineLevel="2" x14ac:dyDescent="0.2">
      <c r="A2881" t="s">
        <v>999</v>
      </c>
      <c r="B2881" t="s">
        <v>31</v>
      </c>
      <c r="C2881" t="s">
        <v>79</v>
      </c>
      <c r="D2881" t="s">
        <v>80</v>
      </c>
      <c r="E2881" t="s">
        <v>81</v>
      </c>
      <c r="F2881" t="s">
        <v>883</v>
      </c>
      <c r="G2881" t="s">
        <v>884</v>
      </c>
      <c r="H2881" t="s">
        <v>1255</v>
      </c>
      <c r="I2881" t="s">
        <v>1256</v>
      </c>
      <c r="J2881" t="s">
        <v>1000</v>
      </c>
      <c r="K2881" t="s">
        <v>1031</v>
      </c>
      <c r="L2881" t="s">
        <v>1269</v>
      </c>
      <c r="M2881" t="s">
        <v>12</v>
      </c>
      <c r="N2881" s="2">
        <v>0</v>
      </c>
      <c r="O2881" s="2">
        <v>2800</v>
      </c>
      <c r="P2881" s="2">
        <v>0</v>
      </c>
      <c r="Q2881" s="2">
        <v>2800</v>
      </c>
      <c r="R2881" s="2">
        <v>0</v>
      </c>
      <c r="S2881" s="2">
        <v>2216.65</v>
      </c>
      <c r="T2881" s="2">
        <v>0</v>
      </c>
      <c r="U2881" s="2">
        <v>583.35</v>
      </c>
      <c r="V2881" s="2">
        <v>2800</v>
      </c>
      <c r="W2881" s="2">
        <v>583.35</v>
      </c>
    </row>
    <row r="2882" spans="1:23" outlineLevel="2" x14ac:dyDescent="0.2">
      <c r="A2882" t="s">
        <v>999</v>
      </c>
      <c r="B2882" t="s">
        <v>31</v>
      </c>
      <c r="C2882" t="s">
        <v>79</v>
      </c>
      <c r="D2882" t="s">
        <v>115</v>
      </c>
      <c r="E2882" t="s">
        <v>116</v>
      </c>
      <c r="F2882" t="s">
        <v>883</v>
      </c>
      <c r="G2882" t="s">
        <v>884</v>
      </c>
      <c r="H2882" t="s">
        <v>1255</v>
      </c>
      <c r="I2882" t="s">
        <v>1256</v>
      </c>
      <c r="J2882" t="s">
        <v>1000</v>
      </c>
      <c r="K2882" t="s">
        <v>1061</v>
      </c>
      <c r="L2882" t="s">
        <v>1270</v>
      </c>
      <c r="M2882" t="s">
        <v>12</v>
      </c>
      <c r="N2882" s="2">
        <v>6475</v>
      </c>
      <c r="O2882" s="2">
        <v>0</v>
      </c>
      <c r="P2882" s="2">
        <v>-6475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</row>
    <row r="2883" spans="1:23" outlineLevel="2" x14ac:dyDescent="0.2">
      <c r="A2883" t="s">
        <v>999</v>
      </c>
      <c r="B2883" t="s">
        <v>31</v>
      </c>
      <c r="C2883" t="s">
        <v>79</v>
      </c>
      <c r="D2883" t="s">
        <v>115</v>
      </c>
      <c r="E2883" t="s">
        <v>116</v>
      </c>
      <c r="F2883" t="s">
        <v>883</v>
      </c>
      <c r="G2883" t="s">
        <v>884</v>
      </c>
      <c r="H2883" t="s">
        <v>1255</v>
      </c>
      <c r="I2883" t="s">
        <v>1256</v>
      </c>
      <c r="J2883" t="s">
        <v>1000</v>
      </c>
      <c r="K2883" t="s">
        <v>1194</v>
      </c>
      <c r="L2883" t="s">
        <v>1271</v>
      </c>
      <c r="M2883" t="s">
        <v>12</v>
      </c>
      <c r="N2883" s="2">
        <v>425</v>
      </c>
      <c r="O2883" s="2">
        <v>0</v>
      </c>
      <c r="P2883" s="2">
        <v>-425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</row>
    <row r="2884" spans="1:23" outlineLevel="2" x14ac:dyDescent="0.2">
      <c r="A2884" t="s">
        <v>999</v>
      </c>
      <c r="B2884" t="s">
        <v>31</v>
      </c>
      <c r="C2884" t="s">
        <v>79</v>
      </c>
      <c r="D2884" t="s">
        <v>115</v>
      </c>
      <c r="E2884" t="s">
        <v>116</v>
      </c>
      <c r="F2884" t="s">
        <v>883</v>
      </c>
      <c r="G2884" t="s">
        <v>884</v>
      </c>
      <c r="H2884" t="s">
        <v>1255</v>
      </c>
      <c r="I2884" t="s">
        <v>1256</v>
      </c>
      <c r="J2884" t="s">
        <v>1000</v>
      </c>
      <c r="K2884" t="s">
        <v>1183</v>
      </c>
      <c r="L2884" t="s">
        <v>1272</v>
      </c>
      <c r="M2884" t="s">
        <v>12</v>
      </c>
      <c r="N2884" s="2">
        <v>1260</v>
      </c>
      <c r="O2884" s="2">
        <v>0</v>
      </c>
      <c r="P2884" s="2">
        <v>-1260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</row>
    <row r="2885" spans="1:23" outlineLevel="2" x14ac:dyDescent="0.2">
      <c r="A2885" t="s">
        <v>999</v>
      </c>
      <c r="B2885" t="s">
        <v>31</v>
      </c>
      <c r="C2885" t="s">
        <v>79</v>
      </c>
      <c r="D2885" t="s">
        <v>80</v>
      </c>
      <c r="E2885" t="s">
        <v>81</v>
      </c>
      <c r="F2885" t="s">
        <v>883</v>
      </c>
      <c r="G2885" t="s">
        <v>884</v>
      </c>
      <c r="H2885" t="s">
        <v>1255</v>
      </c>
      <c r="I2885" t="s">
        <v>1256</v>
      </c>
      <c r="J2885" t="s">
        <v>1000</v>
      </c>
      <c r="K2885" t="s">
        <v>1160</v>
      </c>
      <c r="L2885" t="s">
        <v>1273</v>
      </c>
      <c r="M2885" t="s">
        <v>12</v>
      </c>
      <c r="N2885" s="2">
        <v>3000</v>
      </c>
      <c r="O2885" s="2">
        <v>0</v>
      </c>
      <c r="P2885" s="2">
        <v>-3000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</row>
    <row r="2886" spans="1:23" outlineLevel="2" x14ac:dyDescent="0.2">
      <c r="A2886" t="s">
        <v>999</v>
      </c>
      <c r="B2886" t="s">
        <v>31</v>
      </c>
      <c r="C2886" t="s">
        <v>79</v>
      </c>
      <c r="D2886" t="s">
        <v>83</v>
      </c>
      <c r="E2886" t="s">
        <v>84</v>
      </c>
      <c r="F2886" t="s">
        <v>883</v>
      </c>
      <c r="G2886" t="s">
        <v>884</v>
      </c>
      <c r="H2886" t="s">
        <v>1274</v>
      </c>
      <c r="I2886" t="s">
        <v>1275</v>
      </c>
      <c r="J2886" t="s">
        <v>1000</v>
      </c>
      <c r="K2886" t="s">
        <v>1019</v>
      </c>
      <c r="L2886" t="s">
        <v>1276</v>
      </c>
      <c r="M2886" t="s">
        <v>12</v>
      </c>
      <c r="N2886" s="2">
        <v>25000</v>
      </c>
      <c r="O2886" s="2">
        <v>0</v>
      </c>
      <c r="P2886" s="2">
        <v>-25000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</row>
    <row r="2887" spans="1:23" outlineLevel="2" x14ac:dyDescent="0.2">
      <c r="A2887" t="s">
        <v>999</v>
      </c>
      <c r="B2887" t="s">
        <v>31</v>
      </c>
      <c r="C2887" t="s">
        <v>79</v>
      </c>
      <c r="D2887" t="s">
        <v>83</v>
      </c>
      <c r="E2887" t="s">
        <v>84</v>
      </c>
      <c r="F2887" t="s">
        <v>883</v>
      </c>
      <c r="G2887" t="s">
        <v>884</v>
      </c>
      <c r="H2887" t="s">
        <v>1274</v>
      </c>
      <c r="I2887" t="s">
        <v>1275</v>
      </c>
      <c r="J2887" t="s">
        <v>1000</v>
      </c>
      <c r="K2887" t="s">
        <v>1084</v>
      </c>
      <c r="L2887" t="s">
        <v>1277</v>
      </c>
      <c r="M2887" t="s">
        <v>12</v>
      </c>
      <c r="N2887" s="2">
        <v>30000</v>
      </c>
      <c r="O2887" s="2">
        <v>0</v>
      </c>
      <c r="P2887" s="2">
        <v>-30000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</row>
    <row r="2888" spans="1:23" outlineLevel="2" x14ac:dyDescent="0.2">
      <c r="A2888" t="s">
        <v>999</v>
      </c>
      <c r="B2888" t="s">
        <v>31</v>
      </c>
      <c r="C2888" t="s">
        <v>79</v>
      </c>
      <c r="D2888" t="s">
        <v>83</v>
      </c>
      <c r="E2888" t="s">
        <v>84</v>
      </c>
      <c r="F2888" t="s">
        <v>883</v>
      </c>
      <c r="G2888" t="s">
        <v>884</v>
      </c>
      <c r="H2888" t="s">
        <v>885</v>
      </c>
      <c r="I2888" t="s">
        <v>886</v>
      </c>
      <c r="J2888" t="s">
        <v>1000</v>
      </c>
      <c r="K2888" t="s">
        <v>1037</v>
      </c>
      <c r="L2888" t="s">
        <v>1258</v>
      </c>
      <c r="M2888" t="s">
        <v>12</v>
      </c>
      <c r="N2888" s="2">
        <v>5000</v>
      </c>
      <c r="O2888" s="2">
        <v>0</v>
      </c>
      <c r="P2888" s="2">
        <v>-5000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</row>
    <row r="2889" spans="1:23" outlineLevel="2" x14ac:dyDescent="0.2">
      <c r="A2889" t="s">
        <v>999</v>
      </c>
      <c r="B2889" t="s">
        <v>31</v>
      </c>
      <c r="C2889" t="s">
        <v>79</v>
      </c>
      <c r="D2889" t="s">
        <v>83</v>
      </c>
      <c r="E2889" t="s">
        <v>84</v>
      </c>
      <c r="F2889" t="s">
        <v>883</v>
      </c>
      <c r="G2889" t="s">
        <v>884</v>
      </c>
      <c r="H2889" t="s">
        <v>885</v>
      </c>
      <c r="I2889" t="s">
        <v>886</v>
      </c>
      <c r="J2889" t="s">
        <v>1000</v>
      </c>
      <c r="K2889" t="s">
        <v>1039</v>
      </c>
      <c r="L2889" t="s">
        <v>1278</v>
      </c>
      <c r="M2889" t="s">
        <v>12</v>
      </c>
      <c r="N2889" s="2">
        <v>16000</v>
      </c>
      <c r="O2889" s="2">
        <v>0</v>
      </c>
      <c r="P2889" s="2">
        <v>-16000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</row>
    <row r="2890" spans="1:23" outlineLevel="2" x14ac:dyDescent="0.2">
      <c r="A2890" t="s">
        <v>999</v>
      </c>
      <c r="B2890" t="s">
        <v>31</v>
      </c>
      <c r="C2890" t="s">
        <v>79</v>
      </c>
      <c r="D2890" t="s">
        <v>83</v>
      </c>
      <c r="E2890" t="s">
        <v>84</v>
      </c>
      <c r="F2890" t="s">
        <v>883</v>
      </c>
      <c r="G2890" t="s">
        <v>884</v>
      </c>
      <c r="H2890" t="s">
        <v>885</v>
      </c>
      <c r="I2890" t="s">
        <v>886</v>
      </c>
      <c r="J2890" t="s">
        <v>1000</v>
      </c>
      <c r="K2890" t="s">
        <v>1058</v>
      </c>
      <c r="L2890" t="s">
        <v>1279</v>
      </c>
      <c r="M2890" t="s">
        <v>12</v>
      </c>
      <c r="N2890" s="2">
        <v>10000</v>
      </c>
      <c r="O2890" s="2">
        <v>0</v>
      </c>
      <c r="P2890" s="2">
        <v>-10000</v>
      </c>
      <c r="Q2890" s="2">
        <v>0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</row>
    <row r="2891" spans="1:23" outlineLevel="2" x14ac:dyDescent="0.2">
      <c r="A2891" t="s">
        <v>999</v>
      </c>
      <c r="B2891" t="s">
        <v>31</v>
      </c>
      <c r="C2891" t="s">
        <v>79</v>
      </c>
      <c r="D2891" t="s">
        <v>83</v>
      </c>
      <c r="E2891" t="s">
        <v>84</v>
      </c>
      <c r="F2891" t="s">
        <v>883</v>
      </c>
      <c r="G2891" t="s">
        <v>884</v>
      </c>
      <c r="H2891" t="s">
        <v>885</v>
      </c>
      <c r="I2891" t="s">
        <v>886</v>
      </c>
      <c r="J2891" t="s">
        <v>1000</v>
      </c>
      <c r="K2891" t="s">
        <v>1017</v>
      </c>
      <c r="L2891" t="s">
        <v>1266</v>
      </c>
      <c r="M2891" t="s">
        <v>12</v>
      </c>
      <c r="N2891" s="2">
        <v>1430013.75</v>
      </c>
      <c r="O2891" s="2">
        <v>-400000</v>
      </c>
      <c r="P2891" s="2">
        <v>-1030013.75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</row>
    <row r="2892" spans="1:23" outlineLevel="2" x14ac:dyDescent="0.2">
      <c r="A2892" t="s">
        <v>999</v>
      </c>
      <c r="B2892" t="s">
        <v>31</v>
      </c>
      <c r="C2892" t="s">
        <v>79</v>
      </c>
      <c r="D2892" t="s">
        <v>83</v>
      </c>
      <c r="E2892" t="s">
        <v>84</v>
      </c>
      <c r="F2892" t="s">
        <v>883</v>
      </c>
      <c r="G2892" t="s">
        <v>884</v>
      </c>
      <c r="H2892" t="s">
        <v>885</v>
      </c>
      <c r="I2892" t="s">
        <v>886</v>
      </c>
      <c r="J2892" t="s">
        <v>1000</v>
      </c>
      <c r="K2892" t="s">
        <v>1267</v>
      </c>
      <c r="L2892" t="s">
        <v>1268</v>
      </c>
      <c r="M2892" t="s">
        <v>12</v>
      </c>
      <c r="N2892" s="2">
        <v>21000</v>
      </c>
      <c r="O2892" s="2">
        <v>0</v>
      </c>
      <c r="P2892" s="2">
        <v>-21000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</row>
    <row r="2893" spans="1:23" outlineLevel="2" x14ac:dyDescent="0.2">
      <c r="A2893" t="s">
        <v>999</v>
      </c>
      <c r="B2893" t="s">
        <v>31</v>
      </c>
      <c r="C2893" t="s">
        <v>79</v>
      </c>
      <c r="D2893" t="s">
        <v>83</v>
      </c>
      <c r="E2893" t="s">
        <v>84</v>
      </c>
      <c r="F2893" t="s">
        <v>883</v>
      </c>
      <c r="G2893" t="s">
        <v>884</v>
      </c>
      <c r="H2893" t="s">
        <v>885</v>
      </c>
      <c r="I2893" t="s">
        <v>886</v>
      </c>
      <c r="J2893" t="s">
        <v>1000</v>
      </c>
      <c r="K2893" t="s">
        <v>1029</v>
      </c>
      <c r="L2893" t="s">
        <v>1280</v>
      </c>
      <c r="M2893" t="s">
        <v>12</v>
      </c>
      <c r="N2893" s="2">
        <v>176986.25</v>
      </c>
      <c r="O2893" s="2">
        <v>0</v>
      </c>
      <c r="P2893" s="2">
        <v>-176986.25</v>
      </c>
      <c r="Q2893" s="2">
        <v>0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2">
        <v>0</v>
      </c>
    </row>
    <row r="2894" spans="1:23" outlineLevel="2" x14ac:dyDescent="0.2">
      <c r="A2894" t="s">
        <v>999</v>
      </c>
      <c r="B2894" t="s">
        <v>31</v>
      </c>
      <c r="C2894" t="s">
        <v>79</v>
      </c>
      <c r="D2894" t="s">
        <v>83</v>
      </c>
      <c r="E2894" t="s">
        <v>84</v>
      </c>
      <c r="F2894" t="s">
        <v>883</v>
      </c>
      <c r="G2894" t="s">
        <v>884</v>
      </c>
      <c r="H2894" t="s">
        <v>885</v>
      </c>
      <c r="I2894" t="s">
        <v>886</v>
      </c>
      <c r="J2894" t="s">
        <v>1000</v>
      </c>
      <c r="K2894" t="s">
        <v>1061</v>
      </c>
      <c r="L2894" t="s">
        <v>1270</v>
      </c>
      <c r="M2894" t="s">
        <v>12</v>
      </c>
      <c r="N2894" s="2">
        <v>16500</v>
      </c>
      <c r="O2894" s="2">
        <v>0</v>
      </c>
      <c r="P2894" s="2">
        <v>-16500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</row>
    <row r="2895" spans="1:23" outlineLevel="2" x14ac:dyDescent="0.2">
      <c r="A2895" t="s">
        <v>999</v>
      </c>
      <c r="B2895" t="s">
        <v>31</v>
      </c>
      <c r="C2895" t="s">
        <v>79</v>
      </c>
      <c r="D2895" t="s">
        <v>83</v>
      </c>
      <c r="E2895" t="s">
        <v>84</v>
      </c>
      <c r="F2895" t="s">
        <v>883</v>
      </c>
      <c r="G2895" t="s">
        <v>884</v>
      </c>
      <c r="H2895" t="s">
        <v>885</v>
      </c>
      <c r="I2895" t="s">
        <v>886</v>
      </c>
      <c r="J2895" t="s">
        <v>1000</v>
      </c>
      <c r="K2895" t="s">
        <v>1019</v>
      </c>
      <c r="L2895" t="s">
        <v>1276</v>
      </c>
      <c r="M2895" t="s">
        <v>12</v>
      </c>
      <c r="N2895" s="2">
        <v>14000</v>
      </c>
      <c r="O2895" s="2">
        <v>0</v>
      </c>
      <c r="P2895" s="2">
        <v>-14000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</row>
    <row r="2896" spans="1:23" outlineLevel="2" x14ac:dyDescent="0.2">
      <c r="A2896" t="s">
        <v>999</v>
      </c>
      <c r="B2896" t="s">
        <v>31</v>
      </c>
      <c r="C2896" t="s">
        <v>79</v>
      </c>
      <c r="D2896" t="s">
        <v>83</v>
      </c>
      <c r="E2896" t="s">
        <v>84</v>
      </c>
      <c r="F2896" t="s">
        <v>883</v>
      </c>
      <c r="G2896" t="s">
        <v>884</v>
      </c>
      <c r="H2896" t="s">
        <v>885</v>
      </c>
      <c r="I2896" t="s">
        <v>886</v>
      </c>
      <c r="J2896" t="s">
        <v>1000</v>
      </c>
      <c r="K2896" t="s">
        <v>1185</v>
      </c>
      <c r="L2896" t="s">
        <v>1281</v>
      </c>
      <c r="M2896" t="s">
        <v>12</v>
      </c>
      <c r="N2896" s="2">
        <v>18500</v>
      </c>
      <c r="O2896" s="2">
        <v>0</v>
      </c>
      <c r="P2896" s="2">
        <v>-18500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</row>
    <row r="2897" spans="1:23" outlineLevel="2" x14ac:dyDescent="0.2">
      <c r="A2897" t="s">
        <v>999</v>
      </c>
      <c r="B2897" t="s">
        <v>31</v>
      </c>
      <c r="C2897" t="s">
        <v>79</v>
      </c>
      <c r="D2897" t="s">
        <v>83</v>
      </c>
      <c r="E2897" t="s">
        <v>84</v>
      </c>
      <c r="F2897" t="s">
        <v>883</v>
      </c>
      <c r="G2897" t="s">
        <v>884</v>
      </c>
      <c r="H2897" t="s">
        <v>1282</v>
      </c>
      <c r="I2897" t="s">
        <v>1283</v>
      </c>
      <c r="J2897" t="s">
        <v>1000</v>
      </c>
      <c r="K2897" t="s">
        <v>1039</v>
      </c>
      <c r="L2897" t="s">
        <v>1278</v>
      </c>
      <c r="M2897" t="s">
        <v>12</v>
      </c>
      <c r="N2897" s="2">
        <v>15000</v>
      </c>
      <c r="O2897" s="2">
        <v>0</v>
      </c>
      <c r="P2897" s="2">
        <v>-15000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</row>
    <row r="2898" spans="1:23" outlineLevel="2" x14ac:dyDescent="0.2">
      <c r="A2898" t="s">
        <v>999</v>
      </c>
      <c r="B2898" t="s">
        <v>31</v>
      </c>
      <c r="C2898" t="s">
        <v>79</v>
      </c>
      <c r="D2898" t="s">
        <v>83</v>
      </c>
      <c r="E2898" t="s">
        <v>84</v>
      </c>
      <c r="F2898" t="s">
        <v>883</v>
      </c>
      <c r="G2898" t="s">
        <v>884</v>
      </c>
      <c r="H2898" t="s">
        <v>1282</v>
      </c>
      <c r="I2898" t="s">
        <v>1283</v>
      </c>
      <c r="J2898" t="s">
        <v>1000</v>
      </c>
      <c r="K2898" t="s">
        <v>1058</v>
      </c>
      <c r="L2898" t="s">
        <v>1279</v>
      </c>
      <c r="M2898" t="s">
        <v>12</v>
      </c>
      <c r="N2898" s="2">
        <v>10000</v>
      </c>
      <c r="O2898" s="2">
        <v>0</v>
      </c>
      <c r="P2898" s="2">
        <v>-10000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</row>
    <row r="2899" spans="1:23" outlineLevel="2" x14ac:dyDescent="0.2">
      <c r="A2899" t="s">
        <v>999</v>
      </c>
      <c r="B2899" t="s">
        <v>31</v>
      </c>
      <c r="C2899" t="s">
        <v>79</v>
      </c>
      <c r="D2899" t="s">
        <v>83</v>
      </c>
      <c r="E2899" t="s">
        <v>84</v>
      </c>
      <c r="F2899" t="s">
        <v>883</v>
      </c>
      <c r="G2899" t="s">
        <v>884</v>
      </c>
      <c r="H2899" t="s">
        <v>1282</v>
      </c>
      <c r="I2899" t="s">
        <v>1283</v>
      </c>
      <c r="J2899" t="s">
        <v>1000</v>
      </c>
      <c r="K2899" t="s">
        <v>1078</v>
      </c>
      <c r="L2899" t="s">
        <v>1284</v>
      </c>
      <c r="M2899" t="s">
        <v>12</v>
      </c>
      <c r="N2899" s="2">
        <v>8600</v>
      </c>
      <c r="O2899" s="2">
        <v>0</v>
      </c>
      <c r="P2899" s="2">
        <v>-8600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</row>
    <row r="2900" spans="1:23" outlineLevel="2" x14ac:dyDescent="0.2">
      <c r="A2900" t="s">
        <v>999</v>
      </c>
      <c r="B2900" t="s">
        <v>31</v>
      </c>
      <c r="C2900" t="s">
        <v>79</v>
      </c>
      <c r="D2900" t="s">
        <v>83</v>
      </c>
      <c r="E2900" t="s">
        <v>84</v>
      </c>
      <c r="F2900" t="s">
        <v>883</v>
      </c>
      <c r="G2900" t="s">
        <v>884</v>
      </c>
      <c r="H2900" t="s">
        <v>1282</v>
      </c>
      <c r="I2900" t="s">
        <v>1283</v>
      </c>
      <c r="J2900" t="s">
        <v>1000</v>
      </c>
      <c r="K2900" t="s">
        <v>1061</v>
      </c>
      <c r="L2900" t="s">
        <v>1270</v>
      </c>
      <c r="M2900" t="s">
        <v>12</v>
      </c>
      <c r="N2900" s="2">
        <v>86800</v>
      </c>
      <c r="O2900" s="2">
        <v>0</v>
      </c>
      <c r="P2900" s="2">
        <v>-86800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</row>
    <row r="2901" spans="1:23" outlineLevel="2" x14ac:dyDescent="0.2">
      <c r="A2901" t="s">
        <v>999</v>
      </c>
      <c r="B2901" t="s">
        <v>31</v>
      </c>
      <c r="C2901" t="s">
        <v>79</v>
      </c>
      <c r="D2901" t="s">
        <v>83</v>
      </c>
      <c r="E2901" t="s">
        <v>84</v>
      </c>
      <c r="F2901" t="s">
        <v>883</v>
      </c>
      <c r="G2901" t="s">
        <v>884</v>
      </c>
      <c r="H2901" t="s">
        <v>1282</v>
      </c>
      <c r="I2901" t="s">
        <v>1283</v>
      </c>
      <c r="J2901" t="s">
        <v>1000</v>
      </c>
      <c r="K2901" t="s">
        <v>1019</v>
      </c>
      <c r="L2901" t="s">
        <v>1276</v>
      </c>
      <c r="M2901" t="s">
        <v>12</v>
      </c>
      <c r="N2901" s="2">
        <v>23360</v>
      </c>
      <c r="O2901" s="2">
        <v>0</v>
      </c>
      <c r="P2901" s="2">
        <v>-23360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</row>
    <row r="2902" spans="1:23" outlineLevel="2" x14ac:dyDescent="0.2">
      <c r="A2902" t="s">
        <v>999</v>
      </c>
      <c r="B2902" t="s">
        <v>31</v>
      </c>
      <c r="C2902" t="s">
        <v>79</v>
      </c>
      <c r="D2902" t="s">
        <v>83</v>
      </c>
      <c r="E2902" t="s">
        <v>84</v>
      </c>
      <c r="F2902" t="s">
        <v>883</v>
      </c>
      <c r="G2902" t="s">
        <v>884</v>
      </c>
      <c r="H2902" t="s">
        <v>1282</v>
      </c>
      <c r="I2902" t="s">
        <v>1283</v>
      </c>
      <c r="J2902" t="s">
        <v>1000</v>
      </c>
      <c r="K2902" t="s">
        <v>1092</v>
      </c>
      <c r="L2902" t="s">
        <v>1285</v>
      </c>
      <c r="M2902" t="s">
        <v>12</v>
      </c>
      <c r="N2902" s="2">
        <v>2000</v>
      </c>
      <c r="O2902" s="2">
        <v>0</v>
      </c>
      <c r="P2902" s="2">
        <v>-2000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</row>
    <row r="2903" spans="1:23" outlineLevel="2" x14ac:dyDescent="0.2">
      <c r="A2903" t="s">
        <v>999</v>
      </c>
      <c r="B2903" t="s">
        <v>31</v>
      </c>
      <c r="C2903" t="s">
        <v>79</v>
      </c>
      <c r="D2903" t="s">
        <v>83</v>
      </c>
      <c r="E2903" t="s">
        <v>84</v>
      </c>
      <c r="F2903" t="s">
        <v>883</v>
      </c>
      <c r="G2903" t="s">
        <v>884</v>
      </c>
      <c r="H2903" t="s">
        <v>1282</v>
      </c>
      <c r="I2903" t="s">
        <v>1283</v>
      </c>
      <c r="J2903" t="s">
        <v>1000</v>
      </c>
      <c r="K2903" t="s">
        <v>1084</v>
      </c>
      <c r="L2903" t="s">
        <v>1277</v>
      </c>
      <c r="M2903" t="s">
        <v>12</v>
      </c>
      <c r="N2903" s="2">
        <v>7000</v>
      </c>
      <c r="O2903" s="2">
        <v>0</v>
      </c>
      <c r="P2903" s="2">
        <v>-7000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</row>
    <row r="2904" spans="1:23" outlineLevel="2" x14ac:dyDescent="0.2">
      <c r="A2904" t="s">
        <v>999</v>
      </c>
      <c r="B2904" t="s">
        <v>31</v>
      </c>
      <c r="C2904" t="s">
        <v>79</v>
      </c>
      <c r="D2904" t="s">
        <v>83</v>
      </c>
      <c r="E2904" t="s">
        <v>84</v>
      </c>
      <c r="F2904" t="s">
        <v>883</v>
      </c>
      <c r="G2904" t="s">
        <v>884</v>
      </c>
      <c r="H2904" t="s">
        <v>1286</v>
      </c>
      <c r="I2904" t="s">
        <v>1287</v>
      </c>
      <c r="J2904" t="s">
        <v>1000</v>
      </c>
      <c r="K2904" t="s">
        <v>1104</v>
      </c>
      <c r="L2904" t="s">
        <v>1288</v>
      </c>
      <c r="M2904" t="s">
        <v>12</v>
      </c>
      <c r="N2904" s="2">
        <v>1000</v>
      </c>
      <c r="O2904" s="2">
        <v>0</v>
      </c>
      <c r="P2904" s="2">
        <v>-1000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</row>
    <row r="2905" spans="1:23" outlineLevel="2" x14ac:dyDescent="0.2">
      <c r="A2905" t="s">
        <v>999</v>
      </c>
      <c r="B2905" t="s">
        <v>31</v>
      </c>
      <c r="C2905" t="s">
        <v>79</v>
      </c>
      <c r="D2905" t="s">
        <v>83</v>
      </c>
      <c r="E2905" t="s">
        <v>84</v>
      </c>
      <c r="F2905" t="s">
        <v>883</v>
      </c>
      <c r="G2905" t="s">
        <v>884</v>
      </c>
      <c r="H2905" t="s">
        <v>1286</v>
      </c>
      <c r="I2905" t="s">
        <v>1287</v>
      </c>
      <c r="J2905" t="s">
        <v>1000</v>
      </c>
      <c r="K2905" t="s">
        <v>1037</v>
      </c>
      <c r="L2905" t="s">
        <v>1258</v>
      </c>
      <c r="M2905" t="s">
        <v>12</v>
      </c>
      <c r="N2905" s="2">
        <v>206770.83</v>
      </c>
      <c r="O2905" s="2">
        <v>0</v>
      </c>
      <c r="P2905" s="2">
        <v>-206770.83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</row>
    <row r="2906" spans="1:23" outlineLevel="2" x14ac:dyDescent="0.2">
      <c r="A2906" t="s">
        <v>999</v>
      </c>
      <c r="B2906" t="s">
        <v>31</v>
      </c>
      <c r="C2906" t="s">
        <v>79</v>
      </c>
      <c r="D2906" t="s">
        <v>83</v>
      </c>
      <c r="E2906" t="s">
        <v>84</v>
      </c>
      <c r="F2906" t="s">
        <v>883</v>
      </c>
      <c r="G2906" t="s">
        <v>884</v>
      </c>
      <c r="H2906" t="s">
        <v>1286</v>
      </c>
      <c r="I2906" t="s">
        <v>1287</v>
      </c>
      <c r="J2906" t="s">
        <v>1000</v>
      </c>
      <c r="K2906" t="s">
        <v>1039</v>
      </c>
      <c r="L2906" t="s">
        <v>1278</v>
      </c>
      <c r="M2906" t="s">
        <v>12</v>
      </c>
      <c r="N2906" s="2">
        <v>186500</v>
      </c>
      <c r="O2906" s="2">
        <v>0</v>
      </c>
      <c r="P2906" s="2">
        <v>-186500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</row>
    <row r="2907" spans="1:23" outlineLevel="2" x14ac:dyDescent="0.2">
      <c r="A2907" t="s">
        <v>999</v>
      </c>
      <c r="B2907" t="s">
        <v>31</v>
      </c>
      <c r="C2907" t="s">
        <v>79</v>
      </c>
      <c r="D2907" t="s">
        <v>83</v>
      </c>
      <c r="E2907" t="s">
        <v>84</v>
      </c>
      <c r="F2907" t="s">
        <v>883</v>
      </c>
      <c r="G2907" t="s">
        <v>884</v>
      </c>
      <c r="H2907" t="s">
        <v>1286</v>
      </c>
      <c r="I2907" t="s">
        <v>1287</v>
      </c>
      <c r="J2907" t="s">
        <v>1000</v>
      </c>
      <c r="K2907" t="s">
        <v>1003</v>
      </c>
      <c r="L2907" t="s">
        <v>1264</v>
      </c>
      <c r="M2907" t="s">
        <v>12</v>
      </c>
      <c r="N2907" s="2">
        <v>374273.69</v>
      </c>
      <c r="O2907" s="2">
        <v>0</v>
      </c>
      <c r="P2907" s="2">
        <v>-374273.69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</row>
    <row r="2908" spans="1:23" outlineLevel="2" x14ac:dyDescent="0.2">
      <c r="A2908" t="s">
        <v>999</v>
      </c>
      <c r="B2908" t="s">
        <v>31</v>
      </c>
      <c r="C2908" t="s">
        <v>79</v>
      </c>
      <c r="D2908" t="s">
        <v>83</v>
      </c>
      <c r="E2908" t="s">
        <v>84</v>
      </c>
      <c r="F2908" t="s">
        <v>883</v>
      </c>
      <c r="G2908" t="s">
        <v>884</v>
      </c>
      <c r="H2908" t="s">
        <v>1286</v>
      </c>
      <c r="I2908" t="s">
        <v>1287</v>
      </c>
      <c r="J2908" t="s">
        <v>1000</v>
      </c>
      <c r="K2908" t="s">
        <v>1289</v>
      </c>
      <c r="L2908" t="s">
        <v>1290</v>
      </c>
      <c r="M2908" t="s">
        <v>12</v>
      </c>
      <c r="N2908" s="2">
        <v>150000</v>
      </c>
      <c r="O2908" s="2">
        <v>0</v>
      </c>
      <c r="P2908" s="2">
        <v>-150000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</row>
    <row r="2909" spans="1:23" outlineLevel="2" x14ac:dyDescent="0.2">
      <c r="A2909" t="s">
        <v>999</v>
      </c>
      <c r="B2909" t="s">
        <v>31</v>
      </c>
      <c r="C2909" t="s">
        <v>79</v>
      </c>
      <c r="D2909" t="s">
        <v>83</v>
      </c>
      <c r="E2909" t="s">
        <v>84</v>
      </c>
      <c r="F2909" t="s">
        <v>883</v>
      </c>
      <c r="G2909" t="s">
        <v>884</v>
      </c>
      <c r="H2909" t="s">
        <v>1286</v>
      </c>
      <c r="I2909" t="s">
        <v>1287</v>
      </c>
      <c r="J2909" t="s">
        <v>1000</v>
      </c>
      <c r="K2909" t="s">
        <v>1267</v>
      </c>
      <c r="L2909" t="s">
        <v>1268</v>
      </c>
      <c r="M2909" t="s">
        <v>12</v>
      </c>
      <c r="N2909" s="2">
        <v>584209.28</v>
      </c>
      <c r="O2909" s="2">
        <v>-15000</v>
      </c>
      <c r="P2909" s="2">
        <v>-549209.28</v>
      </c>
      <c r="Q2909" s="2">
        <v>20000</v>
      </c>
      <c r="R2909" s="2">
        <v>0</v>
      </c>
      <c r="S2909" s="2">
        <v>0</v>
      </c>
      <c r="T2909" s="2">
        <v>0</v>
      </c>
      <c r="U2909" s="2">
        <v>20000</v>
      </c>
      <c r="V2909" s="2">
        <v>20000</v>
      </c>
      <c r="W2909" s="2">
        <v>20000</v>
      </c>
    </row>
    <row r="2910" spans="1:23" outlineLevel="2" x14ac:dyDescent="0.2">
      <c r="A2910" t="s">
        <v>999</v>
      </c>
      <c r="B2910" t="s">
        <v>31</v>
      </c>
      <c r="C2910" t="s">
        <v>79</v>
      </c>
      <c r="D2910" t="s">
        <v>83</v>
      </c>
      <c r="E2910" t="s">
        <v>84</v>
      </c>
      <c r="F2910" t="s">
        <v>883</v>
      </c>
      <c r="G2910" t="s">
        <v>884</v>
      </c>
      <c r="H2910" t="s">
        <v>1286</v>
      </c>
      <c r="I2910" t="s">
        <v>1287</v>
      </c>
      <c r="J2910" t="s">
        <v>1000</v>
      </c>
      <c r="K2910" t="s">
        <v>1029</v>
      </c>
      <c r="L2910" t="s">
        <v>1280</v>
      </c>
      <c r="M2910" t="s">
        <v>12</v>
      </c>
      <c r="N2910" s="2">
        <v>300000</v>
      </c>
      <c r="O2910" s="2">
        <v>0</v>
      </c>
      <c r="P2910" s="2">
        <v>-300000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</row>
    <row r="2911" spans="1:23" outlineLevel="2" x14ac:dyDescent="0.2">
      <c r="A2911" t="s">
        <v>999</v>
      </c>
      <c r="B2911" t="s">
        <v>31</v>
      </c>
      <c r="C2911" t="s">
        <v>79</v>
      </c>
      <c r="D2911" t="s">
        <v>83</v>
      </c>
      <c r="E2911" t="s">
        <v>84</v>
      </c>
      <c r="F2911" t="s">
        <v>883</v>
      </c>
      <c r="G2911" t="s">
        <v>884</v>
      </c>
      <c r="H2911" t="s">
        <v>1286</v>
      </c>
      <c r="I2911" t="s">
        <v>1287</v>
      </c>
      <c r="J2911" t="s">
        <v>1000</v>
      </c>
      <c r="K2911" t="s">
        <v>1116</v>
      </c>
      <c r="L2911" t="s">
        <v>1291</v>
      </c>
      <c r="M2911" t="s">
        <v>12</v>
      </c>
      <c r="N2911" s="2">
        <v>127680</v>
      </c>
      <c r="O2911" s="2">
        <v>0</v>
      </c>
      <c r="P2911" s="2">
        <v>-127680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</row>
    <row r="2912" spans="1:23" outlineLevel="2" x14ac:dyDescent="0.2">
      <c r="A2912" t="s">
        <v>999</v>
      </c>
      <c r="B2912" t="s">
        <v>31</v>
      </c>
      <c r="C2912" t="s">
        <v>79</v>
      </c>
      <c r="D2912" t="s">
        <v>83</v>
      </c>
      <c r="E2912" t="s">
        <v>84</v>
      </c>
      <c r="F2912" t="s">
        <v>883</v>
      </c>
      <c r="G2912" t="s">
        <v>884</v>
      </c>
      <c r="H2912" t="s">
        <v>1286</v>
      </c>
      <c r="I2912" t="s">
        <v>1287</v>
      </c>
      <c r="J2912" t="s">
        <v>1000</v>
      </c>
      <c r="K2912" t="s">
        <v>1084</v>
      </c>
      <c r="L2912" t="s">
        <v>1277</v>
      </c>
      <c r="M2912" t="s">
        <v>12</v>
      </c>
      <c r="N2912" s="2">
        <v>463565.65</v>
      </c>
      <c r="O2912" s="2">
        <v>0</v>
      </c>
      <c r="P2912" s="2">
        <v>-463565.65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</row>
    <row r="2913" spans="1:23" outlineLevel="2" x14ac:dyDescent="0.2">
      <c r="A2913" t="s">
        <v>999</v>
      </c>
      <c r="B2913" t="s">
        <v>31</v>
      </c>
      <c r="C2913" t="s">
        <v>79</v>
      </c>
      <c r="D2913" t="s">
        <v>83</v>
      </c>
      <c r="E2913" t="s">
        <v>84</v>
      </c>
      <c r="F2913" t="s">
        <v>883</v>
      </c>
      <c r="G2913" t="s">
        <v>884</v>
      </c>
      <c r="H2913" t="s">
        <v>1286</v>
      </c>
      <c r="I2913" t="s">
        <v>1287</v>
      </c>
      <c r="J2913" t="s">
        <v>1000</v>
      </c>
      <c r="K2913" t="s">
        <v>1123</v>
      </c>
      <c r="L2913" t="s">
        <v>1292</v>
      </c>
      <c r="M2913" t="s">
        <v>12</v>
      </c>
      <c r="N2913" s="2">
        <v>3240</v>
      </c>
      <c r="O2913" s="2">
        <v>0</v>
      </c>
      <c r="P2913" s="2">
        <v>0</v>
      </c>
      <c r="Q2913" s="2">
        <v>3240</v>
      </c>
      <c r="R2913" s="2">
        <v>0</v>
      </c>
      <c r="S2913" s="2">
        <v>0</v>
      </c>
      <c r="T2913" s="2">
        <v>0</v>
      </c>
      <c r="U2913" s="2">
        <v>3240</v>
      </c>
      <c r="V2913" s="2">
        <v>3240</v>
      </c>
      <c r="W2913" s="2">
        <v>3240</v>
      </c>
    </row>
    <row r="2914" spans="1:23" outlineLevel="2" x14ac:dyDescent="0.2">
      <c r="A2914" t="s">
        <v>999</v>
      </c>
      <c r="B2914" t="s">
        <v>31</v>
      </c>
      <c r="C2914" t="s">
        <v>79</v>
      </c>
      <c r="D2914" t="s">
        <v>83</v>
      </c>
      <c r="E2914" t="s">
        <v>84</v>
      </c>
      <c r="F2914" t="s">
        <v>883</v>
      </c>
      <c r="G2914" t="s">
        <v>884</v>
      </c>
      <c r="H2914" t="s">
        <v>1293</v>
      </c>
      <c r="I2914" t="s">
        <v>1294</v>
      </c>
      <c r="J2914" t="s">
        <v>1000</v>
      </c>
      <c r="K2914" t="s">
        <v>1003</v>
      </c>
      <c r="L2914" t="s">
        <v>1264</v>
      </c>
      <c r="M2914" t="s">
        <v>12</v>
      </c>
      <c r="N2914" s="2">
        <v>1308464.8400000001</v>
      </c>
      <c r="O2914" s="2">
        <v>0</v>
      </c>
      <c r="P2914" s="2">
        <v>-680000</v>
      </c>
      <c r="Q2914" s="2">
        <v>628464.84</v>
      </c>
      <c r="R2914" s="2">
        <v>0</v>
      </c>
      <c r="S2914" s="2">
        <v>255000</v>
      </c>
      <c r="T2914" s="2">
        <v>0</v>
      </c>
      <c r="U2914" s="2">
        <v>373464.84</v>
      </c>
      <c r="V2914" s="2">
        <v>628464.84</v>
      </c>
      <c r="W2914" s="2">
        <v>373464.84</v>
      </c>
    </row>
    <row r="2915" spans="1:23" outlineLevel="2" x14ac:dyDescent="0.2">
      <c r="A2915" t="s">
        <v>999</v>
      </c>
      <c r="B2915" t="s">
        <v>31</v>
      </c>
      <c r="C2915" t="s">
        <v>79</v>
      </c>
      <c r="D2915" t="s">
        <v>83</v>
      </c>
      <c r="E2915" t="s">
        <v>84</v>
      </c>
      <c r="F2915" t="s">
        <v>883</v>
      </c>
      <c r="G2915" t="s">
        <v>884</v>
      </c>
      <c r="H2915" t="s">
        <v>1293</v>
      </c>
      <c r="I2915" t="s">
        <v>1294</v>
      </c>
      <c r="J2915" t="s">
        <v>1000</v>
      </c>
      <c r="K2915" t="s">
        <v>1015</v>
      </c>
      <c r="L2915" t="s">
        <v>1295</v>
      </c>
      <c r="M2915" t="s">
        <v>12</v>
      </c>
      <c r="N2915" s="2">
        <v>471065.16</v>
      </c>
      <c r="O2915" s="2">
        <v>0</v>
      </c>
      <c r="P2915" s="2">
        <v>-236065.16</v>
      </c>
      <c r="Q2915" s="2">
        <v>235000</v>
      </c>
      <c r="R2915" s="2">
        <v>0</v>
      </c>
      <c r="S2915" s="2">
        <v>15726.51</v>
      </c>
      <c r="T2915" s="2">
        <v>15726.51</v>
      </c>
      <c r="U2915" s="2">
        <v>219273.49</v>
      </c>
      <c r="V2915" s="2">
        <v>219273.49</v>
      </c>
      <c r="W2915" s="2">
        <v>219273.49</v>
      </c>
    </row>
    <row r="2916" spans="1:23" outlineLevel="2" x14ac:dyDescent="0.2">
      <c r="A2916" t="s">
        <v>999</v>
      </c>
      <c r="B2916" t="s">
        <v>31</v>
      </c>
      <c r="C2916" t="s">
        <v>79</v>
      </c>
      <c r="D2916" t="s">
        <v>83</v>
      </c>
      <c r="E2916" t="s">
        <v>84</v>
      </c>
      <c r="F2916" t="s">
        <v>883</v>
      </c>
      <c r="G2916" t="s">
        <v>884</v>
      </c>
      <c r="H2916" t="s">
        <v>1293</v>
      </c>
      <c r="I2916" t="s">
        <v>1294</v>
      </c>
      <c r="J2916" t="s">
        <v>1000</v>
      </c>
      <c r="K2916" t="s">
        <v>1017</v>
      </c>
      <c r="L2916" t="s">
        <v>1266</v>
      </c>
      <c r="M2916" t="s">
        <v>12</v>
      </c>
      <c r="N2916" s="2">
        <v>150000</v>
      </c>
      <c r="O2916" s="2">
        <v>0</v>
      </c>
      <c r="P2916" s="2">
        <v>-150000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</row>
    <row r="2917" spans="1:23" outlineLevel="2" x14ac:dyDescent="0.2">
      <c r="A2917" t="s">
        <v>999</v>
      </c>
      <c r="B2917" t="s">
        <v>31</v>
      </c>
      <c r="C2917" t="s">
        <v>79</v>
      </c>
      <c r="D2917" t="s">
        <v>83</v>
      </c>
      <c r="E2917" t="s">
        <v>84</v>
      </c>
      <c r="F2917" t="s">
        <v>883</v>
      </c>
      <c r="G2917" t="s">
        <v>884</v>
      </c>
      <c r="H2917" t="s">
        <v>1293</v>
      </c>
      <c r="I2917" t="s">
        <v>1294</v>
      </c>
      <c r="J2917" t="s">
        <v>1000</v>
      </c>
      <c r="K2917" t="s">
        <v>1031</v>
      </c>
      <c r="L2917" t="s">
        <v>1269</v>
      </c>
      <c r="M2917" t="s">
        <v>12</v>
      </c>
      <c r="N2917" s="2">
        <v>8500</v>
      </c>
      <c r="O2917" s="2">
        <v>0</v>
      </c>
      <c r="P2917" s="2">
        <v>0</v>
      </c>
      <c r="Q2917" s="2">
        <v>8500</v>
      </c>
      <c r="R2917" s="2">
        <v>0</v>
      </c>
      <c r="S2917" s="2">
        <v>0</v>
      </c>
      <c r="T2917" s="2">
        <v>0</v>
      </c>
      <c r="U2917" s="2">
        <v>8500</v>
      </c>
      <c r="V2917" s="2">
        <v>8500</v>
      </c>
      <c r="W2917" s="2">
        <v>8500</v>
      </c>
    </row>
    <row r="2918" spans="1:23" outlineLevel="2" x14ac:dyDescent="0.2">
      <c r="A2918" t="s">
        <v>999</v>
      </c>
      <c r="B2918" t="s">
        <v>31</v>
      </c>
      <c r="C2918" t="s">
        <v>79</v>
      </c>
      <c r="D2918" t="s">
        <v>83</v>
      </c>
      <c r="E2918" t="s">
        <v>84</v>
      </c>
      <c r="F2918" t="s">
        <v>883</v>
      </c>
      <c r="G2918" t="s">
        <v>884</v>
      </c>
      <c r="H2918" t="s">
        <v>1296</v>
      </c>
      <c r="I2918" t="s">
        <v>1297</v>
      </c>
      <c r="J2918" t="s">
        <v>1000</v>
      </c>
      <c r="K2918" t="s">
        <v>1298</v>
      </c>
      <c r="L2918" t="s">
        <v>1299</v>
      </c>
      <c r="M2918" t="s">
        <v>12</v>
      </c>
      <c r="N2918" s="2">
        <v>5000</v>
      </c>
      <c r="O2918" s="2">
        <v>0</v>
      </c>
      <c r="P2918" s="2">
        <v>-5000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</row>
    <row r="2919" spans="1:23" outlineLevel="2" x14ac:dyDescent="0.2">
      <c r="A2919" t="s">
        <v>999</v>
      </c>
      <c r="B2919" t="s">
        <v>31</v>
      </c>
      <c r="C2919" t="s">
        <v>79</v>
      </c>
      <c r="D2919" t="s">
        <v>83</v>
      </c>
      <c r="E2919" t="s">
        <v>84</v>
      </c>
      <c r="F2919" t="s">
        <v>883</v>
      </c>
      <c r="G2919" t="s">
        <v>884</v>
      </c>
      <c r="H2919" t="s">
        <v>1296</v>
      </c>
      <c r="I2919" t="s">
        <v>1297</v>
      </c>
      <c r="J2919" t="s">
        <v>1000</v>
      </c>
      <c r="K2919" t="s">
        <v>1078</v>
      </c>
      <c r="L2919" t="s">
        <v>1284</v>
      </c>
      <c r="M2919" t="s">
        <v>12</v>
      </c>
      <c r="N2919" s="2">
        <v>10000</v>
      </c>
      <c r="O2919" s="2">
        <v>0</v>
      </c>
      <c r="P2919" s="2">
        <v>-10000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</row>
    <row r="2920" spans="1:23" outlineLevel="2" x14ac:dyDescent="0.2">
      <c r="A2920" t="s">
        <v>999</v>
      </c>
      <c r="B2920" t="s">
        <v>31</v>
      </c>
      <c r="C2920" t="s">
        <v>79</v>
      </c>
      <c r="D2920" t="s">
        <v>83</v>
      </c>
      <c r="E2920" t="s">
        <v>84</v>
      </c>
      <c r="F2920" t="s">
        <v>883</v>
      </c>
      <c r="G2920" t="s">
        <v>884</v>
      </c>
      <c r="H2920" t="s">
        <v>1296</v>
      </c>
      <c r="I2920" t="s">
        <v>1297</v>
      </c>
      <c r="J2920" t="s">
        <v>1000</v>
      </c>
      <c r="K2920" t="s">
        <v>1084</v>
      </c>
      <c r="L2920" t="s">
        <v>1277</v>
      </c>
      <c r="M2920" t="s">
        <v>12</v>
      </c>
      <c r="N2920" s="2">
        <v>20000</v>
      </c>
      <c r="O2920" s="2">
        <v>0</v>
      </c>
      <c r="P2920" s="2">
        <v>-20000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</row>
    <row r="2921" spans="1:23" outlineLevel="2" x14ac:dyDescent="0.2">
      <c r="A2921" t="s">
        <v>999</v>
      </c>
      <c r="B2921" t="s">
        <v>31</v>
      </c>
      <c r="C2921" t="s">
        <v>32</v>
      </c>
      <c r="D2921" t="s">
        <v>141</v>
      </c>
      <c r="E2921" t="s">
        <v>142</v>
      </c>
      <c r="F2921" t="s">
        <v>1300</v>
      </c>
      <c r="G2921" t="s">
        <v>1301</v>
      </c>
      <c r="H2921" t="s">
        <v>1302</v>
      </c>
      <c r="I2921" t="s">
        <v>1303</v>
      </c>
      <c r="J2921" t="s">
        <v>1000</v>
      </c>
      <c r="K2921" t="s">
        <v>1088</v>
      </c>
      <c r="L2921" t="s">
        <v>1304</v>
      </c>
      <c r="M2921" t="s">
        <v>12</v>
      </c>
      <c r="N2921" s="2">
        <v>3500</v>
      </c>
      <c r="O2921" s="2">
        <v>-3500</v>
      </c>
      <c r="P2921" s="2">
        <v>0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</row>
    <row r="2922" spans="1:23" outlineLevel="2" x14ac:dyDescent="0.2">
      <c r="A2922" t="s">
        <v>999</v>
      </c>
      <c r="B2922" t="s">
        <v>31</v>
      </c>
      <c r="C2922" t="s">
        <v>32</v>
      </c>
      <c r="D2922" t="s">
        <v>141</v>
      </c>
      <c r="E2922" t="s">
        <v>142</v>
      </c>
      <c r="F2922" t="s">
        <v>1300</v>
      </c>
      <c r="G2922" t="s">
        <v>1301</v>
      </c>
      <c r="H2922" t="s">
        <v>1302</v>
      </c>
      <c r="I2922" t="s">
        <v>1303</v>
      </c>
      <c r="J2922" t="s">
        <v>1000</v>
      </c>
      <c r="K2922" t="s">
        <v>1090</v>
      </c>
      <c r="L2922" t="s">
        <v>1305</v>
      </c>
      <c r="M2922" t="s">
        <v>12</v>
      </c>
      <c r="N2922" s="2">
        <v>3500</v>
      </c>
      <c r="O2922" s="2">
        <v>-3500</v>
      </c>
      <c r="P2922" s="2">
        <v>0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</row>
    <row r="2923" spans="1:23" outlineLevel="2" x14ac:dyDescent="0.2">
      <c r="A2923" t="s">
        <v>999</v>
      </c>
      <c r="B2923" t="s">
        <v>31</v>
      </c>
      <c r="C2923" t="s">
        <v>32</v>
      </c>
      <c r="D2923" t="s">
        <v>141</v>
      </c>
      <c r="E2923" t="s">
        <v>142</v>
      </c>
      <c r="F2923" t="s">
        <v>1300</v>
      </c>
      <c r="G2923" t="s">
        <v>1301</v>
      </c>
      <c r="H2923" t="s">
        <v>1302</v>
      </c>
      <c r="I2923" t="s">
        <v>1303</v>
      </c>
      <c r="J2923" t="s">
        <v>1000</v>
      </c>
      <c r="K2923" t="s">
        <v>1015</v>
      </c>
      <c r="L2923" t="s">
        <v>1306</v>
      </c>
      <c r="M2923" t="s">
        <v>12</v>
      </c>
      <c r="N2923" s="2">
        <v>65000</v>
      </c>
      <c r="O2923" s="2">
        <v>-65000</v>
      </c>
      <c r="P2923" s="2">
        <v>0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</row>
    <row r="2924" spans="1:23" outlineLevel="2" x14ac:dyDescent="0.2">
      <c r="A2924" t="s">
        <v>999</v>
      </c>
      <c r="B2924" t="s">
        <v>31</v>
      </c>
      <c r="C2924" t="s">
        <v>49</v>
      </c>
      <c r="D2924" t="s">
        <v>50</v>
      </c>
      <c r="E2924" t="s">
        <v>51</v>
      </c>
      <c r="F2924" t="s">
        <v>893</v>
      </c>
      <c r="G2924" t="s">
        <v>894</v>
      </c>
      <c r="H2924" t="s">
        <v>895</v>
      </c>
      <c r="I2924" t="s">
        <v>896</v>
      </c>
      <c r="J2924" t="s">
        <v>1000</v>
      </c>
      <c r="K2924" t="s">
        <v>1037</v>
      </c>
      <c r="L2924" t="s">
        <v>1307</v>
      </c>
      <c r="M2924" t="s">
        <v>12</v>
      </c>
      <c r="N2924" s="2">
        <v>0</v>
      </c>
      <c r="O2924" s="2">
        <v>0</v>
      </c>
      <c r="P2924" s="2">
        <v>28000</v>
      </c>
      <c r="Q2924" s="2">
        <v>28000</v>
      </c>
      <c r="R2924" s="2">
        <v>811.04</v>
      </c>
      <c r="S2924" s="2">
        <v>5620</v>
      </c>
      <c r="T2924" s="2">
        <v>0</v>
      </c>
      <c r="U2924" s="2">
        <v>22380</v>
      </c>
      <c r="V2924" s="2">
        <v>28000</v>
      </c>
      <c r="W2924" s="2">
        <v>21568.959999999999</v>
      </c>
    </row>
    <row r="2925" spans="1:23" outlineLevel="2" x14ac:dyDescent="0.2">
      <c r="A2925" t="s">
        <v>999</v>
      </c>
      <c r="B2925" t="s">
        <v>31</v>
      </c>
      <c r="C2925" t="s">
        <v>49</v>
      </c>
      <c r="D2925" t="s">
        <v>50</v>
      </c>
      <c r="E2925" t="s">
        <v>51</v>
      </c>
      <c r="F2925" t="s">
        <v>893</v>
      </c>
      <c r="G2925" t="s">
        <v>894</v>
      </c>
      <c r="H2925" t="s">
        <v>895</v>
      </c>
      <c r="I2925" t="s">
        <v>896</v>
      </c>
      <c r="J2925" t="s">
        <v>1000</v>
      </c>
      <c r="K2925" t="s">
        <v>1039</v>
      </c>
      <c r="L2925" t="s">
        <v>1308</v>
      </c>
      <c r="M2925" t="s">
        <v>12</v>
      </c>
      <c r="N2925" s="2">
        <v>7000</v>
      </c>
      <c r="O2925" s="2">
        <v>0</v>
      </c>
      <c r="P2925" s="2">
        <v>38080.480000000003</v>
      </c>
      <c r="Q2925" s="2">
        <v>45080.480000000003</v>
      </c>
      <c r="R2925" s="2">
        <v>7000</v>
      </c>
      <c r="S2925" s="2">
        <v>0</v>
      </c>
      <c r="T2925" s="2">
        <v>0</v>
      </c>
      <c r="U2925" s="2">
        <v>45080.480000000003</v>
      </c>
      <c r="V2925" s="2">
        <v>45080.480000000003</v>
      </c>
      <c r="W2925" s="2">
        <v>38080.480000000003</v>
      </c>
    </row>
    <row r="2926" spans="1:23" outlineLevel="2" x14ac:dyDescent="0.2">
      <c r="A2926" t="s">
        <v>999</v>
      </c>
      <c r="B2926" t="s">
        <v>31</v>
      </c>
      <c r="C2926" t="s">
        <v>49</v>
      </c>
      <c r="D2926" t="s">
        <v>50</v>
      </c>
      <c r="E2926" t="s">
        <v>51</v>
      </c>
      <c r="F2926" t="s">
        <v>893</v>
      </c>
      <c r="G2926" t="s">
        <v>894</v>
      </c>
      <c r="H2926" t="s">
        <v>895</v>
      </c>
      <c r="I2926" t="s">
        <v>896</v>
      </c>
      <c r="J2926" t="s">
        <v>1000</v>
      </c>
      <c r="K2926" t="s">
        <v>1068</v>
      </c>
      <c r="L2926" t="s">
        <v>1309</v>
      </c>
      <c r="M2926" t="s">
        <v>12</v>
      </c>
      <c r="N2926" s="2">
        <v>172000</v>
      </c>
      <c r="O2926" s="2">
        <v>-929.6</v>
      </c>
      <c r="P2926" s="2">
        <v>-5000</v>
      </c>
      <c r="Q2926" s="2">
        <v>166070.39999999999</v>
      </c>
      <c r="R2926" s="2">
        <v>0</v>
      </c>
      <c r="S2926" s="2">
        <v>0</v>
      </c>
      <c r="T2926" s="2">
        <v>0</v>
      </c>
      <c r="U2926" s="2">
        <v>166070.39999999999</v>
      </c>
      <c r="V2926" s="2">
        <v>166070.39999999999</v>
      </c>
      <c r="W2926" s="2">
        <v>166070.39999999999</v>
      </c>
    </row>
    <row r="2927" spans="1:23" outlineLevel="2" x14ac:dyDescent="0.2">
      <c r="A2927" t="s">
        <v>999</v>
      </c>
      <c r="B2927" t="s">
        <v>31</v>
      </c>
      <c r="C2927" t="s">
        <v>49</v>
      </c>
      <c r="D2927" t="s">
        <v>50</v>
      </c>
      <c r="E2927" t="s">
        <v>51</v>
      </c>
      <c r="F2927" t="s">
        <v>893</v>
      </c>
      <c r="G2927" t="s">
        <v>894</v>
      </c>
      <c r="H2927" t="s">
        <v>895</v>
      </c>
      <c r="I2927" t="s">
        <v>896</v>
      </c>
      <c r="J2927" t="s">
        <v>1000</v>
      </c>
      <c r="K2927" t="s">
        <v>1003</v>
      </c>
      <c r="L2927" t="s">
        <v>1310</v>
      </c>
      <c r="M2927" t="s">
        <v>12</v>
      </c>
      <c r="N2927" s="2">
        <v>2500</v>
      </c>
      <c r="O2927" s="2">
        <v>0</v>
      </c>
      <c r="P2927" s="2">
        <v>37500</v>
      </c>
      <c r="Q2927" s="2">
        <v>40000</v>
      </c>
      <c r="R2927" s="2">
        <v>5040</v>
      </c>
      <c r="S2927" s="2">
        <v>0</v>
      </c>
      <c r="T2927" s="2">
        <v>0</v>
      </c>
      <c r="U2927" s="2">
        <v>40000</v>
      </c>
      <c r="V2927" s="2">
        <v>40000</v>
      </c>
      <c r="W2927" s="2">
        <v>34960</v>
      </c>
    </row>
    <row r="2928" spans="1:23" outlineLevel="2" x14ac:dyDescent="0.2">
      <c r="A2928" t="s">
        <v>999</v>
      </c>
      <c r="B2928" t="s">
        <v>31</v>
      </c>
      <c r="C2928" t="s">
        <v>49</v>
      </c>
      <c r="D2928" t="s">
        <v>50</v>
      </c>
      <c r="E2928" t="s">
        <v>51</v>
      </c>
      <c r="F2928" t="s">
        <v>893</v>
      </c>
      <c r="G2928" t="s">
        <v>894</v>
      </c>
      <c r="H2928" t="s">
        <v>895</v>
      </c>
      <c r="I2928" t="s">
        <v>896</v>
      </c>
      <c r="J2928" t="s">
        <v>1000</v>
      </c>
      <c r="K2928" t="s">
        <v>1017</v>
      </c>
      <c r="L2928" t="s">
        <v>1311</v>
      </c>
      <c r="M2928" t="s">
        <v>12</v>
      </c>
      <c r="N2928" s="2">
        <v>30000</v>
      </c>
      <c r="O2928" s="2">
        <v>0</v>
      </c>
      <c r="P2928" s="2">
        <v>-30000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</row>
    <row r="2929" spans="1:23" outlineLevel="2" x14ac:dyDescent="0.2">
      <c r="A2929" t="s">
        <v>999</v>
      </c>
      <c r="B2929" t="s">
        <v>31</v>
      </c>
      <c r="C2929" t="s">
        <v>49</v>
      </c>
      <c r="D2929" t="s">
        <v>50</v>
      </c>
      <c r="E2929" t="s">
        <v>51</v>
      </c>
      <c r="F2929" t="s">
        <v>893</v>
      </c>
      <c r="G2929" t="s">
        <v>894</v>
      </c>
      <c r="H2929" t="s">
        <v>895</v>
      </c>
      <c r="I2929" t="s">
        <v>896</v>
      </c>
      <c r="J2929" t="s">
        <v>1000</v>
      </c>
      <c r="K2929" t="s">
        <v>1078</v>
      </c>
      <c r="L2929" t="s">
        <v>1312</v>
      </c>
      <c r="M2929" t="s">
        <v>12</v>
      </c>
      <c r="N2929" s="2">
        <v>8000</v>
      </c>
      <c r="O2929" s="2">
        <v>0</v>
      </c>
      <c r="P2929" s="2">
        <v>-6902.4</v>
      </c>
      <c r="Q2929" s="2">
        <v>1097.5999999999999</v>
      </c>
      <c r="R2929" s="2">
        <v>0</v>
      </c>
      <c r="S2929" s="2">
        <v>1097.5999999999999</v>
      </c>
      <c r="T2929" s="2">
        <v>1097.5999999999999</v>
      </c>
      <c r="U2929" s="2">
        <v>0</v>
      </c>
      <c r="V2929" s="2">
        <v>0</v>
      </c>
      <c r="W2929" s="2">
        <v>0</v>
      </c>
    </row>
    <row r="2930" spans="1:23" outlineLevel="2" x14ac:dyDescent="0.2">
      <c r="A2930" t="s">
        <v>999</v>
      </c>
      <c r="B2930" t="s">
        <v>31</v>
      </c>
      <c r="C2930" t="s">
        <v>49</v>
      </c>
      <c r="D2930" t="s">
        <v>50</v>
      </c>
      <c r="E2930" t="s">
        <v>51</v>
      </c>
      <c r="F2930" t="s">
        <v>893</v>
      </c>
      <c r="G2930" t="s">
        <v>894</v>
      </c>
      <c r="H2930" t="s">
        <v>895</v>
      </c>
      <c r="I2930" t="s">
        <v>896</v>
      </c>
      <c r="J2930" t="s">
        <v>1000</v>
      </c>
      <c r="K2930" t="s">
        <v>1313</v>
      </c>
      <c r="L2930" t="s">
        <v>1314</v>
      </c>
      <c r="M2930" t="s">
        <v>12</v>
      </c>
      <c r="N2930" s="2">
        <v>0</v>
      </c>
      <c r="O2930" s="2">
        <v>818.72</v>
      </c>
      <c r="P2930" s="2">
        <v>850</v>
      </c>
      <c r="Q2930" s="2">
        <v>1668.72</v>
      </c>
      <c r="R2930" s="2">
        <v>0</v>
      </c>
      <c r="S2930" s="2">
        <v>818.72</v>
      </c>
      <c r="T2930" s="2">
        <v>0</v>
      </c>
      <c r="U2930" s="2">
        <v>850</v>
      </c>
      <c r="V2930" s="2">
        <v>1668.72</v>
      </c>
      <c r="W2930" s="2">
        <v>850</v>
      </c>
    </row>
    <row r="2931" spans="1:23" outlineLevel="2" x14ac:dyDescent="0.2">
      <c r="A2931" t="s">
        <v>999</v>
      </c>
      <c r="B2931" t="s">
        <v>31</v>
      </c>
      <c r="C2931" t="s">
        <v>49</v>
      </c>
      <c r="D2931" t="s">
        <v>50</v>
      </c>
      <c r="E2931" t="s">
        <v>51</v>
      </c>
      <c r="F2931" t="s">
        <v>893</v>
      </c>
      <c r="G2931" t="s">
        <v>894</v>
      </c>
      <c r="H2931" t="s">
        <v>895</v>
      </c>
      <c r="I2931" t="s">
        <v>896</v>
      </c>
      <c r="J2931" t="s">
        <v>1000</v>
      </c>
      <c r="K2931" t="s">
        <v>1315</v>
      </c>
      <c r="L2931" t="s">
        <v>1316</v>
      </c>
      <c r="M2931" t="s">
        <v>12</v>
      </c>
      <c r="N2931" s="2">
        <v>0</v>
      </c>
      <c r="O2931" s="2">
        <v>110.88</v>
      </c>
      <c r="P2931" s="2">
        <v>115</v>
      </c>
      <c r="Q2931" s="2">
        <v>225.88</v>
      </c>
      <c r="R2931" s="2">
        <v>0</v>
      </c>
      <c r="S2931" s="2">
        <v>110.88</v>
      </c>
      <c r="T2931" s="2">
        <v>0</v>
      </c>
      <c r="U2931" s="2">
        <v>115</v>
      </c>
      <c r="V2931" s="2">
        <v>225.88</v>
      </c>
      <c r="W2931" s="2">
        <v>115</v>
      </c>
    </row>
    <row r="2932" spans="1:23" outlineLevel="2" x14ac:dyDescent="0.2">
      <c r="A2932" t="s">
        <v>999</v>
      </c>
      <c r="B2932" t="s">
        <v>31</v>
      </c>
      <c r="C2932" t="s">
        <v>49</v>
      </c>
      <c r="D2932" t="s">
        <v>50</v>
      </c>
      <c r="E2932" t="s">
        <v>51</v>
      </c>
      <c r="F2932" t="s">
        <v>893</v>
      </c>
      <c r="G2932" t="s">
        <v>894</v>
      </c>
      <c r="H2932" t="s">
        <v>895</v>
      </c>
      <c r="I2932" t="s">
        <v>896</v>
      </c>
      <c r="J2932" t="s">
        <v>1000</v>
      </c>
      <c r="K2932" t="s">
        <v>1084</v>
      </c>
      <c r="L2932" t="s">
        <v>1317</v>
      </c>
      <c r="M2932" t="s">
        <v>12</v>
      </c>
      <c r="N2932" s="2">
        <v>0</v>
      </c>
      <c r="O2932" s="2">
        <v>0</v>
      </c>
      <c r="P2932" s="2">
        <v>7000</v>
      </c>
      <c r="Q2932" s="2">
        <v>7000</v>
      </c>
      <c r="R2932" s="2">
        <v>7000</v>
      </c>
      <c r="S2932" s="2">
        <v>0</v>
      </c>
      <c r="T2932" s="2">
        <v>0</v>
      </c>
      <c r="U2932" s="2">
        <v>7000</v>
      </c>
      <c r="V2932" s="2">
        <v>7000</v>
      </c>
      <c r="W2932" s="2">
        <v>0</v>
      </c>
    </row>
    <row r="2933" spans="1:23" outlineLevel="2" x14ac:dyDescent="0.2">
      <c r="A2933" t="s">
        <v>999</v>
      </c>
      <c r="B2933" t="s">
        <v>31</v>
      </c>
      <c r="C2933" t="s">
        <v>49</v>
      </c>
      <c r="D2933" t="s">
        <v>50</v>
      </c>
      <c r="E2933" t="s">
        <v>51</v>
      </c>
      <c r="F2933" t="s">
        <v>893</v>
      </c>
      <c r="G2933" t="s">
        <v>894</v>
      </c>
      <c r="H2933" t="s">
        <v>895</v>
      </c>
      <c r="I2933" t="s">
        <v>896</v>
      </c>
      <c r="J2933" t="s">
        <v>1000</v>
      </c>
      <c r="K2933" t="s">
        <v>1118</v>
      </c>
      <c r="L2933" t="s">
        <v>1318</v>
      </c>
      <c r="M2933" t="s">
        <v>12</v>
      </c>
      <c r="N2933" s="2">
        <v>4000</v>
      </c>
      <c r="O2933" s="2">
        <v>0</v>
      </c>
      <c r="P2933" s="2">
        <v>-2965</v>
      </c>
      <c r="Q2933" s="2">
        <v>1035</v>
      </c>
      <c r="R2933" s="2">
        <v>0</v>
      </c>
      <c r="S2933" s="2">
        <v>680.96</v>
      </c>
      <c r="T2933" s="2">
        <v>0</v>
      </c>
      <c r="U2933" s="2">
        <v>354.04</v>
      </c>
      <c r="V2933" s="2">
        <v>1035</v>
      </c>
      <c r="W2933" s="2">
        <v>354.04</v>
      </c>
    </row>
    <row r="2934" spans="1:23" outlineLevel="2" x14ac:dyDescent="0.2">
      <c r="A2934" t="s">
        <v>999</v>
      </c>
      <c r="B2934" t="s">
        <v>31</v>
      </c>
      <c r="C2934" t="s">
        <v>49</v>
      </c>
      <c r="D2934" t="s">
        <v>50</v>
      </c>
      <c r="E2934" t="s">
        <v>51</v>
      </c>
      <c r="F2934" t="s">
        <v>893</v>
      </c>
      <c r="G2934" t="s">
        <v>894</v>
      </c>
      <c r="H2934" t="s">
        <v>895</v>
      </c>
      <c r="I2934" t="s">
        <v>896</v>
      </c>
      <c r="J2934" t="s">
        <v>1000</v>
      </c>
      <c r="K2934" t="s">
        <v>1183</v>
      </c>
      <c r="L2934" t="s">
        <v>1319</v>
      </c>
      <c r="M2934" t="s">
        <v>12</v>
      </c>
      <c r="N2934" s="2">
        <v>500</v>
      </c>
      <c r="O2934" s="2">
        <v>0</v>
      </c>
      <c r="P2934" s="2">
        <v>0</v>
      </c>
      <c r="Q2934" s="2">
        <v>500</v>
      </c>
      <c r="R2934" s="2">
        <v>500</v>
      </c>
      <c r="S2934" s="2">
        <v>0</v>
      </c>
      <c r="T2934" s="2">
        <v>0</v>
      </c>
      <c r="U2934" s="2">
        <v>500</v>
      </c>
      <c r="V2934" s="2">
        <v>500</v>
      </c>
      <c r="W2934" s="2">
        <v>0</v>
      </c>
    </row>
    <row r="2935" spans="1:23" outlineLevel="2" x14ac:dyDescent="0.2">
      <c r="A2935" t="s">
        <v>999</v>
      </c>
      <c r="B2935" t="s">
        <v>39</v>
      </c>
      <c r="C2935" t="s">
        <v>58</v>
      </c>
      <c r="D2935" t="s">
        <v>135</v>
      </c>
      <c r="E2935" t="s">
        <v>136</v>
      </c>
      <c r="F2935" t="s">
        <v>893</v>
      </c>
      <c r="G2935" t="s">
        <v>894</v>
      </c>
      <c r="H2935" t="s">
        <v>902</v>
      </c>
      <c r="I2935" t="s">
        <v>903</v>
      </c>
      <c r="J2935" t="s">
        <v>1000</v>
      </c>
      <c r="K2935" t="s">
        <v>1037</v>
      </c>
      <c r="L2935" t="s">
        <v>1320</v>
      </c>
      <c r="M2935" t="s">
        <v>12</v>
      </c>
      <c r="N2935" s="2">
        <v>10000</v>
      </c>
      <c r="O2935" s="2">
        <v>0</v>
      </c>
      <c r="P2935" s="2">
        <v>-10000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</row>
    <row r="2936" spans="1:23" outlineLevel="2" x14ac:dyDescent="0.2">
      <c r="A2936" t="s">
        <v>999</v>
      </c>
      <c r="B2936" t="s">
        <v>39</v>
      </c>
      <c r="C2936" t="s">
        <v>58</v>
      </c>
      <c r="D2936" t="s">
        <v>129</v>
      </c>
      <c r="E2936" t="s">
        <v>130</v>
      </c>
      <c r="F2936" t="s">
        <v>893</v>
      </c>
      <c r="G2936" t="s">
        <v>894</v>
      </c>
      <c r="H2936" t="s">
        <v>902</v>
      </c>
      <c r="I2936" t="s">
        <v>903</v>
      </c>
      <c r="J2936" t="s">
        <v>1000</v>
      </c>
      <c r="K2936" t="s">
        <v>1037</v>
      </c>
      <c r="L2936" t="s">
        <v>1320</v>
      </c>
      <c r="M2936" t="s">
        <v>12</v>
      </c>
      <c r="N2936" s="2">
        <v>3000</v>
      </c>
      <c r="O2936" s="2">
        <v>0</v>
      </c>
      <c r="P2936" s="2">
        <v>-3000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</row>
    <row r="2937" spans="1:23" outlineLevel="2" x14ac:dyDescent="0.2">
      <c r="A2937" t="s">
        <v>999</v>
      </c>
      <c r="B2937" t="s">
        <v>31</v>
      </c>
      <c r="C2937" t="s">
        <v>49</v>
      </c>
      <c r="D2937" t="s">
        <v>50</v>
      </c>
      <c r="E2937" t="s">
        <v>51</v>
      </c>
      <c r="F2937" t="s">
        <v>893</v>
      </c>
      <c r="G2937" t="s">
        <v>894</v>
      </c>
      <c r="H2937" t="s">
        <v>902</v>
      </c>
      <c r="I2937" t="s">
        <v>903</v>
      </c>
      <c r="J2937" t="s">
        <v>1000</v>
      </c>
      <c r="K2937" t="s">
        <v>1037</v>
      </c>
      <c r="L2937" t="s">
        <v>1307</v>
      </c>
      <c r="M2937" t="s">
        <v>12</v>
      </c>
      <c r="N2937" s="2">
        <v>50000</v>
      </c>
      <c r="O2937" s="2">
        <v>0</v>
      </c>
      <c r="P2937" s="2">
        <v>-50000</v>
      </c>
      <c r="Q2937" s="2">
        <v>0</v>
      </c>
      <c r="R2937" s="2">
        <v>0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</row>
    <row r="2938" spans="1:23" outlineLevel="2" x14ac:dyDescent="0.2">
      <c r="A2938" t="s">
        <v>999</v>
      </c>
      <c r="B2938" t="s">
        <v>39</v>
      </c>
      <c r="C2938" t="s">
        <v>58</v>
      </c>
      <c r="D2938" t="s">
        <v>139</v>
      </c>
      <c r="E2938" t="s">
        <v>140</v>
      </c>
      <c r="F2938" t="s">
        <v>893</v>
      </c>
      <c r="G2938" t="s">
        <v>894</v>
      </c>
      <c r="H2938" t="s">
        <v>902</v>
      </c>
      <c r="I2938" t="s">
        <v>903</v>
      </c>
      <c r="J2938" t="s">
        <v>1000</v>
      </c>
      <c r="K2938" t="s">
        <v>1037</v>
      </c>
      <c r="L2938" t="s">
        <v>1320</v>
      </c>
      <c r="M2938" t="s">
        <v>12</v>
      </c>
      <c r="N2938" s="2">
        <v>8000</v>
      </c>
      <c r="O2938" s="2">
        <v>0</v>
      </c>
      <c r="P2938" s="2">
        <v>-8000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</row>
    <row r="2939" spans="1:23" outlineLevel="2" x14ac:dyDescent="0.2">
      <c r="A2939" t="s">
        <v>999</v>
      </c>
      <c r="B2939" t="s">
        <v>39</v>
      </c>
      <c r="C2939" t="s">
        <v>58</v>
      </c>
      <c r="D2939" t="s">
        <v>137</v>
      </c>
      <c r="E2939" t="s">
        <v>138</v>
      </c>
      <c r="F2939" t="s">
        <v>893</v>
      </c>
      <c r="G2939" t="s">
        <v>894</v>
      </c>
      <c r="H2939" t="s">
        <v>902</v>
      </c>
      <c r="I2939" t="s">
        <v>903</v>
      </c>
      <c r="J2939" t="s">
        <v>1000</v>
      </c>
      <c r="K2939" t="s">
        <v>1037</v>
      </c>
      <c r="L2939" t="s">
        <v>1320</v>
      </c>
      <c r="M2939" t="s">
        <v>12</v>
      </c>
      <c r="N2939" s="2">
        <v>2000</v>
      </c>
      <c r="O2939" s="2">
        <v>0</v>
      </c>
      <c r="P2939" s="2">
        <v>-2000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</row>
    <row r="2940" spans="1:23" outlineLevel="2" x14ac:dyDescent="0.2">
      <c r="A2940" t="s">
        <v>999</v>
      </c>
      <c r="B2940" t="s">
        <v>39</v>
      </c>
      <c r="C2940" t="s">
        <v>58</v>
      </c>
      <c r="D2940" t="s">
        <v>145</v>
      </c>
      <c r="E2940" t="s">
        <v>146</v>
      </c>
      <c r="F2940" t="s">
        <v>893</v>
      </c>
      <c r="G2940" t="s">
        <v>894</v>
      </c>
      <c r="H2940" t="s">
        <v>902</v>
      </c>
      <c r="I2940" t="s">
        <v>903</v>
      </c>
      <c r="J2940" t="s">
        <v>1000</v>
      </c>
      <c r="K2940" t="s">
        <v>1039</v>
      </c>
      <c r="L2940" t="s">
        <v>1321</v>
      </c>
      <c r="M2940" t="s">
        <v>12</v>
      </c>
      <c r="N2940" s="2">
        <v>26000</v>
      </c>
      <c r="O2940" s="2">
        <v>0</v>
      </c>
      <c r="P2940" s="2">
        <v>-26000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</row>
    <row r="2941" spans="1:23" outlineLevel="2" x14ac:dyDescent="0.2">
      <c r="A2941" t="s">
        <v>999</v>
      </c>
      <c r="B2941" t="s">
        <v>31</v>
      </c>
      <c r="C2941" t="s">
        <v>49</v>
      </c>
      <c r="D2941" t="s">
        <v>50</v>
      </c>
      <c r="E2941" t="s">
        <v>51</v>
      </c>
      <c r="F2941" t="s">
        <v>893</v>
      </c>
      <c r="G2941" t="s">
        <v>894</v>
      </c>
      <c r="H2941" t="s">
        <v>902</v>
      </c>
      <c r="I2941" t="s">
        <v>903</v>
      </c>
      <c r="J2941" t="s">
        <v>1000</v>
      </c>
      <c r="K2941" t="s">
        <v>1039</v>
      </c>
      <c r="L2941" t="s">
        <v>1308</v>
      </c>
      <c r="M2941" t="s">
        <v>12</v>
      </c>
      <c r="N2941" s="2">
        <v>476600</v>
      </c>
      <c r="O2941" s="2">
        <v>-240000</v>
      </c>
      <c r="P2941" s="2">
        <v>-217724.3</v>
      </c>
      <c r="Q2941" s="2">
        <v>18875.7</v>
      </c>
      <c r="R2941" s="2">
        <v>22.4</v>
      </c>
      <c r="S2941" s="2">
        <v>18853.3</v>
      </c>
      <c r="T2941" s="2">
        <v>18277.28</v>
      </c>
      <c r="U2941" s="2">
        <v>22.4</v>
      </c>
      <c r="V2941" s="2">
        <v>598.41999999999996</v>
      </c>
      <c r="W2941" s="2">
        <v>0</v>
      </c>
    </row>
    <row r="2942" spans="1:23" outlineLevel="2" x14ac:dyDescent="0.2">
      <c r="A2942" t="s">
        <v>999</v>
      </c>
      <c r="B2942" t="s">
        <v>39</v>
      </c>
      <c r="C2942" t="s">
        <v>58</v>
      </c>
      <c r="D2942" t="s">
        <v>139</v>
      </c>
      <c r="E2942" t="s">
        <v>140</v>
      </c>
      <c r="F2942" t="s">
        <v>893</v>
      </c>
      <c r="G2942" t="s">
        <v>894</v>
      </c>
      <c r="H2942" t="s">
        <v>902</v>
      </c>
      <c r="I2942" t="s">
        <v>903</v>
      </c>
      <c r="J2942" t="s">
        <v>1000</v>
      </c>
      <c r="K2942" t="s">
        <v>1039</v>
      </c>
      <c r="L2942" t="s">
        <v>1321</v>
      </c>
      <c r="M2942" t="s">
        <v>12</v>
      </c>
      <c r="N2942" s="2">
        <v>10000</v>
      </c>
      <c r="O2942" s="2">
        <v>0</v>
      </c>
      <c r="P2942" s="2">
        <v>-10000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</row>
    <row r="2943" spans="1:23" outlineLevel="2" x14ac:dyDescent="0.2">
      <c r="A2943" t="s">
        <v>999</v>
      </c>
      <c r="B2943" t="s">
        <v>39</v>
      </c>
      <c r="C2943" t="s">
        <v>58</v>
      </c>
      <c r="D2943" t="s">
        <v>137</v>
      </c>
      <c r="E2943" t="s">
        <v>138</v>
      </c>
      <c r="F2943" t="s">
        <v>893</v>
      </c>
      <c r="G2943" t="s">
        <v>894</v>
      </c>
      <c r="H2943" t="s">
        <v>902</v>
      </c>
      <c r="I2943" t="s">
        <v>903</v>
      </c>
      <c r="J2943" t="s">
        <v>1000</v>
      </c>
      <c r="K2943" t="s">
        <v>1039</v>
      </c>
      <c r="L2943" t="s">
        <v>1321</v>
      </c>
      <c r="M2943" t="s">
        <v>12</v>
      </c>
      <c r="N2943" s="2">
        <v>11360</v>
      </c>
      <c r="O2943" s="2">
        <v>0</v>
      </c>
      <c r="P2943" s="2">
        <v>-11360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</row>
    <row r="2944" spans="1:23" outlineLevel="2" x14ac:dyDescent="0.2">
      <c r="A2944" t="s">
        <v>999</v>
      </c>
      <c r="B2944" t="s">
        <v>39</v>
      </c>
      <c r="C2944" t="s">
        <v>58</v>
      </c>
      <c r="D2944" t="s">
        <v>143</v>
      </c>
      <c r="E2944" t="s">
        <v>144</v>
      </c>
      <c r="F2944" t="s">
        <v>893</v>
      </c>
      <c r="G2944" t="s">
        <v>894</v>
      </c>
      <c r="H2944" t="s">
        <v>902</v>
      </c>
      <c r="I2944" t="s">
        <v>903</v>
      </c>
      <c r="J2944" t="s">
        <v>1000</v>
      </c>
      <c r="K2944" t="s">
        <v>1039</v>
      </c>
      <c r="L2944" t="s">
        <v>1321</v>
      </c>
      <c r="M2944" t="s">
        <v>12</v>
      </c>
      <c r="N2944" s="2">
        <v>31800</v>
      </c>
      <c r="O2944" s="2">
        <v>0</v>
      </c>
      <c r="P2944" s="2">
        <v>-24800</v>
      </c>
      <c r="Q2944" s="2">
        <v>7000</v>
      </c>
      <c r="R2944" s="2">
        <v>0</v>
      </c>
      <c r="S2944" s="2">
        <v>7000</v>
      </c>
      <c r="T2944" s="2">
        <v>7000</v>
      </c>
      <c r="U2944" s="2">
        <v>0</v>
      </c>
      <c r="V2944" s="2">
        <v>0</v>
      </c>
      <c r="W2944" s="2">
        <v>0</v>
      </c>
    </row>
    <row r="2945" spans="1:23" outlineLevel="2" x14ac:dyDescent="0.2">
      <c r="A2945" t="s">
        <v>999</v>
      </c>
      <c r="B2945" t="s">
        <v>39</v>
      </c>
      <c r="C2945" t="s">
        <v>58</v>
      </c>
      <c r="D2945" t="s">
        <v>135</v>
      </c>
      <c r="E2945" t="s">
        <v>136</v>
      </c>
      <c r="F2945" t="s">
        <v>893</v>
      </c>
      <c r="G2945" t="s">
        <v>894</v>
      </c>
      <c r="H2945" t="s">
        <v>902</v>
      </c>
      <c r="I2945" t="s">
        <v>903</v>
      </c>
      <c r="J2945" t="s">
        <v>1000</v>
      </c>
      <c r="K2945" t="s">
        <v>1039</v>
      </c>
      <c r="L2945" t="s">
        <v>1321</v>
      </c>
      <c r="M2945" t="s">
        <v>12</v>
      </c>
      <c r="N2945" s="2">
        <v>23000</v>
      </c>
      <c r="O2945" s="2">
        <v>0</v>
      </c>
      <c r="P2945" s="2">
        <v>-23000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</row>
    <row r="2946" spans="1:23" outlineLevel="2" x14ac:dyDescent="0.2">
      <c r="A2946" t="s">
        <v>999</v>
      </c>
      <c r="B2946" t="s">
        <v>39</v>
      </c>
      <c r="C2946" t="s">
        <v>58</v>
      </c>
      <c r="D2946" t="s">
        <v>59</v>
      </c>
      <c r="E2946" t="s">
        <v>60</v>
      </c>
      <c r="F2946" t="s">
        <v>893</v>
      </c>
      <c r="G2946" t="s">
        <v>894</v>
      </c>
      <c r="H2946" t="s">
        <v>902</v>
      </c>
      <c r="I2946" t="s">
        <v>903</v>
      </c>
      <c r="J2946" t="s">
        <v>1000</v>
      </c>
      <c r="K2946" t="s">
        <v>1039</v>
      </c>
      <c r="L2946" t="s">
        <v>1321</v>
      </c>
      <c r="M2946" t="s">
        <v>12</v>
      </c>
      <c r="N2946" s="2">
        <v>20000</v>
      </c>
      <c r="O2946" s="2">
        <v>0</v>
      </c>
      <c r="P2946" s="2">
        <v>-20000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</row>
    <row r="2947" spans="1:23" outlineLevel="2" x14ac:dyDescent="0.2">
      <c r="A2947" t="s">
        <v>999</v>
      </c>
      <c r="B2947" t="s">
        <v>31</v>
      </c>
      <c r="C2947" t="s">
        <v>49</v>
      </c>
      <c r="D2947" t="s">
        <v>50</v>
      </c>
      <c r="E2947" t="s">
        <v>51</v>
      </c>
      <c r="F2947" t="s">
        <v>893</v>
      </c>
      <c r="G2947" t="s">
        <v>894</v>
      </c>
      <c r="H2947" t="s">
        <v>902</v>
      </c>
      <c r="I2947" t="s">
        <v>903</v>
      </c>
      <c r="J2947" t="s">
        <v>1000</v>
      </c>
      <c r="K2947" t="s">
        <v>1058</v>
      </c>
      <c r="L2947" t="s">
        <v>1322</v>
      </c>
      <c r="M2947" t="s">
        <v>12</v>
      </c>
      <c r="N2947" s="2">
        <v>30000</v>
      </c>
      <c r="O2947" s="2">
        <v>0</v>
      </c>
      <c r="P2947" s="2">
        <v>-30000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</row>
    <row r="2948" spans="1:23" outlineLevel="2" x14ac:dyDescent="0.2">
      <c r="A2948" t="s">
        <v>999</v>
      </c>
      <c r="B2948" t="s">
        <v>39</v>
      </c>
      <c r="C2948" t="s">
        <v>58</v>
      </c>
      <c r="D2948" t="s">
        <v>137</v>
      </c>
      <c r="E2948" t="s">
        <v>138</v>
      </c>
      <c r="F2948" t="s">
        <v>893</v>
      </c>
      <c r="G2948" t="s">
        <v>894</v>
      </c>
      <c r="H2948" t="s">
        <v>902</v>
      </c>
      <c r="I2948" t="s">
        <v>903</v>
      </c>
      <c r="J2948" t="s">
        <v>1000</v>
      </c>
      <c r="K2948" t="s">
        <v>1068</v>
      </c>
      <c r="L2948" t="s">
        <v>1323</v>
      </c>
      <c r="M2948" t="s">
        <v>12</v>
      </c>
      <c r="N2948" s="2">
        <v>1500</v>
      </c>
      <c r="O2948" s="2">
        <v>0</v>
      </c>
      <c r="P2948" s="2">
        <v>-1500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</row>
    <row r="2949" spans="1:23" outlineLevel="2" x14ac:dyDescent="0.2">
      <c r="A2949" t="s">
        <v>999</v>
      </c>
      <c r="B2949" t="s">
        <v>39</v>
      </c>
      <c r="C2949" t="s">
        <v>58</v>
      </c>
      <c r="D2949" t="s">
        <v>145</v>
      </c>
      <c r="E2949" t="s">
        <v>146</v>
      </c>
      <c r="F2949" t="s">
        <v>893</v>
      </c>
      <c r="G2949" t="s">
        <v>894</v>
      </c>
      <c r="H2949" t="s">
        <v>902</v>
      </c>
      <c r="I2949" t="s">
        <v>903</v>
      </c>
      <c r="J2949" t="s">
        <v>1000</v>
      </c>
      <c r="K2949" t="s">
        <v>1068</v>
      </c>
      <c r="L2949" t="s">
        <v>1323</v>
      </c>
      <c r="M2949" t="s">
        <v>12</v>
      </c>
      <c r="N2949" s="2">
        <v>3000</v>
      </c>
      <c r="O2949" s="2">
        <v>0</v>
      </c>
      <c r="P2949" s="2">
        <v>-3000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</row>
    <row r="2950" spans="1:23" outlineLevel="2" x14ac:dyDescent="0.2">
      <c r="A2950" t="s">
        <v>999</v>
      </c>
      <c r="B2950" t="s">
        <v>31</v>
      </c>
      <c r="C2950" t="s">
        <v>49</v>
      </c>
      <c r="D2950" t="s">
        <v>50</v>
      </c>
      <c r="E2950" t="s">
        <v>51</v>
      </c>
      <c r="F2950" t="s">
        <v>893</v>
      </c>
      <c r="G2950" t="s">
        <v>894</v>
      </c>
      <c r="H2950" t="s">
        <v>902</v>
      </c>
      <c r="I2950" t="s">
        <v>903</v>
      </c>
      <c r="J2950" t="s">
        <v>1000</v>
      </c>
      <c r="K2950" t="s">
        <v>1068</v>
      </c>
      <c r="L2950" t="s">
        <v>1309</v>
      </c>
      <c r="M2950" t="s">
        <v>12</v>
      </c>
      <c r="N2950" s="2">
        <v>20000</v>
      </c>
      <c r="O2950" s="2">
        <v>-944.16</v>
      </c>
      <c r="P2950" s="2">
        <v>-950</v>
      </c>
      <c r="Q2950" s="2">
        <v>18105.84</v>
      </c>
      <c r="R2950" s="2">
        <v>4284</v>
      </c>
      <c r="S2950" s="2">
        <v>504</v>
      </c>
      <c r="T2950" s="2">
        <v>504</v>
      </c>
      <c r="U2950" s="2">
        <v>17601.84</v>
      </c>
      <c r="V2950" s="2">
        <v>17601.84</v>
      </c>
      <c r="W2950" s="2">
        <v>13317.84</v>
      </c>
    </row>
    <row r="2951" spans="1:23" outlineLevel="2" x14ac:dyDescent="0.2">
      <c r="A2951" t="s">
        <v>999</v>
      </c>
      <c r="B2951" t="s">
        <v>39</v>
      </c>
      <c r="C2951" t="s">
        <v>58</v>
      </c>
      <c r="D2951" t="s">
        <v>139</v>
      </c>
      <c r="E2951" t="s">
        <v>140</v>
      </c>
      <c r="F2951" t="s">
        <v>893</v>
      </c>
      <c r="G2951" t="s">
        <v>894</v>
      </c>
      <c r="H2951" t="s">
        <v>902</v>
      </c>
      <c r="I2951" t="s">
        <v>903</v>
      </c>
      <c r="J2951" t="s">
        <v>1000</v>
      </c>
      <c r="K2951" t="s">
        <v>1068</v>
      </c>
      <c r="L2951" t="s">
        <v>1323</v>
      </c>
      <c r="M2951" t="s">
        <v>12</v>
      </c>
      <c r="N2951" s="2">
        <v>4900</v>
      </c>
      <c r="O2951" s="2">
        <v>0</v>
      </c>
      <c r="P2951" s="2">
        <v>-4900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</row>
    <row r="2952" spans="1:23" outlineLevel="2" x14ac:dyDescent="0.2">
      <c r="A2952" t="s">
        <v>999</v>
      </c>
      <c r="B2952" t="s">
        <v>39</v>
      </c>
      <c r="C2952" t="s">
        <v>58</v>
      </c>
      <c r="D2952" t="s">
        <v>59</v>
      </c>
      <c r="E2952" t="s">
        <v>60</v>
      </c>
      <c r="F2952" t="s">
        <v>893</v>
      </c>
      <c r="G2952" t="s">
        <v>894</v>
      </c>
      <c r="H2952" t="s">
        <v>902</v>
      </c>
      <c r="I2952" t="s">
        <v>903</v>
      </c>
      <c r="J2952" t="s">
        <v>1000</v>
      </c>
      <c r="K2952" t="s">
        <v>1068</v>
      </c>
      <c r="L2952" t="s">
        <v>1323</v>
      </c>
      <c r="M2952" t="s">
        <v>12</v>
      </c>
      <c r="N2952" s="2">
        <v>700</v>
      </c>
      <c r="O2952" s="2">
        <v>0</v>
      </c>
      <c r="P2952" s="2">
        <v>-700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</row>
    <row r="2953" spans="1:23" outlineLevel="2" x14ac:dyDescent="0.2">
      <c r="A2953" t="s">
        <v>999</v>
      </c>
      <c r="B2953" t="s">
        <v>39</v>
      </c>
      <c r="C2953" t="s">
        <v>58</v>
      </c>
      <c r="D2953" t="s">
        <v>129</v>
      </c>
      <c r="E2953" t="s">
        <v>130</v>
      </c>
      <c r="F2953" t="s">
        <v>893</v>
      </c>
      <c r="G2953" t="s">
        <v>894</v>
      </c>
      <c r="H2953" t="s">
        <v>902</v>
      </c>
      <c r="I2953" t="s">
        <v>903</v>
      </c>
      <c r="J2953" t="s">
        <v>1000</v>
      </c>
      <c r="K2953" t="s">
        <v>1090</v>
      </c>
      <c r="L2953" t="s">
        <v>1324</v>
      </c>
      <c r="M2953" t="s">
        <v>12</v>
      </c>
      <c r="N2953" s="2">
        <v>23000</v>
      </c>
      <c r="O2953" s="2">
        <v>-338.24</v>
      </c>
      <c r="P2953" s="2">
        <v>-10400</v>
      </c>
      <c r="Q2953" s="2">
        <v>12261.76</v>
      </c>
      <c r="R2953" s="2">
        <v>0</v>
      </c>
      <c r="S2953" s="2">
        <v>12261.76</v>
      </c>
      <c r="T2953" s="2">
        <v>0</v>
      </c>
      <c r="U2953" s="2">
        <v>0</v>
      </c>
      <c r="V2953" s="2">
        <v>12261.76</v>
      </c>
      <c r="W2953" s="2">
        <v>0</v>
      </c>
    </row>
    <row r="2954" spans="1:23" outlineLevel="2" x14ac:dyDescent="0.2">
      <c r="A2954" t="s">
        <v>999</v>
      </c>
      <c r="B2954" t="s">
        <v>39</v>
      </c>
      <c r="C2954" t="s">
        <v>58</v>
      </c>
      <c r="D2954" t="s">
        <v>149</v>
      </c>
      <c r="E2954" t="s">
        <v>150</v>
      </c>
      <c r="F2954" t="s">
        <v>893</v>
      </c>
      <c r="G2954" t="s">
        <v>894</v>
      </c>
      <c r="H2954" t="s">
        <v>902</v>
      </c>
      <c r="I2954" t="s">
        <v>903</v>
      </c>
      <c r="J2954" t="s">
        <v>1000</v>
      </c>
      <c r="K2954" t="s">
        <v>1090</v>
      </c>
      <c r="L2954" t="s">
        <v>1324</v>
      </c>
      <c r="M2954" t="s">
        <v>12</v>
      </c>
      <c r="N2954" s="2">
        <v>18000</v>
      </c>
      <c r="O2954" s="2">
        <v>0</v>
      </c>
      <c r="P2954" s="2">
        <v>-18000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</row>
    <row r="2955" spans="1:23" outlineLevel="2" x14ac:dyDescent="0.2">
      <c r="A2955" t="s">
        <v>999</v>
      </c>
      <c r="B2955" t="s">
        <v>39</v>
      </c>
      <c r="C2955" t="s">
        <v>58</v>
      </c>
      <c r="D2955" t="s">
        <v>137</v>
      </c>
      <c r="E2955" t="s">
        <v>138</v>
      </c>
      <c r="F2955" t="s">
        <v>893</v>
      </c>
      <c r="G2955" t="s">
        <v>894</v>
      </c>
      <c r="H2955" t="s">
        <v>902</v>
      </c>
      <c r="I2955" t="s">
        <v>903</v>
      </c>
      <c r="J2955" t="s">
        <v>1000</v>
      </c>
      <c r="K2955" t="s">
        <v>1011</v>
      </c>
      <c r="L2955" t="s">
        <v>1325</v>
      </c>
      <c r="M2955" t="s">
        <v>12</v>
      </c>
      <c r="N2955" s="2">
        <v>15540</v>
      </c>
      <c r="O2955" s="2">
        <v>0</v>
      </c>
      <c r="P2955" s="2">
        <v>-15540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</row>
    <row r="2956" spans="1:23" outlineLevel="2" x14ac:dyDescent="0.2">
      <c r="A2956" t="s">
        <v>999</v>
      </c>
      <c r="B2956" t="s">
        <v>39</v>
      </c>
      <c r="C2956" t="s">
        <v>58</v>
      </c>
      <c r="D2956" t="s">
        <v>129</v>
      </c>
      <c r="E2956" t="s">
        <v>130</v>
      </c>
      <c r="F2956" t="s">
        <v>893</v>
      </c>
      <c r="G2956" t="s">
        <v>894</v>
      </c>
      <c r="H2956" t="s">
        <v>902</v>
      </c>
      <c r="I2956" t="s">
        <v>903</v>
      </c>
      <c r="J2956" t="s">
        <v>1000</v>
      </c>
      <c r="K2956" t="s">
        <v>1011</v>
      </c>
      <c r="L2956" t="s">
        <v>1325</v>
      </c>
      <c r="M2956" t="s">
        <v>12</v>
      </c>
      <c r="N2956" s="2">
        <v>6000</v>
      </c>
      <c r="O2956" s="2">
        <v>-57.6</v>
      </c>
      <c r="P2956" s="2">
        <v>-2000</v>
      </c>
      <c r="Q2956" s="2">
        <v>3942.4</v>
      </c>
      <c r="R2956" s="2">
        <v>0</v>
      </c>
      <c r="S2956" s="2">
        <v>3942.4</v>
      </c>
      <c r="T2956" s="2">
        <v>1689.61</v>
      </c>
      <c r="U2956" s="2">
        <v>0</v>
      </c>
      <c r="V2956" s="2">
        <v>2252.79</v>
      </c>
      <c r="W2956" s="2">
        <v>0</v>
      </c>
    </row>
    <row r="2957" spans="1:23" outlineLevel="2" x14ac:dyDescent="0.2">
      <c r="A2957" t="s">
        <v>999</v>
      </c>
      <c r="B2957" t="s">
        <v>39</v>
      </c>
      <c r="C2957" t="s">
        <v>58</v>
      </c>
      <c r="D2957" t="s">
        <v>145</v>
      </c>
      <c r="E2957" t="s">
        <v>146</v>
      </c>
      <c r="F2957" t="s">
        <v>893</v>
      </c>
      <c r="G2957" t="s">
        <v>894</v>
      </c>
      <c r="H2957" t="s">
        <v>902</v>
      </c>
      <c r="I2957" t="s">
        <v>903</v>
      </c>
      <c r="J2957" t="s">
        <v>1000</v>
      </c>
      <c r="K2957" t="s">
        <v>1011</v>
      </c>
      <c r="L2957" t="s">
        <v>1325</v>
      </c>
      <c r="M2957" t="s">
        <v>12</v>
      </c>
      <c r="N2957" s="2">
        <v>4000</v>
      </c>
      <c r="O2957" s="2">
        <v>0</v>
      </c>
      <c r="P2957" s="2">
        <v>-4000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</row>
    <row r="2958" spans="1:23" outlineLevel="2" x14ac:dyDescent="0.2">
      <c r="A2958" t="s">
        <v>999</v>
      </c>
      <c r="B2958" t="s">
        <v>39</v>
      </c>
      <c r="C2958" t="s">
        <v>58</v>
      </c>
      <c r="D2958" t="s">
        <v>59</v>
      </c>
      <c r="E2958" t="s">
        <v>60</v>
      </c>
      <c r="F2958" t="s">
        <v>893</v>
      </c>
      <c r="G2958" t="s">
        <v>894</v>
      </c>
      <c r="H2958" t="s">
        <v>902</v>
      </c>
      <c r="I2958" t="s">
        <v>903</v>
      </c>
      <c r="J2958" t="s">
        <v>1000</v>
      </c>
      <c r="K2958" t="s">
        <v>1011</v>
      </c>
      <c r="L2958" t="s">
        <v>1325</v>
      </c>
      <c r="M2958" t="s">
        <v>12</v>
      </c>
      <c r="N2958" s="2">
        <v>14200</v>
      </c>
      <c r="O2958" s="2">
        <v>0</v>
      </c>
      <c r="P2958" s="2">
        <v>-14200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</row>
    <row r="2959" spans="1:23" outlineLevel="2" x14ac:dyDescent="0.2">
      <c r="A2959" t="s">
        <v>999</v>
      </c>
      <c r="B2959" t="s">
        <v>39</v>
      </c>
      <c r="C2959" t="s">
        <v>58</v>
      </c>
      <c r="D2959" t="s">
        <v>135</v>
      </c>
      <c r="E2959" t="s">
        <v>136</v>
      </c>
      <c r="F2959" t="s">
        <v>893</v>
      </c>
      <c r="G2959" t="s">
        <v>894</v>
      </c>
      <c r="H2959" t="s">
        <v>902</v>
      </c>
      <c r="I2959" t="s">
        <v>903</v>
      </c>
      <c r="J2959" t="s">
        <v>1000</v>
      </c>
      <c r="K2959" t="s">
        <v>1011</v>
      </c>
      <c r="L2959" t="s">
        <v>1325</v>
      </c>
      <c r="M2959" t="s">
        <v>12</v>
      </c>
      <c r="N2959" s="2">
        <v>3000</v>
      </c>
      <c r="O2959" s="2">
        <v>0</v>
      </c>
      <c r="P2959" s="2">
        <v>-3000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</row>
    <row r="2960" spans="1:23" outlineLevel="2" x14ac:dyDescent="0.2">
      <c r="A2960" t="s">
        <v>999</v>
      </c>
      <c r="B2960" t="s">
        <v>39</v>
      </c>
      <c r="C2960" t="s">
        <v>58</v>
      </c>
      <c r="D2960" t="s">
        <v>147</v>
      </c>
      <c r="E2960" t="s">
        <v>148</v>
      </c>
      <c r="F2960" t="s">
        <v>893</v>
      </c>
      <c r="G2960" t="s">
        <v>894</v>
      </c>
      <c r="H2960" t="s">
        <v>902</v>
      </c>
      <c r="I2960" t="s">
        <v>903</v>
      </c>
      <c r="J2960" t="s">
        <v>1000</v>
      </c>
      <c r="K2960" t="s">
        <v>1011</v>
      </c>
      <c r="L2960" t="s">
        <v>1325</v>
      </c>
      <c r="M2960" t="s">
        <v>12</v>
      </c>
      <c r="N2960" s="2">
        <v>10000</v>
      </c>
      <c r="O2960" s="2">
        <v>0</v>
      </c>
      <c r="P2960" s="2">
        <v>-10000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</row>
    <row r="2961" spans="1:23" outlineLevel="2" x14ac:dyDescent="0.2">
      <c r="A2961" t="s">
        <v>999</v>
      </c>
      <c r="B2961" t="s">
        <v>39</v>
      </c>
      <c r="C2961" t="s">
        <v>58</v>
      </c>
      <c r="D2961" t="s">
        <v>137</v>
      </c>
      <c r="E2961" t="s">
        <v>138</v>
      </c>
      <c r="F2961" t="s">
        <v>893</v>
      </c>
      <c r="G2961" t="s">
        <v>894</v>
      </c>
      <c r="H2961" t="s">
        <v>902</v>
      </c>
      <c r="I2961" t="s">
        <v>903</v>
      </c>
      <c r="J2961" t="s">
        <v>1000</v>
      </c>
      <c r="K2961" t="s">
        <v>1017</v>
      </c>
      <c r="L2961" t="s">
        <v>1326</v>
      </c>
      <c r="M2961" t="s">
        <v>12</v>
      </c>
      <c r="N2961" s="2">
        <v>14400</v>
      </c>
      <c r="O2961" s="2">
        <v>0</v>
      </c>
      <c r="P2961" s="2">
        <v>-14400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</row>
    <row r="2962" spans="1:23" outlineLevel="2" x14ac:dyDescent="0.2">
      <c r="A2962" t="s">
        <v>999</v>
      </c>
      <c r="B2962" t="s">
        <v>39</v>
      </c>
      <c r="C2962" t="s">
        <v>58</v>
      </c>
      <c r="D2962" t="s">
        <v>147</v>
      </c>
      <c r="E2962" t="s">
        <v>148</v>
      </c>
      <c r="F2962" t="s">
        <v>893</v>
      </c>
      <c r="G2962" t="s">
        <v>894</v>
      </c>
      <c r="H2962" t="s">
        <v>902</v>
      </c>
      <c r="I2962" t="s">
        <v>903</v>
      </c>
      <c r="J2962" t="s">
        <v>1000</v>
      </c>
      <c r="K2962" t="s">
        <v>1017</v>
      </c>
      <c r="L2962" t="s">
        <v>1326</v>
      </c>
      <c r="M2962" t="s">
        <v>12</v>
      </c>
      <c r="N2962" s="2">
        <v>30000</v>
      </c>
      <c r="O2962" s="2">
        <v>0</v>
      </c>
      <c r="P2962" s="2">
        <v>-30000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</row>
    <row r="2963" spans="1:23" outlineLevel="2" x14ac:dyDescent="0.2">
      <c r="A2963" t="s">
        <v>999</v>
      </c>
      <c r="B2963" t="s">
        <v>39</v>
      </c>
      <c r="C2963" t="s">
        <v>58</v>
      </c>
      <c r="D2963" t="s">
        <v>139</v>
      </c>
      <c r="E2963" t="s">
        <v>140</v>
      </c>
      <c r="F2963" t="s">
        <v>893</v>
      </c>
      <c r="G2963" t="s">
        <v>894</v>
      </c>
      <c r="H2963" t="s">
        <v>902</v>
      </c>
      <c r="I2963" t="s">
        <v>903</v>
      </c>
      <c r="J2963" t="s">
        <v>1000</v>
      </c>
      <c r="K2963" t="s">
        <v>1017</v>
      </c>
      <c r="L2963" t="s">
        <v>1326</v>
      </c>
      <c r="M2963" t="s">
        <v>12</v>
      </c>
      <c r="N2963" s="2">
        <v>14400</v>
      </c>
      <c r="O2963" s="2">
        <v>0</v>
      </c>
      <c r="P2963" s="2">
        <v>-14400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</row>
    <row r="2964" spans="1:23" outlineLevel="2" x14ac:dyDescent="0.2">
      <c r="A2964" t="s">
        <v>999</v>
      </c>
      <c r="B2964" t="s">
        <v>39</v>
      </c>
      <c r="C2964" t="s">
        <v>58</v>
      </c>
      <c r="D2964" t="s">
        <v>59</v>
      </c>
      <c r="E2964" t="s">
        <v>60</v>
      </c>
      <c r="F2964" t="s">
        <v>893</v>
      </c>
      <c r="G2964" t="s">
        <v>894</v>
      </c>
      <c r="H2964" t="s">
        <v>902</v>
      </c>
      <c r="I2964" t="s">
        <v>903</v>
      </c>
      <c r="J2964" t="s">
        <v>1000</v>
      </c>
      <c r="K2964" t="s">
        <v>1017</v>
      </c>
      <c r="L2964" t="s">
        <v>1326</v>
      </c>
      <c r="M2964" t="s">
        <v>12</v>
      </c>
      <c r="N2964" s="2">
        <v>28800</v>
      </c>
      <c r="O2964" s="2">
        <v>0</v>
      </c>
      <c r="P2964" s="2">
        <v>-28800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</row>
    <row r="2965" spans="1:23" outlineLevel="2" x14ac:dyDescent="0.2">
      <c r="A2965" t="s">
        <v>999</v>
      </c>
      <c r="B2965" t="s">
        <v>39</v>
      </c>
      <c r="C2965" t="s">
        <v>58</v>
      </c>
      <c r="D2965" t="s">
        <v>145</v>
      </c>
      <c r="E2965" t="s">
        <v>146</v>
      </c>
      <c r="F2965" t="s">
        <v>893</v>
      </c>
      <c r="G2965" t="s">
        <v>894</v>
      </c>
      <c r="H2965" t="s">
        <v>902</v>
      </c>
      <c r="I2965" t="s">
        <v>903</v>
      </c>
      <c r="J2965" t="s">
        <v>1000</v>
      </c>
      <c r="K2965" t="s">
        <v>1017</v>
      </c>
      <c r="L2965" t="s">
        <v>1326</v>
      </c>
      <c r="M2965" t="s">
        <v>12</v>
      </c>
      <c r="N2965" s="2">
        <v>28700</v>
      </c>
      <c r="O2965" s="2">
        <v>0</v>
      </c>
      <c r="P2965" s="2">
        <v>-28700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</row>
    <row r="2966" spans="1:23" outlineLevel="2" x14ac:dyDescent="0.2">
      <c r="A2966" t="s">
        <v>999</v>
      </c>
      <c r="B2966" t="s">
        <v>39</v>
      </c>
      <c r="C2966" t="s">
        <v>58</v>
      </c>
      <c r="D2966" t="s">
        <v>129</v>
      </c>
      <c r="E2966" t="s">
        <v>130</v>
      </c>
      <c r="F2966" t="s">
        <v>893</v>
      </c>
      <c r="G2966" t="s">
        <v>894</v>
      </c>
      <c r="H2966" t="s">
        <v>902</v>
      </c>
      <c r="I2966" t="s">
        <v>903</v>
      </c>
      <c r="J2966" t="s">
        <v>1000</v>
      </c>
      <c r="K2966" t="s">
        <v>1017</v>
      </c>
      <c r="L2966" t="s">
        <v>1326</v>
      </c>
      <c r="M2966" t="s">
        <v>12</v>
      </c>
      <c r="N2966" s="2">
        <v>14000</v>
      </c>
      <c r="O2966" s="2">
        <v>-6215.22</v>
      </c>
      <c r="P2966" s="2">
        <v>-2732.8</v>
      </c>
      <c r="Q2966" s="2">
        <v>5051.9799999999996</v>
      </c>
      <c r="R2966" s="2">
        <v>0</v>
      </c>
      <c r="S2966" s="2">
        <v>5051.9799999999996</v>
      </c>
      <c r="T2966" s="2">
        <v>5051.9799999999996</v>
      </c>
      <c r="U2966" s="2">
        <v>0</v>
      </c>
      <c r="V2966" s="2">
        <v>0</v>
      </c>
      <c r="W2966" s="2">
        <v>0</v>
      </c>
    </row>
    <row r="2967" spans="1:23" outlineLevel="2" x14ac:dyDescent="0.2">
      <c r="A2967" t="s">
        <v>999</v>
      </c>
      <c r="B2967" t="s">
        <v>31</v>
      </c>
      <c r="C2967" t="s">
        <v>49</v>
      </c>
      <c r="D2967" t="s">
        <v>50</v>
      </c>
      <c r="E2967" t="s">
        <v>51</v>
      </c>
      <c r="F2967" t="s">
        <v>893</v>
      </c>
      <c r="G2967" t="s">
        <v>894</v>
      </c>
      <c r="H2967" t="s">
        <v>902</v>
      </c>
      <c r="I2967" t="s">
        <v>903</v>
      </c>
      <c r="J2967" t="s">
        <v>1000</v>
      </c>
      <c r="K2967" t="s">
        <v>1327</v>
      </c>
      <c r="L2967" t="s">
        <v>1328</v>
      </c>
      <c r="M2967" t="s">
        <v>12</v>
      </c>
      <c r="N2967" s="2">
        <v>91500</v>
      </c>
      <c r="O2967" s="2">
        <v>-35000</v>
      </c>
      <c r="P2967" s="2">
        <v>-56500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0</v>
      </c>
    </row>
    <row r="2968" spans="1:23" outlineLevel="2" x14ac:dyDescent="0.2">
      <c r="A2968" t="s">
        <v>999</v>
      </c>
      <c r="B2968" t="s">
        <v>39</v>
      </c>
      <c r="C2968" t="s">
        <v>58</v>
      </c>
      <c r="D2968" t="s">
        <v>143</v>
      </c>
      <c r="E2968" t="s">
        <v>144</v>
      </c>
      <c r="F2968" t="s">
        <v>893</v>
      </c>
      <c r="G2968" t="s">
        <v>894</v>
      </c>
      <c r="H2968" t="s">
        <v>902</v>
      </c>
      <c r="I2968" t="s">
        <v>903</v>
      </c>
      <c r="J2968" t="s">
        <v>1000</v>
      </c>
      <c r="K2968" t="s">
        <v>1078</v>
      </c>
      <c r="L2968" t="s">
        <v>1329</v>
      </c>
      <c r="M2968" t="s">
        <v>12</v>
      </c>
      <c r="N2968" s="2">
        <v>14200</v>
      </c>
      <c r="O2968" s="2">
        <v>0</v>
      </c>
      <c r="P2968" s="2">
        <v>-14200</v>
      </c>
      <c r="Q2968" s="2">
        <v>0</v>
      </c>
      <c r="R2968" s="2">
        <v>0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</row>
    <row r="2969" spans="1:23" outlineLevel="2" x14ac:dyDescent="0.2">
      <c r="A2969" t="s">
        <v>999</v>
      </c>
      <c r="B2969" t="s">
        <v>39</v>
      </c>
      <c r="C2969" t="s">
        <v>58</v>
      </c>
      <c r="D2969" t="s">
        <v>149</v>
      </c>
      <c r="E2969" t="s">
        <v>150</v>
      </c>
      <c r="F2969" t="s">
        <v>893</v>
      </c>
      <c r="G2969" t="s">
        <v>894</v>
      </c>
      <c r="H2969" t="s">
        <v>902</v>
      </c>
      <c r="I2969" t="s">
        <v>903</v>
      </c>
      <c r="J2969" t="s">
        <v>1000</v>
      </c>
      <c r="K2969" t="s">
        <v>1078</v>
      </c>
      <c r="L2969" t="s">
        <v>1329</v>
      </c>
      <c r="M2969" t="s">
        <v>12</v>
      </c>
      <c r="N2969" s="2">
        <v>10000</v>
      </c>
      <c r="O2969" s="2">
        <v>0</v>
      </c>
      <c r="P2969" s="2">
        <v>-10000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</row>
    <row r="2970" spans="1:23" outlineLevel="2" x14ac:dyDescent="0.2">
      <c r="A2970" t="s">
        <v>999</v>
      </c>
      <c r="B2970" t="s">
        <v>39</v>
      </c>
      <c r="C2970" t="s">
        <v>58</v>
      </c>
      <c r="D2970" t="s">
        <v>139</v>
      </c>
      <c r="E2970" t="s">
        <v>140</v>
      </c>
      <c r="F2970" t="s">
        <v>893</v>
      </c>
      <c r="G2970" t="s">
        <v>894</v>
      </c>
      <c r="H2970" t="s">
        <v>902</v>
      </c>
      <c r="I2970" t="s">
        <v>903</v>
      </c>
      <c r="J2970" t="s">
        <v>1000</v>
      </c>
      <c r="K2970" t="s">
        <v>1078</v>
      </c>
      <c r="L2970" t="s">
        <v>1329</v>
      </c>
      <c r="M2970" t="s">
        <v>12</v>
      </c>
      <c r="N2970" s="2">
        <v>5000</v>
      </c>
      <c r="O2970" s="2">
        <v>0</v>
      </c>
      <c r="P2970" s="2">
        <v>-5000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</row>
    <row r="2971" spans="1:23" outlineLevel="2" x14ac:dyDescent="0.2">
      <c r="A2971" t="s">
        <v>999</v>
      </c>
      <c r="B2971" t="s">
        <v>31</v>
      </c>
      <c r="C2971" t="s">
        <v>49</v>
      </c>
      <c r="D2971" t="s">
        <v>50</v>
      </c>
      <c r="E2971" t="s">
        <v>51</v>
      </c>
      <c r="F2971" t="s">
        <v>893</v>
      </c>
      <c r="G2971" t="s">
        <v>894</v>
      </c>
      <c r="H2971" t="s">
        <v>902</v>
      </c>
      <c r="I2971" t="s">
        <v>903</v>
      </c>
      <c r="J2971" t="s">
        <v>1000</v>
      </c>
      <c r="K2971" t="s">
        <v>1078</v>
      </c>
      <c r="L2971" t="s">
        <v>1312</v>
      </c>
      <c r="M2971" t="s">
        <v>12</v>
      </c>
      <c r="N2971" s="2">
        <v>71000</v>
      </c>
      <c r="O2971" s="2">
        <v>-6500</v>
      </c>
      <c r="P2971" s="2">
        <v>-60272</v>
      </c>
      <c r="Q2971" s="2">
        <v>4228</v>
      </c>
      <c r="R2971" s="2">
        <v>0</v>
      </c>
      <c r="S2971" s="2">
        <v>4228</v>
      </c>
      <c r="T2971" s="2">
        <v>4228</v>
      </c>
      <c r="U2971" s="2">
        <v>0</v>
      </c>
      <c r="V2971" s="2">
        <v>0</v>
      </c>
      <c r="W2971" s="2">
        <v>0</v>
      </c>
    </row>
    <row r="2972" spans="1:23" outlineLevel="2" x14ac:dyDescent="0.2">
      <c r="A2972" t="s">
        <v>999</v>
      </c>
      <c r="B2972" t="s">
        <v>39</v>
      </c>
      <c r="C2972" t="s">
        <v>58</v>
      </c>
      <c r="D2972" t="s">
        <v>145</v>
      </c>
      <c r="E2972" t="s">
        <v>146</v>
      </c>
      <c r="F2972" t="s">
        <v>893</v>
      </c>
      <c r="G2972" t="s">
        <v>894</v>
      </c>
      <c r="H2972" t="s">
        <v>902</v>
      </c>
      <c r="I2972" t="s">
        <v>903</v>
      </c>
      <c r="J2972" t="s">
        <v>1000</v>
      </c>
      <c r="K2972" t="s">
        <v>1078</v>
      </c>
      <c r="L2972" t="s">
        <v>1329</v>
      </c>
      <c r="M2972" t="s">
        <v>12</v>
      </c>
      <c r="N2972" s="2">
        <v>7000</v>
      </c>
      <c r="O2972" s="2">
        <v>0</v>
      </c>
      <c r="P2972" s="2">
        <v>-7000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</row>
    <row r="2973" spans="1:23" outlineLevel="2" x14ac:dyDescent="0.2">
      <c r="A2973" t="s">
        <v>999</v>
      </c>
      <c r="B2973" t="s">
        <v>39</v>
      </c>
      <c r="C2973" t="s">
        <v>58</v>
      </c>
      <c r="D2973" t="s">
        <v>147</v>
      </c>
      <c r="E2973" t="s">
        <v>148</v>
      </c>
      <c r="F2973" t="s">
        <v>893</v>
      </c>
      <c r="G2973" t="s">
        <v>894</v>
      </c>
      <c r="H2973" t="s">
        <v>902</v>
      </c>
      <c r="I2973" t="s">
        <v>903</v>
      </c>
      <c r="J2973" t="s">
        <v>1000</v>
      </c>
      <c r="K2973" t="s">
        <v>1078</v>
      </c>
      <c r="L2973" t="s">
        <v>1329</v>
      </c>
      <c r="M2973" t="s">
        <v>12</v>
      </c>
      <c r="N2973" s="2">
        <v>6000</v>
      </c>
      <c r="O2973" s="2">
        <v>0</v>
      </c>
      <c r="P2973" s="2">
        <v>-6000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</row>
    <row r="2974" spans="1:23" outlineLevel="2" x14ac:dyDescent="0.2">
      <c r="A2974" t="s">
        <v>999</v>
      </c>
      <c r="B2974" t="s">
        <v>39</v>
      </c>
      <c r="C2974" t="s">
        <v>58</v>
      </c>
      <c r="D2974" t="s">
        <v>59</v>
      </c>
      <c r="E2974" t="s">
        <v>60</v>
      </c>
      <c r="F2974" t="s">
        <v>893</v>
      </c>
      <c r="G2974" t="s">
        <v>894</v>
      </c>
      <c r="H2974" t="s">
        <v>902</v>
      </c>
      <c r="I2974" t="s">
        <v>903</v>
      </c>
      <c r="J2974" t="s">
        <v>1000</v>
      </c>
      <c r="K2974" t="s">
        <v>1078</v>
      </c>
      <c r="L2974" t="s">
        <v>1329</v>
      </c>
      <c r="M2974" t="s">
        <v>12</v>
      </c>
      <c r="N2974" s="2">
        <v>11000</v>
      </c>
      <c r="O2974" s="2">
        <v>0</v>
      </c>
      <c r="P2974" s="2">
        <v>-11000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</row>
    <row r="2975" spans="1:23" outlineLevel="2" x14ac:dyDescent="0.2">
      <c r="A2975" t="s">
        <v>999</v>
      </c>
      <c r="B2975" t="s">
        <v>39</v>
      </c>
      <c r="C2975" t="s">
        <v>58</v>
      </c>
      <c r="D2975" t="s">
        <v>135</v>
      </c>
      <c r="E2975" t="s">
        <v>136</v>
      </c>
      <c r="F2975" t="s">
        <v>893</v>
      </c>
      <c r="G2975" t="s">
        <v>894</v>
      </c>
      <c r="H2975" t="s">
        <v>902</v>
      </c>
      <c r="I2975" t="s">
        <v>903</v>
      </c>
      <c r="J2975" t="s">
        <v>1000</v>
      </c>
      <c r="K2975" t="s">
        <v>1078</v>
      </c>
      <c r="L2975" t="s">
        <v>1329</v>
      </c>
      <c r="M2975" t="s">
        <v>12</v>
      </c>
      <c r="N2975" s="2">
        <v>10000</v>
      </c>
      <c r="O2975" s="2">
        <v>0</v>
      </c>
      <c r="P2975" s="2">
        <v>-10000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</row>
    <row r="2976" spans="1:23" outlineLevel="2" x14ac:dyDescent="0.2">
      <c r="A2976" t="s">
        <v>999</v>
      </c>
      <c r="B2976" t="s">
        <v>39</v>
      </c>
      <c r="C2976" t="s">
        <v>58</v>
      </c>
      <c r="D2976" t="s">
        <v>137</v>
      </c>
      <c r="E2976" t="s">
        <v>138</v>
      </c>
      <c r="F2976" t="s">
        <v>893</v>
      </c>
      <c r="G2976" t="s">
        <v>894</v>
      </c>
      <c r="H2976" t="s">
        <v>902</v>
      </c>
      <c r="I2976" t="s">
        <v>903</v>
      </c>
      <c r="J2976" t="s">
        <v>1000</v>
      </c>
      <c r="K2976" t="s">
        <v>1078</v>
      </c>
      <c r="L2976" t="s">
        <v>1329</v>
      </c>
      <c r="M2976" t="s">
        <v>12</v>
      </c>
      <c r="N2976" s="2">
        <v>8000</v>
      </c>
      <c r="O2976" s="2">
        <v>0</v>
      </c>
      <c r="P2976" s="2">
        <v>-8000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</row>
    <row r="2977" spans="1:23" outlineLevel="2" x14ac:dyDescent="0.2">
      <c r="A2977" t="s">
        <v>999</v>
      </c>
      <c r="B2977" t="s">
        <v>31</v>
      </c>
      <c r="C2977" t="s">
        <v>49</v>
      </c>
      <c r="D2977" t="s">
        <v>50</v>
      </c>
      <c r="E2977" t="s">
        <v>51</v>
      </c>
      <c r="F2977" t="s">
        <v>893</v>
      </c>
      <c r="G2977" t="s">
        <v>894</v>
      </c>
      <c r="H2977" t="s">
        <v>902</v>
      </c>
      <c r="I2977" t="s">
        <v>903</v>
      </c>
      <c r="J2977" t="s">
        <v>1000</v>
      </c>
      <c r="K2977" t="s">
        <v>1031</v>
      </c>
      <c r="L2977" t="s">
        <v>1330</v>
      </c>
      <c r="M2977" t="s">
        <v>12</v>
      </c>
      <c r="N2977" s="2">
        <v>0</v>
      </c>
      <c r="O2977" s="2">
        <v>0</v>
      </c>
      <c r="P2977" s="2">
        <v>3000</v>
      </c>
      <c r="Q2977" s="2">
        <v>3000</v>
      </c>
      <c r="R2977" s="2">
        <v>0</v>
      </c>
      <c r="S2977" s="2">
        <v>0</v>
      </c>
      <c r="T2977" s="2">
        <v>0</v>
      </c>
      <c r="U2977" s="2">
        <v>3000</v>
      </c>
      <c r="V2977" s="2">
        <v>3000</v>
      </c>
      <c r="W2977" s="2">
        <v>3000</v>
      </c>
    </row>
    <row r="2978" spans="1:23" outlineLevel="2" x14ac:dyDescent="0.2">
      <c r="A2978" t="s">
        <v>999</v>
      </c>
      <c r="B2978" t="s">
        <v>31</v>
      </c>
      <c r="C2978" t="s">
        <v>49</v>
      </c>
      <c r="D2978" t="s">
        <v>50</v>
      </c>
      <c r="E2978" t="s">
        <v>51</v>
      </c>
      <c r="F2978" t="s">
        <v>893</v>
      </c>
      <c r="G2978" t="s">
        <v>894</v>
      </c>
      <c r="H2978" t="s">
        <v>902</v>
      </c>
      <c r="I2978" t="s">
        <v>903</v>
      </c>
      <c r="J2978" t="s">
        <v>1000</v>
      </c>
      <c r="K2978" t="s">
        <v>1331</v>
      </c>
      <c r="L2978" t="s">
        <v>1332</v>
      </c>
      <c r="M2978" t="s">
        <v>12</v>
      </c>
      <c r="N2978" s="2">
        <v>0</v>
      </c>
      <c r="O2978" s="2">
        <v>32000</v>
      </c>
      <c r="P2978" s="2">
        <v>0</v>
      </c>
      <c r="Q2978" s="2">
        <v>32000</v>
      </c>
      <c r="R2978" s="2">
        <v>2997</v>
      </c>
      <c r="S2978" s="2">
        <v>24975</v>
      </c>
      <c r="T2978" s="2">
        <v>24975</v>
      </c>
      <c r="U2978" s="2">
        <v>7025</v>
      </c>
      <c r="V2978" s="2">
        <v>7025</v>
      </c>
      <c r="W2978" s="2">
        <v>4028</v>
      </c>
    </row>
    <row r="2979" spans="1:23" outlineLevel="2" x14ac:dyDescent="0.2">
      <c r="A2979" t="s">
        <v>999</v>
      </c>
      <c r="B2979" t="s">
        <v>31</v>
      </c>
      <c r="C2979" t="s">
        <v>49</v>
      </c>
      <c r="D2979" t="s">
        <v>50</v>
      </c>
      <c r="E2979" t="s">
        <v>51</v>
      </c>
      <c r="F2979" t="s">
        <v>893</v>
      </c>
      <c r="G2979" t="s">
        <v>894</v>
      </c>
      <c r="H2979" t="s">
        <v>902</v>
      </c>
      <c r="I2979" t="s">
        <v>903</v>
      </c>
      <c r="J2979" t="s">
        <v>1000</v>
      </c>
      <c r="K2979" t="s">
        <v>1061</v>
      </c>
      <c r="L2979" t="s">
        <v>1333</v>
      </c>
      <c r="M2979" t="s">
        <v>12</v>
      </c>
      <c r="N2979" s="2">
        <v>0</v>
      </c>
      <c r="O2979" s="2">
        <v>12700</v>
      </c>
      <c r="P2979" s="2">
        <v>20000</v>
      </c>
      <c r="Q2979" s="2">
        <v>32700</v>
      </c>
      <c r="R2979" s="2">
        <v>8651.25</v>
      </c>
      <c r="S2979" s="2">
        <v>23093.75</v>
      </c>
      <c r="T2979" s="2">
        <v>11745.16</v>
      </c>
      <c r="U2979" s="2">
        <v>9606.25</v>
      </c>
      <c r="V2979" s="2">
        <v>20954.84</v>
      </c>
      <c r="W2979" s="2">
        <v>955</v>
      </c>
    </row>
    <row r="2980" spans="1:23" outlineLevel="2" x14ac:dyDescent="0.2">
      <c r="A2980" t="s">
        <v>999</v>
      </c>
      <c r="B2980" t="s">
        <v>39</v>
      </c>
      <c r="C2980" t="s">
        <v>58</v>
      </c>
      <c r="D2980" t="s">
        <v>139</v>
      </c>
      <c r="E2980" t="s">
        <v>140</v>
      </c>
      <c r="F2980" t="s">
        <v>893</v>
      </c>
      <c r="G2980" t="s">
        <v>894</v>
      </c>
      <c r="H2980" t="s">
        <v>902</v>
      </c>
      <c r="I2980" t="s">
        <v>903</v>
      </c>
      <c r="J2980" t="s">
        <v>1000</v>
      </c>
      <c r="K2980" t="s">
        <v>1061</v>
      </c>
      <c r="L2980" t="s">
        <v>1334</v>
      </c>
      <c r="M2980" t="s">
        <v>12</v>
      </c>
      <c r="N2980" s="2">
        <v>15000</v>
      </c>
      <c r="O2980" s="2">
        <v>0</v>
      </c>
      <c r="P2980" s="2">
        <v>-15000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</row>
    <row r="2981" spans="1:23" outlineLevel="2" x14ac:dyDescent="0.2">
      <c r="A2981" t="s">
        <v>999</v>
      </c>
      <c r="B2981" t="s">
        <v>39</v>
      </c>
      <c r="C2981" t="s">
        <v>58</v>
      </c>
      <c r="D2981" t="s">
        <v>145</v>
      </c>
      <c r="E2981" t="s">
        <v>146</v>
      </c>
      <c r="F2981" t="s">
        <v>893</v>
      </c>
      <c r="G2981" t="s">
        <v>894</v>
      </c>
      <c r="H2981" t="s">
        <v>902</v>
      </c>
      <c r="I2981" t="s">
        <v>903</v>
      </c>
      <c r="J2981" t="s">
        <v>1000</v>
      </c>
      <c r="K2981" t="s">
        <v>1061</v>
      </c>
      <c r="L2981" t="s">
        <v>1334</v>
      </c>
      <c r="M2981" t="s">
        <v>12</v>
      </c>
      <c r="N2981" s="2">
        <v>2500</v>
      </c>
      <c r="O2981" s="2">
        <v>0</v>
      </c>
      <c r="P2981" s="2">
        <v>-2500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</row>
    <row r="2982" spans="1:23" outlineLevel="2" x14ac:dyDescent="0.2">
      <c r="A2982" t="s">
        <v>999</v>
      </c>
      <c r="B2982" t="s">
        <v>39</v>
      </c>
      <c r="C2982" t="s">
        <v>58</v>
      </c>
      <c r="D2982" t="s">
        <v>145</v>
      </c>
      <c r="E2982" t="s">
        <v>146</v>
      </c>
      <c r="F2982" t="s">
        <v>893</v>
      </c>
      <c r="G2982" t="s">
        <v>894</v>
      </c>
      <c r="H2982" t="s">
        <v>902</v>
      </c>
      <c r="I2982" t="s">
        <v>903</v>
      </c>
      <c r="J2982" t="s">
        <v>1000</v>
      </c>
      <c r="K2982" t="s">
        <v>1019</v>
      </c>
      <c r="L2982" t="s">
        <v>1335</v>
      </c>
      <c r="M2982" t="s">
        <v>12</v>
      </c>
      <c r="N2982" s="2">
        <v>1000</v>
      </c>
      <c r="O2982" s="2">
        <v>0</v>
      </c>
      <c r="P2982" s="2">
        <v>-1000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</row>
    <row r="2983" spans="1:23" outlineLevel="2" x14ac:dyDescent="0.2">
      <c r="A2983" t="s">
        <v>999</v>
      </c>
      <c r="B2983" t="s">
        <v>31</v>
      </c>
      <c r="C2983" t="s">
        <v>49</v>
      </c>
      <c r="D2983" t="s">
        <v>50</v>
      </c>
      <c r="E2983" t="s">
        <v>51</v>
      </c>
      <c r="F2983" t="s">
        <v>893</v>
      </c>
      <c r="G2983" t="s">
        <v>894</v>
      </c>
      <c r="H2983" t="s">
        <v>902</v>
      </c>
      <c r="I2983" t="s">
        <v>903</v>
      </c>
      <c r="J2983" t="s">
        <v>1000</v>
      </c>
      <c r="K2983" t="s">
        <v>1313</v>
      </c>
      <c r="L2983" t="s">
        <v>1314</v>
      </c>
      <c r="M2983" t="s">
        <v>12</v>
      </c>
      <c r="N2983" s="2">
        <v>0</v>
      </c>
      <c r="O2983" s="2">
        <v>1200</v>
      </c>
      <c r="P2983" s="2">
        <v>0</v>
      </c>
      <c r="Q2983" s="2">
        <v>1200</v>
      </c>
      <c r="R2983" s="2">
        <v>0</v>
      </c>
      <c r="S2983" s="2">
        <v>1075.2</v>
      </c>
      <c r="T2983" s="2">
        <v>1075.2</v>
      </c>
      <c r="U2983" s="2">
        <v>124.8</v>
      </c>
      <c r="V2983" s="2">
        <v>124.8</v>
      </c>
      <c r="W2983" s="2">
        <v>124.8</v>
      </c>
    </row>
    <row r="2984" spans="1:23" outlineLevel="2" x14ac:dyDescent="0.2">
      <c r="A2984" t="s">
        <v>999</v>
      </c>
      <c r="B2984" t="s">
        <v>39</v>
      </c>
      <c r="C2984" t="s">
        <v>58</v>
      </c>
      <c r="D2984" t="s">
        <v>137</v>
      </c>
      <c r="E2984" t="s">
        <v>138</v>
      </c>
      <c r="F2984" t="s">
        <v>893</v>
      </c>
      <c r="G2984" t="s">
        <v>894</v>
      </c>
      <c r="H2984" t="s">
        <v>902</v>
      </c>
      <c r="I2984" t="s">
        <v>903</v>
      </c>
      <c r="J2984" t="s">
        <v>1000</v>
      </c>
      <c r="K2984" t="s">
        <v>1082</v>
      </c>
      <c r="L2984" t="s">
        <v>1336</v>
      </c>
      <c r="M2984" t="s">
        <v>12</v>
      </c>
      <c r="N2984" s="2">
        <v>3000</v>
      </c>
      <c r="O2984" s="2">
        <v>0</v>
      </c>
      <c r="P2984" s="2">
        <v>-3000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</row>
    <row r="2985" spans="1:23" outlineLevel="2" x14ac:dyDescent="0.2">
      <c r="A2985" t="s">
        <v>999</v>
      </c>
      <c r="B2985" t="s">
        <v>39</v>
      </c>
      <c r="C2985" t="s">
        <v>58</v>
      </c>
      <c r="D2985" t="s">
        <v>139</v>
      </c>
      <c r="E2985" t="s">
        <v>140</v>
      </c>
      <c r="F2985" t="s">
        <v>893</v>
      </c>
      <c r="G2985" t="s">
        <v>894</v>
      </c>
      <c r="H2985" t="s">
        <v>902</v>
      </c>
      <c r="I2985" t="s">
        <v>903</v>
      </c>
      <c r="J2985" t="s">
        <v>1000</v>
      </c>
      <c r="K2985" t="s">
        <v>1084</v>
      </c>
      <c r="L2985" t="s">
        <v>1337</v>
      </c>
      <c r="M2985" t="s">
        <v>12</v>
      </c>
      <c r="N2985" s="2">
        <v>3000</v>
      </c>
      <c r="O2985" s="2">
        <v>0</v>
      </c>
      <c r="P2985" s="2">
        <v>-3000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</row>
    <row r="2986" spans="1:23" outlineLevel="2" x14ac:dyDescent="0.2">
      <c r="A2986" t="s">
        <v>999</v>
      </c>
      <c r="B2986" t="s">
        <v>31</v>
      </c>
      <c r="C2986" t="s">
        <v>49</v>
      </c>
      <c r="D2986" t="s">
        <v>50</v>
      </c>
      <c r="E2986" t="s">
        <v>51</v>
      </c>
      <c r="F2986" t="s">
        <v>893</v>
      </c>
      <c r="G2986" t="s">
        <v>894</v>
      </c>
      <c r="H2986" t="s">
        <v>902</v>
      </c>
      <c r="I2986" t="s">
        <v>903</v>
      </c>
      <c r="J2986" t="s">
        <v>1000</v>
      </c>
      <c r="K2986" t="s">
        <v>1084</v>
      </c>
      <c r="L2986" t="s">
        <v>1317</v>
      </c>
      <c r="M2986" t="s">
        <v>12</v>
      </c>
      <c r="N2986" s="2">
        <v>0</v>
      </c>
      <c r="O2986" s="2">
        <v>337.12</v>
      </c>
      <c r="P2986" s="2">
        <v>0</v>
      </c>
      <c r="Q2986" s="2">
        <v>337.12</v>
      </c>
      <c r="R2986" s="2">
        <v>337.12</v>
      </c>
      <c r="S2986" s="2">
        <v>0</v>
      </c>
      <c r="T2986" s="2">
        <v>0</v>
      </c>
      <c r="U2986" s="2">
        <v>337.12</v>
      </c>
      <c r="V2986" s="2">
        <v>337.12</v>
      </c>
      <c r="W2986" s="2">
        <v>0</v>
      </c>
    </row>
    <row r="2987" spans="1:23" outlineLevel="2" x14ac:dyDescent="0.2">
      <c r="A2987" t="s">
        <v>999</v>
      </c>
      <c r="B2987" t="s">
        <v>39</v>
      </c>
      <c r="C2987" t="s">
        <v>58</v>
      </c>
      <c r="D2987" t="s">
        <v>137</v>
      </c>
      <c r="E2987" t="s">
        <v>138</v>
      </c>
      <c r="F2987" t="s">
        <v>893</v>
      </c>
      <c r="G2987" t="s">
        <v>894</v>
      </c>
      <c r="H2987" t="s">
        <v>902</v>
      </c>
      <c r="I2987" t="s">
        <v>903</v>
      </c>
      <c r="J2987" t="s">
        <v>1000</v>
      </c>
      <c r="K2987" t="s">
        <v>1084</v>
      </c>
      <c r="L2987" t="s">
        <v>1337</v>
      </c>
      <c r="M2987" t="s">
        <v>12</v>
      </c>
      <c r="N2987" s="2">
        <v>4000</v>
      </c>
      <c r="O2987" s="2">
        <v>0</v>
      </c>
      <c r="P2987" s="2">
        <v>-4000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</row>
    <row r="2988" spans="1:23" outlineLevel="2" x14ac:dyDescent="0.2">
      <c r="A2988" t="s">
        <v>999</v>
      </c>
      <c r="B2988" t="s">
        <v>39</v>
      </c>
      <c r="C2988" t="s">
        <v>58</v>
      </c>
      <c r="D2988" t="s">
        <v>149</v>
      </c>
      <c r="E2988" t="s">
        <v>150</v>
      </c>
      <c r="F2988" t="s">
        <v>893</v>
      </c>
      <c r="G2988" t="s">
        <v>894</v>
      </c>
      <c r="H2988" t="s">
        <v>902</v>
      </c>
      <c r="I2988" t="s">
        <v>903</v>
      </c>
      <c r="J2988" t="s">
        <v>1000</v>
      </c>
      <c r="K2988" t="s">
        <v>1084</v>
      </c>
      <c r="L2988" t="s">
        <v>1337</v>
      </c>
      <c r="M2988" t="s">
        <v>12</v>
      </c>
      <c r="N2988" s="2">
        <v>6000</v>
      </c>
      <c r="O2988" s="2">
        <v>0</v>
      </c>
      <c r="P2988" s="2">
        <v>-6000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</row>
    <row r="2989" spans="1:23" outlineLevel="2" x14ac:dyDescent="0.2">
      <c r="A2989" t="s">
        <v>999</v>
      </c>
      <c r="B2989" t="s">
        <v>39</v>
      </c>
      <c r="C2989" t="s">
        <v>58</v>
      </c>
      <c r="D2989" t="s">
        <v>145</v>
      </c>
      <c r="E2989" t="s">
        <v>146</v>
      </c>
      <c r="F2989" t="s">
        <v>893</v>
      </c>
      <c r="G2989" t="s">
        <v>894</v>
      </c>
      <c r="H2989" t="s">
        <v>902</v>
      </c>
      <c r="I2989" t="s">
        <v>903</v>
      </c>
      <c r="J2989" t="s">
        <v>1000</v>
      </c>
      <c r="K2989" t="s">
        <v>1084</v>
      </c>
      <c r="L2989" t="s">
        <v>1337</v>
      </c>
      <c r="M2989" t="s">
        <v>12</v>
      </c>
      <c r="N2989" s="2">
        <v>2500</v>
      </c>
      <c r="O2989" s="2">
        <v>0</v>
      </c>
      <c r="P2989" s="2">
        <v>-2500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</row>
    <row r="2990" spans="1:23" outlineLevel="2" x14ac:dyDescent="0.2">
      <c r="A2990" t="s">
        <v>999</v>
      </c>
      <c r="B2990" t="s">
        <v>31</v>
      </c>
      <c r="C2990" t="s">
        <v>49</v>
      </c>
      <c r="D2990" t="s">
        <v>50</v>
      </c>
      <c r="E2990" t="s">
        <v>51</v>
      </c>
      <c r="F2990" t="s">
        <v>893</v>
      </c>
      <c r="G2990" t="s">
        <v>894</v>
      </c>
      <c r="H2990" t="s">
        <v>902</v>
      </c>
      <c r="I2990" t="s">
        <v>903</v>
      </c>
      <c r="J2990" t="s">
        <v>1000</v>
      </c>
      <c r="K2990" t="s">
        <v>1118</v>
      </c>
      <c r="L2990" t="s">
        <v>1318</v>
      </c>
      <c r="M2990" t="s">
        <v>12</v>
      </c>
      <c r="N2990" s="2">
        <v>0</v>
      </c>
      <c r="O2990" s="2">
        <v>100</v>
      </c>
      <c r="P2990" s="2">
        <v>0</v>
      </c>
      <c r="Q2990" s="2">
        <v>100</v>
      </c>
      <c r="R2990" s="2">
        <v>0</v>
      </c>
      <c r="S2990" s="2">
        <v>67.2</v>
      </c>
      <c r="T2990" s="2">
        <v>67.2</v>
      </c>
      <c r="U2990" s="2">
        <v>32.799999999999997</v>
      </c>
      <c r="V2990" s="2">
        <v>32.799999999999997</v>
      </c>
      <c r="W2990" s="2">
        <v>32.799999999999997</v>
      </c>
    </row>
    <row r="2991" spans="1:23" outlineLevel="2" x14ac:dyDescent="0.2">
      <c r="A2991" t="s">
        <v>999</v>
      </c>
      <c r="B2991" t="s">
        <v>39</v>
      </c>
      <c r="C2991" t="s">
        <v>58</v>
      </c>
      <c r="D2991" t="s">
        <v>137</v>
      </c>
      <c r="E2991" t="s">
        <v>138</v>
      </c>
      <c r="F2991" t="s">
        <v>893</v>
      </c>
      <c r="G2991" t="s">
        <v>894</v>
      </c>
      <c r="H2991" t="s">
        <v>902</v>
      </c>
      <c r="I2991" t="s">
        <v>903</v>
      </c>
      <c r="J2991" t="s">
        <v>1000</v>
      </c>
      <c r="K2991" t="s">
        <v>1118</v>
      </c>
      <c r="L2991" t="s">
        <v>1338</v>
      </c>
      <c r="M2991" t="s">
        <v>12</v>
      </c>
      <c r="N2991" s="2">
        <v>500</v>
      </c>
      <c r="O2991" s="2">
        <v>0</v>
      </c>
      <c r="P2991" s="2">
        <v>-500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</row>
    <row r="2992" spans="1:23" outlineLevel="2" x14ac:dyDescent="0.2">
      <c r="A2992" t="s">
        <v>999</v>
      </c>
      <c r="B2992" t="s">
        <v>39</v>
      </c>
      <c r="C2992" t="s">
        <v>58</v>
      </c>
      <c r="D2992" t="s">
        <v>149</v>
      </c>
      <c r="E2992" t="s">
        <v>150</v>
      </c>
      <c r="F2992" t="s">
        <v>893</v>
      </c>
      <c r="G2992" t="s">
        <v>894</v>
      </c>
      <c r="H2992" t="s">
        <v>902</v>
      </c>
      <c r="I2992" t="s">
        <v>903</v>
      </c>
      <c r="J2992" t="s">
        <v>1000</v>
      </c>
      <c r="K2992" t="s">
        <v>1118</v>
      </c>
      <c r="L2992" t="s">
        <v>1338</v>
      </c>
      <c r="M2992" t="s">
        <v>12</v>
      </c>
      <c r="N2992" s="2">
        <v>6000</v>
      </c>
      <c r="O2992" s="2">
        <v>0</v>
      </c>
      <c r="P2992" s="2">
        <v>-6000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</row>
    <row r="2993" spans="1:23" outlineLevel="2" x14ac:dyDescent="0.2">
      <c r="A2993" t="s">
        <v>999</v>
      </c>
      <c r="B2993" t="s">
        <v>31</v>
      </c>
      <c r="C2993" t="s">
        <v>49</v>
      </c>
      <c r="D2993" t="s">
        <v>50</v>
      </c>
      <c r="E2993" t="s">
        <v>51</v>
      </c>
      <c r="F2993" t="s">
        <v>893</v>
      </c>
      <c r="G2993" t="s">
        <v>894</v>
      </c>
      <c r="H2993" t="s">
        <v>902</v>
      </c>
      <c r="I2993" t="s">
        <v>903</v>
      </c>
      <c r="J2993" t="s">
        <v>1000</v>
      </c>
      <c r="K2993" t="s">
        <v>1339</v>
      </c>
      <c r="L2993" t="s">
        <v>1340</v>
      </c>
      <c r="M2993" t="s">
        <v>12</v>
      </c>
      <c r="N2993" s="2">
        <v>0</v>
      </c>
      <c r="O2993" s="2">
        <v>481.6</v>
      </c>
      <c r="P2993" s="2">
        <v>950</v>
      </c>
      <c r="Q2993" s="2">
        <v>1431.6</v>
      </c>
      <c r="R2993" s="2">
        <v>481.6</v>
      </c>
      <c r="S2993" s="2">
        <v>0</v>
      </c>
      <c r="T2993" s="2">
        <v>0</v>
      </c>
      <c r="U2993" s="2">
        <v>1431.6</v>
      </c>
      <c r="V2993" s="2">
        <v>1431.6</v>
      </c>
      <c r="W2993" s="2">
        <v>950</v>
      </c>
    </row>
    <row r="2994" spans="1:23" outlineLevel="2" x14ac:dyDescent="0.2">
      <c r="A2994" t="s">
        <v>999</v>
      </c>
      <c r="B2994" t="s">
        <v>31</v>
      </c>
      <c r="C2994" t="s">
        <v>49</v>
      </c>
      <c r="D2994" t="s">
        <v>50</v>
      </c>
      <c r="E2994" t="s">
        <v>51</v>
      </c>
      <c r="F2994" t="s">
        <v>893</v>
      </c>
      <c r="G2994" t="s">
        <v>894</v>
      </c>
      <c r="H2994" t="s">
        <v>902</v>
      </c>
      <c r="I2994" t="s">
        <v>903</v>
      </c>
      <c r="J2994" t="s">
        <v>1000</v>
      </c>
      <c r="K2994" t="s">
        <v>1341</v>
      </c>
      <c r="L2994" t="s">
        <v>1342</v>
      </c>
      <c r="M2994" t="s">
        <v>12</v>
      </c>
      <c r="N2994" s="2">
        <v>0</v>
      </c>
      <c r="O2994" s="2">
        <v>125.44</v>
      </c>
      <c r="P2994" s="2">
        <v>0</v>
      </c>
      <c r="Q2994" s="2">
        <v>125.44</v>
      </c>
      <c r="R2994" s="2">
        <v>125.44</v>
      </c>
      <c r="S2994" s="2">
        <v>0</v>
      </c>
      <c r="T2994" s="2">
        <v>0</v>
      </c>
      <c r="U2994" s="2">
        <v>125.44</v>
      </c>
      <c r="V2994" s="2">
        <v>125.44</v>
      </c>
      <c r="W2994" s="2">
        <v>0</v>
      </c>
    </row>
    <row r="2995" spans="1:23" outlineLevel="2" x14ac:dyDescent="0.2">
      <c r="A2995" t="s">
        <v>999</v>
      </c>
      <c r="B2995" t="s">
        <v>31</v>
      </c>
      <c r="C2995" t="s">
        <v>49</v>
      </c>
      <c r="D2995" t="s">
        <v>50</v>
      </c>
      <c r="E2995" t="s">
        <v>51</v>
      </c>
      <c r="F2995" t="s">
        <v>893</v>
      </c>
      <c r="G2995" t="s">
        <v>894</v>
      </c>
      <c r="H2995" t="s">
        <v>902</v>
      </c>
      <c r="I2995" t="s">
        <v>903</v>
      </c>
      <c r="J2995" t="s">
        <v>1000</v>
      </c>
      <c r="K2995" t="s">
        <v>1343</v>
      </c>
      <c r="L2995" t="s">
        <v>1344</v>
      </c>
      <c r="M2995" t="s">
        <v>12</v>
      </c>
      <c r="N2995" s="2">
        <v>0</v>
      </c>
      <c r="O2995" s="2">
        <v>250</v>
      </c>
      <c r="P2995" s="2">
        <v>0</v>
      </c>
      <c r="Q2995" s="2">
        <v>250</v>
      </c>
      <c r="R2995" s="2">
        <v>0</v>
      </c>
      <c r="S2995" s="2">
        <v>235.2</v>
      </c>
      <c r="T2995" s="2">
        <v>235.2</v>
      </c>
      <c r="U2995" s="2">
        <v>14.8</v>
      </c>
      <c r="V2995" s="2">
        <v>14.8</v>
      </c>
      <c r="W2995" s="2">
        <v>14.8</v>
      </c>
    </row>
    <row r="2996" spans="1:23" outlineLevel="2" x14ac:dyDescent="0.2">
      <c r="A2996" t="s">
        <v>999</v>
      </c>
      <c r="B2996" t="s">
        <v>31</v>
      </c>
      <c r="C2996" t="s">
        <v>49</v>
      </c>
      <c r="D2996" t="s">
        <v>50</v>
      </c>
      <c r="E2996" t="s">
        <v>51</v>
      </c>
      <c r="F2996" t="s">
        <v>893</v>
      </c>
      <c r="G2996" t="s">
        <v>894</v>
      </c>
      <c r="H2996" t="s">
        <v>902</v>
      </c>
      <c r="I2996" t="s">
        <v>903</v>
      </c>
      <c r="J2996" t="s">
        <v>1000</v>
      </c>
      <c r="K2996" t="s">
        <v>1183</v>
      </c>
      <c r="L2996" t="s">
        <v>1319</v>
      </c>
      <c r="M2996" t="s">
        <v>12</v>
      </c>
      <c r="N2996" s="2">
        <v>0</v>
      </c>
      <c r="O2996" s="2">
        <v>250</v>
      </c>
      <c r="P2996" s="2">
        <v>0</v>
      </c>
      <c r="Q2996" s="2">
        <v>250</v>
      </c>
      <c r="R2996" s="2">
        <v>0</v>
      </c>
      <c r="S2996" s="2">
        <v>219.52</v>
      </c>
      <c r="T2996" s="2">
        <v>219.52</v>
      </c>
      <c r="U2996" s="2">
        <v>30.48</v>
      </c>
      <c r="V2996" s="2">
        <v>30.48</v>
      </c>
      <c r="W2996" s="2">
        <v>30.48</v>
      </c>
    </row>
    <row r="2997" spans="1:23" outlineLevel="2" x14ac:dyDescent="0.2">
      <c r="A2997" t="s">
        <v>999</v>
      </c>
      <c r="B2997" t="s">
        <v>39</v>
      </c>
      <c r="C2997" t="s">
        <v>58</v>
      </c>
      <c r="D2997" t="s">
        <v>149</v>
      </c>
      <c r="E2997" t="s">
        <v>150</v>
      </c>
      <c r="F2997" t="s">
        <v>893</v>
      </c>
      <c r="G2997" t="s">
        <v>894</v>
      </c>
      <c r="H2997" t="s">
        <v>902</v>
      </c>
      <c r="I2997" t="s">
        <v>903</v>
      </c>
      <c r="J2997" t="s">
        <v>1000</v>
      </c>
      <c r="K2997" t="s">
        <v>1185</v>
      </c>
      <c r="L2997" t="s">
        <v>1345</v>
      </c>
      <c r="M2997" t="s">
        <v>12</v>
      </c>
      <c r="N2997" s="2">
        <v>6000</v>
      </c>
      <c r="O2997" s="2">
        <v>0</v>
      </c>
      <c r="P2997" s="2">
        <v>-6000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</row>
    <row r="2998" spans="1:23" outlineLevel="2" x14ac:dyDescent="0.2">
      <c r="A2998" t="s">
        <v>999</v>
      </c>
      <c r="B2998" t="s">
        <v>31</v>
      </c>
      <c r="C2998" t="s">
        <v>49</v>
      </c>
      <c r="D2998" t="s">
        <v>50</v>
      </c>
      <c r="E2998" t="s">
        <v>51</v>
      </c>
      <c r="F2998" t="s">
        <v>893</v>
      </c>
      <c r="G2998" t="s">
        <v>894</v>
      </c>
      <c r="H2998" t="s">
        <v>1346</v>
      </c>
      <c r="I2998" t="s">
        <v>1347</v>
      </c>
      <c r="J2998" t="s">
        <v>1000</v>
      </c>
      <c r="K2998" t="s">
        <v>1100</v>
      </c>
      <c r="L2998" t="s">
        <v>1348</v>
      </c>
      <c r="M2998" t="s">
        <v>12</v>
      </c>
      <c r="N2998" s="2">
        <v>1000</v>
      </c>
      <c r="O2998" s="2">
        <v>-1000</v>
      </c>
      <c r="P2998" s="2">
        <v>0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</row>
    <row r="2999" spans="1:23" outlineLevel="2" x14ac:dyDescent="0.2">
      <c r="A2999" t="s">
        <v>999</v>
      </c>
      <c r="B2999" t="s">
        <v>31</v>
      </c>
      <c r="C2999" t="s">
        <v>49</v>
      </c>
      <c r="D2999" t="s">
        <v>50</v>
      </c>
      <c r="E2999" t="s">
        <v>51</v>
      </c>
      <c r="F2999" t="s">
        <v>893</v>
      </c>
      <c r="G2999" t="s">
        <v>894</v>
      </c>
      <c r="H2999" t="s">
        <v>1346</v>
      </c>
      <c r="I2999" t="s">
        <v>1347</v>
      </c>
      <c r="J2999" t="s">
        <v>1000</v>
      </c>
      <c r="K2999" t="s">
        <v>1102</v>
      </c>
      <c r="L2999" t="s">
        <v>1349</v>
      </c>
      <c r="M2999" t="s">
        <v>12</v>
      </c>
      <c r="N2999" s="2">
        <v>3000</v>
      </c>
      <c r="O2999" s="2">
        <v>-3000</v>
      </c>
      <c r="P2999" s="2">
        <v>0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</row>
    <row r="3000" spans="1:23" outlineLevel="2" x14ac:dyDescent="0.2">
      <c r="A3000" t="s">
        <v>999</v>
      </c>
      <c r="B3000" t="s">
        <v>31</v>
      </c>
      <c r="C3000" t="s">
        <v>49</v>
      </c>
      <c r="D3000" t="s">
        <v>50</v>
      </c>
      <c r="E3000" t="s">
        <v>51</v>
      </c>
      <c r="F3000" t="s">
        <v>893</v>
      </c>
      <c r="G3000" t="s">
        <v>894</v>
      </c>
      <c r="H3000" t="s">
        <v>1346</v>
      </c>
      <c r="I3000" t="s">
        <v>1347</v>
      </c>
      <c r="J3000" t="s">
        <v>1000</v>
      </c>
      <c r="K3000" t="s">
        <v>1104</v>
      </c>
      <c r="L3000" t="s">
        <v>1350</v>
      </c>
      <c r="M3000" t="s">
        <v>12</v>
      </c>
      <c r="N3000" s="2">
        <v>7000</v>
      </c>
      <c r="O3000" s="2">
        <v>-7000</v>
      </c>
      <c r="P3000" s="2">
        <v>0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</row>
    <row r="3001" spans="1:23" outlineLevel="2" x14ac:dyDescent="0.2">
      <c r="A3001" t="s">
        <v>999</v>
      </c>
      <c r="B3001" t="s">
        <v>31</v>
      </c>
      <c r="C3001" t="s">
        <v>49</v>
      </c>
      <c r="D3001" t="s">
        <v>50</v>
      </c>
      <c r="E3001" t="s">
        <v>51</v>
      </c>
      <c r="F3001" t="s">
        <v>893</v>
      </c>
      <c r="G3001" t="s">
        <v>894</v>
      </c>
      <c r="H3001" t="s">
        <v>1346</v>
      </c>
      <c r="I3001" t="s">
        <v>1347</v>
      </c>
      <c r="J3001" t="s">
        <v>1000</v>
      </c>
      <c r="K3001" t="s">
        <v>1108</v>
      </c>
      <c r="L3001" t="s">
        <v>1351</v>
      </c>
      <c r="M3001" t="s">
        <v>12</v>
      </c>
      <c r="N3001" s="2">
        <v>30000</v>
      </c>
      <c r="O3001" s="2">
        <v>-30000</v>
      </c>
      <c r="P3001" s="2">
        <v>0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</row>
    <row r="3002" spans="1:23" outlineLevel="2" x14ac:dyDescent="0.2">
      <c r="A3002" t="s">
        <v>999</v>
      </c>
      <c r="B3002" t="s">
        <v>31</v>
      </c>
      <c r="C3002" t="s">
        <v>49</v>
      </c>
      <c r="D3002" t="s">
        <v>50</v>
      </c>
      <c r="E3002" t="s">
        <v>51</v>
      </c>
      <c r="F3002" t="s">
        <v>893</v>
      </c>
      <c r="G3002" t="s">
        <v>894</v>
      </c>
      <c r="H3002" t="s">
        <v>1346</v>
      </c>
      <c r="I3002" t="s">
        <v>1347</v>
      </c>
      <c r="J3002" t="s">
        <v>1000</v>
      </c>
      <c r="K3002" t="s">
        <v>1206</v>
      </c>
      <c r="L3002" t="s">
        <v>1352</v>
      </c>
      <c r="M3002" t="s">
        <v>12</v>
      </c>
      <c r="N3002" s="2">
        <v>7400</v>
      </c>
      <c r="O3002" s="2">
        <v>600</v>
      </c>
      <c r="P3002" s="2">
        <v>0</v>
      </c>
      <c r="Q3002" s="2">
        <v>8000</v>
      </c>
      <c r="R3002" s="2">
        <v>7840</v>
      </c>
      <c r="S3002" s="2">
        <v>0</v>
      </c>
      <c r="T3002" s="2">
        <v>0</v>
      </c>
      <c r="U3002" s="2">
        <v>8000</v>
      </c>
      <c r="V3002" s="2">
        <v>8000</v>
      </c>
      <c r="W3002" s="2">
        <v>160</v>
      </c>
    </row>
    <row r="3003" spans="1:23" outlineLevel="2" x14ac:dyDescent="0.2">
      <c r="A3003" t="s">
        <v>999</v>
      </c>
      <c r="B3003" t="s">
        <v>31</v>
      </c>
      <c r="C3003" t="s">
        <v>49</v>
      </c>
      <c r="D3003" t="s">
        <v>50</v>
      </c>
      <c r="E3003" t="s">
        <v>51</v>
      </c>
      <c r="F3003" t="s">
        <v>893</v>
      </c>
      <c r="G3003" t="s">
        <v>894</v>
      </c>
      <c r="H3003" t="s">
        <v>1346</v>
      </c>
      <c r="I3003" t="s">
        <v>1347</v>
      </c>
      <c r="J3003" t="s">
        <v>1000</v>
      </c>
      <c r="K3003" t="s">
        <v>1068</v>
      </c>
      <c r="L3003" t="s">
        <v>1309</v>
      </c>
      <c r="M3003" t="s">
        <v>12</v>
      </c>
      <c r="N3003" s="2">
        <v>3000</v>
      </c>
      <c r="O3003" s="2">
        <v>-3000</v>
      </c>
      <c r="P3003" s="2">
        <v>0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</row>
    <row r="3004" spans="1:23" outlineLevel="2" x14ac:dyDescent="0.2">
      <c r="A3004" t="s">
        <v>999</v>
      </c>
      <c r="B3004" t="s">
        <v>31</v>
      </c>
      <c r="C3004" t="s">
        <v>49</v>
      </c>
      <c r="D3004" t="s">
        <v>50</v>
      </c>
      <c r="E3004" t="s">
        <v>51</v>
      </c>
      <c r="F3004" t="s">
        <v>893</v>
      </c>
      <c r="G3004" t="s">
        <v>894</v>
      </c>
      <c r="H3004" t="s">
        <v>1346</v>
      </c>
      <c r="I3004" t="s">
        <v>1347</v>
      </c>
      <c r="J3004" t="s">
        <v>1000</v>
      </c>
      <c r="K3004" t="s">
        <v>1003</v>
      </c>
      <c r="L3004" t="s">
        <v>1310</v>
      </c>
      <c r="M3004" t="s">
        <v>12</v>
      </c>
      <c r="N3004" s="2">
        <v>340000</v>
      </c>
      <c r="O3004" s="2">
        <v>-340000</v>
      </c>
      <c r="P3004" s="2">
        <v>0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</row>
    <row r="3005" spans="1:23" outlineLevel="2" x14ac:dyDescent="0.2">
      <c r="A3005" t="s">
        <v>999</v>
      </c>
      <c r="B3005" t="s">
        <v>31</v>
      </c>
      <c r="C3005" t="s">
        <v>49</v>
      </c>
      <c r="D3005" t="s">
        <v>50</v>
      </c>
      <c r="E3005" t="s">
        <v>51</v>
      </c>
      <c r="F3005" t="s">
        <v>893</v>
      </c>
      <c r="G3005" t="s">
        <v>894</v>
      </c>
      <c r="H3005" t="s">
        <v>1346</v>
      </c>
      <c r="I3005" t="s">
        <v>1347</v>
      </c>
      <c r="J3005" t="s">
        <v>1000</v>
      </c>
      <c r="K3005" t="s">
        <v>1017</v>
      </c>
      <c r="L3005" t="s">
        <v>1311</v>
      </c>
      <c r="M3005" t="s">
        <v>12</v>
      </c>
      <c r="N3005" s="2">
        <v>154916.70000000001</v>
      </c>
      <c r="O3005" s="2">
        <v>-11324.58</v>
      </c>
      <c r="P3005" s="2">
        <v>-73000</v>
      </c>
      <c r="Q3005" s="2">
        <v>70592.12</v>
      </c>
      <c r="R3005" s="2">
        <v>0</v>
      </c>
      <c r="S3005" s="2">
        <v>0</v>
      </c>
      <c r="T3005" s="2">
        <v>0</v>
      </c>
      <c r="U3005" s="2">
        <v>70592.12</v>
      </c>
      <c r="V3005" s="2">
        <v>70592.12</v>
      </c>
      <c r="W3005" s="2">
        <v>70592.12</v>
      </c>
    </row>
    <row r="3006" spans="1:23" outlineLevel="2" x14ac:dyDescent="0.2">
      <c r="A3006" t="s">
        <v>999</v>
      </c>
      <c r="B3006" t="s">
        <v>31</v>
      </c>
      <c r="C3006" t="s">
        <v>49</v>
      </c>
      <c r="D3006" t="s">
        <v>50</v>
      </c>
      <c r="E3006" t="s">
        <v>51</v>
      </c>
      <c r="F3006" t="s">
        <v>893</v>
      </c>
      <c r="G3006" t="s">
        <v>894</v>
      </c>
      <c r="H3006" t="s">
        <v>1346</v>
      </c>
      <c r="I3006" t="s">
        <v>1347</v>
      </c>
      <c r="J3006" t="s">
        <v>1000</v>
      </c>
      <c r="K3006" t="s">
        <v>1078</v>
      </c>
      <c r="L3006" t="s">
        <v>1312</v>
      </c>
      <c r="M3006" t="s">
        <v>12</v>
      </c>
      <c r="N3006" s="2">
        <v>35000</v>
      </c>
      <c r="O3006" s="2">
        <v>-35000</v>
      </c>
      <c r="P3006" s="2">
        <v>0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</row>
    <row r="3007" spans="1:23" outlineLevel="2" x14ac:dyDescent="0.2">
      <c r="A3007" t="s">
        <v>999</v>
      </c>
      <c r="B3007" t="s">
        <v>31</v>
      </c>
      <c r="C3007" t="s">
        <v>49</v>
      </c>
      <c r="D3007" t="s">
        <v>50</v>
      </c>
      <c r="E3007" t="s">
        <v>51</v>
      </c>
      <c r="F3007" t="s">
        <v>893</v>
      </c>
      <c r="G3007" t="s">
        <v>894</v>
      </c>
      <c r="H3007" t="s">
        <v>1346</v>
      </c>
      <c r="I3007" t="s">
        <v>1347</v>
      </c>
      <c r="J3007" t="s">
        <v>1000</v>
      </c>
      <c r="K3007" t="s">
        <v>1118</v>
      </c>
      <c r="L3007" t="s">
        <v>1318</v>
      </c>
      <c r="M3007" t="s">
        <v>12</v>
      </c>
      <c r="N3007" s="2">
        <v>1000</v>
      </c>
      <c r="O3007" s="2">
        <v>-1000</v>
      </c>
      <c r="P3007" s="2">
        <v>0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</row>
    <row r="3008" spans="1:23" outlineLevel="2" x14ac:dyDescent="0.2">
      <c r="A3008" t="s">
        <v>999</v>
      </c>
      <c r="B3008" t="s">
        <v>31</v>
      </c>
      <c r="C3008" t="s">
        <v>49</v>
      </c>
      <c r="D3008" t="s">
        <v>50</v>
      </c>
      <c r="E3008" t="s">
        <v>51</v>
      </c>
      <c r="F3008" t="s">
        <v>893</v>
      </c>
      <c r="G3008" t="s">
        <v>894</v>
      </c>
      <c r="H3008" t="s">
        <v>1346</v>
      </c>
      <c r="I3008" t="s">
        <v>1347</v>
      </c>
      <c r="J3008" t="s">
        <v>1000</v>
      </c>
      <c r="K3008" t="s">
        <v>1120</v>
      </c>
      <c r="L3008" t="s">
        <v>1353</v>
      </c>
      <c r="M3008" t="s">
        <v>12</v>
      </c>
      <c r="N3008" s="2">
        <v>4083.3</v>
      </c>
      <c r="O3008" s="2">
        <v>-4083.3</v>
      </c>
      <c r="P3008" s="2">
        <v>0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</row>
    <row r="3009" spans="1:23" outlineLevel="2" x14ac:dyDescent="0.2">
      <c r="A3009" t="s">
        <v>999</v>
      </c>
      <c r="B3009" t="s">
        <v>31</v>
      </c>
      <c r="C3009" t="s">
        <v>49</v>
      </c>
      <c r="D3009" t="s">
        <v>50</v>
      </c>
      <c r="E3009" t="s">
        <v>51</v>
      </c>
      <c r="F3009" t="s">
        <v>893</v>
      </c>
      <c r="G3009" t="s">
        <v>894</v>
      </c>
      <c r="H3009" t="s">
        <v>1346</v>
      </c>
      <c r="I3009" t="s">
        <v>1347</v>
      </c>
      <c r="J3009" t="s">
        <v>1000</v>
      </c>
      <c r="K3009" t="s">
        <v>1183</v>
      </c>
      <c r="L3009" t="s">
        <v>1319</v>
      </c>
      <c r="M3009" t="s">
        <v>12</v>
      </c>
      <c r="N3009" s="2">
        <v>1000</v>
      </c>
      <c r="O3009" s="2">
        <v>-1000</v>
      </c>
      <c r="P3009" s="2">
        <v>0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</row>
    <row r="3010" spans="1:23" outlineLevel="2" x14ac:dyDescent="0.2">
      <c r="A3010" t="s">
        <v>999</v>
      </c>
      <c r="B3010" t="s">
        <v>39</v>
      </c>
      <c r="C3010" t="s">
        <v>40</v>
      </c>
      <c r="D3010" t="s">
        <v>77</v>
      </c>
      <c r="E3010" t="s">
        <v>78</v>
      </c>
      <c r="F3010" t="s">
        <v>1354</v>
      </c>
      <c r="G3010" t="s">
        <v>1355</v>
      </c>
      <c r="H3010" t="s">
        <v>1356</v>
      </c>
      <c r="I3010" t="s">
        <v>1357</v>
      </c>
      <c r="J3010" t="s">
        <v>1000</v>
      </c>
      <c r="K3010" t="s">
        <v>1267</v>
      </c>
      <c r="L3010" t="s">
        <v>1358</v>
      </c>
      <c r="M3010" t="s">
        <v>12</v>
      </c>
      <c r="N3010" s="2">
        <v>16573.349999999999</v>
      </c>
      <c r="O3010" s="2">
        <v>0</v>
      </c>
      <c r="P3010" s="2">
        <v>-16573.349999999999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</row>
    <row r="3011" spans="1:23" outlineLevel="2" x14ac:dyDescent="0.2">
      <c r="A3011" t="s">
        <v>999</v>
      </c>
      <c r="B3011" t="s">
        <v>39</v>
      </c>
      <c r="C3011" t="s">
        <v>40</v>
      </c>
      <c r="D3011" t="s">
        <v>41</v>
      </c>
      <c r="E3011" t="s">
        <v>42</v>
      </c>
      <c r="F3011" t="s">
        <v>1354</v>
      </c>
      <c r="G3011" t="s">
        <v>1355</v>
      </c>
      <c r="H3011" t="s">
        <v>1359</v>
      </c>
      <c r="I3011" t="s">
        <v>1360</v>
      </c>
      <c r="J3011" t="s">
        <v>1000</v>
      </c>
      <c r="K3011" t="s">
        <v>1058</v>
      </c>
      <c r="L3011" t="s">
        <v>1361</v>
      </c>
      <c r="M3011" t="s">
        <v>12</v>
      </c>
      <c r="N3011" s="2">
        <v>600000</v>
      </c>
      <c r="O3011" s="2">
        <v>0</v>
      </c>
      <c r="P3011" s="2">
        <v>0</v>
      </c>
      <c r="Q3011" s="2">
        <v>600000</v>
      </c>
      <c r="R3011" s="2">
        <v>89600</v>
      </c>
      <c r="S3011" s="2">
        <v>78400</v>
      </c>
      <c r="T3011" s="2">
        <v>78400</v>
      </c>
      <c r="U3011" s="2">
        <v>521600</v>
      </c>
      <c r="V3011" s="2">
        <v>521600</v>
      </c>
      <c r="W3011" s="2">
        <v>432000</v>
      </c>
    </row>
    <row r="3012" spans="1:23" outlineLevel="2" x14ac:dyDescent="0.2">
      <c r="A3012" t="s">
        <v>999</v>
      </c>
      <c r="B3012" t="s">
        <v>39</v>
      </c>
      <c r="C3012" t="s">
        <v>40</v>
      </c>
      <c r="D3012" t="s">
        <v>77</v>
      </c>
      <c r="E3012" t="s">
        <v>78</v>
      </c>
      <c r="F3012" t="s">
        <v>1354</v>
      </c>
      <c r="G3012" t="s">
        <v>1355</v>
      </c>
      <c r="H3012" t="s">
        <v>1362</v>
      </c>
      <c r="I3012" t="s">
        <v>1363</v>
      </c>
      <c r="J3012" t="s">
        <v>1000</v>
      </c>
      <c r="K3012" t="s">
        <v>1037</v>
      </c>
      <c r="L3012" t="s">
        <v>1364</v>
      </c>
      <c r="M3012" t="s">
        <v>12</v>
      </c>
      <c r="N3012" s="2">
        <v>3571.36</v>
      </c>
      <c r="O3012" s="2">
        <v>0</v>
      </c>
      <c r="P3012" s="2">
        <v>-3571.36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</row>
    <row r="3013" spans="1:23" outlineLevel="2" x14ac:dyDescent="0.2">
      <c r="A3013" t="s">
        <v>999</v>
      </c>
      <c r="B3013" t="s">
        <v>39</v>
      </c>
      <c r="C3013" t="s">
        <v>40</v>
      </c>
      <c r="D3013" t="s">
        <v>77</v>
      </c>
      <c r="E3013" t="s">
        <v>78</v>
      </c>
      <c r="F3013" t="s">
        <v>1354</v>
      </c>
      <c r="G3013" t="s">
        <v>1355</v>
      </c>
      <c r="H3013" t="s">
        <v>1362</v>
      </c>
      <c r="I3013" t="s">
        <v>1363</v>
      </c>
      <c r="J3013" t="s">
        <v>1000</v>
      </c>
      <c r="K3013" t="s">
        <v>1267</v>
      </c>
      <c r="L3013" t="s">
        <v>1358</v>
      </c>
      <c r="M3013" t="s">
        <v>12</v>
      </c>
      <c r="N3013" s="2">
        <v>5600</v>
      </c>
      <c r="O3013" s="2">
        <v>0</v>
      </c>
      <c r="P3013" s="2">
        <v>-5600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</row>
    <row r="3014" spans="1:23" outlineLevel="2" x14ac:dyDescent="0.2">
      <c r="A3014" t="s">
        <v>999</v>
      </c>
      <c r="B3014" t="s">
        <v>39</v>
      </c>
      <c r="C3014" t="s">
        <v>40</v>
      </c>
      <c r="D3014" t="s">
        <v>77</v>
      </c>
      <c r="E3014" t="s">
        <v>78</v>
      </c>
      <c r="F3014" t="s">
        <v>1354</v>
      </c>
      <c r="G3014" t="s">
        <v>1355</v>
      </c>
      <c r="H3014" t="s">
        <v>1362</v>
      </c>
      <c r="I3014" t="s">
        <v>1363</v>
      </c>
      <c r="J3014" t="s">
        <v>1000</v>
      </c>
      <c r="K3014" t="s">
        <v>1061</v>
      </c>
      <c r="L3014" t="s">
        <v>1365</v>
      </c>
      <c r="M3014" t="s">
        <v>12</v>
      </c>
      <c r="N3014" s="2">
        <v>640</v>
      </c>
      <c r="O3014" s="2">
        <v>0</v>
      </c>
      <c r="P3014" s="2">
        <v>-10</v>
      </c>
      <c r="Q3014" s="2">
        <v>630</v>
      </c>
      <c r="R3014" s="2">
        <v>0</v>
      </c>
      <c r="S3014" s="2">
        <v>630</v>
      </c>
      <c r="T3014" s="2">
        <v>630</v>
      </c>
      <c r="U3014" s="2">
        <v>0</v>
      </c>
      <c r="V3014" s="2">
        <v>0</v>
      </c>
      <c r="W3014" s="2">
        <v>0</v>
      </c>
    </row>
    <row r="3015" spans="1:23" outlineLevel="2" x14ac:dyDescent="0.2">
      <c r="A3015" t="s">
        <v>999</v>
      </c>
      <c r="B3015" t="s">
        <v>39</v>
      </c>
      <c r="C3015" t="s">
        <v>40</v>
      </c>
      <c r="D3015" t="s">
        <v>77</v>
      </c>
      <c r="E3015" t="s">
        <v>78</v>
      </c>
      <c r="F3015" t="s">
        <v>1354</v>
      </c>
      <c r="G3015" t="s">
        <v>1355</v>
      </c>
      <c r="H3015" t="s">
        <v>1362</v>
      </c>
      <c r="I3015" t="s">
        <v>1363</v>
      </c>
      <c r="J3015" t="s">
        <v>1000</v>
      </c>
      <c r="K3015" t="s">
        <v>1082</v>
      </c>
      <c r="L3015" t="s">
        <v>1366</v>
      </c>
      <c r="M3015" t="s">
        <v>12</v>
      </c>
      <c r="N3015" s="2">
        <v>2150</v>
      </c>
      <c r="O3015" s="2">
        <v>0</v>
      </c>
      <c r="P3015" s="2">
        <v>-2150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</row>
    <row r="3016" spans="1:23" outlineLevel="2" x14ac:dyDescent="0.2">
      <c r="A3016" t="s">
        <v>999</v>
      </c>
      <c r="B3016" t="s">
        <v>39</v>
      </c>
      <c r="C3016" t="s">
        <v>40</v>
      </c>
      <c r="D3016" t="s">
        <v>77</v>
      </c>
      <c r="E3016" t="s">
        <v>78</v>
      </c>
      <c r="F3016" t="s">
        <v>1354</v>
      </c>
      <c r="G3016" t="s">
        <v>1355</v>
      </c>
      <c r="H3016" t="s">
        <v>1362</v>
      </c>
      <c r="I3016" t="s">
        <v>1363</v>
      </c>
      <c r="J3016" t="s">
        <v>1000</v>
      </c>
      <c r="K3016" t="s">
        <v>1084</v>
      </c>
      <c r="L3016" t="s">
        <v>1367</v>
      </c>
      <c r="M3016" t="s">
        <v>12</v>
      </c>
      <c r="N3016" s="2">
        <v>8862.4500000000007</v>
      </c>
      <c r="O3016" s="2">
        <v>0</v>
      </c>
      <c r="P3016" s="2">
        <v>-8862.4500000000007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</row>
    <row r="3017" spans="1:23" outlineLevel="2" x14ac:dyDescent="0.2">
      <c r="A3017" t="s">
        <v>999</v>
      </c>
      <c r="B3017" t="s">
        <v>39</v>
      </c>
      <c r="C3017" t="s">
        <v>40</v>
      </c>
      <c r="D3017" t="s">
        <v>77</v>
      </c>
      <c r="E3017" t="s">
        <v>78</v>
      </c>
      <c r="F3017" t="s">
        <v>1354</v>
      </c>
      <c r="G3017" t="s">
        <v>1355</v>
      </c>
      <c r="H3017" t="s">
        <v>1362</v>
      </c>
      <c r="I3017" t="s">
        <v>1363</v>
      </c>
      <c r="J3017" t="s">
        <v>1000</v>
      </c>
      <c r="K3017" t="s">
        <v>1120</v>
      </c>
      <c r="L3017" t="s">
        <v>1368</v>
      </c>
      <c r="M3017" t="s">
        <v>12</v>
      </c>
      <c r="N3017" s="2">
        <v>408</v>
      </c>
      <c r="O3017" s="2">
        <v>0</v>
      </c>
      <c r="P3017" s="2">
        <v>-0.1</v>
      </c>
      <c r="Q3017" s="2">
        <v>407.9</v>
      </c>
      <c r="R3017" s="2">
        <v>0</v>
      </c>
      <c r="S3017" s="2">
        <v>407.9</v>
      </c>
      <c r="T3017" s="2">
        <v>407.9</v>
      </c>
      <c r="U3017" s="2">
        <v>0</v>
      </c>
      <c r="V3017" s="2">
        <v>0</v>
      </c>
      <c r="W3017" s="2">
        <v>0</v>
      </c>
    </row>
    <row r="3018" spans="1:23" outlineLevel="2" x14ac:dyDescent="0.2">
      <c r="A3018" t="s">
        <v>999</v>
      </c>
      <c r="B3018" t="s">
        <v>39</v>
      </c>
      <c r="C3018" t="s">
        <v>40</v>
      </c>
      <c r="D3018" t="s">
        <v>77</v>
      </c>
      <c r="E3018" t="s">
        <v>78</v>
      </c>
      <c r="F3018" t="s">
        <v>1354</v>
      </c>
      <c r="G3018" t="s">
        <v>1355</v>
      </c>
      <c r="H3018" t="s">
        <v>1369</v>
      </c>
      <c r="I3018" t="s">
        <v>1370</v>
      </c>
      <c r="J3018" t="s">
        <v>1000</v>
      </c>
      <c r="K3018" t="s">
        <v>1104</v>
      </c>
      <c r="L3018" t="s">
        <v>1371</v>
      </c>
      <c r="M3018" t="s">
        <v>12</v>
      </c>
      <c r="N3018" s="2">
        <v>68000</v>
      </c>
      <c r="O3018" s="2">
        <v>0</v>
      </c>
      <c r="P3018" s="2">
        <v>-28000</v>
      </c>
      <c r="Q3018" s="2">
        <v>40000</v>
      </c>
      <c r="R3018" s="2">
        <v>0</v>
      </c>
      <c r="S3018" s="2">
        <v>6635.23</v>
      </c>
      <c r="T3018" s="2">
        <v>0</v>
      </c>
      <c r="U3018" s="2">
        <v>33364.769999999997</v>
      </c>
      <c r="V3018" s="2">
        <v>40000</v>
      </c>
      <c r="W3018" s="2">
        <v>33364.769999999997</v>
      </c>
    </row>
    <row r="3019" spans="1:23" outlineLevel="2" x14ac:dyDescent="0.2">
      <c r="A3019" t="s">
        <v>999</v>
      </c>
      <c r="B3019" t="s">
        <v>39</v>
      </c>
      <c r="C3019" t="s">
        <v>40</v>
      </c>
      <c r="D3019" t="s">
        <v>77</v>
      </c>
      <c r="E3019" t="s">
        <v>78</v>
      </c>
      <c r="F3019" t="s">
        <v>1354</v>
      </c>
      <c r="G3019" t="s">
        <v>1355</v>
      </c>
      <c r="H3019" t="s">
        <v>1369</v>
      </c>
      <c r="I3019" t="s">
        <v>1370</v>
      </c>
      <c r="J3019" t="s">
        <v>1000</v>
      </c>
      <c r="K3019" t="s">
        <v>1037</v>
      </c>
      <c r="L3019" t="s">
        <v>1364</v>
      </c>
      <c r="M3019" t="s">
        <v>12</v>
      </c>
      <c r="N3019" s="2">
        <v>568799.62</v>
      </c>
      <c r="O3019" s="2">
        <v>160872.6</v>
      </c>
      <c r="P3019" s="2">
        <v>-89666.23</v>
      </c>
      <c r="Q3019" s="2">
        <v>640005.99</v>
      </c>
      <c r="R3019" s="2">
        <v>1055</v>
      </c>
      <c r="S3019" s="2">
        <v>399930.52</v>
      </c>
      <c r="T3019" s="2">
        <v>76080.11</v>
      </c>
      <c r="U3019" s="2">
        <v>240075.47</v>
      </c>
      <c r="V3019" s="2">
        <v>563925.88</v>
      </c>
      <c r="W3019" s="2">
        <v>239020.47</v>
      </c>
    </row>
    <row r="3020" spans="1:23" outlineLevel="2" x14ac:dyDescent="0.2">
      <c r="A3020" t="s">
        <v>999</v>
      </c>
      <c r="B3020" t="s">
        <v>39</v>
      </c>
      <c r="C3020" t="s">
        <v>40</v>
      </c>
      <c r="D3020" t="s">
        <v>77</v>
      </c>
      <c r="E3020" t="s">
        <v>78</v>
      </c>
      <c r="F3020" t="s">
        <v>1354</v>
      </c>
      <c r="G3020" t="s">
        <v>1355</v>
      </c>
      <c r="H3020" t="s">
        <v>1369</v>
      </c>
      <c r="I3020" t="s">
        <v>1370</v>
      </c>
      <c r="J3020" t="s">
        <v>1000</v>
      </c>
      <c r="K3020" t="s">
        <v>1039</v>
      </c>
      <c r="L3020" t="s">
        <v>1372</v>
      </c>
      <c r="M3020" t="s">
        <v>12</v>
      </c>
      <c r="N3020" s="2">
        <v>0</v>
      </c>
      <c r="O3020" s="2">
        <v>112000</v>
      </c>
      <c r="P3020" s="2">
        <v>-32483.64</v>
      </c>
      <c r="Q3020" s="2">
        <v>79516.36</v>
      </c>
      <c r="R3020" s="2">
        <v>1282.8399999999999</v>
      </c>
      <c r="S3020" s="2">
        <v>78233.52</v>
      </c>
      <c r="T3020" s="2">
        <v>78233.52</v>
      </c>
      <c r="U3020" s="2">
        <v>1282.8399999999999</v>
      </c>
      <c r="V3020" s="2">
        <v>1282.8399999999999</v>
      </c>
      <c r="W3020" s="2">
        <v>0</v>
      </c>
    </row>
    <row r="3021" spans="1:23" outlineLevel="2" x14ac:dyDescent="0.2">
      <c r="A3021" t="s">
        <v>999</v>
      </c>
      <c r="B3021" t="s">
        <v>39</v>
      </c>
      <c r="C3021" t="s">
        <v>40</v>
      </c>
      <c r="D3021" t="s">
        <v>77</v>
      </c>
      <c r="E3021" t="s">
        <v>78</v>
      </c>
      <c r="F3021" t="s">
        <v>1354</v>
      </c>
      <c r="G3021" t="s">
        <v>1355</v>
      </c>
      <c r="H3021" t="s">
        <v>1369</v>
      </c>
      <c r="I3021" t="s">
        <v>1370</v>
      </c>
      <c r="J3021" t="s">
        <v>1000</v>
      </c>
      <c r="K3021" t="s">
        <v>1058</v>
      </c>
      <c r="L3021" t="s">
        <v>1361</v>
      </c>
      <c r="M3021" t="s">
        <v>12</v>
      </c>
      <c r="N3021" s="2">
        <v>0</v>
      </c>
      <c r="O3021" s="2">
        <v>213267.66</v>
      </c>
      <c r="P3021" s="2">
        <v>0</v>
      </c>
      <c r="Q3021" s="2">
        <v>213267.66</v>
      </c>
      <c r="R3021" s="2">
        <v>33373.89</v>
      </c>
      <c r="S3021" s="2">
        <v>174220.37</v>
      </c>
      <c r="T3021" s="2">
        <v>174220.37</v>
      </c>
      <c r="U3021" s="2">
        <v>39047.29</v>
      </c>
      <c r="V3021" s="2">
        <v>39047.29</v>
      </c>
      <c r="W3021" s="2">
        <v>5673.4</v>
      </c>
    </row>
    <row r="3022" spans="1:23" outlineLevel="2" x14ac:dyDescent="0.2">
      <c r="A3022" t="s">
        <v>999</v>
      </c>
      <c r="B3022" t="s">
        <v>39</v>
      </c>
      <c r="C3022" t="s">
        <v>40</v>
      </c>
      <c r="D3022" t="s">
        <v>77</v>
      </c>
      <c r="E3022" t="s">
        <v>78</v>
      </c>
      <c r="F3022" t="s">
        <v>1354</v>
      </c>
      <c r="G3022" t="s">
        <v>1355</v>
      </c>
      <c r="H3022" t="s">
        <v>1369</v>
      </c>
      <c r="I3022" t="s">
        <v>1370</v>
      </c>
      <c r="J3022" t="s">
        <v>1000</v>
      </c>
      <c r="K3022" t="s">
        <v>1108</v>
      </c>
      <c r="L3022" t="s">
        <v>1373</v>
      </c>
      <c r="M3022" t="s">
        <v>12</v>
      </c>
      <c r="N3022" s="2">
        <v>454826.78</v>
      </c>
      <c r="O3022" s="2">
        <v>1460752.74</v>
      </c>
      <c r="P3022" s="2">
        <v>-243368.38</v>
      </c>
      <c r="Q3022" s="2">
        <v>1672211.14</v>
      </c>
      <c r="R3022" s="2">
        <v>0</v>
      </c>
      <c r="S3022" s="2">
        <v>1622237.62</v>
      </c>
      <c r="T3022" s="2">
        <v>1230434.45</v>
      </c>
      <c r="U3022" s="2">
        <v>49973.52</v>
      </c>
      <c r="V3022" s="2">
        <v>441776.69</v>
      </c>
      <c r="W3022" s="2">
        <v>49973.52</v>
      </c>
    </row>
    <row r="3023" spans="1:23" outlineLevel="2" x14ac:dyDescent="0.2">
      <c r="A3023" t="s">
        <v>999</v>
      </c>
      <c r="B3023" t="s">
        <v>39</v>
      </c>
      <c r="C3023" t="s">
        <v>40</v>
      </c>
      <c r="D3023" t="s">
        <v>77</v>
      </c>
      <c r="E3023" t="s">
        <v>78</v>
      </c>
      <c r="F3023" t="s">
        <v>1354</v>
      </c>
      <c r="G3023" t="s">
        <v>1355</v>
      </c>
      <c r="H3023" t="s">
        <v>1369</v>
      </c>
      <c r="I3023" t="s">
        <v>1370</v>
      </c>
      <c r="J3023" t="s">
        <v>1000</v>
      </c>
      <c r="K3023" t="s">
        <v>1068</v>
      </c>
      <c r="L3023" t="s">
        <v>1374</v>
      </c>
      <c r="M3023" t="s">
        <v>12</v>
      </c>
      <c r="N3023" s="2">
        <v>3500</v>
      </c>
      <c r="O3023" s="2">
        <v>0</v>
      </c>
      <c r="P3023" s="2">
        <v>0</v>
      </c>
      <c r="Q3023" s="2">
        <v>3500</v>
      </c>
      <c r="R3023" s="2">
        <v>0</v>
      </c>
      <c r="S3023" s="2">
        <v>0</v>
      </c>
      <c r="T3023" s="2">
        <v>0</v>
      </c>
      <c r="U3023" s="2">
        <v>3500</v>
      </c>
      <c r="V3023" s="2">
        <v>3500</v>
      </c>
      <c r="W3023" s="2">
        <v>3500</v>
      </c>
    </row>
    <row r="3024" spans="1:23" outlineLevel="2" x14ac:dyDescent="0.2">
      <c r="A3024" t="s">
        <v>999</v>
      </c>
      <c r="B3024" t="s">
        <v>39</v>
      </c>
      <c r="C3024" t="s">
        <v>40</v>
      </c>
      <c r="D3024" t="s">
        <v>77</v>
      </c>
      <c r="E3024" t="s">
        <v>78</v>
      </c>
      <c r="F3024" t="s">
        <v>1354</v>
      </c>
      <c r="G3024" t="s">
        <v>1355</v>
      </c>
      <c r="H3024" t="s">
        <v>1369</v>
      </c>
      <c r="I3024" t="s">
        <v>1370</v>
      </c>
      <c r="J3024" t="s">
        <v>1000</v>
      </c>
      <c r="K3024" t="s">
        <v>1009</v>
      </c>
      <c r="L3024" t="s">
        <v>1375</v>
      </c>
      <c r="M3024" t="s">
        <v>12</v>
      </c>
      <c r="N3024" s="2">
        <v>267847.34000000003</v>
      </c>
      <c r="O3024" s="2">
        <v>14000</v>
      </c>
      <c r="P3024" s="2">
        <v>-75354.080000000002</v>
      </c>
      <c r="Q3024" s="2">
        <v>206493.26</v>
      </c>
      <c r="R3024" s="2">
        <v>392</v>
      </c>
      <c r="S3024" s="2">
        <v>139300.98000000001</v>
      </c>
      <c r="T3024" s="2">
        <v>33584.550000000003</v>
      </c>
      <c r="U3024" s="2">
        <v>67192.28</v>
      </c>
      <c r="V3024" s="2">
        <v>172908.71</v>
      </c>
      <c r="W3024" s="2">
        <v>66800.28</v>
      </c>
    </row>
    <row r="3025" spans="1:23" outlineLevel="2" x14ac:dyDescent="0.2">
      <c r="A3025" t="s">
        <v>999</v>
      </c>
      <c r="B3025" t="s">
        <v>39</v>
      </c>
      <c r="C3025" t="s">
        <v>40</v>
      </c>
      <c r="D3025" t="s">
        <v>77</v>
      </c>
      <c r="E3025" t="s">
        <v>78</v>
      </c>
      <c r="F3025" t="s">
        <v>1354</v>
      </c>
      <c r="G3025" t="s">
        <v>1355</v>
      </c>
      <c r="H3025" t="s">
        <v>1369</v>
      </c>
      <c r="I3025" t="s">
        <v>1370</v>
      </c>
      <c r="J3025" t="s">
        <v>1000</v>
      </c>
      <c r="K3025" t="s">
        <v>1376</v>
      </c>
      <c r="L3025" t="s">
        <v>1377</v>
      </c>
      <c r="M3025" t="s">
        <v>12</v>
      </c>
      <c r="N3025" s="2">
        <v>751887.45</v>
      </c>
      <c r="O3025" s="2">
        <v>322342.14</v>
      </c>
      <c r="P3025" s="2">
        <v>-332230.33</v>
      </c>
      <c r="Q3025" s="2">
        <v>741999.26</v>
      </c>
      <c r="R3025" s="2">
        <v>24401.1</v>
      </c>
      <c r="S3025" s="2">
        <v>698587.04</v>
      </c>
      <c r="T3025" s="2">
        <v>356280</v>
      </c>
      <c r="U3025" s="2">
        <v>43412.22</v>
      </c>
      <c r="V3025" s="2">
        <v>385719.26</v>
      </c>
      <c r="W3025" s="2">
        <v>19011.12</v>
      </c>
    </row>
    <row r="3026" spans="1:23" outlineLevel="2" x14ac:dyDescent="0.2">
      <c r="A3026" t="s">
        <v>999</v>
      </c>
      <c r="B3026" t="s">
        <v>39</v>
      </c>
      <c r="C3026" t="s">
        <v>40</v>
      </c>
      <c r="D3026" t="s">
        <v>77</v>
      </c>
      <c r="E3026" t="s">
        <v>78</v>
      </c>
      <c r="F3026" t="s">
        <v>1354</v>
      </c>
      <c r="G3026" t="s">
        <v>1355</v>
      </c>
      <c r="H3026" t="s">
        <v>1369</v>
      </c>
      <c r="I3026" t="s">
        <v>1370</v>
      </c>
      <c r="J3026" t="s">
        <v>1000</v>
      </c>
      <c r="K3026" t="s">
        <v>1011</v>
      </c>
      <c r="L3026" t="s">
        <v>1378</v>
      </c>
      <c r="M3026" t="s">
        <v>12</v>
      </c>
      <c r="N3026" s="2">
        <v>11082</v>
      </c>
      <c r="O3026" s="2">
        <v>0</v>
      </c>
      <c r="P3026" s="2">
        <v>-6585.28</v>
      </c>
      <c r="Q3026" s="2">
        <v>4496.72</v>
      </c>
      <c r="R3026" s="2">
        <v>0.05</v>
      </c>
      <c r="S3026" s="2">
        <v>4496.67</v>
      </c>
      <c r="T3026" s="2">
        <v>4496.67</v>
      </c>
      <c r="U3026" s="2">
        <v>0.05</v>
      </c>
      <c r="V3026" s="2">
        <v>0.05</v>
      </c>
      <c r="W3026" s="2">
        <v>0</v>
      </c>
    </row>
    <row r="3027" spans="1:23" outlineLevel="2" x14ac:dyDescent="0.2">
      <c r="A3027" t="s">
        <v>999</v>
      </c>
      <c r="B3027" t="s">
        <v>39</v>
      </c>
      <c r="C3027" t="s">
        <v>40</v>
      </c>
      <c r="D3027" t="s">
        <v>77</v>
      </c>
      <c r="E3027" t="s">
        <v>78</v>
      </c>
      <c r="F3027" t="s">
        <v>1354</v>
      </c>
      <c r="G3027" t="s">
        <v>1355</v>
      </c>
      <c r="H3027" t="s">
        <v>1369</v>
      </c>
      <c r="I3027" t="s">
        <v>1370</v>
      </c>
      <c r="J3027" t="s">
        <v>1000</v>
      </c>
      <c r="K3027" t="s">
        <v>1013</v>
      </c>
      <c r="L3027" t="s">
        <v>1379</v>
      </c>
      <c r="M3027" t="s">
        <v>12</v>
      </c>
      <c r="N3027" s="2">
        <v>56754.51</v>
      </c>
      <c r="O3027" s="2">
        <v>0</v>
      </c>
      <c r="P3027" s="2">
        <v>0</v>
      </c>
      <c r="Q3027" s="2">
        <v>56754.51</v>
      </c>
      <c r="R3027" s="2">
        <v>0</v>
      </c>
      <c r="S3027" s="2">
        <v>0</v>
      </c>
      <c r="T3027" s="2">
        <v>0</v>
      </c>
      <c r="U3027" s="2">
        <v>56754.51</v>
      </c>
      <c r="V3027" s="2">
        <v>56754.51</v>
      </c>
      <c r="W3027" s="2">
        <v>56754.51</v>
      </c>
    </row>
    <row r="3028" spans="1:23" outlineLevel="2" x14ac:dyDescent="0.2">
      <c r="A3028" t="s">
        <v>999</v>
      </c>
      <c r="B3028" t="s">
        <v>39</v>
      </c>
      <c r="C3028" t="s">
        <v>40</v>
      </c>
      <c r="D3028" t="s">
        <v>77</v>
      </c>
      <c r="E3028" t="s">
        <v>78</v>
      </c>
      <c r="F3028" t="s">
        <v>1354</v>
      </c>
      <c r="G3028" t="s">
        <v>1355</v>
      </c>
      <c r="H3028" t="s">
        <v>1369</v>
      </c>
      <c r="I3028" t="s">
        <v>1370</v>
      </c>
      <c r="J3028" t="s">
        <v>1000</v>
      </c>
      <c r="K3028" t="s">
        <v>1267</v>
      </c>
      <c r="L3028" t="s">
        <v>1358</v>
      </c>
      <c r="M3028" t="s">
        <v>12</v>
      </c>
      <c r="N3028" s="2">
        <v>16000</v>
      </c>
      <c r="O3028" s="2">
        <v>0</v>
      </c>
      <c r="P3028" s="2">
        <v>-13000</v>
      </c>
      <c r="Q3028" s="2">
        <v>3000</v>
      </c>
      <c r="R3028" s="2">
        <v>0</v>
      </c>
      <c r="S3028" s="2">
        <v>0</v>
      </c>
      <c r="T3028" s="2">
        <v>0</v>
      </c>
      <c r="U3028" s="2">
        <v>3000</v>
      </c>
      <c r="V3028" s="2">
        <v>3000</v>
      </c>
      <c r="W3028" s="2">
        <v>3000</v>
      </c>
    </row>
    <row r="3029" spans="1:23" outlineLevel="2" x14ac:dyDescent="0.2">
      <c r="A3029" t="s">
        <v>999</v>
      </c>
      <c r="B3029" t="s">
        <v>39</v>
      </c>
      <c r="C3029" t="s">
        <v>40</v>
      </c>
      <c r="D3029" t="s">
        <v>77</v>
      </c>
      <c r="E3029" t="s">
        <v>78</v>
      </c>
      <c r="F3029" t="s">
        <v>1354</v>
      </c>
      <c r="G3029" t="s">
        <v>1355</v>
      </c>
      <c r="H3029" t="s">
        <v>1369</v>
      </c>
      <c r="I3029" t="s">
        <v>1370</v>
      </c>
      <c r="J3029" t="s">
        <v>1000</v>
      </c>
      <c r="K3029" t="s">
        <v>1031</v>
      </c>
      <c r="L3029" t="s">
        <v>1380</v>
      </c>
      <c r="M3029" t="s">
        <v>12</v>
      </c>
      <c r="N3029" s="2">
        <v>80355.929999999993</v>
      </c>
      <c r="O3029" s="2">
        <v>11707.14</v>
      </c>
      <c r="P3029" s="2">
        <v>0</v>
      </c>
      <c r="Q3029" s="2">
        <v>92063.07</v>
      </c>
      <c r="R3029" s="2">
        <v>0.01</v>
      </c>
      <c r="S3029" s="2">
        <v>58574.74</v>
      </c>
      <c r="T3029" s="2">
        <v>58574.73</v>
      </c>
      <c r="U3029" s="2">
        <v>33488.33</v>
      </c>
      <c r="V3029" s="2">
        <v>33488.339999999997</v>
      </c>
      <c r="W3029" s="2">
        <v>33488.32</v>
      </c>
    </row>
    <row r="3030" spans="1:23" outlineLevel="2" x14ac:dyDescent="0.2">
      <c r="A3030" t="s">
        <v>999</v>
      </c>
      <c r="B3030" t="s">
        <v>39</v>
      </c>
      <c r="C3030" t="s">
        <v>40</v>
      </c>
      <c r="D3030" t="s">
        <v>77</v>
      </c>
      <c r="E3030" t="s">
        <v>78</v>
      </c>
      <c r="F3030" t="s">
        <v>1354</v>
      </c>
      <c r="G3030" t="s">
        <v>1355</v>
      </c>
      <c r="H3030" t="s">
        <v>1369</v>
      </c>
      <c r="I3030" t="s">
        <v>1370</v>
      </c>
      <c r="J3030" t="s">
        <v>1000</v>
      </c>
      <c r="K3030" t="s">
        <v>1061</v>
      </c>
      <c r="L3030" t="s">
        <v>1365</v>
      </c>
      <c r="M3030" t="s">
        <v>12</v>
      </c>
      <c r="N3030" s="2">
        <v>1787832.17</v>
      </c>
      <c r="O3030" s="2">
        <v>116819.89</v>
      </c>
      <c r="P3030" s="2">
        <v>-91815.89</v>
      </c>
      <c r="Q3030" s="2">
        <v>1812836.17</v>
      </c>
      <c r="R3030" s="2">
        <v>0.03</v>
      </c>
      <c r="S3030" s="2">
        <v>1812836.14</v>
      </c>
      <c r="T3030" s="2">
        <v>25004</v>
      </c>
      <c r="U3030" s="2">
        <v>0.03</v>
      </c>
      <c r="V3030" s="2">
        <v>1787832.17</v>
      </c>
      <c r="W3030" s="2">
        <v>0</v>
      </c>
    </row>
    <row r="3031" spans="1:23" outlineLevel="2" x14ac:dyDescent="0.2">
      <c r="A3031" t="s">
        <v>999</v>
      </c>
      <c r="B3031" t="s">
        <v>39</v>
      </c>
      <c r="C3031" t="s">
        <v>40</v>
      </c>
      <c r="D3031" t="s">
        <v>77</v>
      </c>
      <c r="E3031" t="s">
        <v>78</v>
      </c>
      <c r="F3031" t="s">
        <v>1354</v>
      </c>
      <c r="G3031" t="s">
        <v>1355</v>
      </c>
      <c r="H3031" t="s">
        <v>1369</v>
      </c>
      <c r="I3031" t="s">
        <v>1370</v>
      </c>
      <c r="J3031" t="s">
        <v>1000</v>
      </c>
      <c r="K3031" t="s">
        <v>1381</v>
      </c>
      <c r="L3031" t="s">
        <v>1382</v>
      </c>
      <c r="M3031" t="s">
        <v>12</v>
      </c>
      <c r="N3031" s="2">
        <v>76552.070000000007</v>
      </c>
      <c r="O3031" s="2">
        <v>390970.61</v>
      </c>
      <c r="P3031" s="2">
        <v>-39573.129999999997</v>
      </c>
      <c r="Q3031" s="2">
        <v>427949.55</v>
      </c>
      <c r="R3031" s="2">
        <v>3519.65</v>
      </c>
      <c r="S3031" s="2">
        <v>387314.37</v>
      </c>
      <c r="T3031" s="2">
        <v>262035.99</v>
      </c>
      <c r="U3031" s="2">
        <v>40635.18</v>
      </c>
      <c r="V3031" s="2">
        <v>165913.56</v>
      </c>
      <c r="W3031" s="2">
        <v>37115.53</v>
      </c>
    </row>
    <row r="3032" spans="1:23" outlineLevel="2" x14ac:dyDescent="0.2">
      <c r="A3032" t="s">
        <v>999</v>
      </c>
      <c r="B3032" t="s">
        <v>39</v>
      </c>
      <c r="C3032" t="s">
        <v>40</v>
      </c>
      <c r="D3032" t="s">
        <v>77</v>
      </c>
      <c r="E3032" t="s">
        <v>78</v>
      </c>
      <c r="F3032" t="s">
        <v>1354</v>
      </c>
      <c r="G3032" t="s">
        <v>1355</v>
      </c>
      <c r="H3032" t="s">
        <v>1369</v>
      </c>
      <c r="I3032" t="s">
        <v>1370</v>
      </c>
      <c r="J3032" t="s">
        <v>1000</v>
      </c>
      <c r="K3032" t="s">
        <v>1019</v>
      </c>
      <c r="L3032" t="s">
        <v>1383</v>
      </c>
      <c r="M3032" t="s">
        <v>12</v>
      </c>
      <c r="N3032" s="2">
        <v>53600</v>
      </c>
      <c r="O3032" s="2">
        <v>64000</v>
      </c>
      <c r="P3032" s="2">
        <v>-42257.83</v>
      </c>
      <c r="Q3032" s="2">
        <v>75342.17</v>
      </c>
      <c r="R3032" s="2">
        <v>0</v>
      </c>
      <c r="S3032" s="2">
        <v>13869.61</v>
      </c>
      <c r="T3032" s="2">
        <v>6394.75</v>
      </c>
      <c r="U3032" s="2">
        <v>61472.56</v>
      </c>
      <c r="V3032" s="2">
        <v>68947.42</v>
      </c>
      <c r="W3032" s="2">
        <v>61472.56</v>
      </c>
    </row>
    <row r="3033" spans="1:23" outlineLevel="2" x14ac:dyDescent="0.2">
      <c r="A3033" t="s">
        <v>999</v>
      </c>
      <c r="B3033" t="s">
        <v>39</v>
      </c>
      <c r="C3033" t="s">
        <v>40</v>
      </c>
      <c r="D3033" t="s">
        <v>77</v>
      </c>
      <c r="E3033" t="s">
        <v>78</v>
      </c>
      <c r="F3033" t="s">
        <v>1354</v>
      </c>
      <c r="G3033" t="s">
        <v>1355</v>
      </c>
      <c r="H3033" t="s">
        <v>1369</v>
      </c>
      <c r="I3033" t="s">
        <v>1370</v>
      </c>
      <c r="J3033" t="s">
        <v>1000</v>
      </c>
      <c r="K3033" t="s">
        <v>1313</v>
      </c>
      <c r="L3033" t="s">
        <v>1384</v>
      </c>
      <c r="M3033" t="s">
        <v>12</v>
      </c>
      <c r="N3033" s="2">
        <v>0</v>
      </c>
      <c r="O3033" s="2">
        <v>112.19</v>
      </c>
      <c r="P3033" s="2">
        <v>0</v>
      </c>
      <c r="Q3033" s="2">
        <v>112.19</v>
      </c>
      <c r="R3033" s="2">
        <v>0</v>
      </c>
      <c r="S3033" s="2">
        <v>0</v>
      </c>
      <c r="T3033" s="2">
        <v>0</v>
      </c>
      <c r="U3033" s="2">
        <v>112.19</v>
      </c>
      <c r="V3033" s="2">
        <v>112.19</v>
      </c>
      <c r="W3033" s="2">
        <v>112.19</v>
      </c>
    </row>
    <row r="3034" spans="1:23" outlineLevel="2" x14ac:dyDescent="0.2">
      <c r="A3034" t="s">
        <v>999</v>
      </c>
      <c r="B3034" t="s">
        <v>39</v>
      </c>
      <c r="C3034" t="s">
        <v>40</v>
      </c>
      <c r="D3034" t="s">
        <v>77</v>
      </c>
      <c r="E3034" t="s">
        <v>78</v>
      </c>
      <c r="F3034" t="s">
        <v>1354</v>
      </c>
      <c r="G3034" t="s">
        <v>1355</v>
      </c>
      <c r="H3034" t="s">
        <v>1369</v>
      </c>
      <c r="I3034" t="s">
        <v>1370</v>
      </c>
      <c r="J3034" t="s">
        <v>1000</v>
      </c>
      <c r="K3034" t="s">
        <v>1092</v>
      </c>
      <c r="L3034" t="s">
        <v>1385</v>
      </c>
      <c r="M3034" t="s">
        <v>12</v>
      </c>
      <c r="N3034" s="2">
        <v>0</v>
      </c>
      <c r="O3034" s="2">
        <v>6000</v>
      </c>
      <c r="P3034" s="2">
        <v>-171.52</v>
      </c>
      <c r="Q3034" s="2">
        <v>5828.48</v>
      </c>
      <c r="R3034" s="2">
        <v>0</v>
      </c>
      <c r="S3034" s="2">
        <v>5828.48</v>
      </c>
      <c r="T3034" s="2">
        <v>0</v>
      </c>
      <c r="U3034" s="2">
        <v>0</v>
      </c>
      <c r="V3034" s="2">
        <v>5828.48</v>
      </c>
      <c r="W3034" s="2">
        <v>0</v>
      </c>
    </row>
    <row r="3035" spans="1:23" outlineLevel="2" x14ac:dyDescent="0.2">
      <c r="A3035" t="s">
        <v>999</v>
      </c>
      <c r="B3035" t="s">
        <v>39</v>
      </c>
      <c r="C3035" t="s">
        <v>40</v>
      </c>
      <c r="D3035" t="s">
        <v>77</v>
      </c>
      <c r="E3035" t="s">
        <v>78</v>
      </c>
      <c r="F3035" t="s">
        <v>1354</v>
      </c>
      <c r="G3035" t="s">
        <v>1355</v>
      </c>
      <c r="H3035" t="s">
        <v>1369</v>
      </c>
      <c r="I3035" t="s">
        <v>1370</v>
      </c>
      <c r="J3035" t="s">
        <v>1000</v>
      </c>
      <c r="K3035" t="s">
        <v>1386</v>
      </c>
      <c r="L3035" t="s">
        <v>1387</v>
      </c>
      <c r="M3035" t="s">
        <v>12</v>
      </c>
      <c r="N3035" s="2">
        <v>0</v>
      </c>
      <c r="O3035" s="2">
        <v>78.400000000000006</v>
      </c>
      <c r="P3035" s="2">
        <v>0</v>
      </c>
      <c r="Q3035" s="2">
        <v>78.400000000000006</v>
      </c>
      <c r="R3035" s="2">
        <v>0</v>
      </c>
      <c r="S3035" s="2">
        <v>0</v>
      </c>
      <c r="T3035" s="2">
        <v>0</v>
      </c>
      <c r="U3035" s="2">
        <v>78.400000000000006</v>
      </c>
      <c r="V3035" s="2">
        <v>78.400000000000006</v>
      </c>
      <c r="W3035" s="2">
        <v>78.400000000000006</v>
      </c>
    </row>
    <row r="3036" spans="1:23" outlineLevel="2" x14ac:dyDescent="0.2">
      <c r="A3036" t="s">
        <v>999</v>
      </c>
      <c r="B3036" t="s">
        <v>39</v>
      </c>
      <c r="C3036" t="s">
        <v>40</v>
      </c>
      <c r="D3036" t="s">
        <v>77</v>
      </c>
      <c r="E3036" t="s">
        <v>78</v>
      </c>
      <c r="F3036" t="s">
        <v>1354</v>
      </c>
      <c r="G3036" t="s">
        <v>1355</v>
      </c>
      <c r="H3036" t="s">
        <v>1369</v>
      </c>
      <c r="I3036" t="s">
        <v>1370</v>
      </c>
      <c r="J3036" t="s">
        <v>1000</v>
      </c>
      <c r="K3036" t="s">
        <v>1388</v>
      </c>
      <c r="L3036" t="s">
        <v>1389</v>
      </c>
      <c r="M3036" t="s">
        <v>12</v>
      </c>
      <c r="N3036" s="2">
        <v>0</v>
      </c>
      <c r="O3036" s="2">
        <v>2564.8000000000002</v>
      </c>
      <c r="P3036" s="2">
        <v>0</v>
      </c>
      <c r="Q3036" s="2">
        <v>2564.8000000000002</v>
      </c>
      <c r="R3036" s="2">
        <v>0</v>
      </c>
      <c r="S3036" s="2">
        <v>0</v>
      </c>
      <c r="T3036" s="2">
        <v>0</v>
      </c>
      <c r="U3036" s="2">
        <v>2564.8000000000002</v>
      </c>
      <c r="V3036" s="2">
        <v>2564.8000000000002</v>
      </c>
      <c r="W3036" s="2">
        <v>2564.8000000000002</v>
      </c>
    </row>
    <row r="3037" spans="1:23" outlineLevel="2" x14ac:dyDescent="0.2">
      <c r="A3037" t="s">
        <v>999</v>
      </c>
      <c r="B3037" t="s">
        <v>39</v>
      </c>
      <c r="C3037" t="s">
        <v>40</v>
      </c>
      <c r="D3037" t="s">
        <v>77</v>
      </c>
      <c r="E3037" t="s">
        <v>78</v>
      </c>
      <c r="F3037" t="s">
        <v>1354</v>
      </c>
      <c r="G3037" t="s">
        <v>1355</v>
      </c>
      <c r="H3037" t="s">
        <v>1369</v>
      </c>
      <c r="I3037" t="s">
        <v>1370</v>
      </c>
      <c r="J3037" t="s">
        <v>1000</v>
      </c>
      <c r="K3037" t="s">
        <v>1390</v>
      </c>
      <c r="L3037" t="s">
        <v>1391</v>
      </c>
      <c r="M3037" t="s">
        <v>12</v>
      </c>
      <c r="N3037" s="2">
        <v>0</v>
      </c>
      <c r="O3037" s="2">
        <v>65.709999999999994</v>
      </c>
      <c r="P3037" s="2">
        <v>0</v>
      </c>
      <c r="Q3037" s="2">
        <v>65.709999999999994</v>
      </c>
      <c r="R3037" s="2">
        <v>0</v>
      </c>
      <c r="S3037" s="2">
        <v>0</v>
      </c>
      <c r="T3037" s="2">
        <v>0</v>
      </c>
      <c r="U3037" s="2">
        <v>65.709999999999994</v>
      </c>
      <c r="V3037" s="2">
        <v>65.709999999999994</v>
      </c>
      <c r="W3037" s="2">
        <v>65.709999999999994</v>
      </c>
    </row>
    <row r="3038" spans="1:23" outlineLevel="2" x14ac:dyDescent="0.2">
      <c r="A3038" t="s">
        <v>999</v>
      </c>
      <c r="B3038" t="s">
        <v>39</v>
      </c>
      <c r="C3038" t="s">
        <v>40</v>
      </c>
      <c r="D3038" t="s">
        <v>77</v>
      </c>
      <c r="E3038" t="s">
        <v>78</v>
      </c>
      <c r="F3038" t="s">
        <v>1354</v>
      </c>
      <c r="G3038" t="s">
        <v>1355</v>
      </c>
      <c r="H3038" t="s">
        <v>1369</v>
      </c>
      <c r="I3038" t="s">
        <v>1370</v>
      </c>
      <c r="J3038" t="s">
        <v>1000</v>
      </c>
      <c r="K3038" t="s">
        <v>1082</v>
      </c>
      <c r="L3038" t="s">
        <v>1366</v>
      </c>
      <c r="M3038" t="s">
        <v>12</v>
      </c>
      <c r="N3038" s="2">
        <v>97428.4</v>
      </c>
      <c r="O3038" s="2">
        <v>27744.71</v>
      </c>
      <c r="P3038" s="2">
        <v>0</v>
      </c>
      <c r="Q3038" s="2">
        <v>125173.11</v>
      </c>
      <c r="R3038" s="2">
        <v>1722.83</v>
      </c>
      <c r="S3038" s="2">
        <v>88667.91</v>
      </c>
      <c r="T3038" s="2">
        <v>88667.91</v>
      </c>
      <c r="U3038" s="2">
        <v>36505.199999999997</v>
      </c>
      <c r="V3038" s="2">
        <v>36505.199999999997</v>
      </c>
      <c r="W3038" s="2">
        <v>34782.370000000003</v>
      </c>
    </row>
    <row r="3039" spans="1:23" outlineLevel="2" x14ac:dyDescent="0.2">
      <c r="A3039" t="s">
        <v>999</v>
      </c>
      <c r="B3039" t="s">
        <v>39</v>
      </c>
      <c r="C3039" t="s">
        <v>40</v>
      </c>
      <c r="D3039" t="s">
        <v>77</v>
      </c>
      <c r="E3039" t="s">
        <v>78</v>
      </c>
      <c r="F3039" t="s">
        <v>1354</v>
      </c>
      <c r="G3039" t="s">
        <v>1355</v>
      </c>
      <c r="H3039" t="s">
        <v>1369</v>
      </c>
      <c r="I3039" t="s">
        <v>1370</v>
      </c>
      <c r="J3039" t="s">
        <v>1000</v>
      </c>
      <c r="K3039" t="s">
        <v>1194</v>
      </c>
      <c r="L3039" t="s">
        <v>1392</v>
      </c>
      <c r="M3039" t="s">
        <v>12</v>
      </c>
      <c r="N3039" s="2">
        <v>2154545</v>
      </c>
      <c r="O3039" s="2">
        <v>289980.45</v>
      </c>
      <c r="P3039" s="2">
        <v>-573046.85</v>
      </c>
      <c r="Q3039" s="2">
        <v>1871478.6</v>
      </c>
      <c r="R3039" s="2">
        <v>266.51</v>
      </c>
      <c r="S3039" s="2">
        <v>1556499.35</v>
      </c>
      <c r="T3039" s="2">
        <v>860528.73</v>
      </c>
      <c r="U3039" s="2">
        <v>314979.25</v>
      </c>
      <c r="V3039" s="2">
        <v>1010949.87</v>
      </c>
      <c r="W3039" s="2">
        <v>314712.74</v>
      </c>
    </row>
    <row r="3040" spans="1:23" outlineLevel="2" x14ac:dyDescent="0.2">
      <c r="A3040" t="s">
        <v>999</v>
      </c>
      <c r="B3040" t="s">
        <v>39</v>
      </c>
      <c r="C3040" t="s">
        <v>40</v>
      </c>
      <c r="D3040" t="s">
        <v>77</v>
      </c>
      <c r="E3040" t="s">
        <v>78</v>
      </c>
      <c r="F3040" t="s">
        <v>1354</v>
      </c>
      <c r="G3040" t="s">
        <v>1355</v>
      </c>
      <c r="H3040" t="s">
        <v>1369</v>
      </c>
      <c r="I3040" t="s">
        <v>1370</v>
      </c>
      <c r="J3040" t="s">
        <v>1000</v>
      </c>
      <c r="K3040" t="s">
        <v>1343</v>
      </c>
      <c r="L3040" t="s">
        <v>1393</v>
      </c>
      <c r="M3040" t="s">
        <v>12</v>
      </c>
      <c r="N3040" s="2">
        <v>0</v>
      </c>
      <c r="O3040" s="2">
        <v>280060.09999999998</v>
      </c>
      <c r="P3040" s="2">
        <v>-99998.21</v>
      </c>
      <c r="Q3040" s="2">
        <v>180061.89</v>
      </c>
      <c r="R3040" s="2">
        <v>14.56</v>
      </c>
      <c r="S3040" s="2">
        <v>164821.44</v>
      </c>
      <c r="T3040" s="2">
        <v>164821.44</v>
      </c>
      <c r="U3040" s="2">
        <v>15240.45</v>
      </c>
      <c r="V3040" s="2">
        <v>15240.45</v>
      </c>
      <c r="W3040" s="2">
        <v>15225.89</v>
      </c>
    </row>
    <row r="3041" spans="1:23" outlineLevel="2" x14ac:dyDescent="0.2">
      <c r="A3041" t="s">
        <v>999</v>
      </c>
      <c r="B3041" t="s">
        <v>39</v>
      </c>
      <c r="C3041" t="s">
        <v>40</v>
      </c>
      <c r="D3041" t="s">
        <v>77</v>
      </c>
      <c r="E3041" t="s">
        <v>78</v>
      </c>
      <c r="F3041" t="s">
        <v>1354</v>
      </c>
      <c r="G3041" t="s">
        <v>1355</v>
      </c>
      <c r="H3041" t="s">
        <v>1369</v>
      </c>
      <c r="I3041" t="s">
        <v>1370</v>
      </c>
      <c r="J3041" t="s">
        <v>1000</v>
      </c>
      <c r="K3041" t="s">
        <v>1394</v>
      </c>
      <c r="L3041" t="s">
        <v>1395</v>
      </c>
      <c r="M3041" t="s">
        <v>12</v>
      </c>
      <c r="N3041" s="2">
        <v>0</v>
      </c>
      <c r="O3041" s="2">
        <v>3387.44</v>
      </c>
      <c r="P3041" s="2">
        <v>0</v>
      </c>
      <c r="Q3041" s="2">
        <v>3387.44</v>
      </c>
      <c r="R3041" s="2">
        <v>0</v>
      </c>
      <c r="S3041" s="2">
        <v>0</v>
      </c>
      <c r="T3041" s="2">
        <v>0</v>
      </c>
      <c r="U3041" s="2">
        <v>3387.44</v>
      </c>
      <c r="V3041" s="2">
        <v>3387.44</v>
      </c>
      <c r="W3041" s="2">
        <v>3387.44</v>
      </c>
    </row>
    <row r="3042" spans="1:23" outlineLevel="2" x14ac:dyDescent="0.2">
      <c r="A3042" t="s">
        <v>999</v>
      </c>
      <c r="B3042" t="s">
        <v>39</v>
      </c>
      <c r="C3042" t="s">
        <v>40</v>
      </c>
      <c r="D3042" t="s">
        <v>77</v>
      </c>
      <c r="E3042" t="s">
        <v>78</v>
      </c>
      <c r="F3042" t="s">
        <v>1354</v>
      </c>
      <c r="G3042" t="s">
        <v>1355</v>
      </c>
      <c r="H3042" t="s">
        <v>1369</v>
      </c>
      <c r="I3042" t="s">
        <v>1370</v>
      </c>
      <c r="J3042" t="s">
        <v>1000</v>
      </c>
      <c r="K3042" t="s">
        <v>1183</v>
      </c>
      <c r="L3042" t="s">
        <v>1396</v>
      </c>
      <c r="M3042" t="s">
        <v>12</v>
      </c>
      <c r="N3042" s="2">
        <v>5000</v>
      </c>
      <c r="O3042" s="2">
        <v>0</v>
      </c>
      <c r="P3042" s="2">
        <v>-5000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</row>
    <row r="3043" spans="1:23" outlineLevel="2" x14ac:dyDescent="0.2">
      <c r="A3043" t="s">
        <v>999</v>
      </c>
      <c r="B3043" t="s">
        <v>39</v>
      </c>
      <c r="C3043" t="s">
        <v>40</v>
      </c>
      <c r="D3043" t="s">
        <v>77</v>
      </c>
      <c r="E3043" t="s">
        <v>78</v>
      </c>
      <c r="F3043" t="s">
        <v>1354</v>
      </c>
      <c r="G3043" t="s">
        <v>1355</v>
      </c>
      <c r="H3043" t="s">
        <v>1369</v>
      </c>
      <c r="I3043" t="s">
        <v>1370</v>
      </c>
      <c r="J3043" t="s">
        <v>1000</v>
      </c>
      <c r="K3043" t="s">
        <v>1023</v>
      </c>
      <c r="L3043" t="s">
        <v>1397</v>
      </c>
      <c r="M3043" t="s">
        <v>12</v>
      </c>
      <c r="N3043" s="2">
        <v>0</v>
      </c>
      <c r="O3043" s="2">
        <v>5767.34</v>
      </c>
      <c r="P3043" s="2">
        <v>0</v>
      </c>
      <c r="Q3043" s="2">
        <v>5767.34</v>
      </c>
      <c r="R3043" s="2">
        <v>0</v>
      </c>
      <c r="S3043" s="2">
        <v>0</v>
      </c>
      <c r="T3043" s="2">
        <v>0</v>
      </c>
      <c r="U3043" s="2">
        <v>5767.34</v>
      </c>
      <c r="V3043" s="2">
        <v>5767.34</v>
      </c>
      <c r="W3043" s="2">
        <v>5767.34</v>
      </c>
    </row>
    <row r="3044" spans="1:23" outlineLevel="2" x14ac:dyDescent="0.2">
      <c r="A3044" t="s">
        <v>999</v>
      </c>
      <c r="B3044" t="s">
        <v>39</v>
      </c>
      <c r="C3044" t="s">
        <v>40</v>
      </c>
      <c r="D3044" t="s">
        <v>77</v>
      </c>
      <c r="E3044" t="s">
        <v>78</v>
      </c>
      <c r="F3044" t="s">
        <v>1354</v>
      </c>
      <c r="G3044" t="s">
        <v>1355</v>
      </c>
      <c r="H3044" t="s">
        <v>1369</v>
      </c>
      <c r="I3044" t="s">
        <v>1370</v>
      </c>
      <c r="J3044" t="s">
        <v>1000</v>
      </c>
      <c r="K3044" t="s">
        <v>1185</v>
      </c>
      <c r="L3044" t="s">
        <v>1398</v>
      </c>
      <c r="M3044" t="s">
        <v>12</v>
      </c>
      <c r="N3044" s="2">
        <v>0</v>
      </c>
      <c r="O3044" s="2">
        <v>1769.6</v>
      </c>
      <c r="P3044" s="2">
        <v>0</v>
      </c>
      <c r="Q3044" s="2">
        <v>1769.6</v>
      </c>
      <c r="R3044" s="2">
        <v>0</v>
      </c>
      <c r="S3044" s="2">
        <v>1769.6</v>
      </c>
      <c r="T3044" s="2">
        <v>1769.6</v>
      </c>
      <c r="U3044" s="2">
        <v>0</v>
      </c>
      <c r="V3044" s="2">
        <v>0</v>
      </c>
      <c r="W3044" s="2">
        <v>0</v>
      </c>
    </row>
    <row r="3045" spans="1:23" outlineLevel="2" x14ac:dyDescent="0.2">
      <c r="A3045" t="s">
        <v>999</v>
      </c>
      <c r="B3045" t="s">
        <v>39</v>
      </c>
      <c r="C3045" t="s">
        <v>40</v>
      </c>
      <c r="D3045" t="s">
        <v>77</v>
      </c>
      <c r="E3045" t="s">
        <v>78</v>
      </c>
      <c r="F3045" t="s">
        <v>1354</v>
      </c>
      <c r="G3045" t="s">
        <v>1355</v>
      </c>
      <c r="H3045" t="s">
        <v>1399</v>
      </c>
      <c r="I3045" t="s">
        <v>1400</v>
      </c>
      <c r="J3045" t="s">
        <v>1000</v>
      </c>
      <c r="K3045" t="s">
        <v>1104</v>
      </c>
      <c r="L3045" t="s">
        <v>1371</v>
      </c>
      <c r="M3045" t="s">
        <v>12</v>
      </c>
      <c r="N3045" s="2">
        <v>552503.43999999994</v>
      </c>
      <c r="O3045" s="2">
        <v>0</v>
      </c>
      <c r="P3045" s="2">
        <v>-27444.41</v>
      </c>
      <c r="Q3045" s="2">
        <v>525059.03</v>
      </c>
      <c r="R3045" s="2">
        <v>10768.76</v>
      </c>
      <c r="S3045" s="2">
        <v>502530.27</v>
      </c>
      <c r="T3045" s="2">
        <v>293390.01</v>
      </c>
      <c r="U3045" s="2">
        <v>22528.76</v>
      </c>
      <c r="V3045" s="2">
        <v>231669.02</v>
      </c>
      <c r="W3045" s="2">
        <v>11760</v>
      </c>
    </row>
    <row r="3046" spans="1:23" outlineLevel="2" x14ac:dyDescent="0.2">
      <c r="A3046" t="s">
        <v>999</v>
      </c>
      <c r="B3046" t="s">
        <v>39</v>
      </c>
      <c r="C3046" t="s">
        <v>40</v>
      </c>
      <c r="D3046" t="s">
        <v>77</v>
      </c>
      <c r="E3046" t="s">
        <v>78</v>
      </c>
      <c r="F3046" t="s">
        <v>1354</v>
      </c>
      <c r="G3046" t="s">
        <v>1355</v>
      </c>
      <c r="H3046" t="s">
        <v>1399</v>
      </c>
      <c r="I3046" t="s">
        <v>1400</v>
      </c>
      <c r="J3046" t="s">
        <v>1000</v>
      </c>
      <c r="K3046" t="s">
        <v>1037</v>
      </c>
      <c r="L3046" t="s">
        <v>1364</v>
      </c>
      <c r="M3046" t="s">
        <v>12</v>
      </c>
      <c r="N3046" s="2">
        <v>317500</v>
      </c>
      <c r="O3046" s="2">
        <v>0</v>
      </c>
      <c r="P3046" s="2">
        <v>-2033.33</v>
      </c>
      <c r="Q3046" s="2">
        <v>315466.67</v>
      </c>
      <c r="R3046" s="2">
        <v>0</v>
      </c>
      <c r="S3046" s="2">
        <v>186742.93</v>
      </c>
      <c r="T3046" s="2">
        <v>78565.850000000006</v>
      </c>
      <c r="U3046" s="2">
        <v>128723.74</v>
      </c>
      <c r="V3046" s="2">
        <v>236900.82</v>
      </c>
      <c r="W3046" s="2">
        <v>128723.74</v>
      </c>
    </row>
    <row r="3047" spans="1:23" outlineLevel="2" x14ac:dyDescent="0.2">
      <c r="A3047" t="s">
        <v>999</v>
      </c>
      <c r="B3047" t="s">
        <v>39</v>
      </c>
      <c r="C3047" t="s">
        <v>40</v>
      </c>
      <c r="D3047" t="s">
        <v>77</v>
      </c>
      <c r="E3047" t="s">
        <v>78</v>
      </c>
      <c r="F3047" t="s">
        <v>1354</v>
      </c>
      <c r="G3047" t="s">
        <v>1355</v>
      </c>
      <c r="H3047" t="s">
        <v>1399</v>
      </c>
      <c r="I3047" t="s">
        <v>1400</v>
      </c>
      <c r="J3047" t="s">
        <v>1000</v>
      </c>
      <c r="K3047" t="s">
        <v>1009</v>
      </c>
      <c r="L3047" t="s">
        <v>1375</v>
      </c>
      <c r="M3047" t="s">
        <v>12</v>
      </c>
      <c r="N3047" s="2">
        <v>97969.33</v>
      </c>
      <c r="O3047" s="2">
        <v>0</v>
      </c>
      <c r="P3047" s="2">
        <v>-27135.41</v>
      </c>
      <c r="Q3047" s="2">
        <v>70833.919999999998</v>
      </c>
      <c r="R3047" s="2">
        <v>0</v>
      </c>
      <c r="S3047" s="2">
        <v>4060</v>
      </c>
      <c r="T3047" s="2">
        <v>0</v>
      </c>
      <c r="U3047" s="2">
        <v>66773.919999999998</v>
      </c>
      <c r="V3047" s="2">
        <v>70833.919999999998</v>
      </c>
      <c r="W3047" s="2">
        <v>66773.919999999998</v>
      </c>
    </row>
    <row r="3048" spans="1:23" outlineLevel="2" x14ac:dyDescent="0.2">
      <c r="A3048" t="s">
        <v>999</v>
      </c>
      <c r="B3048" t="s">
        <v>39</v>
      </c>
      <c r="C3048" t="s">
        <v>40</v>
      </c>
      <c r="D3048" t="s">
        <v>77</v>
      </c>
      <c r="E3048" t="s">
        <v>78</v>
      </c>
      <c r="F3048" t="s">
        <v>1354</v>
      </c>
      <c r="G3048" t="s">
        <v>1355</v>
      </c>
      <c r="H3048" t="s">
        <v>1399</v>
      </c>
      <c r="I3048" t="s">
        <v>1400</v>
      </c>
      <c r="J3048" t="s">
        <v>1000</v>
      </c>
      <c r="K3048" t="s">
        <v>1376</v>
      </c>
      <c r="L3048" t="s">
        <v>1377</v>
      </c>
      <c r="M3048" t="s">
        <v>12</v>
      </c>
      <c r="N3048" s="2">
        <v>43306.67</v>
      </c>
      <c r="O3048" s="2">
        <v>0</v>
      </c>
      <c r="P3048" s="2">
        <v>-43306.67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</row>
    <row r="3049" spans="1:23" outlineLevel="2" x14ac:dyDescent="0.2">
      <c r="A3049" t="s">
        <v>999</v>
      </c>
      <c r="B3049" t="s">
        <v>39</v>
      </c>
      <c r="C3049" t="s">
        <v>40</v>
      </c>
      <c r="D3049" t="s">
        <v>77</v>
      </c>
      <c r="E3049" t="s">
        <v>78</v>
      </c>
      <c r="F3049" t="s">
        <v>1354</v>
      </c>
      <c r="G3049" t="s">
        <v>1355</v>
      </c>
      <c r="H3049" t="s">
        <v>1399</v>
      </c>
      <c r="I3049" t="s">
        <v>1400</v>
      </c>
      <c r="J3049" t="s">
        <v>1000</v>
      </c>
      <c r="K3049" t="s">
        <v>1029</v>
      </c>
      <c r="L3049" t="s">
        <v>1401</v>
      </c>
      <c r="M3049" t="s">
        <v>12</v>
      </c>
      <c r="N3049" s="2">
        <v>298200</v>
      </c>
      <c r="O3049" s="2">
        <v>0</v>
      </c>
      <c r="P3049" s="2">
        <v>-155512</v>
      </c>
      <c r="Q3049" s="2">
        <v>142688</v>
      </c>
      <c r="R3049" s="2">
        <v>0</v>
      </c>
      <c r="S3049" s="2">
        <v>6944</v>
      </c>
      <c r="T3049" s="2">
        <v>6944</v>
      </c>
      <c r="U3049" s="2">
        <v>135744</v>
      </c>
      <c r="V3049" s="2">
        <v>135744</v>
      </c>
      <c r="W3049" s="2">
        <v>135744</v>
      </c>
    </row>
    <row r="3050" spans="1:23" outlineLevel="2" x14ac:dyDescent="0.2">
      <c r="A3050" t="s">
        <v>999</v>
      </c>
      <c r="B3050" t="s">
        <v>39</v>
      </c>
      <c r="C3050" t="s">
        <v>40</v>
      </c>
      <c r="D3050" t="s">
        <v>77</v>
      </c>
      <c r="E3050" t="s">
        <v>78</v>
      </c>
      <c r="F3050" t="s">
        <v>1354</v>
      </c>
      <c r="G3050" t="s">
        <v>1355</v>
      </c>
      <c r="H3050" t="s">
        <v>1399</v>
      </c>
      <c r="I3050" t="s">
        <v>1400</v>
      </c>
      <c r="J3050" t="s">
        <v>1000</v>
      </c>
      <c r="K3050" t="s">
        <v>1031</v>
      </c>
      <c r="L3050" t="s">
        <v>1380</v>
      </c>
      <c r="M3050" t="s">
        <v>12</v>
      </c>
      <c r="N3050" s="2">
        <v>300805.33</v>
      </c>
      <c r="O3050" s="2">
        <v>0</v>
      </c>
      <c r="P3050" s="2">
        <v>-130250.03</v>
      </c>
      <c r="Q3050" s="2">
        <v>170555.3</v>
      </c>
      <c r="R3050" s="2">
        <v>0</v>
      </c>
      <c r="S3050" s="2">
        <v>107328.16</v>
      </c>
      <c r="T3050" s="2">
        <v>89035.79</v>
      </c>
      <c r="U3050" s="2">
        <v>63227.14</v>
      </c>
      <c r="V3050" s="2">
        <v>81519.509999999995</v>
      </c>
      <c r="W3050" s="2">
        <v>63227.14</v>
      </c>
    </row>
    <row r="3051" spans="1:23" outlineLevel="2" x14ac:dyDescent="0.2">
      <c r="A3051" t="s">
        <v>999</v>
      </c>
      <c r="B3051" t="s">
        <v>39</v>
      </c>
      <c r="C3051" t="s">
        <v>40</v>
      </c>
      <c r="D3051" t="s">
        <v>77</v>
      </c>
      <c r="E3051" t="s">
        <v>78</v>
      </c>
      <c r="F3051" t="s">
        <v>1354</v>
      </c>
      <c r="G3051" t="s">
        <v>1355</v>
      </c>
      <c r="H3051" t="s">
        <v>1399</v>
      </c>
      <c r="I3051" t="s">
        <v>1400</v>
      </c>
      <c r="J3051" t="s">
        <v>1000</v>
      </c>
      <c r="K3051" t="s">
        <v>1116</v>
      </c>
      <c r="L3051" t="s">
        <v>1402</v>
      </c>
      <c r="M3051" t="s">
        <v>12</v>
      </c>
      <c r="N3051" s="2">
        <v>189097.81</v>
      </c>
      <c r="O3051" s="2">
        <v>0</v>
      </c>
      <c r="P3051" s="2">
        <v>-1242.45</v>
      </c>
      <c r="Q3051" s="2">
        <v>187855.35999999999</v>
      </c>
      <c r="R3051" s="2">
        <v>50624</v>
      </c>
      <c r="S3051" s="2">
        <v>117600</v>
      </c>
      <c r="T3051" s="2">
        <v>117600</v>
      </c>
      <c r="U3051" s="2">
        <v>70255.360000000001</v>
      </c>
      <c r="V3051" s="2">
        <v>70255.360000000001</v>
      </c>
      <c r="W3051" s="2">
        <v>19631.36</v>
      </c>
    </row>
    <row r="3052" spans="1:23" outlineLevel="2" x14ac:dyDescent="0.2">
      <c r="A3052" t="s">
        <v>999</v>
      </c>
      <c r="B3052" t="s">
        <v>39</v>
      </c>
      <c r="C3052" t="s">
        <v>40</v>
      </c>
      <c r="D3052" t="s">
        <v>77</v>
      </c>
      <c r="E3052" t="s">
        <v>78</v>
      </c>
      <c r="F3052" t="s">
        <v>1354</v>
      </c>
      <c r="G3052" t="s">
        <v>1355</v>
      </c>
      <c r="H3052" t="s">
        <v>1399</v>
      </c>
      <c r="I3052" t="s">
        <v>1400</v>
      </c>
      <c r="J3052" t="s">
        <v>1000</v>
      </c>
      <c r="K3052" t="s">
        <v>1019</v>
      </c>
      <c r="L3052" t="s">
        <v>1383</v>
      </c>
      <c r="M3052" t="s">
        <v>12</v>
      </c>
      <c r="N3052" s="2">
        <v>14374.83</v>
      </c>
      <c r="O3052" s="2">
        <v>0</v>
      </c>
      <c r="P3052" s="2">
        <v>-14374.83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</row>
    <row r="3053" spans="1:23" outlineLevel="2" x14ac:dyDescent="0.2">
      <c r="A3053" t="s">
        <v>999</v>
      </c>
      <c r="B3053" t="s">
        <v>39</v>
      </c>
      <c r="C3053" t="s">
        <v>40</v>
      </c>
      <c r="D3053" t="s">
        <v>77</v>
      </c>
      <c r="E3053" t="s">
        <v>78</v>
      </c>
      <c r="F3053" t="s">
        <v>1354</v>
      </c>
      <c r="G3053" t="s">
        <v>1355</v>
      </c>
      <c r="H3053" t="s">
        <v>1399</v>
      </c>
      <c r="I3053" t="s">
        <v>1400</v>
      </c>
      <c r="J3053" t="s">
        <v>1000</v>
      </c>
      <c r="K3053" t="s">
        <v>1194</v>
      </c>
      <c r="L3053" t="s">
        <v>1392</v>
      </c>
      <c r="M3053" t="s">
        <v>12</v>
      </c>
      <c r="N3053" s="2">
        <v>45912</v>
      </c>
      <c r="O3053" s="2">
        <v>0</v>
      </c>
      <c r="P3053" s="2">
        <v>-33368</v>
      </c>
      <c r="Q3053" s="2">
        <v>12544</v>
      </c>
      <c r="R3053" s="2">
        <v>0</v>
      </c>
      <c r="S3053" s="2">
        <v>638.4</v>
      </c>
      <c r="T3053" s="2">
        <v>0</v>
      </c>
      <c r="U3053" s="2">
        <v>11905.6</v>
      </c>
      <c r="V3053" s="2">
        <v>12544</v>
      </c>
      <c r="W3053" s="2">
        <v>11905.6</v>
      </c>
    </row>
    <row r="3054" spans="1:23" outlineLevel="2" x14ac:dyDescent="0.2">
      <c r="A3054" t="s">
        <v>999</v>
      </c>
      <c r="B3054" t="s">
        <v>39</v>
      </c>
      <c r="C3054" t="s">
        <v>40</v>
      </c>
      <c r="D3054" t="s">
        <v>77</v>
      </c>
      <c r="E3054" t="s">
        <v>78</v>
      </c>
      <c r="F3054" t="s">
        <v>1354</v>
      </c>
      <c r="G3054" t="s">
        <v>1355</v>
      </c>
      <c r="H3054" t="s">
        <v>1399</v>
      </c>
      <c r="I3054" t="s">
        <v>1400</v>
      </c>
      <c r="J3054" t="s">
        <v>1000</v>
      </c>
      <c r="K3054" t="s">
        <v>1120</v>
      </c>
      <c r="L3054" t="s">
        <v>1368</v>
      </c>
      <c r="M3054" t="s">
        <v>12</v>
      </c>
      <c r="N3054" s="2">
        <v>15000</v>
      </c>
      <c r="O3054" s="2">
        <v>0</v>
      </c>
      <c r="P3054" s="2">
        <v>0</v>
      </c>
      <c r="Q3054" s="2">
        <v>15000</v>
      </c>
      <c r="R3054" s="2">
        <v>0</v>
      </c>
      <c r="S3054" s="2">
        <v>0</v>
      </c>
      <c r="T3054" s="2">
        <v>0</v>
      </c>
      <c r="U3054" s="2">
        <v>15000</v>
      </c>
      <c r="V3054" s="2">
        <v>15000</v>
      </c>
      <c r="W3054" s="2">
        <v>15000</v>
      </c>
    </row>
    <row r="3055" spans="1:23" outlineLevel="2" x14ac:dyDescent="0.2">
      <c r="A3055" t="s">
        <v>999</v>
      </c>
      <c r="B3055" t="s">
        <v>39</v>
      </c>
      <c r="C3055" t="s">
        <v>40</v>
      </c>
      <c r="D3055" t="s">
        <v>41</v>
      </c>
      <c r="E3055" t="s">
        <v>42</v>
      </c>
      <c r="F3055" t="s">
        <v>1403</v>
      </c>
      <c r="G3055" t="s">
        <v>1404</v>
      </c>
      <c r="H3055" t="s">
        <v>1405</v>
      </c>
      <c r="I3055" t="s">
        <v>1406</v>
      </c>
      <c r="J3055" t="s">
        <v>1000</v>
      </c>
      <c r="K3055" t="s">
        <v>1058</v>
      </c>
      <c r="L3055" t="s">
        <v>1407</v>
      </c>
      <c r="M3055" t="s">
        <v>12</v>
      </c>
      <c r="N3055" s="2">
        <v>0</v>
      </c>
      <c r="O3055" s="2">
        <v>37464</v>
      </c>
      <c r="P3055" s="2">
        <v>0</v>
      </c>
      <c r="Q3055" s="2">
        <v>37464</v>
      </c>
      <c r="R3055" s="2">
        <v>0</v>
      </c>
      <c r="S3055" s="2">
        <v>37464</v>
      </c>
      <c r="T3055" s="2">
        <v>37464</v>
      </c>
      <c r="U3055" s="2">
        <v>0</v>
      </c>
      <c r="V3055" s="2">
        <v>0</v>
      </c>
      <c r="W3055" s="2">
        <v>0</v>
      </c>
    </row>
    <row r="3056" spans="1:23" outlineLevel="2" x14ac:dyDescent="0.2">
      <c r="A3056" t="s">
        <v>999</v>
      </c>
      <c r="B3056" t="s">
        <v>39</v>
      </c>
      <c r="C3056" t="s">
        <v>40</v>
      </c>
      <c r="D3056" t="s">
        <v>41</v>
      </c>
      <c r="E3056" t="s">
        <v>42</v>
      </c>
      <c r="F3056" t="s">
        <v>1403</v>
      </c>
      <c r="G3056" t="s">
        <v>1404</v>
      </c>
      <c r="H3056" t="s">
        <v>1405</v>
      </c>
      <c r="I3056" t="s">
        <v>1406</v>
      </c>
      <c r="J3056" t="s">
        <v>1000</v>
      </c>
      <c r="K3056" t="s">
        <v>1009</v>
      </c>
      <c r="L3056" t="s">
        <v>1408</v>
      </c>
      <c r="M3056" t="s">
        <v>12</v>
      </c>
      <c r="N3056" s="2">
        <v>0</v>
      </c>
      <c r="O3056" s="2">
        <v>2288.16</v>
      </c>
      <c r="P3056" s="2">
        <v>0</v>
      </c>
      <c r="Q3056" s="2">
        <v>2288.16</v>
      </c>
      <c r="R3056" s="2">
        <v>0</v>
      </c>
      <c r="S3056" s="2">
        <v>2288.16</v>
      </c>
      <c r="T3056" s="2">
        <v>2288.16</v>
      </c>
      <c r="U3056" s="2">
        <v>0</v>
      </c>
      <c r="V3056" s="2">
        <v>0</v>
      </c>
      <c r="W3056" s="2">
        <v>0</v>
      </c>
    </row>
    <row r="3057" spans="1:23" outlineLevel="2" x14ac:dyDescent="0.2">
      <c r="A3057" t="s">
        <v>999</v>
      </c>
      <c r="B3057" t="s">
        <v>39</v>
      </c>
      <c r="C3057" t="s">
        <v>40</v>
      </c>
      <c r="D3057" t="s">
        <v>41</v>
      </c>
      <c r="E3057" t="s">
        <v>42</v>
      </c>
      <c r="F3057" t="s">
        <v>1403</v>
      </c>
      <c r="G3057" t="s">
        <v>1404</v>
      </c>
      <c r="H3057" t="s">
        <v>1405</v>
      </c>
      <c r="I3057" t="s">
        <v>1406</v>
      </c>
      <c r="J3057" t="s">
        <v>1000</v>
      </c>
      <c r="K3057" t="s">
        <v>1013</v>
      </c>
      <c r="L3057" t="s">
        <v>1409</v>
      </c>
      <c r="M3057" t="s">
        <v>12</v>
      </c>
      <c r="N3057" s="2">
        <v>640000</v>
      </c>
      <c r="O3057" s="2">
        <v>-276203.2</v>
      </c>
      <c r="P3057" s="2">
        <v>-350356.8</v>
      </c>
      <c r="Q3057" s="2">
        <v>13440</v>
      </c>
      <c r="R3057" s="2">
        <v>0</v>
      </c>
      <c r="S3057" s="2">
        <v>13440</v>
      </c>
      <c r="T3057" s="2">
        <v>9408</v>
      </c>
      <c r="U3057" s="2">
        <v>0</v>
      </c>
      <c r="V3057" s="2">
        <v>4032</v>
      </c>
      <c r="W3057" s="2">
        <v>0</v>
      </c>
    </row>
    <row r="3058" spans="1:23" outlineLevel="2" x14ac:dyDescent="0.2">
      <c r="A3058" t="s">
        <v>999</v>
      </c>
      <c r="B3058" t="s">
        <v>39</v>
      </c>
      <c r="C3058" t="s">
        <v>40</v>
      </c>
      <c r="D3058" t="s">
        <v>41</v>
      </c>
      <c r="E3058" t="s">
        <v>42</v>
      </c>
      <c r="F3058" t="s">
        <v>1403</v>
      </c>
      <c r="G3058" t="s">
        <v>1404</v>
      </c>
      <c r="H3058" t="s">
        <v>1405</v>
      </c>
      <c r="I3058" t="s">
        <v>1406</v>
      </c>
      <c r="J3058" t="s">
        <v>1000</v>
      </c>
      <c r="K3058" t="s">
        <v>1015</v>
      </c>
      <c r="L3058" t="s">
        <v>1410</v>
      </c>
      <c r="M3058" t="s">
        <v>12</v>
      </c>
      <c r="N3058" s="2">
        <v>420000</v>
      </c>
      <c r="O3058" s="2">
        <v>0</v>
      </c>
      <c r="P3058" s="2">
        <v>-420000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</row>
    <row r="3059" spans="1:23" outlineLevel="2" x14ac:dyDescent="0.2">
      <c r="A3059" t="s">
        <v>999</v>
      </c>
      <c r="B3059" t="s">
        <v>39</v>
      </c>
      <c r="C3059" t="s">
        <v>40</v>
      </c>
      <c r="D3059" t="s">
        <v>41</v>
      </c>
      <c r="E3059" t="s">
        <v>42</v>
      </c>
      <c r="F3059" t="s">
        <v>1403</v>
      </c>
      <c r="G3059" t="s">
        <v>1404</v>
      </c>
      <c r="H3059" t="s">
        <v>1405</v>
      </c>
      <c r="I3059" t="s">
        <v>1406</v>
      </c>
      <c r="J3059" t="s">
        <v>1000</v>
      </c>
      <c r="K3059" t="s">
        <v>1017</v>
      </c>
      <c r="L3059" t="s">
        <v>1411</v>
      </c>
      <c r="M3059" t="s">
        <v>12</v>
      </c>
      <c r="N3059" s="2">
        <v>23520</v>
      </c>
      <c r="O3059" s="2">
        <v>0</v>
      </c>
      <c r="P3059" s="2">
        <v>-1529</v>
      </c>
      <c r="Q3059" s="2">
        <v>21991</v>
      </c>
      <c r="R3059" s="2">
        <v>7792.2</v>
      </c>
      <c r="S3059" s="2">
        <v>10588.48</v>
      </c>
      <c r="T3059" s="2">
        <v>10588.48</v>
      </c>
      <c r="U3059" s="2">
        <v>11402.52</v>
      </c>
      <c r="V3059" s="2">
        <v>11402.52</v>
      </c>
      <c r="W3059" s="2">
        <v>3610.32</v>
      </c>
    </row>
    <row r="3060" spans="1:23" outlineLevel="2" x14ac:dyDescent="0.2">
      <c r="A3060" t="s">
        <v>999</v>
      </c>
      <c r="B3060" t="s">
        <v>39</v>
      </c>
      <c r="C3060" t="s">
        <v>40</v>
      </c>
      <c r="D3060" t="s">
        <v>41</v>
      </c>
      <c r="E3060" t="s">
        <v>42</v>
      </c>
      <c r="F3060" t="s">
        <v>1403</v>
      </c>
      <c r="G3060" t="s">
        <v>1404</v>
      </c>
      <c r="H3060" t="s">
        <v>1412</v>
      </c>
      <c r="I3060" t="s">
        <v>1413</v>
      </c>
      <c r="J3060" t="s">
        <v>1000</v>
      </c>
      <c r="K3060" t="s">
        <v>1013</v>
      </c>
      <c r="L3060" t="s">
        <v>1409</v>
      </c>
      <c r="M3060" t="s">
        <v>12</v>
      </c>
      <c r="N3060" s="2">
        <v>60000</v>
      </c>
      <c r="O3060" s="2">
        <v>154560</v>
      </c>
      <c r="P3060" s="2">
        <v>-25760</v>
      </c>
      <c r="Q3060" s="2">
        <v>188800</v>
      </c>
      <c r="R3060" s="2">
        <v>128801.60000000001</v>
      </c>
      <c r="S3060" s="2">
        <v>59998.400000000001</v>
      </c>
      <c r="T3060" s="2">
        <v>59998.400000000001</v>
      </c>
      <c r="U3060" s="2">
        <v>128801.60000000001</v>
      </c>
      <c r="V3060" s="2">
        <v>128801.60000000001</v>
      </c>
      <c r="W3060" s="2">
        <v>0</v>
      </c>
    </row>
    <row r="3061" spans="1:23" outlineLevel="2" x14ac:dyDescent="0.2">
      <c r="A3061" t="s">
        <v>999</v>
      </c>
      <c r="B3061" t="s">
        <v>39</v>
      </c>
      <c r="C3061" t="s">
        <v>40</v>
      </c>
      <c r="D3061" t="s">
        <v>77</v>
      </c>
      <c r="E3061" t="s">
        <v>78</v>
      </c>
      <c r="F3061" t="s">
        <v>1403</v>
      </c>
      <c r="G3061" t="s">
        <v>1404</v>
      </c>
      <c r="H3061" t="s">
        <v>1414</v>
      </c>
      <c r="I3061" t="s">
        <v>1415</v>
      </c>
      <c r="J3061" t="s">
        <v>1000</v>
      </c>
      <c r="K3061" t="s">
        <v>1003</v>
      </c>
      <c r="L3061" t="s">
        <v>1416</v>
      </c>
      <c r="M3061" t="s">
        <v>12</v>
      </c>
      <c r="N3061" s="2">
        <v>5400</v>
      </c>
      <c r="O3061" s="2">
        <v>0</v>
      </c>
      <c r="P3061" s="2">
        <v>0</v>
      </c>
      <c r="Q3061" s="2">
        <v>5400</v>
      </c>
      <c r="R3061" s="2">
        <v>0</v>
      </c>
      <c r="S3061" s="2">
        <v>0</v>
      </c>
      <c r="T3061" s="2">
        <v>0</v>
      </c>
      <c r="U3061" s="2">
        <v>5400</v>
      </c>
      <c r="V3061" s="2">
        <v>5400</v>
      </c>
      <c r="W3061" s="2">
        <v>5400</v>
      </c>
    </row>
    <row r="3062" spans="1:23" outlineLevel="2" x14ac:dyDescent="0.2">
      <c r="A3062" t="s">
        <v>999</v>
      </c>
      <c r="B3062" t="s">
        <v>39</v>
      </c>
      <c r="C3062" t="s">
        <v>40</v>
      </c>
      <c r="D3062" t="s">
        <v>77</v>
      </c>
      <c r="E3062" t="s">
        <v>78</v>
      </c>
      <c r="F3062" t="s">
        <v>1403</v>
      </c>
      <c r="G3062" t="s">
        <v>1404</v>
      </c>
      <c r="H3062" t="s">
        <v>1414</v>
      </c>
      <c r="I3062" t="s">
        <v>1415</v>
      </c>
      <c r="J3062" t="s">
        <v>1000</v>
      </c>
      <c r="K3062" t="s">
        <v>1011</v>
      </c>
      <c r="L3062" t="s">
        <v>1417</v>
      </c>
      <c r="M3062" t="s">
        <v>12</v>
      </c>
      <c r="N3062" s="2">
        <v>14840.08</v>
      </c>
      <c r="O3062" s="2">
        <v>0</v>
      </c>
      <c r="P3062" s="2">
        <v>-14840.08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</row>
    <row r="3063" spans="1:23" outlineLevel="2" x14ac:dyDescent="0.2">
      <c r="A3063" t="s">
        <v>999</v>
      </c>
      <c r="B3063" t="s">
        <v>39</v>
      </c>
      <c r="C3063" t="s">
        <v>40</v>
      </c>
      <c r="D3063" t="s">
        <v>77</v>
      </c>
      <c r="E3063" t="s">
        <v>78</v>
      </c>
      <c r="F3063" t="s">
        <v>1403</v>
      </c>
      <c r="G3063" t="s">
        <v>1404</v>
      </c>
      <c r="H3063" t="s">
        <v>1414</v>
      </c>
      <c r="I3063" t="s">
        <v>1415</v>
      </c>
      <c r="J3063" t="s">
        <v>1000</v>
      </c>
      <c r="K3063" t="s">
        <v>1082</v>
      </c>
      <c r="L3063" t="s">
        <v>1418</v>
      </c>
      <c r="M3063" t="s">
        <v>12</v>
      </c>
      <c r="N3063" s="2">
        <v>2304</v>
      </c>
      <c r="O3063" s="2">
        <v>0</v>
      </c>
      <c r="P3063" s="2">
        <v>-2304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</row>
    <row r="3064" spans="1:23" outlineLevel="2" x14ac:dyDescent="0.2">
      <c r="A3064" t="s">
        <v>999</v>
      </c>
      <c r="B3064" t="s">
        <v>39</v>
      </c>
      <c r="C3064" t="s">
        <v>40</v>
      </c>
      <c r="D3064" t="s">
        <v>77</v>
      </c>
      <c r="E3064" t="s">
        <v>78</v>
      </c>
      <c r="F3064" t="s">
        <v>1403</v>
      </c>
      <c r="G3064" t="s">
        <v>1404</v>
      </c>
      <c r="H3064" t="s">
        <v>1414</v>
      </c>
      <c r="I3064" t="s">
        <v>1415</v>
      </c>
      <c r="J3064" t="s">
        <v>1000</v>
      </c>
      <c r="K3064" t="s">
        <v>1183</v>
      </c>
      <c r="L3064" t="s">
        <v>1419</v>
      </c>
      <c r="M3064" t="s">
        <v>12</v>
      </c>
      <c r="N3064" s="2">
        <v>3200</v>
      </c>
      <c r="O3064" s="2">
        <v>-3200</v>
      </c>
      <c r="P3064" s="2">
        <v>0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</row>
    <row r="3065" spans="1:23" outlineLevel="2" x14ac:dyDescent="0.2">
      <c r="A3065" t="s">
        <v>999</v>
      </c>
      <c r="B3065" t="s">
        <v>39</v>
      </c>
      <c r="C3065" t="s">
        <v>40</v>
      </c>
      <c r="D3065" t="s">
        <v>41</v>
      </c>
      <c r="E3065" t="s">
        <v>42</v>
      </c>
      <c r="F3065" t="s">
        <v>1403</v>
      </c>
      <c r="G3065" t="s">
        <v>1404</v>
      </c>
      <c r="H3065" t="s">
        <v>1420</v>
      </c>
      <c r="I3065" t="s">
        <v>1421</v>
      </c>
      <c r="J3065" t="s">
        <v>1000</v>
      </c>
      <c r="K3065" t="s">
        <v>1058</v>
      </c>
      <c r="L3065" t="s">
        <v>1407</v>
      </c>
      <c r="M3065" t="s">
        <v>12</v>
      </c>
      <c r="N3065" s="2">
        <v>200000</v>
      </c>
      <c r="O3065" s="2">
        <v>0</v>
      </c>
      <c r="P3065" s="2">
        <v>-146000</v>
      </c>
      <c r="Q3065" s="2">
        <v>54000</v>
      </c>
      <c r="R3065" s="2">
        <v>822.4</v>
      </c>
      <c r="S3065" s="2">
        <v>53177.599999999999</v>
      </c>
      <c r="T3065" s="2">
        <v>0</v>
      </c>
      <c r="U3065" s="2">
        <v>822.4</v>
      </c>
      <c r="V3065" s="2">
        <v>54000</v>
      </c>
      <c r="W3065" s="2">
        <v>0</v>
      </c>
    </row>
    <row r="3066" spans="1:23" outlineLevel="2" x14ac:dyDescent="0.2">
      <c r="A3066" t="s">
        <v>999</v>
      </c>
      <c r="B3066" t="s">
        <v>39</v>
      </c>
      <c r="C3066" t="s">
        <v>40</v>
      </c>
      <c r="D3066" t="s">
        <v>41</v>
      </c>
      <c r="E3066" t="s">
        <v>42</v>
      </c>
      <c r="F3066" t="s">
        <v>1403</v>
      </c>
      <c r="G3066" t="s">
        <v>1404</v>
      </c>
      <c r="H3066" t="s">
        <v>1420</v>
      </c>
      <c r="I3066" t="s">
        <v>1421</v>
      </c>
      <c r="J3066" t="s">
        <v>1000</v>
      </c>
      <c r="K3066" t="s">
        <v>1013</v>
      </c>
      <c r="L3066" t="s">
        <v>1409</v>
      </c>
      <c r="M3066" t="s">
        <v>12</v>
      </c>
      <c r="N3066" s="2">
        <v>800000</v>
      </c>
      <c r="O3066" s="2">
        <v>0</v>
      </c>
      <c r="P3066" s="2">
        <v>-575478.68000000005</v>
      </c>
      <c r="Q3066" s="2">
        <v>224521.32</v>
      </c>
      <c r="R3066" s="2">
        <v>66504.45</v>
      </c>
      <c r="S3066" s="2">
        <v>102049.95</v>
      </c>
      <c r="T3066" s="2">
        <v>69716.89</v>
      </c>
      <c r="U3066" s="2">
        <v>122471.37</v>
      </c>
      <c r="V3066" s="2">
        <v>154804.43</v>
      </c>
      <c r="W3066" s="2">
        <v>55966.92</v>
      </c>
    </row>
    <row r="3067" spans="1:23" outlineLevel="2" x14ac:dyDescent="0.2">
      <c r="A3067" t="s">
        <v>999</v>
      </c>
      <c r="B3067" t="s">
        <v>39</v>
      </c>
      <c r="C3067" t="s">
        <v>40</v>
      </c>
      <c r="D3067" t="s">
        <v>41</v>
      </c>
      <c r="E3067" t="s">
        <v>42</v>
      </c>
      <c r="F3067" t="s">
        <v>1422</v>
      </c>
      <c r="G3067" t="s">
        <v>1423</v>
      </c>
      <c r="H3067" t="s">
        <v>1424</v>
      </c>
      <c r="I3067" t="s">
        <v>1425</v>
      </c>
      <c r="J3067" t="s">
        <v>1000</v>
      </c>
      <c r="K3067" t="s">
        <v>1090</v>
      </c>
      <c r="L3067" t="s">
        <v>1426</v>
      </c>
      <c r="M3067" t="s">
        <v>12</v>
      </c>
      <c r="N3067" s="2">
        <v>0</v>
      </c>
      <c r="O3067" s="2">
        <v>1276.8</v>
      </c>
      <c r="P3067" s="2">
        <v>0</v>
      </c>
      <c r="Q3067" s="2">
        <v>1276.8</v>
      </c>
      <c r="R3067" s="2">
        <v>0</v>
      </c>
      <c r="S3067" s="2">
        <v>1276.8</v>
      </c>
      <c r="T3067" s="2">
        <v>1276.8</v>
      </c>
      <c r="U3067" s="2">
        <v>0</v>
      </c>
      <c r="V3067" s="2">
        <v>0</v>
      </c>
      <c r="W3067" s="2">
        <v>0</v>
      </c>
    </row>
    <row r="3068" spans="1:23" outlineLevel="2" x14ac:dyDescent="0.2">
      <c r="A3068" t="s">
        <v>999</v>
      </c>
      <c r="B3068" t="s">
        <v>39</v>
      </c>
      <c r="C3068" t="s">
        <v>40</v>
      </c>
      <c r="D3068" t="s">
        <v>41</v>
      </c>
      <c r="E3068" t="s">
        <v>42</v>
      </c>
      <c r="F3068" t="s">
        <v>1422</v>
      </c>
      <c r="G3068" t="s">
        <v>1423</v>
      </c>
      <c r="H3068" t="s">
        <v>1424</v>
      </c>
      <c r="I3068" t="s">
        <v>1425</v>
      </c>
      <c r="J3068" t="s">
        <v>1000</v>
      </c>
      <c r="K3068" t="s">
        <v>1013</v>
      </c>
      <c r="L3068" t="s">
        <v>1427</v>
      </c>
      <c r="M3068" t="s">
        <v>12</v>
      </c>
      <c r="N3068" s="2">
        <v>740000</v>
      </c>
      <c r="O3068" s="2">
        <v>78506.399999999994</v>
      </c>
      <c r="P3068" s="2">
        <v>-598723</v>
      </c>
      <c r="Q3068" s="2">
        <v>219783.4</v>
      </c>
      <c r="R3068" s="2">
        <v>626.02</v>
      </c>
      <c r="S3068" s="2">
        <v>197420.38</v>
      </c>
      <c r="T3068" s="2">
        <v>193907.22</v>
      </c>
      <c r="U3068" s="2">
        <v>22363.02</v>
      </c>
      <c r="V3068" s="2">
        <v>25876.18</v>
      </c>
      <c r="W3068" s="2">
        <v>21737</v>
      </c>
    </row>
    <row r="3069" spans="1:23" outlineLevel="2" x14ac:dyDescent="0.2">
      <c r="A3069" t="s">
        <v>999</v>
      </c>
      <c r="B3069" t="s">
        <v>39</v>
      </c>
      <c r="C3069" t="s">
        <v>40</v>
      </c>
      <c r="D3069" t="s">
        <v>41</v>
      </c>
      <c r="E3069" t="s">
        <v>42</v>
      </c>
      <c r="F3069" t="s">
        <v>1422</v>
      </c>
      <c r="G3069" t="s">
        <v>1423</v>
      </c>
      <c r="H3069" t="s">
        <v>1424</v>
      </c>
      <c r="I3069" t="s">
        <v>1425</v>
      </c>
      <c r="J3069" t="s">
        <v>1000</v>
      </c>
      <c r="K3069" t="s">
        <v>1015</v>
      </c>
      <c r="L3069" t="s">
        <v>1428</v>
      </c>
      <c r="M3069" t="s">
        <v>12</v>
      </c>
      <c r="N3069" s="2">
        <v>1100000</v>
      </c>
      <c r="O3069" s="2">
        <v>0</v>
      </c>
      <c r="P3069" s="2">
        <v>-1064305.26</v>
      </c>
      <c r="Q3069" s="2">
        <v>35694.74</v>
      </c>
      <c r="R3069" s="2">
        <v>0</v>
      </c>
      <c r="S3069" s="2">
        <v>0</v>
      </c>
      <c r="T3069" s="2">
        <v>0</v>
      </c>
      <c r="U3069" s="2">
        <v>35694.74</v>
      </c>
      <c r="V3069" s="2">
        <v>35694.74</v>
      </c>
      <c r="W3069" s="2">
        <v>35694.74</v>
      </c>
    </row>
    <row r="3070" spans="1:23" outlineLevel="2" x14ac:dyDescent="0.2">
      <c r="A3070" t="s">
        <v>999</v>
      </c>
      <c r="B3070" t="s">
        <v>39</v>
      </c>
      <c r="C3070" t="s">
        <v>40</v>
      </c>
      <c r="D3070" t="s">
        <v>41</v>
      </c>
      <c r="E3070" t="s">
        <v>42</v>
      </c>
      <c r="F3070" t="s">
        <v>1422</v>
      </c>
      <c r="G3070" t="s">
        <v>1423</v>
      </c>
      <c r="H3070" t="s">
        <v>1424</v>
      </c>
      <c r="I3070" t="s">
        <v>1425</v>
      </c>
      <c r="J3070" t="s">
        <v>1000</v>
      </c>
      <c r="K3070" t="s">
        <v>1017</v>
      </c>
      <c r="L3070" t="s">
        <v>1429</v>
      </c>
      <c r="M3070" t="s">
        <v>12</v>
      </c>
      <c r="N3070" s="2">
        <v>300000</v>
      </c>
      <c r="O3070" s="2">
        <v>0</v>
      </c>
      <c r="P3070" s="2">
        <v>0</v>
      </c>
      <c r="Q3070" s="2">
        <v>300000</v>
      </c>
      <c r="R3070" s="2">
        <v>288198.40000000002</v>
      </c>
      <c r="S3070" s="2">
        <v>0</v>
      </c>
      <c r="T3070" s="2">
        <v>0</v>
      </c>
      <c r="U3070" s="2">
        <v>300000</v>
      </c>
      <c r="V3070" s="2">
        <v>300000</v>
      </c>
      <c r="W3070" s="2">
        <v>11801.6</v>
      </c>
    </row>
    <row r="3071" spans="1:23" outlineLevel="2" x14ac:dyDescent="0.2">
      <c r="A3071" t="s">
        <v>999</v>
      </c>
      <c r="B3071" t="s">
        <v>1</v>
      </c>
      <c r="C3071" t="s">
        <v>2</v>
      </c>
      <c r="D3071" t="s">
        <v>463</v>
      </c>
      <c r="E3071" t="s">
        <v>464</v>
      </c>
      <c r="F3071" t="s">
        <v>911</v>
      </c>
      <c r="G3071" t="s">
        <v>912</v>
      </c>
      <c r="H3071" t="s">
        <v>913</v>
      </c>
      <c r="I3071" t="s">
        <v>914</v>
      </c>
      <c r="J3071" t="s">
        <v>1000</v>
      </c>
      <c r="K3071" t="s">
        <v>1011</v>
      </c>
      <c r="L3071" t="s">
        <v>1433</v>
      </c>
      <c r="M3071" t="s">
        <v>15</v>
      </c>
      <c r="N3071" s="2">
        <v>32957.19</v>
      </c>
      <c r="O3071" s="2">
        <v>0</v>
      </c>
      <c r="P3071" s="2">
        <v>-32957.19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</row>
    <row r="3072" spans="1:23" outlineLevel="2" x14ac:dyDescent="0.2">
      <c r="A3072" t="s">
        <v>999</v>
      </c>
      <c r="B3072" t="s">
        <v>1</v>
      </c>
      <c r="C3072" t="s">
        <v>2</v>
      </c>
      <c r="D3072" t="s">
        <v>463</v>
      </c>
      <c r="E3072" t="s">
        <v>464</v>
      </c>
      <c r="F3072" t="s">
        <v>911</v>
      </c>
      <c r="G3072" t="s">
        <v>912</v>
      </c>
      <c r="H3072" t="s">
        <v>913</v>
      </c>
      <c r="I3072" t="s">
        <v>914</v>
      </c>
      <c r="J3072" t="s">
        <v>1000</v>
      </c>
      <c r="K3072" t="s">
        <v>1011</v>
      </c>
      <c r="L3072" t="s">
        <v>1433</v>
      </c>
      <c r="M3072" t="s">
        <v>12</v>
      </c>
      <c r="N3072" s="2">
        <v>0</v>
      </c>
      <c r="O3072" s="2">
        <v>0</v>
      </c>
      <c r="P3072" s="2">
        <v>28123.52</v>
      </c>
      <c r="Q3072" s="2">
        <v>28123.52</v>
      </c>
      <c r="R3072" s="2">
        <v>0</v>
      </c>
      <c r="S3072" s="2">
        <v>0</v>
      </c>
      <c r="T3072" s="2">
        <v>0</v>
      </c>
      <c r="U3072" s="2">
        <v>28123.52</v>
      </c>
      <c r="V3072" s="2">
        <v>28123.52</v>
      </c>
      <c r="W3072" s="2">
        <v>28123.52</v>
      </c>
    </row>
    <row r="3073" spans="1:23" outlineLevel="2" x14ac:dyDescent="0.2">
      <c r="A3073" t="s">
        <v>999</v>
      </c>
      <c r="B3073" t="s">
        <v>1</v>
      </c>
      <c r="C3073" t="s">
        <v>2</v>
      </c>
      <c r="D3073" t="s">
        <v>463</v>
      </c>
      <c r="E3073" t="s">
        <v>464</v>
      </c>
      <c r="F3073" t="s">
        <v>911</v>
      </c>
      <c r="G3073" t="s">
        <v>912</v>
      </c>
      <c r="H3073" t="s">
        <v>913</v>
      </c>
      <c r="I3073" t="s">
        <v>914</v>
      </c>
      <c r="J3073" t="s">
        <v>1000</v>
      </c>
      <c r="K3073" t="s">
        <v>1013</v>
      </c>
      <c r="L3073" t="s">
        <v>1434</v>
      </c>
      <c r="M3073" t="s">
        <v>15</v>
      </c>
      <c r="N3073" s="2">
        <v>34669.69</v>
      </c>
      <c r="O3073" s="2">
        <v>0</v>
      </c>
      <c r="P3073" s="2">
        <v>-34669.69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</row>
    <row r="3074" spans="1:23" outlineLevel="2" x14ac:dyDescent="0.2">
      <c r="A3074" t="s">
        <v>999</v>
      </c>
      <c r="B3074" t="s">
        <v>1</v>
      </c>
      <c r="C3074" t="s">
        <v>2</v>
      </c>
      <c r="D3074" t="s">
        <v>463</v>
      </c>
      <c r="E3074" t="s">
        <v>464</v>
      </c>
      <c r="F3074" t="s">
        <v>911</v>
      </c>
      <c r="G3074" t="s">
        <v>912</v>
      </c>
      <c r="H3074" t="s">
        <v>913</v>
      </c>
      <c r="I3074" t="s">
        <v>914</v>
      </c>
      <c r="J3074" t="s">
        <v>1000</v>
      </c>
      <c r="K3074" t="s">
        <v>1017</v>
      </c>
      <c r="L3074" t="s">
        <v>1435</v>
      </c>
      <c r="M3074" t="s">
        <v>12</v>
      </c>
      <c r="N3074" s="2">
        <v>0</v>
      </c>
      <c r="O3074" s="2">
        <v>0</v>
      </c>
      <c r="P3074" s="2">
        <v>35829.96</v>
      </c>
      <c r="Q3074" s="2">
        <v>35829.96</v>
      </c>
      <c r="R3074" s="2">
        <v>0</v>
      </c>
      <c r="S3074" s="2">
        <v>0</v>
      </c>
      <c r="T3074" s="2">
        <v>0</v>
      </c>
      <c r="U3074" s="2">
        <v>35829.96</v>
      </c>
      <c r="V3074" s="2">
        <v>35829.96</v>
      </c>
      <c r="W3074" s="2">
        <v>35829.96</v>
      </c>
    </row>
    <row r="3075" spans="1:23" outlineLevel="2" x14ac:dyDescent="0.2">
      <c r="A3075" t="s">
        <v>999</v>
      </c>
      <c r="B3075" t="s">
        <v>1</v>
      </c>
      <c r="C3075" t="s">
        <v>2</v>
      </c>
      <c r="D3075" t="s">
        <v>463</v>
      </c>
      <c r="E3075" t="s">
        <v>464</v>
      </c>
      <c r="F3075" t="s">
        <v>911</v>
      </c>
      <c r="G3075" t="s">
        <v>912</v>
      </c>
      <c r="H3075" t="s">
        <v>913</v>
      </c>
      <c r="I3075" t="s">
        <v>914</v>
      </c>
      <c r="J3075" t="s">
        <v>1000</v>
      </c>
      <c r="K3075" t="s">
        <v>1017</v>
      </c>
      <c r="L3075" t="s">
        <v>1435</v>
      </c>
      <c r="M3075" t="s">
        <v>15</v>
      </c>
      <c r="N3075" s="2">
        <v>629836.48</v>
      </c>
      <c r="O3075" s="2">
        <v>0</v>
      </c>
      <c r="P3075" s="2">
        <v>-35829.96</v>
      </c>
      <c r="Q3075" s="2">
        <v>594006.52</v>
      </c>
      <c r="R3075" s="2">
        <v>0</v>
      </c>
      <c r="S3075" s="2">
        <v>594006.52</v>
      </c>
      <c r="T3075" s="2">
        <v>569218.59</v>
      </c>
      <c r="U3075" s="2">
        <v>0</v>
      </c>
      <c r="V3075" s="2">
        <v>24787.93</v>
      </c>
      <c r="W3075" s="2">
        <v>0</v>
      </c>
    </row>
    <row r="3076" spans="1:23" outlineLevel="2" x14ac:dyDescent="0.2">
      <c r="A3076" t="s">
        <v>999</v>
      </c>
      <c r="B3076" t="s">
        <v>1</v>
      </c>
      <c r="C3076" t="s">
        <v>2</v>
      </c>
      <c r="D3076" t="s">
        <v>463</v>
      </c>
      <c r="E3076" t="s">
        <v>464</v>
      </c>
      <c r="F3076" t="s">
        <v>911</v>
      </c>
      <c r="G3076" t="s">
        <v>912</v>
      </c>
      <c r="H3076" t="s">
        <v>913</v>
      </c>
      <c r="I3076" t="s">
        <v>914</v>
      </c>
      <c r="J3076" t="s">
        <v>1000</v>
      </c>
      <c r="K3076" t="s">
        <v>1436</v>
      </c>
      <c r="L3076" t="s">
        <v>1437</v>
      </c>
      <c r="M3076" t="s">
        <v>12</v>
      </c>
      <c r="N3076" s="2">
        <v>0</v>
      </c>
      <c r="O3076" s="2">
        <v>0</v>
      </c>
      <c r="P3076" s="2">
        <v>64941.54</v>
      </c>
      <c r="Q3076" s="2">
        <v>64941.54</v>
      </c>
      <c r="R3076" s="2">
        <v>0</v>
      </c>
      <c r="S3076" s="2">
        <v>0</v>
      </c>
      <c r="T3076" s="2">
        <v>0</v>
      </c>
      <c r="U3076" s="2">
        <v>64941.54</v>
      </c>
      <c r="V3076" s="2">
        <v>64941.54</v>
      </c>
      <c r="W3076" s="2">
        <v>64941.54</v>
      </c>
    </row>
    <row r="3077" spans="1:23" outlineLevel="2" x14ac:dyDescent="0.2">
      <c r="A3077" t="s">
        <v>999</v>
      </c>
      <c r="B3077" t="s">
        <v>1</v>
      </c>
      <c r="C3077" t="s">
        <v>2</v>
      </c>
      <c r="D3077" t="s">
        <v>463</v>
      </c>
      <c r="E3077" t="s">
        <v>464</v>
      </c>
      <c r="F3077" t="s">
        <v>911</v>
      </c>
      <c r="G3077" t="s">
        <v>912</v>
      </c>
      <c r="H3077" t="s">
        <v>913</v>
      </c>
      <c r="I3077" t="s">
        <v>914</v>
      </c>
      <c r="J3077" t="s">
        <v>1000</v>
      </c>
      <c r="K3077" t="s">
        <v>1436</v>
      </c>
      <c r="L3077" t="s">
        <v>1437</v>
      </c>
      <c r="M3077" t="s">
        <v>15</v>
      </c>
      <c r="N3077" s="2">
        <v>1000000</v>
      </c>
      <c r="O3077" s="2">
        <v>250621.74</v>
      </c>
      <c r="P3077" s="2">
        <v>-1250621.74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</row>
    <row r="3078" spans="1:23" outlineLevel="2" x14ac:dyDescent="0.2">
      <c r="A3078" t="s">
        <v>999</v>
      </c>
      <c r="B3078" t="s">
        <v>1</v>
      </c>
      <c r="C3078" t="s">
        <v>2</v>
      </c>
      <c r="D3078" t="s">
        <v>474</v>
      </c>
      <c r="E3078" t="s">
        <v>475</v>
      </c>
      <c r="F3078" t="s">
        <v>911</v>
      </c>
      <c r="G3078" t="s">
        <v>912</v>
      </c>
      <c r="H3078" t="s">
        <v>1438</v>
      </c>
      <c r="I3078" t="s">
        <v>1439</v>
      </c>
      <c r="J3078" t="s">
        <v>1000</v>
      </c>
      <c r="K3078" t="s">
        <v>1029</v>
      </c>
      <c r="L3078" t="s">
        <v>1440</v>
      </c>
      <c r="M3078" t="s">
        <v>15</v>
      </c>
      <c r="N3078" s="2">
        <v>500000</v>
      </c>
      <c r="O3078" s="2">
        <v>0</v>
      </c>
      <c r="P3078" s="2">
        <v>-500000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</row>
    <row r="3079" spans="1:23" outlineLevel="2" x14ac:dyDescent="0.2">
      <c r="A3079" t="s">
        <v>999</v>
      </c>
      <c r="B3079" t="s">
        <v>1</v>
      </c>
      <c r="C3079" t="s">
        <v>2</v>
      </c>
      <c r="D3079" t="s">
        <v>3</v>
      </c>
      <c r="E3079" t="s">
        <v>4</v>
      </c>
      <c r="F3079" t="s">
        <v>911</v>
      </c>
      <c r="G3079" t="s">
        <v>912</v>
      </c>
      <c r="H3079" t="s">
        <v>1441</v>
      </c>
      <c r="I3079" t="s">
        <v>1442</v>
      </c>
      <c r="J3079" t="s">
        <v>1000</v>
      </c>
      <c r="K3079" t="s">
        <v>1037</v>
      </c>
      <c r="L3079" t="s">
        <v>1443</v>
      </c>
      <c r="M3079" t="s">
        <v>15</v>
      </c>
      <c r="N3079" s="2">
        <v>13000</v>
      </c>
      <c r="O3079" s="2">
        <v>-1000</v>
      </c>
      <c r="P3079" s="2">
        <v>-12000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</row>
    <row r="3080" spans="1:23" outlineLevel="2" x14ac:dyDescent="0.2">
      <c r="A3080" t="s">
        <v>999</v>
      </c>
      <c r="B3080" t="s">
        <v>1</v>
      </c>
      <c r="C3080" t="s">
        <v>2</v>
      </c>
      <c r="D3080" t="s">
        <v>3</v>
      </c>
      <c r="E3080" t="s">
        <v>4</v>
      </c>
      <c r="F3080" t="s">
        <v>911</v>
      </c>
      <c r="G3080" t="s">
        <v>912</v>
      </c>
      <c r="H3080" t="s">
        <v>1441</v>
      </c>
      <c r="I3080" t="s">
        <v>1442</v>
      </c>
      <c r="J3080" t="s">
        <v>1000</v>
      </c>
      <c r="K3080" t="s">
        <v>1058</v>
      </c>
      <c r="L3080" t="s">
        <v>1444</v>
      </c>
      <c r="M3080" t="s">
        <v>15</v>
      </c>
      <c r="N3080" s="2">
        <v>8000</v>
      </c>
      <c r="O3080" s="2">
        <v>-1000</v>
      </c>
      <c r="P3080" s="2">
        <v>-7000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</row>
    <row r="3081" spans="1:23" outlineLevel="2" x14ac:dyDescent="0.2">
      <c r="A3081" t="s">
        <v>999</v>
      </c>
      <c r="B3081" t="s">
        <v>1</v>
      </c>
      <c r="C3081" t="s">
        <v>2</v>
      </c>
      <c r="D3081" t="s">
        <v>3</v>
      </c>
      <c r="E3081" t="s">
        <v>4</v>
      </c>
      <c r="F3081" t="s">
        <v>911</v>
      </c>
      <c r="G3081" t="s">
        <v>912</v>
      </c>
      <c r="H3081" t="s">
        <v>1441</v>
      </c>
      <c r="I3081" t="s">
        <v>1442</v>
      </c>
      <c r="J3081" t="s">
        <v>1000</v>
      </c>
      <c r="K3081" t="s">
        <v>1445</v>
      </c>
      <c r="L3081" t="s">
        <v>1446</v>
      </c>
      <c r="M3081" t="s">
        <v>15</v>
      </c>
      <c r="N3081" s="2">
        <v>48000</v>
      </c>
      <c r="O3081" s="2">
        <v>0</v>
      </c>
      <c r="P3081" s="2">
        <v>-24000</v>
      </c>
      <c r="Q3081" s="2">
        <v>24000</v>
      </c>
      <c r="R3081" s="2">
        <v>24000</v>
      </c>
      <c r="S3081" s="2">
        <v>0</v>
      </c>
      <c r="T3081" s="2">
        <v>0</v>
      </c>
      <c r="U3081" s="2">
        <v>24000</v>
      </c>
      <c r="V3081" s="2">
        <v>24000</v>
      </c>
      <c r="W3081" s="2">
        <v>0</v>
      </c>
    </row>
    <row r="3082" spans="1:23" outlineLevel="2" x14ac:dyDescent="0.2">
      <c r="A3082" t="s">
        <v>999</v>
      </c>
      <c r="B3082" t="s">
        <v>1</v>
      </c>
      <c r="C3082" t="s">
        <v>2</v>
      </c>
      <c r="D3082" t="s">
        <v>3</v>
      </c>
      <c r="E3082" t="s">
        <v>4</v>
      </c>
      <c r="F3082" t="s">
        <v>911</v>
      </c>
      <c r="G3082" t="s">
        <v>912</v>
      </c>
      <c r="H3082" t="s">
        <v>1441</v>
      </c>
      <c r="I3082" t="s">
        <v>1442</v>
      </c>
      <c r="J3082" t="s">
        <v>1000</v>
      </c>
      <c r="K3082" t="s">
        <v>1447</v>
      </c>
      <c r="L3082" t="s">
        <v>1448</v>
      </c>
      <c r="M3082" t="s">
        <v>15</v>
      </c>
      <c r="N3082" s="2">
        <v>0</v>
      </c>
      <c r="O3082" s="2">
        <v>62655.22</v>
      </c>
      <c r="P3082" s="2">
        <v>0</v>
      </c>
      <c r="Q3082" s="2">
        <v>62655.22</v>
      </c>
      <c r="R3082" s="2">
        <v>0</v>
      </c>
      <c r="S3082" s="2">
        <v>62655.22</v>
      </c>
      <c r="T3082" s="2">
        <v>24554.77</v>
      </c>
      <c r="U3082" s="2">
        <v>0</v>
      </c>
      <c r="V3082" s="2">
        <v>38100.449999999997</v>
      </c>
      <c r="W3082" s="2">
        <v>0</v>
      </c>
    </row>
    <row r="3083" spans="1:23" outlineLevel="2" x14ac:dyDescent="0.2">
      <c r="A3083" t="s">
        <v>999</v>
      </c>
      <c r="B3083" t="s">
        <v>1</v>
      </c>
      <c r="C3083" t="s">
        <v>2</v>
      </c>
      <c r="D3083" t="s">
        <v>3</v>
      </c>
      <c r="E3083" t="s">
        <v>4</v>
      </c>
      <c r="F3083" t="s">
        <v>911</v>
      </c>
      <c r="G3083" t="s">
        <v>912</v>
      </c>
      <c r="H3083" t="s">
        <v>1441</v>
      </c>
      <c r="I3083" t="s">
        <v>1442</v>
      </c>
      <c r="J3083" t="s">
        <v>1000</v>
      </c>
      <c r="K3083" t="s">
        <v>1009</v>
      </c>
      <c r="L3083" t="s">
        <v>1449</v>
      </c>
      <c r="M3083" t="s">
        <v>15</v>
      </c>
      <c r="N3083" s="2">
        <v>200</v>
      </c>
      <c r="O3083" s="2">
        <v>0</v>
      </c>
      <c r="P3083" s="2">
        <v>-200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</row>
    <row r="3084" spans="1:23" outlineLevel="2" x14ac:dyDescent="0.2">
      <c r="A3084" t="s">
        <v>999</v>
      </c>
      <c r="B3084" t="s">
        <v>1</v>
      </c>
      <c r="C3084" t="s">
        <v>2</v>
      </c>
      <c r="D3084" t="s">
        <v>3</v>
      </c>
      <c r="E3084" t="s">
        <v>4</v>
      </c>
      <c r="F3084" t="s">
        <v>911</v>
      </c>
      <c r="G3084" t="s">
        <v>912</v>
      </c>
      <c r="H3084" t="s">
        <v>1441</v>
      </c>
      <c r="I3084" t="s">
        <v>1442</v>
      </c>
      <c r="J3084" t="s">
        <v>1000</v>
      </c>
      <c r="K3084" t="s">
        <v>1013</v>
      </c>
      <c r="L3084" t="s">
        <v>1434</v>
      </c>
      <c r="M3084" t="s">
        <v>15</v>
      </c>
      <c r="N3084" s="2">
        <v>0</v>
      </c>
      <c r="O3084" s="2">
        <v>17598.03</v>
      </c>
      <c r="P3084" s="2">
        <v>-17598.03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</row>
    <row r="3085" spans="1:23" outlineLevel="2" x14ac:dyDescent="0.2">
      <c r="A3085" t="s">
        <v>999</v>
      </c>
      <c r="B3085" t="s">
        <v>1</v>
      </c>
      <c r="C3085" t="s">
        <v>2</v>
      </c>
      <c r="D3085" t="s">
        <v>3</v>
      </c>
      <c r="E3085" t="s">
        <v>4</v>
      </c>
      <c r="F3085" t="s">
        <v>911</v>
      </c>
      <c r="G3085" t="s">
        <v>912</v>
      </c>
      <c r="H3085" t="s">
        <v>1441</v>
      </c>
      <c r="I3085" t="s">
        <v>1442</v>
      </c>
      <c r="J3085" t="s">
        <v>1000</v>
      </c>
      <c r="K3085" t="s">
        <v>1179</v>
      </c>
      <c r="L3085" t="s">
        <v>1450</v>
      </c>
      <c r="M3085" t="s">
        <v>15</v>
      </c>
      <c r="N3085" s="2">
        <v>10000</v>
      </c>
      <c r="O3085" s="2">
        <v>30000</v>
      </c>
      <c r="P3085" s="2">
        <v>-40000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</row>
    <row r="3086" spans="1:23" outlineLevel="2" x14ac:dyDescent="0.2">
      <c r="A3086" t="s">
        <v>999</v>
      </c>
      <c r="B3086" t="s">
        <v>1</v>
      </c>
      <c r="C3086" t="s">
        <v>2</v>
      </c>
      <c r="D3086" t="s">
        <v>3</v>
      </c>
      <c r="E3086" t="s">
        <v>4</v>
      </c>
      <c r="F3086" t="s">
        <v>911</v>
      </c>
      <c r="G3086" t="s">
        <v>912</v>
      </c>
      <c r="H3086" t="s">
        <v>1441</v>
      </c>
      <c r="I3086" t="s">
        <v>1442</v>
      </c>
      <c r="J3086" t="s">
        <v>1000</v>
      </c>
      <c r="K3086" t="s">
        <v>1029</v>
      </c>
      <c r="L3086" t="s">
        <v>1440</v>
      </c>
      <c r="M3086" t="s">
        <v>15</v>
      </c>
      <c r="N3086" s="2">
        <v>202800</v>
      </c>
      <c r="O3086" s="2">
        <v>-196472</v>
      </c>
      <c r="P3086" s="2">
        <v>0</v>
      </c>
      <c r="Q3086" s="2">
        <v>6328</v>
      </c>
      <c r="R3086" s="2">
        <v>6328</v>
      </c>
      <c r="S3086" s="2">
        <v>0</v>
      </c>
      <c r="T3086" s="2">
        <v>0</v>
      </c>
      <c r="U3086" s="2">
        <v>6328</v>
      </c>
      <c r="V3086" s="2">
        <v>6328</v>
      </c>
      <c r="W3086" s="2">
        <v>0</v>
      </c>
    </row>
    <row r="3087" spans="1:23" outlineLevel="2" x14ac:dyDescent="0.2">
      <c r="A3087" t="s">
        <v>999</v>
      </c>
      <c r="B3087" t="s">
        <v>1</v>
      </c>
      <c r="C3087" t="s">
        <v>2</v>
      </c>
      <c r="D3087" t="s">
        <v>3</v>
      </c>
      <c r="E3087" t="s">
        <v>4</v>
      </c>
      <c r="F3087" t="s">
        <v>5</v>
      </c>
      <c r="G3087" t="s">
        <v>6</v>
      </c>
      <c r="H3087" t="s">
        <v>1441</v>
      </c>
      <c r="I3087" t="s">
        <v>1442</v>
      </c>
      <c r="J3087" t="s">
        <v>1000</v>
      </c>
      <c r="K3087" t="s">
        <v>1031</v>
      </c>
      <c r="L3087" t="s">
        <v>1451</v>
      </c>
      <c r="M3087" t="s">
        <v>15</v>
      </c>
      <c r="N3087" s="2">
        <v>0</v>
      </c>
      <c r="O3087" s="2">
        <v>6036.8</v>
      </c>
      <c r="P3087" s="2">
        <v>-6036.8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</row>
    <row r="3088" spans="1:23" outlineLevel="2" x14ac:dyDescent="0.2">
      <c r="A3088" t="s">
        <v>999</v>
      </c>
      <c r="B3088" t="s">
        <v>1</v>
      </c>
      <c r="C3088" t="s">
        <v>2</v>
      </c>
      <c r="D3088" t="s">
        <v>3</v>
      </c>
      <c r="E3088" t="s">
        <v>4</v>
      </c>
      <c r="F3088" t="s">
        <v>5</v>
      </c>
      <c r="G3088" t="s">
        <v>6</v>
      </c>
      <c r="H3088" t="s">
        <v>1441</v>
      </c>
      <c r="I3088" t="s">
        <v>1442</v>
      </c>
      <c r="J3088" t="s">
        <v>1000</v>
      </c>
      <c r="K3088" t="s">
        <v>1031</v>
      </c>
      <c r="L3088" t="s">
        <v>1451</v>
      </c>
      <c r="M3088" t="s">
        <v>12</v>
      </c>
      <c r="N3088" s="2">
        <v>0</v>
      </c>
      <c r="O3088" s="2">
        <v>-6036.8</v>
      </c>
      <c r="P3088" s="2">
        <v>6036.8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</row>
    <row r="3089" spans="1:23" outlineLevel="2" x14ac:dyDescent="0.2">
      <c r="A3089" t="s">
        <v>999</v>
      </c>
      <c r="B3089" t="s">
        <v>1</v>
      </c>
      <c r="C3089" t="s">
        <v>2</v>
      </c>
      <c r="D3089" t="s">
        <v>3</v>
      </c>
      <c r="E3089" t="s">
        <v>4</v>
      </c>
      <c r="F3089" t="s">
        <v>911</v>
      </c>
      <c r="G3089" t="s">
        <v>912</v>
      </c>
      <c r="H3089" t="s">
        <v>1441</v>
      </c>
      <c r="I3089" t="s">
        <v>1442</v>
      </c>
      <c r="J3089" t="s">
        <v>1000</v>
      </c>
      <c r="K3089" t="s">
        <v>1031</v>
      </c>
      <c r="L3089" t="s">
        <v>1452</v>
      </c>
      <c r="M3089" t="s">
        <v>15</v>
      </c>
      <c r="N3089" s="2">
        <v>0</v>
      </c>
      <c r="O3089" s="2">
        <v>7033.6</v>
      </c>
      <c r="P3089" s="2">
        <v>0</v>
      </c>
      <c r="Q3089" s="2">
        <v>7033.6</v>
      </c>
      <c r="R3089" s="2">
        <v>0</v>
      </c>
      <c r="S3089" s="2">
        <v>0</v>
      </c>
      <c r="T3089" s="2">
        <v>0</v>
      </c>
      <c r="U3089" s="2">
        <v>7033.6</v>
      </c>
      <c r="V3089" s="2">
        <v>7033.6</v>
      </c>
      <c r="W3089" s="2">
        <v>7033.6</v>
      </c>
    </row>
    <row r="3090" spans="1:23" outlineLevel="2" x14ac:dyDescent="0.2">
      <c r="A3090" t="s">
        <v>999</v>
      </c>
      <c r="B3090" t="s">
        <v>1</v>
      </c>
      <c r="C3090" t="s">
        <v>2</v>
      </c>
      <c r="D3090" t="s">
        <v>3</v>
      </c>
      <c r="E3090" t="s">
        <v>4</v>
      </c>
      <c r="F3090" t="s">
        <v>911</v>
      </c>
      <c r="G3090" t="s">
        <v>912</v>
      </c>
      <c r="H3090" t="s">
        <v>1441</v>
      </c>
      <c r="I3090" t="s">
        <v>1442</v>
      </c>
      <c r="J3090" t="s">
        <v>1000</v>
      </c>
      <c r="K3090" t="s">
        <v>1116</v>
      </c>
      <c r="L3090" t="s">
        <v>1453</v>
      </c>
      <c r="M3090" t="s">
        <v>15</v>
      </c>
      <c r="N3090" s="2">
        <v>28125</v>
      </c>
      <c r="O3090" s="2">
        <v>0</v>
      </c>
      <c r="P3090" s="2">
        <v>-28125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</row>
    <row r="3091" spans="1:23" outlineLevel="2" x14ac:dyDescent="0.2">
      <c r="A3091" t="s">
        <v>999</v>
      </c>
      <c r="B3091" t="s">
        <v>1</v>
      </c>
      <c r="C3091" t="s">
        <v>91</v>
      </c>
      <c r="D3091" t="s">
        <v>92</v>
      </c>
      <c r="E3091" t="s">
        <v>93</v>
      </c>
      <c r="F3091" t="s">
        <v>911</v>
      </c>
      <c r="G3091" t="s">
        <v>912</v>
      </c>
      <c r="H3091" t="s">
        <v>920</v>
      </c>
      <c r="I3091" t="s">
        <v>921</v>
      </c>
      <c r="J3091" t="s">
        <v>1000</v>
      </c>
      <c r="K3091" t="s">
        <v>1104</v>
      </c>
      <c r="L3091" t="s">
        <v>1454</v>
      </c>
      <c r="M3091" t="s">
        <v>15</v>
      </c>
      <c r="N3091" s="2">
        <v>24000</v>
      </c>
      <c r="O3091" s="2">
        <v>-16000</v>
      </c>
      <c r="P3091" s="2">
        <v>-8000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</row>
    <row r="3092" spans="1:23" outlineLevel="2" x14ac:dyDescent="0.2">
      <c r="A3092" t="s">
        <v>999</v>
      </c>
      <c r="B3092" t="s">
        <v>1</v>
      </c>
      <c r="C3092" t="s">
        <v>91</v>
      </c>
      <c r="D3092" t="s">
        <v>92</v>
      </c>
      <c r="E3092" t="s">
        <v>93</v>
      </c>
      <c r="F3092" t="s">
        <v>911</v>
      </c>
      <c r="G3092" t="s">
        <v>912</v>
      </c>
      <c r="H3092" t="s">
        <v>920</v>
      </c>
      <c r="I3092" t="s">
        <v>921</v>
      </c>
      <c r="J3092" t="s">
        <v>1000</v>
      </c>
      <c r="K3092" t="s">
        <v>1104</v>
      </c>
      <c r="L3092" t="s">
        <v>1454</v>
      </c>
      <c r="M3092" t="s">
        <v>12</v>
      </c>
      <c r="N3092" s="2">
        <v>0</v>
      </c>
      <c r="O3092" s="2">
        <v>0</v>
      </c>
      <c r="P3092" s="2">
        <v>8000</v>
      </c>
      <c r="Q3092" s="2">
        <v>8000</v>
      </c>
      <c r="R3092" s="2">
        <v>0</v>
      </c>
      <c r="S3092" s="2">
        <v>0</v>
      </c>
      <c r="T3092" s="2">
        <v>0</v>
      </c>
      <c r="U3092" s="2">
        <v>8000</v>
      </c>
      <c r="V3092" s="2">
        <v>8000</v>
      </c>
      <c r="W3092" s="2">
        <v>8000</v>
      </c>
    </row>
    <row r="3093" spans="1:23" outlineLevel="2" x14ac:dyDescent="0.2">
      <c r="A3093" t="s">
        <v>999</v>
      </c>
      <c r="B3093" t="s">
        <v>1</v>
      </c>
      <c r="C3093" t="s">
        <v>91</v>
      </c>
      <c r="D3093" t="s">
        <v>92</v>
      </c>
      <c r="E3093" t="s">
        <v>93</v>
      </c>
      <c r="F3093" t="s">
        <v>911</v>
      </c>
      <c r="G3093" t="s">
        <v>912</v>
      </c>
      <c r="H3093" t="s">
        <v>920</v>
      </c>
      <c r="I3093" t="s">
        <v>921</v>
      </c>
      <c r="J3093" t="s">
        <v>1000</v>
      </c>
      <c r="K3093" t="s">
        <v>1001</v>
      </c>
      <c r="L3093" t="s">
        <v>1455</v>
      </c>
      <c r="M3093" t="s">
        <v>15</v>
      </c>
      <c r="N3093" s="2">
        <v>500000</v>
      </c>
      <c r="O3093" s="2">
        <v>-500000</v>
      </c>
      <c r="P3093" s="2">
        <v>0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</row>
    <row r="3094" spans="1:23" outlineLevel="2" x14ac:dyDescent="0.2">
      <c r="A3094" t="s">
        <v>999</v>
      </c>
      <c r="B3094" t="s">
        <v>1</v>
      </c>
      <c r="C3094" t="s">
        <v>91</v>
      </c>
      <c r="D3094" t="s">
        <v>92</v>
      </c>
      <c r="E3094" t="s">
        <v>93</v>
      </c>
      <c r="F3094" t="s">
        <v>911</v>
      </c>
      <c r="G3094" t="s">
        <v>912</v>
      </c>
      <c r="H3094" t="s">
        <v>920</v>
      </c>
      <c r="I3094" t="s">
        <v>921</v>
      </c>
      <c r="J3094" t="s">
        <v>1000</v>
      </c>
      <c r="K3094" t="s">
        <v>1037</v>
      </c>
      <c r="L3094" t="s">
        <v>1456</v>
      </c>
      <c r="M3094" t="s">
        <v>15</v>
      </c>
      <c r="N3094" s="2">
        <v>17000</v>
      </c>
      <c r="O3094" s="2">
        <v>-2000</v>
      </c>
      <c r="P3094" s="2">
        <v>-260.8</v>
      </c>
      <c r="Q3094" s="2">
        <v>14739.2</v>
      </c>
      <c r="R3094" s="2">
        <v>0</v>
      </c>
      <c r="S3094" s="2">
        <v>14739.2</v>
      </c>
      <c r="T3094" s="2">
        <v>6899.2</v>
      </c>
      <c r="U3094" s="2">
        <v>0</v>
      </c>
      <c r="V3094" s="2">
        <v>7840</v>
      </c>
      <c r="W3094" s="2">
        <v>0</v>
      </c>
    </row>
    <row r="3095" spans="1:23" outlineLevel="2" x14ac:dyDescent="0.2">
      <c r="A3095" t="s">
        <v>999</v>
      </c>
      <c r="B3095" t="s">
        <v>1</v>
      </c>
      <c r="C3095" t="s">
        <v>91</v>
      </c>
      <c r="D3095" t="s">
        <v>92</v>
      </c>
      <c r="E3095" t="s">
        <v>93</v>
      </c>
      <c r="F3095" t="s">
        <v>911</v>
      </c>
      <c r="G3095" t="s">
        <v>912</v>
      </c>
      <c r="H3095" t="s">
        <v>920</v>
      </c>
      <c r="I3095" t="s">
        <v>921</v>
      </c>
      <c r="J3095" t="s">
        <v>1000</v>
      </c>
      <c r="K3095" t="s">
        <v>1037</v>
      </c>
      <c r="L3095" t="s">
        <v>1456</v>
      </c>
      <c r="M3095" t="s">
        <v>12</v>
      </c>
      <c r="N3095" s="2">
        <v>0</v>
      </c>
      <c r="O3095" s="2">
        <v>0</v>
      </c>
      <c r="P3095" s="2">
        <v>260.8</v>
      </c>
      <c r="Q3095" s="2">
        <v>260.8</v>
      </c>
      <c r="R3095" s="2">
        <v>0</v>
      </c>
      <c r="S3095" s="2">
        <v>0</v>
      </c>
      <c r="T3095" s="2">
        <v>0</v>
      </c>
      <c r="U3095" s="2">
        <v>260.8</v>
      </c>
      <c r="V3095" s="2">
        <v>260.8</v>
      </c>
      <c r="W3095" s="2">
        <v>260.8</v>
      </c>
    </row>
    <row r="3096" spans="1:23" outlineLevel="2" x14ac:dyDescent="0.2">
      <c r="A3096" t="s">
        <v>999</v>
      </c>
      <c r="B3096" t="s">
        <v>1</v>
      </c>
      <c r="C3096" t="s">
        <v>91</v>
      </c>
      <c r="D3096" t="s">
        <v>92</v>
      </c>
      <c r="E3096" t="s">
        <v>93</v>
      </c>
      <c r="F3096" t="s">
        <v>911</v>
      </c>
      <c r="G3096" t="s">
        <v>912</v>
      </c>
      <c r="H3096" t="s">
        <v>920</v>
      </c>
      <c r="I3096" t="s">
        <v>921</v>
      </c>
      <c r="J3096" t="s">
        <v>1000</v>
      </c>
      <c r="K3096" t="s">
        <v>1058</v>
      </c>
      <c r="L3096" t="s">
        <v>1457</v>
      </c>
      <c r="M3096" t="s">
        <v>15</v>
      </c>
      <c r="N3096" s="2">
        <v>399519.96</v>
      </c>
      <c r="O3096" s="2">
        <v>-351359.96</v>
      </c>
      <c r="P3096" s="2">
        <v>0</v>
      </c>
      <c r="Q3096" s="2">
        <v>48160</v>
      </c>
      <c r="R3096" s="2">
        <v>0</v>
      </c>
      <c r="S3096" s="2">
        <v>48160</v>
      </c>
      <c r="T3096" s="2">
        <v>48160</v>
      </c>
      <c r="U3096" s="2">
        <v>0</v>
      </c>
      <c r="V3096" s="2">
        <v>0</v>
      </c>
      <c r="W3096" s="2">
        <v>0</v>
      </c>
    </row>
    <row r="3097" spans="1:23" outlineLevel="2" x14ac:dyDescent="0.2">
      <c r="A3097" t="s">
        <v>999</v>
      </c>
      <c r="B3097" t="s">
        <v>1</v>
      </c>
      <c r="C3097" t="s">
        <v>91</v>
      </c>
      <c r="D3097" t="s">
        <v>92</v>
      </c>
      <c r="E3097" t="s">
        <v>93</v>
      </c>
      <c r="F3097" t="s">
        <v>911</v>
      </c>
      <c r="G3097" t="s">
        <v>912</v>
      </c>
      <c r="H3097" t="s">
        <v>920</v>
      </c>
      <c r="I3097" t="s">
        <v>921</v>
      </c>
      <c r="J3097" t="s">
        <v>1000</v>
      </c>
      <c r="K3097" t="s">
        <v>1108</v>
      </c>
      <c r="L3097" t="s">
        <v>1458</v>
      </c>
      <c r="M3097" t="s">
        <v>15</v>
      </c>
      <c r="N3097" s="2">
        <v>0</v>
      </c>
      <c r="O3097" s="2">
        <v>17984.82</v>
      </c>
      <c r="P3097" s="2">
        <v>-17984.82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</row>
    <row r="3098" spans="1:23" outlineLevel="2" x14ac:dyDescent="0.2">
      <c r="A3098" t="s">
        <v>999</v>
      </c>
      <c r="B3098" t="s">
        <v>1</v>
      </c>
      <c r="C3098" t="s">
        <v>91</v>
      </c>
      <c r="D3098" t="s">
        <v>92</v>
      </c>
      <c r="E3098" t="s">
        <v>93</v>
      </c>
      <c r="F3098" t="s">
        <v>911</v>
      </c>
      <c r="G3098" t="s">
        <v>912</v>
      </c>
      <c r="H3098" t="s">
        <v>920</v>
      </c>
      <c r="I3098" t="s">
        <v>921</v>
      </c>
      <c r="J3098" t="s">
        <v>1000</v>
      </c>
      <c r="K3098" t="s">
        <v>1108</v>
      </c>
      <c r="L3098" t="s">
        <v>1458</v>
      </c>
      <c r="M3098" t="s">
        <v>12</v>
      </c>
      <c r="N3098" s="2">
        <v>0</v>
      </c>
      <c r="O3098" s="2">
        <v>0</v>
      </c>
      <c r="P3098" s="2">
        <v>17984.82</v>
      </c>
      <c r="Q3098" s="2">
        <v>17984.82</v>
      </c>
      <c r="R3098" s="2">
        <v>0</v>
      </c>
      <c r="S3098" s="2">
        <v>0</v>
      </c>
      <c r="T3098" s="2">
        <v>0</v>
      </c>
      <c r="U3098" s="2">
        <v>17984.82</v>
      </c>
      <c r="V3098" s="2">
        <v>17984.82</v>
      </c>
      <c r="W3098" s="2">
        <v>17984.82</v>
      </c>
    </row>
    <row r="3099" spans="1:23" outlineLevel="2" x14ac:dyDescent="0.2">
      <c r="A3099" t="s">
        <v>999</v>
      </c>
      <c r="B3099" t="s">
        <v>1</v>
      </c>
      <c r="C3099" t="s">
        <v>91</v>
      </c>
      <c r="D3099" t="s">
        <v>92</v>
      </c>
      <c r="E3099" t="s">
        <v>93</v>
      </c>
      <c r="F3099" t="s">
        <v>911</v>
      </c>
      <c r="G3099" t="s">
        <v>912</v>
      </c>
      <c r="H3099" t="s">
        <v>920</v>
      </c>
      <c r="I3099" t="s">
        <v>921</v>
      </c>
      <c r="J3099" t="s">
        <v>1000</v>
      </c>
      <c r="K3099" t="s">
        <v>1447</v>
      </c>
      <c r="L3099" t="s">
        <v>1459</v>
      </c>
      <c r="M3099" t="s">
        <v>15</v>
      </c>
      <c r="N3099" s="2">
        <v>173752.32000000001</v>
      </c>
      <c r="O3099" s="2">
        <v>-173752.32000000001</v>
      </c>
      <c r="P3099" s="2">
        <v>0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</row>
    <row r="3100" spans="1:23" outlineLevel="2" x14ac:dyDescent="0.2">
      <c r="A3100" t="s">
        <v>999</v>
      </c>
      <c r="B3100" t="s">
        <v>1</v>
      </c>
      <c r="C3100" t="s">
        <v>91</v>
      </c>
      <c r="D3100" t="s">
        <v>92</v>
      </c>
      <c r="E3100" t="s">
        <v>93</v>
      </c>
      <c r="F3100" t="s">
        <v>911</v>
      </c>
      <c r="G3100" t="s">
        <v>912</v>
      </c>
      <c r="H3100" t="s">
        <v>920</v>
      </c>
      <c r="I3100" t="s">
        <v>921</v>
      </c>
      <c r="J3100" t="s">
        <v>1000</v>
      </c>
      <c r="K3100" t="s">
        <v>1090</v>
      </c>
      <c r="L3100" t="s">
        <v>1460</v>
      </c>
      <c r="M3100" t="s">
        <v>15</v>
      </c>
      <c r="N3100" s="2">
        <v>40000</v>
      </c>
      <c r="O3100" s="2">
        <v>-40000</v>
      </c>
      <c r="P3100" s="2">
        <v>0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</row>
    <row r="3101" spans="1:23" outlineLevel="2" x14ac:dyDescent="0.2">
      <c r="A3101" t="s">
        <v>999</v>
      </c>
      <c r="B3101" t="s">
        <v>1</v>
      </c>
      <c r="C3101" t="s">
        <v>91</v>
      </c>
      <c r="D3101" t="s">
        <v>92</v>
      </c>
      <c r="E3101" t="s">
        <v>93</v>
      </c>
      <c r="F3101" t="s">
        <v>911</v>
      </c>
      <c r="G3101" t="s">
        <v>912</v>
      </c>
      <c r="H3101" t="s">
        <v>920</v>
      </c>
      <c r="I3101" t="s">
        <v>921</v>
      </c>
      <c r="J3101" t="s">
        <v>1000</v>
      </c>
      <c r="K3101" t="s">
        <v>1262</v>
      </c>
      <c r="L3101" t="s">
        <v>1461</v>
      </c>
      <c r="M3101" t="s">
        <v>12</v>
      </c>
      <c r="N3101" s="2">
        <v>0</v>
      </c>
      <c r="O3101" s="2">
        <v>0</v>
      </c>
      <c r="P3101" s="2">
        <v>8000</v>
      </c>
      <c r="Q3101" s="2">
        <v>8000</v>
      </c>
      <c r="R3101" s="2">
        <v>0</v>
      </c>
      <c r="S3101" s="2">
        <v>0</v>
      </c>
      <c r="T3101" s="2">
        <v>0</v>
      </c>
      <c r="U3101" s="2">
        <v>8000</v>
      </c>
      <c r="V3101" s="2">
        <v>8000</v>
      </c>
      <c r="W3101" s="2">
        <v>8000</v>
      </c>
    </row>
    <row r="3102" spans="1:23" outlineLevel="2" x14ac:dyDescent="0.2">
      <c r="A3102" t="s">
        <v>999</v>
      </c>
      <c r="B3102" t="s">
        <v>1</v>
      </c>
      <c r="C3102" t="s">
        <v>91</v>
      </c>
      <c r="D3102" t="s">
        <v>92</v>
      </c>
      <c r="E3102" t="s">
        <v>93</v>
      </c>
      <c r="F3102" t="s">
        <v>911</v>
      </c>
      <c r="G3102" t="s">
        <v>912</v>
      </c>
      <c r="H3102" t="s">
        <v>920</v>
      </c>
      <c r="I3102" t="s">
        <v>921</v>
      </c>
      <c r="J3102" t="s">
        <v>1000</v>
      </c>
      <c r="K3102" t="s">
        <v>1262</v>
      </c>
      <c r="L3102" t="s">
        <v>1461</v>
      </c>
      <c r="M3102" t="s">
        <v>15</v>
      </c>
      <c r="N3102" s="2">
        <v>8000</v>
      </c>
      <c r="O3102" s="2">
        <v>0</v>
      </c>
      <c r="P3102" s="2">
        <v>-8000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</row>
    <row r="3103" spans="1:23" outlineLevel="2" x14ac:dyDescent="0.2">
      <c r="A3103" t="s">
        <v>999</v>
      </c>
      <c r="B3103" t="s">
        <v>1</v>
      </c>
      <c r="C3103" t="s">
        <v>91</v>
      </c>
      <c r="D3103" t="s">
        <v>92</v>
      </c>
      <c r="E3103" t="s">
        <v>93</v>
      </c>
      <c r="F3103" t="s">
        <v>911</v>
      </c>
      <c r="G3103" t="s">
        <v>912</v>
      </c>
      <c r="H3103" t="s">
        <v>920</v>
      </c>
      <c r="I3103" t="s">
        <v>921</v>
      </c>
      <c r="J3103" t="s">
        <v>1000</v>
      </c>
      <c r="K3103" t="s">
        <v>1011</v>
      </c>
      <c r="L3103" t="s">
        <v>1462</v>
      </c>
      <c r="M3103" t="s">
        <v>12</v>
      </c>
      <c r="N3103" s="2">
        <v>0</v>
      </c>
      <c r="O3103" s="2">
        <v>0</v>
      </c>
      <c r="P3103" s="2">
        <v>70000</v>
      </c>
      <c r="Q3103" s="2">
        <v>70000</v>
      </c>
      <c r="R3103" s="2">
        <v>0</v>
      </c>
      <c r="S3103" s="2">
        <v>0</v>
      </c>
      <c r="T3103" s="2">
        <v>0</v>
      </c>
      <c r="U3103" s="2">
        <v>70000</v>
      </c>
      <c r="V3103" s="2">
        <v>70000</v>
      </c>
      <c r="W3103" s="2">
        <v>70000</v>
      </c>
    </row>
    <row r="3104" spans="1:23" outlineLevel="2" x14ac:dyDescent="0.2">
      <c r="A3104" t="s">
        <v>999</v>
      </c>
      <c r="B3104" t="s">
        <v>1</v>
      </c>
      <c r="C3104" t="s">
        <v>91</v>
      </c>
      <c r="D3104" t="s">
        <v>92</v>
      </c>
      <c r="E3104" t="s">
        <v>93</v>
      </c>
      <c r="F3104" t="s">
        <v>911</v>
      </c>
      <c r="G3104" t="s">
        <v>912</v>
      </c>
      <c r="H3104" t="s">
        <v>920</v>
      </c>
      <c r="I3104" t="s">
        <v>921</v>
      </c>
      <c r="J3104" t="s">
        <v>1000</v>
      </c>
      <c r="K3104" t="s">
        <v>1011</v>
      </c>
      <c r="L3104" t="s">
        <v>1462</v>
      </c>
      <c r="M3104" t="s">
        <v>15</v>
      </c>
      <c r="N3104" s="2">
        <v>1923400.16</v>
      </c>
      <c r="O3104" s="2">
        <v>-1170468.73</v>
      </c>
      <c r="P3104" s="2">
        <v>-70000</v>
      </c>
      <c r="Q3104" s="2">
        <v>682931.43</v>
      </c>
      <c r="R3104" s="2">
        <v>0</v>
      </c>
      <c r="S3104" s="2">
        <v>682931.43</v>
      </c>
      <c r="T3104" s="2">
        <v>511702.12</v>
      </c>
      <c r="U3104" s="2">
        <v>0</v>
      </c>
      <c r="V3104" s="2">
        <v>171229.31</v>
      </c>
      <c r="W3104" s="2">
        <v>0</v>
      </c>
    </row>
    <row r="3105" spans="1:23" outlineLevel="2" x14ac:dyDescent="0.2">
      <c r="A3105" t="s">
        <v>999</v>
      </c>
      <c r="B3105" t="s">
        <v>1</v>
      </c>
      <c r="C3105" t="s">
        <v>91</v>
      </c>
      <c r="D3105" t="s">
        <v>92</v>
      </c>
      <c r="E3105" t="s">
        <v>93</v>
      </c>
      <c r="F3105" t="s">
        <v>911</v>
      </c>
      <c r="G3105" t="s">
        <v>912</v>
      </c>
      <c r="H3105" t="s">
        <v>920</v>
      </c>
      <c r="I3105" t="s">
        <v>921</v>
      </c>
      <c r="J3105" t="s">
        <v>1000</v>
      </c>
      <c r="K3105" t="s">
        <v>1013</v>
      </c>
      <c r="L3105" t="s">
        <v>1463</v>
      </c>
      <c r="M3105" t="s">
        <v>15</v>
      </c>
      <c r="N3105" s="2">
        <v>146689</v>
      </c>
      <c r="O3105" s="2">
        <v>-146689</v>
      </c>
      <c r="P3105" s="2">
        <v>0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</row>
    <row r="3106" spans="1:23" outlineLevel="2" x14ac:dyDescent="0.2">
      <c r="A3106" t="s">
        <v>999</v>
      </c>
      <c r="B3106" t="s">
        <v>1</v>
      </c>
      <c r="C3106" t="s">
        <v>91</v>
      </c>
      <c r="D3106" t="s">
        <v>92</v>
      </c>
      <c r="E3106" t="s">
        <v>93</v>
      </c>
      <c r="F3106" t="s">
        <v>911</v>
      </c>
      <c r="G3106" t="s">
        <v>912</v>
      </c>
      <c r="H3106" t="s">
        <v>920</v>
      </c>
      <c r="I3106" t="s">
        <v>921</v>
      </c>
      <c r="J3106" t="s">
        <v>1000</v>
      </c>
      <c r="K3106" t="s">
        <v>1017</v>
      </c>
      <c r="L3106" t="s">
        <v>1464</v>
      </c>
      <c r="M3106" t="s">
        <v>15</v>
      </c>
      <c r="N3106" s="2">
        <v>27157.15</v>
      </c>
      <c r="O3106" s="2">
        <v>-27157.15</v>
      </c>
      <c r="P3106" s="2">
        <v>0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</row>
    <row r="3107" spans="1:23" outlineLevel="2" x14ac:dyDescent="0.2">
      <c r="A3107" t="s">
        <v>999</v>
      </c>
      <c r="B3107" t="s">
        <v>1</v>
      </c>
      <c r="C3107" t="s">
        <v>91</v>
      </c>
      <c r="D3107" t="s">
        <v>92</v>
      </c>
      <c r="E3107" t="s">
        <v>93</v>
      </c>
      <c r="F3107" t="s">
        <v>911</v>
      </c>
      <c r="G3107" t="s">
        <v>912</v>
      </c>
      <c r="H3107" t="s">
        <v>920</v>
      </c>
      <c r="I3107" t="s">
        <v>921</v>
      </c>
      <c r="J3107" t="s">
        <v>1000</v>
      </c>
      <c r="K3107" t="s">
        <v>1029</v>
      </c>
      <c r="L3107" t="s">
        <v>1465</v>
      </c>
      <c r="M3107" t="s">
        <v>15</v>
      </c>
      <c r="N3107" s="2">
        <v>30000</v>
      </c>
      <c r="O3107" s="2">
        <v>576585.35</v>
      </c>
      <c r="P3107" s="2">
        <v>-606585.35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</row>
    <row r="3108" spans="1:23" outlineLevel="2" x14ac:dyDescent="0.2">
      <c r="A3108" t="s">
        <v>999</v>
      </c>
      <c r="B3108" t="s">
        <v>1</v>
      </c>
      <c r="C3108" t="s">
        <v>91</v>
      </c>
      <c r="D3108" t="s">
        <v>92</v>
      </c>
      <c r="E3108" t="s">
        <v>93</v>
      </c>
      <c r="F3108" t="s">
        <v>911</v>
      </c>
      <c r="G3108" t="s">
        <v>912</v>
      </c>
      <c r="H3108" t="s">
        <v>920</v>
      </c>
      <c r="I3108" t="s">
        <v>921</v>
      </c>
      <c r="J3108" t="s">
        <v>1000</v>
      </c>
      <c r="K3108" t="s">
        <v>1031</v>
      </c>
      <c r="L3108" t="s">
        <v>1466</v>
      </c>
      <c r="M3108" t="s">
        <v>15</v>
      </c>
      <c r="N3108" s="2">
        <v>5000</v>
      </c>
      <c r="O3108" s="2">
        <v>-3499.2</v>
      </c>
      <c r="P3108" s="2">
        <v>0</v>
      </c>
      <c r="Q3108" s="2">
        <v>1500.8</v>
      </c>
      <c r="R3108" s="2">
        <v>0</v>
      </c>
      <c r="S3108" s="2">
        <v>1500.8</v>
      </c>
      <c r="T3108" s="2">
        <v>1500.8</v>
      </c>
      <c r="U3108" s="2">
        <v>0</v>
      </c>
      <c r="V3108" s="2">
        <v>0</v>
      </c>
      <c r="W3108" s="2">
        <v>0</v>
      </c>
    </row>
    <row r="3109" spans="1:23" outlineLevel="2" x14ac:dyDescent="0.2">
      <c r="A3109" t="s">
        <v>999</v>
      </c>
      <c r="B3109" t="s">
        <v>1</v>
      </c>
      <c r="C3109" t="s">
        <v>91</v>
      </c>
      <c r="D3109" t="s">
        <v>92</v>
      </c>
      <c r="E3109" t="s">
        <v>93</v>
      </c>
      <c r="F3109" t="s">
        <v>911</v>
      </c>
      <c r="G3109" t="s">
        <v>912</v>
      </c>
      <c r="H3109" t="s">
        <v>920</v>
      </c>
      <c r="I3109" t="s">
        <v>921</v>
      </c>
      <c r="J3109" t="s">
        <v>1000</v>
      </c>
      <c r="K3109" t="s">
        <v>1061</v>
      </c>
      <c r="L3109" t="s">
        <v>1467</v>
      </c>
      <c r="M3109" t="s">
        <v>12</v>
      </c>
      <c r="N3109" s="2">
        <v>0</v>
      </c>
      <c r="O3109" s="2">
        <v>0</v>
      </c>
      <c r="P3109" s="2">
        <v>10928.63</v>
      </c>
      <c r="Q3109" s="2">
        <v>10928.63</v>
      </c>
      <c r="R3109" s="2">
        <v>0</v>
      </c>
      <c r="S3109" s="2">
        <v>0</v>
      </c>
      <c r="T3109" s="2">
        <v>0</v>
      </c>
      <c r="U3109" s="2">
        <v>10928.63</v>
      </c>
      <c r="V3109" s="2">
        <v>10928.63</v>
      </c>
      <c r="W3109" s="2">
        <v>10928.63</v>
      </c>
    </row>
    <row r="3110" spans="1:23" outlineLevel="2" x14ac:dyDescent="0.2">
      <c r="A3110" t="s">
        <v>999</v>
      </c>
      <c r="B3110" t="s">
        <v>1</v>
      </c>
      <c r="C3110" t="s">
        <v>91</v>
      </c>
      <c r="D3110" t="s">
        <v>92</v>
      </c>
      <c r="E3110" t="s">
        <v>93</v>
      </c>
      <c r="F3110" t="s">
        <v>911</v>
      </c>
      <c r="G3110" t="s">
        <v>912</v>
      </c>
      <c r="H3110" t="s">
        <v>920</v>
      </c>
      <c r="I3110" t="s">
        <v>921</v>
      </c>
      <c r="J3110" t="s">
        <v>1000</v>
      </c>
      <c r="K3110" t="s">
        <v>1061</v>
      </c>
      <c r="L3110" t="s">
        <v>1467</v>
      </c>
      <c r="M3110" t="s">
        <v>15</v>
      </c>
      <c r="N3110" s="2">
        <v>52955</v>
      </c>
      <c r="O3110" s="2">
        <v>15000</v>
      </c>
      <c r="P3110" s="2">
        <v>-10928.63</v>
      </c>
      <c r="Q3110" s="2">
        <v>57026.37</v>
      </c>
      <c r="R3110" s="2">
        <v>44352</v>
      </c>
      <c r="S3110" s="2">
        <v>12674.37</v>
      </c>
      <c r="T3110" s="2">
        <v>7815.36</v>
      </c>
      <c r="U3110" s="2">
        <v>44352</v>
      </c>
      <c r="V3110" s="2">
        <v>49211.01</v>
      </c>
      <c r="W3110" s="2">
        <v>0</v>
      </c>
    </row>
    <row r="3111" spans="1:23" outlineLevel="2" x14ac:dyDescent="0.2">
      <c r="A3111" t="s">
        <v>999</v>
      </c>
      <c r="B3111" t="s">
        <v>1</v>
      </c>
      <c r="C3111" t="s">
        <v>91</v>
      </c>
      <c r="D3111" t="s">
        <v>92</v>
      </c>
      <c r="E3111" t="s">
        <v>93</v>
      </c>
      <c r="F3111" t="s">
        <v>911</v>
      </c>
      <c r="G3111" t="s">
        <v>912</v>
      </c>
      <c r="H3111" t="s">
        <v>920</v>
      </c>
      <c r="I3111" t="s">
        <v>921</v>
      </c>
      <c r="J3111" t="s">
        <v>1000</v>
      </c>
      <c r="K3111" t="s">
        <v>1313</v>
      </c>
      <c r="L3111" t="s">
        <v>1468</v>
      </c>
      <c r="M3111" t="s">
        <v>15</v>
      </c>
      <c r="N3111" s="2">
        <v>0</v>
      </c>
      <c r="O3111" s="2">
        <v>7000</v>
      </c>
      <c r="P3111" s="2">
        <v>-4957</v>
      </c>
      <c r="Q3111" s="2">
        <v>2043</v>
      </c>
      <c r="R3111" s="2">
        <v>0</v>
      </c>
      <c r="S3111" s="2">
        <v>2043</v>
      </c>
      <c r="T3111" s="2">
        <v>2043</v>
      </c>
      <c r="U3111" s="2">
        <v>0</v>
      </c>
      <c r="V3111" s="2">
        <v>0</v>
      </c>
      <c r="W3111" s="2">
        <v>0</v>
      </c>
    </row>
    <row r="3112" spans="1:23" outlineLevel="2" x14ac:dyDescent="0.2">
      <c r="A3112" t="s">
        <v>999</v>
      </c>
      <c r="B3112" t="s">
        <v>1</v>
      </c>
      <c r="C3112" t="s">
        <v>91</v>
      </c>
      <c r="D3112" t="s">
        <v>92</v>
      </c>
      <c r="E3112" t="s">
        <v>93</v>
      </c>
      <c r="F3112" t="s">
        <v>911</v>
      </c>
      <c r="G3112" t="s">
        <v>912</v>
      </c>
      <c r="H3112" t="s">
        <v>920</v>
      </c>
      <c r="I3112" t="s">
        <v>921</v>
      </c>
      <c r="J3112" t="s">
        <v>1000</v>
      </c>
      <c r="K3112" t="s">
        <v>1313</v>
      </c>
      <c r="L3112" t="s">
        <v>1468</v>
      </c>
      <c r="M3112" t="s">
        <v>12</v>
      </c>
      <c r="N3112" s="2">
        <v>0</v>
      </c>
      <c r="O3112" s="2">
        <v>0</v>
      </c>
      <c r="P3112" s="2">
        <v>4957</v>
      </c>
      <c r="Q3112" s="2">
        <v>4957</v>
      </c>
      <c r="R3112" s="2">
        <v>0</v>
      </c>
      <c r="S3112" s="2">
        <v>0</v>
      </c>
      <c r="T3112" s="2">
        <v>0</v>
      </c>
      <c r="U3112" s="2">
        <v>4957</v>
      </c>
      <c r="V3112" s="2">
        <v>4957</v>
      </c>
      <c r="W3112" s="2">
        <v>4957</v>
      </c>
    </row>
    <row r="3113" spans="1:23" outlineLevel="2" x14ac:dyDescent="0.2">
      <c r="A3113" t="s">
        <v>999</v>
      </c>
      <c r="B3113" t="s">
        <v>1</v>
      </c>
      <c r="C3113" t="s">
        <v>91</v>
      </c>
      <c r="D3113" t="s">
        <v>92</v>
      </c>
      <c r="E3113" t="s">
        <v>93</v>
      </c>
      <c r="F3113" t="s">
        <v>911</v>
      </c>
      <c r="G3113" t="s">
        <v>912</v>
      </c>
      <c r="H3113" t="s">
        <v>920</v>
      </c>
      <c r="I3113" t="s">
        <v>921</v>
      </c>
      <c r="J3113" t="s">
        <v>1000</v>
      </c>
      <c r="K3113" t="s">
        <v>1118</v>
      </c>
      <c r="L3113" t="s">
        <v>1469</v>
      </c>
      <c r="M3113" t="s">
        <v>12</v>
      </c>
      <c r="N3113" s="2">
        <v>0</v>
      </c>
      <c r="O3113" s="2">
        <v>0</v>
      </c>
      <c r="P3113" s="2">
        <v>2195.5300000000002</v>
      </c>
      <c r="Q3113" s="2">
        <v>2195.5300000000002</v>
      </c>
      <c r="R3113" s="2">
        <v>0</v>
      </c>
      <c r="S3113" s="2">
        <v>0</v>
      </c>
      <c r="T3113" s="2">
        <v>0</v>
      </c>
      <c r="U3113" s="2">
        <v>2195.5300000000002</v>
      </c>
      <c r="V3113" s="2">
        <v>2195.5300000000002</v>
      </c>
      <c r="W3113" s="2">
        <v>2195.5300000000002</v>
      </c>
    </row>
    <row r="3114" spans="1:23" outlineLevel="2" x14ac:dyDescent="0.2">
      <c r="A3114" t="s">
        <v>999</v>
      </c>
      <c r="B3114" t="s">
        <v>1</v>
      </c>
      <c r="C3114" t="s">
        <v>91</v>
      </c>
      <c r="D3114" t="s">
        <v>92</v>
      </c>
      <c r="E3114" t="s">
        <v>93</v>
      </c>
      <c r="F3114" t="s">
        <v>911</v>
      </c>
      <c r="G3114" t="s">
        <v>912</v>
      </c>
      <c r="H3114" t="s">
        <v>920</v>
      </c>
      <c r="I3114" t="s">
        <v>921</v>
      </c>
      <c r="J3114" t="s">
        <v>1000</v>
      </c>
      <c r="K3114" t="s">
        <v>1118</v>
      </c>
      <c r="L3114" t="s">
        <v>1469</v>
      </c>
      <c r="M3114" t="s">
        <v>15</v>
      </c>
      <c r="N3114" s="2">
        <v>0</v>
      </c>
      <c r="O3114" s="2">
        <v>2195.5300000000002</v>
      </c>
      <c r="P3114" s="2">
        <v>-2195.5300000000002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</row>
    <row r="3115" spans="1:23" outlineLevel="2" x14ac:dyDescent="0.2">
      <c r="A3115" t="s">
        <v>999</v>
      </c>
      <c r="B3115" t="s">
        <v>1</v>
      </c>
      <c r="C3115" t="s">
        <v>99</v>
      </c>
      <c r="D3115" t="s">
        <v>100</v>
      </c>
      <c r="E3115" t="s">
        <v>101</v>
      </c>
      <c r="F3115" t="s">
        <v>911</v>
      </c>
      <c r="G3115" t="s">
        <v>912</v>
      </c>
      <c r="H3115" t="s">
        <v>1470</v>
      </c>
      <c r="I3115" t="s">
        <v>1471</v>
      </c>
      <c r="J3115" t="s">
        <v>1000</v>
      </c>
      <c r="K3115" t="s">
        <v>1104</v>
      </c>
      <c r="L3115" t="s">
        <v>1472</v>
      </c>
      <c r="M3115" t="s">
        <v>15</v>
      </c>
      <c r="N3115" s="2">
        <v>0</v>
      </c>
      <c r="O3115" s="2">
        <v>1344</v>
      </c>
      <c r="P3115" s="2">
        <v>0</v>
      </c>
      <c r="Q3115" s="2">
        <v>1344</v>
      </c>
      <c r="R3115" s="2">
        <v>0</v>
      </c>
      <c r="S3115" s="2">
        <v>1344</v>
      </c>
      <c r="T3115" s="2">
        <v>0</v>
      </c>
      <c r="U3115" s="2">
        <v>0</v>
      </c>
      <c r="V3115" s="2">
        <v>1344</v>
      </c>
      <c r="W3115" s="2">
        <v>0</v>
      </c>
    </row>
    <row r="3116" spans="1:23" outlineLevel="2" x14ac:dyDescent="0.2">
      <c r="A3116" t="s">
        <v>999</v>
      </c>
      <c r="B3116" t="s">
        <v>1</v>
      </c>
      <c r="C3116" t="s">
        <v>99</v>
      </c>
      <c r="D3116" t="s">
        <v>100</v>
      </c>
      <c r="E3116" t="s">
        <v>101</v>
      </c>
      <c r="F3116" t="s">
        <v>911</v>
      </c>
      <c r="G3116" t="s">
        <v>912</v>
      </c>
      <c r="H3116" t="s">
        <v>1470</v>
      </c>
      <c r="I3116" t="s">
        <v>1471</v>
      </c>
      <c r="J3116" t="s">
        <v>1000</v>
      </c>
      <c r="K3116" t="s">
        <v>1058</v>
      </c>
      <c r="L3116" t="s">
        <v>1473</v>
      </c>
      <c r="M3116" t="s">
        <v>15</v>
      </c>
      <c r="N3116" s="2">
        <v>2843600</v>
      </c>
      <c r="O3116" s="2">
        <v>35600</v>
      </c>
      <c r="P3116" s="2">
        <v>-410124.14</v>
      </c>
      <c r="Q3116" s="2">
        <v>2469075.86</v>
      </c>
      <c r="R3116" s="2">
        <v>16032.18</v>
      </c>
      <c r="S3116" s="2">
        <v>2453043.6800000002</v>
      </c>
      <c r="T3116" s="2">
        <v>1200125.05</v>
      </c>
      <c r="U3116" s="2">
        <v>16032.18</v>
      </c>
      <c r="V3116" s="2">
        <v>1268950.81</v>
      </c>
      <c r="W3116" s="2">
        <v>0</v>
      </c>
    </row>
    <row r="3117" spans="1:23" outlineLevel="2" x14ac:dyDescent="0.2">
      <c r="A3117" t="s">
        <v>999</v>
      </c>
      <c r="B3117" t="s">
        <v>1</v>
      </c>
      <c r="C3117" t="s">
        <v>99</v>
      </c>
      <c r="D3117" t="s">
        <v>100</v>
      </c>
      <c r="E3117" t="s">
        <v>101</v>
      </c>
      <c r="F3117" t="s">
        <v>911</v>
      </c>
      <c r="G3117" t="s">
        <v>912</v>
      </c>
      <c r="H3117" t="s">
        <v>1470</v>
      </c>
      <c r="I3117" t="s">
        <v>1471</v>
      </c>
      <c r="J3117" t="s">
        <v>1000</v>
      </c>
      <c r="K3117" t="s">
        <v>1058</v>
      </c>
      <c r="L3117" t="s">
        <v>1473</v>
      </c>
      <c r="M3117" t="s">
        <v>12</v>
      </c>
      <c r="N3117" s="2">
        <v>0</v>
      </c>
      <c r="O3117" s="2">
        <v>0</v>
      </c>
      <c r="P3117" s="2">
        <v>204988.14</v>
      </c>
      <c r="Q3117" s="2">
        <v>204988.14</v>
      </c>
      <c r="R3117" s="2">
        <v>0</v>
      </c>
      <c r="S3117" s="2">
        <v>0</v>
      </c>
      <c r="T3117" s="2">
        <v>0</v>
      </c>
      <c r="U3117" s="2">
        <v>204988.14</v>
      </c>
      <c r="V3117" s="2">
        <v>204988.14</v>
      </c>
      <c r="W3117" s="2">
        <v>204988.14</v>
      </c>
    </row>
    <row r="3118" spans="1:23" outlineLevel="2" x14ac:dyDescent="0.2">
      <c r="A3118" t="s">
        <v>999</v>
      </c>
      <c r="B3118" t="s">
        <v>1</v>
      </c>
      <c r="C3118" t="s">
        <v>99</v>
      </c>
      <c r="D3118" t="s">
        <v>100</v>
      </c>
      <c r="E3118" t="s">
        <v>101</v>
      </c>
      <c r="F3118" t="s">
        <v>911</v>
      </c>
      <c r="G3118" t="s">
        <v>912</v>
      </c>
      <c r="H3118" t="s">
        <v>1470</v>
      </c>
      <c r="I3118" t="s">
        <v>1471</v>
      </c>
      <c r="J3118" t="s">
        <v>1000</v>
      </c>
      <c r="K3118" t="s">
        <v>1445</v>
      </c>
      <c r="L3118" t="s">
        <v>1474</v>
      </c>
      <c r="M3118" t="s">
        <v>12</v>
      </c>
      <c r="N3118" s="2">
        <v>0</v>
      </c>
      <c r="O3118" s="2">
        <v>0</v>
      </c>
      <c r="P3118" s="2">
        <v>68</v>
      </c>
      <c r="Q3118" s="2">
        <v>68</v>
      </c>
      <c r="R3118" s="2">
        <v>0</v>
      </c>
      <c r="S3118" s="2">
        <v>0</v>
      </c>
      <c r="T3118" s="2">
        <v>0</v>
      </c>
      <c r="U3118" s="2">
        <v>68</v>
      </c>
      <c r="V3118" s="2">
        <v>68</v>
      </c>
      <c r="W3118" s="2">
        <v>68</v>
      </c>
    </row>
    <row r="3119" spans="1:23" outlineLevel="2" x14ac:dyDescent="0.2">
      <c r="A3119" t="s">
        <v>999</v>
      </c>
      <c r="B3119" t="s">
        <v>1</v>
      </c>
      <c r="C3119" t="s">
        <v>99</v>
      </c>
      <c r="D3119" t="s">
        <v>100</v>
      </c>
      <c r="E3119" t="s">
        <v>101</v>
      </c>
      <c r="F3119" t="s">
        <v>911</v>
      </c>
      <c r="G3119" t="s">
        <v>912</v>
      </c>
      <c r="H3119" t="s">
        <v>1470</v>
      </c>
      <c r="I3119" t="s">
        <v>1471</v>
      </c>
      <c r="J3119" t="s">
        <v>1000</v>
      </c>
      <c r="K3119" t="s">
        <v>1445</v>
      </c>
      <c r="L3119" t="s">
        <v>1474</v>
      </c>
      <c r="M3119" t="s">
        <v>15</v>
      </c>
      <c r="N3119" s="2">
        <v>600480</v>
      </c>
      <c r="O3119" s="2">
        <v>200000</v>
      </c>
      <c r="P3119" s="2">
        <v>-11995.04</v>
      </c>
      <c r="Q3119" s="2">
        <v>788484.96</v>
      </c>
      <c r="R3119" s="2">
        <v>47.99</v>
      </c>
      <c r="S3119" s="2">
        <v>788436.97</v>
      </c>
      <c r="T3119" s="2">
        <v>514411.51</v>
      </c>
      <c r="U3119" s="2">
        <v>47.99</v>
      </c>
      <c r="V3119" s="2">
        <v>274073.45</v>
      </c>
      <c r="W3119" s="2">
        <v>0</v>
      </c>
    </row>
    <row r="3120" spans="1:23" outlineLevel="2" x14ac:dyDescent="0.2">
      <c r="A3120" t="s">
        <v>999</v>
      </c>
      <c r="B3120" t="s">
        <v>1</v>
      </c>
      <c r="C3120" t="s">
        <v>99</v>
      </c>
      <c r="D3120" t="s">
        <v>100</v>
      </c>
      <c r="E3120" t="s">
        <v>101</v>
      </c>
      <c r="F3120" t="s">
        <v>911</v>
      </c>
      <c r="G3120" t="s">
        <v>912</v>
      </c>
      <c r="H3120" t="s">
        <v>1470</v>
      </c>
      <c r="I3120" t="s">
        <v>1471</v>
      </c>
      <c r="J3120" t="s">
        <v>1000</v>
      </c>
      <c r="K3120" t="s">
        <v>1475</v>
      </c>
      <c r="L3120" t="s">
        <v>1476</v>
      </c>
      <c r="M3120" t="s">
        <v>15</v>
      </c>
      <c r="N3120" s="2">
        <v>40064</v>
      </c>
      <c r="O3120" s="2">
        <v>0</v>
      </c>
      <c r="P3120" s="2">
        <v>-2688</v>
      </c>
      <c r="Q3120" s="2">
        <v>37376</v>
      </c>
      <c r="R3120" s="2">
        <v>12.8</v>
      </c>
      <c r="S3120" s="2">
        <v>37363.199999999997</v>
      </c>
      <c r="T3120" s="2">
        <v>28083.23</v>
      </c>
      <c r="U3120" s="2">
        <v>12.8</v>
      </c>
      <c r="V3120" s="2">
        <v>9292.77</v>
      </c>
      <c r="W3120" s="2">
        <v>0</v>
      </c>
    </row>
    <row r="3121" spans="1:23" outlineLevel="2" x14ac:dyDescent="0.2">
      <c r="A3121" t="s">
        <v>999</v>
      </c>
      <c r="B3121" t="s">
        <v>1</v>
      </c>
      <c r="C3121" t="s">
        <v>99</v>
      </c>
      <c r="D3121" t="s">
        <v>100</v>
      </c>
      <c r="E3121" t="s">
        <v>101</v>
      </c>
      <c r="F3121" t="s">
        <v>911</v>
      </c>
      <c r="G3121" t="s">
        <v>912</v>
      </c>
      <c r="H3121" t="s">
        <v>1470</v>
      </c>
      <c r="I3121" t="s">
        <v>1471</v>
      </c>
      <c r="J3121" t="s">
        <v>1000</v>
      </c>
      <c r="K3121" t="s">
        <v>1088</v>
      </c>
      <c r="L3121" t="s">
        <v>1477</v>
      </c>
      <c r="M3121" t="s">
        <v>15</v>
      </c>
      <c r="N3121" s="2">
        <v>370000</v>
      </c>
      <c r="O3121" s="2">
        <v>-235600</v>
      </c>
      <c r="P3121" s="2">
        <v>0</v>
      </c>
      <c r="Q3121" s="2">
        <v>134400</v>
      </c>
      <c r="R3121" s="2">
        <v>0</v>
      </c>
      <c r="S3121" s="2">
        <v>134400</v>
      </c>
      <c r="T3121" s="2">
        <v>16803.36</v>
      </c>
      <c r="U3121" s="2">
        <v>0</v>
      </c>
      <c r="V3121" s="2">
        <v>117596.64</v>
      </c>
      <c r="W3121" s="2">
        <v>0</v>
      </c>
    </row>
    <row r="3122" spans="1:23" outlineLevel="2" x14ac:dyDescent="0.2">
      <c r="A3122" t="s">
        <v>999</v>
      </c>
      <c r="B3122" t="s">
        <v>1</v>
      </c>
      <c r="C3122" t="s">
        <v>99</v>
      </c>
      <c r="D3122" t="s">
        <v>100</v>
      </c>
      <c r="E3122" t="s">
        <v>101</v>
      </c>
      <c r="F3122" t="s">
        <v>911</v>
      </c>
      <c r="G3122" t="s">
        <v>912</v>
      </c>
      <c r="H3122" t="s">
        <v>1470</v>
      </c>
      <c r="I3122" t="s">
        <v>1471</v>
      </c>
      <c r="J3122" t="s">
        <v>1000</v>
      </c>
      <c r="K3122" t="s">
        <v>1009</v>
      </c>
      <c r="L3122" t="s">
        <v>1478</v>
      </c>
      <c r="M3122" t="s">
        <v>12</v>
      </c>
      <c r="N3122" s="2">
        <v>0</v>
      </c>
      <c r="O3122" s="2">
        <v>0</v>
      </c>
      <c r="P3122" s="2">
        <v>11200</v>
      </c>
      <c r="Q3122" s="2">
        <v>11200</v>
      </c>
      <c r="R3122" s="2">
        <v>0</v>
      </c>
      <c r="S3122" s="2">
        <v>0</v>
      </c>
      <c r="T3122" s="2">
        <v>0</v>
      </c>
      <c r="U3122" s="2">
        <v>11200</v>
      </c>
      <c r="V3122" s="2">
        <v>11200</v>
      </c>
      <c r="W3122" s="2">
        <v>11200</v>
      </c>
    </row>
    <row r="3123" spans="1:23" outlineLevel="2" x14ac:dyDescent="0.2">
      <c r="A3123" t="s">
        <v>999</v>
      </c>
      <c r="B3123" t="s">
        <v>1</v>
      </c>
      <c r="C3123" t="s">
        <v>99</v>
      </c>
      <c r="D3123" t="s">
        <v>100</v>
      </c>
      <c r="E3123" t="s">
        <v>101</v>
      </c>
      <c r="F3123" t="s">
        <v>911</v>
      </c>
      <c r="G3123" t="s">
        <v>912</v>
      </c>
      <c r="H3123" t="s">
        <v>1470</v>
      </c>
      <c r="I3123" t="s">
        <v>1471</v>
      </c>
      <c r="J3123" t="s">
        <v>1000</v>
      </c>
      <c r="K3123" t="s">
        <v>1009</v>
      </c>
      <c r="L3123" t="s">
        <v>1478</v>
      </c>
      <c r="M3123" t="s">
        <v>15</v>
      </c>
      <c r="N3123" s="2">
        <v>11200</v>
      </c>
      <c r="O3123" s="2">
        <v>0</v>
      </c>
      <c r="P3123" s="2">
        <v>-11200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</row>
    <row r="3124" spans="1:23" outlineLevel="2" x14ac:dyDescent="0.2">
      <c r="A3124" t="s">
        <v>999</v>
      </c>
      <c r="B3124" t="s">
        <v>1</v>
      </c>
      <c r="C3124" t="s">
        <v>99</v>
      </c>
      <c r="D3124" t="s">
        <v>100</v>
      </c>
      <c r="E3124" t="s">
        <v>101</v>
      </c>
      <c r="F3124" t="s">
        <v>911</v>
      </c>
      <c r="G3124" t="s">
        <v>912</v>
      </c>
      <c r="H3124" t="s">
        <v>1470</v>
      </c>
      <c r="I3124" t="s">
        <v>1471</v>
      </c>
      <c r="J3124" t="s">
        <v>1000</v>
      </c>
      <c r="K3124" t="s">
        <v>1029</v>
      </c>
      <c r="L3124" t="s">
        <v>1479</v>
      </c>
      <c r="M3124" t="s">
        <v>15</v>
      </c>
      <c r="N3124" s="2">
        <v>100000</v>
      </c>
      <c r="O3124" s="2">
        <v>0</v>
      </c>
      <c r="P3124" s="2">
        <v>-100000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</row>
    <row r="3125" spans="1:23" outlineLevel="2" x14ac:dyDescent="0.2">
      <c r="A3125" t="s">
        <v>999</v>
      </c>
      <c r="B3125" t="s">
        <v>1</v>
      </c>
      <c r="C3125" t="s">
        <v>99</v>
      </c>
      <c r="D3125" t="s">
        <v>100</v>
      </c>
      <c r="E3125" t="s">
        <v>101</v>
      </c>
      <c r="F3125" t="s">
        <v>911</v>
      </c>
      <c r="G3125" t="s">
        <v>912</v>
      </c>
      <c r="H3125" t="s">
        <v>1470</v>
      </c>
      <c r="I3125" t="s">
        <v>1471</v>
      </c>
      <c r="J3125" t="s">
        <v>1000</v>
      </c>
      <c r="K3125" t="s">
        <v>1029</v>
      </c>
      <c r="L3125" t="s">
        <v>1479</v>
      </c>
      <c r="M3125" t="s">
        <v>12</v>
      </c>
      <c r="N3125" s="2">
        <v>0</v>
      </c>
      <c r="O3125" s="2">
        <v>0</v>
      </c>
      <c r="P3125" s="2">
        <v>36400</v>
      </c>
      <c r="Q3125" s="2">
        <v>36400</v>
      </c>
      <c r="R3125" s="2">
        <v>0</v>
      </c>
      <c r="S3125" s="2">
        <v>0</v>
      </c>
      <c r="T3125" s="2">
        <v>0</v>
      </c>
      <c r="U3125" s="2">
        <v>36400</v>
      </c>
      <c r="V3125" s="2">
        <v>36400</v>
      </c>
      <c r="W3125" s="2">
        <v>36400</v>
      </c>
    </row>
    <row r="3126" spans="1:23" outlineLevel="2" x14ac:dyDescent="0.2">
      <c r="A3126" t="s">
        <v>999</v>
      </c>
      <c r="B3126" t="s">
        <v>1</v>
      </c>
      <c r="C3126" t="s">
        <v>99</v>
      </c>
      <c r="D3126" t="s">
        <v>100</v>
      </c>
      <c r="E3126" t="s">
        <v>101</v>
      </c>
      <c r="F3126" t="s">
        <v>911</v>
      </c>
      <c r="G3126" t="s">
        <v>912</v>
      </c>
      <c r="H3126" t="s">
        <v>1470</v>
      </c>
      <c r="I3126" t="s">
        <v>1471</v>
      </c>
      <c r="J3126" t="s">
        <v>1000</v>
      </c>
      <c r="K3126" t="s">
        <v>1031</v>
      </c>
      <c r="L3126" t="s">
        <v>1480</v>
      </c>
      <c r="M3126" t="s">
        <v>15</v>
      </c>
      <c r="N3126" s="2">
        <v>800</v>
      </c>
      <c r="O3126" s="2">
        <v>0</v>
      </c>
      <c r="P3126" s="2">
        <v>-800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</row>
    <row r="3127" spans="1:23" outlineLevel="2" x14ac:dyDescent="0.2">
      <c r="A3127" t="s">
        <v>999</v>
      </c>
      <c r="B3127" t="s">
        <v>1</v>
      </c>
      <c r="C3127" t="s">
        <v>44</v>
      </c>
      <c r="D3127" t="s">
        <v>1481</v>
      </c>
      <c r="E3127" t="s">
        <v>1482</v>
      </c>
      <c r="F3127" t="s">
        <v>911</v>
      </c>
      <c r="G3127" t="s">
        <v>912</v>
      </c>
      <c r="H3127" t="s">
        <v>1483</v>
      </c>
      <c r="I3127" t="s">
        <v>1484</v>
      </c>
      <c r="J3127" t="s">
        <v>1000</v>
      </c>
      <c r="K3127" t="s">
        <v>1267</v>
      </c>
      <c r="L3127" t="s">
        <v>1485</v>
      </c>
      <c r="M3127" t="s">
        <v>15</v>
      </c>
      <c r="N3127" s="2">
        <v>210528.03</v>
      </c>
      <c r="O3127" s="2">
        <v>0</v>
      </c>
      <c r="P3127" s="2">
        <v>-206478.03</v>
      </c>
      <c r="Q3127" s="2">
        <v>4050</v>
      </c>
      <c r="R3127" s="2">
        <v>0</v>
      </c>
      <c r="S3127" s="2">
        <v>4050</v>
      </c>
      <c r="T3127" s="2">
        <v>4050</v>
      </c>
      <c r="U3127" s="2">
        <v>0</v>
      </c>
      <c r="V3127" s="2">
        <v>0</v>
      </c>
      <c r="W3127" s="2">
        <v>0</v>
      </c>
    </row>
    <row r="3128" spans="1:23" outlineLevel="2" x14ac:dyDescent="0.2">
      <c r="A3128" t="s">
        <v>999</v>
      </c>
      <c r="B3128" t="s">
        <v>1</v>
      </c>
      <c r="C3128" t="s">
        <v>44</v>
      </c>
      <c r="D3128" t="s">
        <v>45</v>
      </c>
      <c r="E3128" t="s">
        <v>46</v>
      </c>
      <c r="F3128" t="s">
        <v>911</v>
      </c>
      <c r="G3128" t="s">
        <v>912</v>
      </c>
      <c r="H3128" t="s">
        <v>1486</v>
      </c>
      <c r="I3128" t="s">
        <v>1487</v>
      </c>
      <c r="J3128" t="s">
        <v>1000</v>
      </c>
      <c r="K3128" t="s">
        <v>1017</v>
      </c>
      <c r="L3128" t="s">
        <v>1488</v>
      </c>
      <c r="M3128" t="s">
        <v>15</v>
      </c>
      <c r="N3128" s="2">
        <v>20000</v>
      </c>
      <c r="O3128" s="2">
        <v>-140</v>
      </c>
      <c r="P3128" s="2">
        <v>-19860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</row>
    <row r="3129" spans="1:23" outlineLevel="2" x14ac:dyDescent="0.2">
      <c r="A3129" t="s">
        <v>999</v>
      </c>
      <c r="B3129" t="s">
        <v>1</v>
      </c>
      <c r="C3129" t="s">
        <v>44</v>
      </c>
      <c r="D3129" t="s">
        <v>45</v>
      </c>
      <c r="E3129" t="s">
        <v>46</v>
      </c>
      <c r="F3129" t="s">
        <v>911</v>
      </c>
      <c r="G3129" t="s">
        <v>912</v>
      </c>
      <c r="H3129" t="s">
        <v>1489</v>
      </c>
      <c r="I3129" t="s">
        <v>1490</v>
      </c>
      <c r="J3129" t="s">
        <v>1000</v>
      </c>
      <c r="K3129" t="s">
        <v>1013</v>
      </c>
      <c r="L3129" t="s">
        <v>1491</v>
      </c>
      <c r="M3129" t="s">
        <v>15</v>
      </c>
      <c r="N3129" s="2">
        <v>60000</v>
      </c>
      <c r="O3129" s="2">
        <v>0</v>
      </c>
      <c r="P3129" s="2">
        <v>-60000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</row>
    <row r="3130" spans="1:23" outlineLevel="2" x14ac:dyDescent="0.2">
      <c r="A3130" t="s">
        <v>999</v>
      </c>
      <c r="B3130" t="s">
        <v>1</v>
      </c>
      <c r="C3130" t="s">
        <v>44</v>
      </c>
      <c r="D3130" t="s">
        <v>45</v>
      </c>
      <c r="E3130" t="s">
        <v>46</v>
      </c>
      <c r="F3130" t="s">
        <v>911</v>
      </c>
      <c r="G3130" t="s">
        <v>912</v>
      </c>
      <c r="H3130" t="s">
        <v>1492</v>
      </c>
      <c r="I3130" t="s">
        <v>1493</v>
      </c>
      <c r="J3130" t="s">
        <v>1000</v>
      </c>
      <c r="K3130" t="s">
        <v>1013</v>
      </c>
      <c r="L3130" t="s">
        <v>1491</v>
      </c>
      <c r="M3130" t="s">
        <v>15</v>
      </c>
      <c r="N3130" s="2">
        <v>40000</v>
      </c>
      <c r="O3130" s="2">
        <v>0</v>
      </c>
      <c r="P3130" s="2">
        <v>-40000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</row>
    <row r="3131" spans="1:23" outlineLevel="2" x14ac:dyDescent="0.2">
      <c r="A3131" t="s">
        <v>999</v>
      </c>
      <c r="B3131" t="s">
        <v>1</v>
      </c>
      <c r="C3131" t="s">
        <v>44</v>
      </c>
      <c r="D3131" t="s">
        <v>45</v>
      </c>
      <c r="E3131" t="s">
        <v>46</v>
      </c>
      <c r="F3131" t="s">
        <v>911</v>
      </c>
      <c r="G3131" t="s">
        <v>912</v>
      </c>
      <c r="H3131" t="s">
        <v>1494</v>
      </c>
      <c r="I3131" t="s">
        <v>1495</v>
      </c>
      <c r="J3131" t="s">
        <v>1000</v>
      </c>
      <c r="K3131" t="s">
        <v>1031</v>
      </c>
      <c r="L3131" t="s">
        <v>1496</v>
      </c>
      <c r="M3131" t="s">
        <v>15</v>
      </c>
      <c r="N3131" s="2">
        <v>0</v>
      </c>
      <c r="O3131" s="2">
        <v>140</v>
      </c>
      <c r="P3131" s="2">
        <v>-16.64</v>
      </c>
      <c r="Q3131" s="2">
        <v>123.36</v>
      </c>
      <c r="R3131" s="2">
        <v>0</v>
      </c>
      <c r="S3131" s="2">
        <v>123.36</v>
      </c>
      <c r="T3131" s="2">
        <v>123.36</v>
      </c>
      <c r="U3131" s="2">
        <v>0</v>
      </c>
      <c r="V3131" s="2">
        <v>0</v>
      </c>
      <c r="W3131" s="2">
        <v>0</v>
      </c>
    </row>
    <row r="3132" spans="1:23" outlineLevel="2" x14ac:dyDescent="0.2">
      <c r="A3132" t="s">
        <v>999</v>
      </c>
      <c r="B3132" t="s">
        <v>1</v>
      </c>
      <c r="C3132" t="s">
        <v>16</v>
      </c>
      <c r="D3132" t="s">
        <v>64</v>
      </c>
      <c r="E3132" t="s">
        <v>65</v>
      </c>
      <c r="F3132" t="s">
        <v>911</v>
      </c>
      <c r="G3132" t="s">
        <v>912</v>
      </c>
      <c r="H3132" t="s">
        <v>1497</v>
      </c>
      <c r="I3132" t="s">
        <v>1498</v>
      </c>
      <c r="J3132" t="s">
        <v>1000</v>
      </c>
      <c r="K3132" t="s">
        <v>1037</v>
      </c>
      <c r="L3132" t="s">
        <v>1499</v>
      </c>
      <c r="M3132" t="s">
        <v>15</v>
      </c>
      <c r="N3132" s="2">
        <v>38630.15</v>
      </c>
      <c r="O3132" s="2">
        <v>-22400</v>
      </c>
      <c r="P3132" s="2">
        <v>-16230.15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</row>
    <row r="3133" spans="1:23" outlineLevel="2" x14ac:dyDescent="0.2">
      <c r="A3133" t="s">
        <v>999</v>
      </c>
      <c r="B3133" t="s">
        <v>1</v>
      </c>
      <c r="C3133" t="s">
        <v>16</v>
      </c>
      <c r="D3133" t="s">
        <v>64</v>
      </c>
      <c r="E3133" t="s">
        <v>65</v>
      </c>
      <c r="F3133" t="s">
        <v>911</v>
      </c>
      <c r="G3133" t="s">
        <v>912</v>
      </c>
      <c r="H3133" t="s">
        <v>1497</v>
      </c>
      <c r="I3133" t="s">
        <v>1498</v>
      </c>
      <c r="J3133" t="s">
        <v>1000</v>
      </c>
      <c r="K3133" t="s">
        <v>1015</v>
      </c>
      <c r="L3133" t="s">
        <v>1500</v>
      </c>
      <c r="M3133" t="s">
        <v>15</v>
      </c>
      <c r="N3133" s="2">
        <v>0</v>
      </c>
      <c r="O3133" s="2">
        <v>44800</v>
      </c>
      <c r="P3133" s="2">
        <v>-44800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</row>
    <row r="3134" spans="1:23" outlineLevel="2" x14ac:dyDescent="0.2">
      <c r="A3134" t="s">
        <v>999</v>
      </c>
      <c r="B3134" t="s">
        <v>1</v>
      </c>
      <c r="C3134" t="s">
        <v>16</v>
      </c>
      <c r="D3134" t="s">
        <v>64</v>
      </c>
      <c r="E3134" t="s">
        <v>65</v>
      </c>
      <c r="F3134" t="s">
        <v>911</v>
      </c>
      <c r="G3134" t="s">
        <v>912</v>
      </c>
      <c r="H3134" t="s">
        <v>1497</v>
      </c>
      <c r="I3134" t="s">
        <v>1498</v>
      </c>
      <c r="J3134" t="s">
        <v>1000</v>
      </c>
      <c r="K3134" t="s">
        <v>1078</v>
      </c>
      <c r="L3134" t="s">
        <v>1501</v>
      </c>
      <c r="M3134" t="s">
        <v>15</v>
      </c>
      <c r="N3134" s="2">
        <v>38630.14</v>
      </c>
      <c r="O3134" s="2">
        <v>-22400</v>
      </c>
      <c r="P3134" s="2">
        <v>-16230.14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</row>
    <row r="3135" spans="1:23" outlineLevel="2" x14ac:dyDescent="0.2">
      <c r="A3135" t="s">
        <v>999</v>
      </c>
      <c r="B3135" t="s">
        <v>1</v>
      </c>
      <c r="C3135" t="s">
        <v>16</v>
      </c>
      <c r="D3135" t="s">
        <v>62</v>
      </c>
      <c r="E3135" t="s">
        <v>63</v>
      </c>
      <c r="F3135" t="s">
        <v>911</v>
      </c>
      <c r="G3135" t="s">
        <v>912</v>
      </c>
      <c r="H3135" t="s">
        <v>1502</v>
      </c>
      <c r="I3135" t="s">
        <v>1503</v>
      </c>
      <c r="J3135" t="s">
        <v>1000</v>
      </c>
      <c r="K3135" t="s">
        <v>1037</v>
      </c>
      <c r="L3135" t="s">
        <v>1499</v>
      </c>
      <c r="M3135" t="s">
        <v>15</v>
      </c>
      <c r="N3135" s="2">
        <v>14000</v>
      </c>
      <c r="O3135" s="2">
        <v>19600</v>
      </c>
      <c r="P3135" s="2">
        <v>-33600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2">
        <v>0</v>
      </c>
    </row>
    <row r="3136" spans="1:23" outlineLevel="2" x14ac:dyDescent="0.2">
      <c r="A3136" t="s">
        <v>999</v>
      </c>
      <c r="B3136" t="s">
        <v>1</v>
      </c>
      <c r="C3136" t="s">
        <v>16</v>
      </c>
      <c r="D3136" t="s">
        <v>62</v>
      </c>
      <c r="E3136" t="s">
        <v>63</v>
      </c>
      <c r="F3136" t="s">
        <v>911</v>
      </c>
      <c r="G3136" t="s">
        <v>912</v>
      </c>
      <c r="H3136" t="s">
        <v>1502</v>
      </c>
      <c r="I3136" t="s">
        <v>1503</v>
      </c>
      <c r="J3136" t="s">
        <v>1000</v>
      </c>
      <c r="K3136" t="s">
        <v>1058</v>
      </c>
      <c r="L3136" t="s">
        <v>1504</v>
      </c>
      <c r="M3136" t="s">
        <v>15</v>
      </c>
      <c r="N3136" s="2">
        <v>0</v>
      </c>
      <c r="O3136" s="2">
        <v>58240</v>
      </c>
      <c r="P3136" s="2">
        <v>-58240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</row>
    <row r="3137" spans="1:23" outlineLevel="2" x14ac:dyDescent="0.2">
      <c r="A3137" t="s">
        <v>999</v>
      </c>
      <c r="B3137" t="s">
        <v>1</v>
      </c>
      <c r="C3137" t="s">
        <v>16</v>
      </c>
      <c r="D3137" t="s">
        <v>62</v>
      </c>
      <c r="E3137" t="s">
        <v>63</v>
      </c>
      <c r="F3137" t="s">
        <v>911</v>
      </c>
      <c r="G3137" t="s">
        <v>912</v>
      </c>
      <c r="H3137" t="s">
        <v>1502</v>
      </c>
      <c r="I3137" t="s">
        <v>1503</v>
      </c>
      <c r="J3137" t="s">
        <v>1000</v>
      </c>
      <c r="K3137" t="s">
        <v>1175</v>
      </c>
      <c r="L3137" t="s">
        <v>1505</v>
      </c>
      <c r="M3137" t="s">
        <v>15</v>
      </c>
      <c r="N3137" s="2">
        <v>21000</v>
      </c>
      <c r="O3137" s="2">
        <v>0</v>
      </c>
      <c r="P3137" s="2">
        <v>-21000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</row>
    <row r="3138" spans="1:23" outlineLevel="2" x14ac:dyDescent="0.2">
      <c r="A3138" t="s">
        <v>999</v>
      </c>
      <c r="B3138" t="s">
        <v>1</v>
      </c>
      <c r="C3138" t="s">
        <v>16</v>
      </c>
      <c r="D3138" t="s">
        <v>62</v>
      </c>
      <c r="E3138" t="s">
        <v>63</v>
      </c>
      <c r="F3138" t="s">
        <v>911</v>
      </c>
      <c r="G3138" t="s">
        <v>912</v>
      </c>
      <c r="H3138" t="s">
        <v>1502</v>
      </c>
      <c r="I3138" t="s">
        <v>1503</v>
      </c>
      <c r="J3138" t="s">
        <v>1000</v>
      </c>
      <c r="K3138" t="s">
        <v>1175</v>
      </c>
      <c r="L3138" t="s">
        <v>1505</v>
      </c>
      <c r="M3138" t="s">
        <v>12</v>
      </c>
      <c r="N3138" s="2">
        <v>0</v>
      </c>
      <c r="O3138" s="2">
        <v>0</v>
      </c>
      <c r="P3138" s="2">
        <v>21000</v>
      </c>
      <c r="Q3138" s="2">
        <v>21000</v>
      </c>
      <c r="R3138" s="2">
        <v>0</v>
      </c>
      <c r="S3138" s="2">
        <v>0</v>
      </c>
      <c r="T3138" s="2">
        <v>0</v>
      </c>
      <c r="U3138" s="2">
        <v>21000</v>
      </c>
      <c r="V3138" s="2">
        <v>21000</v>
      </c>
      <c r="W3138" s="2">
        <v>21000</v>
      </c>
    </row>
    <row r="3139" spans="1:23" outlineLevel="2" x14ac:dyDescent="0.2">
      <c r="A3139" t="s">
        <v>999</v>
      </c>
      <c r="B3139" t="s">
        <v>1</v>
      </c>
      <c r="C3139" t="s">
        <v>16</v>
      </c>
      <c r="D3139" t="s">
        <v>62</v>
      </c>
      <c r="E3139" t="s">
        <v>63</v>
      </c>
      <c r="F3139" t="s">
        <v>911</v>
      </c>
      <c r="G3139" t="s">
        <v>912</v>
      </c>
      <c r="H3139" t="s">
        <v>1502</v>
      </c>
      <c r="I3139" t="s">
        <v>1503</v>
      </c>
      <c r="J3139" t="s">
        <v>1000</v>
      </c>
      <c r="K3139" t="s">
        <v>1088</v>
      </c>
      <c r="L3139" t="s">
        <v>1506</v>
      </c>
      <c r="M3139" t="s">
        <v>15</v>
      </c>
      <c r="N3139" s="2">
        <v>122000</v>
      </c>
      <c r="O3139" s="2">
        <v>-77840</v>
      </c>
      <c r="P3139" s="2">
        <v>-38660</v>
      </c>
      <c r="Q3139" s="2">
        <v>5500</v>
      </c>
      <c r="R3139" s="2">
        <v>79.2</v>
      </c>
      <c r="S3139" s="2">
        <v>5420.8</v>
      </c>
      <c r="T3139" s="2">
        <v>5420.8</v>
      </c>
      <c r="U3139" s="2">
        <v>79.2</v>
      </c>
      <c r="V3139" s="2">
        <v>79.2</v>
      </c>
      <c r="W3139" s="2">
        <v>0</v>
      </c>
    </row>
    <row r="3140" spans="1:23" outlineLevel="2" x14ac:dyDescent="0.2">
      <c r="A3140" t="s">
        <v>999</v>
      </c>
      <c r="B3140" t="s">
        <v>1</v>
      </c>
      <c r="C3140" t="s">
        <v>16</v>
      </c>
      <c r="D3140" t="s">
        <v>62</v>
      </c>
      <c r="E3140" t="s">
        <v>63</v>
      </c>
      <c r="F3140" t="s">
        <v>911</v>
      </c>
      <c r="G3140" t="s">
        <v>912</v>
      </c>
      <c r="H3140" t="s">
        <v>1502</v>
      </c>
      <c r="I3140" t="s">
        <v>1503</v>
      </c>
      <c r="J3140" t="s">
        <v>1000</v>
      </c>
      <c r="K3140" t="s">
        <v>1088</v>
      </c>
      <c r="L3140" t="s">
        <v>1506</v>
      </c>
      <c r="M3140" t="s">
        <v>12</v>
      </c>
      <c r="N3140" s="2">
        <v>0</v>
      </c>
      <c r="O3140" s="2">
        <v>0</v>
      </c>
      <c r="P3140" s="2">
        <v>21280</v>
      </c>
      <c r="Q3140" s="2">
        <v>21280</v>
      </c>
      <c r="R3140" s="2">
        <v>0</v>
      </c>
      <c r="S3140" s="2">
        <v>0</v>
      </c>
      <c r="T3140" s="2">
        <v>0</v>
      </c>
      <c r="U3140" s="2">
        <v>21280</v>
      </c>
      <c r="V3140" s="2">
        <v>21280</v>
      </c>
      <c r="W3140" s="2">
        <v>21280</v>
      </c>
    </row>
    <row r="3141" spans="1:23" outlineLevel="2" x14ac:dyDescent="0.2">
      <c r="A3141" t="s">
        <v>999</v>
      </c>
      <c r="B3141" t="s">
        <v>1</v>
      </c>
      <c r="C3141" t="s">
        <v>16</v>
      </c>
      <c r="D3141" t="s">
        <v>62</v>
      </c>
      <c r="E3141" t="s">
        <v>63</v>
      </c>
      <c r="F3141" t="s">
        <v>911</v>
      </c>
      <c r="G3141" t="s">
        <v>912</v>
      </c>
      <c r="H3141" t="s">
        <v>1502</v>
      </c>
      <c r="I3141" t="s">
        <v>1503</v>
      </c>
      <c r="J3141" t="s">
        <v>1000</v>
      </c>
      <c r="K3141" t="s">
        <v>1507</v>
      </c>
      <c r="L3141" t="s">
        <v>1508</v>
      </c>
      <c r="M3141" t="s">
        <v>12</v>
      </c>
      <c r="N3141" s="2">
        <v>0</v>
      </c>
      <c r="O3141" s="2">
        <v>0</v>
      </c>
      <c r="P3141" s="2">
        <v>7800</v>
      </c>
      <c r="Q3141" s="2">
        <v>7800</v>
      </c>
      <c r="R3141" s="2">
        <v>0</v>
      </c>
      <c r="S3141" s="2">
        <v>0</v>
      </c>
      <c r="T3141" s="2">
        <v>0</v>
      </c>
      <c r="U3141" s="2">
        <v>7800</v>
      </c>
      <c r="V3141" s="2">
        <v>7800</v>
      </c>
      <c r="W3141" s="2">
        <v>7800</v>
      </c>
    </row>
    <row r="3142" spans="1:23" outlineLevel="2" x14ac:dyDescent="0.2">
      <c r="A3142" t="s">
        <v>999</v>
      </c>
      <c r="B3142" t="s">
        <v>1</v>
      </c>
      <c r="C3142" t="s">
        <v>16</v>
      </c>
      <c r="D3142" t="s">
        <v>62</v>
      </c>
      <c r="E3142" t="s">
        <v>63</v>
      </c>
      <c r="F3142" t="s">
        <v>911</v>
      </c>
      <c r="G3142" t="s">
        <v>912</v>
      </c>
      <c r="H3142" t="s">
        <v>1502</v>
      </c>
      <c r="I3142" t="s">
        <v>1503</v>
      </c>
      <c r="J3142" t="s">
        <v>1000</v>
      </c>
      <c r="K3142" t="s">
        <v>1507</v>
      </c>
      <c r="L3142" t="s">
        <v>1508</v>
      </c>
      <c r="M3142" t="s">
        <v>15</v>
      </c>
      <c r="N3142" s="2">
        <v>9000</v>
      </c>
      <c r="O3142" s="2">
        <v>0</v>
      </c>
      <c r="P3142" s="2">
        <v>-7800</v>
      </c>
      <c r="Q3142" s="2">
        <v>1200</v>
      </c>
      <c r="R3142" s="2">
        <v>93.24</v>
      </c>
      <c r="S3142" s="2">
        <v>506.76</v>
      </c>
      <c r="T3142" s="2">
        <v>0</v>
      </c>
      <c r="U3142" s="2">
        <v>693.24</v>
      </c>
      <c r="V3142" s="2">
        <v>1200</v>
      </c>
      <c r="W3142" s="2">
        <v>600</v>
      </c>
    </row>
    <row r="3143" spans="1:23" outlineLevel="2" x14ac:dyDescent="0.2">
      <c r="A3143" t="s">
        <v>999</v>
      </c>
      <c r="B3143" t="s">
        <v>1</v>
      </c>
      <c r="C3143" t="s">
        <v>2</v>
      </c>
      <c r="D3143" t="s">
        <v>630</v>
      </c>
      <c r="E3143" t="s">
        <v>631</v>
      </c>
      <c r="F3143" t="s">
        <v>911</v>
      </c>
      <c r="G3143" t="s">
        <v>912</v>
      </c>
      <c r="H3143" t="s">
        <v>1509</v>
      </c>
      <c r="I3143" t="s">
        <v>1510</v>
      </c>
      <c r="J3143" t="s">
        <v>1000</v>
      </c>
      <c r="K3143" t="s">
        <v>1017</v>
      </c>
      <c r="L3143" t="s">
        <v>1435</v>
      </c>
      <c r="M3143" t="s">
        <v>12</v>
      </c>
      <c r="N3143" s="2">
        <v>0</v>
      </c>
      <c r="O3143" s="2">
        <v>0</v>
      </c>
      <c r="P3143" s="2">
        <v>85000</v>
      </c>
      <c r="Q3143" s="2">
        <v>85000</v>
      </c>
      <c r="R3143" s="2">
        <v>0</v>
      </c>
      <c r="S3143" s="2">
        <v>0</v>
      </c>
      <c r="T3143" s="2">
        <v>0</v>
      </c>
      <c r="U3143" s="2">
        <v>85000</v>
      </c>
      <c r="V3143" s="2">
        <v>85000</v>
      </c>
      <c r="W3143" s="2">
        <v>85000</v>
      </c>
    </row>
    <row r="3144" spans="1:23" outlineLevel="2" x14ac:dyDescent="0.2">
      <c r="A3144" t="s">
        <v>999</v>
      </c>
      <c r="B3144" t="s">
        <v>1</v>
      </c>
      <c r="C3144" t="s">
        <v>2</v>
      </c>
      <c r="D3144" t="s">
        <v>630</v>
      </c>
      <c r="E3144" t="s">
        <v>631</v>
      </c>
      <c r="F3144" t="s">
        <v>911</v>
      </c>
      <c r="G3144" t="s">
        <v>912</v>
      </c>
      <c r="H3144" t="s">
        <v>1509</v>
      </c>
      <c r="I3144" t="s">
        <v>1510</v>
      </c>
      <c r="J3144" t="s">
        <v>1000</v>
      </c>
      <c r="K3144" t="s">
        <v>1017</v>
      </c>
      <c r="L3144" t="s">
        <v>1435</v>
      </c>
      <c r="M3144" t="s">
        <v>15</v>
      </c>
      <c r="N3144" s="2">
        <v>85000</v>
      </c>
      <c r="O3144" s="2">
        <v>0</v>
      </c>
      <c r="P3144" s="2">
        <v>-85000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</row>
    <row r="3145" spans="1:23" outlineLevel="2" x14ac:dyDescent="0.2">
      <c r="A3145" t="s">
        <v>999</v>
      </c>
      <c r="B3145" t="s">
        <v>1</v>
      </c>
      <c r="C3145" t="s">
        <v>2</v>
      </c>
      <c r="D3145" t="s">
        <v>630</v>
      </c>
      <c r="E3145" t="s">
        <v>631</v>
      </c>
      <c r="F3145" t="s">
        <v>911</v>
      </c>
      <c r="G3145" t="s">
        <v>912</v>
      </c>
      <c r="H3145" t="s">
        <v>1509</v>
      </c>
      <c r="I3145" t="s">
        <v>1510</v>
      </c>
      <c r="J3145" t="s">
        <v>1000</v>
      </c>
      <c r="K3145" t="s">
        <v>1327</v>
      </c>
      <c r="L3145" t="s">
        <v>1511</v>
      </c>
      <c r="M3145" t="s">
        <v>15</v>
      </c>
      <c r="N3145" s="2">
        <v>10000</v>
      </c>
      <c r="O3145" s="2">
        <v>0</v>
      </c>
      <c r="P3145" s="2">
        <v>-10000</v>
      </c>
      <c r="Q3145" s="2">
        <v>0</v>
      </c>
      <c r="R3145" s="2">
        <v>0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</row>
    <row r="3146" spans="1:23" outlineLevel="2" x14ac:dyDescent="0.2">
      <c r="A3146" t="s">
        <v>999</v>
      </c>
      <c r="B3146" t="s">
        <v>1</v>
      </c>
      <c r="C3146" t="s">
        <v>2</v>
      </c>
      <c r="D3146" t="s">
        <v>630</v>
      </c>
      <c r="E3146" t="s">
        <v>631</v>
      </c>
      <c r="F3146" t="s">
        <v>911</v>
      </c>
      <c r="G3146" t="s">
        <v>912</v>
      </c>
      <c r="H3146" t="s">
        <v>1509</v>
      </c>
      <c r="I3146" t="s">
        <v>1510</v>
      </c>
      <c r="J3146" t="s">
        <v>1000</v>
      </c>
      <c r="K3146" t="s">
        <v>1267</v>
      </c>
      <c r="L3146" t="s">
        <v>1512</v>
      </c>
      <c r="M3146" t="s">
        <v>15</v>
      </c>
      <c r="N3146" s="2">
        <v>20000</v>
      </c>
      <c r="O3146" s="2">
        <v>0</v>
      </c>
      <c r="P3146" s="2">
        <v>-20000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</row>
    <row r="3147" spans="1:23" outlineLevel="2" x14ac:dyDescent="0.2">
      <c r="A3147" t="s">
        <v>999</v>
      </c>
      <c r="B3147" t="s">
        <v>1</v>
      </c>
      <c r="C3147" t="s">
        <v>2</v>
      </c>
      <c r="D3147" t="s">
        <v>630</v>
      </c>
      <c r="E3147" t="s">
        <v>631</v>
      </c>
      <c r="F3147" t="s">
        <v>911</v>
      </c>
      <c r="G3147" t="s">
        <v>912</v>
      </c>
      <c r="H3147" t="s">
        <v>1509</v>
      </c>
      <c r="I3147" t="s">
        <v>1510</v>
      </c>
      <c r="J3147" t="s">
        <v>1000</v>
      </c>
      <c r="K3147" t="s">
        <v>1029</v>
      </c>
      <c r="L3147" t="s">
        <v>1440</v>
      </c>
      <c r="M3147" t="s">
        <v>15</v>
      </c>
      <c r="N3147" s="2">
        <v>30000</v>
      </c>
      <c r="O3147" s="2">
        <v>0</v>
      </c>
      <c r="P3147" s="2">
        <v>-30000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</row>
    <row r="3148" spans="1:23" outlineLevel="2" x14ac:dyDescent="0.2">
      <c r="A3148" t="s">
        <v>999</v>
      </c>
      <c r="B3148" t="s">
        <v>1</v>
      </c>
      <c r="C3148" t="s">
        <v>2</v>
      </c>
      <c r="D3148" t="s">
        <v>13</v>
      </c>
      <c r="E3148" t="s">
        <v>14</v>
      </c>
      <c r="F3148" t="s">
        <v>911</v>
      </c>
      <c r="G3148" t="s">
        <v>912</v>
      </c>
      <c r="H3148" t="s">
        <v>1513</v>
      </c>
      <c r="I3148" t="s">
        <v>1514</v>
      </c>
      <c r="J3148" t="s">
        <v>1000</v>
      </c>
      <c r="K3148" t="s">
        <v>1104</v>
      </c>
      <c r="L3148" t="s">
        <v>1515</v>
      </c>
      <c r="M3148" t="s">
        <v>15</v>
      </c>
      <c r="N3148" s="2">
        <v>46709</v>
      </c>
      <c r="O3148" s="2">
        <v>0</v>
      </c>
      <c r="P3148" s="2">
        <v>-32709</v>
      </c>
      <c r="Q3148" s="2">
        <v>14000</v>
      </c>
      <c r="R3148" s="2">
        <v>0</v>
      </c>
      <c r="S3148" s="2">
        <v>14000</v>
      </c>
      <c r="T3148" s="2">
        <v>2147.48</v>
      </c>
      <c r="U3148" s="2">
        <v>0</v>
      </c>
      <c r="V3148" s="2">
        <v>11852.52</v>
      </c>
      <c r="W3148" s="2">
        <v>0</v>
      </c>
    </row>
    <row r="3149" spans="1:23" outlineLevel="2" x14ac:dyDescent="0.2">
      <c r="A3149" t="s">
        <v>999</v>
      </c>
      <c r="B3149" t="s">
        <v>1</v>
      </c>
      <c r="C3149" t="s">
        <v>2</v>
      </c>
      <c r="D3149" t="s">
        <v>13</v>
      </c>
      <c r="E3149" t="s">
        <v>14</v>
      </c>
      <c r="F3149" t="s">
        <v>911</v>
      </c>
      <c r="G3149" t="s">
        <v>912</v>
      </c>
      <c r="H3149" t="s">
        <v>1513</v>
      </c>
      <c r="I3149" t="s">
        <v>1514</v>
      </c>
      <c r="J3149" t="s">
        <v>1000</v>
      </c>
      <c r="K3149" t="s">
        <v>1104</v>
      </c>
      <c r="L3149" t="s">
        <v>1515</v>
      </c>
      <c r="M3149" t="s">
        <v>12</v>
      </c>
      <c r="N3149" s="2">
        <v>0</v>
      </c>
      <c r="O3149" s="2">
        <v>0</v>
      </c>
      <c r="P3149" s="2">
        <v>32709</v>
      </c>
      <c r="Q3149" s="2">
        <v>32709</v>
      </c>
      <c r="R3149" s="2">
        <v>0</v>
      </c>
      <c r="S3149" s="2">
        <v>0</v>
      </c>
      <c r="T3149" s="2">
        <v>0</v>
      </c>
      <c r="U3149" s="2">
        <v>32709</v>
      </c>
      <c r="V3149" s="2">
        <v>32709</v>
      </c>
      <c r="W3149" s="2">
        <v>32709</v>
      </c>
    </row>
    <row r="3150" spans="1:23" outlineLevel="2" x14ac:dyDescent="0.2">
      <c r="A3150" t="s">
        <v>999</v>
      </c>
      <c r="B3150" t="s">
        <v>1</v>
      </c>
      <c r="C3150" t="s">
        <v>2</v>
      </c>
      <c r="D3150" t="s">
        <v>13</v>
      </c>
      <c r="E3150" t="s">
        <v>14</v>
      </c>
      <c r="F3150" t="s">
        <v>911</v>
      </c>
      <c r="G3150" t="s">
        <v>912</v>
      </c>
      <c r="H3150" t="s">
        <v>1513</v>
      </c>
      <c r="I3150" t="s">
        <v>1514</v>
      </c>
      <c r="J3150" t="s">
        <v>1000</v>
      </c>
      <c r="K3150" t="s">
        <v>1298</v>
      </c>
      <c r="L3150" t="s">
        <v>1516</v>
      </c>
      <c r="M3150" t="s">
        <v>15</v>
      </c>
      <c r="N3150" s="2">
        <v>5000</v>
      </c>
      <c r="O3150" s="2">
        <v>0</v>
      </c>
      <c r="P3150" s="2">
        <v>-5000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</row>
    <row r="3151" spans="1:23" outlineLevel="2" x14ac:dyDescent="0.2">
      <c r="A3151" t="s">
        <v>999</v>
      </c>
      <c r="B3151" t="s">
        <v>1</v>
      </c>
      <c r="C3151" t="s">
        <v>2</v>
      </c>
      <c r="D3151" t="s">
        <v>13</v>
      </c>
      <c r="E3151" t="s">
        <v>14</v>
      </c>
      <c r="F3151" t="s">
        <v>911</v>
      </c>
      <c r="G3151" t="s">
        <v>912</v>
      </c>
      <c r="H3151" t="s">
        <v>1513</v>
      </c>
      <c r="I3151" t="s">
        <v>1514</v>
      </c>
      <c r="J3151" t="s">
        <v>1000</v>
      </c>
      <c r="K3151" t="s">
        <v>1003</v>
      </c>
      <c r="L3151" t="s">
        <v>1517</v>
      </c>
      <c r="M3151" t="s">
        <v>15</v>
      </c>
      <c r="N3151" s="2">
        <v>175322.04</v>
      </c>
      <c r="O3151" s="2">
        <v>0</v>
      </c>
      <c r="P3151" s="2">
        <v>-175322.04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</row>
    <row r="3152" spans="1:23" outlineLevel="2" x14ac:dyDescent="0.2">
      <c r="A3152" t="s">
        <v>999</v>
      </c>
      <c r="B3152" t="s">
        <v>1</v>
      </c>
      <c r="C3152" t="s">
        <v>2</v>
      </c>
      <c r="D3152" t="s">
        <v>13</v>
      </c>
      <c r="E3152" t="s">
        <v>14</v>
      </c>
      <c r="F3152" t="s">
        <v>911</v>
      </c>
      <c r="G3152" t="s">
        <v>912</v>
      </c>
      <c r="H3152" t="s">
        <v>1513</v>
      </c>
      <c r="I3152" t="s">
        <v>1514</v>
      </c>
      <c r="J3152" t="s">
        <v>1000</v>
      </c>
      <c r="K3152" t="s">
        <v>1003</v>
      </c>
      <c r="L3152" t="s">
        <v>1517</v>
      </c>
      <c r="M3152" t="s">
        <v>12</v>
      </c>
      <c r="N3152" s="2">
        <v>0</v>
      </c>
      <c r="O3152" s="2">
        <v>0</v>
      </c>
      <c r="P3152" s="2">
        <v>25322.04</v>
      </c>
      <c r="Q3152" s="2">
        <v>25322.04</v>
      </c>
      <c r="R3152" s="2">
        <v>0</v>
      </c>
      <c r="S3152" s="2">
        <v>0</v>
      </c>
      <c r="T3152" s="2">
        <v>0</v>
      </c>
      <c r="U3152" s="2">
        <v>25322.04</v>
      </c>
      <c r="V3152" s="2">
        <v>25322.04</v>
      </c>
      <c r="W3152" s="2">
        <v>25322.04</v>
      </c>
    </row>
    <row r="3153" spans="1:23" outlineLevel="2" x14ac:dyDescent="0.2">
      <c r="A3153" t="s">
        <v>999</v>
      </c>
      <c r="B3153" t="s">
        <v>1</v>
      </c>
      <c r="C3153" t="s">
        <v>2</v>
      </c>
      <c r="D3153" t="s">
        <v>13</v>
      </c>
      <c r="E3153" t="s">
        <v>14</v>
      </c>
      <c r="F3153" t="s">
        <v>911</v>
      </c>
      <c r="G3153" t="s">
        <v>912</v>
      </c>
      <c r="H3153" t="s">
        <v>1513</v>
      </c>
      <c r="I3153" t="s">
        <v>1514</v>
      </c>
      <c r="J3153" t="s">
        <v>1000</v>
      </c>
      <c r="K3153" t="s">
        <v>1228</v>
      </c>
      <c r="L3153" t="s">
        <v>1518</v>
      </c>
      <c r="M3153" t="s">
        <v>15</v>
      </c>
      <c r="N3153" s="2">
        <v>20000</v>
      </c>
      <c r="O3153" s="2">
        <v>0</v>
      </c>
      <c r="P3153" s="2">
        <v>-20000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</row>
    <row r="3154" spans="1:23" outlineLevel="2" x14ac:dyDescent="0.2">
      <c r="A3154" t="s">
        <v>999</v>
      </c>
      <c r="B3154" t="s">
        <v>1</v>
      </c>
      <c r="C3154" t="s">
        <v>2</v>
      </c>
      <c r="D3154" t="s">
        <v>13</v>
      </c>
      <c r="E3154" t="s">
        <v>14</v>
      </c>
      <c r="F3154" t="s">
        <v>911</v>
      </c>
      <c r="G3154" t="s">
        <v>912</v>
      </c>
      <c r="H3154" t="s">
        <v>1513</v>
      </c>
      <c r="I3154" t="s">
        <v>1514</v>
      </c>
      <c r="J3154" t="s">
        <v>1000</v>
      </c>
      <c r="K3154" t="s">
        <v>1116</v>
      </c>
      <c r="L3154" t="s">
        <v>1453</v>
      </c>
      <c r="M3154" t="s">
        <v>12</v>
      </c>
      <c r="N3154" s="2">
        <v>0</v>
      </c>
      <c r="O3154" s="2">
        <v>0</v>
      </c>
      <c r="P3154" s="2">
        <v>6443.58</v>
      </c>
      <c r="Q3154" s="2">
        <v>6443.58</v>
      </c>
      <c r="R3154" s="2">
        <v>0</v>
      </c>
      <c r="S3154" s="2">
        <v>0</v>
      </c>
      <c r="T3154" s="2">
        <v>0</v>
      </c>
      <c r="U3154" s="2">
        <v>6443.58</v>
      </c>
      <c r="V3154" s="2">
        <v>6443.58</v>
      </c>
      <c r="W3154" s="2">
        <v>6443.58</v>
      </c>
    </row>
    <row r="3155" spans="1:23" outlineLevel="2" x14ac:dyDescent="0.2">
      <c r="A3155" t="s">
        <v>999</v>
      </c>
      <c r="B3155" t="s">
        <v>1</v>
      </c>
      <c r="C3155" t="s">
        <v>2</v>
      </c>
      <c r="D3155" t="s">
        <v>13</v>
      </c>
      <c r="E3155" t="s">
        <v>14</v>
      </c>
      <c r="F3155" t="s">
        <v>911</v>
      </c>
      <c r="G3155" t="s">
        <v>912</v>
      </c>
      <c r="H3155" t="s">
        <v>1513</v>
      </c>
      <c r="I3155" t="s">
        <v>1514</v>
      </c>
      <c r="J3155" t="s">
        <v>1000</v>
      </c>
      <c r="K3155" t="s">
        <v>1116</v>
      </c>
      <c r="L3155" t="s">
        <v>1453</v>
      </c>
      <c r="M3155" t="s">
        <v>15</v>
      </c>
      <c r="N3155" s="2">
        <v>12000</v>
      </c>
      <c r="O3155" s="2">
        <v>0</v>
      </c>
      <c r="P3155" s="2">
        <v>-6443.58</v>
      </c>
      <c r="Q3155" s="2">
        <v>5556.42</v>
      </c>
      <c r="R3155" s="2">
        <v>0.01</v>
      </c>
      <c r="S3155" s="2">
        <v>5556.41</v>
      </c>
      <c r="T3155" s="2">
        <v>0</v>
      </c>
      <c r="U3155" s="2">
        <v>0.01</v>
      </c>
      <c r="V3155" s="2">
        <v>5556.42</v>
      </c>
      <c r="W3155" s="2">
        <v>0</v>
      </c>
    </row>
    <row r="3156" spans="1:23" outlineLevel="2" x14ac:dyDescent="0.2">
      <c r="A3156" t="s">
        <v>999</v>
      </c>
      <c r="B3156" t="s">
        <v>1</v>
      </c>
      <c r="C3156" t="s">
        <v>2</v>
      </c>
      <c r="D3156" t="s">
        <v>13</v>
      </c>
      <c r="E3156" t="s">
        <v>14</v>
      </c>
      <c r="F3156" t="s">
        <v>911</v>
      </c>
      <c r="G3156" t="s">
        <v>912</v>
      </c>
      <c r="H3156" t="s">
        <v>1513</v>
      </c>
      <c r="I3156" t="s">
        <v>1514</v>
      </c>
      <c r="J3156" t="s">
        <v>1000</v>
      </c>
      <c r="K3156" t="s">
        <v>1120</v>
      </c>
      <c r="L3156" t="s">
        <v>1519</v>
      </c>
      <c r="M3156" t="s">
        <v>15</v>
      </c>
      <c r="N3156" s="2">
        <v>2900</v>
      </c>
      <c r="O3156" s="2">
        <v>0</v>
      </c>
      <c r="P3156" s="2">
        <v>-2900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</row>
    <row r="3157" spans="1:23" outlineLevel="2" x14ac:dyDescent="0.2">
      <c r="A3157" t="s">
        <v>999</v>
      </c>
      <c r="B3157" t="s">
        <v>1</v>
      </c>
      <c r="C3157" t="s">
        <v>2</v>
      </c>
      <c r="D3157" t="s">
        <v>20</v>
      </c>
      <c r="E3157" t="s">
        <v>21</v>
      </c>
      <c r="F3157" t="s">
        <v>911</v>
      </c>
      <c r="G3157" t="s">
        <v>912</v>
      </c>
      <c r="H3157" t="s">
        <v>1520</v>
      </c>
      <c r="I3157" t="s">
        <v>1521</v>
      </c>
      <c r="J3157" t="s">
        <v>1000</v>
      </c>
      <c r="K3157" t="s">
        <v>1017</v>
      </c>
      <c r="L3157" t="s">
        <v>1435</v>
      </c>
      <c r="M3157" t="s">
        <v>15</v>
      </c>
      <c r="N3157" s="2">
        <v>170000</v>
      </c>
      <c r="O3157" s="2">
        <v>0</v>
      </c>
      <c r="P3157" s="2">
        <v>-170000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</row>
    <row r="3158" spans="1:23" outlineLevel="2" x14ac:dyDescent="0.2">
      <c r="A3158" t="s">
        <v>999</v>
      </c>
      <c r="B3158" t="s">
        <v>1</v>
      </c>
      <c r="C3158" t="s">
        <v>2</v>
      </c>
      <c r="D3158" t="s">
        <v>20</v>
      </c>
      <c r="E3158" t="s">
        <v>21</v>
      </c>
      <c r="F3158" t="s">
        <v>911</v>
      </c>
      <c r="G3158" t="s">
        <v>912</v>
      </c>
      <c r="H3158" t="s">
        <v>1520</v>
      </c>
      <c r="I3158" t="s">
        <v>1521</v>
      </c>
      <c r="J3158" t="s">
        <v>1000</v>
      </c>
      <c r="K3158" t="s">
        <v>1267</v>
      </c>
      <c r="L3158" t="s">
        <v>1512</v>
      </c>
      <c r="M3158" t="s">
        <v>15</v>
      </c>
      <c r="N3158" s="2">
        <v>120000</v>
      </c>
      <c r="O3158" s="2">
        <v>0</v>
      </c>
      <c r="P3158" s="2">
        <v>-120000</v>
      </c>
      <c r="Q3158" s="2">
        <v>0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</row>
    <row r="3159" spans="1:23" outlineLevel="2" x14ac:dyDescent="0.2">
      <c r="A3159" t="s">
        <v>999</v>
      </c>
      <c r="B3159" t="s">
        <v>1</v>
      </c>
      <c r="C3159" t="s">
        <v>2</v>
      </c>
      <c r="D3159" t="s">
        <v>589</v>
      </c>
      <c r="E3159" t="s">
        <v>590</v>
      </c>
      <c r="F3159" t="s">
        <v>911</v>
      </c>
      <c r="G3159" t="s">
        <v>912</v>
      </c>
      <c r="H3159" t="s">
        <v>931</v>
      </c>
      <c r="I3159" t="s">
        <v>932</v>
      </c>
      <c r="J3159" t="s">
        <v>1000</v>
      </c>
      <c r="K3159" t="s">
        <v>1058</v>
      </c>
      <c r="L3159" t="s">
        <v>1444</v>
      </c>
      <c r="M3159" t="s">
        <v>15</v>
      </c>
      <c r="N3159" s="2">
        <v>0</v>
      </c>
      <c r="O3159" s="2">
        <v>20000</v>
      </c>
      <c r="P3159" s="2">
        <v>-20000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</row>
    <row r="3160" spans="1:23" outlineLevel="2" x14ac:dyDescent="0.2">
      <c r="A3160" t="s">
        <v>999</v>
      </c>
      <c r="B3160" t="s">
        <v>1</v>
      </c>
      <c r="C3160" t="s">
        <v>2</v>
      </c>
      <c r="D3160" t="s">
        <v>589</v>
      </c>
      <c r="E3160" t="s">
        <v>590</v>
      </c>
      <c r="F3160" t="s">
        <v>911</v>
      </c>
      <c r="G3160" t="s">
        <v>912</v>
      </c>
      <c r="H3160" t="s">
        <v>931</v>
      </c>
      <c r="I3160" t="s">
        <v>932</v>
      </c>
      <c r="J3160" t="s">
        <v>1000</v>
      </c>
      <c r="K3160" t="s">
        <v>1058</v>
      </c>
      <c r="L3160" t="s">
        <v>1444</v>
      </c>
      <c r="M3160" t="s">
        <v>12</v>
      </c>
      <c r="N3160" s="2">
        <v>0</v>
      </c>
      <c r="O3160" s="2">
        <v>0</v>
      </c>
      <c r="P3160" s="2">
        <v>12000</v>
      </c>
      <c r="Q3160" s="2">
        <v>12000</v>
      </c>
      <c r="R3160" s="2">
        <v>0</v>
      </c>
      <c r="S3160" s="2">
        <v>0</v>
      </c>
      <c r="T3160" s="2">
        <v>0</v>
      </c>
      <c r="U3160" s="2">
        <v>12000</v>
      </c>
      <c r="V3160" s="2">
        <v>12000</v>
      </c>
      <c r="W3160" s="2">
        <v>12000</v>
      </c>
    </row>
    <row r="3161" spans="1:23" outlineLevel="2" x14ac:dyDescent="0.2">
      <c r="A3161" t="s">
        <v>999</v>
      </c>
      <c r="B3161" t="s">
        <v>1</v>
      </c>
      <c r="C3161" t="s">
        <v>2</v>
      </c>
      <c r="D3161" t="s">
        <v>589</v>
      </c>
      <c r="E3161" t="s">
        <v>590</v>
      </c>
      <c r="F3161" t="s">
        <v>911</v>
      </c>
      <c r="G3161" t="s">
        <v>912</v>
      </c>
      <c r="H3161" t="s">
        <v>931</v>
      </c>
      <c r="I3161" t="s">
        <v>932</v>
      </c>
      <c r="J3161" t="s">
        <v>1000</v>
      </c>
      <c r="K3161" t="s">
        <v>1003</v>
      </c>
      <c r="L3161" t="s">
        <v>1517</v>
      </c>
      <c r="M3161" t="s">
        <v>15</v>
      </c>
      <c r="N3161" s="2">
        <v>0</v>
      </c>
      <c r="O3161" s="2">
        <v>354323.6</v>
      </c>
      <c r="P3161" s="2">
        <v>-354323.6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</row>
    <row r="3162" spans="1:23" outlineLevel="2" x14ac:dyDescent="0.2">
      <c r="A3162" t="s">
        <v>999</v>
      </c>
      <c r="B3162" t="s">
        <v>1</v>
      </c>
      <c r="C3162" t="s">
        <v>2</v>
      </c>
      <c r="D3162" t="s">
        <v>589</v>
      </c>
      <c r="E3162" t="s">
        <v>590</v>
      </c>
      <c r="F3162" t="s">
        <v>911</v>
      </c>
      <c r="G3162" t="s">
        <v>912</v>
      </c>
      <c r="H3162" t="s">
        <v>931</v>
      </c>
      <c r="I3162" t="s">
        <v>932</v>
      </c>
      <c r="J3162" t="s">
        <v>1000</v>
      </c>
      <c r="K3162" t="s">
        <v>1029</v>
      </c>
      <c r="L3162" t="s">
        <v>1440</v>
      </c>
      <c r="M3162" t="s">
        <v>15</v>
      </c>
      <c r="N3162" s="2">
        <v>427694</v>
      </c>
      <c r="O3162" s="2">
        <v>-427693.96</v>
      </c>
      <c r="P3162" s="2">
        <v>-0.04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</row>
    <row r="3163" spans="1:23" outlineLevel="2" x14ac:dyDescent="0.2">
      <c r="A3163" t="s">
        <v>999</v>
      </c>
      <c r="B3163" t="s">
        <v>1</v>
      </c>
      <c r="C3163" t="s">
        <v>2</v>
      </c>
      <c r="D3163" t="s">
        <v>505</v>
      </c>
      <c r="E3163" t="s">
        <v>506</v>
      </c>
      <c r="F3163" t="s">
        <v>911</v>
      </c>
      <c r="G3163" t="s">
        <v>912</v>
      </c>
      <c r="H3163" t="s">
        <v>1522</v>
      </c>
      <c r="I3163" t="s">
        <v>1523</v>
      </c>
      <c r="J3163" t="s">
        <v>1000</v>
      </c>
      <c r="K3163" t="s">
        <v>1524</v>
      </c>
      <c r="L3163" t="s">
        <v>1525</v>
      </c>
      <c r="M3163" t="s">
        <v>15</v>
      </c>
      <c r="N3163" s="2">
        <v>20000</v>
      </c>
      <c r="O3163" s="2">
        <v>-8000</v>
      </c>
      <c r="P3163" s="2">
        <v>-12000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</row>
    <row r="3164" spans="1:23" outlineLevel="2" x14ac:dyDescent="0.2">
      <c r="A3164" t="s">
        <v>999</v>
      </c>
      <c r="B3164" t="s">
        <v>1</v>
      </c>
      <c r="C3164" t="s">
        <v>2</v>
      </c>
      <c r="D3164" t="s">
        <v>505</v>
      </c>
      <c r="E3164" t="s">
        <v>506</v>
      </c>
      <c r="F3164" t="s">
        <v>911</v>
      </c>
      <c r="G3164" t="s">
        <v>912</v>
      </c>
      <c r="H3164" t="s">
        <v>1522</v>
      </c>
      <c r="I3164" t="s">
        <v>1523</v>
      </c>
      <c r="J3164" t="s">
        <v>1000</v>
      </c>
      <c r="K3164" t="s">
        <v>1524</v>
      </c>
      <c r="L3164" t="s">
        <v>1525</v>
      </c>
      <c r="M3164" t="s">
        <v>12</v>
      </c>
      <c r="N3164" s="2">
        <v>0</v>
      </c>
      <c r="O3164" s="2">
        <v>0</v>
      </c>
      <c r="P3164" s="2">
        <v>4000</v>
      </c>
      <c r="Q3164" s="2">
        <v>4000</v>
      </c>
      <c r="R3164" s="2">
        <v>0</v>
      </c>
      <c r="S3164" s="2">
        <v>0</v>
      </c>
      <c r="T3164" s="2">
        <v>0</v>
      </c>
      <c r="U3164" s="2">
        <v>4000</v>
      </c>
      <c r="V3164" s="2">
        <v>4000</v>
      </c>
      <c r="W3164" s="2">
        <v>4000</v>
      </c>
    </row>
    <row r="3165" spans="1:23" outlineLevel="2" x14ac:dyDescent="0.2">
      <c r="A3165" t="s">
        <v>999</v>
      </c>
      <c r="B3165" t="s">
        <v>1</v>
      </c>
      <c r="C3165" t="s">
        <v>2</v>
      </c>
      <c r="D3165" t="s">
        <v>505</v>
      </c>
      <c r="E3165" t="s">
        <v>506</v>
      </c>
      <c r="F3165" t="s">
        <v>911</v>
      </c>
      <c r="G3165" t="s">
        <v>912</v>
      </c>
      <c r="H3165" t="s">
        <v>1522</v>
      </c>
      <c r="I3165" t="s">
        <v>1523</v>
      </c>
      <c r="J3165" t="s">
        <v>1000</v>
      </c>
      <c r="K3165" t="s">
        <v>1003</v>
      </c>
      <c r="L3165" t="s">
        <v>1517</v>
      </c>
      <c r="M3165" t="s">
        <v>15</v>
      </c>
      <c r="N3165" s="2">
        <v>186317</v>
      </c>
      <c r="O3165" s="2">
        <v>-101092.75</v>
      </c>
      <c r="P3165" s="2">
        <v>-85224.25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</row>
    <row r="3166" spans="1:23" outlineLevel="2" x14ac:dyDescent="0.2">
      <c r="A3166" t="s">
        <v>999</v>
      </c>
      <c r="B3166" t="s">
        <v>1</v>
      </c>
      <c r="C3166" t="s">
        <v>2</v>
      </c>
      <c r="D3166" t="s">
        <v>505</v>
      </c>
      <c r="E3166" t="s">
        <v>506</v>
      </c>
      <c r="F3166" t="s">
        <v>911</v>
      </c>
      <c r="G3166" t="s">
        <v>912</v>
      </c>
      <c r="H3166" t="s">
        <v>1522</v>
      </c>
      <c r="I3166" t="s">
        <v>1523</v>
      </c>
      <c r="J3166" t="s">
        <v>1000</v>
      </c>
      <c r="K3166" t="s">
        <v>1003</v>
      </c>
      <c r="L3166" t="s">
        <v>1517</v>
      </c>
      <c r="M3166" t="s">
        <v>12</v>
      </c>
      <c r="N3166" s="2">
        <v>0</v>
      </c>
      <c r="O3166" s="2">
        <v>0</v>
      </c>
      <c r="P3166" s="2">
        <v>69145</v>
      </c>
      <c r="Q3166" s="2">
        <v>69145</v>
      </c>
      <c r="R3166" s="2">
        <v>0</v>
      </c>
      <c r="S3166" s="2">
        <v>0</v>
      </c>
      <c r="T3166" s="2">
        <v>0</v>
      </c>
      <c r="U3166" s="2">
        <v>69145</v>
      </c>
      <c r="V3166" s="2">
        <v>69145</v>
      </c>
      <c r="W3166" s="2">
        <v>69145</v>
      </c>
    </row>
    <row r="3167" spans="1:23" outlineLevel="2" x14ac:dyDescent="0.2">
      <c r="A3167" t="s">
        <v>999</v>
      </c>
      <c r="B3167" t="s">
        <v>1</v>
      </c>
      <c r="C3167" t="s">
        <v>2</v>
      </c>
      <c r="D3167" t="s">
        <v>505</v>
      </c>
      <c r="E3167" t="s">
        <v>506</v>
      </c>
      <c r="F3167" t="s">
        <v>911</v>
      </c>
      <c r="G3167" t="s">
        <v>912</v>
      </c>
      <c r="H3167" t="s">
        <v>1522</v>
      </c>
      <c r="I3167" t="s">
        <v>1523</v>
      </c>
      <c r="J3167" t="s">
        <v>1000</v>
      </c>
      <c r="K3167" t="s">
        <v>1013</v>
      </c>
      <c r="L3167" t="s">
        <v>1434</v>
      </c>
      <c r="M3167" t="s">
        <v>15</v>
      </c>
      <c r="N3167" s="2">
        <v>100000</v>
      </c>
      <c r="O3167" s="2">
        <v>-3000</v>
      </c>
      <c r="P3167" s="2">
        <v>-97000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</row>
    <row r="3168" spans="1:23" outlineLevel="2" x14ac:dyDescent="0.2">
      <c r="A3168" t="s">
        <v>999</v>
      </c>
      <c r="B3168" t="s">
        <v>1</v>
      </c>
      <c r="C3168" t="s">
        <v>2</v>
      </c>
      <c r="D3168" t="s">
        <v>505</v>
      </c>
      <c r="E3168" t="s">
        <v>506</v>
      </c>
      <c r="F3168" t="s">
        <v>911</v>
      </c>
      <c r="G3168" t="s">
        <v>912</v>
      </c>
      <c r="H3168" t="s">
        <v>1522</v>
      </c>
      <c r="I3168" t="s">
        <v>1523</v>
      </c>
      <c r="J3168" t="s">
        <v>1000</v>
      </c>
      <c r="K3168" t="s">
        <v>1029</v>
      </c>
      <c r="L3168" t="s">
        <v>1440</v>
      </c>
      <c r="M3168" t="s">
        <v>12</v>
      </c>
      <c r="N3168" s="2">
        <v>0</v>
      </c>
      <c r="O3168" s="2">
        <v>0</v>
      </c>
      <c r="P3168" s="2">
        <v>1960</v>
      </c>
      <c r="Q3168" s="2">
        <v>1960</v>
      </c>
      <c r="R3168" s="2">
        <v>0</v>
      </c>
      <c r="S3168" s="2">
        <v>0</v>
      </c>
      <c r="T3168" s="2">
        <v>0</v>
      </c>
      <c r="U3168" s="2">
        <v>1960</v>
      </c>
      <c r="V3168" s="2">
        <v>1960</v>
      </c>
      <c r="W3168" s="2">
        <v>1960</v>
      </c>
    </row>
    <row r="3169" spans="1:23" outlineLevel="2" x14ac:dyDescent="0.2">
      <c r="A3169" t="s">
        <v>999</v>
      </c>
      <c r="B3169" t="s">
        <v>1</v>
      </c>
      <c r="C3169" t="s">
        <v>2</v>
      </c>
      <c r="D3169" t="s">
        <v>505</v>
      </c>
      <c r="E3169" t="s">
        <v>506</v>
      </c>
      <c r="F3169" t="s">
        <v>911</v>
      </c>
      <c r="G3169" t="s">
        <v>912</v>
      </c>
      <c r="H3169" t="s">
        <v>1522</v>
      </c>
      <c r="I3169" t="s">
        <v>1523</v>
      </c>
      <c r="J3169" t="s">
        <v>1000</v>
      </c>
      <c r="K3169" t="s">
        <v>1029</v>
      </c>
      <c r="L3169" t="s">
        <v>1440</v>
      </c>
      <c r="M3169" t="s">
        <v>15</v>
      </c>
      <c r="N3169" s="2">
        <v>0</v>
      </c>
      <c r="O3169" s="2">
        <v>7840</v>
      </c>
      <c r="P3169" s="2">
        <v>-1960</v>
      </c>
      <c r="Q3169" s="2">
        <v>5880</v>
      </c>
      <c r="R3169" s="2">
        <v>0</v>
      </c>
      <c r="S3169" s="2">
        <v>5880</v>
      </c>
      <c r="T3169" s="2">
        <v>224</v>
      </c>
      <c r="U3169" s="2">
        <v>0</v>
      </c>
      <c r="V3169" s="2">
        <v>5656</v>
      </c>
      <c r="W3169" s="2">
        <v>0</v>
      </c>
    </row>
    <row r="3170" spans="1:23" outlineLevel="2" x14ac:dyDescent="0.2">
      <c r="A3170" t="s">
        <v>999</v>
      </c>
      <c r="B3170" t="s">
        <v>1</v>
      </c>
      <c r="C3170" t="s">
        <v>2</v>
      </c>
      <c r="D3170" t="s">
        <v>505</v>
      </c>
      <c r="E3170" t="s">
        <v>506</v>
      </c>
      <c r="F3170" t="s">
        <v>911</v>
      </c>
      <c r="G3170" t="s">
        <v>912</v>
      </c>
      <c r="H3170" t="s">
        <v>1522</v>
      </c>
      <c r="I3170" t="s">
        <v>1523</v>
      </c>
      <c r="J3170" t="s">
        <v>1000</v>
      </c>
      <c r="K3170" t="s">
        <v>1082</v>
      </c>
      <c r="L3170" t="s">
        <v>1526</v>
      </c>
      <c r="M3170" t="s">
        <v>15</v>
      </c>
      <c r="N3170" s="2">
        <v>10000</v>
      </c>
      <c r="O3170" s="2">
        <v>-5000</v>
      </c>
      <c r="P3170" s="2">
        <v>-683</v>
      </c>
      <c r="Q3170" s="2">
        <v>4317</v>
      </c>
      <c r="R3170" s="2">
        <v>4317</v>
      </c>
      <c r="S3170" s="2">
        <v>0</v>
      </c>
      <c r="T3170" s="2">
        <v>0</v>
      </c>
      <c r="U3170" s="2">
        <v>4317</v>
      </c>
      <c r="V3170" s="2">
        <v>4317</v>
      </c>
      <c r="W3170" s="2">
        <v>0</v>
      </c>
    </row>
    <row r="3171" spans="1:23" outlineLevel="2" x14ac:dyDescent="0.2">
      <c r="A3171" t="s">
        <v>999</v>
      </c>
      <c r="B3171" t="s">
        <v>1</v>
      </c>
      <c r="C3171" t="s">
        <v>2</v>
      </c>
      <c r="D3171" t="s">
        <v>505</v>
      </c>
      <c r="E3171" t="s">
        <v>506</v>
      </c>
      <c r="F3171" t="s">
        <v>911</v>
      </c>
      <c r="G3171" t="s">
        <v>912</v>
      </c>
      <c r="H3171" t="s">
        <v>1522</v>
      </c>
      <c r="I3171" t="s">
        <v>1523</v>
      </c>
      <c r="J3171" t="s">
        <v>1000</v>
      </c>
      <c r="K3171" t="s">
        <v>1082</v>
      </c>
      <c r="L3171" t="s">
        <v>1526</v>
      </c>
      <c r="M3171" t="s">
        <v>12</v>
      </c>
      <c r="N3171" s="2">
        <v>0</v>
      </c>
      <c r="O3171" s="2">
        <v>0</v>
      </c>
      <c r="P3171" s="2">
        <v>683</v>
      </c>
      <c r="Q3171" s="2">
        <v>683</v>
      </c>
      <c r="R3171" s="2">
        <v>0</v>
      </c>
      <c r="S3171" s="2">
        <v>0</v>
      </c>
      <c r="T3171" s="2">
        <v>0</v>
      </c>
      <c r="U3171" s="2">
        <v>683</v>
      </c>
      <c r="V3171" s="2">
        <v>683</v>
      </c>
      <c r="W3171" s="2">
        <v>683</v>
      </c>
    </row>
    <row r="3172" spans="1:23" outlineLevel="2" x14ac:dyDescent="0.2">
      <c r="A3172" t="s">
        <v>999</v>
      </c>
      <c r="B3172" t="s">
        <v>1</v>
      </c>
      <c r="C3172" t="s">
        <v>2</v>
      </c>
      <c r="D3172" t="s">
        <v>505</v>
      </c>
      <c r="E3172" t="s">
        <v>506</v>
      </c>
      <c r="F3172" t="s">
        <v>911</v>
      </c>
      <c r="G3172" t="s">
        <v>912</v>
      </c>
      <c r="H3172" t="s">
        <v>1522</v>
      </c>
      <c r="I3172" t="s">
        <v>1523</v>
      </c>
      <c r="J3172" t="s">
        <v>1000</v>
      </c>
      <c r="K3172" t="s">
        <v>1120</v>
      </c>
      <c r="L3172" t="s">
        <v>1519</v>
      </c>
      <c r="M3172" t="s">
        <v>15</v>
      </c>
      <c r="N3172" s="2">
        <v>154000</v>
      </c>
      <c r="O3172" s="2">
        <v>-154000</v>
      </c>
      <c r="P3172" s="2">
        <v>0</v>
      </c>
      <c r="Q3172" s="2">
        <v>0</v>
      </c>
      <c r="R3172" s="2">
        <v>0</v>
      </c>
      <c r="S3172" s="2">
        <v>0</v>
      </c>
      <c r="T3172" s="2">
        <v>0</v>
      </c>
      <c r="U3172" s="2">
        <v>0</v>
      </c>
      <c r="V3172" s="2">
        <v>0</v>
      </c>
      <c r="W3172" s="2">
        <v>0</v>
      </c>
    </row>
    <row r="3173" spans="1:23" outlineLevel="2" x14ac:dyDescent="0.2">
      <c r="A3173" t="s">
        <v>999</v>
      </c>
      <c r="B3173" t="s">
        <v>1</v>
      </c>
      <c r="C3173" t="s">
        <v>2</v>
      </c>
      <c r="D3173" t="s">
        <v>20</v>
      </c>
      <c r="E3173" t="s">
        <v>21</v>
      </c>
      <c r="F3173" t="s">
        <v>911</v>
      </c>
      <c r="G3173" t="s">
        <v>912</v>
      </c>
      <c r="H3173" t="s">
        <v>1527</v>
      </c>
      <c r="I3173" t="s">
        <v>1528</v>
      </c>
      <c r="J3173" t="s">
        <v>1000</v>
      </c>
      <c r="K3173" t="s">
        <v>1017</v>
      </c>
      <c r="L3173" t="s">
        <v>1435</v>
      </c>
      <c r="M3173" t="s">
        <v>15</v>
      </c>
      <c r="N3173" s="2">
        <v>50000</v>
      </c>
      <c r="O3173" s="2">
        <v>0</v>
      </c>
      <c r="P3173" s="2">
        <v>-50000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0</v>
      </c>
      <c r="W3173" s="2">
        <v>0</v>
      </c>
    </row>
    <row r="3174" spans="1:23" outlineLevel="2" x14ac:dyDescent="0.2">
      <c r="A3174" t="s">
        <v>999</v>
      </c>
      <c r="B3174" t="s">
        <v>1</v>
      </c>
      <c r="C3174" t="s">
        <v>2</v>
      </c>
      <c r="D3174" t="s">
        <v>20</v>
      </c>
      <c r="E3174" t="s">
        <v>21</v>
      </c>
      <c r="F3174" t="s">
        <v>911</v>
      </c>
      <c r="G3174" t="s">
        <v>912</v>
      </c>
      <c r="H3174" t="s">
        <v>1527</v>
      </c>
      <c r="I3174" t="s">
        <v>1528</v>
      </c>
      <c r="J3174" t="s">
        <v>1000</v>
      </c>
      <c r="K3174" t="s">
        <v>1029</v>
      </c>
      <c r="L3174" t="s">
        <v>1440</v>
      </c>
      <c r="M3174" t="s">
        <v>15</v>
      </c>
      <c r="N3174" s="2">
        <v>250000</v>
      </c>
      <c r="O3174" s="2">
        <v>0</v>
      </c>
      <c r="P3174" s="2">
        <v>-250000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</row>
    <row r="3175" spans="1:23" outlineLevel="2" x14ac:dyDescent="0.2">
      <c r="A3175" t="s">
        <v>999</v>
      </c>
      <c r="B3175" t="s">
        <v>1</v>
      </c>
      <c r="C3175" t="s">
        <v>91</v>
      </c>
      <c r="D3175" t="s">
        <v>92</v>
      </c>
      <c r="E3175" t="s">
        <v>93</v>
      </c>
      <c r="F3175" t="s">
        <v>911</v>
      </c>
      <c r="G3175" t="s">
        <v>912</v>
      </c>
      <c r="H3175" t="s">
        <v>1529</v>
      </c>
      <c r="I3175" t="s">
        <v>1530</v>
      </c>
      <c r="J3175" t="s">
        <v>1000</v>
      </c>
      <c r="K3175" t="s">
        <v>1104</v>
      </c>
      <c r="L3175" t="s">
        <v>1454</v>
      </c>
      <c r="M3175" t="s">
        <v>15</v>
      </c>
      <c r="N3175" s="2">
        <v>29200</v>
      </c>
      <c r="O3175" s="2">
        <v>-29200</v>
      </c>
      <c r="P3175" s="2">
        <v>0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</row>
    <row r="3176" spans="1:23" outlineLevel="2" x14ac:dyDescent="0.2">
      <c r="A3176" t="s">
        <v>999</v>
      </c>
      <c r="B3176" t="s">
        <v>1</v>
      </c>
      <c r="C3176" t="s">
        <v>91</v>
      </c>
      <c r="D3176" t="s">
        <v>92</v>
      </c>
      <c r="E3176" t="s">
        <v>93</v>
      </c>
      <c r="F3176" t="s">
        <v>911</v>
      </c>
      <c r="G3176" t="s">
        <v>912</v>
      </c>
      <c r="H3176" t="s">
        <v>1529</v>
      </c>
      <c r="I3176" t="s">
        <v>1530</v>
      </c>
      <c r="J3176" t="s">
        <v>1000</v>
      </c>
      <c r="K3176" t="s">
        <v>1013</v>
      </c>
      <c r="L3176" t="s">
        <v>1463</v>
      </c>
      <c r="M3176" t="s">
        <v>15</v>
      </c>
      <c r="N3176" s="2">
        <v>25000</v>
      </c>
      <c r="O3176" s="2">
        <v>0</v>
      </c>
      <c r="P3176" s="2">
        <v>-25000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</row>
    <row r="3177" spans="1:23" outlineLevel="2" x14ac:dyDescent="0.2">
      <c r="A3177" t="s">
        <v>999</v>
      </c>
      <c r="B3177" t="s">
        <v>1</v>
      </c>
      <c r="C3177" t="s">
        <v>91</v>
      </c>
      <c r="D3177" t="s">
        <v>92</v>
      </c>
      <c r="E3177" t="s">
        <v>93</v>
      </c>
      <c r="F3177" t="s">
        <v>911</v>
      </c>
      <c r="G3177" t="s">
        <v>912</v>
      </c>
      <c r="H3177" t="s">
        <v>1529</v>
      </c>
      <c r="I3177" t="s">
        <v>1530</v>
      </c>
      <c r="J3177" t="s">
        <v>1000</v>
      </c>
      <c r="K3177" t="s">
        <v>1017</v>
      </c>
      <c r="L3177" t="s">
        <v>1464</v>
      </c>
      <c r="M3177" t="s">
        <v>15</v>
      </c>
      <c r="N3177" s="2">
        <v>107142.86</v>
      </c>
      <c r="O3177" s="2">
        <v>-107142.86</v>
      </c>
      <c r="P3177" s="2">
        <v>0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</row>
    <row r="3178" spans="1:23" outlineLevel="2" x14ac:dyDescent="0.2">
      <c r="A3178" t="s">
        <v>999</v>
      </c>
      <c r="B3178" t="s">
        <v>1</v>
      </c>
      <c r="C3178" t="s">
        <v>91</v>
      </c>
      <c r="D3178" t="s">
        <v>92</v>
      </c>
      <c r="E3178" t="s">
        <v>93</v>
      </c>
      <c r="F3178" t="s">
        <v>911</v>
      </c>
      <c r="G3178" t="s">
        <v>912</v>
      </c>
      <c r="H3178" t="s">
        <v>1529</v>
      </c>
      <c r="I3178" t="s">
        <v>1530</v>
      </c>
      <c r="J3178" t="s">
        <v>1000</v>
      </c>
      <c r="K3178" t="s">
        <v>1116</v>
      </c>
      <c r="L3178" t="s">
        <v>1531</v>
      </c>
      <c r="M3178" t="s">
        <v>15</v>
      </c>
      <c r="N3178" s="2">
        <v>40300</v>
      </c>
      <c r="O3178" s="2">
        <v>-40300</v>
      </c>
      <c r="P3178" s="2">
        <v>0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</row>
    <row r="3179" spans="1:23" outlineLevel="2" x14ac:dyDescent="0.2">
      <c r="A3179" t="s">
        <v>999</v>
      </c>
      <c r="B3179" t="s">
        <v>1</v>
      </c>
      <c r="C3179" t="s">
        <v>91</v>
      </c>
      <c r="D3179" t="s">
        <v>92</v>
      </c>
      <c r="E3179" t="s">
        <v>93</v>
      </c>
      <c r="F3179" t="s">
        <v>911</v>
      </c>
      <c r="G3179" t="s">
        <v>912</v>
      </c>
      <c r="H3179" t="s">
        <v>1529</v>
      </c>
      <c r="I3179" t="s">
        <v>1530</v>
      </c>
      <c r="J3179" t="s">
        <v>1000</v>
      </c>
      <c r="K3179" t="s">
        <v>1061</v>
      </c>
      <c r="L3179" t="s">
        <v>1467</v>
      </c>
      <c r="M3179" t="s">
        <v>15</v>
      </c>
      <c r="N3179" s="2">
        <v>6002.85</v>
      </c>
      <c r="O3179" s="2">
        <v>0</v>
      </c>
      <c r="P3179" s="2">
        <v>-6002.85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</row>
    <row r="3180" spans="1:23" outlineLevel="2" x14ac:dyDescent="0.2">
      <c r="A3180" t="s">
        <v>999</v>
      </c>
      <c r="B3180" t="s">
        <v>1</v>
      </c>
      <c r="C3180" t="s">
        <v>91</v>
      </c>
      <c r="D3180" t="s">
        <v>92</v>
      </c>
      <c r="E3180" t="s">
        <v>93</v>
      </c>
      <c r="F3180" t="s">
        <v>911</v>
      </c>
      <c r="G3180" t="s">
        <v>912</v>
      </c>
      <c r="H3180" t="s">
        <v>1529</v>
      </c>
      <c r="I3180" t="s">
        <v>1530</v>
      </c>
      <c r="J3180" t="s">
        <v>1000</v>
      </c>
      <c r="K3180" t="s">
        <v>1061</v>
      </c>
      <c r="L3180" t="s">
        <v>1467</v>
      </c>
      <c r="M3180" t="s">
        <v>12</v>
      </c>
      <c r="N3180" s="2">
        <v>0</v>
      </c>
      <c r="O3180" s="2">
        <v>0</v>
      </c>
      <c r="P3180" s="2">
        <v>2695.18</v>
      </c>
      <c r="Q3180" s="2">
        <v>2695.18</v>
      </c>
      <c r="R3180" s="2">
        <v>0</v>
      </c>
      <c r="S3180" s="2">
        <v>0</v>
      </c>
      <c r="T3180" s="2">
        <v>0</v>
      </c>
      <c r="U3180" s="2">
        <v>2695.18</v>
      </c>
      <c r="V3180" s="2">
        <v>2695.18</v>
      </c>
      <c r="W3180" s="2">
        <v>2695.18</v>
      </c>
    </row>
    <row r="3181" spans="1:23" outlineLevel="2" x14ac:dyDescent="0.2">
      <c r="A3181" t="s">
        <v>999</v>
      </c>
      <c r="B3181" t="s">
        <v>1</v>
      </c>
      <c r="C3181" t="s">
        <v>91</v>
      </c>
      <c r="D3181" t="s">
        <v>92</v>
      </c>
      <c r="E3181" t="s">
        <v>93</v>
      </c>
      <c r="F3181" t="s">
        <v>911</v>
      </c>
      <c r="G3181" t="s">
        <v>912</v>
      </c>
      <c r="H3181" t="s">
        <v>1529</v>
      </c>
      <c r="I3181" t="s">
        <v>1530</v>
      </c>
      <c r="J3181" t="s">
        <v>1000</v>
      </c>
      <c r="K3181" t="s">
        <v>1120</v>
      </c>
      <c r="L3181" t="s">
        <v>1532</v>
      </c>
      <c r="M3181" t="s">
        <v>15</v>
      </c>
      <c r="N3181" s="2">
        <v>2000</v>
      </c>
      <c r="O3181" s="2">
        <v>-2000</v>
      </c>
      <c r="P3181" s="2">
        <v>0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</row>
    <row r="3182" spans="1:23" outlineLevel="2" x14ac:dyDescent="0.2">
      <c r="A3182" t="s">
        <v>999</v>
      </c>
      <c r="B3182" t="s">
        <v>1</v>
      </c>
      <c r="C3182" t="s">
        <v>2</v>
      </c>
      <c r="D3182" t="s">
        <v>1533</v>
      </c>
      <c r="E3182" t="s">
        <v>1534</v>
      </c>
      <c r="F3182" t="s">
        <v>911</v>
      </c>
      <c r="G3182" t="s">
        <v>912</v>
      </c>
      <c r="H3182" t="s">
        <v>1535</v>
      </c>
      <c r="I3182" t="s">
        <v>1536</v>
      </c>
      <c r="J3182" t="s">
        <v>1000</v>
      </c>
      <c r="K3182" t="s">
        <v>1104</v>
      </c>
      <c r="L3182" t="s">
        <v>1515</v>
      </c>
      <c r="M3182" t="s">
        <v>12</v>
      </c>
      <c r="N3182" s="2">
        <v>0</v>
      </c>
      <c r="O3182" s="2">
        <v>0</v>
      </c>
      <c r="P3182" s="2">
        <v>108000.01</v>
      </c>
      <c r="Q3182" s="2">
        <v>108000.01</v>
      </c>
      <c r="R3182" s="2">
        <v>0</v>
      </c>
      <c r="S3182" s="2">
        <v>0</v>
      </c>
      <c r="T3182" s="2">
        <v>0</v>
      </c>
      <c r="U3182" s="2">
        <v>108000.01</v>
      </c>
      <c r="V3182" s="2">
        <v>108000.01</v>
      </c>
      <c r="W3182" s="2">
        <v>108000.01</v>
      </c>
    </row>
    <row r="3183" spans="1:23" outlineLevel="2" x14ac:dyDescent="0.2">
      <c r="A3183" t="s">
        <v>999</v>
      </c>
      <c r="B3183" t="s">
        <v>1</v>
      </c>
      <c r="C3183" t="s">
        <v>2</v>
      </c>
      <c r="D3183" t="s">
        <v>1533</v>
      </c>
      <c r="E3183" t="s">
        <v>1534</v>
      </c>
      <c r="F3183" t="s">
        <v>911</v>
      </c>
      <c r="G3183" t="s">
        <v>912</v>
      </c>
      <c r="H3183" t="s">
        <v>1535</v>
      </c>
      <c r="I3183" t="s">
        <v>1536</v>
      </c>
      <c r="J3183" t="s">
        <v>1000</v>
      </c>
      <c r="K3183" t="s">
        <v>1104</v>
      </c>
      <c r="L3183" t="s">
        <v>1515</v>
      </c>
      <c r="M3183" t="s">
        <v>15</v>
      </c>
      <c r="N3183" s="2">
        <v>43200</v>
      </c>
      <c r="O3183" s="2">
        <v>64800.01</v>
      </c>
      <c r="P3183" s="2">
        <v>-108000.01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</row>
    <row r="3184" spans="1:23" outlineLevel="2" x14ac:dyDescent="0.2">
      <c r="A3184" t="s">
        <v>999</v>
      </c>
      <c r="B3184" t="s">
        <v>1</v>
      </c>
      <c r="C3184" t="s">
        <v>2</v>
      </c>
      <c r="D3184" t="s">
        <v>1533</v>
      </c>
      <c r="E3184" t="s">
        <v>1534</v>
      </c>
      <c r="F3184" t="s">
        <v>911</v>
      </c>
      <c r="G3184" t="s">
        <v>912</v>
      </c>
      <c r="H3184" t="s">
        <v>1535</v>
      </c>
      <c r="I3184" t="s">
        <v>1536</v>
      </c>
      <c r="J3184" t="s">
        <v>1000</v>
      </c>
      <c r="K3184" t="s">
        <v>1003</v>
      </c>
      <c r="L3184" t="s">
        <v>1517</v>
      </c>
      <c r="M3184" t="s">
        <v>15</v>
      </c>
      <c r="N3184" s="2">
        <v>50000</v>
      </c>
      <c r="O3184" s="2">
        <v>196360</v>
      </c>
      <c r="P3184" s="2">
        <v>-246360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</row>
    <row r="3185" spans="1:23" outlineLevel="2" x14ac:dyDescent="0.2">
      <c r="A3185" t="s">
        <v>999</v>
      </c>
      <c r="B3185" t="s">
        <v>1</v>
      </c>
      <c r="C3185" t="s">
        <v>2</v>
      </c>
      <c r="D3185" t="s">
        <v>1533</v>
      </c>
      <c r="E3185" t="s">
        <v>1534</v>
      </c>
      <c r="F3185" t="s">
        <v>911</v>
      </c>
      <c r="G3185" t="s">
        <v>912</v>
      </c>
      <c r="H3185" t="s">
        <v>1535</v>
      </c>
      <c r="I3185" t="s">
        <v>1536</v>
      </c>
      <c r="J3185" t="s">
        <v>1000</v>
      </c>
      <c r="K3185" t="s">
        <v>1029</v>
      </c>
      <c r="L3185" t="s">
        <v>1440</v>
      </c>
      <c r="M3185" t="s">
        <v>15</v>
      </c>
      <c r="N3185" s="2">
        <v>0</v>
      </c>
      <c r="O3185" s="2">
        <v>65000</v>
      </c>
      <c r="P3185" s="2">
        <v>-65000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</row>
    <row r="3186" spans="1:23" outlineLevel="2" x14ac:dyDescent="0.2">
      <c r="A3186" t="s">
        <v>999</v>
      </c>
      <c r="B3186" t="s">
        <v>1</v>
      </c>
      <c r="C3186" t="s">
        <v>2</v>
      </c>
      <c r="D3186" t="s">
        <v>1533</v>
      </c>
      <c r="E3186" t="s">
        <v>1534</v>
      </c>
      <c r="F3186" t="s">
        <v>911</v>
      </c>
      <c r="G3186" t="s">
        <v>912</v>
      </c>
      <c r="H3186" t="s">
        <v>1535</v>
      </c>
      <c r="I3186" t="s">
        <v>1536</v>
      </c>
      <c r="J3186" t="s">
        <v>1000</v>
      </c>
      <c r="K3186" t="s">
        <v>1031</v>
      </c>
      <c r="L3186" t="s">
        <v>1452</v>
      </c>
      <c r="M3186" t="s">
        <v>15</v>
      </c>
      <c r="N3186" s="2">
        <v>545000</v>
      </c>
      <c r="O3186" s="2">
        <v>31794.78</v>
      </c>
      <c r="P3186" s="2">
        <v>-576794.78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</row>
    <row r="3187" spans="1:23" outlineLevel="2" x14ac:dyDescent="0.2">
      <c r="A3187" t="s">
        <v>999</v>
      </c>
      <c r="B3187" t="s">
        <v>1</v>
      </c>
      <c r="C3187" t="s">
        <v>2</v>
      </c>
      <c r="D3187" t="s">
        <v>1533</v>
      </c>
      <c r="E3187" t="s">
        <v>1534</v>
      </c>
      <c r="F3187" t="s">
        <v>911</v>
      </c>
      <c r="G3187" t="s">
        <v>912</v>
      </c>
      <c r="H3187" t="s">
        <v>1535</v>
      </c>
      <c r="I3187" t="s">
        <v>1536</v>
      </c>
      <c r="J3187" t="s">
        <v>1000</v>
      </c>
      <c r="K3187" t="s">
        <v>1116</v>
      </c>
      <c r="L3187" t="s">
        <v>1453</v>
      </c>
      <c r="M3187" t="s">
        <v>15</v>
      </c>
      <c r="N3187" s="2">
        <v>300000</v>
      </c>
      <c r="O3187" s="2">
        <v>44677.85</v>
      </c>
      <c r="P3187" s="2">
        <v>-118623.21</v>
      </c>
      <c r="Q3187" s="2">
        <v>226054.64</v>
      </c>
      <c r="R3187" s="2">
        <v>125400.8</v>
      </c>
      <c r="S3187" s="2">
        <v>100653.84</v>
      </c>
      <c r="T3187" s="2">
        <v>0</v>
      </c>
      <c r="U3187" s="2">
        <v>125400.8</v>
      </c>
      <c r="V3187" s="2">
        <v>226054.64</v>
      </c>
      <c r="W3187" s="2">
        <v>0</v>
      </c>
    </row>
    <row r="3188" spans="1:23" outlineLevel="2" x14ac:dyDescent="0.2">
      <c r="A3188" t="s">
        <v>999</v>
      </c>
      <c r="B3188" t="s">
        <v>1</v>
      </c>
      <c r="C3188" t="s">
        <v>2</v>
      </c>
      <c r="D3188" t="s">
        <v>1533</v>
      </c>
      <c r="E3188" t="s">
        <v>1534</v>
      </c>
      <c r="F3188" t="s">
        <v>911</v>
      </c>
      <c r="G3188" t="s">
        <v>912</v>
      </c>
      <c r="H3188" t="s">
        <v>1537</v>
      </c>
      <c r="I3188" t="s">
        <v>1538</v>
      </c>
      <c r="J3188" t="s">
        <v>1000</v>
      </c>
      <c r="K3188" t="s">
        <v>1104</v>
      </c>
      <c r="L3188" t="s">
        <v>1515</v>
      </c>
      <c r="M3188" t="s">
        <v>12</v>
      </c>
      <c r="N3188" s="2">
        <v>0</v>
      </c>
      <c r="O3188" s="2">
        <v>0</v>
      </c>
      <c r="P3188" s="2">
        <v>7372.48</v>
      </c>
      <c r="Q3188" s="2">
        <v>7372.48</v>
      </c>
      <c r="R3188" s="2">
        <v>0</v>
      </c>
      <c r="S3188" s="2">
        <v>0</v>
      </c>
      <c r="T3188" s="2">
        <v>0</v>
      </c>
      <c r="U3188" s="2">
        <v>7372.48</v>
      </c>
      <c r="V3188" s="2">
        <v>7372.48</v>
      </c>
      <c r="W3188" s="2">
        <v>7372.48</v>
      </c>
    </row>
    <row r="3189" spans="1:23" outlineLevel="2" x14ac:dyDescent="0.2">
      <c r="A3189" t="s">
        <v>999</v>
      </c>
      <c r="B3189" t="s">
        <v>1</v>
      </c>
      <c r="C3189" t="s">
        <v>2</v>
      </c>
      <c r="D3189" t="s">
        <v>1533</v>
      </c>
      <c r="E3189" t="s">
        <v>1534</v>
      </c>
      <c r="F3189" t="s">
        <v>911</v>
      </c>
      <c r="G3189" t="s">
        <v>912</v>
      </c>
      <c r="H3189" t="s">
        <v>1537</v>
      </c>
      <c r="I3189" t="s">
        <v>1538</v>
      </c>
      <c r="J3189" t="s">
        <v>1000</v>
      </c>
      <c r="K3189" t="s">
        <v>1104</v>
      </c>
      <c r="L3189" t="s">
        <v>1515</v>
      </c>
      <c r="M3189" t="s">
        <v>15</v>
      </c>
      <c r="N3189" s="2">
        <v>1138288.02</v>
      </c>
      <c r="O3189" s="2">
        <v>0</v>
      </c>
      <c r="P3189" s="2">
        <v>-310756.03000000003</v>
      </c>
      <c r="Q3189" s="2">
        <v>827531.99</v>
      </c>
      <c r="R3189" s="2">
        <v>13838.83</v>
      </c>
      <c r="S3189" s="2">
        <v>813693.16</v>
      </c>
      <c r="T3189" s="2">
        <v>581679.42000000004</v>
      </c>
      <c r="U3189" s="2">
        <v>13838.83</v>
      </c>
      <c r="V3189" s="2">
        <v>245852.57</v>
      </c>
      <c r="W3189" s="2">
        <v>0</v>
      </c>
    </row>
    <row r="3190" spans="1:23" outlineLevel="2" x14ac:dyDescent="0.2">
      <c r="A3190" t="s">
        <v>999</v>
      </c>
      <c r="B3190" t="s">
        <v>1</v>
      </c>
      <c r="C3190" t="s">
        <v>2</v>
      </c>
      <c r="D3190" t="s">
        <v>1533</v>
      </c>
      <c r="E3190" t="s">
        <v>1534</v>
      </c>
      <c r="F3190" t="s">
        <v>911</v>
      </c>
      <c r="G3190" t="s">
        <v>912</v>
      </c>
      <c r="H3190" t="s">
        <v>1537</v>
      </c>
      <c r="I3190" t="s">
        <v>1538</v>
      </c>
      <c r="J3190" t="s">
        <v>1000</v>
      </c>
      <c r="K3190" t="s">
        <v>1003</v>
      </c>
      <c r="L3190" t="s">
        <v>1517</v>
      </c>
      <c r="M3190" t="s">
        <v>15</v>
      </c>
      <c r="N3190" s="2">
        <v>112000</v>
      </c>
      <c r="O3190" s="2">
        <v>-39264.959999999999</v>
      </c>
      <c r="P3190" s="2">
        <v>0</v>
      </c>
      <c r="Q3190" s="2">
        <v>72735.039999999994</v>
      </c>
      <c r="R3190" s="2">
        <v>0</v>
      </c>
      <c r="S3190" s="2">
        <v>72735.039999999994</v>
      </c>
      <c r="T3190" s="2">
        <v>0</v>
      </c>
      <c r="U3190" s="2">
        <v>0</v>
      </c>
      <c r="V3190" s="2">
        <v>72735.039999999994</v>
      </c>
      <c r="W3190" s="2">
        <v>0</v>
      </c>
    </row>
    <row r="3191" spans="1:23" outlineLevel="2" x14ac:dyDescent="0.2">
      <c r="A3191" t="s">
        <v>999</v>
      </c>
      <c r="B3191" t="s">
        <v>1</v>
      </c>
      <c r="C3191" t="s">
        <v>2</v>
      </c>
      <c r="D3191" t="s">
        <v>1533</v>
      </c>
      <c r="E3191" t="s">
        <v>1534</v>
      </c>
      <c r="F3191" t="s">
        <v>911</v>
      </c>
      <c r="G3191" t="s">
        <v>912</v>
      </c>
      <c r="H3191" t="s">
        <v>1537</v>
      </c>
      <c r="I3191" t="s">
        <v>1538</v>
      </c>
      <c r="J3191" t="s">
        <v>1000</v>
      </c>
      <c r="K3191" t="s">
        <v>1539</v>
      </c>
      <c r="L3191" t="s">
        <v>1540</v>
      </c>
      <c r="M3191" t="s">
        <v>15</v>
      </c>
      <c r="N3191" s="2">
        <v>12600</v>
      </c>
      <c r="O3191" s="2">
        <v>-12600</v>
      </c>
      <c r="P3191" s="2">
        <v>0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</row>
    <row r="3192" spans="1:23" outlineLevel="2" x14ac:dyDescent="0.2">
      <c r="A3192" t="s">
        <v>999</v>
      </c>
      <c r="B3192" t="s">
        <v>1</v>
      </c>
      <c r="C3192" t="s">
        <v>2</v>
      </c>
      <c r="D3192" t="s">
        <v>1533</v>
      </c>
      <c r="E3192" t="s">
        <v>1534</v>
      </c>
      <c r="F3192" t="s">
        <v>911</v>
      </c>
      <c r="G3192" t="s">
        <v>912</v>
      </c>
      <c r="H3192" t="s">
        <v>1537</v>
      </c>
      <c r="I3192" t="s">
        <v>1538</v>
      </c>
      <c r="J3192" t="s">
        <v>1000</v>
      </c>
      <c r="K3192" t="s">
        <v>1029</v>
      </c>
      <c r="L3192" t="s">
        <v>1440</v>
      </c>
      <c r="M3192" t="s">
        <v>15</v>
      </c>
      <c r="N3192" s="2">
        <v>25088</v>
      </c>
      <c r="O3192" s="2">
        <v>-10976</v>
      </c>
      <c r="P3192" s="2">
        <v>-14112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</row>
    <row r="3193" spans="1:23" outlineLevel="2" x14ac:dyDescent="0.2">
      <c r="A3193" t="s">
        <v>999</v>
      </c>
      <c r="B3193" t="s">
        <v>1</v>
      </c>
      <c r="C3193" t="s">
        <v>2</v>
      </c>
      <c r="D3193" t="s">
        <v>1533</v>
      </c>
      <c r="E3193" t="s">
        <v>1534</v>
      </c>
      <c r="F3193" t="s">
        <v>911</v>
      </c>
      <c r="G3193" t="s">
        <v>912</v>
      </c>
      <c r="H3193" t="s">
        <v>1537</v>
      </c>
      <c r="I3193" t="s">
        <v>1538</v>
      </c>
      <c r="J3193" t="s">
        <v>1000</v>
      </c>
      <c r="K3193" t="s">
        <v>1029</v>
      </c>
      <c r="L3193" t="s">
        <v>1440</v>
      </c>
      <c r="M3193" t="s">
        <v>12</v>
      </c>
      <c r="N3193" s="2">
        <v>0</v>
      </c>
      <c r="O3193" s="2">
        <v>0</v>
      </c>
      <c r="P3193" s="2">
        <v>14112</v>
      </c>
      <c r="Q3193" s="2">
        <v>14112</v>
      </c>
      <c r="R3193" s="2">
        <v>0</v>
      </c>
      <c r="S3193" s="2">
        <v>0</v>
      </c>
      <c r="T3193" s="2">
        <v>0</v>
      </c>
      <c r="U3193" s="2">
        <v>14112</v>
      </c>
      <c r="V3193" s="2">
        <v>14112</v>
      </c>
      <c r="W3193" s="2">
        <v>14112</v>
      </c>
    </row>
    <row r="3194" spans="1:23" outlineLevel="2" x14ac:dyDescent="0.2">
      <c r="A3194" t="s">
        <v>999</v>
      </c>
      <c r="B3194" t="s">
        <v>1</v>
      </c>
      <c r="C3194" t="s">
        <v>2</v>
      </c>
      <c r="D3194" t="s">
        <v>1533</v>
      </c>
      <c r="E3194" t="s">
        <v>1534</v>
      </c>
      <c r="F3194" t="s">
        <v>911</v>
      </c>
      <c r="G3194" t="s">
        <v>912</v>
      </c>
      <c r="H3194" t="s">
        <v>1537</v>
      </c>
      <c r="I3194" t="s">
        <v>1538</v>
      </c>
      <c r="J3194" t="s">
        <v>1000</v>
      </c>
      <c r="K3194" t="s">
        <v>1031</v>
      </c>
      <c r="L3194" t="s">
        <v>1452</v>
      </c>
      <c r="M3194" t="s">
        <v>15</v>
      </c>
      <c r="N3194" s="2">
        <v>512008.35</v>
      </c>
      <c r="O3194" s="2">
        <v>382362.23</v>
      </c>
      <c r="P3194" s="2">
        <v>-269237.39</v>
      </c>
      <c r="Q3194" s="2">
        <v>625133.18999999994</v>
      </c>
      <c r="R3194" s="2">
        <v>92233.14</v>
      </c>
      <c r="S3194" s="2">
        <v>532900.05000000005</v>
      </c>
      <c r="T3194" s="2">
        <v>529136.85</v>
      </c>
      <c r="U3194" s="2">
        <v>92233.14</v>
      </c>
      <c r="V3194" s="2">
        <v>95996.34</v>
      </c>
      <c r="W3194" s="2">
        <v>0</v>
      </c>
    </row>
    <row r="3195" spans="1:23" outlineLevel="2" x14ac:dyDescent="0.2">
      <c r="A3195" t="s">
        <v>999</v>
      </c>
      <c r="B3195" t="s">
        <v>1</v>
      </c>
      <c r="C3195" t="s">
        <v>2</v>
      </c>
      <c r="D3195" t="s">
        <v>1533</v>
      </c>
      <c r="E3195" t="s">
        <v>1534</v>
      </c>
      <c r="F3195" t="s">
        <v>911</v>
      </c>
      <c r="G3195" t="s">
        <v>912</v>
      </c>
      <c r="H3195" t="s">
        <v>1537</v>
      </c>
      <c r="I3195" t="s">
        <v>1538</v>
      </c>
      <c r="J3195" t="s">
        <v>1000</v>
      </c>
      <c r="K3195" t="s">
        <v>1031</v>
      </c>
      <c r="L3195" t="s">
        <v>1452</v>
      </c>
      <c r="M3195" t="s">
        <v>12</v>
      </c>
      <c r="N3195" s="2">
        <v>0</v>
      </c>
      <c r="O3195" s="2">
        <v>0</v>
      </c>
      <c r="P3195" s="2">
        <v>92400.01</v>
      </c>
      <c r="Q3195" s="2">
        <v>92400.01</v>
      </c>
      <c r="R3195" s="2">
        <v>0</v>
      </c>
      <c r="S3195" s="2">
        <v>0</v>
      </c>
      <c r="T3195" s="2">
        <v>0</v>
      </c>
      <c r="U3195" s="2">
        <v>92400.01</v>
      </c>
      <c r="V3195" s="2">
        <v>92400.01</v>
      </c>
      <c r="W3195" s="2">
        <v>92400.01</v>
      </c>
    </row>
    <row r="3196" spans="1:23" outlineLevel="2" x14ac:dyDescent="0.2">
      <c r="A3196" t="s">
        <v>999</v>
      </c>
      <c r="B3196" t="s">
        <v>1</v>
      </c>
      <c r="C3196" t="s">
        <v>2</v>
      </c>
      <c r="D3196" t="s">
        <v>1533</v>
      </c>
      <c r="E3196" t="s">
        <v>1534</v>
      </c>
      <c r="F3196" t="s">
        <v>911</v>
      </c>
      <c r="G3196" t="s">
        <v>912</v>
      </c>
      <c r="H3196" t="s">
        <v>1537</v>
      </c>
      <c r="I3196" t="s">
        <v>1538</v>
      </c>
      <c r="J3196" t="s">
        <v>1000</v>
      </c>
      <c r="K3196" t="s">
        <v>1116</v>
      </c>
      <c r="L3196" t="s">
        <v>1453</v>
      </c>
      <c r="M3196" t="s">
        <v>12</v>
      </c>
      <c r="N3196" s="2">
        <v>0</v>
      </c>
      <c r="O3196" s="2">
        <v>0</v>
      </c>
      <c r="P3196" s="2">
        <v>77101.240000000005</v>
      </c>
      <c r="Q3196" s="2">
        <v>77101.240000000005</v>
      </c>
      <c r="R3196" s="2">
        <v>0</v>
      </c>
      <c r="S3196" s="2">
        <v>0</v>
      </c>
      <c r="T3196" s="2">
        <v>0</v>
      </c>
      <c r="U3196" s="2">
        <v>77101.240000000005</v>
      </c>
      <c r="V3196" s="2">
        <v>77101.240000000005</v>
      </c>
      <c r="W3196" s="2">
        <v>77101.240000000005</v>
      </c>
    </row>
    <row r="3197" spans="1:23" outlineLevel="2" x14ac:dyDescent="0.2">
      <c r="A3197" t="s">
        <v>999</v>
      </c>
      <c r="B3197" t="s">
        <v>1</v>
      </c>
      <c r="C3197" t="s">
        <v>2</v>
      </c>
      <c r="D3197" t="s">
        <v>1533</v>
      </c>
      <c r="E3197" t="s">
        <v>1534</v>
      </c>
      <c r="F3197" t="s">
        <v>911</v>
      </c>
      <c r="G3197" t="s">
        <v>912</v>
      </c>
      <c r="H3197" t="s">
        <v>1537</v>
      </c>
      <c r="I3197" t="s">
        <v>1538</v>
      </c>
      <c r="J3197" t="s">
        <v>1000</v>
      </c>
      <c r="K3197" t="s">
        <v>1116</v>
      </c>
      <c r="L3197" t="s">
        <v>1453</v>
      </c>
      <c r="M3197" t="s">
        <v>15</v>
      </c>
      <c r="N3197" s="2">
        <v>725470.62</v>
      </c>
      <c r="O3197" s="2">
        <v>-65962.97</v>
      </c>
      <c r="P3197" s="2">
        <v>-196663.97</v>
      </c>
      <c r="Q3197" s="2">
        <v>462843.68</v>
      </c>
      <c r="R3197" s="2">
        <v>171331.62</v>
      </c>
      <c r="S3197" s="2">
        <v>291512.06</v>
      </c>
      <c r="T3197" s="2">
        <v>249256.76</v>
      </c>
      <c r="U3197" s="2">
        <v>171331.62</v>
      </c>
      <c r="V3197" s="2">
        <v>213586.92</v>
      </c>
      <c r="W3197" s="2">
        <v>0</v>
      </c>
    </row>
    <row r="3198" spans="1:23" outlineLevel="2" x14ac:dyDescent="0.2">
      <c r="A3198" t="s">
        <v>999</v>
      </c>
      <c r="B3198" t="s">
        <v>1</v>
      </c>
      <c r="C3198" t="s">
        <v>2</v>
      </c>
      <c r="D3198" t="s">
        <v>1533</v>
      </c>
      <c r="E3198" t="s">
        <v>1534</v>
      </c>
      <c r="F3198" t="s">
        <v>911</v>
      </c>
      <c r="G3198" t="s">
        <v>912</v>
      </c>
      <c r="H3198" t="s">
        <v>1537</v>
      </c>
      <c r="I3198" t="s">
        <v>1538</v>
      </c>
      <c r="J3198" t="s">
        <v>1000</v>
      </c>
      <c r="K3198" t="s">
        <v>1019</v>
      </c>
      <c r="L3198" t="s">
        <v>1541</v>
      </c>
      <c r="M3198" t="s">
        <v>15</v>
      </c>
      <c r="N3198" s="2">
        <v>42086.28</v>
      </c>
      <c r="O3198" s="2">
        <v>-42086.28</v>
      </c>
      <c r="P3198" s="2">
        <v>0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</row>
    <row r="3199" spans="1:23" outlineLevel="2" x14ac:dyDescent="0.2">
      <c r="A3199" t="s">
        <v>999</v>
      </c>
      <c r="B3199" t="s">
        <v>1</v>
      </c>
      <c r="C3199" t="s">
        <v>2</v>
      </c>
      <c r="D3199" t="s">
        <v>1533</v>
      </c>
      <c r="E3199" t="s">
        <v>1534</v>
      </c>
      <c r="F3199" t="s">
        <v>911</v>
      </c>
      <c r="G3199" t="s">
        <v>912</v>
      </c>
      <c r="H3199" t="s">
        <v>1537</v>
      </c>
      <c r="I3199" t="s">
        <v>1538</v>
      </c>
      <c r="J3199" t="s">
        <v>1000</v>
      </c>
      <c r="K3199" t="s">
        <v>1082</v>
      </c>
      <c r="L3199" t="s">
        <v>1526</v>
      </c>
      <c r="M3199" t="s">
        <v>15</v>
      </c>
      <c r="N3199" s="2">
        <v>0</v>
      </c>
      <c r="O3199" s="2">
        <v>10000</v>
      </c>
      <c r="P3199" s="2">
        <v>-2259</v>
      </c>
      <c r="Q3199" s="2">
        <v>7741</v>
      </c>
      <c r="R3199" s="2">
        <v>1612.36</v>
      </c>
      <c r="S3199" s="2">
        <v>6128.64</v>
      </c>
      <c r="T3199" s="2">
        <v>6128.64</v>
      </c>
      <c r="U3199" s="2">
        <v>1612.36</v>
      </c>
      <c r="V3199" s="2">
        <v>1612.36</v>
      </c>
      <c r="W3199" s="2">
        <v>0</v>
      </c>
    </row>
    <row r="3200" spans="1:23" outlineLevel="2" x14ac:dyDescent="0.2">
      <c r="A3200" t="s">
        <v>999</v>
      </c>
      <c r="B3200" t="s">
        <v>1</v>
      </c>
      <c r="C3200" t="s">
        <v>2</v>
      </c>
      <c r="D3200" t="s">
        <v>1533</v>
      </c>
      <c r="E3200" t="s">
        <v>1534</v>
      </c>
      <c r="F3200" t="s">
        <v>911</v>
      </c>
      <c r="G3200" t="s">
        <v>912</v>
      </c>
      <c r="H3200" t="s">
        <v>1537</v>
      </c>
      <c r="I3200" t="s">
        <v>1538</v>
      </c>
      <c r="J3200" t="s">
        <v>1000</v>
      </c>
      <c r="K3200" t="s">
        <v>1194</v>
      </c>
      <c r="L3200" t="s">
        <v>1542</v>
      </c>
      <c r="M3200" t="s">
        <v>15</v>
      </c>
      <c r="N3200" s="2">
        <v>28659.56</v>
      </c>
      <c r="O3200" s="2">
        <v>11819.16</v>
      </c>
      <c r="P3200" s="2">
        <v>-16000</v>
      </c>
      <c r="Q3200" s="2">
        <v>24478.720000000001</v>
      </c>
      <c r="R3200" s="2">
        <v>0</v>
      </c>
      <c r="S3200" s="2">
        <v>24478.720000000001</v>
      </c>
      <c r="T3200" s="2">
        <v>17700.86</v>
      </c>
      <c r="U3200" s="2">
        <v>0</v>
      </c>
      <c r="V3200" s="2">
        <v>6777.86</v>
      </c>
      <c r="W3200" s="2">
        <v>0</v>
      </c>
    </row>
    <row r="3201" spans="1:23" outlineLevel="2" x14ac:dyDescent="0.2">
      <c r="A3201" t="s">
        <v>999</v>
      </c>
      <c r="B3201" t="s">
        <v>1</v>
      </c>
      <c r="C3201" t="s">
        <v>16</v>
      </c>
      <c r="D3201" t="s">
        <v>62</v>
      </c>
      <c r="E3201" t="s">
        <v>63</v>
      </c>
      <c r="F3201" t="s">
        <v>911</v>
      </c>
      <c r="G3201" t="s">
        <v>912</v>
      </c>
      <c r="H3201" t="s">
        <v>1543</v>
      </c>
      <c r="I3201" t="s">
        <v>1544</v>
      </c>
      <c r="J3201" t="s">
        <v>1000</v>
      </c>
      <c r="K3201" t="s">
        <v>1037</v>
      </c>
      <c r="L3201" t="s">
        <v>1499</v>
      </c>
      <c r="M3201" t="s">
        <v>15</v>
      </c>
      <c r="N3201" s="2">
        <v>5000</v>
      </c>
      <c r="O3201" s="2">
        <v>0</v>
      </c>
      <c r="P3201" s="2">
        <v>-5000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</row>
    <row r="3202" spans="1:23" outlineLevel="2" x14ac:dyDescent="0.2">
      <c r="A3202" t="s">
        <v>999</v>
      </c>
      <c r="B3202" t="s">
        <v>1</v>
      </c>
      <c r="C3202" t="s">
        <v>16</v>
      </c>
      <c r="D3202" t="s">
        <v>62</v>
      </c>
      <c r="E3202" t="s">
        <v>63</v>
      </c>
      <c r="F3202" t="s">
        <v>911</v>
      </c>
      <c r="G3202" t="s">
        <v>912</v>
      </c>
      <c r="H3202" t="s">
        <v>1543</v>
      </c>
      <c r="I3202" t="s">
        <v>1544</v>
      </c>
      <c r="J3202" t="s">
        <v>1000</v>
      </c>
      <c r="K3202" t="s">
        <v>1058</v>
      </c>
      <c r="L3202" t="s">
        <v>1504</v>
      </c>
      <c r="M3202" t="s">
        <v>15</v>
      </c>
      <c r="N3202" s="2">
        <v>65000</v>
      </c>
      <c r="O3202" s="2">
        <v>0</v>
      </c>
      <c r="P3202" s="2">
        <v>-65000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</row>
    <row r="3203" spans="1:23" outlineLevel="2" x14ac:dyDescent="0.2">
      <c r="A3203" t="s">
        <v>999</v>
      </c>
      <c r="B3203" t="s">
        <v>1</v>
      </c>
      <c r="C3203" t="s">
        <v>16</v>
      </c>
      <c r="D3203" t="s">
        <v>62</v>
      </c>
      <c r="E3203" t="s">
        <v>63</v>
      </c>
      <c r="F3203" t="s">
        <v>911</v>
      </c>
      <c r="G3203" t="s">
        <v>912</v>
      </c>
      <c r="H3203" t="s">
        <v>1543</v>
      </c>
      <c r="I3203" t="s">
        <v>1544</v>
      </c>
      <c r="J3203" t="s">
        <v>1000</v>
      </c>
      <c r="K3203" t="s">
        <v>1088</v>
      </c>
      <c r="L3203" t="s">
        <v>1506</v>
      </c>
      <c r="M3203" t="s">
        <v>12</v>
      </c>
      <c r="N3203" s="2">
        <v>0</v>
      </c>
      <c r="O3203" s="2">
        <v>0</v>
      </c>
      <c r="P3203" s="2">
        <v>35000</v>
      </c>
      <c r="Q3203" s="2">
        <v>35000</v>
      </c>
      <c r="R3203" s="2">
        <v>0</v>
      </c>
      <c r="S3203" s="2">
        <v>0</v>
      </c>
      <c r="T3203" s="2">
        <v>0</v>
      </c>
      <c r="U3203" s="2">
        <v>35000</v>
      </c>
      <c r="V3203" s="2">
        <v>35000</v>
      </c>
      <c r="W3203" s="2">
        <v>35000</v>
      </c>
    </row>
    <row r="3204" spans="1:23" outlineLevel="2" x14ac:dyDescent="0.2">
      <c r="A3204" t="s">
        <v>999</v>
      </c>
      <c r="B3204" t="s">
        <v>1</v>
      </c>
      <c r="C3204" t="s">
        <v>16</v>
      </c>
      <c r="D3204" t="s">
        <v>62</v>
      </c>
      <c r="E3204" t="s">
        <v>63</v>
      </c>
      <c r="F3204" t="s">
        <v>911</v>
      </c>
      <c r="G3204" t="s">
        <v>912</v>
      </c>
      <c r="H3204" t="s">
        <v>1543</v>
      </c>
      <c r="I3204" t="s">
        <v>1544</v>
      </c>
      <c r="J3204" t="s">
        <v>1000</v>
      </c>
      <c r="K3204" t="s">
        <v>1088</v>
      </c>
      <c r="L3204" t="s">
        <v>1506</v>
      </c>
      <c r="M3204" t="s">
        <v>15</v>
      </c>
      <c r="N3204" s="2">
        <v>65000</v>
      </c>
      <c r="O3204" s="2">
        <v>0</v>
      </c>
      <c r="P3204" s="2">
        <v>-65000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</row>
    <row r="3205" spans="1:23" outlineLevel="2" x14ac:dyDescent="0.2">
      <c r="A3205" t="s">
        <v>999</v>
      </c>
      <c r="B3205" t="s">
        <v>1</v>
      </c>
      <c r="C3205" t="s">
        <v>16</v>
      </c>
      <c r="D3205" t="s">
        <v>62</v>
      </c>
      <c r="E3205" t="s">
        <v>63</v>
      </c>
      <c r="F3205" t="s">
        <v>911</v>
      </c>
      <c r="G3205" t="s">
        <v>912</v>
      </c>
      <c r="H3205" t="s">
        <v>1543</v>
      </c>
      <c r="I3205" t="s">
        <v>1544</v>
      </c>
      <c r="J3205" t="s">
        <v>1000</v>
      </c>
      <c r="K3205" t="s">
        <v>1507</v>
      </c>
      <c r="L3205" t="s">
        <v>1508</v>
      </c>
      <c r="M3205" t="s">
        <v>15</v>
      </c>
      <c r="N3205" s="2">
        <v>15000</v>
      </c>
      <c r="O3205" s="2">
        <v>0</v>
      </c>
      <c r="P3205" s="2">
        <v>-15000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</row>
    <row r="3206" spans="1:23" outlineLevel="2" x14ac:dyDescent="0.2">
      <c r="A3206" t="s">
        <v>999</v>
      </c>
      <c r="B3206" t="s">
        <v>31</v>
      </c>
      <c r="C3206" t="s">
        <v>32</v>
      </c>
      <c r="D3206" t="s">
        <v>141</v>
      </c>
      <c r="E3206" t="s">
        <v>142</v>
      </c>
      <c r="F3206" t="s">
        <v>933</v>
      </c>
      <c r="G3206" t="s">
        <v>934</v>
      </c>
      <c r="H3206" t="s">
        <v>1545</v>
      </c>
      <c r="I3206" t="s">
        <v>1546</v>
      </c>
      <c r="J3206" t="s">
        <v>1000</v>
      </c>
      <c r="K3206" t="s">
        <v>1298</v>
      </c>
      <c r="L3206" t="s">
        <v>1547</v>
      </c>
      <c r="M3206" t="s">
        <v>12</v>
      </c>
      <c r="N3206" s="2">
        <v>0</v>
      </c>
      <c r="O3206" s="2">
        <v>110080</v>
      </c>
      <c r="P3206" s="2">
        <v>-100080</v>
      </c>
      <c r="Q3206" s="2">
        <v>10000</v>
      </c>
      <c r="R3206" s="2">
        <v>0</v>
      </c>
      <c r="S3206" s="2">
        <v>0</v>
      </c>
      <c r="T3206" s="2">
        <v>0</v>
      </c>
      <c r="U3206" s="2">
        <v>10000</v>
      </c>
      <c r="V3206" s="2">
        <v>10000</v>
      </c>
      <c r="W3206" s="2">
        <v>10000</v>
      </c>
    </row>
    <row r="3207" spans="1:23" outlineLevel="2" x14ac:dyDescent="0.2">
      <c r="A3207" t="s">
        <v>999</v>
      </c>
      <c r="B3207" t="s">
        <v>31</v>
      </c>
      <c r="C3207" t="s">
        <v>32</v>
      </c>
      <c r="D3207" t="s">
        <v>141</v>
      </c>
      <c r="E3207" t="s">
        <v>142</v>
      </c>
      <c r="F3207" t="s">
        <v>933</v>
      </c>
      <c r="G3207" t="s">
        <v>934</v>
      </c>
      <c r="H3207" t="s">
        <v>1545</v>
      </c>
      <c r="I3207" t="s">
        <v>1546</v>
      </c>
      <c r="J3207" t="s">
        <v>1000</v>
      </c>
      <c r="K3207" t="s">
        <v>1037</v>
      </c>
      <c r="L3207" t="s">
        <v>1548</v>
      </c>
      <c r="M3207" t="s">
        <v>12</v>
      </c>
      <c r="N3207" s="2">
        <v>0</v>
      </c>
      <c r="O3207" s="2">
        <v>9498.7199999999993</v>
      </c>
      <c r="P3207" s="2">
        <v>0</v>
      </c>
      <c r="Q3207" s="2">
        <v>9498.7199999999993</v>
      </c>
      <c r="R3207" s="2">
        <v>0</v>
      </c>
      <c r="S3207" s="2">
        <v>3949.58</v>
      </c>
      <c r="T3207" s="2">
        <v>3949.58</v>
      </c>
      <c r="U3207" s="2">
        <v>5549.14</v>
      </c>
      <c r="V3207" s="2">
        <v>5549.14</v>
      </c>
      <c r="W3207" s="2">
        <v>5549.14</v>
      </c>
    </row>
    <row r="3208" spans="1:23" outlineLevel="2" x14ac:dyDescent="0.2">
      <c r="A3208" t="s">
        <v>999</v>
      </c>
      <c r="B3208" t="s">
        <v>31</v>
      </c>
      <c r="C3208" t="s">
        <v>32</v>
      </c>
      <c r="D3208" t="s">
        <v>141</v>
      </c>
      <c r="E3208" t="s">
        <v>142</v>
      </c>
      <c r="F3208" t="s">
        <v>933</v>
      </c>
      <c r="G3208" t="s">
        <v>934</v>
      </c>
      <c r="H3208" t="s">
        <v>1545</v>
      </c>
      <c r="I3208" t="s">
        <v>1546</v>
      </c>
      <c r="J3208" t="s">
        <v>1000</v>
      </c>
      <c r="K3208" t="s">
        <v>1549</v>
      </c>
      <c r="L3208" t="s">
        <v>1550</v>
      </c>
      <c r="M3208" t="s">
        <v>12</v>
      </c>
      <c r="N3208" s="2">
        <v>0</v>
      </c>
      <c r="O3208" s="2">
        <v>3528000</v>
      </c>
      <c r="P3208" s="2">
        <v>0</v>
      </c>
      <c r="Q3208" s="2">
        <v>3528000</v>
      </c>
      <c r="R3208" s="2">
        <v>78000</v>
      </c>
      <c r="S3208" s="2">
        <v>650000</v>
      </c>
      <c r="T3208" s="2">
        <v>371475</v>
      </c>
      <c r="U3208" s="2">
        <v>2878000</v>
      </c>
      <c r="V3208" s="2">
        <v>3156525</v>
      </c>
      <c r="W3208" s="2">
        <v>2800000</v>
      </c>
    </row>
    <row r="3209" spans="1:23" outlineLevel="2" x14ac:dyDescent="0.2">
      <c r="A3209" t="s">
        <v>999</v>
      </c>
      <c r="B3209" t="s">
        <v>31</v>
      </c>
      <c r="C3209" t="s">
        <v>32</v>
      </c>
      <c r="D3209" t="s">
        <v>141</v>
      </c>
      <c r="E3209" t="s">
        <v>142</v>
      </c>
      <c r="F3209" t="s">
        <v>933</v>
      </c>
      <c r="G3209" t="s">
        <v>934</v>
      </c>
      <c r="H3209" t="s">
        <v>1545</v>
      </c>
      <c r="I3209" t="s">
        <v>1546</v>
      </c>
      <c r="J3209" t="s">
        <v>1000</v>
      </c>
      <c r="K3209" t="s">
        <v>1551</v>
      </c>
      <c r="L3209" t="s">
        <v>1552</v>
      </c>
      <c r="M3209" t="s">
        <v>12</v>
      </c>
      <c r="N3209" s="2">
        <v>0</v>
      </c>
      <c r="O3209" s="2">
        <v>7840</v>
      </c>
      <c r="P3209" s="2">
        <v>0</v>
      </c>
      <c r="Q3209" s="2">
        <v>7840</v>
      </c>
      <c r="R3209" s="2">
        <v>0</v>
      </c>
      <c r="S3209" s="2">
        <v>2400</v>
      </c>
      <c r="T3209" s="2">
        <v>800</v>
      </c>
      <c r="U3209" s="2">
        <v>5440</v>
      </c>
      <c r="V3209" s="2">
        <v>7040</v>
      </c>
      <c r="W3209" s="2">
        <v>5440</v>
      </c>
    </row>
    <row r="3210" spans="1:23" outlineLevel="2" x14ac:dyDescent="0.2">
      <c r="A3210" t="s">
        <v>999</v>
      </c>
      <c r="B3210" t="s">
        <v>31</v>
      </c>
      <c r="C3210" t="s">
        <v>32</v>
      </c>
      <c r="D3210" t="s">
        <v>141</v>
      </c>
      <c r="E3210" t="s">
        <v>142</v>
      </c>
      <c r="F3210" t="s">
        <v>933</v>
      </c>
      <c r="G3210" t="s">
        <v>934</v>
      </c>
      <c r="H3210" t="s">
        <v>1545</v>
      </c>
      <c r="I3210" t="s">
        <v>1546</v>
      </c>
      <c r="J3210" t="s">
        <v>1000</v>
      </c>
      <c r="K3210" t="s">
        <v>1003</v>
      </c>
      <c r="L3210" t="s">
        <v>1553</v>
      </c>
      <c r="M3210" t="s">
        <v>12</v>
      </c>
      <c r="N3210" s="2">
        <v>0</v>
      </c>
      <c r="O3210" s="2">
        <v>7001.12</v>
      </c>
      <c r="P3210" s="2">
        <v>0</v>
      </c>
      <c r="Q3210" s="2">
        <v>7001.12</v>
      </c>
      <c r="R3210" s="2">
        <v>0</v>
      </c>
      <c r="S3210" s="2">
        <v>0</v>
      </c>
      <c r="T3210" s="2">
        <v>0</v>
      </c>
      <c r="U3210" s="2">
        <v>7001.12</v>
      </c>
      <c r="V3210" s="2">
        <v>7001.12</v>
      </c>
      <c r="W3210" s="2">
        <v>7001.12</v>
      </c>
    </row>
    <row r="3211" spans="1:23" outlineLevel="2" x14ac:dyDescent="0.2">
      <c r="A3211" t="s">
        <v>999</v>
      </c>
      <c r="B3211" t="s">
        <v>31</v>
      </c>
      <c r="C3211" t="s">
        <v>32</v>
      </c>
      <c r="D3211" t="s">
        <v>141</v>
      </c>
      <c r="E3211" t="s">
        <v>142</v>
      </c>
      <c r="F3211" t="s">
        <v>933</v>
      </c>
      <c r="G3211" t="s">
        <v>934</v>
      </c>
      <c r="H3211" t="s">
        <v>1545</v>
      </c>
      <c r="I3211" t="s">
        <v>1546</v>
      </c>
      <c r="J3211" t="s">
        <v>1000</v>
      </c>
      <c r="K3211" t="s">
        <v>1061</v>
      </c>
      <c r="L3211" t="s">
        <v>1554</v>
      </c>
      <c r="M3211" t="s">
        <v>12</v>
      </c>
      <c r="N3211" s="2">
        <v>0</v>
      </c>
      <c r="O3211" s="2">
        <v>7050</v>
      </c>
      <c r="P3211" s="2">
        <v>0</v>
      </c>
      <c r="Q3211" s="2">
        <v>7050</v>
      </c>
      <c r="R3211" s="2">
        <v>0</v>
      </c>
      <c r="S3211" s="2">
        <v>7050</v>
      </c>
      <c r="T3211" s="2">
        <v>7050</v>
      </c>
      <c r="U3211" s="2">
        <v>0</v>
      </c>
      <c r="V3211" s="2">
        <v>0</v>
      </c>
      <c r="W3211" s="2">
        <v>0</v>
      </c>
    </row>
    <row r="3212" spans="1:23" outlineLevel="2" x14ac:dyDescent="0.2">
      <c r="A3212" t="s">
        <v>999</v>
      </c>
      <c r="B3212" t="s">
        <v>31</v>
      </c>
      <c r="C3212" t="s">
        <v>32</v>
      </c>
      <c r="D3212" t="s">
        <v>141</v>
      </c>
      <c r="E3212" t="s">
        <v>142</v>
      </c>
      <c r="F3212" t="s">
        <v>933</v>
      </c>
      <c r="G3212" t="s">
        <v>934</v>
      </c>
      <c r="H3212" t="s">
        <v>1545</v>
      </c>
      <c r="I3212" t="s">
        <v>1546</v>
      </c>
      <c r="J3212" t="s">
        <v>1000</v>
      </c>
      <c r="K3212" t="s">
        <v>1019</v>
      </c>
      <c r="L3212" t="s">
        <v>1555</v>
      </c>
      <c r="M3212" t="s">
        <v>12</v>
      </c>
      <c r="N3212" s="2">
        <v>0</v>
      </c>
      <c r="O3212" s="2">
        <v>1020.88</v>
      </c>
      <c r="P3212" s="2">
        <v>0</v>
      </c>
      <c r="Q3212" s="2">
        <v>1020.88</v>
      </c>
      <c r="R3212" s="2">
        <v>0</v>
      </c>
      <c r="S3212" s="2">
        <v>873.6</v>
      </c>
      <c r="T3212" s="2">
        <v>873.6</v>
      </c>
      <c r="U3212" s="2">
        <v>147.28</v>
      </c>
      <c r="V3212" s="2">
        <v>147.28</v>
      </c>
      <c r="W3212" s="2">
        <v>147.28</v>
      </c>
    </row>
    <row r="3213" spans="1:23" outlineLevel="2" x14ac:dyDescent="0.2">
      <c r="A3213" t="s">
        <v>999</v>
      </c>
      <c r="B3213" t="s">
        <v>31</v>
      </c>
      <c r="C3213" t="s">
        <v>32</v>
      </c>
      <c r="D3213" t="s">
        <v>141</v>
      </c>
      <c r="E3213" t="s">
        <v>142</v>
      </c>
      <c r="F3213" t="s">
        <v>933</v>
      </c>
      <c r="G3213" t="s">
        <v>934</v>
      </c>
      <c r="H3213" t="s">
        <v>1545</v>
      </c>
      <c r="I3213" t="s">
        <v>1546</v>
      </c>
      <c r="J3213" t="s">
        <v>1000</v>
      </c>
      <c r="K3213" t="s">
        <v>1313</v>
      </c>
      <c r="L3213" t="s">
        <v>1556</v>
      </c>
      <c r="M3213" t="s">
        <v>12</v>
      </c>
      <c r="N3213" s="2">
        <v>0</v>
      </c>
      <c r="O3213" s="2">
        <v>21248.32</v>
      </c>
      <c r="P3213" s="2">
        <v>0</v>
      </c>
      <c r="Q3213" s="2">
        <v>21248.32</v>
      </c>
      <c r="R3213" s="2">
        <v>0.01</v>
      </c>
      <c r="S3213" s="2">
        <v>9772.86</v>
      </c>
      <c r="T3213" s="2">
        <v>7940.8</v>
      </c>
      <c r="U3213" s="2">
        <v>11475.46</v>
      </c>
      <c r="V3213" s="2">
        <v>13307.52</v>
      </c>
      <c r="W3213" s="2">
        <v>11475.45</v>
      </c>
    </row>
    <row r="3214" spans="1:23" outlineLevel="2" x14ac:dyDescent="0.2">
      <c r="A3214" t="s">
        <v>999</v>
      </c>
      <c r="B3214" t="s">
        <v>31</v>
      </c>
      <c r="C3214" t="s">
        <v>32</v>
      </c>
      <c r="D3214" t="s">
        <v>141</v>
      </c>
      <c r="E3214" t="s">
        <v>142</v>
      </c>
      <c r="F3214" t="s">
        <v>933</v>
      </c>
      <c r="G3214" t="s">
        <v>934</v>
      </c>
      <c r="H3214" t="s">
        <v>1545</v>
      </c>
      <c r="I3214" t="s">
        <v>1546</v>
      </c>
      <c r="J3214" t="s">
        <v>1000</v>
      </c>
      <c r="K3214" t="s">
        <v>1390</v>
      </c>
      <c r="L3214" t="s">
        <v>1557</v>
      </c>
      <c r="M3214" t="s">
        <v>12</v>
      </c>
      <c r="N3214" s="2">
        <v>0</v>
      </c>
      <c r="O3214" s="2">
        <v>4271007.62</v>
      </c>
      <c r="P3214" s="2">
        <v>0</v>
      </c>
      <c r="Q3214" s="2">
        <v>4271007.62</v>
      </c>
      <c r="R3214" s="2">
        <v>0</v>
      </c>
      <c r="S3214" s="2">
        <v>4242544.57</v>
      </c>
      <c r="T3214" s="2">
        <v>7797.57</v>
      </c>
      <c r="U3214" s="2">
        <v>28463.05</v>
      </c>
      <c r="V3214" s="2">
        <v>4263210.05</v>
      </c>
      <c r="W3214" s="2">
        <v>28463.05</v>
      </c>
    </row>
    <row r="3215" spans="1:23" outlineLevel="2" x14ac:dyDescent="0.2">
      <c r="A3215" t="s">
        <v>999</v>
      </c>
      <c r="B3215" t="s">
        <v>31</v>
      </c>
      <c r="C3215" t="s">
        <v>32</v>
      </c>
      <c r="D3215" t="s">
        <v>141</v>
      </c>
      <c r="E3215" t="s">
        <v>142</v>
      </c>
      <c r="F3215" t="s">
        <v>933</v>
      </c>
      <c r="G3215" t="s">
        <v>934</v>
      </c>
      <c r="H3215" t="s">
        <v>1545</v>
      </c>
      <c r="I3215" t="s">
        <v>1546</v>
      </c>
      <c r="J3215" t="s">
        <v>1000</v>
      </c>
      <c r="K3215" t="s">
        <v>1082</v>
      </c>
      <c r="L3215" t="s">
        <v>1558</v>
      </c>
      <c r="M3215" t="s">
        <v>12</v>
      </c>
      <c r="N3215" s="2">
        <v>0</v>
      </c>
      <c r="O3215" s="2">
        <v>590.02</v>
      </c>
      <c r="P3215" s="2">
        <v>0</v>
      </c>
      <c r="Q3215" s="2">
        <v>590.02</v>
      </c>
      <c r="R3215" s="2">
        <v>0</v>
      </c>
      <c r="S3215" s="2">
        <v>590.02</v>
      </c>
      <c r="T3215" s="2">
        <v>0</v>
      </c>
      <c r="U3215" s="2">
        <v>0</v>
      </c>
      <c r="V3215" s="2">
        <v>590.02</v>
      </c>
      <c r="W3215" s="2">
        <v>0</v>
      </c>
    </row>
    <row r="3216" spans="1:23" outlineLevel="2" x14ac:dyDescent="0.2">
      <c r="A3216" t="s">
        <v>999</v>
      </c>
      <c r="B3216" t="s">
        <v>31</v>
      </c>
      <c r="C3216" t="s">
        <v>32</v>
      </c>
      <c r="D3216" t="s">
        <v>141</v>
      </c>
      <c r="E3216" t="s">
        <v>142</v>
      </c>
      <c r="F3216" t="s">
        <v>933</v>
      </c>
      <c r="G3216" t="s">
        <v>934</v>
      </c>
      <c r="H3216" t="s">
        <v>1545</v>
      </c>
      <c r="I3216" t="s">
        <v>1546</v>
      </c>
      <c r="J3216" t="s">
        <v>1000</v>
      </c>
      <c r="K3216" t="s">
        <v>1559</v>
      </c>
      <c r="L3216" t="s">
        <v>1560</v>
      </c>
      <c r="M3216" t="s">
        <v>12</v>
      </c>
      <c r="N3216" s="2">
        <v>0</v>
      </c>
      <c r="O3216" s="2">
        <v>4760</v>
      </c>
      <c r="P3216" s="2">
        <v>0</v>
      </c>
      <c r="Q3216" s="2">
        <v>4760</v>
      </c>
      <c r="R3216" s="2">
        <v>0</v>
      </c>
      <c r="S3216" s="2">
        <v>4760</v>
      </c>
      <c r="T3216" s="2">
        <v>0</v>
      </c>
      <c r="U3216" s="2">
        <v>0</v>
      </c>
      <c r="V3216" s="2">
        <v>4760</v>
      </c>
      <c r="W3216" s="2">
        <v>0</v>
      </c>
    </row>
    <row r="3217" spans="1:23" outlineLevel="2" x14ac:dyDescent="0.2">
      <c r="A3217" t="s">
        <v>999</v>
      </c>
      <c r="B3217" t="s">
        <v>31</v>
      </c>
      <c r="C3217" t="s">
        <v>32</v>
      </c>
      <c r="D3217" t="s">
        <v>141</v>
      </c>
      <c r="E3217" t="s">
        <v>142</v>
      </c>
      <c r="F3217" t="s">
        <v>933</v>
      </c>
      <c r="G3217" t="s">
        <v>934</v>
      </c>
      <c r="H3217" t="s">
        <v>1545</v>
      </c>
      <c r="I3217" t="s">
        <v>1546</v>
      </c>
      <c r="J3217" t="s">
        <v>1000</v>
      </c>
      <c r="K3217" t="s">
        <v>1118</v>
      </c>
      <c r="L3217" t="s">
        <v>1561</v>
      </c>
      <c r="M3217" t="s">
        <v>12</v>
      </c>
      <c r="N3217" s="2">
        <v>0</v>
      </c>
      <c r="O3217" s="2">
        <v>2266.3200000000002</v>
      </c>
      <c r="P3217" s="2">
        <v>0</v>
      </c>
      <c r="Q3217" s="2">
        <v>2266.3200000000002</v>
      </c>
      <c r="R3217" s="2">
        <v>0</v>
      </c>
      <c r="S3217" s="2">
        <v>2266.3200000000002</v>
      </c>
      <c r="T3217" s="2">
        <v>0</v>
      </c>
      <c r="U3217" s="2">
        <v>0</v>
      </c>
      <c r="V3217" s="2">
        <v>2266.3200000000002</v>
      </c>
      <c r="W3217" s="2">
        <v>0</v>
      </c>
    </row>
    <row r="3218" spans="1:23" outlineLevel="2" x14ac:dyDescent="0.2">
      <c r="A3218" t="s">
        <v>999</v>
      </c>
      <c r="B3218" t="s">
        <v>31</v>
      </c>
      <c r="C3218" t="s">
        <v>32</v>
      </c>
      <c r="D3218" t="s">
        <v>141</v>
      </c>
      <c r="E3218" t="s">
        <v>142</v>
      </c>
      <c r="F3218" t="s">
        <v>933</v>
      </c>
      <c r="G3218" t="s">
        <v>934</v>
      </c>
      <c r="H3218" t="s">
        <v>1545</v>
      </c>
      <c r="I3218" t="s">
        <v>1546</v>
      </c>
      <c r="J3218" t="s">
        <v>1000</v>
      </c>
      <c r="K3218" t="s">
        <v>1343</v>
      </c>
      <c r="L3218" t="s">
        <v>1562</v>
      </c>
      <c r="M3218" t="s">
        <v>12</v>
      </c>
      <c r="N3218" s="2">
        <v>0</v>
      </c>
      <c r="O3218" s="2">
        <v>40367.360000000001</v>
      </c>
      <c r="P3218" s="2">
        <v>0</v>
      </c>
      <c r="Q3218" s="2">
        <v>40367.360000000001</v>
      </c>
      <c r="R3218" s="2">
        <v>0</v>
      </c>
      <c r="S3218" s="2">
        <v>8080.24</v>
      </c>
      <c r="T3218" s="2">
        <v>7932.4</v>
      </c>
      <c r="U3218" s="2">
        <v>32287.119999999999</v>
      </c>
      <c r="V3218" s="2">
        <v>32434.959999999999</v>
      </c>
      <c r="W3218" s="2">
        <v>32287.119999999999</v>
      </c>
    </row>
    <row r="3219" spans="1:23" outlineLevel="2" x14ac:dyDescent="0.2">
      <c r="A3219" t="s">
        <v>999</v>
      </c>
      <c r="B3219" t="s">
        <v>31</v>
      </c>
      <c r="C3219" t="s">
        <v>32</v>
      </c>
      <c r="D3219" t="s">
        <v>141</v>
      </c>
      <c r="E3219" t="s">
        <v>142</v>
      </c>
      <c r="F3219" t="s">
        <v>933</v>
      </c>
      <c r="G3219" t="s">
        <v>934</v>
      </c>
      <c r="H3219" t="s">
        <v>1545</v>
      </c>
      <c r="I3219" t="s">
        <v>1546</v>
      </c>
      <c r="J3219" t="s">
        <v>1000</v>
      </c>
      <c r="K3219" t="s">
        <v>1183</v>
      </c>
      <c r="L3219" t="s">
        <v>1563</v>
      </c>
      <c r="M3219" t="s">
        <v>12</v>
      </c>
      <c r="N3219" s="2">
        <v>0</v>
      </c>
      <c r="O3219" s="2">
        <v>2265.7600000000002</v>
      </c>
      <c r="P3219" s="2">
        <v>0</v>
      </c>
      <c r="Q3219" s="2">
        <v>2265.7600000000002</v>
      </c>
      <c r="R3219" s="2">
        <v>0</v>
      </c>
      <c r="S3219" s="2">
        <v>732.48</v>
      </c>
      <c r="T3219" s="2">
        <v>732.48</v>
      </c>
      <c r="U3219" s="2">
        <v>1533.28</v>
      </c>
      <c r="V3219" s="2">
        <v>1533.28</v>
      </c>
      <c r="W3219" s="2">
        <v>1533.28</v>
      </c>
    </row>
    <row r="3220" spans="1:23" outlineLevel="2" x14ac:dyDescent="0.2">
      <c r="A3220" t="s">
        <v>999</v>
      </c>
      <c r="B3220" t="s">
        <v>39</v>
      </c>
      <c r="C3220" t="s">
        <v>58</v>
      </c>
      <c r="D3220" t="s">
        <v>135</v>
      </c>
      <c r="E3220" t="s">
        <v>136</v>
      </c>
      <c r="F3220" t="s">
        <v>933</v>
      </c>
      <c r="G3220" t="s">
        <v>934</v>
      </c>
      <c r="H3220" t="s">
        <v>1564</v>
      </c>
      <c r="I3220" t="s">
        <v>1565</v>
      </c>
      <c r="J3220" t="s">
        <v>1000</v>
      </c>
      <c r="K3220" t="s">
        <v>1037</v>
      </c>
      <c r="L3220" t="s">
        <v>1566</v>
      </c>
      <c r="M3220" t="s">
        <v>12</v>
      </c>
      <c r="N3220" s="2">
        <v>6000</v>
      </c>
      <c r="O3220" s="2">
        <v>0</v>
      </c>
      <c r="P3220" s="2">
        <v>-6000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</row>
    <row r="3221" spans="1:23" outlineLevel="2" x14ac:dyDescent="0.2">
      <c r="A3221" t="s">
        <v>999</v>
      </c>
      <c r="B3221" t="s">
        <v>39</v>
      </c>
      <c r="C3221" t="s">
        <v>58</v>
      </c>
      <c r="D3221" t="s">
        <v>137</v>
      </c>
      <c r="E3221" t="s">
        <v>138</v>
      </c>
      <c r="F3221" t="s">
        <v>933</v>
      </c>
      <c r="G3221" t="s">
        <v>934</v>
      </c>
      <c r="H3221" t="s">
        <v>1564</v>
      </c>
      <c r="I3221" t="s">
        <v>1565</v>
      </c>
      <c r="J3221" t="s">
        <v>1000</v>
      </c>
      <c r="K3221" t="s">
        <v>1037</v>
      </c>
      <c r="L3221" t="s">
        <v>1566</v>
      </c>
      <c r="M3221" t="s">
        <v>12</v>
      </c>
      <c r="N3221" s="2">
        <v>1000</v>
      </c>
      <c r="O3221" s="2">
        <v>-1000</v>
      </c>
      <c r="P3221" s="2">
        <v>0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</row>
    <row r="3222" spans="1:23" outlineLevel="2" x14ac:dyDescent="0.2">
      <c r="A3222" t="s">
        <v>999</v>
      </c>
      <c r="B3222" t="s">
        <v>39</v>
      </c>
      <c r="C3222" t="s">
        <v>58</v>
      </c>
      <c r="D3222" t="s">
        <v>139</v>
      </c>
      <c r="E3222" t="s">
        <v>140</v>
      </c>
      <c r="F3222" t="s">
        <v>933</v>
      </c>
      <c r="G3222" t="s">
        <v>934</v>
      </c>
      <c r="H3222" t="s">
        <v>1564</v>
      </c>
      <c r="I3222" t="s">
        <v>1565</v>
      </c>
      <c r="J3222" t="s">
        <v>1000</v>
      </c>
      <c r="K3222" t="s">
        <v>1037</v>
      </c>
      <c r="L3222" t="s">
        <v>1566</v>
      </c>
      <c r="M3222" t="s">
        <v>12</v>
      </c>
      <c r="N3222" s="2">
        <v>2000</v>
      </c>
      <c r="O3222" s="2">
        <v>0</v>
      </c>
      <c r="P3222" s="2">
        <v>-2000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</row>
    <row r="3223" spans="1:23" outlineLevel="2" x14ac:dyDescent="0.2">
      <c r="A3223" t="s">
        <v>999</v>
      </c>
      <c r="B3223" t="s">
        <v>39</v>
      </c>
      <c r="C3223" t="s">
        <v>58</v>
      </c>
      <c r="D3223" t="s">
        <v>147</v>
      </c>
      <c r="E3223" t="s">
        <v>148</v>
      </c>
      <c r="F3223" t="s">
        <v>933</v>
      </c>
      <c r="G3223" t="s">
        <v>934</v>
      </c>
      <c r="H3223" t="s">
        <v>1564</v>
      </c>
      <c r="I3223" t="s">
        <v>1565</v>
      </c>
      <c r="J3223" t="s">
        <v>1000</v>
      </c>
      <c r="K3223" t="s">
        <v>1037</v>
      </c>
      <c r="L3223" t="s">
        <v>1566</v>
      </c>
      <c r="M3223" t="s">
        <v>12</v>
      </c>
      <c r="N3223" s="2">
        <v>1000</v>
      </c>
      <c r="O3223" s="2">
        <v>0</v>
      </c>
      <c r="P3223" s="2">
        <v>-1000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</row>
    <row r="3224" spans="1:23" outlineLevel="2" x14ac:dyDescent="0.2">
      <c r="A3224" t="s">
        <v>999</v>
      </c>
      <c r="B3224" t="s">
        <v>39</v>
      </c>
      <c r="C3224" t="s">
        <v>58</v>
      </c>
      <c r="D3224" t="s">
        <v>143</v>
      </c>
      <c r="E3224" t="s">
        <v>144</v>
      </c>
      <c r="F3224" t="s">
        <v>933</v>
      </c>
      <c r="G3224" t="s">
        <v>934</v>
      </c>
      <c r="H3224" t="s">
        <v>1564</v>
      </c>
      <c r="I3224" t="s">
        <v>1565</v>
      </c>
      <c r="J3224" t="s">
        <v>1000</v>
      </c>
      <c r="K3224" t="s">
        <v>1037</v>
      </c>
      <c r="L3224" t="s">
        <v>1566</v>
      </c>
      <c r="M3224" t="s">
        <v>12</v>
      </c>
      <c r="N3224" s="2">
        <v>5000</v>
      </c>
      <c r="O3224" s="2">
        <v>0</v>
      </c>
      <c r="P3224" s="2">
        <v>-5000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 s="2">
        <v>0</v>
      </c>
      <c r="W3224" s="2">
        <v>0</v>
      </c>
    </row>
    <row r="3225" spans="1:23" outlineLevel="2" x14ac:dyDescent="0.2">
      <c r="A3225" t="s">
        <v>999</v>
      </c>
      <c r="B3225" t="s">
        <v>39</v>
      </c>
      <c r="C3225" t="s">
        <v>58</v>
      </c>
      <c r="D3225" t="s">
        <v>145</v>
      </c>
      <c r="E3225" t="s">
        <v>146</v>
      </c>
      <c r="F3225" t="s">
        <v>933</v>
      </c>
      <c r="G3225" t="s">
        <v>934</v>
      </c>
      <c r="H3225" t="s">
        <v>1564</v>
      </c>
      <c r="I3225" t="s">
        <v>1565</v>
      </c>
      <c r="J3225" t="s">
        <v>1000</v>
      </c>
      <c r="K3225" t="s">
        <v>1037</v>
      </c>
      <c r="L3225" t="s">
        <v>1566</v>
      </c>
      <c r="M3225" t="s">
        <v>12</v>
      </c>
      <c r="N3225" s="2">
        <v>10000</v>
      </c>
      <c r="O3225" s="2">
        <v>0</v>
      </c>
      <c r="P3225" s="2">
        <v>-10000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</row>
    <row r="3226" spans="1:23" outlineLevel="2" x14ac:dyDescent="0.2">
      <c r="A3226" t="s">
        <v>999</v>
      </c>
      <c r="B3226" t="s">
        <v>39</v>
      </c>
      <c r="C3226" t="s">
        <v>58</v>
      </c>
      <c r="D3226" t="s">
        <v>149</v>
      </c>
      <c r="E3226" t="s">
        <v>150</v>
      </c>
      <c r="F3226" t="s">
        <v>933</v>
      </c>
      <c r="G3226" t="s">
        <v>934</v>
      </c>
      <c r="H3226" t="s">
        <v>1564</v>
      </c>
      <c r="I3226" t="s">
        <v>1565</v>
      </c>
      <c r="J3226" t="s">
        <v>1000</v>
      </c>
      <c r="K3226" t="s">
        <v>1037</v>
      </c>
      <c r="L3226" t="s">
        <v>1566</v>
      </c>
      <c r="M3226" t="s">
        <v>12</v>
      </c>
      <c r="N3226" s="2">
        <v>4000</v>
      </c>
      <c r="O3226" s="2">
        <v>0</v>
      </c>
      <c r="P3226" s="2">
        <v>-4000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</row>
    <row r="3227" spans="1:23" outlineLevel="2" x14ac:dyDescent="0.2">
      <c r="A3227" t="s">
        <v>999</v>
      </c>
      <c r="B3227" t="s">
        <v>39</v>
      </c>
      <c r="C3227" t="s">
        <v>58</v>
      </c>
      <c r="D3227" t="s">
        <v>137</v>
      </c>
      <c r="E3227" t="s">
        <v>138</v>
      </c>
      <c r="F3227" t="s">
        <v>933</v>
      </c>
      <c r="G3227" t="s">
        <v>934</v>
      </c>
      <c r="H3227" t="s">
        <v>1564</v>
      </c>
      <c r="I3227" t="s">
        <v>1565</v>
      </c>
      <c r="J3227" t="s">
        <v>1000</v>
      </c>
      <c r="K3227" t="s">
        <v>1039</v>
      </c>
      <c r="L3227" t="s">
        <v>1567</v>
      </c>
      <c r="M3227" t="s">
        <v>12</v>
      </c>
      <c r="N3227" s="2">
        <v>3000</v>
      </c>
      <c r="O3227" s="2">
        <v>-3000</v>
      </c>
      <c r="P3227" s="2">
        <v>0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</row>
    <row r="3228" spans="1:23" outlineLevel="2" x14ac:dyDescent="0.2">
      <c r="A3228" t="s">
        <v>999</v>
      </c>
      <c r="B3228" t="s">
        <v>39</v>
      </c>
      <c r="C3228" t="s">
        <v>58</v>
      </c>
      <c r="D3228" t="s">
        <v>147</v>
      </c>
      <c r="E3228" t="s">
        <v>148</v>
      </c>
      <c r="F3228" t="s">
        <v>933</v>
      </c>
      <c r="G3228" t="s">
        <v>934</v>
      </c>
      <c r="H3228" t="s">
        <v>1564</v>
      </c>
      <c r="I3228" t="s">
        <v>1565</v>
      </c>
      <c r="J3228" t="s">
        <v>1000</v>
      </c>
      <c r="K3228" t="s">
        <v>1039</v>
      </c>
      <c r="L3228" t="s">
        <v>1567</v>
      </c>
      <c r="M3228" t="s">
        <v>12</v>
      </c>
      <c r="N3228" s="2">
        <v>6000</v>
      </c>
      <c r="O3228" s="2">
        <v>0</v>
      </c>
      <c r="P3228" s="2">
        <v>-6000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</row>
    <row r="3229" spans="1:23" outlineLevel="2" x14ac:dyDescent="0.2">
      <c r="A3229" t="s">
        <v>999</v>
      </c>
      <c r="B3229" t="s">
        <v>39</v>
      </c>
      <c r="C3229" t="s">
        <v>58</v>
      </c>
      <c r="D3229" t="s">
        <v>135</v>
      </c>
      <c r="E3229" t="s">
        <v>136</v>
      </c>
      <c r="F3229" t="s">
        <v>933</v>
      </c>
      <c r="G3229" t="s">
        <v>934</v>
      </c>
      <c r="H3229" t="s">
        <v>1564</v>
      </c>
      <c r="I3229" t="s">
        <v>1565</v>
      </c>
      <c r="J3229" t="s">
        <v>1000</v>
      </c>
      <c r="K3229" t="s">
        <v>1039</v>
      </c>
      <c r="L3229" t="s">
        <v>1567</v>
      </c>
      <c r="M3229" t="s">
        <v>12</v>
      </c>
      <c r="N3229" s="2">
        <v>3000</v>
      </c>
      <c r="O3229" s="2">
        <v>0</v>
      </c>
      <c r="P3229" s="2">
        <v>-3000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</row>
    <row r="3230" spans="1:23" outlineLevel="2" x14ac:dyDescent="0.2">
      <c r="A3230" t="s">
        <v>999</v>
      </c>
      <c r="B3230" t="s">
        <v>39</v>
      </c>
      <c r="C3230" t="s">
        <v>58</v>
      </c>
      <c r="D3230" t="s">
        <v>139</v>
      </c>
      <c r="E3230" t="s">
        <v>140</v>
      </c>
      <c r="F3230" t="s">
        <v>933</v>
      </c>
      <c r="G3230" t="s">
        <v>934</v>
      </c>
      <c r="H3230" t="s">
        <v>1564</v>
      </c>
      <c r="I3230" t="s">
        <v>1565</v>
      </c>
      <c r="J3230" t="s">
        <v>1000</v>
      </c>
      <c r="K3230" t="s">
        <v>1039</v>
      </c>
      <c r="L3230" t="s">
        <v>1567</v>
      </c>
      <c r="M3230" t="s">
        <v>12</v>
      </c>
      <c r="N3230" s="2">
        <v>6000</v>
      </c>
      <c r="O3230" s="2">
        <v>0</v>
      </c>
      <c r="P3230" s="2">
        <v>-6000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</row>
    <row r="3231" spans="1:23" outlineLevel="2" x14ac:dyDescent="0.2">
      <c r="A3231" t="s">
        <v>999</v>
      </c>
      <c r="B3231" t="s">
        <v>39</v>
      </c>
      <c r="C3231" t="s">
        <v>58</v>
      </c>
      <c r="D3231" t="s">
        <v>59</v>
      </c>
      <c r="E3231" t="s">
        <v>60</v>
      </c>
      <c r="F3231" t="s">
        <v>933</v>
      </c>
      <c r="G3231" t="s">
        <v>934</v>
      </c>
      <c r="H3231" t="s">
        <v>1564</v>
      </c>
      <c r="I3231" t="s">
        <v>1565</v>
      </c>
      <c r="J3231" t="s">
        <v>1000</v>
      </c>
      <c r="K3231" t="s">
        <v>1039</v>
      </c>
      <c r="L3231" t="s">
        <v>1567</v>
      </c>
      <c r="M3231" t="s">
        <v>12</v>
      </c>
      <c r="N3231" s="2">
        <v>3000</v>
      </c>
      <c r="O3231" s="2">
        <v>0</v>
      </c>
      <c r="P3231" s="2">
        <v>-3000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</row>
    <row r="3232" spans="1:23" outlineLevel="2" x14ac:dyDescent="0.2">
      <c r="A3232" t="s">
        <v>999</v>
      </c>
      <c r="B3232" t="s">
        <v>39</v>
      </c>
      <c r="C3232" t="s">
        <v>58</v>
      </c>
      <c r="D3232" t="s">
        <v>145</v>
      </c>
      <c r="E3232" t="s">
        <v>146</v>
      </c>
      <c r="F3232" t="s">
        <v>933</v>
      </c>
      <c r="G3232" t="s">
        <v>934</v>
      </c>
      <c r="H3232" t="s">
        <v>1564</v>
      </c>
      <c r="I3232" t="s">
        <v>1565</v>
      </c>
      <c r="J3232" t="s">
        <v>1000</v>
      </c>
      <c r="K3232" t="s">
        <v>1039</v>
      </c>
      <c r="L3232" t="s">
        <v>1567</v>
      </c>
      <c r="M3232" t="s">
        <v>12</v>
      </c>
      <c r="N3232" s="2">
        <v>3000</v>
      </c>
      <c r="O3232" s="2">
        <v>0</v>
      </c>
      <c r="P3232" s="2">
        <v>-3000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</row>
    <row r="3233" spans="1:23" outlineLevel="2" x14ac:dyDescent="0.2">
      <c r="A3233" t="s">
        <v>999</v>
      </c>
      <c r="B3233" t="s">
        <v>39</v>
      </c>
      <c r="C3233" t="s">
        <v>58</v>
      </c>
      <c r="D3233" t="s">
        <v>149</v>
      </c>
      <c r="E3233" t="s">
        <v>150</v>
      </c>
      <c r="F3233" t="s">
        <v>933</v>
      </c>
      <c r="G3233" t="s">
        <v>934</v>
      </c>
      <c r="H3233" t="s">
        <v>1564</v>
      </c>
      <c r="I3233" t="s">
        <v>1565</v>
      </c>
      <c r="J3233" t="s">
        <v>1000</v>
      </c>
      <c r="K3233" t="s">
        <v>1039</v>
      </c>
      <c r="L3233" t="s">
        <v>1567</v>
      </c>
      <c r="M3233" t="s">
        <v>12</v>
      </c>
      <c r="N3233" s="2">
        <v>9000</v>
      </c>
      <c r="O3233" s="2">
        <v>0</v>
      </c>
      <c r="P3233" s="2">
        <v>-9000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</row>
    <row r="3234" spans="1:23" outlineLevel="2" x14ac:dyDescent="0.2">
      <c r="A3234" t="s">
        <v>999</v>
      </c>
      <c r="B3234" t="s">
        <v>39</v>
      </c>
      <c r="C3234" t="s">
        <v>58</v>
      </c>
      <c r="D3234" t="s">
        <v>143</v>
      </c>
      <c r="E3234" t="s">
        <v>144</v>
      </c>
      <c r="F3234" t="s">
        <v>933</v>
      </c>
      <c r="G3234" t="s">
        <v>934</v>
      </c>
      <c r="H3234" t="s">
        <v>1564</v>
      </c>
      <c r="I3234" t="s">
        <v>1565</v>
      </c>
      <c r="J3234" t="s">
        <v>1000</v>
      </c>
      <c r="K3234" t="s">
        <v>1039</v>
      </c>
      <c r="L3234" t="s">
        <v>1567</v>
      </c>
      <c r="M3234" t="s">
        <v>12</v>
      </c>
      <c r="N3234" s="2">
        <v>3000</v>
      </c>
      <c r="O3234" s="2">
        <v>-3000</v>
      </c>
      <c r="P3234" s="2">
        <v>0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</row>
    <row r="3235" spans="1:23" outlineLevel="2" x14ac:dyDescent="0.2">
      <c r="A3235" t="s">
        <v>999</v>
      </c>
      <c r="B3235" t="s">
        <v>31</v>
      </c>
      <c r="C3235" t="s">
        <v>32</v>
      </c>
      <c r="D3235" t="s">
        <v>141</v>
      </c>
      <c r="E3235" t="s">
        <v>142</v>
      </c>
      <c r="F3235" t="s">
        <v>933</v>
      </c>
      <c r="G3235" t="s">
        <v>934</v>
      </c>
      <c r="H3235" t="s">
        <v>1564</v>
      </c>
      <c r="I3235" t="s">
        <v>1565</v>
      </c>
      <c r="J3235" t="s">
        <v>1000</v>
      </c>
      <c r="K3235" t="s">
        <v>1009</v>
      </c>
      <c r="L3235" t="s">
        <v>1568</v>
      </c>
      <c r="M3235" t="s">
        <v>12</v>
      </c>
      <c r="N3235" s="2">
        <v>2500</v>
      </c>
      <c r="O3235" s="2">
        <v>0</v>
      </c>
      <c r="P3235" s="2">
        <v>0</v>
      </c>
      <c r="Q3235" s="2">
        <v>2500</v>
      </c>
      <c r="R3235" s="2">
        <v>0</v>
      </c>
      <c r="S3235" s="2">
        <v>0</v>
      </c>
      <c r="T3235" s="2">
        <v>0</v>
      </c>
      <c r="U3235" s="2">
        <v>2500</v>
      </c>
      <c r="V3235" s="2">
        <v>2500</v>
      </c>
      <c r="W3235" s="2">
        <v>2500</v>
      </c>
    </row>
    <row r="3236" spans="1:23" outlineLevel="2" x14ac:dyDescent="0.2">
      <c r="A3236" t="s">
        <v>999</v>
      </c>
      <c r="B3236" t="s">
        <v>39</v>
      </c>
      <c r="C3236" t="s">
        <v>58</v>
      </c>
      <c r="D3236" t="s">
        <v>149</v>
      </c>
      <c r="E3236" t="s">
        <v>150</v>
      </c>
      <c r="F3236" t="s">
        <v>933</v>
      </c>
      <c r="G3236" t="s">
        <v>934</v>
      </c>
      <c r="H3236" t="s">
        <v>1564</v>
      </c>
      <c r="I3236" t="s">
        <v>1565</v>
      </c>
      <c r="J3236" t="s">
        <v>1000</v>
      </c>
      <c r="K3236" t="s">
        <v>1011</v>
      </c>
      <c r="L3236" t="s">
        <v>1569</v>
      </c>
      <c r="M3236" t="s">
        <v>12</v>
      </c>
      <c r="N3236" s="2">
        <v>21090.240000000002</v>
      </c>
      <c r="O3236" s="2">
        <v>0</v>
      </c>
      <c r="P3236" s="2">
        <v>-21090.240000000002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</row>
    <row r="3237" spans="1:23" outlineLevel="2" x14ac:dyDescent="0.2">
      <c r="A3237" t="s">
        <v>999</v>
      </c>
      <c r="B3237" t="s">
        <v>39</v>
      </c>
      <c r="C3237" t="s">
        <v>58</v>
      </c>
      <c r="D3237" t="s">
        <v>145</v>
      </c>
      <c r="E3237" t="s">
        <v>146</v>
      </c>
      <c r="F3237" t="s">
        <v>933</v>
      </c>
      <c r="G3237" t="s">
        <v>934</v>
      </c>
      <c r="H3237" t="s">
        <v>1564</v>
      </c>
      <c r="I3237" t="s">
        <v>1565</v>
      </c>
      <c r="J3237" t="s">
        <v>1000</v>
      </c>
      <c r="K3237" t="s">
        <v>1011</v>
      </c>
      <c r="L3237" t="s">
        <v>1569</v>
      </c>
      <c r="M3237" t="s">
        <v>12</v>
      </c>
      <c r="N3237" s="2">
        <v>21090.240000000002</v>
      </c>
      <c r="O3237" s="2">
        <v>0</v>
      </c>
      <c r="P3237" s="2">
        <v>-14059.96</v>
      </c>
      <c r="Q3237" s="2">
        <v>7030.28</v>
      </c>
      <c r="R3237" s="2">
        <v>0</v>
      </c>
      <c r="S3237" s="2">
        <v>7030.28</v>
      </c>
      <c r="T3237" s="2">
        <v>3515.14</v>
      </c>
      <c r="U3237" s="2">
        <v>0</v>
      </c>
      <c r="V3237" s="2">
        <v>3515.14</v>
      </c>
      <c r="W3237" s="2">
        <v>0</v>
      </c>
    </row>
    <row r="3238" spans="1:23" outlineLevel="2" x14ac:dyDescent="0.2">
      <c r="A3238" t="s">
        <v>999</v>
      </c>
      <c r="B3238" t="s">
        <v>39</v>
      </c>
      <c r="C3238" t="s">
        <v>58</v>
      </c>
      <c r="D3238" t="s">
        <v>139</v>
      </c>
      <c r="E3238" t="s">
        <v>140</v>
      </c>
      <c r="F3238" t="s">
        <v>933</v>
      </c>
      <c r="G3238" t="s">
        <v>934</v>
      </c>
      <c r="H3238" t="s">
        <v>1564</v>
      </c>
      <c r="I3238" t="s">
        <v>1565</v>
      </c>
      <c r="J3238" t="s">
        <v>1000</v>
      </c>
      <c r="K3238" t="s">
        <v>1011</v>
      </c>
      <c r="L3238" t="s">
        <v>1569</v>
      </c>
      <c r="M3238" t="s">
        <v>12</v>
      </c>
      <c r="N3238" s="2">
        <v>21090.240000000002</v>
      </c>
      <c r="O3238" s="2">
        <v>-5000</v>
      </c>
      <c r="P3238" s="2">
        <v>-16090.24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</row>
    <row r="3239" spans="1:23" outlineLevel="2" x14ac:dyDescent="0.2">
      <c r="A3239" t="s">
        <v>999</v>
      </c>
      <c r="B3239" t="s">
        <v>39</v>
      </c>
      <c r="C3239" t="s">
        <v>58</v>
      </c>
      <c r="D3239" t="s">
        <v>143</v>
      </c>
      <c r="E3239" t="s">
        <v>144</v>
      </c>
      <c r="F3239" t="s">
        <v>933</v>
      </c>
      <c r="G3239" t="s">
        <v>934</v>
      </c>
      <c r="H3239" t="s">
        <v>1564</v>
      </c>
      <c r="I3239" t="s">
        <v>1565</v>
      </c>
      <c r="J3239" t="s">
        <v>1000</v>
      </c>
      <c r="K3239" t="s">
        <v>1011</v>
      </c>
      <c r="L3239" t="s">
        <v>1569</v>
      </c>
      <c r="M3239" t="s">
        <v>12</v>
      </c>
      <c r="N3239" s="2">
        <v>21090.240000000002</v>
      </c>
      <c r="O3239" s="2">
        <v>-8103.53</v>
      </c>
      <c r="P3239" s="2">
        <v>-3238.32</v>
      </c>
      <c r="Q3239" s="2">
        <v>9748.39</v>
      </c>
      <c r="R3239" s="2">
        <v>0</v>
      </c>
      <c r="S3239" s="2">
        <v>9748.39</v>
      </c>
      <c r="T3239" s="2">
        <v>3685.37</v>
      </c>
      <c r="U3239" s="2">
        <v>0</v>
      </c>
      <c r="V3239" s="2">
        <v>6063.02</v>
      </c>
      <c r="W3239" s="2">
        <v>0</v>
      </c>
    </row>
    <row r="3240" spans="1:23" outlineLevel="2" x14ac:dyDescent="0.2">
      <c r="A3240" t="s">
        <v>999</v>
      </c>
      <c r="B3240" t="s">
        <v>39</v>
      </c>
      <c r="C3240" t="s">
        <v>58</v>
      </c>
      <c r="D3240" t="s">
        <v>147</v>
      </c>
      <c r="E3240" t="s">
        <v>148</v>
      </c>
      <c r="F3240" t="s">
        <v>933</v>
      </c>
      <c r="G3240" t="s">
        <v>934</v>
      </c>
      <c r="H3240" t="s">
        <v>1564</v>
      </c>
      <c r="I3240" t="s">
        <v>1565</v>
      </c>
      <c r="J3240" t="s">
        <v>1000</v>
      </c>
      <c r="K3240" t="s">
        <v>1011</v>
      </c>
      <c r="L3240" t="s">
        <v>1569</v>
      </c>
      <c r="M3240" t="s">
        <v>12</v>
      </c>
      <c r="N3240" s="2">
        <v>21090.240000000002</v>
      </c>
      <c r="O3240" s="2">
        <v>0</v>
      </c>
      <c r="P3240" s="2">
        <v>-21090.240000000002</v>
      </c>
      <c r="Q3240" s="2">
        <v>0</v>
      </c>
      <c r="R3240" s="2">
        <v>0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</row>
    <row r="3241" spans="1:23" outlineLevel="2" x14ac:dyDescent="0.2">
      <c r="A3241" t="s">
        <v>999</v>
      </c>
      <c r="B3241" t="s">
        <v>39</v>
      </c>
      <c r="C3241" t="s">
        <v>58</v>
      </c>
      <c r="D3241" t="s">
        <v>59</v>
      </c>
      <c r="E3241" t="s">
        <v>60</v>
      </c>
      <c r="F3241" t="s">
        <v>933</v>
      </c>
      <c r="G3241" t="s">
        <v>934</v>
      </c>
      <c r="H3241" t="s">
        <v>1564</v>
      </c>
      <c r="I3241" t="s">
        <v>1565</v>
      </c>
      <c r="J3241" t="s">
        <v>1000</v>
      </c>
      <c r="K3241" t="s">
        <v>1011</v>
      </c>
      <c r="L3241" t="s">
        <v>1569</v>
      </c>
      <c r="M3241" t="s">
        <v>12</v>
      </c>
      <c r="N3241" s="2">
        <v>21090.240000000002</v>
      </c>
      <c r="O3241" s="2">
        <v>0</v>
      </c>
      <c r="P3241" s="2">
        <v>-13243.29</v>
      </c>
      <c r="Q3241" s="2">
        <v>7846.95</v>
      </c>
      <c r="R3241" s="2">
        <v>0</v>
      </c>
      <c r="S3241" s="2">
        <v>1569.39</v>
      </c>
      <c r="T3241" s="2">
        <v>1569.39</v>
      </c>
      <c r="U3241" s="2">
        <v>6277.56</v>
      </c>
      <c r="V3241" s="2">
        <v>6277.56</v>
      </c>
      <c r="W3241" s="2">
        <v>6277.56</v>
      </c>
    </row>
    <row r="3242" spans="1:23" outlineLevel="2" x14ac:dyDescent="0.2">
      <c r="A3242" t="s">
        <v>999</v>
      </c>
      <c r="B3242" t="s">
        <v>39</v>
      </c>
      <c r="C3242" t="s">
        <v>58</v>
      </c>
      <c r="D3242" t="s">
        <v>135</v>
      </c>
      <c r="E3242" t="s">
        <v>136</v>
      </c>
      <c r="F3242" t="s">
        <v>933</v>
      </c>
      <c r="G3242" t="s">
        <v>934</v>
      </c>
      <c r="H3242" t="s">
        <v>1564</v>
      </c>
      <c r="I3242" t="s">
        <v>1565</v>
      </c>
      <c r="J3242" t="s">
        <v>1000</v>
      </c>
      <c r="K3242" t="s">
        <v>1011</v>
      </c>
      <c r="L3242" t="s">
        <v>1569</v>
      </c>
      <c r="M3242" t="s">
        <v>12</v>
      </c>
      <c r="N3242" s="2">
        <v>21090.240000000002</v>
      </c>
      <c r="O3242" s="2">
        <v>0</v>
      </c>
      <c r="P3242" s="2">
        <v>-21090.240000000002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</row>
    <row r="3243" spans="1:23" outlineLevel="2" x14ac:dyDescent="0.2">
      <c r="A3243" t="s">
        <v>999</v>
      </c>
      <c r="B3243" t="s">
        <v>39</v>
      </c>
      <c r="C3243" t="s">
        <v>58</v>
      </c>
      <c r="D3243" t="s">
        <v>137</v>
      </c>
      <c r="E3243" t="s">
        <v>138</v>
      </c>
      <c r="F3243" t="s">
        <v>933</v>
      </c>
      <c r="G3243" t="s">
        <v>934</v>
      </c>
      <c r="H3243" t="s">
        <v>1564</v>
      </c>
      <c r="I3243" t="s">
        <v>1565</v>
      </c>
      <c r="J3243" t="s">
        <v>1000</v>
      </c>
      <c r="K3243" t="s">
        <v>1011</v>
      </c>
      <c r="L3243" t="s">
        <v>1569</v>
      </c>
      <c r="M3243" t="s">
        <v>12</v>
      </c>
      <c r="N3243" s="2">
        <v>21090.240000000002</v>
      </c>
      <c r="O3243" s="2">
        <v>-5000</v>
      </c>
      <c r="P3243" s="2">
        <v>-16090.24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</row>
    <row r="3244" spans="1:23" outlineLevel="2" x14ac:dyDescent="0.2">
      <c r="A3244" t="s">
        <v>999</v>
      </c>
      <c r="B3244" t="s">
        <v>39</v>
      </c>
      <c r="C3244" t="s">
        <v>58</v>
      </c>
      <c r="D3244" t="s">
        <v>145</v>
      </c>
      <c r="E3244" t="s">
        <v>146</v>
      </c>
      <c r="F3244" t="s">
        <v>933</v>
      </c>
      <c r="G3244" t="s">
        <v>934</v>
      </c>
      <c r="H3244" t="s">
        <v>1564</v>
      </c>
      <c r="I3244" t="s">
        <v>1565</v>
      </c>
      <c r="J3244" t="s">
        <v>1000</v>
      </c>
      <c r="K3244" t="s">
        <v>1017</v>
      </c>
      <c r="L3244" t="s">
        <v>1570</v>
      </c>
      <c r="M3244" t="s">
        <v>12</v>
      </c>
      <c r="N3244" s="2">
        <v>56830.68</v>
      </c>
      <c r="O3244" s="2">
        <v>0</v>
      </c>
      <c r="P3244" s="2">
        <v>-44734.68</v>
      </c>
      <c r="Q3244" s="2">
        <v>12096</v>
      </c>
      <c r="R3244" s="2">
        <v>0</v>
      </c>
      <c r="S3244" s="2">
        <v>0</v>
      </c>
      <c r="T3244" s="2">
        <v>0</v>
      </c>
      <c r="U3244" s="2">
        <v>12096</v>
      </c>
      <c r="V3244" s="2">
        <v>12096</v>
      </c>
      <c r="W3244" s="2">
        <v>12096</v>
      </c>
    </row>
    <row r="3245" spans="1:23" outlineLevel="2" x14ac:dyDescent="0.2">
      <c r="A3245" t="s">
        <v>999</v>
      </c>
      <c r="B3245" t="s">
        <v>31</v>
      </c>
      <c r="C3245" t="s">
        <v>32</v>
      </c>
      <c r="D3245" t="s">
        <v>141</v>
      </c>
      <c r="E3245" t="s">
        <v>142</v>
      </c>
      <c r="F3245" t="s">
        <v>933</v>
      </c>
      <c r="G3245" t="s">
        <v>934</v>
      </c>
      <c r="H3245" t="s">
        <v>1564</v>
      </c>
      <c r="I3245" t="s">
        <v>1565</v>
      </c>
      <c r="J3245" t="s">
        <v>1000</v>
      </c>
      <c r="K3245" t="s">
        <v>1017</v>
      </c>
      <c r="L3245" t="s">
        <v>1571</v>
      </c>
      <c r="M3245" t="s">
        <v>12</v>
      </c>
      <c r="N3245" s="2">
        <v>7799.89</v>
      </c>
      <c r="O3245" s="2">
        <v>0</v>
      </c>
      <c r="P3245" s="2">
        <v>0</v>
      </c>
      <c r="Q3245" s="2">
        <v>7799.89</v>
      </c>
      <c r="R3245" s="2">
        <v>0</v>
      </c>
      <c r="S3245" s="2">
        <v>0</v>
      </c>
      <c r="T3245" s="2">
        <v>0</v>
      </c>
      <c r="U3245" s="2">
        <v>7799.89</v>
      </c>
      <c r="V3245" s="2">
        <v>7799.89</v>
      </c>
      <c r="W3245" s="2">
        <v>7799.89</v>
      </c>
    </row>
    <row r="3246" spans="1:23" outlineLevel="2" x14ac:dyDescent="0.2">
      <c r="A3246" t="s">
        <v>999</v>
      </c>
      <c r="B3246" t="s">
        <v>39</v>
      </c>
      <c r="C3246" t="s">
        <v>58</v>
      </c>
      <c r="D3246" t="s">
        <v>149</v>
      </c>
      <c r="E3246" t="s">
        <v>150</v>
      </c>
      <c r="F3246" t="s">
        <v>933</v>
      </c>
      <c r="G3246" t="s">
        <v>934</v>
      </c>
      <c r="H3246" t="s">
        <v>1564</v>
      </c>
      <c r="I3246" t="s">
        <v>1565</v>
      </c>
      <c r="J3246" t="s">
        <v>1000</v>
      </c>
      <c r="K3246" t="s">
        <v>1017</v>
      </c>
      <c r="L3246" t="s">
        <v>1570</v>
      </c>
      <c r="M3246" t="s">
        <v>12</v>
      </c>
      <c r="N3246" s="2">
        <v>56830.68</v>
      </c>
      <c r="O3246" s="2">
        <v>0</v>
      </c>
      <c r="P3246" s="2">
        <v>-56830.68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</row>
    <row r="3247" spans="1:23" outlineLevel="2" x14ac:dyDescent="0.2">
      <c r="A3247" t="s">
        <v>999</v>
      </c>
      <c r="B3247" t="s">
        <v>39</v>
      </c>
      <c r="C3247" t="s">
        <v>58</v>
      </c>
      <c r="D3247" t="s">
        <v>147</v>
      </c>
      <c r="E3247" t="s">
        <v>148</v>
      </c>
      <c r="F3247" t="s">
        <v>933</v>
      </c>
      <c r="G3247" t="s">
        <v>934</v>
      </c>
      <c r="H3247" t="s">
        <v>1564</v>
      </c>
      <c r="I3247" t="s">
        <v>1565</v>
      </c>
      <c r="J3247" t="s">
        <v>1000</v>
      </c>
      <c r="K3247" t="s">
        <v>1017</v>
      </c>
      <c r="L3247" t="s">
        <v>1570</v>
      </c>
      <c r="M3247" t="s">
        <v>12</v>
      </c>
      <c r="N3247" s="2">
        <v>18943.560000000001</v>
      </c>
      <c r="O3247" s="2">
        <v>0</v>
      </c>
      <c r="P3247" s="2">
        <v>-18943.560000000001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</row>
    <row r="3248" spans="1:23" outlineLevel="2" x14ac:dyDescent="0.2">
      <c r="A3248" t="s">
        <v>999</v>
      </c>
      <c r="B3248" t="s">
        <v>39</v>
      </c>
      <c r="C3248" t="s">
        <v>58</v>
      </c>
      <c r="D3248" t="s">
        <v>129</v>
      </c>
      <c r="E3248" t="s">
        <v>130</v>
      </c>
      <c r="F3248" t="s">
        <v>933</v>
      </c>
      <c r="G3248" t="s">
        <v>934</v>
      </c>
      <c r="H3248" t="s">
        <v>1564</v>
      </c>
      <c r="I3248" t="s">
        <v>1565</v>
      </c>
      <c r="J3248" t="s">
        <v>1000</v>
      </c>
      <c r="K3248" t="s">
        <v>1017</v>
      </c>
      <c r="L3248" t="s">
        <v>1570</v>
      </c>
      <c r="M3248" t="s">
        <v>12</v>
      </c>
      <c r="N3248" s="2">
        <v>18943.560000000001</v>
      </c>
      <c r="O3248" s="2">
        <v>-8048</v>
      </c>
      <c r="P3248" s="2">
        <v>-10895.56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</row>
    <row r="3249" spans="1:23" outlineLevel="2" x14ac:dyDescent="0.2">
      <c r="A3249" t="s">
        <v>999</v>
      </c>
      <c r="B3249" t="s">
        <v>39</v>
      </c>
      <c r="C3249" t="s">
        <v>58</v>
      </c>
      <c r="D3249" t="s">
        <v>135</v>
      </c>
      <c r="E3249" t="s">
        <v>136</v>
      </c>
      <c r="F3249" t="s">
        <v>933</v>
      </c>
      <c r="G3249" t="s">
        <v>934</v>
      </c>
      <c r="H3249" t="s">
        <v>1564</v>
      </c>
      <c r="I3249" t="s">
        <v>1565</v>
      </c>
      <c r="J3249" t="s">
        <v>1000</v>
      </c>
      <c r="K3249" t="s">
        <v>1017</v>
      </c>
      <c r="L3249" t="s">
        <v>1570</v>
      </c>
      <c r="M3249" t="s">
        <v>12</v>
      </c>
      <c r="N3249" s="2">
        <v>56830.7</v>
      </c>
      <c r="O3249" s="2">
        <v>0</v>
      </c>
      <c r="P3249" s="2">
        <v>-56830.7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</row>
    <row r="3250" spans="1:23" outlineLevel="2" x14ac:dyDescent="0.2">
      <c r="A3250" t="s">
        <v>999</v>
      </c>
      <c r="B3250" t="s">
        <v>39</v>
      </c>
      <c r="C3250" t="s">
        <v>58</v>
      </c>
      <c r="D3250" t="s">
        <v>137</v>
      </c>
      <c r="E3250" t="s">
        <v>138</v>
      </c>
      <c r="F3250" t="s">
        <v>933</v>
      </c>
      <c r="G3250" t="s">
        <v>934</v>
      </c>
      <c r="H3250" t="s">
        <v>1564</v>
      </c>
      <c r="I3250" t="s">
        <v>1565</v>
      </c>
      <c r="J3250" t="s">
        <v>1000</v>
      </c>
      <c r="K3250" t="s">
        <v>1017</v>
      </c>
      <c r="L3250" t="s">
        <v>1570</v>
      </c>
      <c r="M3250" t="s">
        <v>12</v>
      </c>
      <c r="N3250" s="2">
        <v>37887.120000000003</v>
      </c>
      <c r="O3250" s="2">
        <v>0</v>
      </c>
      <c r="P3250" s="2">
        <v>-37887.120000000003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</row>
    <row r="3251" spans="1:23" outlineLevel="2" x14ac:dyDescent="0.2">
      <c r="A3251" t="s">
        <v>999</v>
      </c>
      <c r="B3251" t="s">
        <v>39</v>
      </c>
      <c r="C3251" t="s">
        <v>58</v>
      </c>
      <c r="D3251" t="s">
        <v>59</v>
      </c>
      <c r="E3251" t="s">
        <v>60</v>
      </c>
      <c r="F3251" t="s">
        <v>933</v>
      </c>
      <c r="G3251" t="s">
        <v>934</v>
      </c>
      <c r="H3251" t="s">
        <v>1564</v>
      </c>
      <c r="I3251" t="s">
        <v>1565</v>
      </c>
      <c r="J3251" t="s">
        <v>1000</v>
      </c>
      <c r="K3251" t="s">
        <v>1017</v>
      </c>
      <c r="L3251" t="s">
        <v>1570</v>
      </c>
      <c r="M3251" t="s">
        <v>12</v>
      </c>
      <c r="N3251" s="2">
        <v>37887.120000000003</v>
      </c>
      <c r="O3251" s="2">
        <v>0</v>
      </c>
      <c r="P3251" s="2">
        <v>-15786.3</v>
      </c>
      <c r="Q3251" s="2">
        <v>22100.82</v>
      </c>
      <c r="R3251" s="2">
        <v>0</v>
      </c>
      <c r="S3251" s="2">
        <v>0</v>
      </c>
      <c r="T3251" s="2">
        <v>0</v>
      </c>
      <c r="U3251" s="2">
        <v>22100.82</v>
      </c>
      <c r="V3251" s="2">
        <v>22100.82</v>
      </c>
      <c r="W3251" s="2">
        <v>22100.82</v>
      </c>
    </row>
    <row r="3252" spans="1:23" outlineLevel="2" x14ac:dyDescent="0.2">
      <c r="A3252" t="s">
        <v>999</v>
      </c>
      <c r="B3252" t="s">
        <v>39</v>
      </c>
      <c r="C3252" t="s">
        <v>58</v>
      </c>
      <c r="D3252" t="s">
        <v>139</v>
      </c>
      <c r="E3252" t="s">
        <v>140</v>
      </c>
      <c r="F3252" t="s">
        <v>933</v>
      </c>
      <c r="G3252" t="s">
        <v>934</v>
      </c>
      <c r="H3252" t="s">
        <v>1564</v>
      </c>
      <c r="I3252" t="s">
        <v>1565</v>
      </c>
      <c r="J3252" t="s">
        <v>1000</v>
      </c>
      <c r="K3252" t="s">
        <v>1017</v>
      </c>
      <c r="L3252" t="s">
        <v>1570</v>
      </c>
      <c r="M3252" t="s">
        <v>12</v>
      </c>
      <c r="N3252" s="2">
        <v>37887.120000000003</v>
      </c>
      <c r="O3252" s="2">
        <v>-13269.15</v>
      </c>
      <c r="P3252" s="2">
        <v>-24617.97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</row>
    <row r="3253" spans="1:23" outlineLevel="2" x14ac:dyDescent="0.2">
      <c r="A3253" t="s">
        <v>999</v>
      </c>
      <c r="B3253" t="s">
        <v>39</v>
      </c>
      <c r="C3253" t="s">
        <v>58</v>
      </c>
      <c r="D3253" t="s">
        <v>143</v>
      </c>
      <c r="E3253" t="s">
        <v>144</v>
      </c>
      <c r="F3253" t="s">
        <v>933</v>
      </c>
      <c r="G3253" t="s">
        <v>934</v>
      </c>
      <c r="H3253" t="s">
        <v>1564</v>
      </c>
      <c r="I3253" t="s">
        <v>1565</v>
      </c>
      <c r="J3253" t="s">
        <v>1000</v>
      </c>
      <c r="K3253" t="s">
        <v>1017</v>
      </c>
      <c r="L3253" t="s">
        <v>1570</v>
      </c>
      <c r="M3253" t="s">
        <v>12</v>
      </c>
      <c r="N3253" s="2">
        <v>56830.68</v>
      </c>
      <c r="O3253" s="2">
        <v>-13440</v>
      </c>
      <c r="P3253" s="2">
        <v>-43390.68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</row>
    <row r="3254" spans="1:23" outlineLevel="2" x14ac:dyDescent="0.2">
      <c r="A3254" t="s">
        <v>999</v>
      </c>
      <c r="B3254" t="s">
        <v>39</v>
      </c>
      <c r="C3254" t="s">
        <v>58</v>
      </c>
      <c r="D3254" t="s">
        <v>139</v>
      </c>
      <c r="E3254" t="s">
        <v>140</v>
      </c>
      <c r="F3254" t="s">
        <v>933</v>
      </c>
      <c r="G3254" t="s">
        <v>934</v>
      </c>
      <c r="H3254" t="s">
        <v>1564</v>
      </c>
      <c r="I3254" t="s">
        <v>1565</v>
      </c>
      <c r="J3254" t="s">
        <v>1000</v>
      </c>
      <c r="K3254" t="s">
        <v>1061</v>
      </c>
      <c r="L3254" t="s">
        <v>1572</v>
      </c>
      <c r="M3254" t="s">
        <v>12</v>
      </c>
      <c r="N3254" s="2">
        <v>0</v>
      </c>
      <c r="O3254" s="2">
        <v>5893.15</v>
      </c>
      <c r="P3254" s="2">
        <v>-5893.15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</row>
    <row r="3255" spans="1:23" outlineLevel="2" x14ac:dyDescent="0.2">
      <c r="A3255" t="s">
        <v>999</v>
      </c>
      <c r="B3255" t="s">
        <v>31</v>
      </c>
      <c r="C3255" t="s">
        <v>32</v>
      </c>
      <c r="D3255" t="s">
        <v>141</v>
      </c>
      <c r="E3255" t="s">
        <v>142</v>
      </c>
      <c r="F3255" t="s">
        <v>933</v>
      </c>
      <c r="G3255" t="s">
        <v>934</v>
      </c>
      <c r="H3255" t="s">
        <v>1564</v>
      </c>
      <c r="I3255" t="s">
        <v>1565</v>
      </c>
      <c r="J3255" t="s">
        <v>1000</v>
      </c>
      <c r="K3255" t="s">
        <v>1019</v>
      </c>
      <c r="L3255" t="s">
        <v>1555</v>
      </c>
      <c r="M3255" t="s">
        <v>12</v>
      </c>
      <c r="N3255" s="2">
        <v>1000</v>
      </c>
      <c r="O3255" s="2">
        <v>0</v>
      </c>
      <c r="P3255" s="2">
        <v>0</v>
      </c>
      <c r="Q3255" s="2">
        <v>1000</v>
      </c>
      <c r="R3255" s="2">
        <v>0</v>
      </c>
      <c r="S3255" s="2">
        <v>0</v>
      </c>
      <c r="T3255" s="2">
        <v>0</v>
      </c>
      <c r="U3255" s="2">
        <v>1000</v>
      </c>
      <c r="V3255" s="2">
        <v>1000</v>
      </c>
      <c r="W3255" s="2">
        <v>1000</v>
      </c>
    </row>
    <row r="3256" spans="1:23" outlineLevel="2" x14ac:dyDescent="0.2">
      <c r="A3256" t="s">
        <v>999</v>
      </c>
      <c r="B3256" t="s">
        <v>31</v>
      </c>
      <c r="C3256" t="s">
        <v>32</v>
      </c>
      <c r="D3256" t="s">
        <v>141</v>
      </c>
      <c r="E3256" t="s">
        <v>142</v>
      </c>
      <c r="F3256" t="s">
        <v>933</v>
      </c>
      <c r="G3256" t="s">
        <v>934</v>
      </c>
      <c r="H3256" t="s">
        <v>1564</v>
      </c>
      <c r="I3256" t="s">
        <v>1565</v>
      </c>
      <c r="J3256" t="s">
        <v>1000</v>
      </c>
      <c r="K3256" t="s">
        <v>1390</v>
      </c>
      <c r="L3256" t="s">
        <v>1557</v>
      </c>
      <c r="M3256" t="s">
        <v>12</v>
      </c>
      <c r="N3256" s="2">
        <v>55000</v>
      </c>
      <c r="O3256" s="2">
        <v>0</v>
      </c>
      <c r="P3256" s="2">
        <v>0</v>
      </c>
      <c r="Q3256" s="2">
        <v>55000</v>
      </c>
      <c r="R3256" s="2">
        <v>6992.01</v>
      </c>
      <c r="S3256" s="2">
        <v>30215.07</v>
      </c>
      <c r="T3256" s="2">
        <v>27896.05</v>
      </c>
      <c r="U3256" s="2">
        <v>24784.93</v>
      </c>
      <c r="V3256" s="2">
        <v>27103.95</v>
      </c>
      <c r="W3256" s="2">
        <v>17792.919999999998</v>
      </c>
    </row>
    <row r="3257" spans="1:23" outlineLevel="2" x14ac:dyDescent="0.2">
      <c r="A3257" t="s">
        <v>999</v>
      </c>
      <c r="B3257" t="s">
        <v>39</v>
      </c>
      <c r="C3257" t="s">
        <v>58</v>
      </c>
      <c r="D3257" t="s">
        <v>137</v>
      </c>
      <c r="E3257" t="s">
        <v>138</v>
      </c>
      <c r="F3257" t="s">
        <v>933</v>
      </c>
      <c r="G3257" t="s">
        <v>934</v>
      </c>
      <c r="H3257" t="s">
        <v>1564</v>
      </c>
      <c r="I3257" t="s">
        <v>1565</v>
      </c>
      <c r="J3257" t="s">
        <v>1000</v>
      </c>
      <c r="K3257" t="s">
        <v>1390</v>
      </c>
      <c r="L3257" t="s">
        <v>1573</v>
      </c>
      <c r="M3257" t="s">
        <v>12</v>
      </c>
      <c r="N3257" s="2">
        <v>0</v>
      </c>
      <c r="O3257" s="2">
        <v>1000</v>
      </c>
      <c r="P3257" s="2">
        <v>0</v>
      </c>
      <c r="Q3257" s="2">
        <v>1000</v>
      </c>
      <c r="R3257" s="2">
        <v>0</v>
      </c>
      <c r="S3257" s="2">
        <v>0</v>
      </c>
      <c r="T3257" s="2">
        <v>0</v>
      </c>
      <c r="U3257" s="2">
        <v>1000</v>
      </c>
      <c r="V3257" s="2">
        <v>1000</v>
      </c>
      <c r="W3257" s="2">
        <v>1000</v>
      </c>
    </row>
    <row r="3258" spans="1:23" outlineLevel="2" x14ac:dyDescent="0.2">
      <c r="A3258" t="s">
        <v>999</v>
      </c>
      <c r="B3258" t="s">
        <v>39</v>
      </c>
      <c r="C3258" t="s">
        <v>58</v>
      </c>
      <c r="D3258" t="s">
        <v>137</v>
      </c>
      <c r="E3258" t="s">
        <v>138</v>
      </c>
      <c r="F3258" t="s">
        <v>933</v>
      </c>
      <c r="G3258" t="s">
        <v>934</v>
      </c>
      <c r="H3258" t="s">
        <v>1564</v>
      </c>
      <c r="I3258" t="s">
        <v>1565</v>
      </c>
      <c r="J3258" t="s">
        <v>1000</v>
      </c>
      <c r="K3258" t="s">
        <v>1084</v>
      </c>
      <c r="L3258" t="s">
        <v>1574</v>
      </c>
      <c r="M3258" t="s">
        <v>12</v>
      </c>
      <c r="N3258" s="2">
        <v>0</v>
      </c>
      <c r="O3258" s="2">
        <v>4000</v>
      </c>
      <c r="P3258" s="2">
        <v>-4000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</row>
    <row r="3259" spans="1:23" outlineLevel="2" x14ac:dyDescent="0.2">
      <c r="A3259" t="s">
        <v>999</v>
      </c>
      <c r="B3259" t="s">
        <v>39</v>
      </c>
      <c r="C3259" t="s">
        <v>58</v>
      </c>
      <c r="D3259" t="s">
        <v>143</v>
      </c>
      <c r="E3259" t="s">
        <v>144</v>
      </c>
      <c r="F3259" t="s">
        <v>933</v>
      </c>
      <c r="G3259" t="s">
        <v>934</v>
      </c>
      <c r="H3259" t="s">
        <v>1564</v>
      </c>
      <c r="I3259" t="s">
        <v>1565</v>
      </c>
      <c r="J3259" t="s">
        <v>1000</v>
      </c>
      <c r="K3259" t="s">
        <v>1084</v>
      </c>
      <c r="L3259" t="s">
        <v>1574</v>
      </c>
      <c r="M3259" t="s">
        <v>12</v>
      </c>
      <c r="N3259" s="2">
        <v>0</v>
      </c>
      <c r="O3259" s="2">
        <v>3000</v>
      </c>
      <c r="P3259" s="2">
        <v>-3000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</row>
    <row r="3260" spans="1:23" outlineLevel="2" x14ac:dyDescent="0.2">
      <c r="A3260" t="s">
        <v>999</v>
      </c>
      <c r="B3260" t="s">
        <v>39</v>
      </c>
      <c r="C3260" t="s">
        <v>58</v>
      </c>
      <c r="D3260" t="s">
        <v>137</v>
      </c>
      <c r="E3260" t="s">
        <v>138</v>
      </c>
      <c r="F3260" t="s">
        <v>933</v>
      </c>
      <c r="G3260" t="s">
        <v>934</v>
      </c>
      <c r="H3260" t="s">
        <v>1575</v>
      </c>
      <c r="I3260" t="s">
        <v>1576</v>
      </c>
      <c r="J3260" t="s">
        <v>1000</v>
      </c>
      <c r="K3260" t="s">
        <v>1104</v>
      </c>
      <c r="L3260" t="s">
        <v>1577</v>
      </c>
      <c r="M3260" t="s">
        <v>12</v>
      </c>
      <c r="N3260" s="2">
        <v>0</v>
      </c>
      <c r="O3260" s="2">
        <v>1000</v>
      </c>
      <c r="P3260" s="2">
        <v>-1000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</row>
    <row r="3261" spans="1:23" outlineLevel="2" x14ac:dyDescent="0.2">
      <c r="A3261" t="s">
        <v>999</v>
      </c>
      <c r="B3261" t="s">
        <v>39</v>
      </c>
      <c r="C3261" t="s">
        <v>58</v>
      </c>
      <c r="D3261" t="s">
        <v>59</v>
      </c>
      <c r="E3261" t="s">
        <v>60</v>
      </c>
      <c r="F3261" t="s">
        <v>933</v>
      </c>
      <c r="G3261" t="s">
        <v>934</v>
      </c>
      <c r="H3261" t="s">
        <v>1575</v>
      </c>
      <c r="I3261" t="s">
        <v>1576</v>
      </c>
      <c r="J3261" t="s">
        <v>1000</v>
      </c>
      <c r="K3261" t="s">
        <v>1039</v>
      </c>
      <c r="L3261" t="s">
        <v>1567</v>
      </c>
      <c r="M3261" t="s">
        <v>12</v>
      </c>
      <c r="N3261" s="2">
        <v>3908</v>
      </c>
      <c r="O3261" s="2">
        <v>0</v>
      </c>
      <c r="P3261" s="2">
        <v>-3908</v>
      </c>
      <c r="Q3261" s="2">
        <v>0</v>
      </c>
      <c r="R3261" s="2">
        <v>0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</row>
    <row r="3262" spans="1:23" outlineLevel="2" x14ac:dyDescent="0.2">
      <c r="A3262" t="s">
        <v>999</v>
      </c>
      <c r="B3262" t="s">
        <v>39</v>
      </c>
      <c r="C3262" t="s">
        <v>58</v>
      </c>
      <c r="D3262" t="s">
        <v>139</v>
      </c>
      <c r="E3262" t="s">
        <v>140</v>
      </c>
      <c r="F3262" t="s">
        <v>933</v>
      </c>
      <c r="G3262" t="s">
        <v>934</v>
      </c>
      <c r="H3262" t="s">
        <v>1575</v>
      </c>
      <c r="I3262" t="s">
        <v>1576</v>
      </c>
      <c r="J3262" t="s">
        <v>1000</v>
      </c>
      <c r="K3262" t="s">
        <v>1039</v>
      </c>
      <c r="L3262" t="s">
        <v>1567</v>
      </c>
      <c r="M3262" t="s">
        <v>12</v>
      </c>
      <c r="N3262" s="2">
        <v>9400</v>
      </c>
      <c r="O3262" s="2">
        <v>-4000</v>
      </c>
      <c r="P3262" s="2">
        <v>-5400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</row>
    <row r="3263" spans="1:23" outlineLevel="2" x14ac:dyDescent="0.2">
      <c r="A3263" t="s">
        <v>999</v>
      </c>
      <c r="B3263" t="s">
        <v>39</v>
      </c>
      <c r="C3263" t="s">
        <v>58</v>
      </c>
      <c r="D3263" t="s">
        <v>149</v>
      </c>
      <c r="E3263" t="s">
        <v>150</v>
      </c>
      <c r="F3263" t="s">
        <v>933</v>
      </c>
      <c r="G3263" t="s">
        <v>934</v>
      </c>
      <c r="H3263" t="s">
        <v>1575</v>
      </c>
      <c r="I3263" t="s">
        <v>1576</v>
      </c>
      <c r="J3263" t="s">
        <v>1000</v>
      </c>
      <c r="K3263" t="s">
        <v>1039</v>
      </c>
      <c r="L3263" t="s">
        <v>1567</v>
      </c>
      <c r="M3263" t="s">
        <v>12</v>
      </c>
      <c r="N3263" s="2">
        <v>9938</v>
      </c>
      <c r="O3263" s="2">
        <v>0</v>
      </c>
      <c r="P3263" s="2">
        <v>-9938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</row>
    <row r="3264" spans="1:23" outlineLevel="2" x14ac:dyDescent="0.2">
      <c r="A3264" t="s">
        <v>999</v>
      </c>
      <c r="B3264" t="s">
        <v>39</v>
      </c>
      <c r="C3264" t="s">
        <v>58</v>
      </c>
      <c r="D3264" t="s">
        <v>147</v>
      </c>
      <c r="E3264" t="s">
        <v>148</v>
      </c>
      <c r="F3264" t="s">
        <v>933</v>
      </c>
      <c r="G3264" t="s">
        <v>934</v>
      </c>
      <c r="H3264" t="s">
        <v>1575</v>
      </c>
      <c r="I3264" t="s">
        <v>1576</v>
      </c>
      <c r="J3264" t="s">
        <v>1000</v>
      </c>
      <c r="K3264" t="s">
        <v>1039</v>
      </c>
      <c r="L3264" t="s">
        <v>1567</v>
      </c>
      <c r="M3264" t="s">
        <v>12</v>
      </c>
      <c r="N3264" s="2">
        <v>6030</v>
      </c>
      <c r="O3264" s="2">
        <v>0</v>
      </c>
      <c r="P3264" s="2">
        <v>-6030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</row>
    <row r="3265" spans="1:23" outlineLevel="2" x14ac:dyDescent="0.2">
      <c r="A3265" t="s">
        <v>999</v>
      </c>
      <c r="B3265" t="s">
        <v>39</v>
      </c>
      <c r="C3265" t="s">
        <v>58</v>
      </c>
      <c r="D3265" t="s">
        <v>145</v>
      </c>
      <c r="E3265" t="s">
        <v>146</v>
      </c>
      <c r="F3265" t="s">
        <v>933</v>
      </c>
      <c r="G3265" t="s">
        <v>934</v>
      </c>
      <c r="H3265" t="s">
        <v>1575</v>
      </c>
      <c r="I3265" t="s">
        <v>1576</v>
      </c>
      <c r="J3265" t="s">
        <v>1000</v>
      </c>
      <c r="K3265" t="s">
        <v>1039</v>
      </c>
      <c r="L3265" t="s">
        <v>1567</v>
      </c>
      <c r="M3265" t="s">
        <v>12</v>
      </c>
      <c r="N3265" s="2">
        <v>8730</v>
      </c>
      <c r="O3265" s="2">
        <v>0</v>
      </c>
      <c r="P3265" s="2">
        <v>-8730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</row>
    <row r="3266" spans="1:23" outlineLevel="2" x14ac:dyDescent="0.2">
      <c r="A3266" t="s">
        <v>999</v>
      </c>
      <c r="B3266" t="s">
        <v>39</v>
      </c>
      <c r="C3266" t="s">
        <v>58</v>
      </c>
      <c r="D3266" t="s">
        <v>135</v>
      </c>
      <c r="E3266" t="s">
        <v>136</v>
      </c>
      <c r="F3266" t="s">
        <v>933</v>
      </c>
      <c r="G3266" t="s">
        <v>934</v>
      </c>
      <c r="H3266" t="s">
        <v>1575</v>
      </c>
      <c r="I3266" t="s">
        <v>1576</v>
      </c>
      <c r="J3266" t="s">
        <v>1000</v>
      </c>
      <c r="K3266" t="s">
        <v>1039</v>
      </c>
      <c r="L3266" t="s">
        <v>1567</v>
      </c>
      <c r="M3266" t="s">
        <v>12</v>
      </c>
      <c r="N3266" s="2">
        <v>5352</v>
      </c>
      <c r="O3266" s="2">
        <v>0</v>
      </c>
      <c r="P3266" s="2">
        <v>-5352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</row>
    <row r="3267" spans="1:23" outlineLevel="2" x14ac:dyDescent="0.2">
      <c r="A3267" t="s">
        <v>999</v>
      </c>
      <c r="B3267" t="s">
        <v>39</v>
      </c>
      <c r="C3267" t="s">
        <v>58</v>
      </c>
      <c r="D3267" t="s">
        <v>137</v>
      </c>
      <c r="E3267" t="s">
        <v>138</v>
      </c>
      <c r="F3267" t="s">
        <v>933</v>
      </c>
      <c r="G3267" t="s">
        <v>934</v>
      </c>
      <c r="H3267" t="s">
        <v>1575</v>
      </c>
      <c r="I3267" t="s">
        <v>1576</v>
      </c>
      <c r="J3267" t="s">
        <v>1000</v>
      </c>
      <c r="K3267" t="s">
        <v>1039</v>
      </c>
      <c r="L3267" t="s">
        <v>1567</v>
      </c>
      <c r="M3267" t="s">
        <v>12</v>
      </c>
      <c r="N3267" s="2">
        <v>3908</v>
      </c>
      <c r="O3267" s="2">
        <v>-3908</v>
      </c>
      <c r="P3267" s="2">
        <v>0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</row>
    <row r="3268" spans="1:23" outlineLevel="2" x14ac:dyDescent="0.2">
      <c r="A3268" t="s">
        <v>999</v>
      </c>
      <c r="B3268" t="s">
        <v>39</v>
      </c>
      <c r="C3268" t="s">
        <v>58</v>
      </c>
      <c r="D3268" t="s">
        <v>143</v>
      </c>
      <c r="E3268" t="s">
        <v>144</v>
      </c>
      <c r="F3268" t="s">
        <v>933</v>
      </c>
      <c r="G3268" t="s">
        <v>934</v>
      </c>
      <c r="H3268" t="s">
        <v>1575</v>
      </c>
      <c r="I3268" t="s">
        <v>1576</v>
      </c>
      <c r="J3268" t="s">
        <v>1000</v>
      </c>
      <c r="K3268" t="s">
        <v>1039</v>
      </c>
      <c r="L3268" t="s">
        <v>1567</v>
      </c>
      <c r="M3268" t="s">
        <v>12</v>
      </c>
      <c r="N3268" s="2">
        <v>5424</v>
      </c>
      <c r="O3268" s="2">
        <v>-4000</v>
      </c>
      <c r="P3268" s="2">
        <v>-1424</v>
      </c>
      <c r="Q3268" s="2">
        <v>0</v>
      </c>
      <c r="R3268" s="2">
        <v>0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</row>
    <row r="3269" spans="1:23" outlineLevel="2" x14ac:dyDescent="0.2">
      <c r="A3269" t="s">
        <v>999</v>
      </c>
      <c r="B3269" t="s">
        <v>39</v>
      </c>
      <c r="C3269" t="s">
        <v>58</v>
      </c>
      <c r="D3269" t="s">
        <v>143</v>
      </c>
      <c r="E3269" t="s">
        <v>144</v>
      </c>
      <c r="F3269" t="s">
        <v>933</v>
      </c>
      <c r="G3269" t="s">
        <v>934</v>
      </c>
      <c r="H3269" t="s">
        <v>1575</v>
      </c>
      <c r="I3269" t="s">
        <v>1576</v>
      </c>
      <c r="J3269" t="s">
        <v>1000</v>
      </c>
      <c r="K3269" t="s">
        <v>1090</v>
      </c>
      <c r="L3269" t="s">
        <v>1578</v>
      </c>
      <c r="M3269" t="s">
        <v>12</v>
      </c>
      <c r="N3269" s="2">
        <v>0</v>
      </c>
      <c r="O3269" s="2">
        <v>6720</v>
      </c>
      <c r="P3269" s="2">
        <v>0</v>
      </c>
      <c r="Q3269" s="2">
        <v>6720</v>
      </c>
      <c r="R3269" s="2">
        <v>0</v>
      </c>
      <c r="S3269" s="2">
        <v>6711.12</v>
      </c>
      <c r="T3269" s="2">
        <v>0</v>
      </c>
      <c r="U3269" s="2">
        <v>8.8800000000000008</v>
      </c>
      <c r="V3269" s="2">
        <v>6720</v>
      </c>
      <c r="W3269" s="2">
        <v>8.8800000000000008</v>
      </c>
    </row>
    <row r="3270" spans="1:23" outlineLevel="2" x14ac:dyDescent="0.2">
      <c r="A3270" t="s">
        <v>999</v>
      </c>
      <c r="B3270" t="s">
        <v>39</v>
      </c>
      <c r="C3270" t="s">
        <v>58</v>
      </c>
      <c r="D3270" t="s">
        <v>139</v>
      </c>
      <c r="E3270" t="s">
        <v>140</v>
      </c>
      <c r="F3270" t="s">
        <v>933</v>
      </c>
      <c r="G3270" t="s">
        <v>934</v>
      </c>
      <c r="H3270" t="s">
        <v>1575</v>
      </c>
      <c r="I3270" t="s">
        <v>1576</v>
      </c>
      <c r="J3270" t="s">
        <v>1000</v>
      </c>
      <c r="K3270" t="s">
        <v>1017</v>
      </c>
      <c r="L3270" t="s">
        <v>1570</v>
      </c>
      <c r="M3270" t="s">
        <v>12</v>
      </c>
      <c r="N3270" s="2">
        <v>37887.120000000003</v>
      </c>
      <c r="O3270" s="2">
        <v>-7376</v>
      </c>
      <c r="P3270" s="2">
        <v>-30511.119999999999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</row>
    <row r="3271" spans="1:23" outlineLevel="2" x14ac:dyDescent="0.2">
      <c r="A3271" t="s">
        <v>999</v>
      </c>
      <c r="B3271" t="s">
        <v>39</v>
      </c>
      <c r="C3271" t="s">
        <v>58</v>
      </c>
      <c r="D3271" t="s">
        <v>145</v>
      </c>
      <c r="E3271" t="s">
        <v>146</v>
      </c>
      <c r="F3271" t="s">
        <v>933</v>
      </c>
      <c r="G3271" t="s">
        <v>934</v>
      </c>
      <c r="H3271" t="s">
        <v>1575</v>
      </c>
      <c r="I3271" t="s">
        <v>1576</v>
      </c>
      <c r="J3271" t="s">
        <v>1000</v>
      </c>
      <c r="K3271" t="s">
        <v>1017</v>
      </c>
      <c r="L3271" t="s">
        <v>1570</v>
      </c>
      <c r="M3271" t="s">
        <v>12</v>
      </c>
      <c r="N3271" s="2">
        <v>37887.120000000003</v>
      </c>
      <c r="O3271" s="2">
        <v>0</v>
      </c>
      <c r="P3271" s="2">
        <v>-31839.119999999999</v>
      </c>
      <c r="Q3271" s="2">
        <v>6048</v>
      </c>
      <c r="R3271" s="2">
        <v>0</v>
      </c>
      <c r="S3271" s="2">
        <v>0</v>
      </c>
      <c r="T3271" s="2">
        <v>0</v>
      </c>
      <c r="U3271" s="2">
        <v>6048</v>
      </c>
      <c r="V3271" s="2">
        <v>6048</v>
      </c>
      <c r="W3271" s="2">
        <v>6048</v>
      </c>
    </row>
    <row r="3272" spans="1:23" outlineLevel="2" x14ac:dyDescent="0.2">
      <c r="A3272" t="s">
        <v>999</v>
      </c>
      <c r="B3272" t="s">
        <v>39</v>
      </c>
      <c r="C3272" t="s">
        <v>58</v>
      </c>
      <c r="D3272" t="s">
        <v>59</v>
      </c>
      <c r="E3272" t="s">
        <v>60</v>
      </c>
      <c r="F3272" t="s">
        <v>933</v>
      </c>
      <c r="G3272" t="s">
        <v>934</v>
      </c>
      <c r="H3272" t="s">
        <v>1575</v>
      </c>
      <c r="I3272" t="s">
        <v>1576</v>
      </c>
      <c r="J3272" t="s">
        <v>1000</v>
      </c>
      <c r="K3272" t="s">
        <v>1017</v>
      </c>
      <c r="L3272" t="s">
        <v>1570</v>
      </c>
      <c r="M3272" t="s">
        <v>12</v>
      </c>
      <c r="N3272" s="2">
        <v>37887.120000000003</v>
      </c>
      <c r="O3272" s="2">
        <v>0</v>
      </c>
      <c r="P3272" s="2">
        <v>-15786.3</v>
      </c>
      <c r="Q3272" s="2">
        <v>22100.82</v>
      </c>
      <c r="R3272" s="2">
        <v>0</v>
      </c>
      <c r="S3272" s="2">
        <v>0</v>
      </c>
      <c r="T3272" s="2">
        <v>0</v>
      </c>
      <c r="U3272" s="2">
        <v>22100.82</v>
      </c>
      <c r="V3272" s="2">
        <v>22100.82</v>
      </c>
      <c r="W3272" s="2">
        <v>22100.82</v>
      </c>
    </row>
    <row r="3273" spans="1:23" outlineLevel="2" x14ac:dyDescent="0.2">
      <c r="A3273" t="s">
        <v>999</v>
      </c>
      <c r="B3273" t="s">
        <v>39</v>
      </c>
      <c r="C3273" t="s">
        <v>58</v>
      </c>
      <c r="D3273" t="s">
        <v>143</v>
      </c>
      <c r="E3273" t="s">
        <v>144</v>
      </c>
      <c r="F3273" t="s">
        <v>933</v>
      </c>
      <c r="G3273" t="s">
        <v>934</v>
      </c>
      <c r="H3273" t="s">
        <v>1575</v>
      </c>
      <c r="I3273" t="s">
        <v>1576</v>
      </c>
      <c r="J3273" t="s">
        <v>1000</v>
      </c>
      <c r="K3273" t="s">
        <v>1017</v>
      </c>
      <c r="L3273" t="s">
        <v>1570</v>
      </c>
      <c r="M3273" t="s">
        <v>12</v>
      </c>
      <c r="N3273" s="2">
        <v>37887.120000000003</v>
      </c>
      <c r="O3273" s="2">
        <v>-8720</v>
      </c>
      <c r="P3273" s="2">
        <v>-29167.119999999999</v>
      </c>
      <c r="Q3273" s="2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</row>
    <row r="3274" spans="1:23" outlineLevel="2" x14ac:dyDescent="0.2">
      <c r="A3274" t="s">
        <v>999</v>
      </c>
      <c r="B3274" t="s">
        <v>39</v>
      </c>
      <c r="C3274" t="s">
        <v>58</v>
      </c>
      <c r="D3274" t="s">
        <v>149</v>
      </c>
      <c r="E3274" t="s">
        <v>150</v>
      </c>
      <c r="F3274" t="s">
        <v>933</v>
      </c>
      <c r="G3274" t="s">
        <v>934</v>
      </c>
      <c r="H3274" t="s">
        <v>1575</v>
      </c>
      <c r="I3274" t="s">
        <v>1576</v>
      </c>
      <c r="J3274" t="s">
        <v>1000</v>
      </c>
      <c r="K3274" t="s">
        <v>1017</v>
      </c>
      <c r="L3274" t="s">
        <v>1570</v>
      </c>
      <c r="M3274" t="s">
        <v>12</v>
      </c>
      <c r="N3274" s="2">
        <v>56830.58</v>
      </c>
      <c r="O3274" s="2">
        <v>0</v>
      </c>
      <c r="P3274" s="2">
        <v>-56830.58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</row>
    <row r="3275" spans="1:23" outlineLevel="2" x14ac:dyDescent="0.2">
      <c r="A3275" t="s">
        <v>999</v>
      </c>
      <c r="B3275" t="s">
        <v>39</v>
      </c>
      <c r="C3275" t="s">
        <v>58</v>
      </c>
      <c r="D3275" t="s">
        <v>147</v>
      </c>
      <c r="E3275" t="s">
        <v>148</v>
      </c>
      <c r="F3275" t="s">
        <v>933</v>
      </c>
      <c r="G3275" t="s">
        <v>934</v>
      </c>
      <c r="H3275" t="s">
        <v>1575</v>
      </c>
      <c r="I3275" t="s">
        <v>1576</v>
      </c>
      <c r="J3275" t="s">
        <v>1000</v>
      </c>
      <c r="K3275" t="s">
        <v>1017</v>
      </c>
      <c r="L3275" t="s">
        <v>1570</v>
      </c>
      <c r="M3275" t="s">
        <v>12</v>
      </c>
      <c r="N3275" s="2">
        <v>37887.120000000003</v>
      </c>
      <c r="O3275" s="2">
        <v>0</v>
      </c>
      <c r="P3275" s="2">
        <v>-31572.12</v>
      </c>
      <c r="Q3275" s="2">
        <v>6315</v>
      </c>
      <c r="R3275" s="2">
        <v>6315</v>
      </c>
      <c r="S3275" s="2">
        <v>0</v>
      </c>
      <c r="T3275" s="2">
        <v>0</v>
      </c>
      <c r="U3275" s="2">
        <v>6315</v>
      </c>
      <c r="V3275" s="2">
        <v>6315</v>
      </c>
      <c r="W3275" s="2">
        <v>0</v>
      </c>
    </row>
    <row r="3276" spans="1:23" outlineLevel="2" x14ac:dyDescent="0.2">
      <c r="A3276" t="s">
        <v>999</v>
      </c>
      <c r="B3276" t="s">
        <v>39</v>
      </c>
      <c r="C3276" t="s">
        <v>58</v>
      </c>
      <c r="D3276" t="s">
        <v>135</v>
      </c>
      <c r="E3276" t="s">
        <v>136</v>
      </c>
      <c r="F3276" t="s">
        <v>933</v>
      </c>
      <c r="G3276" t="s">
        <v>934</v>
      </c>
      <c r="H3276" t="s">
        <v>1575</v>
      </c>
      <c r="I3276" t="s">
        <v>1576</v>
      </c>
      <c r="J3276" t="s">
        <v>1000</v>
      </c>
      <c r="K3276" t="s">
        <v>1017</v>
      </c>
      <c r="L3276" t="s">
        <v>1570</v>
      </c>
      <c r="M3276" t="s">
        <v>12</v>
      </c>
      <c r="N3276" s="2">
        <v>37887.120000000003</v>
      </c>
      <c r="O3276" s="2">
        <v>0</v>
      </c>
      <c r="P3276" s="2">
        <v>-37887.120000000003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</row>
    <row r="3277" spans="1:23" outlineLevel="2" x14ac:dyDescent="0.2">
      <c r="A3277" t="s">
        <v>999</v>
      </c>
      <c r="B3277" t="s">
        <v>39</v>
      </c>
      <c r="C3277" t="s">
        <v>58</v>
      </c>
      <c r="D3277" t="s">
        <v>137</v>
      </c>
      <c r="E3277" t="s">
        <v>138</v>
      </c>
      <c r="F3277" t="s">
        <v>933</v>
      </c>
      <c r="G3277" t="s">
        <v>934</v>
      </c>
      <c r="H3277" t="s">
        <v>1575</v>
      </c>
      <c r="I3277" t="s">
        <v>1576</v>
      </c>
      <c r="J3277" t="s">
        <v>1000</v>
      </c>
      <c r="K3277" t="s">
        <v>1017</v>
      </c>
      <c r="L3277" t="s">
        <v>1570</v>
      </c>
      <c r="M3277" t="s">
        <v>12</v>
      </c>
      <c r="N3277" s="2">
        <v>37887.120000000003</v>
      </c>
      <c r="O3277" s="2">
        <v>-1300</v>
      </c>
      <c r="P3277" s="2">
        <v>-36587.120000000003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</row>
    <row r="3278" spans="1:23" outlineLevel="2" x14ac:dyDescent="0.2">
      <c r="A3278" t="s">
        <v>999</v>
      </c>
      <c r="B3278" t="s">
        <v>31</v>
      </c>
      <c r="C3278" t="s">
        <v>32</v>
      </c>
      <c r="D3278" t="s">
        <v>141</v>
      </c>
      <c r="E3278" t="s">
        <v>142</v>
      </c>
      <c r="F3278" t="s">
        <v>933</v>
      </c>
      <c r="G3278" t="s">
        <v>934</v>
      </c>
      <c r="H3278" t="s">
        <v>1575</v>
      </c>
      <c r="I3278" t="s">
        <v>1576</v>
      </c>
      <c r="J3278" t="s">
        <v>1000</v>
      </c>
      <c r="K3278" t="s">
        <v>1267</v>
      </c>
      <c r="L3278" t="s">
        <v>1579</v>
      </c>
      <c r="M3278" t="s">
        <v>12</v>
      </c>
      <c r="N3278" s="2">
        <v>0</v>
      </c>
      <c r="O3278" s="2">
        <v>8000</v>
      </c>
      <c r="P3278" s="2">
        <v>0</v>
      </c>
      <c r="Q3278" s="2">
        <v>8000</v>
      </c>
      <c r="R3278" s="2">
        <v>0</v>
      </c>
      <c r="S3278" s="2">
        <v>2968</v>
      </c>
      <c r="T3278" s="2">
        <v>0</v>
      </c>
      <c r="U3278" s="2">
        <v>5032</v>
      </c>
      <c r="V3278" s="2">
        <v>8000</v>
      </c>
      <c r="W3278" s="2">
        <v>5032</v>
      </c>
    </row>
    <row r="3279" spans="1:23" outlineLevel="2" x14ac:dyDescent="0.2">
      <c r="A3279" t="s">
        <v>999</v>
      </c>
      <c r="B3279" t="s">
        <v>39</v>
      </c>
      <c r="C3279" t="s">
        <v>58</v>
      </c>
      <c r="D3279" t="s">
        <v>143</v>
      </c>
      <c r="E3279" t="s">
        <v>144</v>
      </c>
      <c r="F3279" t="s">
        <v>933</v>
      </c>
      <c r="G3279" t="s">
        <v>934</v>
      </c>
      <c r="H3279" t="s">
        <v>1575</v>
      </c>
      <c r="I3279" t="s">
        <v>1576</v>
      </c>
      <c r="J3279" t="s">
        <v>1000</v>
      </c>
      <c r="K3279" t="s">
        <v>1084</v>
      </c>
      <c r="L3279" t="s">
        <v>1574</v>
      </c>
      <c r="M3279" t="s">
        <v>12</v>
      </c>
      <c r="N3279" s="2">
        <v>4242</v>
      </c>
      <c r="O3279" s="2">
        <v>0</v>
      </c>
      <c r="P3279" s="2">
        <v>-4242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</row>
    <row r="3280" spans="1:23" outlineLevel="2" x14ac:dyDescent="0.2">
      <c r="A3280" t="s">
        <v>999</v>
      </c>
      <c r="B3280" t="s">
        <v>39</v>
      </c>
      <c r="C3280" t="s">
        <v>58</v>
      </c>
      <c r="D3280" t="s">
        <v>149</v>
      </c>
      <c r="E3280" t="s">
        <v>150</v>
      </c>
      <c r="F3280" t="s">
        <v>933</v>
      </c>
      <c r="G3280" t="s">
        <v>934</v>
      </c>
      <c r="H3280" t="s">
        <v>1575</v>
      </c>
      <c r="I3280" t="s">
        <v>1576</v>
      </c>
      <c r="J3280" t="s">
        <v>1000</v>
      </c>
      <c r="K3280" t="s">
        <v>1084</v>
      </c>
      <c r="L3280" t="s">
        <v>1574</v>
      </c>
      <c r="M3280" t="s">
        <v>12</v>
      </c>
      <c r="N3280" s="2">
        <v>6891</v>
      </c>
      <c r="O3280" s="2">
        <v>0</v>
      </c>
      <c r="P3280" s="2">
        <v>-6891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</row>
    <row r="3281" spans="1:23" outlineLevel="2" x14ac:dyDescent="0.2">
      <c r="A3281" t="s">
        <v>999</v>
      </c>
      <c r="B3281" t="s">
        <v>39</v>
      </c>
      <c r="C3281" t="s">
        <v>58</v>
      </c>
      <c r="D3281" t="s">
        <v>139</v>
      </c>
      <c r="E3281" t="s">
        <v>140</v>
      </c>
      <c r="F3281" t="s">
        <v>933</v>
      </c>
      <c r="G3281" t="s">
        <v>934</v>
      </c>
      <c r="H3281" t="s">
        <v>1575</v>
      </c>
      <c r="I3281" t="s">
        <v>1576</v>
      </c>
      <c r="J3281" t="s">
        <v>1000</v>
      </c>
      <c r="K3281" t="s">
        <v>1084</v>
      </c>
      <c r="L3281" t="s">
        <v>1574</v>
      </c>
      <c r="M3281" t="s">
        <v>12</v>
      </c>
      <c r="N3281" s="2">
        <v>5950</v>
      </c>
      <c r="O3281" s="2">
        <v>0</v>
      </c>
      <c r="P3281" s="2">
        <v>-5950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</row>
    <row r="3282" spans="1:23" outlineLevel="2" x14ac:dyDescent="0.2">
      <c r="A3282" t="s">
        <v>999</v>
      </c>
      <c r="B3282" t="s">
        <v>39</v>
      </c>
      <c r="C3282" t="s">
        <v>58</v>
      </c>
      <c r="D3282" t="s">
        <v>147</v>
      </c>
      <c r="E3282" t="s">
        <v>148</v>
      </c>
      <c r="F3282" t="s">
        <v>933</v>
      </c>
      <c r="G3282" t="s">
        <v>934</v>
      </c>
      <c r="H3282" t="s">
        <v>1575</v>
      </c>
      <c r="I3282" t="s">
        <v>1576</v>
      </c>
      <c r="J3282" t="s">
        <v>1000</v>
      </c>
      <c r="K3282" t="s">
        <v>1084</v>
      </c>
      <c r="L3282" t="s">
        <v>1574</v>
      </c>
      <c r="M3282" t="s">
        <v>12</v>
      </c>
      <c r="N3282" s="2">
        <v>5302</v>
      </c>
      <c r="O3282" s="2">
        <v>0</v>
      </c>
      <c r="P3282" s="2">
        <v>-5302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</row>
    <row r="3283" spans="1:23" outlineLevel="2" x14ac:dyDescent="0.2">
      <c r="A3283" t="s">
        <v>999</v>
      </c>
      <c r="B3283" t="s">
        <v>39</v>
      </c>
      <c r="C3283" t="s">
        <v>58</v>
      </c>
      <c r="D3283" t="s">
        <v>145</v>
      </c>
      <c r="E3283" t="s">
        <v>146</v>
      </c>
      <c r="F3283" t="s">
        <v>933</v>
      </c>
      <c r="G3283" t="s">
        <v>934</v>
      </c>
      <c r="H3283" t="s">
        <v>1575</v>
      </c>
      <c r="I3283" t="s">
        <v>1576</v>
      </c>
      <c r="J3283" t="s">
        <v>1000</v>
      </c>
      <c r="K3283" t="s">
        <v>1084</v>
      </c>
      <c r="L3283" t="s">
        <v>1574</v>
      </c>
      <c r="M3283" t="s">
        <v>12</v>
      </c>
      <c r="N3283" s="2">
        <v>4777</v>
      </c>
      <c r="O3283" s="2">
        <v>0</v>
      </c>
      <c r="P3283" s="2">
        <v>-4777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</row>
    <row r="3284" spans="1:23" outlineLevel="2" x14ac:dyDescent="0.2">
      <c r="A3284" t="s">
        <v>999</v>
      </c>
      <c r="B3284" t="s">
        <v>39</v>
      </c>
      <c r="C3284" t="s">
        <v>58</v>
      </c>
      <c r="D3284" t="s">
        <v>59</v>
      </c>
      <c r="E3284" t="s">
        <v>60</v>
      </c>
      <c r="F3284" t="s">
        <v>933</v>
      </c>
      <c r="G3284" t="s">
        <v>934</v>
      </c>
      <c r="H3284" t="s">
        <v>1575</v>
      </c>
      <c r="I3284" t="s">
        <v>1576</v>
      </c>
      <c r="J3284" t="s">
        <v>1000</v>
      </c>
      <c r="K3284" t="s">
        <v>1084</v>
      </c>
      <c r="L3284" t="s">
        <v>1574</v>
      </c>
      <c r="M3284" t="s">
        <v>12</v>
      </c>
      <c r="N3284" s="2">
        <v>1589</v>
      </c>
      <c r="O3284" s="2">
        <v>0</v>
      </c>
      <c r="P3284" s="2">
        <v>-1589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</row>
    <row r="3285" spans="1:23" outlineLevel="2" x14ac:dyDescent="0.2">
      <c r="A3285" t="s">
        <v>999</v>
      </c>
      <c r="B3285" t="s">
        <v>39</v>
      </c>
      <c r="C3285" t="s">
        <v>58</v>
      </c>
      <c r="D3285" t="s">
        <v>135</v>
      </c>
      <c r="E3285" t="s">
        <v>136</v>
      </c>
      <c r="F3285" t="s">
        <v>933</v>
      </c>
      <c r="G3285" t="s">
        <v>934</v>
      </c>
      <c r="H3285" t="s">
        <v>1575</v>
      </c>
      <c r="I3285" t="s">
        <v>1576</v>
      </c>
      <c r="J3285" t="s">
        <v>1000</v>
      </c>
      <c r="K3285" t="s">
        <v>1084</v>
      </c>
      <c r="L3285" t="s">
        <v>1574</v>
      </c>
      <c r="M3285" t="s">
        <v>12</v>
      </c>
      <c r="N3285" s="2">
        <v>4116</v>
      </c>
      <c r="O3285" s="2">
        <v>0</v>
      </c>
      <c r="P3285" s="2">
        <v>-4116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</row>
    <row r="3286" spans="1:23" outlineLevel="2" x14ac:dyDescent="0.2">
      <c r="A3286" t="s">
        <v>999</v>
      </c>
      <c r="B3286" t="s">
        <v>39</v>
      </c>
      <c r="C3286" t="s">
        <v>58</v>
      </c>
      <c r="D3286" t="s">
        <v>137</v>
      </c>
      <c r="E3286" t="s">
        <v>138</v>
      </c>
      <c r="F3286" t="s">
        <v>933</v>
      </c>
      <c r="G3286" t="s">
        <v>934</v>
      </c>
      <c r="H3286" t="s">
        <v>1575</v>
      </c>
      <c r="I3286" t="s">
        <v>1576</v>
      </c>
      <c r="J3286" t="s">
        <v>1000</v>
      </c>
      <c r="K3286" t="s">
        <v>1084</v>
      </c>
      <c r="L3286" t="s">
        <v>1574</v>
      </c>
      <c r="M3286" t="s">
        <v>12</v>
      </c>
      <c r="N3286" s="2">
        <v>1589</v>
      </c>
      <c r="O3286" s="2">
        <v>0</v>
      </c>
      <c r="P3286" s="2">
        <v>-1589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</row>
    <row r="3287" spans="1:23" outlineLevel="2" x14ac:dyDescent="0.2">
      <c r="A3287" t="s">
        <v>999</v>
      </c>
      <c r="B3287" t="s">
        <v>31</v>
      </c>
      <c r="C3287" t="s">
        <v>32</v>
      </c>
      <c r="D3287" t="s">
        <v>141</v>
      </c>
      <c r="E3287" t="s">
        <v>142</v>
      </c>
      <c r="F3287" t="s">
        <v>933</v>
      </c>
      <c r="G3287" t="s">
        <v>934</v>
      </c>
      <c r="H3287" t="s">
        <v>935</v>
      </c>
      <c r="I3287" t="s">
        <v>936</v>
      </c>
      <c r="J3287" t="s">
        <v>1000</v>
      </c>
      <c r="K3287" t="s">
        <v>1104</v>
      </c>
      <c r="L3287" t="s">
        <v>1580</v>
      </c>
      <c r="M3287" t="s">
        <v>12</v>
      </c>
      <c r="N3287" s="2">
        <v>0</v>
      </c>
      <c r="O3287" s="2">
        <v>5000</v>
      </c>
      <c r="P3287" s="2">
        <v>0</v>
      </c>
      <c r="Q3287" s="2">
        <v>5000</v>
      </c>
      <c r="R3287" s="2">
        <v>0</v>
      </c>
      <c r="S3287" s="2">
        <v>0</v>
      </c>
      <c r="T3287" s="2">
        <v>0</v>
      </c>
      <c r="U3287" s="2">
        <v>5000</v>
      </c>
      <c r="V3287" s="2">
        <v>5000</v>
      </c>
      <c r="W3287" s="2">
        <v>5000</v>
      </c>
    </row>
    <row r="3288" spans="1:23" outlineLevel="2" x14ac:dyDescent="0.2">
      <c r="A3288" t="s">
        <v>999</v>
      </c>
      <c r="B3288" t="s">
        <v>31</v>
      </c>
      <c r="C3288" t="s">
        <v>32</v>
      </c>
      <c r="D3288" t="s">
        <v>141</v>
      </c>
      <c r="E3288" t="s">
        <v>142</v>
      </c>
      <c r="F3288" t="s">
        <v>933</v>
      </c>
      <c r="G3288" t="s">
        <v>934</v>
      </c>
      <c r="H3288" t="s">
        <v>935</v>
      </c>
      <c r="I3288" t="s">
        <v>936</v>
      </c>
      <c r="J3288" t="s">
        <v>1000</v>
      </c>
      <c r="K3288" t="s">
        <v>1037</v>
      </c>
      <c r="L3288" t="s">
        <v>1548</v>
      </c>
      <c r="M3288" t="s">
        <v>12</v>
      </c>
      <c r="N3288" s="2">
        <v>12000</v>
      </c>
      <c r="O3288" s="2">
        <v>-6000</v>
      </c>
      <c r="P3288" s="2">
        <v>-1264</v>
      </c>
      <c r="Q3288" s="2">
        <v>4736</v>
      </c>
      <c r="R3288" s="2">
        <v>0</v>
      </c>
      <c r="S3288" s="2">
        <v>2399.04</v>
      </c>
      <c r="T3288" s="2">
        <v>0</v>
      </c>
      <c r="U3288" s="2">
        <v>2336.96</v>
      </c>
      <c r="V3288" s="2">
        <v>4736</v>
      </c>
      <c r="W3288" s="2">
        <v>2336.96</v>
      </c>
    </row>
    <row r="3289" spans="1:23" outlineLevel="2" x14ac:dyDescent="0.2">
      <c r="A3289" t="s">
        <v>999</v>
      </c>
      <c r="B3289" t="s">
        <v>39</v>
      </c>
      <c r="C3289" t="s">
        <v>58</v>
      </c>
      <c r="D3289" t="s">
        <v>135</v>
      </c>
      <c r="E3289" t="s">
        <v>136</v>
      </c>
      <c r="F3289" t="s">
        <v>933</v>
      </c>
      <c r="G3289" t="s">
        <v>934</v>
      </c>
      <c r="H3289" t="s">
        <v>935</v>
      </c>
      <c r="I3289" t="s">
        <v>936</v>
      </c>
      <c r="J3289" t="s">
        <v>1000</v>
      </c>
      <c r="K3289" t="s">
        <v>1037</v>
      </c>
      <c r="L3289" t="s">
        <v>1566</v>
      </c>
      <c r="M3289" t="s">
        <v>12</v>
      </c>
      <c r="N3289" s="2">
        <v>2000</v>
      </c>
      <c r="O3289" s="2">
        <v>0</v>
      </c>
      <c r="P3289" s="2">
        <v>-2000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</row>
    <row r="3290" spans="1:23" outlineLevel="2" x14ac:dyDescent="0.2">
      <c r="A3290" t="s">
        <v>999</v>
      </c>
      <c r="B3290" t="s">
        <v>39</v>
      </c>
      <c r="C3290" t="s">
        <v>58</v>
      </c>
      <c r="D3290" t="s">
        <v>137</v>
      </c>
      <c r="E3290" t="s">
        <v>138</v>
      </c>
      <c r="F3290" t="s">
        <v>933</v>
      </c>
      <c r="G3290" t="s">
        <v>934</v>
      </c>
      <c r="H3290" t="s">
        <v>935</v>
      </c>
      <c r="I3290" t="s">
        <v>936</v>
      </c>
      <c r="J3290" t="s">
        <v>1000</v>
      </c>
      <c r="K3290" t="s">
        <v>1037</v>
      </c>
      <c r="L3290" t="s">
        <v>1566</v>
      </c>
      <c r="M3290" t="s">
        <v>12</v>
      </c>
      <c r="N3290" s="2">
        <v>2000</v>
      </c>
      <c r="O3290" s="2">
        <v>0</v>
      </c>
      <c r="P3290" s="2">
        <v>-2000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</row>
    <row r="3291" spans="1:23" outlineLevel="2" x14ac:dyDescent="0.2">
      <c r="A3291" t="s">
        <v>999</v>
      </c>
      <c r="B3291" t="s">
        <v>39</v>
      </c>
      <c r="C3291" t="s">
        <v>58</v>
      </c>
      <c r="D3291" t="s">
        <v>59</v>
      </c>
      <c r="E3291" t="s">
        <v>60</v>
      </c>
      <c r="F3291" t="s">
        <v>933</v>
      </c>
      <c r="G3291" t="s">
        <v>934</v>
      </c>
      <c r="H3291" t="s">
        <v>935</v>
      </c>
      <c r="I3291" t="s">
        <v>936</v>
      </c>
      <c r="J3291" t="s">
        <v>1000</v>
      </c>
      <c r="K3291" t="s">
        <v>1037</v>
      </c>
      <c r="L3291" t="s">
        <v>1566</v>
      </c>
      <c r="M3291" t="s">
        <v>12</v>
      </c>
      <c r="N3291" s="2">
        <v>2000</v>
      </c>
      <c r="O3291" s="2">
        <v>0</v>
      </c>
      <c r="P3291" s="2">
        <v>-2000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</row>
    <row r="3292" spans="1:23" outlineLevel="2" x14ac:dyDescent="0.2">
      <c r="A3292" t="s">
        <v>999</v>
      </c>
      <c r="B3292" t="s">
        <v>39</v>
      </c>
      <c r="C3292" t="s">
        <v>58</v>
      </c>
      <c r="D3292" t="s">
        <v>139</v>
      </c>
      <c r="E3292" t="s">
        <v>140</v>
      </c>
      <c r="F3292" t="s">
        <v>933</v>
      </c>
      <c r="G3292" t="s">
        <v>934</v>
      </c>
      <c r="H3292" t="s">
        <v>935</v>
      </c>
      <c r="I3292" t="s">
        <v>936</v>
      </c>
      <c r="J3292" t="s">
        <v>1000</v>
      </c>
      <c r="K3292" t="s">
        <v>1037</v>
      </c>
      <c r="L3292" t="s">
        <v>1566</v>
      </c>
      <c r="M3292" t="s">
        <v>12</v>
      </c>
      <c r="N3292" s="2">
        <v>2000</v>
      </c>
      <c r="O3292" s="2">
        <v>0</v>
      </c>
      <c r="P3292" s="2">
        <v>-2000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</row>
    <row r="3293" spans="1:23" outlineLevel="2" x14ac:dyDescent="0.2">
      <c r="A3293" t="s">
        <v>999</v>
      </c>
      <c r="B3293" t="s">
        <v>39</v>
      </c>
      <c r="C3293" t="s">
        <v>58</v>
      </c>
      <c r="D3293" t="s">
        <v>147</v>
      </c>
      <c r="E3293" t="s">
        <v>148</v>
      </c>
      <c r="F3293" t="s">
        <v>933</v>
      </c>
      <c r="G3293" t="s">
        <v>934</v>
      </c>
      <c r="H3293" t="s">
        <v>935</v>
      </c>
      <c r="I3293" t="s">
        <v>936</v>
      </c>
      <c r="J3293" t="s">
        <v>1000</v>
      </c>
      <c r="K3293" t="s">
        <v>1037</v>
      </c>
      <c r="L3293" t="s">
        <v>1566</v>
      </c>
      <c r="M3293" t="s">
        <v>12</v>
      </c>
      <c r="N3293" s="2">
        <v>1472.46</v>
      </c>
      <c r="O3293" s="2">
        <v>0</v>
      </c>
      <c r="P3293" s="2">
        <v>-1472.46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</row>
    <row r="3294" spans="1:23" outlineLevel="2" x14ac:dyDescent="0.2">
      <c r="A3294" t="s">
        <v>999</v>
      </c>
      <c r="B3294" t="s">
        <v>39</v>
      </c>
      <c r="C3294" t="s">
        <v>58</v>
      </c>
      <c r="D3294" t="s">
        <v>143</v>
      </c>
      <c r="E3294" t="s">
        <v>144</v>
      </c>
      <c r="F3294" t="s">
        <v>933</v>
      </c>
      <c r="G3294" t="s">
        <v>934</v>
      </c>
      <c r="H3294" t="s">
        <v>935</v>
      </c>
      <c r="I3294" t="s">
        <v>936</v>
      </c>
      <c r="J3294" t="s">
        <v>1000</v>
      </c>
      <c r="K3294" t="s">
        <v>1037</v>
      </c>
      <c r="L3294" t="s">
        <v>1566</v>
      </c>
      <c r="M3294" t="s">
        <v>12</v>
      </c>
      <c r="N3294" s="2">
        <v>2000</v>
      </c>
      <c r="O3294" s="2">
        <v>0</v>
      </c>
      <c r="P3294" s="2">
        <v>-2000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</row>
    <row r="3295" spans="1:23" outlineLevel="2" x14ac:dyDescent="0.2">
      <c r="A3295" t="s">
        <v>999</v>
      </c>
      <c r="B3295" t="s">
        <v>39</v>
      </c>
      <c r="C3295" t="s">
        <v>58</v>
      </c>
      <c r="D3295" t="s">
        <v>145</v>
      </c>
      <c r="E3295" t="s">
        <v>146</v>
      </c>
      <c r="F3295" t="s">
        <v>933</v>
      </c>
      <c r="G3295" t="s">
        <v>934</v>
      </c>
      <c r="H3295" t="s">
        <v>935</v>
      </c>
      <c r="I3295" t="s">
        <v>936</v>
      </c>
      <c r="J3295" t="s">
        <v>1000</v>
      </c>
      <c r="K3295" t="s">
        <v>1037</v>
      </c>
      <c r="L3295" t="s">
        <v>1566</v>
      </c>
      <c r="M3295" t="s">
        <v>12</v>
      </c>
      <c r="N3295" s="2">
        <v>2000</v>
      </c>
      <c r="O3295" s="2">
        <v>0</v>
      </c>
      <c r="P3295" s="2">
        <v>-2000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</row>
    <row r="3296" spans="1:23" outlineLevel="2" x14ac:dyDescent="0.2">
      <c r="A3296" t="s">
        <v>999</v>
      </c>
      <c r="B3296" t="s">
        <v>39</v>
      </c>
      <c r="C3296" t="s">
        <v>58</v>
      </c>
      <c r="D3296" t="s">
        <v>149</v>
      </c>
      <c r="E3296" t="s">
        <v>150</v>
      </c>
      <c r="F3296" t="s">
        <v>933</v>
      </c>
      <c r="G3296" t="s">
        <v>934</v>
      </c>
      <c r="H3296" t="s">
        <v>935</v>
      </c>
      <c r="I3296" t="s">
        <v>936</v>
      </c>
      <c r="J3296" t="s">
        <v>1000</v>
      </c>
      <c r="K3296" t="s">
        <v>1037</v>
      </c>
      <c r="L3296" t="s">
        <v>1566</v>
      </c>
      <c r="M3296" t="s">
        <v>12</v>
      </c>
      <c r="N3296" s="2">
        <v>2000</v>
      </c>
      <c r="O3296" s="2">
        <v>0</v>
      </c>
      <c r="P3296" s="2">
        <v>-2000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</row>
    <row r="3297" spans="1:23" outlineLevel="2" x14ac:dyDescent="0.2">
      <c r="A3297" t="s">
        <v>999</v>
      </c>
      <c r="B3297" t="s">
        <v>39</v>
      </c>
      <c r="C3297" t="s">
        <v>58</v>
      </c>
      <c r="D3297" t="s">
        <v>135</v>
      </c>
      <c r="E3297" t="s">
        <v>136</v>
      </c>
      <c r="F3297" t="s">
        <v>933</v>
      </c>
      <c r="G3297" t="s">
        <v>934</v>
      </c>
      <c r="H3297" t="s">
        <v>935</v>
      </c>
      <c r="I3297" t="s">
        <v>936</v>
      </c>
      <c r="J3297" t="s">
        <v>1000</v>
      </c>
      <c r="K3297" t="s">
        <v>1039</v>
      </c>
      <c r="L3297" t="s">
        <v>1567</v>
      </c>
      <c r="M3297" t="s">
        <v>12</v>
      </c>
      <c r="N3297" s="2">
        <v>3000</v>
      </c>
      <c r="O3297" s="2">
        <v>0</v>
      </c>
      <c r="P3297" s="2">
        <v>-3000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</row>
    <row r="3298" spans="1:23" outlineLevel="2" x14ac:dyDescent="0.2">
      <c r="A3298" t="s">
        <v>999</v>
      </c>
      <c r="B3298" t="s">
        <v>39</v>
      </c>
      <c r="C3298" t="s">
        <v>58</v>
      </c>
      <c r="D3298" t="s">
        <v>137</v>
      </c>
      <c r="E3298" t="s">
        <v>138</v>
      </c>
      <c r="F3298" t="s">
        <v>933</v>
      </c>
      <c r="G3298" t="s">
        <v>934</v>
      </c>
      <c r="H3298" t="s">
        <v>935</v>
      </c>
      <c r="I3298" t="s">
        <v>936</v>
      </c>
      <c r="J3298" t="s">
        <v>1000</v>
      </c>
      <c r="K3298" t="s">
        <v>1039</v>
      </c>
      <c r="L3298" t="s">
        <v>1567</v>
      </c>
      <c r="M3298" t="s">
        <v>12</v>
      </c>
      <c r="N3298" s="2">
        <v>3000</v>
      </c>
      <c r="O3298" s="2">
        <v>0</v>
      </c>
      <c r="P3298" s="2">
        <v>-3000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</row>
    <row r="3299" spans="1:23" outlineLevel="2" x14ac:dyDescent="0.2">
      <c r="A3299" t="s">
        <v>999</v>
      </c>
      <c r="B3299" t="s">
        <v>39</v>
      </c>
      <c r="C3299" t="s">
        <v>58</v>
      </c>
      <c r="D3299" t="s">
        <v>145</v>
      </c>
      <c r="E3299" t="s">
        <v>146</v>
      </c>
      <c r="F3299" t="s">
        <v>933</v>
      </c>
      <c r="G3299" t="s">
        <v>934</v>
      </c>
      <c r="H3299" t="s">
        <v>935</v>
      </c>
      <c r="I3299" t="s">
        <v>936</v>
      </c>
      <c r="J3299" t="s">
        <v>1000</v>
      </c>
      <c r="K3299" t="s">
        <v>1039</v>
      </c>
      <c r="L3299" t="s">
        <v>1567</v>
      </c>
      <c r="M3299" t="s">
        <v>12</v>
      </c>
      <c r="N3299" s="2">
        <v>3000</v>
      </c>
      <c r="O3299" s="2">
        <v>0</v>
      </c>
      <c r="P3299" s="2">
        <v>-3000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</row>
    <row r="3300" spans="1:23" outlineLevel="2" x14ac:dyDescent="0.2">
      <c r="A3300" t="s">
        <v>999</v>
      </c>
      <c r="B3300" t="s">
        <v>39</v>
      </c>
      <c r="C3300" t="s">
        <v>58</v>
      </c>
      <c r="D3300" t="s">
        <v>139</v>
      </c>
      <c r="E3300" t="s">
        <v>140</v>
      </c>
      <c r="F3300" t="s">
        <v>933</v>
      </c>
      <c r="G3300" t="s">
        <v>934</v>
      </c>
      <c r="H3300" t="s">
        <v>935</v>
      </c>
      <c r="I3300" t="s">
        <v>936</v>
      </c>
      <c r="J3300" t="s">
        <v>1000</v>
      </c>
      <c r="K3300" t="s">
        <v>1039</v>
      </c>
      <c r="L3300" t="s">
        <v>1567</v>
      </c>
      <c r="M3300" t="s">
        <v>12</v>
      </c>
      <c r="N3300" s="2">
        <v>3000</v>
      </c>
      <c r="O3300" s="2">
        <v>0</v>
      </c>
      <c r="P3300" s="2">
        <v>-3000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</row>
    <row r="3301" spans="1:23" outlineLevel="2" x14ac:dyDescent="0.2">
      <c r="A3301" t="s">
        <v>999</v>
      </c>
      <c r="B3301" t="s">
        <v>39</v>
      </c>
      <c r="C3301" t="s">
        <v>58</v>
      </c>
      <c r="D3301" t="s">
        <v>143</v>
      </c>
      <c r="E3301" t="s">
        <v>144</v>
      </c>
      <c r="F3301" t="s">
        <v>933</v>
      </c>
      <c r="G3301" t="s">
        <v>934</v>
      </c>
      <c r="H3301" t="s">
        <v>935</v>
      </c>
      <c r="I3301" t="s">
        <v>936</v>
      </c>
      <c r="J3301" t="s">
        <v>1000</v>
      </c>
      <c r="K3301" t="s">
        <v>1039</v>
      </c>
      <c r="L3301" t="s">
        <v>1567</v>
      </c>
      <c r="M3301" t="s">
        <v>12</v>
      </c>
      <c r="N3301" s="2">
        <v>3000</v>
      </c>
      <c r="O3301" s="2">
        <v>0</v>
      </c>
      <c r="P3301" s="2">
        <v>-3000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</row>
    <row r="3302" spans="1:23" outlineLevel="2" x14ac:dyDescent="0.2">
      <c r="A3302" t="s">
        <v>999</v>
      </c>
      <c r="B3302" t="s">
        <v>39</v>
      </c>
      <c r="C3302" t="s">
        <v>58</v>
      </c>
      <c r="D3302" t="s">
        <v>149</v>
      </c>
      <c r="E3302" t="s">
        <v>150</v>
      </c>
      <c r="F3302" t="s">
        <v>933</v>
      </c>
      <c r="G3302" t="s">
        <v>934</v>
      </c>
      <c r="H3302" t="s">
        <v>935</v>
      </c>
      <c r="I3302" t="s">
        <v>936</v>
      </c>
      <c r="J3302" t="s">
        <v>1000</v>
      </c>
      <c r="K3302" t="s">
        <v>1039</v>
      </c>
      <c r="L3302" t="s">
        <v>1567</v>
      </c>
      <c r="M3302" t="s">
        <v>12</v>
      </c>
      <c r="N3302" s="2">
        <v>3000</v>
      </c>
      <c r="O3302" s="2">
        <v>0</v>
      </c>
      <c r="P3302" s="2">
        <v>-3000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</row>
    <row r="3303" spans="1:23" outlineLevel="2" x14ac:dyDescent="0.2">
      <c r="A3303" t="s">
        <v>999</v>
      </c>
      <c r="B3303" t="s">
        <v>39</v>
      </c>
      <c r="C3303" t="s">
        <v>58</v>
      </c>
      <c r="D3303" t="s">
        <v>59</v>
      </c>
      <c r="E3303" t="s">
        <v>60</v>
      </c>
      <c r="F3303" t="s">
        <v>933</v>
      </c>
      <c r="G3303" t="s">
        <v>934</v>
      </c>
      <c r="H3303" t="s">
        <v>935</v>
      </c>
      <c r="I3303" t="s">
        <v>936</v>
      </c>
      <c r="J3303" t="s">
        <v>1000</v>
      </c>
      <c r="K3303" t="s">
        <v>1039</v>
      </c>
      <c r="L3303" t="s">
        <v>1567</v>
      </c>
      <c r="M3303" t="s">
        <v>12</v>
      </c>
      <c r="N3303" s="2">
        <v>3000</v>
      </c>
      <c r="O3303" s="2">
        <v>0</v>
      </c>
      <c r="P3303" s="2">
        <v>-3000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</row>
    <row r="3304" spans="1:23" outlineLevel="2" x14ac:dyDescent="0.2">
      <c r="A3304" t="s">
        <v>999</v>
      </c>
      <c r="B3304" t="s">
        <v>31</v>
      </c>
      <c r="C3304" t="s">
        <v>32</v>
      </c>
      <c r="D3304" t="s">
        <v>141</v>
      </c>
      <c r="E3304" t="s">
        <v>142</v>
      </c>
      <c r="F3304" t="s">
        <v>933</v>
      </c>
      <c r="G3304" t="s">
        <v>934</v>
      </c>
      <c r="H3304" t="s">
        <v>935</v>
      </c>
      <c r="I3304" t="s">
        <v>936</v>
      </c>
      <c r="J3304" t="s">
        <v>1000</v>
      </c>
      <c r="K3304" t="s">
        <v>1110</v>
      </c>
      <c r="L3304" t="s">
        <v>1581</v>
      </c>
      <c r="M3304" t="s">
        <v>12</v>
      </c>
      <c r="N3304" s="2">
        <v>16680</v>
      </c>
      <c r="O3304" s="2">
        <v>0</v>
      </c>
      <c r="P3304" s="2">
        <v>-12200</v>
      </c>
      <c r="Q3304" s="2">
        <v>4480</v>
      </c>
      <c r="R3304" s="2">
        <v>0</v>
      </c>
      <c r="S3304" s="2">
        <v>0</v>
      </c>
      <c r="T3304" s="2">
        <v>0</v>
      </c>
      <c r="U3304" s="2">
        <v>4480</v>
      </c>
      <c r="V3304" s="2">
        <v>4480</v>
      </c>
      <c r="W3304" s="2">
        <v>4480</v>
      </c>
    </row>
    <row r="3305" spans="1:23" outlineLevel="2" x14ac:dyDescent="0.2">
      <c r="A3305" t="s">
        <v>999</v>
      </c>
      <c r="B3305" t="s">
        <v>31</v>
      </c>
      <c r="C3305" t="s">
        <v>32</v>
      </c>
      <c r="D3305" t="s">
        <v>141</v>
      </c>
      <c r="E3305" t="s">
        <v>142</v>
      </c>
      <c r="F3305" t="s">
        <v>933</v>
      </c>
      <c r="G3305" t="s">
        <v>934</v>
      </c>
      <c r="H3305" t="s">
        <v>935</v>
      </c>
      <c r="I3305" t="s">
        <v>936</v>
      </c>
      <c r="J3305" t="s">
        <v>1000</v>
      </c>
      <c r="K3305" t="s">
        <v>1582</v>
      </c>
      <c r="L3305" t="s">
        <v>1583</v>
      </c>
      <c r="M3305" t="s">
        <v>12</v>
      </c>
      <c r="N3305" s="2">
        <v>15150</v>
      </c>
      <c r="O3305" s="2">
        <v>0</v>
      </c>
      <c r="P3305" s="2">
        <v>-14814</v>
      </c>
      <c r="Q3305" s="2">
        <v>336</v>
      </c>
      <c r="R3305" s="2">
        <v>0</v>
      </c>
      <c r="S3305" s="2">
        <v>0</v>
      </c>
      <c r="T3305" s="2">
        <v>0</v>
      </c>
      <c r="U3305" s="2">
        <v>336</v>
      </c>
      <c r="V3305" s="2">
        <v>336</v>
      </c>
      <c r="W3305" s="2">
        <v>336</v>
      </c>
    </row>
    <row r="3306" spans="1:23" outlineLevel="2" x14ac:dyDescent="0.2">
      <c r="A3306" t="s">
        <v>999</v>
      </c>
      <c r="B3306" t="s">
        <v>31</v>
      </c>
      <c r="C3306" t="s">
        <v>32</v>
      </c>
      <c r="D3306" t="s">
        <v>141</v>
      </c>
      <c r="E3306" t="s">
        <v>142</v>
      </c>
      <c r="F3306" t="s">
        <v>933</v>
      </c>
      <c r="G3306" t="s">
        <v>934</v>
      </c>
      <c r="H3306" t="s">
        <v>935</v>
      </c>
      <c r="I3306" t="s">
        <v>936</v>
      </c>
      <c r="J3306" t="s">
        <v>1000</v>
      </c>
      <c r="K3306" t="s">
        <v>1003</v>
      </c>
      <c r="L3306" t="s">
        <v>1553</v>
      </c>
      <c r="M3306" t="s">
        <v>12</v>
      </c>
      <c r="N3306" s="2">
        <v>0</v>
      </c>
      <c r="O3306" s="2">
        <v>207500</v>
      </c>
      <c r="P3306" s="2">
        <v>0</v>
      </c>
      <c r="Q3306" s="2">
        <v>207500</v>
      </c>
      <c r="R3306" s="2">
        <v>0</v>
      </c>
      <c r="S3306" s="2">
        <v>0</v>
      </c>
      <c r="T3306" s="2">
        <v>0</v>
      </c>
      <c r="U3306" s="2">
        <v>207500</v>
      </c>
      <c r="V3306" s="2">
        <v>207500</v>
      </c>
      <c r="W3306" s="2">
        <v>207500</v>
      </c>
    </row>
    <row r="3307" spans="1:23" outlineLevel="2" x14ac:dyDescent="0.2">
      <c r="A3307" t="s">
        <v>999</v>
      </c>
      <c r="B3307" t="s">
        <v>31</v>
      </c>
      <c r="C3307" t="s">
        <v>32</v>
      </c>
      <c r="D3307" t="s">
        <v>141</v>
      </c>
      <c r="E3307" t="s">
        <v>142</v>
      </c>
      <c r="F3307" t="s">
        <v>933</v>
      </c>
      <c r="G3307" t="s">
        <v>934</v>
      </c>
      <c r="H3307" t="s">
        <v>935</v>
      </c>
      <c r="I3307" t="s">
        <v>936</v>
      </c>
      <c r="J3307" t="s">
        <v>1000</v>
      </c>
      <c r="K3307" t="s">
        <v>1009</v>
      </c>
      <c r="L3307" t="s">
        <v>1568</v>
      </c>
      <c r="M3307" t="s">
        <v>12</v>
      </c>
      <c r="N3307" s="2">
        <v>3930.01</v>
      </c>
      <c r="O3307" s="2">
        <v>0</v>
      </c>
      <c r="P3307" s="2">
        <v>-3930.01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</row>
    <row r="3308" spans="1:23" outlineLevel="2" x14ac:dyDescent="0.2">
      <c r="A3308" t="s">
        <v>999</v>
      </c>
      <c r="B3308" t="s">
        <v>31</v>
      </c>
      <c r="C3308" t="s">
        <v>32</v>
      </c>
      <c r="D3308" t="s">
        <v>141</v>
      </c>
      <c r="E3308" t="s">
        <v>142</v>
      </c>
      <c r="F3308" t="s">
        <v>933</v>
      </c>
      <c r="G3308" t="s">
        <v>934</v>
      </c>
      <c r="H3308" t="s">
        <v>935</v>
      </c>
      <c r="I3308" t="s">
        <v>936</v>
      </c>
      <c r="J3308" t="s">
        <v>1000</v>
      </c>
      <c r="K3308" t="s">
        <v>1376</v>
      </c>
      <c r="L3308" t="s">
        <v>1584</v>
      </c>
      <c r="M3308" t="s">
        <v>12</v>
      </c>
      <c r="N3308" s="2">
        <v>0</v>
      </c>
      <c r="O3308" s="2">
        <v>1000</v>
      </c>
      <c r="P3308" s="2">
        <v>0</v>
      </c>
      <c r="Q3308" s="2">
        <v>1000</v>
      </c>
      <c r="R3308" s="2">
        <v>0</v>
      </c>
      <c r="S3308" s="2">
        <v>0</v>
      </c>
      <c r="T3308" s="2">
        <v>0</v>
      </c>
      <c r="U3308" s="2">
        <v>1000</v>
      </c>
      <c r="V3308" s="2">
        <v>1000</v>
      </c>
      <c r="W3308" s="2">
        <v>1000</v>
      </c>
    </row>
    <row r="3309" spans="1:23" outlineLevel="2" x14ac:dyDescent="0.2">
      <c r="A3309" t="s">
        <v>999</v>
      </c>
      <c r="B3309" t="s">
        <v>31</v>
      </c>
      <c r="C3309" t="s">
        <v>32</v>
      </c>
      <c r="D3309" t="s">
        <v>141</v>
      </c>
      <c r="E3309" t="s">
        <v>142</v>
      </c>
      <c r="F3309" t="s">
        <v>933</v>
      </c>
      <c r="G3309" t="s">
        <v>934</v>
      </c>
      <c r="H3309" t="s">
        <v>935</v>
      </c>
      <c r="I3309" t="s">
        <v>936</v>
      </c>
      <c r="J3309" t="s">
        <v>1000</v>
      </c>
      <c r="K3309" t="s">
        <v>1011</v>
      </c>
      <c r="L3309" t="s">
        <v>1585</v>
      </c>
      <c r="M3309" t="s">
        <v>12</v>
      </c>
      <c r="N3309" s="2">
        <v>0</v>
      </c>
      <c r="O3309" s="2">
        <v>15000</v>
      </c>
      <c r="P3309" s="2">
        <v>0</v>
      </c>
      <c r="Q3309" s="2">
        <v>15000</v>
      </c>
      <c r="R3309" s="2">
        <v>0</v>
      </c>
      <c r="S3309" s="2">
        <v>0</v>
      </c>
      <c r="T3309" s="2">
        <v>0</v>
      </c>
      <c r="U3309" s="2">
        <v>15000</v>
      </c>
      <c r="V3309" s="2">
        <v>15000</v>
      </c>
      <c r="W3309" s="2">
        <v>15000</v>
      </c>
    </row>
    <row r="3310" spans="1:23" outlineLevel="2" x14ac:dyDescent="0.2">
      <c r="A3310" t="s">
        <v>999</v>
      </c>
      <c r="B3310" t="s">
        <v>39</v>
      </c>
      <c r="C3310" t="s">
        <v>58</v>
      </c>
      <c r="D3310" t="s">
        <v>145</v>
      </c>
      <c r="E3310" t="s">
        <v>146</v>
      </c>
      <c r="F3310" t="s">
        <v>933</v>
      </c>
      <c r="G3310" t="s">
        <v>934</v>
      </c>
      <c r="H3310" t="s">
        <v>935</v>
      </c>
      <c r="I3310" t="s">
        <v>936</v>
      </c>
      <c r="J3310" t="s">
        <v>1000</v>
      </c>
      <c r="K3310" t="s">
        <v>1017</v>
      </c>
      <c r="L3310" t="s">
        <v>1570</v>
      </c>
      <c r="M3310" t="s">
        <v>12</v>
      </c>
      <c r="N3310" s="2">
        <v>18943.560000000001</v>
      </c>
      <c r="O3310" s="2">
        <v>-12299.87</v>
      </c>
      <c r="P3310" s="2">
        <v>-6643.69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 s="2">
        <v>0</v>
      </c>
      <c r="W3310" s="2">
        <v>0</v>
      </c>
    </row>
    <row r="3311" spans="1:23" outlineLevel="2" x14ac:dyDescent="0.2">
      <c r="A3311" t="s">
        <v>999</v>
      </c>
      <c r="B3311" t="s">
        <v>39</v>
      </c>
      <c r="C3311" t="s">
        <v>58</v>
      </c>
      <c r="D3311" t="s">
        <v>139</v>
      </c>
      <c r="E3311" t="s">
        <v>140</v>
      </c>
      <c r="F3311" t="s">
        <v>933</v>
      </c>
      <c r="G3311" t="s">
        <v>934</v>
      </c>
      <c r="H3311" t="s">
        <v>935</v>
      </c>
      <c r="I3311" t="s">
        <v>936</v>
      </c>
      <c r="J3311" t="s">
        <v>1000</v>
      </c>
      <c r="K3311" t="s">
        <v>1017</v>
      </c>
      <c r="L3311" t="s">
        <v>1570</v>
      </c>
      <c r="M3311" t="s">
        <v>12</v>
      </c>
      <c r="N3311" s="2">
        <v>18943.560000000001</v>
      </c>
      <c r="O3311" s="2">
        <v>-12299.87</v>
      </c>
      <c r="P3311" s="2">
        <v>-6643.69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</row>
    <row r="3312" spans="1:23" outlineLevel="2" x14ac:dyDescent="0.2">
      <c r="A3312" t="s">
        <v>999</v>
      </c>
      <c r="B3312" t="s">
        <v>39</v>
      </c>
      <c r="C3312" t="s">
        <v>58</v>
      </c>
      <c r="D3312" t="s">
        <v>59</v>
      </c>
      <c r="E3312" t="s">
        <v>60</v>
      </c>
      <c r="F3312" t="s">
        <v>933</v>
      </c>
      <c r="G3312" t="s">
        <v>934</v>
      </c>
      <c r="H3312" t="s">
        <v>935</v>
      </c>
      <c r="I3312" t="s">
        <v>936</v>
      </c>
      <c r="J3312" t="s">
        <v>1000</v>
      </c>
      <c r="K3312" t="s">
        <v>1017</v>
      </c>
      <c r="L3312" t="s">
        <v>1570</v>
      </c>
      <c r="M3312" t="s">
        <v>12</v>
      </c>
      <c r="N3312" s="2">
        <v>18943.560000000001</v>
      </c>
      <c r="O3312" s="2">
        <v>-12299.87</v>
      </c>
      <c r="P3312" s="2">
        <v>0</v>
      </c>
      <c r="Q3312" s="2">
        <v>6643.69</v>
      </c>
      <c r="R3312" s="2">
        <v>0</v>
      </c>
      <c r="S3312" s="2">
        <v>0</v>
      </c>
      <c r="T3312" s="2">
        <v>0</v>
      </c>
      <c r="U3312" s="2">
        <v>6643.69</v>
      </c>
      <c r="V3312" s="2">
        <v>6643.69</v>
      </c>
      <c r="W3312" s="2">
        <v>6643.69</v>
      </c>
    </row>
    <row r="3313" spans="1:23" outlineLevel="2" x14ac:dyDescent="0.2">
      <c r="A3313" t="s">
        <v>999</v>
      </c>
      <c r="B3313" t="s">
        <v>39</v>
      </c>
      <c r="C3313" t="s">
        <v>58</v>
      </c>
      <c r="D3313" t="s">
        <v>149</v>
      </c>
      <c r="E3313" t="s">
        <v>150</v>
      </c>
      <c r="F3313" t="s">
        <v>933</v>
      </c>
      <c r="G3313" t="s">
        <v>934</v>
      </c>
      <c r="H3313" t="s">
        <v>935</v>
      </c>
      <c r="I3313" t="s">
        <v>936</v>
      </c>
      <c r="J3313" t="s">
        <v>1000</v>
      </c>
      <c r="K3313" t="s">
        <v>1017</v>
      </c>
      <c r="L3313" t="s">
        <v>1570</v>
      </c>
      <c r="M3313" t="s">
        <v>12</v>
      </c>
      <c r="N3313" s="2">
        <v>18943.560000000001</v>
      </c>
      <c r="O3313" s="2">
        <v>-12299.87</v>
      </c>
      <c r="P3313" s="2">
        <v>-6643.69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</row>
    <row r="3314" spans="1:23" outlineLevel="2" x14ac:dyDescent="0.2">
      <c r="A3314" t="s">
        <v>999</v>
      </c>
      <c r="B3314" t="s">
        <v>39</v>
      </c>
      <c r="C3314" t="s">
        <v>58</v>
      </c>
      <c r="D3314" t="s">
        <v>147</v>
      </c>
      <c r="E3314" t="s">
        <v>148</v>
      </c>
      <c r="F3314" t="s">
        <v>933</v>
      </c>
      <c r="G3314" t="s">
        <v>934</v>
      </c>
      <c r="H3314" t="s">
        <v>935</v>
      </c>
      <c r="I3314" t="s">
        <v>936</v>
      </c>
      <c r="J3314" t="s">
        <v>1000</v>
      </c>
      <c r="K3314" t="s">
        <v>1017</v>
      </c>
      <c r="L3314" t="s">
        <v>1570</v>
      </c>
      <c r="M3314" t="s">
        <v>12</v>
      </c>
      <c r="N3314" s="2">
        <v>18943.560000000001</v>
      </c>
      <c r="O3314" s="2">
        <v>-12299.87</v>
      </c>
      <c r="P3314" s="2">
        <v>-6643.69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</row>
    <row r="3315" spans="1:23" outlineLevel="2" x14ac:dyDescent="0.2">
      <c r="A3315" t="s">
        <v>999</v>
      </c>
      <c r="B3315" t="s">
        <v>39</v>
      </c>
      <c r="C3315" t="s">
        <v>58</v>
      </c>
      <c r="D3315" t="s">
        <v>143</v>
      </c>
      <c r="E3315" t="s">
        <v>144</v>
      </c>
      <c r="F3315" t="s">
        <v>933</v>
      </c>
      <c r="G3315" t="s">
        <v>934</v>
      </c>
      <c r="H3315" t="s">
        <v>935</v>
      </c>
      <c r="I3315" t="s">
        <v>936</v>
      </c>
      <c r="J3315" t="s">
        <v>1000</v>
      </c>
      <c r="K3315" t="s">
        <v>1017</v>
      </c>
      <c r="L3315" t="s">
        <v>1570</v>
      </c>
      <c r="M3315" t="s">
        <v>12</v>
      </c>
      <c r="N3315" s="2">
        <v>18943.560000000001</v>
      </c>
      <c r="O3315" s="2">
        <v>-12299.87</v>
      </c>
      <c r="P3315" s="2">
        <v>-6643.69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</row>
    <row r="3316" spans="1:23" outlineLevel="2" x14ac:dyDescent="0.2">
      <c r="A3316" t="s">
        <v>999</v>
      </c>
      <c r="B3316" t="s">
        <v>31</v>
      </c>
      <c r="C3316" t="s">
        <v>32</v>
      </c>
      <c r="D3316" t="s">
        <v>141</v>
      </c>
      <c r="E3316" t="s">
        <v>142</v>
      </c>
      <c r="F3316" t="s">
        <v>933</v>
      </c>
      <c r="G3316" t="s">
        <v>934</v>
      </c>
      <c r="H3316" t="s">
        <v>935</v>
      </c>
      <c r="I3316" t="s">
        <v>936</v>
      </c>
      <c r="J3316" t="s">
        <v>1000</v>
      </c>
      <c r="K3316" t="s">
        <v>1017</v>
      </c>
      <c r="L3316" t="s">
        <v>1571</v>
      </c>
      <c r="M3316" t="s">
        <v>12</v>
      </c>
      <c r="N3316" s="2">
        <v>870996</v>
      </c>
      <c r="O3316" s="2">
        <v>-847122.09</v>
      </c>
      <c r="P3316" s="2">
        <v>0</v>
      </c>
      <c r="Q3316" s="2">
        <v>23873.91</v>
      </c>
      <c r="R3316" s="2">
        <v>0</v>
      </c>
      <c r="S3316" s="2">
        <v>5873.91</v>
      </c>
      <c r="T3316" s="2">
        <v>5622.15</v>
      </c>
      <c r="U3316" s="2">
        <v>18000</v>
      </c>
      <c r="V3316" s="2">
        <v>18251.759999999998</v>
      </c>
      <c r="W3316" s="2">
        <v>18000</v>
      </c>
    </row>
    <row r="3317" spans="1:23" outlineLevel="2" x14ac:dyDescent="0.2">
      <c r="A3317" t="s">
        <v>999</v>
      </c>
      <c r="B3317" t="s">
        <v>39</v>
      </c>
      <c r="C3317" t="s">
        <v>58</v>
      </c>
      <c r="D3317" t="s">
        <v>135</v>
      </c>
      <c r="E3317" t="s">
        <v>136</v>
      </c>
      <c r="F3317" t="s">
        <v>933</v>
      </c>
      <c r="G3317" t="s">
        <v>934</v>
      </c>
      <c r="H3317" t="s">
        <v>935</v>
      </c>
      <c r="I3317" t="s">
        <v>936</v>
      </c>
      <c r="J3317" t="s">
        <v>1000</v>
      </c>
      <c r="K3317" t="s">
        <v>1017</v>
      </c>
      <c r="L3317" t="s">
        <v>1570</v>
      </c>
      <c r="M3317" t="s">
        <v>12</v>
      </c>
      <c r="N3317" s="2">
        <v>18943.560000000001</v>
      </c>
      <c r="O3317" s="2">
        <v>-12299.87</v>
      </c>
      <c r="P3317" s="2">
        <v>-6643.69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</row>
    <row r="3318" spans="1:23" outlineLevel="2" x14ac:dyDescent="0.2">
      <c r="A3318" t="s">
        <v>999</v>
      </c>
      <c r="B3318" t="s">
        <v>39</v>
      </c>
      <c r="C3318" t="s">
        <v>58</v>
      </c>
      <c r="D3318" t="s">
        <v>137</v>
      </c>
      <c r="E3318" t="s">
        <v>138</v>
      </c>
      <c r="F3318" t="s">
        <v>933</v>
      </c>
      <c r="G3318" t="s">
        <v>934</v>
      </c>
      <c r="H3318" t="s">
        <v>935</v>
      </c>
      <c r="I3318" t="s">
        <v>936</v>
      </c>
      <c r="J3318" t="s">
        <v>1000</v>
      </c>
      <c r="K3318" t="s">
        <v>1017</v>
      </c>
      <c r="L3318" t="s">
        <v>1570</v>
      </c>
      <c r="M3318" t="s">
        <v>12</v>
      </c>
      <c r="N3318" s="2">
        <v>18943.560000000001</v>
      </c>
      <c r="O3318" s="2">
        <v>-12299.87</v>
      </c>
      <c r="P3318" s="2">
        <v>-6643.69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</row>
    <row r="3319" spans="1:23" outlineLevel="2" x14ac:dyDescent="0.2">
      <c r="A3319" t="s">
        <v>999</v>
      </c>
      <c r="B3319" t="s">
        <v>31</v>
      </c>
      <c r="C3319" t="s">
        <v>32</v>
      </c>
      <c r="D3319" t="s">
        <v>141</v>
      </c>
      <c r="E3319" t="s">
        <v>142</v>
      </c>
      <c r="F3319" t="s">
        <v>933</v>
      </c>
      <c r="G3319" t="s">
        <v>934</v>
      </c>
      <c r="H3319" t="s">
        <v>935</v>
      </c>
      <c r="I3319" t="s">
        <v>936</v>
      </c>
      <c r="J3319" t="s">
        <v>1000</v>
      </c>
      <c r="K3319" t="s">
        <v>1029</v>
      </c>
      <c r="L3319" t="s">
        <v>1586</v>
      </c>
      <c r="M3319" t="s">
        <v>12</v>
      </c>
      <c r="N3319" s="2">
        <v>20000</v>
      </c>
      <c r="O3319" s="2">
        <v>-18000</v>
      </c>
      <c r="P3319" s="2">
        <v>-2000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</row>
    <row r="3320" spans="1:23" outlineLevel="2" x14ac:dyDescent="0.2">
      <c r="A3320" t="s">
        <v>999</v>
      </c>
      <c r="B3320" t="s">
        <v>31</v>
      </c>
      <c r="C3320" t="s">
        <v>32</v>
      </c>
      <c r="D3320" t="s">
        <v>141</v>
      </c>
      <c r="E3320" t="s">
        <v>142</v>
      </c>
      <c r="F3320" t="s">
        <v>933</v>
      </c>
      <c r="G3320" t="s">
        <v>934</v>
      </c>
      <c r="H3320" t="s">
        <v>935</v>
      </c>
      <c r="I3320" t="s">
        <v>936</v>
      </c>
      <c r="J3320" t="s">
        <v>1000</v>
      </c>
      <c r="K3320" t="s">
        <v>1116</v>
      </c>
      <c r="L3320" t="s">
        <v>1587</v>
      </c>
      <c r="M3320" t="s">
        <v>12</v>
      </c>
      <c r="N3320" s="2">
        <v>312.5</v>
      </c>
      <c r="O3320" s="2">
        <v>0</v>
      </c>
      <c r="P3320" s="2">
        <v>0</v>
      </c>
      <c r="Q3320" s="2">
        <v>312.5</v>
      </c>
      <c r="R3320" s="2">
        <v>0</v>
      </c>
      <c r="S3320" s="2">
        <v>0</v>
      </c>
      <c r="T3320" s="2">
        <v>0</v>
      </c>
      <c r="U3320" s="2">
        <v>312.5</v>
      </c>
      <c r="V3320" s="2">
        <v>312.5</v>
      </c>
      <c r="W3320" s="2">
        <v>312.5</v>
      </c>
    </row>
    <row r="3321" spans="1:23" outlineLevel="2" x14ac:dyDescent="0.2">
      <c r="A3321" t="s">
        <v>999</v>
      </c>
      <c r="B3321" t="s">
        <v>31</v>
      </c>
      <c r="C3321" t="s">
        <v>32</v>
      </c>
      <c r="D3321" t="s">
        <v>141</v>
      </c>
      <c r="E3321" t="s">
        <v>142</v>
      </c>
      <c r="F3321" t="s">
        <v>933</v>
      </c>
      <c r="G3321" t="s">
        <v>934</v>
      </c>
      <c r="H3321" t="s">
        <v>935</v>
      </c>
      <c r="I3321" t="s">
        <v>936</v>
      </c>
      <c r="J3321" t="s">
        <v>1000</v>
      </c>
      <c r="K3321" t="s">
        <v>1061</v>
      </c>
      <c r="L3321" t="s">
        <v>1554</v>
      </c>
      <c r="M3321" t="s">
        <v>12</v>
      </c>
      <c r="N3321" s="2">
        <v>13500</v>
      </c>
      <c r="O3321" s="2">
        <v>7736</v>
      </c>
      <c r="P3321" s="2">
        <v>0</v>
      </c>
      <c r="Q3321" s="2">
        <v>21236</v>
      </c>
      <c r="R3321" s="2">
        <v>26.04</v>
      </c>
      <c r="S3321" s="2">
        <v>345.44</v>
      </c>
      <c r="T3321" s="2">
        <v>0</v>
      </c>
      <c r="U3321" s="2">
        <v>20890.560000000001</v>
      </c>
      <c r="V3321" s="2">
        <v>21236</v>
      </c>
      <c r="W3321" s="2">
        <v>20864.52</v>
      </c>
    </row>
    <row r="3322" spans="1:23" outlineLevel="2" x14ac:dyDescent="0.2">
      <c r="A3322" t="s">
        <v>999</v>
      </c>
      <c r="B3322" t="s">
        <v>31</v>
      </c>
      <c r="C3322" t="s">
        <v>32</v>
      </c>
      <c r="D3322" t="s">
        <v>141</v>
      </c>
      <c r="E3322" t="s">
        <v>142</v>
      </c>
      <c r="F3322" t="s">
        <v>933</v>
      </c>
      <c r="G3322" t="s">
        <v>934</v>
      </c>
      <c r="H3322" t="s">
        <v>935</v>
      </c>
      <c r="I3322" t="s">
        <v>936</v>
      </c>
      <c r="J3322" t="s">
        <v>1000</v>
      </c>
      <c r="K3322" t="s">
        <v>1019</v>
      </c>
      <c r="L3322" t="s">
        <v>1555</v>
      </c>
      <c r="M3322" t="s">
        <v>12</v>
      </c>
      <c r="N3322" s="2">
        <v>1000</v>
      </c>
      <c r="O3322" s="2">
        <v>0</v>
      </c>
      <c r="P3322" s="2">
        <v>0</v>
      </c>
      <c r="Q3322" s="2">
        <v>1000</v>
      </c>
      <c r="R3322" s="2">
        <v>0</v>
      </c>
      <c r="S3322" s="2">
        <v>0</v>
      </c>
      <c r="T3322" s="2">
        <v>0</v>
      </c>
      <c r="U3322" s="2">
        <v>1000</v>
      </c>
      <c r="V3322" s="2">
        <v>1000</v>
      </c>
      <c r="W3322" s="2">
        <v>1000</v>
      </c>
    </row>
    <row r="3323" spans="1:23" outlineLevel="2" x14ac:dyDescent="0.2">
      <c r="A3323" t="s">
        <v>999</v>
      </c>
      <c r="B3323" t="s">
        <v>31</v>
      </c>
      <c r="C3323" t="s">
        <v>32</v>
      </c>
      <c r="D3323" t="s">
        <v>141</v>
      </c>
      <c r="E3323" t="s">
        <v>142</v>
      </c>
      <c r="F3323" t="s">
        <v>933</v>
      </c>
      <c r="G3323" t="s">
        <v>934</v>
      </c>
      <c r="H3323" t="s">
        <v>935</v>
      </c>
      <c r="I3323" t="s">
        <v>936</v>
      </c>
      <c r="J3323" t="s">
        <v>1000</v>
      </c>
      <c r="K3323" t="s">
        <v>1313</v>
      </c>
      <c r="L3323" t="s">
        <v>1556</v>
      </c>
      <c r="M3323" t="s">
        <v>12</v>
      </c>
      <c r="N3323" s="2">
        <v>11654</v>
      </c>
      <c r="O3323" s="2">
        <v>5000</v>
      </c>
      <c r="P3323" s="2">
        <v>-4001</v>
      </c>
      <c r="Q3323" s="2">
        <v>12653</v>
      </c>
      <c r="R3323" s="2">
        <v>1218.08</v>
      </c>
      <c r="S3323" s="2">
        <v>557.63</v>
      </c>
      <c r="T3323" s="2">
        <v>474.9</v>
      </c>
      <c r="U3323" s="2">
        <v>12095.37</v>
      </c>
      <c r="V3323" s="2">
        <v>12178.1</v>
      </c>
      <c r="W3323" s="2">
        <v>10877.29</v>
      </c>
    </row>
    <row r="3324" spans="1:23" outlineLevel="2" x14ac:dyDescent="0.2">
      <c r="A3324" t="s">
        <v>999</v>
      </c>
      <c r="B3324" t="s">
        <v>31</v>
      </c>
      <c r="C3324" t="s">
        <v>32</v>
      </c>
      <c r="D3324" t="s">
        <v>141</v>
      </c>
      <c r="E3324" t="s">
        <v>142</v>
      </c>
      <c r="F3324" t="s">
        <v>933</v>
      </c>
      <c r="G3324" t="s">
        <v>934</v>
      </c>
      <c r="H3324" t="s">
        <v>935</v>
      </c>
      <c r="I3324" t="s">
        <v>936</v>
      </c>
      <c r="J3324" t="s">
        <v>1000</v>
      </c>
      <c r="K3324" t="s">
        <v>1092</v>
      </c>
      <c r="L3324" t="s">
        <v>1588</v>
      </c>
      <c r="M3324" t="s">
        <v>12</v>
      </c>
      <c r="N3324" s="2">
        <v>2000</v>
      </c>
      <c r="O3324" s="2">
        <v>0</v>
      </c>
      <c r="P3324" s="2">
        <v>0</v>
      </c>
      <c r="Q3324" s="2">
        <v>2000</v>
      </c>
      <c r="R3324" s="2">
        <v>0</v>
      </c>
      <c r="S3324" s="2">
        <v>0</v>
      </c>
      <c r="T3324" s="2">
        <v>0</v>
      </c>
      <c r="U3324" s="2">
        <v>2000</v>
      </c>
      <c r="V3324" s="2">
        <v>2000</v>
      </c>
      <c r="W3324" s="2">
        <v>2000</v>
      </c>
    </row>
    <row r="3325" spans="1:23" outlineLevel="2" x14ac:dyDescent="0.2">
      <c r="A3325" t="s">
        <v>999</v>
      </c>
      <c r="B3325" t="s">
        <v>31</v>
      </c>
      <c r="C3325" t="s">
        <v>32</v>
      </c>
      <c r="D3325" t="s">
        <v>141</v>
      </c>
      <c r="E3325" t="s">
        <v>142</v>
      </c>
      <c r="F3325" t="s">
        <v>933</v>
      </c>
      <c r="G3325" t="s">
        <v>934</v>
      </c>
      <c r="H3325" t="s">
        <v>935</v>
      </c>
      <c r="I3325" t="s">
        <v>936</v>
      </c>
      <c r="J3325" t="s">
        <v>1000</v>
      </c>
      <c r="K3325" t="s">
        <v>1386</v>
      </c>
      <c r="L3325" t="s">
        <v>1589</v>
      </c>
      <c r="M3325" t="s">
        <v>12</v>
      </c>
      <c r="N3325" s="2">
        <v>0</v>
      </c>
      <c r="O3325" s="2">
        <v>15500</v>
      </c>
      <c r="P3325" s="2">
        <v>0</v>
      </c>
      <c r="Q3325" s="2">
        <v>15500</v>
      </c>
      <c r="R3325" s="2">
        <v>0</v>
      </c>
      <c r="S3325" s="2">
        <v>0</v>
      </c>
      <c r="T3325" s="2">
        <v>0</v>
      </c>
      <c r="U3325" s="2">
        <v>15500</v>
      </c>
      <c r="V3325" s="2">
        <v>15500</v>
      </c>
      <c r="W3325" s="2">
        <v>15500</v>
      </c>
    </row>
    <row r="3326" spans="1:23" outlineLevel="2" x14ac:dyDescent="0.2">
      <c r="A3326" t="s">
        <v>999</v>
      </c>
      <c r="B3326" t="s">
        <v>31</v>
      </c>
      <c r="C3326" t="s">
        <v>32</v>
      </c>
      <c r="D3326" t="s">
        <v>141</v>
      </c>
      <c r="E3326" t="s">
        <v>142</v>
      </c>
      <c r="F3326" t="s">
        <v>933</v>
      </c>
      <c r="G3326" t="s">
        <v>934</v>
      </c>
      <c r="H3326" t="s">
        <v>935</v>
      </c>
      <c r="I3326" t="s">
        <v>936</v>
      </c>
      <c r="J3326" t="s">
        <v>1000</v>
      </c>
      <c r="K3326" t="s">
        <v>1388</v>
      </c>
      <c r="L3326" t="s">
        <v>1590</v>
      </c>
      <c r="M3326" t="s">
        <v>12</v>
      </c>
      <c r="N3326" s="2">
        <v>28084</v>
      </c>
      <c r="O3326" s="2">
        <v>0</v>
      </c>
      <c r="P3326" s="2">
        <v>-20720</v>
      </c>
      <c r="Q3326" s="2">
        <v>7364</v>
      </c>
      <c r="R3326" s="2">
        <v>0</v>
      </c>
      <c r="S3326" s="2">
        <v>1072.8399999999999</v>
      </c>
      <c r="T3326" s="2">
        <v>1072.8399999999999</v>
      </c>
      <c r="U3326" s="2">
        <v>6291.16</v>
      </c>
      <c r="V3326" s="2">
        <v>6291.16</v>
      </c>
      <c r="W3326" s="2">
        <v>6291.16</v>
      </c>
    </row>
    <row r="3327" spans="1:23" outlineLevel="2" x14ac:dyDescent="0.2">
      <c r="A3327" t="s">
        <v>999</v>
      </c>
      <c r="B3327" t="s">
        <v>31</v>
      </c>
      <c r="C3327" t="s">
        <v>32</v>
      </c>
      <c r="D3327" t="s">
        <v>141</v>
      </c>
      <c r="E3327" t="s">
        <v>142</v>
      </c>
      <c r="F3327" t="s">
        <v>933</v>
      </c>
      <c r="G3327" t="s">
        <v>934</v>
      </c>
      <c r="H3327" t="s">
        <v>935</v>
      </c>
      <c r="I3327" t="s">
        <v>936</v>
      </c>
      <c r="J3327" t="s">
        <v>1000</v>
      </c>
      <c r="K3327" t="s">
        <v>1390</v>
      </c>
      <c r="L3327" t="s">
        <v>1557</v>
      </c>
      <c r="M3327" t="s">
        <v>12</v>
      </c>
      <c r="N3327" s="2">
        <v>2000</v>
      </c>
      <c r="O3327" s="2">
        <v>0</v>
      </c>
      <c r="P3327" s="2">
        <v>-2000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</row>
    <row r="3328" spans="1:23" outlineLevel="2" x14ac:dyDescent="0.2">
      <c r="A3328" t="s">
        <v>999</v>
      </c>
      <c r="B3328" t="s">
        <v>31</v>
      </c>
      <c r="C3328" t="s">
        <v>32</v>
      </c>
      <c r="D3328" t="s">
        <v>141</v>
      </c>
      <c r="E3328" t="s">
        <v>142</v>
      </c>
      <c r="F3328" t="s">
        <v>933</v>
      </c>
      <c r="G3328" t="s">
        <v>934</v>
      </c>
      <c r="H3328" t="s">
        <v>935</v>
      </c>
      <c r="I3328" t="s">
        <v>936</v>
      </c>
      <c r="J3328" t="s">
        <v>1000</v>
      </c>
      <c r="K3328" t="s">
        <v>1194</v>
      </c>
      <c r="L3328" t="s">
        <v>1591</v>
      </c>
      <c r="M3328" t="s">
        <v>12</v>
      </c>
      <c r="N3328" s="2">
        <v>4916</v>
      </c>
      <c r="O3328" s="2">
        <v>0</v>
      </c>
      <c r="P3328" s="2">
        <v>-3572</v>
      </c>
      <c r="Q3328" s="2">
        <v>1344</v>
      </c>
      <c r="R3328" s="2">
        <v>0</v>
      </c>
      <c r="S3328" s="2">
        <v>1236.82</v>
      </c>
      <c r="T3328" s="2">
        <v>1236.82</v>
      </c>
      <c r="U3328" s="2">
        <v>107.18</v>
      </c>
      <c r="V3328" s="2">
        <v>107.18</v>
      </c>
      <c r="W3328" s="2">
        <v>107.18</v>
      </c>
    </row>
    <row r="3329" spans="1:23" outlineLevel="2" x14ac:dyDescent="0.2">
      <c r="A3329" t="s">
        <v>999</v>
      </c>
      <c r="B3329" t="s">
        <v>31</v>
      </c>
      <c r="C3329" t="s">
        <v>32</v>
      </c>
      <c r="D3329" t="s">
        <v>141</v>
      </c>
      <c r="E3329" t="s">
        <v>142</v>
      </c>
      <c r="F3329" t="s">
        <v>933</v>
      </c>
      <c r="G3329" t="s">
        <v>934</v>
      </c>
      <c r="H3329" t="s">
        <v>935</v>
      </c>
      <c r="I3329" t="s">
        <v>936</v>
      </c>
      <c r="J3329" t="s">
        <v>1000</v>
      </c>
      <c r="K3329" t="s">
        <v>1559</v>
      </c>
      <c r="L3329" t="s">
        <v>1560</v>
      </c>
      <c r="M3329" t="s">
        <v>12</v>
      </c>
      <c r="N3329" s="2">
        <v>11340</v>
      </c>
      <c r="O3329" s="2">
        <v>0</v>
      </c>
      <c r="P3329" s="2">
        <v>-3437.28</v>
      </c>
      <c r="Q3329" s="2">
        <v>7902.72</v>
      </c>
      <c r="R3329" s="2">
        <v>0</v>
      </c>
      <c r="S3329" s="2">
        <v>0</v>
      </c>
      <c r="T3329" s="2">
        <v>0</v>
      </c>
      <c r="U3329" s="2">
        <v>7902.72</v>
      </c>
      <c r="V3329" s="2">
        <v>7902.72</v>
      </c>
      <c r="W3329" s="2">
        <v>7902.72</v>
      </c>
    </row>
    <row r="3330" spans="1:23" outlineLevel="2" x14ac:dyDescent="0.2">
      <c r="A3330" t="s">
        <v>999</v>
      </c>
      <c r="B3330" t="s">
        <v>31</v>
      </c>
      <c r="C3330" t="s">
        <v>32</v>
      </c>
      <c r="D3330" t="s">
        <v>141</v>
      </c>
      <c r="E3330" t="s">
        <v>142</v>
      </c>
      <c r="F3330" t="s">
        <v>933</v>
      </c>
      <c r="G3330" t="s">
        <v>934</v>
      </c>
      <c r="H3330" t="s">
        <v>935</v>
      </c>
      <c r="I3330" t="s">
        <v>936</v>
      </c>
      <c r="J3330" t="s">
        <v>1000</v>
      </c>
      <c r="K3330" t="s">
        <v>1592</v>
      </c>
      <c r="L3330" t="s">
        <v>1593</v>
      </c>
      <c r="M3330" t="s">
        <v>12</v>
      </c>
      <c r="N3330" s="2">
        <v>293101.99</v>
      </c>
      <c r="O3330" s="2">
        <v>0</v>
      </c>
      <c r="P3330" s="2">
        <v>-140264.07</v>
      </c>
      <c r="Q3330" s="2">
        <v>152837.92000000001</v>
      </c>
      <c r="R3330" s="2">
        <v>27871.040000000001</v>
      </c>
      <c r="S3330" s="2">
        <v>93083.89</v>
      </c>
      <c r="T3330" s="2">
        <v>91525.19</v>
      </c>
      <c r="U3330" s="2">
        <v>59754.03</v>
      </c>
      <c r="V3330" s="2">
        <v>61312.73</v>
      </c>
      <c r="W3330" s="2">
        <v>31882.99</v>
      </c>
    </row>
    <row r="3331" spans="1:23" outlineLevel="2" x14ac:dyDescent="0.2">
      <c r="A3331" t="s">
        <v>999</v>
      </c>
      <c r="B3331" t="s">
        <v>31</v>
      </c>
      <c r="C3331" t="s">
        <v>32</v>
      </c>
      <c r="D3331" t="s">
        <v>141</v>
      </c>
      <c r="E3331" t="s">
        <v>142</v>
      </c>
      <c r="F3331" t="s">
        <v>933</v>
      </c>
      <c r="G3331" t="s">
        <v>934</v>
      </c>
      <c r="H3331" t="s">
        <v>935</v>
      </c>
      <c r="I3331" t="s">
        <v>936</v>
      </c>
      <c r="J3331" t="s">
        <v>1000</v>
      </c>
      <c r="K3331" t="s">
        <v>1343</v>
      </c>
      <c r="L3331" t="s">
        <v>1562</v>
      </c>
      <c r="M3331" t="s">
        <v>12</v>
      </c>
      <c r="N3331" s="2">
        <v>149475</v>
      </c>
      <c r="O3331" s="2">
        <v>-45587.4</v>
      </c>
      <c r="P3331" s="2">
        <v>-39629.1</v>
      </c>
      <c r="Q3331" s="2">
        <v>64258.5</v>
      </c>
      <c r="R3331" s="2">
        <v>21170.53</v>
      </c>
      <c r="S3331" s="2">
        <v>38848.94</v>
      </c>
      <c r="T3331" s="2">
        <v>34787.96</v>
      </c>
      <c r="U3331" s="2">
        <v>25409.56</v>
      </c>
      <c r="V3331" s="2">
        <v>29470.54</v>
      </c>
      <c r="W3331" s="2">
        <v>4239.03</v>
      </c>
    </row>
    <row r="3332" spans="1:23" outlineLevel="2" x14ac:dyDescent="0.2">
      <c r="A3332" t="s">
        <v>999</v>
      </c>
      <c r="B3332" t="s">
        <v>31</v>
      </c>
      <c r="C3332" t="s">
        <v>32</v>
      </c>
      <c r="D3332" t="s">
        <v>141</v>
      </c>
      <c r="E3332" t="s">
        <v>142</v>
      </c>
      <c r="F3332" t="s">
        <v>933</v>
      </c>
      <c r="G3332" t="s">
        <v>934</v>
      </c>
      <c r="H3332" t="s">
        <v>935</v>
      </c>
      <c r="I3332" t="s">
        <v>936</v>
      </c>
      <c r="J3332" t="s">
        <v>1000</v>
      </c>
      <c r="K3332" t="s">
        <v>1023</v>
      </c>
      <c r="L3332" t="s">
        <v>1594</v>
      </c>
      <c r="M3332" t="s">
        <v>12</v>
      </c>
      <c r="N3332" s="2">
        <v>0</v>
      </c>
      <c r="O3332" s="2">
        <v>5464</v>
      </c>
      <c r="P3332" s="2">
        <v>0</v>
      </c>
      <c r="Q3332" s="2">
        <v>5464</v>
      </c>
      <c r="R3332" s="2">
        <v>0</v>
      </c>
      <c r="S3332" s="2">
        <v>0</v>
      </c>
      <c r="T3332" s="2">
        <v>0</v>
      </c>
      <c r="U3332" s="2">
        <v>5464</v>
      </c>
      <c r="V3332" s="2">
        <v>5464</v>
      </c>
      <c r="W3332" s="2">
        <v>5464</v>
      </c>
    </row>
    <row r="3333" spans="1:23" outlineLevel="2" x14ac:dyDescent="0.2">
      <c r="A3333" t="s">
        <v>999</v>
      </c>
      <c r="B3333" t="s">
        <v>31</v>
      </c>
      <c r="C3333" t="s">
        <v>32</v>
      </c>
      <c r="D3333" t="s">
        <v>33</v>
      </c>
      <c r="E3333" t="s">
        <v>34</v>
      </c>
      <c r="F3333" t="s">
        <v>933</v>
      </c>
      <c r="G3333" t="s">
        <v>934</v>
      </c>
      <c r="H3333" t="s">
        <v>949</v>
      </c>
      <c r="I3333" t="s">
        <v>950</v>
      </c>
      <c r="J3333" t="s">
        <v>1000</v>
      </c>
      <c r="K3333" t="s">
        <v>1100</v>
      </c>
      <c r="L3333" t="s">
        <v>1595</v>
      </c>
      <c r="M3333" t="s">
        <v>12</v>
      </c>
      <c r="N3333" s="2">
        <v>0</v>
      </c>
      <c r="O3333" s="2">
        <v>2400</v>
      </c>
      <c r="P3333" s="2">
        <v>0</v>
      </c>
      <c r="Q3333" s="2">
        <v>2400</v>
      </c>
      <c r="R3333" s="2">
        <v>0</v>
      </c>
      <c r="S3333" s="2">
        <v>2285.65</v>
      </c>
      <c r="T3333" s="2">
        <v>2285.65</v>
      </c>
      <c r="U3333" s="2">
        <v>114.35</v>
      </c>
      <c r="V3333" s="2">
        <v>114.35</v>
      </c>
      <c r="W3333" s="2">
        <v>114.35</v>
      </c>
    </row>
    <row r="3334" spans="1:23" outlineLevel="2" x14ac:dyDescent="0.2">
      <c r="A3334" t="s">
        <v>999</v>
      </c>
      <c r="B3334" t="s">
        <v>31</v>
      </c>
      <c r="C3334" t="s">
        <v>32</v>
      </c>
      <c r="D3334" t="s">
        <v>33</v>
      </c>
      <c r="E3334" t="s">
        <v>34</v>
      </c>
      <c r="F3334" t="s">
        <v>933</v>
      </c>
      <c r="G3334" t="s">
        <v>934</v>
      </c>
      <c r="H3334" t="s">
        <v>949</v>
      </c>
      <c r="I3334" t="s">
        <v>950</v>
      </c>
      <c r="J3334" t="s">
        <v>1000</v>
      </c>
      <c r="K3334" t="s">
        <v>1102</v>
      </c>
      <c r="L3334" t="s">
        <v>1596</v>
      </c>
      <c r="M3334" t="s">
        <v>12</v>
      </c>
      <c r="N3334" s="2">
        <v>0</v>
      </c>
      <c r="O3334" s="2">
        <v>27800</v>
      </c>
      <c r="P3334" s="2">
        <v>0</v>
      </c>
      <c r="Q3334" s="2">
        <v>27800</v>
      </c>
      <c r="R3334" s="2">
        <v>0</v>
      </c>
      <c r="S3334" s="2">
        <v>19745.18</v>
      </c>
      <c r="T3334" s="2">
        <v>19745.18</v>
      </c>
      <c r="U3334" s="2">
        <v>8054.82</v>
      </c>
      <c r="V3334" s="2">
        <v>8054.82</v>
      </c>
      <c r="W3334" s="2">
        <v>8054.82</v>
      </c>
    </row>
    <row r="3335" spans="1:23" outlineLevel="2" x14ac:dyDescent="0.2">
      <c r="A3335" t="s">
        <v>999</v>
      </c>
      <c r="B3335" t="s">
        <v>31</v>
      </c>
      <c r="C3335" t="s">
        <v>32</v>
      </c>
      <c r="D3335" t="s">
        <v>123</v>
      </c>
      <c r="E3335" t="s">
        <v>124</v>
      </c>
      <c r="F3335" t="s">
        <v>933</v>
      </c>
      <c r="G3335" t="s">
        <v>934</v>
      </c>
      <c r="H3335" t="s">
        <v>949</v>
      </c>
      <c r="I3335" t="s">
        <v>950</v>
      </c>
      <c r="J3335" t="s">
        <v>1000</v>
      </c>
      <c r="K3335" t="s">
        <v>1104</v>
      </c>
      <c r="L3335" t="s">
        <v>1580</v>
      </c>
      <c r="M3335" t="s">
        <v>12</v>
      </c>
      <c r="N3335" s="2">
        <v>0</v>
      </c>
      <c r="O3335" s="2">
        <v>2033.92</v>
      </c>
      <c r="P3335" s="2">
        <v>0</v>
      </c>
      <c r="Q3335" s="2">
        <v>2033.92</v>
      </c>
      <c r="R3335" s="2">
        <v>2033.92</v>
      </c>
      <c r="S3335" s="2">
        <v>0</v>
      </c>
      <c r="T3335" s="2">
        <v>0</v>
      </c>
      <c r="U3335" s="2">
        <v>2033.92</v>
      </c>
      <c r="V3335" s="2">
        <v>2033.92</v>
      </c>
      <c r="W3335" s="2">
        <v>0</v>
      </c>
    </row>
    <row r="3336" spans="1:23" outlineLevel="2" x14ac:dyDescent="0.2">
      <c r="A3336" t="s">
        <v>999</v>
      </c>
      <c r="B3336" t="s">
        <v>31</v>
      </c>
      <c r="C3336" t="s">
        <v>32</v>
      </c>
      <c r="D3336" t="s">
        <v>33</v>
      </c>
      <c r="E3336" t="s">
        <v>34</v>
      </c>
      <c r="F3336" t="s">
        <v>933</v>
      </c>
      <c r="G3336" t="s">
        <v>934</v>
      </c>
      <c r="H3336" t="s">
        <v>949</v>
      </c>
      <c r="I3336" t="s">
        <v>950</v>
      </c>
      <c r="J3336" t="s">
        <v>1000</v>
      </c>
      <c r="K3336" t="s">
        <v>1298</v>
      </c>
      <c r="L3336" t="s">
        <v>1547</v>
      </c>
      <c r="M3336" t="s">
        <v>12</v>
      </c>
      <c r="N3336" s="2">
        <v>0</v>
      </c>
      <c r="O3336" s="2">
        <v>52300</v>
      </c>
      <c r="P3336" s="2">
        <v>0</v>
      </c>
      <c r="Q3336" s="2">
        <v>52300</v>
      </c>
      <c r="R3336" s="2">
        <v>180</v>
      </c>
      <c r="S3336" s="2">
        <v>52120</v>
      </c>
      <c r="T3336" s="2">
        <v>40366.660000000003</v>
      </c>
      <c r="U3336" s="2">
        <v>180</v>
      </c>
      <c r="V3336" s="2">
        <v>11933.34</v>
      </c>
      <c r="W3336" s="2">
        <v>0</v>
      </c>
    </row>
    <row r="3337" spans="1:23" outlineLevel="2" x14ac:dyDescent="0.2">
      <c r="A3337" t="s">
        <v>999</v>
      </c>
      <c r="B3337" t="s">
        <v>31</v>
      </c>
      <c r="C3337" t="s">
        <v>32</v>
      </c>
      <c r="D3337" t="s">
        <v>33</v>
      </c>
      <c r="E3337" t="s">
        <v>34</v>
      </c>
      <c r="F3337" t="s">
        <v>933</v>
      </c>
      <c r="G3337" t="s">
        <v>934</v>
      </c>
      <c r="H3337" t="s">
        <v>949</v>
      </c>
      <c r="I3337" t="s">
        <v>950</v>
      </c>
      <c r="J3337" t="s">
        <v>1000</v>
      </c>
      <c r="K3337" t="s">
        <v>1524</v>
      </c>
      <c r="L3337" t="s">
        <v>1597</v>
      </c>
      <c r="M3337" t="s">
        <v>12</v>
      </c>
      <c r="N3337" s="2">
        <v>0</v>
      </c>
      <c r="O3337" s="2">
        <v>700</v>
      </c>
      <c r="P3337" s="2">
        <v>0</v>
      </c>
      <c r="Q3337" s="2">
        <v>700</v>
      </c>
      <c r="R3337" s="2">
        <v>0</v>
      </c>
      <c r="S3337" s="2">
        <v>681</v>
      </c>
      <c r="T3337" s="2">
        <v>681</v>
      </c>
      <c r="U3337" s="2">
        <v>19</v>
      </c>
      <c r="V3337" s="2">
        <v>19</v>
      </c>
      <c r="W3337" s="2">
        <v>19</v>
      </c>
    </row>
    <row r="3338" spans="1:23" outlineLevel="2" x14ac:dyDescent="0.2">
      <c r="A3338" t="s">
        <v>999</v>
      </c>
      <c r="B3338" t="s">
        <v>31</v>
      </c>
      <c r="C3338" t="s">
        <v>32</v>
      </c>
      <c r="D3338" t="s">
        <v>75</v>
      </c>
      <c r="E3338" t="s">
        <v>76</v>
      </c>
      <c r="F3338" t="s">
        <v>933</v>
      </c>
      <c r="G3338" t="s">
        <v>934</v>
      </c>
      <c r="H3338" t="s">
        <v>949</v>
      </c>
      <c r="I3338" t="s">
        <v>950</v>
      </c>
      <c r="J3338" t="s">
        <v>1000</v>
      </c>
      <c r="K3338" t="s">
        <v>1037</v>
      </c>
      <c r="L3338" t="s">
        <v>1548</v>
      </c>
      <c r="M3338" t="s">
        <v>12</v>
      </c>
      <c r="N3338" s="2">
        <v>3000</v>
      </c>
      <c r="O3338" s="2">
        <v>33180.639999999999</v>
      </c>
      <c r="P3338" s="2">
        <v>-16180.64</v>
      </c>
      <c r="Q3338" s="2">
        <v>20000</v>
      </c>
      <c r="R3338" s="2">
        <v>0</v>
      </c>
      <c r="S3338" s="2">
        <v>3649.7</v>
      </c>
      <c r="T3338" s="2">
        <v>0</v>
      </c>
      <c r="U3338" s="2">
        <v>16350.3</v>
      </c>
      <c r="V3338" s="2">
        <v>20000</v>
      </c>
      <c r="W3338" s="2">
        <v>16350.3</v>
      </c>
    </row>
    <row r="3339" spans="1:23" outlineLevel="2" x14ac:dyDescent="0.2">
      <c r="A3339" t="s">
        <v>999</v>
      </c>
      <c r="B3339" t="s">
        <v>31</v>
      </c>
      <c r="C3339" t="s">
        <v>32</v>
      </c>
      <c r="D3339" t="s">
        <v>123</v>
      </c>
      <c r="E3339" t="s">
        <v>124</v>
      </c>
      <c r="F3339" t="s">
        <v>933</v>
      </c>
      <c r="G3339" t="s">
        <v>934</v>
      </c>
      <c r="H3339" t="s">
        <v>949</v>
      </c>
      <c r="I3339" t="s">
        <v>950</v>
      </c>
      <c r="J3339" t="s">
        <v>1000</v>
      </c>
      <c r="K3339" t="s">
        <v>1037</v>
      </c>
      <c r="L3339" t="s">
        <v>1548</v>
      </c>
      <c r="M3339" t="s">
        <v>12</v>
      </c>
      <c r="N3339" s="2">
        <v>25000</v>
      </c>
      <c r="O3339" s="2">
        <v>-23300</v>
      </c>
      <c r="P3339" s="2">
        <v>0</v>
      </c>
      <c r="Q3339" s="2">
        <v>1700</v>
      </c>
      <c r="R3339" s="2">
        <v>0</v>
      </c>
      <c r="S3339" s="2">
        <v>1657.2</v>
      </c>
      <c r="T3339" s="2">
        <v>1657.2</v>
      </c>
      <c r="U3339" s="2">
        <v>42.8</v>
      </c>
      <c r="V3339" s="2">
        <v>42.8</v>
      </c>
      <c r="W3339" s="2">
        <v>42.8</v>
      </c>
    </row>
    <row r="3340" spans="1:23" outlineLevel="2" x14ac:dyDescent="0.2">
      <c r="A3340" t="s">
        <v>999</v>
      </c>
      <c r="B3340" t="s">
        <v>31</v>
      </c>
      <c r="C3340" t="s">
        <v>32</v>
      </c>
      <c r="D3340" t="s">
        <v>75</v>
      </c>
      <c r="E3340" t="s">
        <v>76</v>
      </c>
      <c r="F3340" t="s">
        <v>933</v>
      </c>
      <c r="G3340" t="s">
        <v>934</v>
      </c>
      <c r="H3340" t="s">
        <v>949</v>
      </c>
      <c r="I3340" t="s">
        <v>950</v>
      </c>
      <c r="J3340" t="s">
        <v>1000</v>
      </c>
      <c r="K3340" t="s">
        <v>1039</v>
      </c>
      <c r="L3340" t="s">
        <v>1598</v>
      </c>
      <c r="M3340" t="s">
        <v>12</v>
      </c>
      <c r="N3340" s="2">
        <v>6500</v>
      </c>
      <c r="O3340" s="2">
        <v>0</v>
      </c>
      <c r="P3340" s="2">
        <v>-6500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</row>
    <row r="3341" spans="1:23" outlineLevel="2" x14ac:dyDescent="0.2">
      <c r="A3341" t="s">
        <v>999</v>
      </c>
      <c r="B3341" t="s">
        <v>31</v>
      </c>
      <c r="C3341" t="s">
        <v>32</v>
      </c>
      <c r="D3341" t="s">
        <v>33</v>
      </c>
      <c r="E3341" t="s">
        <v>34</v>
      </c>
      <c r="F3341" t="s">
        <v>933</v>
      </c>
      <c r="G3341" t="s">
        <v>934</v>
      </c>
      <c r="H3341" t="s">
        <v>949</v>
      </c>
      <c r="I3341" t="s">
        <v>950</v>
      </c>
      <c r="J3341" t="s">
        <v>1000</v>
      </c>
      <c r="K3341" t="s">
        <v>1108</v>
      </c>
      <c r="L3341" t="s">
        <v>1599</v>
      </c>
      <c r="M3341" t="s">
        <v>12</v>
      </c>
      <c r="N3341" s="2">
        <v>0</v>
      </c>
      <c r="O3341" s="2">
        <v>97828</v>
      </c>
      <c r="P3341" s="2">
        <v>0</v>
      </c>
      <c r="Q3341" s="2">
        <v>97828</v>
      </c>
      <c r="R3341" s="2">
        <v>20428.8</v>
      </c>
      <c r="S3341" s="2">
        <v>76608</v>
      </c>
      <c r="T3341" s="2">
        <v>71075.199999999997</v>
      </c>
      <c r="U3341" s="2">
        <v>21220</v>
      </c>
      <c r="V3341" s="2">
        <v>26752.799999999999</v>
      </c>
      <c r="W3341" s="2">
        <v>791.2</v>
      </c>
    </row>
    <row r="3342" spans="1:23" outlineLevel="2" x14ac:dyDescent="0.2">
      <c r="A3342" t="s">
        <v>999</v>
      </c>
      <c r="B3342" t="s">
        <v>31</v>
      </c>
      <c r="C3342" t="s">
        <v>32</v>
      </c>
      <c r="D3342" t="s">
        <v>75</v>
      </c>
      <c r="E3342" t="s">
        <v>76</v>
      </c>
      <c r="F3342" t="s">
        <v>933</v>
      </c>
      <c r="G3342" t="s">
        <v>934</v>
      </c>
      <c r="H3342" t="s">
        <v>949</v>
      </c>
      <c r="I3342" t="s">
        <v>950</v>
      </c>
      <c r="J3342" t="s">
        <v>1000</v>
      </c>
      <c r="K3342" t="s">
        <v>1110</v>
      </c>
      <c r="L3342" t="s">
        <v>1581</v>
      </c>
      <c r="M3342" t="s">
        <v>12</v>
      </c>
      <c r="N3342" s="2">
        <v>0</v>
      </c>
      <c r="O3342" s="2">
        <v>88842.59</v>
      </c>
      <c r="P3342" s="2">
        <v>0</v>
      </c>
      <c r="Q3342" s="2">
        <v>88842.59</v>
      </c>
      <c r="R3342" s="2">
        <v>0</v>
      </c>
      <c r="S3342" s="2">
        <v>88842.59</v>
      </c>
      <c r="T3342" s="2">
        <v>70138.880000000005</v>
      </c>
      <c r="U3342" s="2">
        <v>0</v>
      </c>
      <c r="V3342" s="2">
        <v>18703.71</v>
      </c>
      <c r="W3342" s="2">
        <v>0</v>
      </c>
    </row>
    <row r="3343" spans="1:23" outlineLevel="2" x14ac:dyDescent="0.2">
      <c r="A3343" t="s">
        <v>999</v>
      </c>
      <c r="B3343" t="s">
        <v>31</v>
      </c>
      <c r="C3343" t="s">
        <v>32</v>
      </c>
      <c r="D3343" t="s">
        <v>33</v>
      </c>
      <c r="E3343" t="s">
        <v>34</v>
      </c>
      <c r="F3343" t="s">
        <v>933</v>
      </c>
      <c r="G3343" t="s">
        <v>934</v>
      </c>
      <c r="H3343" t="s">
        <v>949</v>
      </c>
      <c r="I3343" t="s">
        <v>950</v>
      </c>
      <c r="J3343" t="s">
        <v>1000</v>
      </c>
      <c r="K3343" t="s">
        <v>1110</v>
      </c>
      <c r="L3343" t="s">
        <v>1581</v>
      </c>
      <c r="M3343" t="s">
        <v>12</v>
      </c>
      <c r="N3343" s="2">
        <v>160000</v>
      </c>
      <c r="O3343" s="2">
        <v>573939.96</v>
      </c>
      <c r="P3343" s="2">
        <v>0</v>
      </c>
      <c r="Q3343" s="2">
        <v>733939.96</v>
      </c>
      <c r="R3343" s="2">
        <v>118009.3</v>
      </c>
      <c r="S3343" s="2">
        <v>615874.68999999994</v>
      </c>
      <c r="T3343" s="2">
        <v>333524.26</v>
      </c>
      <c r="U3343" s="2">
        <v>118065.27</v>
      </c>
      <c r="V3343" s="2">
        <v>400415.7</v>
      </c>
      <c r="W3343" s="2">
        <v>55.97</v>
      </c>
    </row>
    <row r="3344" spans="1:23" outlineLevel="2" x14ac:dyDescent="0.2">
      <c r="A3344" t="s">
        <v>999</v>
      </c>
      <c r="B3344" t="s">
        <v>31</v>
      </c>
      <c r="C3344" t="s">
        <v>32</v>
      </c>
      <c r="D3344" t="s">
        <v>75</v>
      </c>
      <c r="E3344" t="s">
        <v>76</v>
      </c>
      <c r="F3344" t="s">
        <v>933</v>
      </c>
      <c r="G3344" t="s">
        <v>934</v>
      </c>
      <c r="H3344" t="s">
        <v>949</v>
      </c>
      <c r="I3344" t="s">
        <v>950</v>
      </c>
      <c r="J3344" t="s">
        <v>1000</v>
      </c>
      <c r="K3344" t="s">
        <v>1549</v>
      </c>
      <c r="L3344" t="s">
        <v>1550</v>
      </c>
      <c r="M3344" t="s">
        <v>12</v>
      </c>
      <c r="N3344" s="2">
        <v>45000</v>
      </c>
      <c r="O3344" s="2">
        <v>-45000</v>
      </c>
      <c r="P3344" s="2">
        <v>0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</row>
    <row r="3345" spans="1:23" outlineLevel="2" x14ac:dyDescent="0.2">
      <c r="A3345" t="s">
        <v>999</v>
      </c>
      <c r="B3345" t="s">
        <v>31</v>
      </c>
      <c r="C3345" t="s">
        <v>32</v>
      </c>
      <c r="D3345" t="s">
        <v>123</v>
      </c>
      <c r="E3345" t="s">
        <v>124</v>
      </c>
      <c r="F3345" t="s">
        <v>933</v>
      </c>
      <c r="G3345" t="s">
        <v>934</v>
      </c>
      <c r="H3345" t="s">
        <v>949</v>
      </c>
      <c r="I3345" t="s">
        <v>950</v>
      </c>
      <c r="J3345" t="s">
        <v>1000</v>
      </c>
      <c r="K3345" t="s">
        <v>1549</v>
      </c>
      <c r="L3345" t="s">
        <v>1550</v>
      </c>
      <c r="M3345" t="s">
        <v>12</v>
      </c>
      <c r="N3345" s="2">
        <v>32000</v>
      </c>
      <c r="O3345" s="2">
        <v>13350</v>
      </c>
      <c r="P3345" s="2">
        <v>0</v>
      </c>
      <c r="Q3345" s="2">
        <v>45350</v>
      </c>
      <c r="R3345" s="2">
        <v>5600</v>
      </c>
      <c r="S3345" s="2">
        <v>10906.74</v>
      </c>
      <c r="T3345" s="2">
        <v>8231.5</v>
      </c>
      <c r="U3345" s="2">
        <v>34443.26</v>
      </c>
      <c r="V3345" s="2">
        <v>37118.5</v>
      </c>
      <c r="W3345" s="2">
        <v>28843.26</v>
      </c>
    </row>
    <row r="3346" spans="1:23" outlineLevel="2" x14ac:dyDescent="0.2">
      <c r="A3346" t="s">
        <v>999</v>
      </c>
      <c r="B3346" t="s">
        <v>31</v>
      </c>
      <c r="C3346" t="s">
        <v>32</v>
      </c>
      <c r="D3346" t="s">
        <v>33</v>
      </c>
      <c r="E3346" t="s">
        <v>34</v>
      </c>
      <c r="F3346" t="s">
        <v>933</v>
      </c>
      <c r="G3346" t="s">
        <v>934</v>
      </c>
      <c r="H3346" t="s">
        <v>949</v>
      </c>
      <c r="I3346" t="s">
        <v>950</v>
      </c>
      <c r="J3346" t="s">
        <v>1000</v>
      </c>
      <c r="K3346" t="s">
        <v>1549</v>
      </c>
      <c r="L3346" t="s">
        <v>1550</v>
      </c>
      <c r="M3346" t="s">
        <v>12</v>
      </c>
      <c r="N3346" s="2">
        <v>0</v>
      </c>
      <c r="O3346" s="2">
        <v>6400</v>
      </c>
      <c r="P3346" s="2">
        <v>0</v>
      </c>
      <c r="Q3346" s="2">
        <v>6400</v>
      </c>
      <c r="R3346" s="2">
        <v>0</v>
      </c>
      <c r="S3346" s="2">
        <v>6400</v>
      </c>
      <c r="T3346" s="2">
        <v>2240</v>
      </c>
      <c r="U3346" s="2">
        <v>0</v>
      </c>
      <c r="V3346" s="2">
        <v>4160</v>
      </c>
      <c r="W3346" s="2">
        <v>0</v>
      </c>
    </row>
    <row r="3347" spans="1:23" outlineLevel="2" x14ac:dyDescent="0.2">
      <c r="A3347" t="s">
        <v>999</v>
      </c>
      <c r="B3347" t="s">
        <v>31</v>
      </c>
      <c r="C3347" t="s">
        <v>32</v>
      </c>
      <c r="D3347" t="s">
        <v>123</v>
      </c>
      <c r="E3347" t="s">
        <v>124</v>
      </c>
      <c r="F3347" t="s">
        <v>933</v>
      </c>
      <c r="G3347" t="s">
        <v>934</v>
      </c>
      <c r="H3347" t="s">
        <v>949</v>
      </c>
      <c r="I3347" t="s">
        <v>950</v>
      </c>
      <c r="J3347" t="s">
        <v>1000</v>
      </c>
      <c r="K3347" t="s">
        <v>1068</v>
      </c>
      <c r="L3347" t="s">
        <v>1600</v>
      </c>
      <c r="M3347" t="s">
        <v>12</v>
      </c>
      <c r="N3347" s="2">
        <v>10000</v>
      </c>
      <c r="O3347" s="2">
        <v>-6220</v>
      </c>
      <c r="P3347" s="2">
        <v>0</v>
      </c>
      <c r="Q3347" s="2">
        <v>3780</v>
      </c>
      <c r="R3347" s="2">
        <v>3780</v>
      </c>
      <c r="S3347" s="2">
        <v>0</v>
      </c>
      <c r="T3347" s="2">
        <v>0</v>
      </c>
      <c r="U3347" s="2">
        <v>3780</v>
      </c>
      <c r="V3347" s="2">
        <v>3780</v>
      </c>
      <c r="W3347" s="2">
        <v>0</v>
      </c>
    </row>
    <row r="3348" spans="1:23" outlineLevel="2" x14ac:dyDescent="0.2">
      <c r="A3348" t="s">
        <v>999</v>
      </c>
      <c r="B3348" t="s">
        <v>31</v>
      </c>
      <c r="C3348" t="s">
        <v>32</v>
      </c>
      <c r="D3348" t="s">
        <v>33</v>
      </c>
      <c r="E3348" t="s">
        <v>34</v>
      </c>
      <c r="F3348" t="s">
        <v>933</v>
      </c>
      <c r="G3348" t="s">
        <v>934</v>
      </c>
      <c r="H3348" t="s">
        <v>949</v>
      </c>
      <c r="I3348" t="s">
        <v>950</v>
      </c>
      <c r="J3348" t="s">
        <v>1000</v>
      </c>
      <c r="K3348" t="s">
        <v>1068</v>
      </c>
      <c r="L3348" t="s">
        <v>1600</v>
      </c>
      <c r="M3348" t="s">
        <v>12</v>
      </c>
      <c r="N3348" s="2">
        <v>0</v>
      </c>
      <c r="O3348" s="2">
        <v>963791.1</v>
      </c>
      <c r="P3348" s="2">
        <v>0</v>
      </c>
      <c r="Q3348" s="2">
        <v>963791.1</v>
      </c>
      <c r="R3348" s="2">
        <v>68653.240000000005</v>
      </c>
      <c r="S3348" s="2">
        <v>886245.49</v>
      </c>
      <c r="T3348" s="2">
        <v>212743.88</v>
      </c>
      <c r="U3348" s="2">
        <v>77545.61</v>
      </c>
      <c r="V3348" s="2">
        <v>751047.22</v>
      </c>
      <c r="W3348" s="2">
        <v>8892.3700000000008</v>
      </c>
    </row>
    <row r="3349" spans="1:23" outlineLevel="2" x14ac:dyDescent="0.2">
      <c r="A3349" t="s">
        <v>999</v>
      </c>
      <c r="B3349" t="s">
        <v>31</v>
      </c>
      <c r="C3349" t="s">
        <v>32</v>
      </c>
      <c r="D3349" t="s">
        <v>33</v>
      </c>
      <c r="E3349" t="s">
        <v>34</v>
      </c>
      <c r="F3349" t="s">
        <v>933</v>
      </c>
      <c r="G3349" t="s">
        <v>934</v>
      </c>
      <c r="H3349" t="s">
        <v>949</v>
      </c>
      <c r="I3349" t="s">
        <v>950</v>
      </c>
      <c r="J3349" t="s">
        <v>1000</v>
      </c>
      <c r="K3349" t="s">
        <v>1003</v>
      </c>
      <c r="L3349" t="s">
        <v>1553</v>
      </c>
      <c r="M3349" t="s">
        <v>12</v>
      </c>
      <c r="N3349" s="2">
        <v>0</v>
      </c>
      <c r="O3349" s="2">
        <v>457177.4</v>
      </c>
      <c r="P3349" s="2">
        <v>0</v>
      </c>
      <c r="Q3349" s="2">
        <v>457177.4</v>
      </c>
      <c r="R3349" s="2">
        <v>0</v>
      </c>
      <c r="S3349" s="2">
        <v>456689.42</v>
      </c>
      <c r="T3349" s="2">
        <v>455262.01</v>
      </c>
      <c r="U3349" s="2">
        <v>487.98</v>
      </c>
      <c r="V3349" s="2">
        <v>1915.39</v>
      </c>
      <c r="W3349" s="2">
        <v>487.98</v>
      </c>
    </row>
    <row r="3350" spans="1:23" outlineLevel="2" x14ac:dyDescent="0.2">
      <c r="A3350" t="s">
        <v>999</v>
      </c>
      <c r="B3350" t="s">
        <v>31</v>
      </c>
      <c r="C3350" t="s">
        <v>32</v>
      </c>
      <c r="D3350" t="s">
        <v>123</v>
      </c>
      <c r="E3350" t="s">
        <v>124</v>
      </c>
      <c r="F3350" t="s">
        <v>933</v>
      </c>
      <c r="G3350" t="s">
        <v>934</v>
      </c>
      <c r="H3350" t="s">
        <v>949</v>
      </c>
      <c r="I3350" t="s">
        <v>950</v>
      </c>
      <c r="J3350" t="s">
        <v>1000</v>
      </c>
      <c r="K3350" t="s">
        <v>1003</v>
      </c>
      <c r="L3350" t="s">
        <v>1553</v>
      </c>
      <c r="M3350" t="s">
        <v>12</v>
      </c>
      <c r="N3350" s="2">
        <v>80876.490000000005</v>
      </c>
      <c r="O3350" s="2">
        <v>0</v>
      </c>
      <c r="P3350" s="2">
        <v>0</v>
      </c>
      <c r="Q3350" s="2">
        <v>80876.490000000005</v>
      </c>
      <c r="R3350" s="2">
        <v>808.64</v>
      </c>
      <c r="S3350" s="2">
        <v>16668.830000000002</v>
      </c>
      <c r="T3350" s="2">
        <v>16668.830000000002</v>
      </c>
      <c r="U3350" s="2">
        <v>64207.66</v>
      </c>
      <c r="V3350" s="2">
        <v>64207.66</v>
      </c>
      <c r="W3350" s="2">
        <v>63399.02</v>
      </c>
    </row>
    <row r="3351" spans="1:23" outlineLevel="2" x14ac:dyDescent="0.2">
      <c r="A3351" t="s">
        <v>999</v>
      </c>
      <c r="B3351" t="s">
        <v>31</v>
      </c>
      <c r="C3351" t="s">
        <v>32</v>
      </c>
      <c r="D3351" t="s">
        <v>75</v>
      </c>
      <c r="E3351" t="s">
        <v>76</v>
      </c>
      <c r="F3351" t="s">
        <v>933</v>
      </c>
      <c r="G3351" t="s">
        <v>934</v>
      </c>
      <c r="H3351" t="s">
        <v>949</v>
      </c>
      <c r="I3351" t="s">
        <v>950</v>
      </c>
      <c r="J3351" t="s">
        <v>1000</v>
      </c>
      <c r="K3351" t="s">
        <v>1003</v>
      </c>
      <c r="L3351" t="s">
        <v>1553</v>
      </c>
      <c r="M3351" t="s">
        <v>12</v>
      </c>
      <c r="N3351" s="2">
        <v>129000</v>
      </c>
      <c r="O3351" s="2">
        <v>137914</v>
      </c>
      <c r="P3351" s="2">
        <v>0</v>
      </c>
      <c r="Q3351" s="2">
        <v>266914</v>
      </c>
      <c r="R3351" s="2">
        <v>0.01</v>
      </c>
      <c r="S3351" s="2">
        <v>153397.76999999999</v>
      </c>
      <c r="T3351" s="2">
        <v>139745.4</v>
      </c>
      <c r="U3351" s="2">
        <v>113516.23</v>
      </c>
      <c r="V3351" s="2">
        <v>127168.6</v>
      </c>
      <c r="W3351" s="2">
        <v>113516.22</v>
      </c>
    </row>
    <row r="3352" spans="1:23" outlineLevel="2" x14ac:dyDescent="0.2">
      <c r="A3352" t="s">
        <v>999</v>
      </c>
      <c r="B3352" t="s">
        <v>31</v>
      </c>
      <c r="C3352" t="s">
        <v>32</v>
      </c>
      <c r="D3352" t="s">
        <v>123</v>
      </c>
      <c r="E3352" t="s">
        <v>124</v>
      </c>
      <c r="F3352" t="s">
        <v>933</v>
      </c>
      <c r="G3352" t="s">
        <v>934</v>
      </c>
      <c r="H3352" t="s">
        <v>949</v>
      </c>
      <c r="I3352" t="s">
        <v>950</v>
      </c>
      <c r="J3352" t="s">
        <v>1000</v>
      </c>
      <c r="K3352" t="s">
        <v>1113</v>
      </c>
      <c r="L3352" t="s">
        <v>1601</v>
      </c>
      <c r="M3352" t="s">
        <v>12</v>
      </c>
      <c r="N3352" s="2">
        <v>5000</v>
      </c>
      <c r="O3352" s="2">
        <v>-2000</v>
      </c>
      <c r="P3352" s="2">
        <v>-3000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</row>
    <row r="3353" spans="1:23" outlineLevel="2" x14ac:dyDescent="0.2">
      <c r="A3353" t="s">
        <v>999</v>
      </c>
      <c r="B3353" t="s">
        <v>31</v>
      </c>
      <c r="C3353" t="s">
        <v>32</v>
      </c>
      <c r="D3353" t="s">
        <v>75</v>
      </c>
      <c r="E3353" t="s">
        <v>76</v>
      </c>
      <c r="F3353" t="s">
        <v>933</v>
      </c>
      <c r="G3353" t="s">
        <v>934</v>
      </c>
      <c r="H3353" t="s">
        <v>949</v>
      </c>
      <c r="I3353" t="s">
        <v>950</v>
      </c>
      <c r="J3353" t="s">
        <v>1000</v>
      </c>
      <c r="K3353" t="s">
        <v>1009</v>
      </c>
      <c r="L3353" t="s">
        <v>1568</v>
      </c>
      <c r="M3353" t="s">
        <v>12</v>
      </c>
      <c r="N3353" s="2">
        <v>50000</v>
      </c>
      <c r="O3353" s="2">
        <v>0</v>
      </c>
      <c r="P3353" s="2">
        <v>0</v>
      </c>
      <c r="Q3353" s="2">
        <v>50000</v>
      </c>
      <c r="R3353" s="2">
        <v>720</v>
      </c>
      <c r="S3353" s="2">
        <v>28623.84</v>
      </c>
      <c r="T3353" s="2">
        <v>18032</v>
      </c>
      <c r="U3353" s="2">
        <v>21376.16</v>
      </c>
      <c r="V3353" s="2">
        <v>31968</v>
      </c>
      <c r="W3353" s="2">
        <v>20656.16</v>
      </c>
    </row>
    <row r="3354" spans="1:23" outlineLevel="2" x14ac:dyDescent="0.2">
      <c r="A3354" t="s">
        <v>999</v>
      </c>
      <c r="B3354" t="s">
        <v>31</v>
      </c>
      <c r="C3354" t="s">
        <v>32</v>
      </c>
      <c r="D3354" t="s">
        <v>123</v>
      </c>
      <c r="E3354" t="s">
        <v>124</v>
      </c>
      <c r="F3354" t="s">
        <v>933</v>
      </c>
      <c r="G3354" t="s">
        <v>934</v>
      </c>
      <c r="H3354" t="s">
        <v>949</v>
      </c>
      <c r="I3354" t="s">
        <v>950</v>
      </c>
      <c r="J3354" t="s">
        <v>1000</v>
      </c>
      <c r="K3354" t="s">
        <v>1009</v>
      </c>
      <c r="L3354" t="s">
        <v>1568</v>
      </c>
      <c r="M3354" t="s">
        <v>12</v>
      </c>
      <c r="N3354" s="2">
        <v>50000</v>
      </c>
      <c r="O3354" s="2">
        <v>-20000</v>
      </c>
      <c r="P3354" s="2">
        <v>0</v>
      </c>
      <c r="Q3354" s="2">
        <v>30000</v>
      </c>
      <c r="R3354" s="2">
        <v>4794.57</v>
      </c>
      <c r="S3354" s="2">
        <v>20265.5</v>
      </c>
      <c r="T3354" s="2">
        <v>15075.87</v>
      </c>
      <c r="U3354" s="2">
        <v>9734.5</v>
      </c>
      <c r="V3354" s="2">
        <v>14924.13</v>
      </c>
      <c r="W3354" s="2">
        <v>4939.93</v>
      </c>
    </row>
    <row r="3355" spans="1:23" outlineLevel="2" x14ac:dyDescent="0.2">
      <c r="A3355" t="s">
        <v>999</v>
      </c>
      <c r="B3355" t="s">
        <v>31</v>
      </c>
      <c r="C3355" t="s">
        <v>32</v>
      </c>
      <c r="D3355" t="s">
        <v>123</v>
      </c>
      <c r="E3355" t="s">
        <v>124</v>
      </c>
      <c r="F3355" t="s">
        <v>933</v>
      </c>
      <c r="G3355" t="s">
        <v>934</v>
      </c>
      <c r="H3355" t="s">
        <v>949</v>
      </c>
      <c r="I3355" t="s">
        <v>950</v>
      </c>
      <c r="J3355" t="s">
        <v>1000</v>
      </c>
      <c r="K3355" t="s">
        <v>1376</v>
      </c>
      <c r="L3355" t="s">
        <v>1584</v>
      </c>
      <c r="M3355" t="s">
        <v>12</v>
      </c>
      <c r="N3355" s="2">
        <v>25000</v>
      </c>
      <c r="O3355" s="2">
        <v>-9743.92</v>
      </c>
      <c r="P3355" s="2">
        <v>-7000</v>
      </c>
      <c r="Q3355" s="2">
        <v>8256.08</v>
      </c>
      <c r="R3355" s="2">
        <v>0</v>
      </c>
      <c r="S3355" s="2">
        <v>7950.88</v>
      </c>
      <c r="T3355" s="2">
        <v>5346.67</v>
      </c>
      <c r="U3355" s="2">
        <v>305.2</v>
      </c>
      <c r="V3355" s="2">
        <v>2909.41</v>
      </c>
      <c r="W3355" s="2">
        <v>305.2</v>
      </c>
    </row>
    <row r="3356" spans="1:23" outlineLevel="2" x14ac:dyDescent="0.2">
      <c r="A3356" t="s">
        <v>999</v>
      </c>
      <c r="B3356" t="s">
        <v>31</v>
      </c>
      <c r="C3356" t="s">
        <v>32</v>
      </c>
      <c r="D3356" t="s">
        <v>33</v>
      </c>
      <c r="E3356" t="s">
        <v>34</v>
      </c>
      <c r="F3356" t="s">
        <v>933</v>
      </c>
      <c r="G3356" t="s">
        <v>934</v>
      </c>
      <c r="H3356" t="s">
        <v>949</v>
      </c>
      <c r="I3356" t="s">
        <v>950</v>
      </c>
      <c r="J3356" t="s">
        <v>1000</v>
      </c>
      <c r="K3356" t="s">
        <v>1017</v>
      </c>
      <c r="L3356" t="s">
        <v>1571</v>
      </c>
      <c r="M3356" t="s">
        <v>12</v>
      </c>
      <c r="N3356" s="2">
        <v>0</v>
      </c>
      <c r="O3356" s="2">
        <v>89778.4</v>
      </c>
      <c r="P3356" s="2">
        <v>0</v>
      </c>
      <c r="Q3356" s="2">
        <v>89778.4</v>
      </c>
      <c r="R3356" s="2">
        <v>0</v>
      </c>
      <c r="S3356" s="2">
        <v>74648</v>
      </c>
      <c r="T3356" s="2">
        <v>44019.79</v>
      </c>
      <c r="U3356" s="2">
        <v>15130.4</v>
      </c>
      <c r="V3356" s="2">
        <v>45758.61</v>
      </c>
      <c r="W3356" s="2">
        <v>15130.4</v>
      </c>
    </row>
    <row r="3357" spans="1:23" outlineLevel="2" x14ac:dyDescent="0.2">
      <c r="A3357" t="s">
        <v>999</v>
      </c>
      <c r="B3357" t="s">
        <v>31</v>
      </c>
      <c r="C3357" t="s">
        <v>32</v>
      </c>
      <c r="D3357" t="s">
        <v>75</v>
      </c>
      <c r="E3357" t="s">
        <v>76</v>
      </c>
      <c r="F3357" t="s">
        <v>933</v>
      </c>
      <c r="G3357" t="s">
        <v>934</v>
      </c>
      <c r="H3357" t="s">
        <v>949</v>
      </c>
      <c r="I3357" t="s">
        <v>950</v>
      </c>
      <c r="J3357" t="s">
        <v>1000</v>
      </c>
      <c r="K3357" t="s">
        <v>1017</v>
      </c>
      <c r="L3357" t="s">
        <v>1571</v>
      </c>
      <c r="M3357" t="s">
        <v>12</v>
      </c>
      <c r="N3357" s="2">
        <v>68961</v>
      </c>
      <c r="O3357" s="2">
        <v>-42551</v>
      </c>
      <c r="P3357" s="2">
        <v>-15846</v>
      </c>
      <c r="Q3357" s="2">
        <v>10564</v>
      </c>
      <c r="R3357" s="2">
        <v>0</v>
      </c>
      <c r="S3357" s="2">
        <v>0</v>
      </c>
      <c r="T3357" s="2">
        <v>0</v>
      </c>
      <c r="U3357" s="2">
        <v>10564</v>
      </c>
      <c r="V3357" s="2">
        <v>10564</v>
      </c>
      <c r="W3357" s="2">
        <v>10564</v>
      </c>
    </row>
    <row r="3358" spans="1:23" outlineLevel="2" x14ac:dyDescent="0.2">
      <c r="A3358" t="s">
        <v>999</v>
      </c>
      <c r="B3358" t="s">
        <v>31</v>
      </c>
      <c r="C3358" t="s">
        <v>32</v>
      </c>
      <c r="D3358" t="s">
        <v>123</v>
      </c>
      <c r="E3358" t="s">
        <v>124</v>
      </c>
      <c r="F3358" t="s">
        <v>933</v>
      </c>
      <c r="G3358" t="s">
        <v>934</v>
      </c>
      <c r="H3358" t="s">
        <v>949</v>
      </c>
      <c r="I3358" t="s">
        <v>950</v>
      </c>
      <c r="J3358" t="s">
        <v>1000</v>
      </c>
      <c r="K3358" t="s">
        <v>1116</v>
      </c>
      <c r="L3358" t="s">
        <v>1587</v>
      </c>
      <c r="M3358" t="s">
        <v>12</v>
      </c>
      <c r="N3358" s="2">
        <v>20000</v>
      </c>
      <c r="O3358" s="2">
        <v>-8200</v>
      </c>
      <c r="P3358" s="2">
        <v>0</v>
      </c>
      <c r="Q3358" s="2">
        <v>11800</v>
      </c>
      <c r="R3358" s="2">
        <v>0</v>
      </c>
      <c r="S3358" s="2">
        <v>5952.8</v>
      </c>
      <c r="T3358" s="2">
        <v>5952.79</v>
      </c>
      <c r="U3358" s="2">
        <v>5847.2</v>
      </c>
      <c r="V3358" s="2">
        <v>5847.21</v>
      </c>
      <c r="W3358" s="2">
        <v>5847.2</v>
      </c>
    </row>
    <row r="3359" spans="1:23" outlineLevel="2" x14ac:dyDescent="0.2">
      <c r="A3359" t="s">
        <v>999</v>
      </c>
      <c r="B3359" t="s">
        <v>31</v>
      </c>
      <c r="C3359" t="s">
        <v>32</v>
      </c>
      <c r="D3359" t="s">
        <v>75</v>
      </c>
      <c r="E3359" t="s">
        <v>76</v>
      </c>
      <c r="F3359" t="s">
        <v>933</v>
      </c>
      <c r="G3359" t="s">
        <v>934</v>
      </c>
      <c r="H3359" t="s">
        <v>949</v>
      </c>
      <c r="I3359" t="s">
        <v>950</v>
      </c>
      <c r="J3359" t="s">
        <v>1000</v>
      </c>
      <c r="K3359" t="s">
        <v>1061</v>
      </c>
      <c r="L3359" t="s">
        <v>1554</v>
      </c>
      <c r="M3359" t="s">
        <v>12</v>
      </c>
      <c r="N3359" s="2">
        <v>18500</v>
      </c>
      <c r="O3359" s="2">
        <v>181880</v>
      </c>
      <c r="P3359" s="2">
        <v>-133000</v>
      </c>
      <c r="Q3359" s="2">
        <v>67380</v>
      </c>
      <c r="R3359" s="2">
        <v>2.0699999999999998</v>
      </c>
      <c r="S3359" s="2">
        <v>29173.37</v>
      </c>
      <c r="T3359" s="2">
        <v>29173.37</v>
      </c>
      <c r="U3359" s="2">
        <v>38206.629999999997</v>
      </c>
      <c r="V3359" s="2">
        <v>38206.629999999997</v>
      </c>
      <c r="W3359" s="2">
        <v>38204.559999999998</v>
      </c>
    </row>
    <row r="3360" spans="1:23" outlineLevel="2" x14ac:dyDescent="0.2">
      <c r="A3360" t="s">
        <v>999</v>
      </c>
      <c r="B3360" t="s">
        <v>31</v>
      </c>
      <c r="C3360" t="s">
        <v>32</v>
      </c>
      <c r="D3360" t="s">
        <v>123</v>
      </c>
      <c r="E3360" t="s">
        <v>124</v>
      </c>
      <c r="F3360" t="s">
        <v>933</v>
      </c>
      <c r="G3360" t="s">
        <v>934</v>
      </c>
      <c r="H3360" t="s">
        <v>949</v>
      </c>
      <c r="I3360" t="s">
        <v>950</v>
      </c>
      <c r="J3360" t="s">
        <v>1000</v>
      </c>
      <c r="K3360" t="s">
        <v>1061</v>
      </c>
      <c r="L3360" t="s">
        <v>1554</v>
      </c>
      <c r="M3360" t="s">
        <v>12</v>
      </c>
      <c r="N3360" s="2">
        <v>4000</v>
      </c>
      <c r="O3360" s="2">
        <v>335996.32</v>
      </c>
      <c r="P3360" s="2">
        <v>-228480</v>
      </c>
      <c r="Q3360" s="2">
        <v>111516.32</v>
      </c>
      <c r="R3360" s="2">
        <v>1781.14</v>
      </c>
      <c r="S3360" s="2">
        <v>103370.06</v>
      </c>
      <c r="T3360" s="2">
        <v>38883.82</v>
      </c>
      <c r="U3360" s="2">
        <v>8146.26</v>
      </c>
      <c r="V3360" s="2">
        <v>72632.5</v>
      </c>
      <c r="W3360" s="2">
        <v>6365.12</v>
      </c>
    </row>
    <row r="3361" spans="1:23" outlineLevel="2" x14ac:dyDescent="0.2">
      <c r="A3361" t="s">
        <v>999</v>
      </c>
      <c r="B3361" t="s">
        <v>31</v>
      </c>
      <c r="C3361" t="s">
        <v>32</v>
      </c>
      <c r="D3361" t="s">
        <v>33</v>
      </c>
      <c r="E3361" t="s">
        <v>34</v>
      </c>
      <c r="F3361" t="s">
        <v>933</v>
      </c>
      <c r="G3361" t="s">
        <v>934</v>
      </c>
      <c r="H3361" t="s">
        <v>949</v>
      </c>
      <c r="I3361" t="s">
        <v>950</v>
      </c>
      <c r="J3361" t="s">
        <v>1000</v>
      </c>
      <c r="K3361" t="s">
        <v>1061</v>
      </c>
      <c r="L3361" t="s">
        <v>1554</v>
      </c>
      <c r="M3361" t="s">
        <v>12</v>
      </c>
      <c r="N3361" s="2">
        <v>5000</v>
      </c>
      <c r="O3361" s="2">
        <v>275509.53999999998</v>
      </c>
      <c r="P3361" s="2">
        <v>0</v>
      </c>
      <c r="Q3361" s="2">
        <v>280509.53999999998</v>
      </c>
      <c r="R3361" s="2">
        <v>0</v>
      </c>
      <c r="S3361" s="2">
        <v>272739.21999999997</v>
      </c>
      <c r="T3361" s="2">
        <v>262444.31</v>
      </c>
      <c r="U3361" s="2">
        <v>7770.32</v>
      </c>
      <c r="V3361" s="2">
        <v>18065.23</v>
      </c>
      <c r="W3361" s="2">
        <v>7770.32</v>
      </c>
    </row>
    <row r="3362" spans="1:23" outlineLevel="2" x14ac:dyDescent="0.2">
      <c r="A3362" t="s">
        <v>999</v>
      </c>
      <c r="B3362" t="s">
        <v>31</v>
      </c>
      <c r="C3362" t="s">
        <v>32</v>
      </c>
      <c r="D3362" t="s">
        <v>123</v>
      </c>
      <c r="E3362" t="s">
        <v>124</v>
      </c>
      <c r="F3362" t="s">
        <v>933</v>
      </c>
      <c r="G3362" t="s">
        <v>934</v>
      </c>
      <c r="H3362" t="s">
        <v>949</v>
      </c>
      <c r="I3362" t="s">
        <v>950</v>
      </c>
      <c r="J3362" t="s">
        <v>1000</v>
      </c>
      <c r="K3362" t="s">
        <v>1019</v>
      </c>
      <c r="L3362" t="s">
        <v>1555</v>
      </c>
      <c r="M3362" t="s">
        <v>12</v>
      </c>
      <c r="N3362" s="2">
        <v>6000</v>
      </c>
      <c r="O3362" s="2">
        <v>4754.17</v>
      </c>
      <c r="P3362" s="2">
        <v>0</v>
      </c>
      <c r="Q3362" s="2">
        <v>10754.17</v>
      </c>
      <c r="R3362" s="2">
        <v>2753.03</v>
      </c>
      <c r="S3362" s="2">
        <v>6441.28</v>
      </c>
      <c r="T3362" s="2">
        <v>5513.24</v>
      </c>
      <c r="U3362" s="2">
        <v>4312.8900000000003</v>
      </c>
      <c r="V3362" s="2">
        <v>5240.93</v>
      </c>
      <c r="W3362" s="2">
        <v>1559.86</v>
      </c>
    </row>
    <row r="3363" spans="1:23" outlineLevel="2" x14ac:dyDescent="0.2">
      <c r="A3363" t="s">
        <v>999</v>
      </c>
      <c r="B3363" t="s">
        <v>31</v>
      </c>
      <c r="C3363" t="s">
        <v>32</v>
      </c>
      <c r="D3363" t="s">
        <v>33</v>
      </c>
      <c r="E3363" t="s">
        <v>34</v>
      </c>
      <c r="F3363" t="s">
        <v>933</v>
      </c>
      <c r="G3363" t="s">
        <v>934</v>
      </c>
      <c r="H3363" t="s">
        <v>949</v>
      </c>
      <c r="I3363" t="s">
        <v>950</v>
      </c>
      <c r="J3363" t="s">
        <v>1000</v>
      </c>
      <c r="K3363" t="s">
        <v>1313</v>
      </c>
      <c r="L3363" t="s">
        <v>1556</v>
      </c>
      <c r="M3363" t="s">
        <v>12</v>
      </c>
      <c r="N3363" s="2">
        <v>0</v>
      </c>
      <c r="O3363" s="2">
        <v>10383.049999999999</v>
      </c>
      <c r="P3363" s="2">
        <v>0</v>
      </c>
      <c r="Q3363" s="2">
        <v>10383.049999999999</v>
      </c>
      <c r="R3363" s="2">
        <v>0</v>
      </c>
      <c r="S3363" s="2">
        <v>3959.29</v>
      </c>
      <c r="T3363" s="2">
        <v>3959.29</v>
      </c>
      <c r="U3363" s="2">
        <v>6423.76</v>
      </c>
      <c r="V3363" s="2">
        <v>6423.76</v>
      </c>
      <c r="W3363" s="2">
        <v>6423.76</v>
      </c>
    </row>
    <row r="3364" spans="1:23" outlineLevel="2" x14ac:dyDescent="0.2">
      <c r="A3364" t="s">
        <v>999</v>
      </c>
      <c r="B3364" t="s">
        <v>31</v>
      </c>
      <c r="C3364" t="s">
        <v>32</v>
      </c>
      <c r="D3364" t="s">
        <v>123</v>
      </c>
      <c r="E3364" t="s">
        <v>124</v>
      </c>
      <c r="F3364" t="s">
        <v>933</v>
      </c>
      <c r="G3364" t="s">
        <v>934</v>
      </c>
      <c r="H3364" t="s">
        <v>949</v>
      </c>
      <c r="I3364" t="s">
        <v>950</v>
      </c>
      <c r="J3364" t="s">
        <v>1000</v>
      </c>
      <c r="K3364" t="s">
        <v>1313</v>
      </c>
      <c r="L3364" t="s">
        <v>1556</v>
      </c>
      <c r="M3364" t="s">
        <v>12</v>
      </c>
      <c r="N3364" s="2">
        <v>15000</v>
      </c>
      <c r="O3364" s="2">
        <v>7000</v>
      </c>
      <c r="P3364" s="2">
        <v>0</v>
      </c>
      <c r="Q3364" s="2">
        <v>22000</v>
      </c>
      <c r="R3364" s="2">
        <v>5231.05</v>
      </c>
      <c r="S3364" s="2">
        <v>14611.49</v>
      </c>
      <c r="T3364" s="2">
        <v>14611.49</v>
      </c>
      <c r="U3364" s="2">
        <v>7388.51</v>
      </c>
      <c r="V3364" s="2">
        <v>7388.51</v>
      </c>
      <c r="W3364" s="2">
        <v>2157.46</v>
      </c>
    </row>
    <row r="3365" spans="1:23" outlineLevel="2" x14ac:dyDescent="0.2">
      <c r="A3365" t="s">
        <v>999</v>
      </c>
      <c r="B3365" t="s">
        <v>31</v>
      </c>
      <c r="C3365" t="s">
        <v>32</v>
      </c>
      <c r="D3365" t="s">
        <v>123</v>
      </c>
      <c r="E3365" t="s">
        <v>124</v>
      </c>
      <c r="F3365" t="s">
        <v>933</v>
      </c>
      <c r="G3365" t="s">
        <v>934</v>
      </c>
      <c r="H3365" t="s">
        <v>949</v>
      </c>
      <c r="I3365" t="s">
        <v>950</v>
      </c>
      <c r="J3365" t="s">
        <v>1000</v>
      </c>
      <c r="K3365" t="s">
        <v>1092</v>
      </c>
      <c r="L3365" t="s">
        <v>1588</v>
      </c>
      <c r="M3365" t="s">
        <v>12</v>
      </c>
      <c r="N3365" s="2">
        <v>20000</v>
      </c>
      <c r="O3365" s="2">
        <v>-9700</v>
      </c>
      <c r="P3365" s="2">
        <v>-10000</v>
      </c>
      <c r="Q3365" s="2">
        <v>300</v>
      </c>
      <c r="R3365" s="2">
        <v>0</v>
      </c>
      <c r="S3365" s="2">
        <v>0</v>
      </c>
      <c r="T3365" s="2">
        <v>0</v>
      </c>
      <c r="U3365" s="2">
        <v>300</v>
      </c>
      <c r="V3365" s="2">
        <v>300</v>
      </c>
      <c r="W3365" s="2">
        <v>300</v>
      </c>
    </row>
    <row r="3366" spans="1:23" outlineLevel="2" x14ac:dyDescent="0.2">
      <c r="A3366" t="s">
        <v>999</v>
      </c>
      <c r="B3366" t="s">
        <v>31</v>
      </c>
      <c r="C3366" t="s">
        <v>32</v>
      </c>
      <c r="D3366" t="s">
        <v>75</v>
      </c>
      <c r="E3366" t="s">
        <v>76</v>
      </c>
      <c r="F3366" t="s">
        <v>933</v>
      </c>
      <c r="G3366" t="s">
        <v>934</v>
      </c>
      <c r="H3366" t="s">
        <v>949</v>
      </c>
      <c r="I3366" t="s">
        <v>950</v>
      </c>
      <c r="J3366" t="s">
        <v>1000</v>
      </c>
      <c r="K3366" t="s">
        <v>1092</v>
      </c>
      <c r="L3366" t="s">
        <v>1588</v>
      </c>
      <c r="M3366" t="s">
        <v>12</v>
      </c>
      <c r="N3366" s="2">
        <v>4000</v>
      </c>
      <c r="O3366" s="2">
        <v>0</v>
      </c>
      <c r="P3366" s="2">
        <v>-4000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</row>
    <row r="3367" spans="1:23" outlineLevel="2" x14ac:dyDescent="0.2">
      <c r="A3367" t="s">
        <v>999</v>
      </c>
      <c r="B3367" t="s">
        <v>31</v>
      </c>
      <c r="C3367" t="s">
        <v>32</v>
      </c>
      <c r="D3367" t="s">
        <v>33</v>
      </c>
      <c r="E3367" t="s">
        <v>34</v>
      </c>
      <c r="F3367" t="s">
        <v>933</v>
      </c>
      <c r="G3367" t="s">
        <v>934</v>
      </c>
      <c r="H3367" t="s">
        <v>949</v>
      </c>
      <c r="I3367" t="s">
        <v>950</v>
      </c>
      <c r="J3367" t="s">
        <v>1000</v>
      </c>
      <c r="K3367" t="s">
        <v>1386</v>
      </c>
      <c r="L3367" t="s">
        <v>1589</v>
      </c>
      <c r="M3367" t="s">
        <v>12</v>
      </c>
      <c r="N3367" s="2">
        <v>6872</v>
      </c>
      <c r="O3367" s="2">
        <v>-6872</v>
      </c>
      <c r="P3367" s="2">
        <v>0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</row>
    <row r="3368" spans="1:23" outlineLevel="2" x14ac:dyDescent="0.2">
      <c r="A3368" t="s">
        <v>999</v>
      </c>
      <c r="B3368" t="s">
        <v>31</v>
      </c>
      <c r="C3368" t="s">
        <v>32</v>
      </c>
      <c r="D3368" t="s">
        <v>123</v>
      </c>
      <c r="E3368" t="s">
        <v>124</v>
      </c>
      <c r="F3368" t="s">
        <v>933</v>
      </c>
      <c r="G3368" t="s">
        <v>934</v>
      </c>
      <c r="H3368" t="s">
        <v>949</v>
      </c>
      <c r="I3368" t="s">
        <v>950</v>
      </c>
      <c r="J3368" t="s">
        <v>1000</v>
      </c>
      <c r="K3368" t="s">
        <v>1386</v>
      </c>
      <c r="L3368" t="s">
        <v>1589</v>
      </c>
      <c r="M3368" t="s">
        <v>12</v>
      </c>
      <c r="N3368" s="2">
        <v>0</v>
      </c>
      <c r="O3368" s="2">
        <v>426.72</v>
      </c>
      <c r="P3368" s="2">
        <v>0</v>
      </c>
      <c r="Q3368" s="2">
        <v>426.72</v>
      </c>
      <c r="R3368" s="2">
        <v>0</v>
      </c>
      <c r="S3368" s="2">
        <v>426.72</v>
      </c>
      <c r="T3368" s="2">
        <v>426.72</v>
      </c>
      <c r="U3368" s="2">
        <v>0</v>
      </c>
      <c r="V3368" s="2">
        <v>0</v>
      </c>
      <c r="W3368" s="2">
        <v>0</v>
      </c>
    </row>
    <row r="3369" spans="1:23" outlineLevel="2" x14ac:dyDescent="0.2">
      <c r="A3369" t="s">
        <v>999</v>
      </c>
      <c r="B3369" t="s">
        <v>31</v>
      </c>
      <c r="C3369" t="s">
        <v>32</v>
      </c>
      <c r="D3369" t="s">
        <v>75</v>
      </c>
      <c r="E3369" t="s">
        <v>76</v>
      </c>
      <c r="F3369" t="s">
        <v>933</v>
      </c>
      <c r="G3369" t="s">
        <v>934</v>
      </c>
      <c r="H3369" t="s">
        <v>949</v>
      </c>
      <c r="I3369" t="s">
        <v>950</v>
      </c>
      <c r="J3369" t="s">
        <v>1000</v>
      </c>
      <c r="K3369" t="s">
        <v>1388</v>
      </c>
      <c r="L3369" t="s">
        <v>1590</v>
      </c>
      <c r="M3369" t="s">
        <v>12</v>
      </c>
      <c r="N3369" s="2">
        <v>130998.14</v>
      </c>
      <c r="O3369" s="2">
        <v>-44056.01</v>
      </c>
      <c r="P3369" s="2">
        <v>-46460.75</v>
      </c>
      <c r="Q3369" s="2">
        <v>40481.379999999997</v>
      </c>
      <c r="R3369" s="2">
        <v>2358.2800000000002</v>
      </c>
      <c r="S3369" s="2">
        <v>26690.69</v>
      </c>
      <c r="T3369" s="2">
        <v>14838.58</v>
      </c>
      <c r="U3369" s="2">
        <v>13790.69</v>
      </c>
      <c r="V3369" s="2">
        <v>25642.799999999999</v>
      </c>
      <c r="W3369" s="2">
        <v>11432.41</v>
      </c>
    </row>
    <row r="3370" spans="1:23" outlineLevel="2" x14ac:dyDescent="0.2">
      <c r="A3370" t="s">
        <v>999</v>
      </c>
      <c r="B3370" t="s">
        <v>31</v>
      </c>
      <c r="C3370" t="s">
        <v>32</v>
      </c>
      <c r="D3370" t="s">
        <v>33</v>
      </c>
      <c r="E3370" t="s">
        <v>34</v>
      </c>
      <c r="F3370" t="s">
        <v>933</v>
      </c>
      <c r="G3370" t="s">
        <v>934</v>
      </c>
      <c r="H3370" t="s">
        <v>949</v>
      </c>
      <c r="I3370" t="s">
        <v>950</v>
      </c>
      <c r="J3370" t="s">
        <v>1000</v>
      </c>
      <c r="K3370" t="s">
        <v>1388</v>
      </c>
      <c r="L3370" t="s">
        <v>1590</v>
      </c>
      <c r="M3370" t="s">
        <v>12</v>
      </c>
      <c r="N3370" s="2">
        <v>70000</v>
      </c>
      <c r="O3370" s="2">
        <v>272960</v>
      </c>
      <c r="P3370" s="2">
        <v>0</v>
      </c>
      <c r="Q3370" s="2">
        <v>342960</v>
      </c>
      <c r="R3370" s="2">
        <v>0</v>
      </c>
      <c r="S3370" s="2">
        <v>308535.51</v>
      </c>
      <c r="T3370" s="2">
        <v>199037.05</v>
      </c>
      <c r="U3370" s="2">
        <v>34424.49</v>
      </c>
      <c r="V3370" s="2">
        <v>143922.95000000001</v>
      </c>
      <c r="W3370" s="2">
        <v>34424.49</v>
      </c>
    </row>
    <row r="3371" spans="1:23" outlineLevel="2" x14ac:dyDescent="0.2">
      <c r="A3371" t="s">
        <v>999</v>
      </c>
      <c r="B3371" t="s">
        <v>31</v>
      </c>
      <c r="C3371" t="s">
        <v>32</v>
      </c>
      <c r="D3371" t="s">
        <v>123</v>
      </c>
      <c r="E3371" t="s">
        <v>124</v>
      </c>
      <c r="F3371" t="s">
        <v>933</v>
      </c>
      <c r="G3371" t="s">
        <v>934</v>
      </c>
      <c r="H3371" t="s">
        <v>949</v>
      </c>
      <c r="I3371" t="s">
        <v>950</v>
      </c>
      <c r="J3371" t="s">
        <v>1000</v>
      </c>
      <c r="K3371" t="s">
        <v>1388</v>
      </c>
      <c r="L3371" t="s">
        <v>1590</v>
      </c>
      <c r="M3371" t="s">
        <v>12</v>
      </c>
      <c r="N3371" s="2">
        <v>60000</v>
      </c>
      <c r="O3371" s="2">
        <v>-20103.439999999999</v>
      </c>
      <c r="P3371" s="2">
        <v>0</v>
      </c>
      <c r="Q3371" s="2">
        <v>39896.559999999998</v>
      </c>
      <c r="R3371" s="2">
        <v>201.6</v>
      </c>
      <c r="S3371" s="2">
        <v>20314.46</v>
      </c>
      <c r="T3371" s="2">
        <v>15506.9</v>
      </c>
      <c r="U3371" s="2">
        <v>19582.099999999999</v>
      </c>
      <c r="V3371" s="2">
        <v>24389.66</v>
      </c>
      <c r="W3371" s="2">
        <v>19380.5</v>
      </c>
    </row>
    <row r="3372" spans="1:23" outlineLevel="2" x14ac:dyDescent="0.2">
      <c r="A3372" t="s">
        <v>999</v>
      </c>
      <c r="B3372" t="s">
        <v>31</v>
      </c>
      <c r="C3372" t="s">
        <v>32</v>
      </c>
      <c r="D3372" t="s">
        <v>75</v>
      </c>
      <c r="E3372" t="s">
        <v>76</v>
      </c>
      <c r="F3372" t="s">
        <v>933</v>
      </c>
      <c r="G3372" t="s">
        <v>934</v>
      </c>
      <c r="H3372" t="s">
        <v>949</v>
      </c>
      <c r="I3372" t="s">
        <v>950</v>
      </c>
      <c r="J3372" t="s">
        <v>1000</v>
      </c>
      <c r="K3372" t="s">
        <v>1390</v>
      </c>
      <c r="L3372" t="s">
        <v>1557</v>
      </c>
      <c r="M3372" t="s">
        <v>12</v>
      </c>
      <c r="N3372" s="2">
        <v>193316.22</v>
      </c>
      <c r="O3372" s="2">
        <v>0</v>
      </c>
      <c r="P3372" s="2">
        <v>-80000</v>
      </c>
      <c r="Q3372" s="2">
        <v>113316.22</v>
      </c>
      <c r="R3372" s="2">
        <v>0</v>
      </c>
      <c r="S3372" s="2">
        <v>32782.43</v>
      </c>
      <c r="T3372" s="2">
        <v>32782.43</v>
      </c>
      <c r="U3372" s="2">
        <v>80533.789999999994</v>
      </c>
      <c r="V3372" s="2">
        <v>80533.789999999994</v>
      </c>
      <c r="W3372" s="2">
        <v>80533.789999999994</v>
      </c>
    </row>
    <row r="3373" spans="1:23" outlineLevel="2" x14ac:dyDescent="0.2">
      <c r="A3373" t="s">
        <v>999</v>
      </c>
      <c r="B3373" t="s">
        <v>31</v>
      </c>
      <c r="C3373" t="s">
        <v>32</v>
      </c>
      <c r="D3373" t="s">
        <v>33</v>
      </c>
      <c r="E3373" t="s">
        <v>34</v>
      </c>
      <c r="F3373" t="s">
        <v>933</v>
      </c>
      <c r="G3373" t="s">
        <v>934</v>
      </c>
      <c r="H3373" t="s">
        <v>949</v>
      </c>
      <c r="I3373" t="s">
        <v>950</v>
      </c>
      <c r="J3373" t="s">
        <v>1000</v>
      </c>
      <c r="K3373" t="s">
        <v>1390</v>
      </c>
      <c r="L3373" t="s">
        <v>1557</v>
      </c>
      <c r="M3373" t="s">
        <v>12</v>
      </c>
      <c r="N3373" s="2">
        <v>140000</v>
      </c>
      <c r="O3373" s="2">
        <v>180000</v>
      </c>
      <c r="P3373" s="2">
        <v>0</v>
      </c>
      <c r="Q3373" s="2">
        <v>320000</v>
      </c>
      <c r="R3373" s="2">
        <v>17753.14</v>
      </c>
      <c r="S3373" s="2">
        <v>156976.66</v>
      </c>
      <c r="T3373" s="2">
        <v>21145.599999999999</v>
      </c>
      <c r="U3373" s="2">
        <v>163023.34</v>
      </c>
      <c r="V3373" s="2">
        <v>298854.40000000002</v>
      </c>
      <c r="W3373" s="2">
        <v>145270.20000000001</v>
      </c>
    </row>
    <row r="3374" spans="1:23" outlineLevel="2" x14ac:dyDescent="0.2">
      <c r="A3374" t="s">
        <v>999</v>
      </c>
      <c r="B3374" t="s">
        <v>31</v>
      </c>
      <c r="C3374" t="s">
        <v>32</v>
      </c>
      <c r="D3374" t="s">
        <v>123</v>
      </c>
      <c r="E3374" t="s">
        <v>124</v>
      </c>
      <c r="F3374" t="s">
        <v>933</v>
      </c>
      <c r="G3374" t="s">
        <v>934</v>
      </c>
      <c r="H3374" t="s">
        <v>949</v>
      </c>
      <c r="I3374" t="s">
        <v>950</v>
      </c>
      <c r="J3374" t="s">
        <v>1000</v>
      </c>
      <c r="K3374" t="s">
        <v>1390</v>
      </c>
      <c r="L3374" t="s">
        <v>1557</v>
      </c>
      <c r="M3374" t="s">
        <v>12</v>
      </c>
      <c r="N3374" s="2">
        <v>115000</v>
      </c>
      <c r="O3374" s="2">
        <v>-86526.720000000001</v>
      </c>
      <c r="P3374" s="2">
        <v>0</v>
      </c>
      <c r="Q3374" s="2">
        <v>28473.279999999999</v>
      </c>
      <c r="R3374" s="2">
        <v>0</v>
      </c>
      <c r="S3374" s="2">
        <v>27804.71</v>
      </c>
      <c r="T3374" s="2">
        <v>16136.55</v>
      </c>
      <c r="U3374" s="2">
        <v>668.57</v>
      </c>
      <c r="V3374" s="2">
        <v>12336.73</v>
      </c>
      <c r="W3374" s="2">
        <v>668.57</v>
      </c>
    </row>
    <row r="3375" spans="1:23" outlineLevel="2" x14ac:dyDescent="0.2">
      <c r="A3375" t="s">
        <v>999</v>
      </c>
      <c r="B3375" t="s">
        <v>31</v>
      </c>
      <c r="C3375" t="s">
        <v>32</v>
      </c>
      <c r="D3375" t="s">
        <v>123</v>
      </c>
      <c r="E3375" t="s">
        <v>124</v>
      </c>
      <c r="F3375" t="s">
        <v>933</v>
      </c>
      <c r="G3375" t="s">
        <v>934</v>
      </c>
      <c r="H3375" t="s">
        <v>949</v>
      </c>
      <c r="I3375" t="s">
        <v>950</v>
      </c>
      <c r="J3375" t="s">
        <v>1000</v>
      </c>
      <c r="K3375" t="s">
        <v>1082</v>
      </c>
      <c r="L3375" t="s">
        <v>1558</v>
      </c>
      <c r="M3375" t="s">
        <v>12</v>
      </c>
      <c r="N3375" s="2">
        <v>2000</v>
      </c>
      <c r="O3375" s="2">
        <v>-1154.17</v>
      </c>
      <c r="P3375" s="2">
        <v>0</v>
      </c>
      <c r="Q3375" s="2">
        <v>845.83</v>
      </c>
      <c r="R3375" s="2">
        <v>0</v>
      </c>
      <c r="S3375" s="2">
        <v>580.34</v>
      </c>
      <c r="T3375" s="2">
        <v>580.34</v>
      </c>
      <c r="U3375" s="2">
        <v>265.49</v>
      </c>
      <c r="V3375" s="2">
        <v>265.49</v>
      </c>
      <c r="W3375" s="2">
        <v>265.49</v>
      </c>
    </row>
    <row r="3376" spans="1:23" outlineLevel="2" x14ac:dyDescent="0.2">
      <c r="A3376" t="s">
        <v>999</v>
      </c>
      <c r="B3376" t="s">
        <v>31</v>
      </c>
      <c r="C3376" t="s">
        <v>32</v>
      </c>
      <c r="D3376" t="s">
        <v>75</v>
      </c>
      <c r="E3376" t="s">
        <v>76</v>
      </c>
      <c r="F3376" t="s">
        <v>933</v>
      </c>
      <c r="G3376" t="s">
        <v>934</v>
      </c>
      <c r="H3376" t="s">
        <v>949</v>
      </c>
      <c r="I3376" t="s">
        <v>950</v>
      </c>
      <c r="J3376" t="s">
        <v>1000</v>
      </c>
      <c r="K3376" t="s">
        <v>1084</v>
      </c>
      <c r="L3376" t="s">
        <v>1602</v>
      </c>
      <c r="M3376" t="s">
        <v>12</v>
      </c>
      <c r="N3376" s="2">
        <v>11352.41</v>
      </c>
      <c r="O3376" s="2">
        <v>-11352.41</v>
      </c>
      <c r="P3376" s="2">
        <v>0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</row>
    <row r="3377" spans="1:23" outlineLevel="2" x14ac:dyDescent="0.2">
      <c r="A3377" t="s">
        <v>999</v>
      </c>
      <c r="B3377" t="s">
        <v>31</v>
      </c>
      <c r="C3377" t="s">
        <v>32</v>
      </c>
      <c r="D3377" t="s">
        <v>123</v>
      </c>
      <c r="E3377" t="s">
        <v>124</v>
      </c>
      <c r="F3377" t="s">
        <v>933</v>
      </c>
      <c r="G3377" t="s">
        <v>934</v>
      </c>
      <c r="H3377" t="s">
        <v>949</v>
      </c>
      <c r="I3377" t="s">
        <v>950</v>
      </c>
      <c r="J3377" t="s">
        <v>1000</v>
      </c>
      <c r="K3377" t="s">
        <v>1194</v>
      </c>
      <c r="L3377" t="s">
        <v>1591</v>
      </c>
      <c r="M3377" t="s">
        <v>12</v>
      </c>
      <c r="N3377" s="2">
        <v>18000</v>
      </c>
      <c r="O3377" s="2">
        <v>-8000</v>
      </c>
      <c r="P3377" s="2">
        <v>-10000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</row>
    <row r="3378" spans="1:23" outlineLevel="2" x14ac:dyDescent="0.2">
      <c r="A3378" t="s">
        <v>999</v>
      </c>
      <c r="B3378" t="s">
        <v>31</v>
      </c>
      <c r="C3378" t="s">
        <v>32</v>
      </c>
      <c r="D3378" t="s">
        <v>33</v>
      </c>
      <c r="E3378" t="s">
        <v>34</v>
      </c>
      <c r="F3378" t="s">
        <v>933</v>
      </c>
      <c r="G3378" t="s">
        <v>934</v>
      </c>
      <c r="H3378" t="s">
        <v>949</v>
      </c>
      <c r="I3378" t="s">
        <v>950</v>
      </c>
      <c r="J3378" t="s">
        <v>1000</v>
      </c>
      <c r="K3378" t="s">
        <v>1194</v>
      </c>
      <c r="L3378" t="s">
        <v>1591</v>
      </c>
      <c r="M3378" t="s">
        <v>12</v>
      </c>
      <c r="N3378" s="2">
        <v>0</v>
      </c>
      <c r="O3378" s="2">
        <v>20000</v>
      </c>
      <c r="P3378" s="2">
        <v>0</v>
      </c>
      <c r="Q3378" s="2">
        <v>20000</v>
      </c>
      <c r="R3378" s="2">
        <v>0</v>
      </c>
      <c r="S3378" s="2">
        <v>16330.14</v>
      </c>
      <c r="T3378" s="2">
        <v>14000</v>
      </c>
      <c r="U3378" s="2">
        <v>3669.86</v>
      </c>
      <c r="V3378" s="2">
        <v>6000</v>
      </c>
      <c r="W3378" s="2">
        <v>3669.86</v>
      </c>
    </row>
    <row r="3379" spans="1:23" outlineLevel="2" x14ac:dyDescent="0.2">
      <c r="A3379" t="s">
        <v>999</v>
      </c>
      <c r="B3379" t="s">
        <v>31</v>
      </c>
      <c r="C3379" t="s">
        <v>32</v>
      </c>
      <c r="D3379" t="s">
        <v>75</v>
      </c>
      <c r="E3379" t="s">
        <v>76</v>
      </c>
      <c r="F3379" t="s">
        <v>933</v>
      </c>
      <c r="G3379" t="s">
        <v>934</v>
      </c>
      <c r="H3379" t="s">
        <v>949</v>
      </c>
      <c r="I3379" t="s">
        <v>950</v>
      </c>
      <c r="J3379" t="s">
        <v>1000</v>
      </c>
      <c r="K3379" t="s">
        <v>1194</v>
      </c>
      <c r="L3379" t="s">
        <v>1591</v>
      </c>
      <c r="M3379" t="s">
        <v>12</v>
      </c>
      <c r="N3379" s="2">
        <v>40000</v>
      </c>
      <c r="O3379" s="2">
        <v>6068.15</v>
      </c>
      <c r="P3379" s="2">
        <v>0</v>
      </c>
      <c r="Q3379" s="2">
        <v>46068.15</v>
      </c>
      <c r="R3379" s="2">
        <v>58.87</v>
      </c>
      <c r="S3379" s="2">
        <v>16646.95</v>
      </c>
      <c r="T3379" s="2">
        <v>15795.75</v>
      </c>
      <c r="U3379" s="2">
        <v>29421.200000000001</v>
      </c>
      <c r="V3379" s="2">
        <v>30272.400000000001</v>
      </c>
      <c r="W3379" s="2">
        <v>29362.33</v>
      </c>
    </row>
    <row r="3380" spans="1:23" outlineLevel="2" x14ac:dyDescent="0.2">
      <c r="A3380" t="s">
        <v>999</v>
      </c>
      <c r="B3380" t="s">
        <v>31</v>
      </c>
      <c r="C3380" t="s">
        <v>32</v>
      </c>
      <c r="D3380" t="s">
        <v>75</v>
      </c>
      <c r="E3380" t="s">
        <v>76</v>
      </c>
      <c r="F3380" t="s">
        <v>933</v>
      </c>
      <c r="G3380" t="s">
        <v>934</v>
      </c>
      <c r="H3380" t="s">
        <v>949</v>
      </c>
      <c r="I3380" t="s">
        <v>950</v>
      </c>
      <c r="J3380" t="s">
        <v>1000</v>
      </c>
      <c r="K3380" t="s">
        <v>1559</v>
      </c>
      <c r="L3380" t="s">
        <v>1560</v>
      </c>
      <c r="M3380" t="s">
        <v>12</v>
      </c>
      <c r="N3380" s="2">
        <v>0</v>
      </c>
      <c r="O3380" s="2">
        <v>2000</v>
      </c>
      <c r="P3380" s="2">
        <v>0</v>
      </c>
      <c r="Q3380" s="2">
        <v>2000</v>
      </c>
      <c r="R3380" s="2">
        <v>0</v>
      </c>
      <c r="S3380" s="2">
        <v>0</v>
      </c>
      <c r="T3380" s="2">
        <v>0</v>
      </c>
      <c r="U3380" s="2">
        <v>2000</v>
      </c>
      <c r="V3380" s="2">
        <v>2000</v>
      </c>
      <c r="W3380" s="2">
        <v>2000</v>
      </c>
    </row>
    <row r="3381" spans="1:23" outlineLevel="2" x14ac:dyDescent="0.2">
      <c r="A3381" t="s">
        <v>999</v>
      </c>
      <c r="B3381" t="s">
        <v>31</v>
      </c>
      <c r="C3381" t="s">
        <v>32</v>
      </c>
      <c r="D3381" t="s">
        <v>33</v>
      </c>
      <c r="E3381" t="s">
        <v>34</v>
      </c>
      <c r="F3381" t="s">
        <v>933</v>
      </c>
      <c r="G3381" t="s">
        <v>934</v>
      </c>
      <c r="H3381" t="s">
        <v>949</v>
      </c>
      <c r="I3381" t="s">
        <v>950</v>
      </c>
      <c r="J3381" t="s">
        <v>1000</v>
      </c>
      <c r="K3381" t="s">
        <v>1118</v>
      </c>
      <c r="L3381" t="s">
        <v>1561</v>
      </c>
      <c r="M3381" t="s">
        <v>12</v>
      </c>
      <c r="N3381" s="2">
        <v>0</v>
      </c>
      <c r="O3381" s="2">
        <v>67550.8</v>
      </c>
      <c r="P3381" s="2">
        <v>0</v>
      </c>
      <c r="Q3381" s="2">
        <v>67550.8</v>
      </c>
      <c r="R3381" s="2">
        <v>0</v>
      </c>
      <c r="S3381" s="2">
        <v>66550.8</v>
      </c>
      <c r="T3381" s="2">
        <v>66550.8</v>
      </c>
      <c r="U3381" s="2">
        <v>1000</v>
      </c>
      <c r="V3381" s="2">
        <v>1000</v>
      </c>
      <c r="W3381" s="2">
        <v>1000</v>
      </c>
    </row>
    <row r="3382" spans="1:23" outlineLevel="2" x14ac:dyDescent="0.2">
      <c r="A3382" t="s">
        <v>999</v>
      </c>
      <c r="B3382" t="s">
        <v>31</v>
      </c>
      <c r="C3382" t="s">
        <v>32</v>
      </c>
      <c r="D3382" t="s">
        <v>123</v>
      </c>
      <c r="E3382" t="s">
        <v>124</v>
      </c>
      <c r="F3382" t="s">
        <v>933</v>
      </c>
      <c r="G3382" t="s">
        <v>934</v>
      </c>
      <c r="H3382" t="s">
        <v>949</v>
      </c>
      <c r="I3382" t="s">
        <v>950</v>
      </c>
      <c r="J3382" t="s">
        <v>1000</v>
      </c>
      <c r="K3382" t="s">
        <v>1118</v>
      </c>
      <c r="L3382" t="s">
        <v>1561</v>
      </c>
      <c r="M3382" t="s">
        <v>12</v>
      </c>
      <c r="N3382" s="2">
        <v>0</v>
      </c>
      <c r="O3382" s="2">
        <v>6100</v>
      </c>
      <c r="P3382" s="2">
        <v>0</v>
      </c>
      <c r="Q3382" s="2">
        <v>6100</v>
      </c>
      <c r="R3382" s="2">
        <v>557.76</v>
      </c>
      <c r="S3382" s="2">
        <v>5461.21</v>
      </c>
      <c r="T3382" s="2">
        <v>5461.21</v>
      </c>
      <c r="U3382" s="2">
        <v>638.79</v>
      </c>
      <c r="V3382" s="2">
        <v>638.79</v>
      </c>
      <c r="W3382" s="2">
        <v>81.03</v>
      </c>
    </row>
    <row r="3383" spans="1:23" outlineLevel="2" x14ac:dyDescent="0.2">
      <c r="A3383" t="s">
        <v>999</v>
      </c>
      <c r="B3383" t="s">
        <v>31</v>
      </c>
      <c r="C3383" t="s">
        <v>32</v>
      </c>
      <c r="D3383" t="s">
        <v>33</v>
      </c>
      <c r="E3383" t="s">
        <v>34</v>
      </c>
      <c r="F3383" t="s">
        <v>933</v>
      </c>
      <c r="G3383" t="s">
        <v>934</v>
      </c>
      <c r="H3383" t="s">
        <v>949</v>
      </c>
      <c r="I3383" t="s">
        <v>950</v>
      </c>
      <c r="J3383" t="s">
        <v>1000</v>
      </c>
      <c r="K3383" t="s">
        <v>1343</v>
      </c>
      <c r="L3383" t="s">
        <v>1562</v>
      </c>
      <c r="M3383" t="s">
        <v>12</v>
      </c>
      <c r="N3383" s="2">
        <v>100000</v>
      </c>
      <c r="O3383" s="2">
        <v>590078.66</v>
      </c>
      <c r="P3383" s="2">
        <v>0</v>
      </c>
      <c r="Q3383" s="2">
        <v>690078.66</v>
      </c>
      <c r="R3383" s="2">
        <v>136977.1</v>
      </c>
      <c r="S3383" s="2">
        <v>553005.34</v>
      </c>
      <c r="T3383" s="2">
        <v>493822.24</v>
      </c>
      <c r="U3383" s="2">
        <v>137073.32</v>
      </c>
      <c r="V3383" s="2">
        <v>196256.42</v>
      </c>
      <c r="W3383" s="2">
        <v>96.22</v>
      </c>
    </row>
    <row r="3384" spans="1:23" outlineLevel="2" x14ac:dyDescent="0.2">
      <c r="A3384" t="s">
        <v>999</v>
      </c>
      <c r="B3384" t="s">
        <v>31</v>
      </c>
      <c r="C3384" t="s">
        <v>32</v>
      </c>
      <c r="D3384" t="s">
        <v>75</v>
      </c>
      <c r="E3384" t="s">
        <v>76</v>
      </c>
      <c r="F3384" t="s">
        <v>933</v>
      </c>
      <c r="G3384" t="s">
        <v>934</v>
      </c>
      <c r="H3384" t="s">
        <v>949</v>
      </c>
      <c r="I3384" t="s">
        <v>950</v>
      </c>
      <c r="J3384" t="s">
        <v>1000</v>
      </c>
      <c r="K3384" t="s">
        <v>1343</v>
      </c>
      <c r="L3384" t="s">
        <v>1562</v>
      </c>
      <c r="M3384" t="s">
        <v>12</v>
      </c>
      <c r="N3384" s="2">
        <v>230000</v>
      </c>
      <c r="O3384" s="2">
        <v>231947.11</v>
      </c>
      <c r="P3384" s="2">
        <v>-300000</v>
      </c>
      <c r="Q3384" s="2">
        <v>161947.10999999999</v>
      </c>
      <c r="R3384" s="2">
        <v>14922</v>
      </c>
      <c r="S3384" s="2">
        <v>41419.01</v>
      </c>
      <c r="T3384" s="2">
        <v>28191.99</v>
      </c>
      <c r="U3384" s="2">
        <v>120528.1</v>
      </c>
      <c r="V3384" s="2">
        <v>133755.12</v>
      </c>
      <c r="W3384" s="2">
        <v>105606.1</v>
      </c>
    </row>
    <row r="3385" spans="1:23" outlineLevel="2" x14ac:dyDescent="0.2">
      <c r="A3385" t="s">
        <v>999</v>
      </c>
      <c r="B3385" t="s">
        <v>31</v>
      </c>
      <c r="C3385" t="s">
        <v>32</v>
      </c>
      <c r="D3385" t="s">
        <v>123</v>
      </c>
      <c r="E3385" t="s">
        <v>124</v>
      </c>
      <c r="F3385" t="s">
        <v>933</v>
      </c>
      <c r="G3385" t="s">
        <v>934</v>
      </c>
      <c r="H3385" t="s">
        <v>949</v>
      </c>
      <c r="I3385" t="s">
        <v>950</v>
      </c>
      <c r="J3385" t="s">
        <v>1000</v>
      </c>
      <c r="K3385" t="s">
        <v>1343</v>
      </c>
      <c r="L3385" t="s">
        <v>1562</v>
      </c>
      <c r="M3385" t="s">
        <v>12</v>
      </c>
      <c r="N3385" s="2">
        <v>33000</v>
      </c>
      <c r="O3385" s="2">
        <v>216760</v>
      </c>
      <c r="P3385" s="2">
        <v>-122456.32000000001</v>
      </c>
      <c r="Q3385" s="2">
        <v>127303.67999999999</v>
      </c>
      <c r="R3385" s="2">
        <v>40643.42</v>
      </c>
      <c r="S3385" s="2">
        <v>51103.6</v>
      </c>
      <c r="T3385" s="2">
        <v>48415.6</v>
      </c>
      <c r="U3385" s="2">
        <v>76200.08</v>
      </c>
      <c r="V3385" s="2">
        <v>78888.08</v>
      </c>
      <c r="W3385" s="2">
        <v>35556.660000000003</v>
      </c>
    </row>
    <row r="3386" spans="1:23" outlineLevel="2" x14ac:dyDescent="0.2">
      <c r="A3386" t="s">
        <v>999</v>
      </c>
      <c r="B3386" t="s">
        <v>31</v>
      </c>
      <c r="C3386" t="s">
        <v>32</v>
      </c>
      <c r="D3386" t="s">
        <v>75</v>
      </c>
      <c r="E3386" t="s">
        <v>76</v>
      </c>
      <c r="F3386" t="s">
        <v>933</v>
      </c>
      <c r="G3386" t="s">
        <v>934</v>
      </c>
      <c r="H3386" t="s">
        <v>949</v>
      </c>
      <c r="I3386" t="s">
        <v>950</v>
      </c>
      <c r="J3386" t="s">
        <v>1000</v>
      </c>
      <c r="K3386" t="s">
        <v>1394</v>
      </c>
      <c r="L3386" t="s">
        <v>1603</v>
      </c>
      <c r="M3386" t="s">
        <v>12</v>
      </c>
      <c r="N3386" s="2">
        <v>37000</v>
      </c>
      <c r="O3386" s="2">
        <v>-13000</v>
      </c>
      <c r="P3386" s="2">
        <v>-23000</v>
      </c>
      <c r="Q3386" s="2">
        <v>1000</v>
      </c>
      <c r="R3386" s="2">
        <v>0.01</v>
      </c>
      <c r="S3386" s="2">
        <v>996.3</v>
      </c>
      <c r="T3386" s="2">
        <v>0</v>
      </c>
      <c r="U3386" s="2">
        <v>3.7</v>
      </c>
      <c r="V3386" s="2">
        <v>1000</v>
      </c>
      <c r="W3386" s="2">
        <v>3.69</v>
      </c>
    </row>
    <row r="3387" spans="1:23" outlineLevel="2" x14ac:dyDescent="0.2">
      <c r="A3387" t="s">
        <v>999</v>
      </c>
      <c r="B3387" t="s">
        <v>31</v>
      </c>
      <c r="C3387" t="s">
        <v>32</v>
      </c>
      <c r="D3387" t="s">
        <v>123</v>
      </c>
      <c r="E3387" t="s">
        <v>124</v>
      </c>
      <c r="F3387" t="s">
        <v>933</v>
      </c>
      <c r="G3387" t="s">
        <v>934</v>
      </c>
      <c r="H3387" t="s">
        <v>949</v>
      </c>
      <c r="I3387" t="s">
        <v>950</v>
      </c>
      <c r="J3387" t="s">
        <v>1000</v>
      </c>
      <c r="K3387" t="s">
        <v>1394</v>
      </c>
      <c r="L3387" t="s">
        <v>1603</v>
      </c>
      <c r="M3387" t="s">
        <v>12</v>
      </c>
      <c r="N3387" s="2">
        <v>40000</v>
      </c>
      <c r="O3387" s="2">
        <v>-40000</v>
      </c>
      <c r="P3387" s="2">
        <v>0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</row>
    <row r="3388" spans="1:23" outlineLevel="2" x14ac:dyDescent="0.2">
      <c r="A3388" t="s">
        <v>999</v>
      </c>
      <c r="B3388" t="s">
        <v>31</v>
      </c>
      <c r="C3388" t="s">
        <v>32</v>
      </c>
      <c r="D3388" t="s">
        <v>33</v>
      </c>
      <c r="E3388" t="s">
        <v>34</v>
      </c>
      <c r="F3388" t="s">
        <v>933</v>
      </c>
      <c r="G3388" t="s">
        <v>934</v>
      </c>
      <c r="H3388" t="s">
        <v>949</v>
      </c>
      <c r="I3388" t="s">
        <v>950</v>
      </c>
      <c r="J3388" t="s">
        <v>1000</v>
      </c>
      <c r="K3388" t="s">
        <v>1394</v>
      </c>
      <c r="L3388" t="s">
        <v>1603</v>
      </c>
      <c r="M3388" t="s">
        <v>12</v>
      </c>
      <c r="N3388" s="2">
        <v>36000</v>
      </c>
      <c r="O3388" s="2">
        <v>-27526.35</v>
      </c>
      <c r="P3388" s="2">
        <v>0</v>
      </c>
      <c r="Q3388" s="2">
        <v>8473.65</v>
      </c>
      <c r="R3388" s="2">
        <v>4998.08</v>
      </c>
      <c r="S3388" s="2">
        <v>0</v>
      </c>
      <c r="T3388" s="2">
        <v>0</v>
      </c>
      <c r="U3388" s="2">
        <v>8473.65</v>
      </c>
      <c r="V3388" s="2">
        <v>8473.65</v>
      </c>
      <c r="W3388" s="2">
        <v>3475.57</v>
      </c>
    </row>
    <row r="3389" spans="1:23" outlineLevel="2" x14ac:dyDescent="0.2">
      <c r="A3389" t="s">
        <v>999</v>
      </c>
      <c r="B3389" t="s">
        <v>31</v>
      </c>
      <c r="C3389" t="s">
        <v>32</v>
      </c>
      <c r="D3389" t="s">
        <v>33</v>
      </c>
      <c r="E3389" t="s">
        <v>34</v>
      </c>
      <c r="F3389" t="s">
        <v>933</v>
      </c>
      <c r="G3389" t="s">
        <v>934</v>
      </c>
      <c r="H3389" t="s">
        <v>949</v>
      </c>
      <c r="I3389" t="s">
        <v>950</v>
      </c>
      <c r="J3389" t="s">
        <v>1000</v>
      </c>
      <c r="K3389" t="s">
        <v>1120</v>
      </c>
      <c r="L3389" t="s">
        <v>1604</v>
      </c>
      <c r="M3389" t="s">
        <v>12</v>
      </c>
      <c r="N3389" s="2">
        <v>0</v>
      </c>
      <c r="O3389" s="2">
        <v>7770</v>
      </c>
      <c r="P3389" s="2">
        <v>0</v>
      </c>
      <c r="Q3389" s="2">
        <v>7770</v>
      </c>
      <c r="R3389" s="2">
        <v>0</v>
      </c>
      <c r="S3389" s="2">
        <v>7770</v>
      </c>
      <c r="T3389" s="2">
        <v>7770</v>
      </c>
      <c r="U3389" s="2">
        <v>0</v>
      </c>
      <c r="V3389" s="2">
        <v>0</v>
      </c>
      <c r="W3389" s="2">
        <v>0</v>
      </c>
    </row>
    <row r="3390" spans="1:23" outlineLevel="2" x14ac:dyDescent="0.2">
      <c r="A3390" t="s">
        <v>999</v>
      </c>
      <c r="B3390" t="s">
        <v>31</v>
      </c>
      <c r="C3390" t="s">
        <v>32</v>
      </c>
      <c r="D3390" t="s">
        <v>123</v>
      </c>
      <c r="E3390" t="s">
        <v>124</v>
      </c>
      <c r="F3390" t="s">
        <v>933</v>
      </c>
      <c r="G3390" t="s">
        <v>934</v>
      </c>
      <c r="H3390" t="s">
        <v>949</v>
      </c>
      <c r="I3390" t="s">
        <v>950</v>
      </c>
      <c r="J3390" t="s">
        <v>1000</v>
      </c>
      <c r="K3390" t="s">
        <v>1120</v>
      </c>
      <c r="L3390" t="s">
        <v>1604</v>
      </c>
      <c r="M3390" t="s">
        <v>12</v>
      </c>
      <c r="N3390" s="2">
        <v>0</v>
      </c>
      <c r="O3390" s="2">
        <v>2000</v>
      </c>
      <c r="P3390" s="2">
        <v>-2000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</row>
    <row r="3391" spans="1:23" outlineLevel="2" x14ac:dyDescent="0.2">
      <c r="A3391" t="s">
        <v>999</v>
      </c>
      <c r="B3391" t="s">
        <v>31</v>
      </c>
      <c r="C3391" t="s">
        <v>32</v>
      </c>
      <c r="D3391" t="s">
        <v>33</v>
      </c>
      <c r="E3391" t="s">
        <v>34</v>
      </c>
      <c r="F3391" t="s">
        <v>933</v>
      </c>
      <c r="G3391" t="s">
        <v>934</v>
      </c>
      <c r="H3391" t="s">
        <v>949</v>
      </c>
      <c r="I3391" t="s">
        <v>950</v>
      </c>
      <c r="J3391" t="s">
        <v>1000</v>
      </c>
      <c r="K3391" t="s">
        <v>1183</v>
      </c>
      <c r="L3391" t="s">
        <v>1563</v>
      </c>
      <c r="M3391" t="s">
        <v>12</v>
      </c>
      <c r="N3391" s="2">
        <v>0</v>
      </c>
      <c r="O3391" s="2">
        <v>10584</v>
      </c>
      <c r="P3391" s="2">
        <v>0</v>
      </c>
      <c r="Q3391" s="2">
        <v>10584</v>
      </c>
      <c r="R3391" s="2">
        <v>0</v>
      </c>
      <c r="S3391" s="2">
        <v>10584</v>
      </c>
      <c r="T3391" s="2">
        <v>10584</v>
      </c>
      <c r="U3391" s="2">
        <v>0</v>
      </c>
      <c r="V3391" s="2">
        <v>0</v>
      </c>
      <c r="W3391" s="2">
        <v>0</v>
      </c>
    </row>
    <row r="3392" spans="1:23" outlineLevel="2" x14ac:dyDescent="0.2">
      <c r="A3392" t="s">
        <v>999</v>
      </c>
      <c r="B3392" t="s">
        <v>31</v>
      </c>
      <c r="C3392" t="s">
        <v>32</v>
      </c>
      <c r="D3392" t="s">
        <v>123</v>
      </c>
      <c r="E3392" t="s">
        <v>124</v>
      </c>
      <c r="F3392" t="s">
        <v>933</v>
      </c>
      <c r="G3392" t="s">
        <v>934</v>
      </c>
      <c r="H3392" t="s">
        <v>949</v>
      </c>
      <c r="I3392" t="s">
        <v>950</v>
      </c>
      <c r="J3392" t="s">
        <v>1000</v>
      </c>
      <c r="K3392" t="s">
        <v>1183</v>
      </c>
      <c r="L3392" t="s">
        <v>1563</v>
      </c>
      <c r="M3392" t="s">
        <v>12</v>
      </c>
      <c r="N3392" s="2">
        <v>4000</v>
      </c>
      <c r="O3392" s="2">
        <v>100</v>
      </c>
      <c r="P3392" s="2">
        <v>-1000</v>
      </c>
      <c r="Q3392" s="2">
        <v>3100</v>
      </c>
      <c r="R3392" s="2">
        <v>0</v>
      </c>
      <c r="S3392" s="2">
        <v>211.68</v>
      </c>
      <c r="T3392" s="2">
        <v>211.68</v>
      </c>
      <c r="U3392" s="2">
        <v>2888.32</v>
      </c>
      <c r="V3392" s="2">
        <v>2888.32</v>
      </c>
      <c r="W3392" s="2">
        <v>2888.32</v>
      </c>
    </row>
    <row r="3393" spans="1:23" outlineLevel="2" x14ac:dyDescent="0.2">
      <c r="A3393" t="s">
        <v>999</v>
      </c>
      <c r="B3393" t="s">
        <v>31</v>
      </c>
      <c r="C3393" t="s">
        <v>32</v>
      </c>
      <c r="D3393" t="s">
        <v>75</v>
      </c>
      <c r="E3393" t="s">
        <v>76</v>
      </c>
      <c r="F3393" t="s">
        <v>933</v>
      </c>
      <c r="G3393" t="s">
        <v>934</v>
      </c>
      <c r="H3393" t="s">
        <v>963</v>
      </c>
      <c r="I3393" t="s">
        <v>964</v>
      </c>
      <c r="J3393" t="s">
        <v>1000</v>
      </c>
      <c r="K3393" t="s">
        <v>1100</v>
      </c>
      <c r="L3393" t="s">
        <v>1595</v>
      </c>
      <c r="M3393" t="s">
        <v>12</v>
      </c>
      <c r="N3393" s="2">
        <v>0</v>
      </c>
      <c r="O3393" s="2">
        <v>3000</v>
      </c>
      <c r="P3393" s="2">
        <v>0</v>
      </c>
      <c r="Q3393" s="2">
        <v>3000</v>
      </c>
      <c r="R3393" s="2">
        <v>0</v>
      </c>
      <c r="S3393" s="2">
        <v>3000</v>
      </c>
      <c r="T3393" s="2">
        <v>214.93</v>
      </c>
      <c r="U3393" s="2">
        <v>0</v>
      </c>
      <c r="V3393" s="2">
        <v>2785.07</v>
      </c>
      <c r="W3393" s="2">
        <v>0</v>
      </c>
    </row>
    <row r="3394" spans="1:23" outlineLevel="2" x14ac:dyDescent="0.2">
      <c r="A3394" t="s">
        <v>999</v>
      </c>
      <c r="B3394" t="s">
        <v>31</v>
      </c>
      <c r="C3394" t="s">
        <v>32</v>
      </c>
      <c r="D3394" t="s">
        <v>75</v>
      </c>
      <c r="E3394" t="s">
        <v>76</v>
      </c>
      <c r="F3394" t="s">
        <v>933</v>
      </c>
      <c r="G3394" t="s">
        <v>934</v>
      </c>
      <c r="H3394" t="s">
        <v>963</v>
      </c>
      <c r="I3394" t="s">
        <v>964</v>
      </c>
      <c r="J3394" t="s">
        <v>1000</v>
      </c>
      <c r="K3394" t="s">
        <v>1102</v>
      </c>
      <c r="L3394" t="s">
        <v>1596</v>
      </c>
      <c r="M3394" t="s">
        <v>12</v>
      </c>
      <c r="N3394" s="2">
        <v>0</v>
      </c>
      <c r="O3394" s="2">
        <v>25000</v>
      </c>
      <c r="P3394" s="2">
        <v>0</v>
      </c>
      <c r="Q3394" s="2">
        <v>25000</v>
      </c>
      <c r="R3394" s="2">
        <v>0</v>
      </c>
      <c r="S3394" s="2">
        <v>25000</v>
      </c>
      <c r="T3394" s="2">
        <v>3423.28</v>
      </c>
      <c r="U3394" s="2">
        <v>0</v>
      </c>
      <c r="V3394" s="2">
        <v>21576.720000000001</v>
      </c>
      <c r="W3394" s="2">
        <v>0</v>
      </c>
    </row>
    <row r="3395" spans="1:23" outlineLevel="2" x14ac:dyDescent="0.2">
      <c r="A3395" t="s">
        <v>999</v>
      </c>
      <c r="B3395" t="s">
        <v>31</v>
      </c>
      <c r="C3395" t="s">
        <v>32</v>
      </c>
      <c r="D3395" t="s">
        <v>75</v>
      </c>
      <c r="E3395" t="s">
        <v>76</v>
      </c>
      <c r="F3395" t="s">
        <v>933</v>
      </c>
      <c r="G3395" t="s">
        <v>934</v>
      </c>
      <c r="H3395" t="s">
        <v>963</v>
      </c>
      <c r="I3395" t="s">
        <v>964</v>
      </c>
      <c r="J3395" t="s">
        <v>1000</v>
      </c>
      <c r="K3395" t="s">
        <v>1104</v>
      </c>
      <c r="L3395" t="s">
        <v>1580</v>
      </c>
      <c r="M3395" t="s">
        <v>12</v>
      </c>
      <c r="N3395" s="2">
        <v>0</v>
      </c>
      <c r="O3395" s="2">
        <v>22000</v>
      </c>
      <c r="P3395" s="2">
        <v>0</v>
      </c>
      <c r="Q3395" s="2">
        <v>22000</v>
      </c>
      <c r="R3395" s="2">
        <v>0</v>
      </c>
      <c r="S3395" s="2">
        <v>22000</v>
      </c>
      <c r="T3395" s="2">
        <v>0</v>
      </c>
      <c r="U3395" s="2">
        <v>0</v>
      </c>
      <c r="V3395" s="2">
        <v>22000</v>
      </c>
      <c r="W3395" s="2">
        <v>0</v>
      </c>
    </row>
    <row r="3396" spans="1:23" outlineLevel="2" x14ac:dyDescent="0.2">
      <c r="A3396" t="s">
        <v>999</v>
      </c>
      <c r="B3396" t="s">
        <v>31</v>
      </c>
      <c r="C3396" t="s">
        <v>32</v>
      </c>
      <c r="D3396" t="s">
        <v>75</v>
      </c>
      <c r="E3396" t="s">
        <v>76</v>
      </c>
      <c r="F3396" t="s">
        <v>933</v>
      </c>
      <c r="G3396" t="s">
        <v>934</v>
      </c>
      <c r="H3396" t="s">
        <v>963</v>
      </c>
      <c r="I3396" t="s">
        <v>964</v>
      </c>
      <c r="J3396" t="s">
        <v>1000</v>
      </c>
      <c r="K3396" t="s">
        <v>1524</v>
      </c>
      <c r="L3396" t="s">
        <v>1597</v>
      </c>
      <c r="M3396" t="s">
        <v>12</v>
      </c>
      <c r="N3396" s="2">
        <v>6500</v>
      </c>
      <c r="O3396" s="2">
        <v>-6500</v>
      </c>
      <c r="P3396" s="2">
        <v>0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</row>
    <row r="3397" spans="1:23" outlineLevel="2" x14ac:dyDescent="0.2">
      <c r="A3397" t="s">
        <v>999</v>
      </c>
      <c r="B3397" t="s">
        <v>31</v>
      </c>
      <c r="C3397" t="s">
        <v>32</v>
      </c>
      <c r="D3397" t="s">
        <v>75</v>
      </c>
      <c r="E3397" t="s">
        <v>76</v>
      </c>
      <c r="F3397" t="s">
        <v>933</v>
      </c>
      <c r="G3397" t="s">
        <v>934</v>
      </c>
      <c r="H3397" t="s">
        <v>963</v>
      </c>
      <c r="I3397" t="s">
        <v>964</v>
      </c>
      <c r="J3397" t="s">
        <v>1000</v>
      </c>
      <c r="K3397" t="s">
        <v>1037</v>
      </c>
      <c r="L3397" t="s">
        <v>1548</v>
      </c>
      <c r="M3397" t="s">
        <v>12</v>
      </c>
      <c r="N3397" s="2">
        <v>105000</v>
      </c>
      <c r="O3397" s="2">
        <v>-105000</v>
      </c>
      <c r="P3397" s="2">
        <v>0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</row>
    <row r="3398" spans="1:23" outlineLevel="2" x14ac:dyDescent="0.2">
      <c r="A3398" t="s">
        <v>999</v>
      </c>
      <c r="B3398" t="s">
        <v>31</v>
      </c>
      <c r="C3398" t="s">
        <v>32</v>
      </c>
      <c r="D3398" t="s">
        <v>75</v>
      </c>
      <c r="E3398" t="s">
        <v>76</v>
      </c>
      <c r="F3398" t="s">
        <v>933</v>
      </c>
      <c r="G3398" t="s">
        <v>934</v>
      </c>
      <c r="H3398" t="s">
        <v>963</v>
      </c>
      <c r="I3398" t="s">
        <v>964</v>
      </c>
      <c r="J3398" t="s">
        <v>1000</v>
      </c>
      <c r="K3398" t="s">
        <v>1039</v>
      </c>
      <c r="L3398" t="s">
        <v>1598</v>
      </c>
      <c r="M3398" t="s">
        <v>12</v>
      </c>
      <c r="N3398" s="2">
        <v>95000</v>
      </c>
      <c r="O3398" s="2">
        <v>-20000</v>
      </c>
      <c r="P3398" s="2">
        <v>-75000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</row>
    <row r="3399" spans="1:23" outlineLevel="2" x14ac:dyDescent="0.2">
      <c r="A3399" t="s">
        <v>999</v>
      </c>
      <c r="B3399" t="s">
        <v>31</v>
      </c>
      <c r="C3399" t="s">
        <v>32</v>
      </c>
      <c r="D3399" t="s">
        <v>75</v>
      </c>
      <c r="E3399" t="s">
        <v>76</v>
      </c>
      <c r="F3399" t="s">
        <v>933</v>
      </c>
      <c r="G3399" t="s">
        <v>934</v>
      </c>
      <c r="H3399" t="s">
        <v>963</v>
      </c>
      <c r="I3399" t="s">
        <v>964</v>
      </c>
      <c r="J3399" t="s">
        <v>1000</v>
      </c>
      <c r="K3399" t="s">
        <v>1058</v>
      </c>
      <c r="L3399" t="s">
        <v>1605</v>
      </c>
      <c r="M3399" t="s">
        <v>12</v>
      </c>
      <c r="N3399" s="2">
        <v>80000</v>
      </c>
      <c r="O3399" s="2">
        <v>-60000</v>
      </c>
      <c r="P3399" s="2">
        <v>-20000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</row>
    <row r="3400" spans="1:23" outlineLevel="2" x14ac:dyDescent="0.2">
      <c r="A3400" t="s">
        <v>999</v>
      </c>
      <c r="B3400" t="s">
        <v>31</v>
      </c>
      <c r="C3400" t="s">
        <v>32</v>
      </c>
      <c r="D3400" t="s">
        <v>75</v>
      </c>
      <c r="E3400" t="s">
        <v>76</v>
      </c>
      <c r="F3400" t="s">
        <v>933</v>
      </c>
      <c r="G3400" t="s">
        <v>934</v>
      </c>
      <c r="H3400" t="s">
        <v>963</v>
      </c>
      <c r="I3400" t="s">
        <v>964</v>
      </c>
      <c r="J3400" t="s">
        <v>1000</v>
      </c>
      <c r="K3400" t="s">
        <v>1108</v>
      </c>
      <c r="L3400" t="s">
        <v>1599</v>
      </c>
      <c r="M3400" t="s">
        <v>12</v>
      </c>
      <c r="N3400" s="2">
        <v>54000</v>
      </c>
      <c r="O3400" s="2">
        <v>51800</v>
      </c>
      <c r="P3400" s="2">
        <v>-54447.44</v>
      </c>
      <c r="Q3400" s="2">
        <v>51352.56</v>
      </c>
      <c r="R3400" s="2">
        <v>0</v>
      </c>
      <c r="S3400" s="2">
        <v>31352.560000000001</v>
      </c>
      <c r="T3400" s="2">
        <v>23514.42</v>
      </c>
      <c r="U3400" s="2">
        <v>20000</v>
      </c>
      <c r="V3400" s="2">
        <v>27838.14</v>
      </c>
      <c r="W3400" s="2">
        <v>20000</v>
      </c>
    </row>
    <row r="3401" spans="1:23" outlineLevel="2" x14ac:dyDescent="0.2">
      <c r="A3401" t="s">
        <v>999</v>
      </c>
      <c r="B3401" t="s">
        <v>31</v>
      </c>
      <c r="C3401" t="s">
        <v>32</v>
      </c>
      <c r="D3401" t="s">
        <v>75</v>
      </c>
      <c r="E3401" t="s">
        <v>76</v>
      </c>
      <c r="F3401" t="s">
        <v>933</v>
      </c>
      <c r="G3401" t="s">
        <v>934</v>
      </c>
      <c r="H3401" t="s">
        <v>963</v>
      </c>
      <c r="I3401" t="s">
        <v>964</v>
      </c>
      <c r="J3401" t="s">
        <v>1000</v>
      </c>
      <c r="K3401" t="s">
        <v>1088</v>
      </c>
      <c r="L3401" t="s">
        <v>1606</v>
      </c>
      <c r="M3401" t="s">
        <v>12</v>
      </c>
      <c r="N3401" s="2">
        <v>20000</v>
      </c>
      <c r="O3401" s="2">
        <v>50000</v>
      </c>
      <c r="P3401" s="2">
        <v>-70000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</row>
    <row r="3402" spans="1:23" outlineLevel="2" x14ac:dyDescent="0.2">
      <c r="A3402" t="s">
        <v>999</v>
      </c>
      <c r="B3402" t="s">
        <v>31</v>
      </c>
      <c r="C3402" t="s">
        <v>32</v>
      </c>
      <c r="D3402" t="s">
        <v>75</v>
      </c>
      <c r="E3402" t="s">
        <v>76</v>
      </c>
      <c r="F3402" t="s">
        <v>933</v>
      </c>
      <c r="G3402" t="s">
        <v>934</v>
      </c>
      <c r="H3402" t="s">
        <v>963</v>
      </c>
      <c r="I3402" t="s">
        <v>964</v>
      </c>
      <c r="J3402" t="s">
        <v>1000</v>
      </c>
      <c r="K3402" t="s">
        <v>1090</v>
      </c>
      <c r="L3402" t="s">
        <v>1607</v>
      </c>
      <c r="M3402" t="s">
        <v>12</v>
      </c>
      <c r="N3402" s="2">
        <v>115000</v>
      </c>
      <c r="O3402" s="2">
        <v>-15000</v>
      </c>
      <c r="P3402" s="2">
        <v>-100000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</row>
    <row r="3403" spans="1:23" outlineLevel="2" x14ac:dyDescent="0.2">
      <c r="A3403" t="s">
        <v>999</v>
      </c>
      <c r="B3403" t="s">
        <v>31</v>
      </c>
      <c r="C3403" t="s">
        <v>32</v>
      </c>
      <c r="D3403" t="s">
        <v>75</v>
      </c>
      <c r="E3403" t="s">
        <v>76</v>
      </c>
      <c r="F3403" t="s">
        <v>933</v>
      </c>
      <c r="G3403" t="s">
        <v>934</v>
      </c>
      <c r="H3403" t="s">
        <v>963</v>
      </c>
      <c r="I3403" t="s">
        <v>964</v>
      </c>
      <c r="J3403" t="s">
        <v>1000</v>
      </c>
      <c r="K3403" t="s">
        <v>1003</v>
      </c>
      <c r="L3403" t="s">
        <v>1553</v>
      </c>
      <c r="M3403" t="s">
        <v>12</v>
      </c>
      <c r="N3403" s="2">
        <v>0</v>
      </c>
      <c r="O3403" s="2">
        <v>50000</v>
      </c>
      <c r="P3403" s="2">
        <v>0</v>
      </c>
      <c r="Q3403" s="2">
        <v>50000</v>
      </c>
      <c r="R3403" s="2">
        <v>0</v>
      </c>
      <c r="S3403" s="2">
        <v>23816.57</v>
      </c>
      <c r="T3403" s="2">
        <v>15890.81</v>
      </c>
      <c r="U3403" s="2">
        <v>26183.43</v>
      </c>
      <c r="V3403" s="2">
        <v>34109.19</v>
      </c>
      <c r="W3403" s="2">
        <v>26183.43</v>
      </c>
    </row>
    <row r="3404" spans="1:23" outlineLevel="2" x14ac:dyDescent="0.2">
      <c r="A3404" t="s">
        <v>999</v>
      </c>
      <c r="B3404" t="s">
        <v>31</v>
      </c>
      <c r="C3404" t="s">
        <v>32</v>
      </c>
      <c r="D3404" t="s">
        <v>75</v>
      </c>
      <c r="E3404" t="s">
        <v>76</v>
      </c>
      <c r="F3404" t="s">
        <v>933</v>
      </c>
      <c r="G3404" t="s">
        <v>934</v>
      </c>
      <c r="H3404" t="s">
        <v>963</v>
      </c>
      <c r="I3404" t="s">
        <v>964</v>
      </c>
      <c r="J3404" t="s">
        <v>1000</v>
      </c>
      <c r="K3404" t="s">
        <v>1127</v>
      </c>
      <c r="L3404" t="s">
        <v>1608</v>
      </c>
      <c r="M3404" t="s">
        <v>12</v>
      </c>
      <c r="N3404" s="2">
        <v>270000</v>
      </c>
      <c r="O3404" s="2">
        <v>-100000</v>
      </c>
      <c r="P3404" s="2">
        <v>-170000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</row>
    <row r="3405" spans="1:23" outlineLevel="2" x14ac:dyDescent="0.2">
      <c r="A3405" t="s">
        <v>999</v>
      </c>
      <c r="B3405" t="s">
        <v>31</v>
      </c>
      <c r="C3405" t="s">
        <v>32</v>
      </c>
      <c r="D3405" t="s">
        <v>75</v>
      </c>
      <c r="E3405" t="s">
        <v>76</v>
      </c>
      <c r="F3405" t="s">
        <v>933</v>
      </c>
      <c r="G3405" t="s">
        <v>934</v>
      </c>
      <c r="H3405" t="s">
        <v>963</v>
      </c>
      <c r="I3405" t="s">
        <v>964</v>
      </c>
      <c r="J3405" t="s">
        <v>1000</v>
      </c>
      <c r="K3405" t="s">
        <v>1129</v>
      </c>
      <c r="L3405" t="s">
        <v>1609</v>
      </c>
      <c r="M3405" t="s">
        <v>12</v>
      </c>
      <c r="N3405" s="2">
        <v>0</v>
      </c>
      <c r="O3405" s="2">
        <v>1000</v>
      </c>
      <c r="P3405" s="2">
        <v>0</v>
      </c>
      <c r="Q3405" s="2">
        <v>1000</v>
      </c>
      <c r="R3405" s="2">
        <v>0</v>
      </c>
      <c r="S3405" s="2">
        <v>0</v>
      </c>
      <c r="T3405" s="2">
        <v>0</v>
      </c>
      <c r="U3405" s="2">
        <v>1000</v>
      </c>
      <c r="V3405" s="2">
        <v>1000</v>
      </c>
      <c r="W3405" s="2">
        <v>1000</v>
      </c>
    </row>
    <row r="3406" spans="1:23" outlineLevel="2" x14ac:dyDescent="0.2">
      <c r="A3406" t="s">
        <v>999</v>
      </c>
      <c r="B3406" t="s">
        <v>31</v>
      </c>
      <c r="C3406" t="s">
        <v>32</v>
      </c>
      <c r="D3406" t="s">
        <v>75</v>
      </c>
      <c r="E3406" t="s">
        <v>76</v>
      </c>
      <c r="F3406" t="s">
        <v>933</v>
      </c>
      <c r="G3406" t="s">
        <v>934</v>
      </c>
      <c r="H3406" t="s">
        <v>963</v>
      </c>
      <c r="I3406" t="s">
        <v>964</v>
      </c>
      <c r="J3406" t="s">
        <v>1000</v>
      </c>
      <c r="K3406" t="s">
        <v>1267</v>
      </c>
      <c r="L3406" t="s">
        <v>1579</v>
      </c>
      <c r="M3406" t="s">
        <v>12</v>
      </c>
      <c r="N3406" s="2">
        <v>105000</v>
      </c>
      <c r="O3406" s="2">
        <v>-55000</v>
      </c>
      <c r="P3406" s="2">
        <v>-50000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</row>
    <row r="3407" spans="1:23" outlineLevel="2" x14ac:dyDescent="0.2">
      <c r="A3407" t="s">
        <v>999</v>
      </c>
      <c r="B3407" t="s">
        <v>31</v>
      </c>
      <c r="C3407" t="s">
        <v>32</v>
      </c>
      <c r="D3407" t="s">
        <v>75</v>
      </c>
      <c r="E3407" t="s">
        <v>76</v>
      </c>
      <c r="F3407" t="s">
        <v>933</v>
      </c>
      <c r="G3407" t="s">
        <v>934</v>
      </c>
      <c r="H3407" t="s">
        <v>963</v>
      </c>
      <c r="I3407" t="s">
        <v>964</v>
      </c>
      <c r="J3407" t="s">
        <v>1000</v>
      </c>
      <c r="K3407" t="s">
        <v>1078</v>
      </c>
      <c r="L3407" t="s">
        <v>1610</v>
      </c>
      <c r="M3407" t="s">
        <v>12</v>
      </c>
      <c r="N3407" s="2">
        <v>120000</v>
      </c>
      <c r="O3407" s="2">
        <v>-87400</v>
      </c>
      <c r="P3407" s="2">
        <v>-32600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</row>
    <row r="3408" spans="1:23" outlineLevel="2" x14ac:dyDescent="0.2">
      <c r="A3408" t="s">
        <v>999</v>
      </c>
      <c r="B3408" t="s">
        <v>31</v>
      </c>
      <c r="C3408" t="s">
        <v>32</v>
      </c>
      <c r="D3408" t="s">
        <v>75</v>
      </c>
      <c r="E3408" t="s">
        <v>76</v>
      </c>
      <c r="F3408" t="s">
        <v>933</v>
      </c>
      <c r="G3408" t="s">
        <v>934</v>
      </c>
      <c r="H3408" t="s">
        <v>963</v>
      </c>
      <c r="I3408" t="s">
        <v>964</v>
      </c>
      <c r="J3408" t="s">
        <v>1000</v>
      </c>
      <c r="K3408" t="s">
        <v>1019</v>
      </c>
      <c r="L3408" t="s">
        <v>1555</v>
      </c>
      <c r="M3408" t="s">
        <v>12</v>
      </c>
      <c r="N3408" s="2">
        <v>10000</v>
      </c>
      <c r="O3408" s="2">
        <v>8800</v>
      </c>
      <c r="P3408" s="2">
        <v>-18800</v>
      </c>
      <c r="Q3408" s="2">
        <v>0</v>
      </c>
      <c r="R3408" s="2">
        <v>0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</row>
    <row r="3409" spans="1:23" outlineLevel="2" x14ac:dyDescent="0.2">
      <c r="A3409" t="s">
        <v>999</v>
      </c>
      <c r="B3409" t="s">
        <v>31</v>
      </c>
      <c r="C3409" t="s">
        <v>32</v>
      </c>
      <c r="D3409" t="s">
        <v>75</v>
      </c>
      <c r="E3409" t="s">
        <v>76</v>
      </c>
      <c r="F3409" t="s">
        <v>933</v>
      </c>
      <c r="G3409" t="s">
        <v>934</v>
      </c>
      <c r="H3409" t="s">
        <v>963</v>
      </c>
      <c r="I3409" t="s">
        <v>964</v>
      </c>
      <c r="J3409" t="s">
        <v>1000</v>
      </c>
      <c r="K3409" t="s">
        <v>1313</v>
      </c>
      <c r="L3409" t="s">
        <v>1556</v>
      </c>
      <c r="M3409" t="s">
        <v>12</v>
      </c>
      <c r="N3409" s="2">
        <v>1750</v>
      </c>
      <c r="O3409" s="2">
        <v>-858.09</v>
      </c>
      <c r="P3409" s="2">
        <v>0</v>
      </c>
      <c r="Q3409" s="2">
        <v>891.91</v>
      </c>
      <c r="R3409" s="2">
        <v>368.23</v>
      </c>
      <c r="S3409" s="2">
        <v>523.66999999999996</v>
      </c>
      <c r="T3409" s="2">
        <v>0</v>
      </c>
      <c r="U3409" s="2">
        <v>368.24</v>
      </c>
      <c r="V3409" s="2">
        <v>891.91</v>
      </c>
      <c r="W3409" s="2">
        <v>0.01</v>
      </c>
    </row>
    <row r="3410" spans="1:23" outlineLevel="2" x14ac:dyDescent="0.2">
      <c r="A3410" t="s">
        <v>999</v>
      </c>
      <c r="B3410" t="s">
        <v>31</v>
      </c>
      <c r="C3410" t="s">
        <v>32</v>
      </c>
      <c r="D3410" t="s">
        <v>75</v>
      </c>
      <c r="E3410" t="s">
        <v>76</v>
      </c>
      <c r="F3410" t="s">
        <v>933</v>
      </c>
      <c r="G3410" t="s">
        <v>934</v>
      </c>
      <c r="H3410" t="s">
        <v>963</v>
      </c>
      <c r="I3410" t="s">
        <v>964</v>
      </c>
      <c r="J3410" t="s">
        <v>1000</v>
      </c>
      <c r="K3410" t="s">
        <v>1092</v>
      </c>
      <c r="L3410" t="s">
        <v>1588</v>
      </c>
      <c r="M3410" t="s">
        <v>12</v>
      </c>
      <c r="N3410" s="2">
        <v>0</v>
      </c>
      <c r="O3410" s="2">
        <v>3700</v>
      </c>
      <c r="P3410" s="2">
        <v>-3700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</row>
    <row r="3411" spans="1:23" outlineLevel="2" x14ac:dyDescent="0.2">
      <c r="A3411" t="s">
        <v>999</v>
      </c>
      <c r="B3411" t="s">
        <v>31</v>
      </c>
      <c r="C3411" t="s">
        <v>32</v>
      </c>
      <c r="D3411" t="s">
        <v>75</v>
      </c>
      <c r="E3411" t="s">
        <v>76</v>
      </c>
      <c r="F3411" t="s">
        <v>933</v>
      </c>
      <c r="G3411" t="s">
        <v>934</v>
      </c>
      <c r="H3411" t="s">
        <v>963</v>
      </c>
      <c r="I3411" t="s">
        <v>964</v>
      </c>
      <c r="J3411" t="s">
        <v>1000</v>
      </c>
      <c r="K3411" t="s">
        <v>1084</v>
      </c>
      <c r="L3411" t="s">
        <v>1602</v>
      </c>
      <c r="M3411" t="s">
        <v>12</v>
      </c>
      <c r="N3411" s="2">
        <v>90000</v>
      </c>
      <c r="O3411" s="2">
        <v>-60000</v>
      </c>
      <c r="P3411" s="2">
        <v>0</v>
      </c>
      <c r="Q3411" s="2">
        <v>30000</v>
      </c>
      <c r="R3411" s="2">
        <v>6384</v>
      </c>
      <c r="S3411" s="2">
        <v>7840</v>
      </c>
      <c r="T3411" s="2">
        <v>0</v>
      </c>
      <c r="U3411" s="2">
        <v>22160</v>
      </c>
      <c r="V3411" s="2">
        <v>30000</v>
      </c>
      <c r="W3411" s="2">
        <v>15776</v>
      </c>
    </row>
    <row r="3412" spans="1:23" outlineLevel="2" x14ac:dyDescent="0.2">
      <c r="A3412" t="s">
        <v>999</v>
      </c>
      <c r="B3412" t="s">
        <v>31</v>
      </c>
      <c r="C3412" t="s">
        <v>32</v>
      </c>
      <c r="D3412" t="s">
        <v>75</v>
      </c>
      <c r="E3412" t="s">
        <v>76</v>
      </c>
      <c r="F3412" t="s">
        <v>933</v>
      </c>
      <c r="G3412" t="s">
        <v>934</v>
      </c>
      <c r="H3412" t="s">
        <v>963</v>
      </c>
      <c r="I3412" t="s">
        <v>964</v>
      </c>
      <c r="J3412" t="s">
        <v>1000</v>
      </c>
      <c r="K3412" t="s">
        <v>1120</v>
      </c>
      <c r="L3412" t="s">
        <v>1604</v>
      </c>
      <c r="M3412" t="s">
        <v>12</v>
      </c>
      <c r="N3412" s="2">
        <v>750</v>
      </c>
      <c r="O3412" s="2">
        <v>0</v>
      </c>
      <c r="P3412" s="2">
        <v>-750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</row>
    <row r="3413" spans="1:23" outlineLevel="2" x14ac:dyDescent="0.2">
      <c r="A3413" t="s">
        <v>999</v>
      </c>
      <c r="B3413" t="s">
        <v>31</v>
      </c>
      <c r="C3413" t="s">
        <v>32</v>
      </c>
      <c r="D3413" t="s">
        <v>75</v>
      </c>
      <c r="E3413" t="s">
        <v>76</v>
      </c>
      <c r="F3413" t="s">
        <v>933</v>
      </c>
      <c r="G3413" t="s">
        <v>934</v>
      </c>
      <c r="H3413" t="s">
        <v>963</v>
      </c>
      <c r="I3413" t="s">
        <v>964</v>
      </c>
      <c r="J3413" t="s">
        <v>1000</v>
      </c>
      <c r="K3413" t="s">
        <v>1183</v>
      </c>
      <c r="L3413" t="s">
        <v>1563</v>
      </c>
      <c r="M3413" t="s">
        <v>12</v>
      </c>
      <c r="N3413" s="2">
        <v>2000</v>
      </c>
      <c r="O3413" s="2">
        <v>-250</v>
      </c>
      <c r="P3413" s="2">
        <v>0</v>
      </c>
      <c r="Q3413" s="2">
        <v>1750</v>
      </c>
      <c r="R3413" s="2">
        <v>0</v>
      </c>
      <c r="S3413" s="2">
        <v>0</v>
      </c>
      <c r="T3413" s="2">
        <v>0</v>
      </c>
      <c r="U3413" s="2">
        <v>1750</v>
      </c>
      <c r="V3413" s="2">
        <v>1750</v>
      </c>
      <c r="W3413" s="2">
        <v>1750</v>
      </c>
    </row>
    <row r="3414" spans="1:23" outlineLevel="2" x14ac:dyDescent="0.2">
      <c r="A3414" t="s">
        <v>999</v>
      </c>
      <c r="B3414" t="s">
        <v>31</v>
      </c>
      <c r="C3414" t="s">
        <v>32</v>
      </c>
      <c r="D3414" t="s">
        <v>123</v>
      </c>
      <c r="E3414" t="s">
        <v>124</v>
      </c>
      <c r="F3414" t="s">
        <v>933</v>
      </c>
      <c r="G3414" t="s">
        <v>934</v>
      </c>
      <c r="H3414" t="s">
        <v>1611</v>
      </c>
      <c r="I3414" t="s">
        <v>1612</v>
      </c>
      <c r="J3414" t="s">
        <v>1000</v>
      </c>
      <c r="K3414" t="s">
        <v>1039</v>
      </c>
      <c r="L3414" t="s">
        <v>1598</v>
      </c>
      <c r="M3414" t="s">
        <v>12</v>
      </c>
      <c r="N3414" s="2">
        <v>60000</v>
      </c>
      <c r="O3414" s="2">
        <v>0</v>
      </c>
      <c r="P3414" s="2">
        <v>-15000</v>
      </c>
      <c r="Q3414" s="2">
        <v>45000</v>
      </c>
      <c r="R3414" s="2">
        <v>1185.52</v>
      </c>
      <c r="S3414" s="2">
        <v>5927.6</v>
      </c>
      <c r="T3414" s="2">
        <v>5927.6</v>
      </c>
      <c r="U3414" s="2">
        <v>39072.400000000001</v>
      </c>
      <c r="V3414" s="2">
        <v>39072.400000000001</v>
      </c>
      <c r="W3414" s="2">
        <v>37886.879999999997</v>
      </c>
    </row>
    <row r="3415" spans="1:23" outlineLevel="2" x14ac:dyDescent="0.2">
      <c r="A3415" t="s">
        <v>999</v>
      </c>
      <c r="B3415" t="s">
        <v>31</v>
      </c>
      <c r="C3415" t="s">
        <v>32</v>
      </c>
      <c r="D3415" t="s">
        <v>123</v>
      </c>
      <c r="E3415" t="s">
        <v>124</v>
      </c>
      <c r="F3415" t="s">
        <v>933</v>
      </c>
      <c r="G3415" t="s">
        <v>934</v>
      </c>
      <c r="H3415" t="s">
        <v>1611</v>
      </c>
      <c r="I3415" t="s">
        <v>1612</v>
      </c>
      <c r="J3415" t="s">
        <v>1000</v>
      </c>
      <c r="K3415" t="s">
        <v>1068</v>
      </c>
      <c r="L3415" t="s">
        <v>1600</v>
      </c>
      <c r="M3415" t="s">
        <v>12</v>
      </c>
      <c r="N3415" s="2">
        <v>18000</v>
      </c>
      <c r="O3415" s="2">
        <v>0</v>
      </c>
      <c r="P3415" s="2">
        <v>0</v>
      </c>
      <c r="Q3415" s="2">
        <v>18000</v>
      </c>
      <c r="R3415" s="2">
        <v>0</v>
      </c>
      <c r="S3415" s="2">
        <v>0</v>
      </c>
      <c r="T3415" s="2">
        <v>0</v>
      </c>
      <c r="U3415" s="2">
        <v>18000</v>
      </c>
      <c r="V3415" s="2">
        <v>18000</v>
      </c>
      <c r="W3415" s="2">
        <v>18000</v>
      </c>
    </row>
    <row r="3416" spans="1:23" outlineLevel="2" x14ac:dyDescent="0.2">
      <c r="A3416" t="s">
        <v>999</v>
      </c>
      <c r="B3416" t="s">
        <v>31</v>
      </c>
      <c r="C3416" t="s">
        <v>32</v>
      </c>
      <c r="D3416" t="s">
        <v>123</v>
      </c>
      <c r="E3416" t="s">
        <v>124</v>
      </c>
      <c r="F3416" t="s">
        <v>933</v>
      </c>
      <c r="G3416" t="s">
        <v>934</v>
      </c>
      <c r="H3416" t="s">
        <v>1611</v>
      </c>
      <c r="I3416" t="s">
        <v>1612</v>
      </c>
      <c r="J3416" t="s">
        <v>1000</v>
      </c>
      <c r="K3416" t="s">
        <v>1084</v>
      </c>
      <c r="L3416" t="s">
        <v>1602</v>
      </c>
      <c r="M3416" t="s">
        <v>12</v>
      </c>
      <c r="N3416" s="2">
        <v>2000</v>
      </c>
      <c r="O3416" s="2">
        <v>0</v>
      </c>
      <c r="P3416" s="2">
        <v>0</v>
      </c>
      <c r="Q3416" s="2">
        <v>2000</v>
      </c>
      <c r="R3416" s="2">
        <v>0</v>
      </c>
      <c r="S3416" s="2">
        <v>0</v>
      </c>
      <c r="T3416" s="2">
        <v>0</v>
      </c>
      <c r="U3416" s="2">
        <v>2000</v>
      </c>
      <c r="V3416" s="2">
        <v>2000</v>
      </c>
      <c r="W3416" s="2">
        <v>2000</v>
      </c>
    </row>
    <row r="3417" spans="1:23" outlineLevel="2" x14ac:dyDescent="0.2">
      <c r="A3417" t="s">
        <v>999</v>
      </c>
      <c r="B3417" t="s">
        <v>31</v>
      </c>
      <c r="C3417" t="s">
        <v>32</v>
      </c>
      <c r="D3417" t="s">
        <v>123</v>
      </c>
      <c r="E3417" t="s">
        <v>124</v>
      </c>
      <c r="F3417" t="s">
        <v>933</v>
      </c>
      <c r="G3417" t="s">
        <v>934</v>
      </c>
      <c r="H3417" t="s">
        <v>965</v>
      </c>
      <c r="I3417" t="s">
        <v>966</v>
      </c>
      <c r="J3417" t="s">
        <v>1000</v>
      </c>
      <c r="K3417" t="s">
        <v>1104</v>
      </c>
      <c r="L3417" t="s">
        <v>1580</v>
      </c>
      <c r="M3417" t="s">
        <v>12</v>
      </c>
      <c r="N3417" s="2">
        <v>12000</v>
      </c>
      <c r="O3417" s="2">
        <v>-7000</v>
      </c>
      <c r="P3417" s="2">
        <v>-3000</v>
      </c>
      <c r="Q3417" s="2">
        <v>2000</v>
      </c>
      <c r="R3417" s="2">
        <v>0</v>
      </c>
      <c r="S3417" s="2">
        <v>0</v>
      </c>
      <c r="T3417" s="2">
        <v>0</v>
      </c>
      <c r="U3417" s="2">
        <v>2000</v>
      </c>
      <c r="V3417" s="2">
        <v>2000</v>
      </c>
      <c r="W3417" s="2">
        <v>2000</v>
      </c>
    </row>
    <row r="3418" spans="1:23" outlineLevel="2" x14ac:dyDescent="0.2">
      <c r="A3418" t="s">
        <v>999</v>
      </c>
      <c r="B3418" t="s">
        <v>31</v>
      </c>
      <c r="C3418" t="s">
        <v>32</v>
      </c>
      <c r="D3418" t="s">
        <v>123</v>
      </c>
      <c r="E3418" t="s">
        <v>124</v>
      </c>
      <c r="F3418" t="s">
        <v>933</v>
      </c>
      <c r="G3418" t="s">
        <v>934</v>
      </c>
      <c r="H3418" t="s">
        <v>965</v>
      </c>
      <c r="I3418" t="s">
        <v>966</v>
      </c>
      <c r="J3418" t="s">
        <v>1000</v>
      </c>
      <c r="K3418" t="s">
        <v>1298</v>
      </c>
      <c r="L3418" t="s">
        <v>1547</v>
      </c>
      <c r="M3418" t="s">
        <v>12</v>
      </c>
      <c r="N3418" s="2">
        <v>36000</v>
      </c>
      <c r="O3418" s="2">
        <v>0</v>
      </c>
      <c r="P3418" s="2">
        <v>-36000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</row>
    <row r="3419" spans="1:23" outlineLevel="2" x14ac:dyDescent="0.2">
      <c r="A3419" t="s">
        <v>999</v>
      </c>
      <c r="B3419" t="s">
        <v>31</v>
      </c>
      <c r="C3419" t="s">
        <v>32</v>
      </c>
      <c r="D3419" t="s">
        <v>123</v>
      </c>
      <c r="E3419" t="s">
        <v>124</v>
      </c>
      <c r="F3419" t="s">
        <v>933</v>
      </c>
      <c r="G3419" t="s">
        <v>934</v>
      </c>
      <c r="H3419" t="s">
        <v>965</v>
      </c>
      <c r="I3419" t="s">
        <v>966</v>
      </c>
      <c r="J3419" t="s">
        <v>1000</v>
      </c>
      <c r="K3419" t="s">
        <v>1037</v>
      </c>
      <c r="L3419" t="s">
        <v>1548</v>
      </c>
      <c r="M3419" t="s">
        <v>12</v>
      </c>
      <c r="N3419" s="2">
        <v>27170</v>
      </c>
      <c r="O3419" s="2">
        <v>-17930</v>
      </c>
      <c r="P3419" s="2">
        <v>-7000</v>
      </c>
      <c r="Q3419" s="2">
        <v>2240</v>
      </c>
      <c r="R3419" s="2">
        <v>0</v>
      </c>
      <c r="S3419" s="2">
        <v>0</v>
      </c>
      <c r="T3419" s="2">
        <v>0</v>
      </c>
      <c r="U3419" s="2">
        <v>2240</v>
      </c>
      <c r="V3419" s="2">
        <v>2240</v>
      </c>
      <c r="W3419" s="2">
        <v>2240</v>
      </c>
    </row>
    <row r="3420" spans="1:23" outlineLevel="2" x14ac:dyDescent="0.2">
      <c r="A3420" t="s">
        <v>999</v>
      </c>
      <c r="B3420" t="s">
        <v>31</v>
      </c>
      <c r="C3420" t="s">
        <v>32</v>
      </c>
      <c r="D3420" t="s">
        <v>123</v>
      </c>
      <c r="E3420" t="s">
        <v>124</v>
      </c>
      <c r="F3420" t="s">
        <v>933</v>
      </c>
      <c r="G3420" t="s">
        <v>934</v>
      </c>
      <c r="H3420" t="s">
        <v>965</v>
      </c>
      <c r="I3420" t="s">
        <v>966</v>
      </c>
      <c r="J3420" t="s">
        <v>1000</v>
      </c>
      <c r="K3420" t="s">
        <v>1039</v>
      </c>
      <c r="L3420" t="s">
        <v>1598</v>
      </c>
      <c r="M3420" t="s">
        <v>12</v>
      </c>
      <c r="N3420" s="2">
        <v>31150</v>
      </c>
      <c r="O3420" s="2">
        <v>-25150</v>
      </c>
      <c r="P3420" s="2">
        <v>-6000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</row>
    <row r="3421" spans="1:23" outlineLevel="2" x14ac:dyDescent="0.2">
      <c r="A3421" t="s">
        <v>999</v>
      </c>
      <c r="B3421" t="s">
        <v>31</v>
      </c>
      <c r="C3421" t="s">
        <v>32</v>
      </c>
      <c r="D3421" t="s">
        <v>123</v>
      </c>
      <c r="E3421" t="s">
        <v>124</v>
      </c>
      <c r="F3421" t="s">
        <v>933</v>
      </c>
      <c r="G3421" t="s">
        <v>934</v>
      </c>
      <c r="H3421" t="s">
        <v>965</v>
      </c>
      <c r="I3421" t="s">
        <v>966</v>
      </c>
      <c r="J3421" t="s">
        <v>1000</v>
      </c>
      <c r="K3421" t="s">
        <v>1058</v>
      </c>
      <c r="L3421" t="s">
        <v>1605</v>
      </c>
      <c r="M3421" t="s">
        <v>12</v>
      </c>
      <c r="N3421" s="2">
        <v>20000</v>
      </c>
      <c r="O3421" s="2">
        <v>-20000</v>
      </c>
      <c r="P3421" s="2">
        <v>0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</row>
    <row r="3422" spans="1:23" outlineLevel="2" x14ac:dyDescent="0.2">
      <c r="A3422" t="s">
        <v>999</v>
      </c>
      <c r="B3422" t="s">
        <v>31</v>
      </c>
      <c r="C3422" t="s">
        <v>32</v>
      </c>
      <c r="D3422" t="s">
        <v>123</v>
      </c>
      <c r="E3422" t="s">
        <v>124</v>
      </c>
      <c r="F3422" t="s">
        <v>933</v>
      </c>
      <c r="G3422" t="s">
        <v>934</v>
      </c>
      <c r="H3422" t="s">
        <v>965</v>
      </c>
      <c r="I3422" t="s">
        <v>966</v>
      </c>
      <c r="J3422" t="s">
        <v>1000</v>
      </c>
      <c r="K3422" t="s">
        <v>1009</v>
      </c>
      <c r="L3422" t="s">
        <v>1568</v>
      </c>
      <c r="M3422" t="s">
        <v>12</v>
      </c>
      <c r="N3422" s="2">
        <v>6840</v>
      </c>
      <c r="O3422" s="2">
        <v>-6840</v>
      </c>
      <c r="P3422" s="2">
        <v>0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</row>
    <row r="3423" spans="1:23" outlineLevel="2" x14ac:dyDescent="0.2">
      <c r="A3423" t="s">
        <v>999</v>
      </c>
      <c r="B3423" t="s">
        <v>31</v>
      </c>
      <c r="C3423" t="s">
        <v>32</v>
      </c>
      <c r="D3423" t="s">
        <v>123</v>
      </c>
      <c r="E3423" t="s">
        <v>124</v>
      </c>
      <c r="F3423" t="s">
        <v>933</v>
      </c>
      <c r="G3423" t="s">
        <v>934</v>
      </c>
      <c r="H3423" t="s">
        <v>965</v>
      </c>
      <c r="I3423" t="s">
        <v>966</v>
      </c>
      <c r="J3423" t="s">
        <v>1000</v>
      </c>
      <c r="K3423" t="s">
        <v>1376</v>
      </c>
      <c r="L3423" t="s">
        <v>1584</v>
      </c>
      <c r="M3423" t="s">
        <v>12</v>
      </c>
      <c r="N3423" s="2">
        <v>4800</v>
      </c>
      <c r="O3423" s="2">
        <v>-3200</v>
      </c>
      <c r="P3423" s="2">
        <v>0</v>
      </c>
      <c r="Q3423" s="2">
        <v>1600</v>
      </c>
      <c r="R3423" s="2">
        <v>0</v>
      </c>
      <c r="S3423" s="2">
        <v>0</v>
      </c>
      <c r="T3423" s="2">
        <v>0</v>
      </c>
      <c r="U3423" s="2">
        <v>1600</v>
      </c>
      <c r="V3423" s="2">
        <v>1600</v>
      </c>
      <c r="W3423" s="2">
        <v>1600</v>
      </c>
    </row>
    <row r="3424" spans="1:23" outlineLevel="2" x14ac:dyDescent="0.2">
      <c r="A3424" t="s">
        <v>999</v>
      </c>
      <c r="B3424" t="s">
        <v>31</v>
      </c>
      <c r="C3424" t="s">
        <v>32</v>
      </c>
      <c r="D3424" t="s">
        <v>123</v>
      </c>
      <c r="E3424" t="s">
        <v>124</v>
      </c>
      <c r="F3424" t="s">
        <v>933</v>
      </c>
      <c r="G3424" t="s">
        <v>934</v>
      </c>
      <c r="H3424" t="s">
        <v>965</v>
      </c>
      <c r="I3424" t="s">
        <v>966</v>
      </c>
      <c r="J3424" t="s">
        <v>1000</v>
      </c>
      <c r="K3424" t="s">
        <v>1017</v>
      </c>
      <c r="L3424" t="s">
        <v>1571</v>
      </c>
      <c r="M3424" t="s">
        <v>12</v>
      </c>
      <c r="N3424" s="2">
        <v>861358.82</v>
      </c>
      <c r="O3424" s="2">
        <v>-861358.82</v>
      </c>
      <c r="P3424" s="2">
        <v>0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</row>
    <row r="3425" spans="1:23" outlineLevel="2" x14ac:dyDescent="0.2">
      <c r="A3425" t="s">
        <v>999</v>
      </c>
      <c r="B3425" t="s">
        <v>31</v>
      </c>
      <c r="C3425" t="s">
        <v>32</v>
      </c>
      <c r="D3425" t="s">
        <v>141</v>
      </c>
      <c r="E3425" t="s">
        <v>142</v>
      </c>
      <c r="F3425" t="s">
        <v>933</v>
      </c>
      <c r="G3425" t="s">
        <v>934</v>
      </c>
      <c r="H3425" t="s">
        <v>965</v>
      </c>
      <c r="I3425" t="s">
        <v>966</v>
      </c>
      <c r="J3425" t="s">
        <v>1000</v>
      </c>
      <c r="K3425" t="s">
        <v>1017</v>
      </c>
      <c r="L3425" t="s">
        <v>1571</v>
      </c>
      <c r="M3425" t="s">
        <v>12</v>
      </c>
      <c r="N3425" s="2">
        <v>251272.44</v>
      </c>
      <c r="O3425" s="2">
        <v>-251272.44</v>
      </c>
      <c r="P3425" s="2">
        <v>0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</row>
    <row r="3426" spans="1:23" outlineLevel="2" x14ac:dyDescent="0.2">
      <c r="A3426" t="s">
        <v>999</v>
      </c>
      <c r="B3426" t="s">
        <v>31</v>
      </c>
      <c r="C3426" t="s">
        <v>32</v>
      </c>
      <c r="D3426" t="s">
        <v>123</v>
      </c>
      <c r="E3426" t="s">
        <v>124</v>
      </c>
      <c r="F3426" t="s">
        <v>933</v>
      </c>
      <c r="G3426" t="s">
        <v>934</v>
      </c>
      <c r="H3426" t="s">
        <v>965</v>
      </c>
      <c r="I3426" t="s">
        <v>966</v>
      </c>
      <c r="J3426" t="s">
        <v>1000</v>
      </c>
      <c r="K3426" t="s">
        <v>1029</v>
      </c>
      <c r="L3426" t="s">
        <v>1586</v>
      </c>
      <c r="M3426" t="s">
        <v>12</v>
      </c>
      <c r="N3426" s="2">
        <v>55000</v>
      </c>
      <c r="O3426" s="2">
        <v>-55000</v>
      </c>
      <c r="P3426" s="2">
        <v>0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</row>
    <row r="3427" spans="1:23" outlineLevel="2" x14ac:dyDescent="0.2">
      <c r="A3427" t="s">
        <v>999</v>
      </c>
      <c r="B3427" t="s">
        <v>31</v>
      </c>
      <c r="C3427" t="s">
        <v>32</v>
      </c>
      <c r="D3427" t="s">
        <v>123</v>
      </c>
      <c r="E3427" t="s">
        <v>124</v>
      </c>
      <c r="F3427" t="s">
        <v>933</v>
      </c>
      <c r="G3427" t="s">
        <v>934</v>
      </c>
      <c r="H3427" t="s">
        <v>965</v>
      </c>
      <c r="I3427" t="s">
        <v>966</v>
      </c>
      <c r="J3427" t="s">
        <v>1000</v>
      </c>
      <c r="K3427" t="s">
        <v>1116</v>
      </c>
      <c r="L3427" t="s">
        <v>1587</v>
      </c>
      <c r="M3427" t="s">
        <v>12</v>
      </c>
      <c r="N3427" s="2">
        <v>18152</v>
      </c>
      <c r="O3427" s="2">
        <v>-7650</v>
      </c>
      <c r="P3427" s="2">
        <v>-3452</v>
      </c>
      <c r="Q3427" s="2">
        <v>7050</v>
      </c>
      <c r="R3427" s="2">
        <v>0</v>
      </c>
      <c r="S3427" s="2">
        <v>3691.52</v>
      </c>
      <c r="T3427" s="2">
        <v>0</v>
      </c>
      <c r="U3427" s="2">
        <v>3358.48</v>
      </c>
      <c r="V3427" s="2">
        <v>7050</v>
      </c>
      <c r="W3427" s="2">
        <v>3358.48</v>
      </c>
    </row>
    <row r="3428" spans="1:23" outlineLevel="2" x14ac:dyDescent="0.2">
      <c r="A3428" t="s">
        <v>999</v>
      </c>
      <c r="B3428" t="s">
        <v>31</v>
      </c>
      <c r="C3428" t="s">
        <v>32</v>
      </c>
      <c r="D3428" t="s">
        <v>123</v>
      </c>
      <c r="E3428" t="s">
        <v>124</v>
      </c>
      <c r="F3428" t="s">
        <v>933</v>
      </c>
      <c r="G3428" t="s">
        <v>934</v>
      </c>
      <c r="H3428" t="s">
        <v>965</v>
      </c>
      <c r="I3428" t="s">
        <v>966</v>
      </c>
      <c r="J3428" t="s">
        <v>1000</v>
      </c>
      <c r="K3428" t="s">
        <v>1061</v>
      </c>
      <c r="L3428" t="s">
        <v>1554</v>
      </c>
      <c r="M3428" t="s">
        <v>12</v>
      </c>
      <c r="N3428" s="2">
        <v>16800</v>
      </c>
      <c r="O3428" s="2">
        <v>0</v>
      </c>
      <c r="P3428" s="2">
        <v>-16800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</row>
    <row r="3429" spans="1:23" outlineLevel="2" x14ac:dyDescent="0.2">
      <c r="A3429" t="s">
        <v>999</v>
      </c>
      <c r="B3429" t="s">
        <v>31</v>
      </c>
      <c r="C3429" t="s">
        <v>32</v>
      </c>
      <c r="D3429" t="s">
        <v>123</v>
      </c>
      <c r="E3429" t="s">
        <v>124</v>
      </c>
      <c r="F3429" t="s">
        <v>933</v>
      </c>
      <c r="G3429" t="s">
        <v>934</v>
      </c>
      <c r="H3429" t="s">
        <v>965</v>
      </c>
      <c r="I3429" t="s">
        <v>966</v>
      </c>
      <c r="J3429" t="s">
        <v>1000</v>
      </c>
      <c r="K3429" t="s">
        <v>1381</v>
      </c>
      <c r="L3429" t="s">
        <v>1613</v>
      </c>
      <c r="M3429" t="s">
        <v>12</v>
      </c>
      <c r="N3429" s="2">
        <v>5750</v>
      </c>
      <c r="O3429" s="2">
        <v>-2000</v>
      </c>
      <c r="P3429" s="2">
        <v>-2750</v>
      </c>
      <c r="Q3429" s="2">
        <v>1000</v>
      </c>
      <c r="R3429" s="2">
        <v>0</v>
      </c>
      <c r="S3429" s="2">
        <v>139.07</v>
      </c>
      <c r="T3429" s="2">
        <v>0</v>
      </c>
      <c r="U3429" s="2">
        <v>860.93</v>
      </c>
      <c r="V3429" s="2">
        <v>1000</v>
      </c>
      <c r="W3429" s="2">
        <v>860.93</v>
      </c>
    </row>
    <row r="3430" spans="1:23" outlineLevel="2" x14ac:dyDescent="0.2">
      <c r="A3430" t="s">
        <v>999</v>
      </c>
      <c r="B3430" t="s">
        <v>31</v>
      </c>
      <c r="C3430" t="s">
        <v>32</v>
      </c>
      <c r="D3430" t="s">
        <v>123</v>
      </c>
      <c r="E3430" t="s">
        <v>124</v>
      </c>
      <c r="F3430" t="s">
        <v>933</v>
      </c>
      <c r="G3430" t="s">
        <v>934</v>
      </c>
      <c r="H3430" t="s">
        <v>965</v>
      </c>
      <c r="I3430" t="s">
        <v>966</v>
      </c>
      <c r="J3430" t="s">
        <v>1000</v>
      </c>
      <c r="K3430" t="s">
        <v>1019</v>
      </c>
      <c r="L3430" t="s">
        <v>1555</v>
      </c>
      <c r="M3430" t="s">
        <v>12</v>
      </c>
      <c r="N3430" s="2">
        <v>3000</v>
      </c>
      <c r="O3430" s="2">
        <v>-2000</v>
      </c>
      <c r="P3430" s="2">
        <v>-1000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</row>
    <row r="3431" spans="1:23" outlineLevel="2" x14ac:dyDescent="0.2">
      <c r="A3431" t="s">
        <v>999</v>
      </c>
      <c r="B3431" t="s">
        <v>31</v>
      </c>
      <c r="C3431" t="s">
        <v>32</v>
      </c>
      <c r="D3431" t="s">
        <v>123</v>
      </c>
      <c r="E3431" t="s">
        <v>124</v>
      </c>
      <c r="F3431" t="s">
        <v>933</v>
      </c>
      <c r="G3431" t="s">
        <v>934</v>
      </c>
      <c r="H3431" t="s">
        <v>965</v>
      </c>
      <c r="I3431" t="s">
        <v>966</v>
      </c>
      <c r="J3431" t="s">
        <v>1000</v>
      </c>
      <c r="K3431" t="s">
        <v>1313</v>
      </c>
      <c r="L3431" t="s">
        <v>1556</v>
      </c>
      <c r="M3431" t="s">
        <v>12</v>
      </c>
      <c r="N3431" s="2">
        <v>7000</v>
      </c>
      <c r="O3431" s="2">
        <v>0</v>
      </c>
      <c r="P3431" s="2">
        <v>-7000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</row>
    <row r="3432" spans="1:23" outlineLevel="2" x14ac:dyDescent="0.2">
      <c r="A3432" t="s">
        <v>999</v>
      </c>
      <c r="B3432" t="s">
        <v>31</v>
      </c>
      <c r="C3432" t="s">
        <v>32</v>
      </c>
      <c r="D3432" t="s">
        <v>123</v>
      </c>
      <c r="E3432" t="s">
        <v>124</v>
      </c>
      <c r="F3432" t="s">
        <v>933</v>
      </c>
      <c r="G3432" t="s">
        <v>934</v>
      </c>
      <c r="H3432" t="s">
        <v>965</v>
      </c>
      <c r="I3432" t="s">
        <v>966</v>
      </c>
      <c r="J3432" t="s">
        <v>1000</v>
      </c>
      <c r="K3432" t="s">
        <v>1390</v>
      </c>
      <c r="L3432" t="s">
        <v>1557</v>
      </c>
      <c r="M3432" t="s">
        <v>12</v>
      </c>
      <c r="N3432" s="2">
        <v>67631</v>
      </c>
      <c r="O3432" s="2">
        <v>0</v>
      </c>
      <c r="P3432" s="2">
        <v>-1085.08</v>
      </c>
      <c r="Q3432" s="2">
        <v>66545.919999999998</v>
      </c>
      <c r="R3432" s="2">
        <v>0</v>
      </c>
      <c r="S3432" s="2">
        <v>0</v>
      </c>
      <c r="T3432" s="2">
        <v>0</v>
      </c>
      <c r="U3432" s="2">
        <v>66545.919999999998</v>
      </c>
      <c r="V3432" s="2">
        <v>66545.919999999998</v>
      </c>
      <c r="W3432" s="2">
        <v>66545.919999999998</v>
      </c>
    </row>
    <row r="3433" spans="1:23" outlineLevel="2" x14ac:dyDescent="0.2">
      <c r="A3433" t="s">
        <v>999</v>
      </c>
      <c r="B3433" t="s">
        <v>31</v>
      </c>
      <c r="C3433" t="s">
        <v>32</v>
      </c>
      <c r="D3433" t="s">
        <v>123</v>
      </c>
      <c r="E3433" t="s">
        <v>124</v>
      </c>
      <c r="F3433" t="s">
        <v>933</v>
      </c>
      <c r="G3433" t="s">
        <v>934</v>
      </c>
      <c r="H3433" t="s">
        <v>965</v>
      </c>
      <c r="I3433" t="s">
        <v>966</v>
      </c>
      <c r="J3433" t="s">
        <v>1000</v>
      </c>
      <c r="K3433" t="s">
        <v>1343</v>
      </c>
      <c r="L3433" t="s">
        <v>1562</v>
      </c>
      <c r="M3433" t="s">
        <v>12</v>
      </c>
      <c r="N3433" s="2">
        <v>39815.5</v>
      </c>
      <c r="O3433" s="2">
        <v>0</v>
      </c>
      <c r="P3433" s="2">
        <v>-23871.5</v>
      </c>
      <c r="Q3433" s="2">
        <v>15944</v>
      </c>
      <c r="R3433" s="2">
        <v>0</v>
      </c>
      <c r="S3433" s="2">
        <v>1050</v>
      </c>
      <c r="T3433" s="2">
        <v>0</v>
      </c>
      <c r="U3433" s="2">
        <v>14894</v>
      </c>
      <c r="V3433" s="2">
        <v>15944</v>
      </c>
      <c r="W3433" s="2">
        <v>14894</v>
      </c>
    </row>
    <row r="3434" spans="1:23" outlineLevel="2" x14ac:dyDescent="0.2">
      <c r="A3434" t="s">
        <v>999</v>
      </c>
      <c r="B3434" t="s">
        <v>31</v>
      </c>
      <c r="C3434" t="s">
        <v>32</v>
      </c>
      <c r="D3434" t="s">
        <v>123</v>
      </c>
      <c r="E3434" t="s">
        <v>124</v>
      </c>
      <c r="F3434" t="s">
        <v>933</v>
      </c>
      <c r="G3434" t="s">
        <v>934</v>
      </c>
      <c r="H3434" t="s">
        <v>965</v>
      </c>
      <c r="I3434" t="s">
        <v>966</v>
      </c>
      <c r="J3434" t="s">
        <v>1000</v>
      </c>
      <c r="K3434" t="s">
        <v>1123</v>
      </c>
      <c r="L3434" t="s">
        <v>1614</v>
      </c>
      <c r="M3434" t="s">
        <v>12</v>
      </c>
      <c r="N3434" s="2">
        <v>4500</v>
      </c>
      <c r="O3434" s="2">
        <v>-4500</v>
      </c>
      <c r="P3434" s="2">
        <v>0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</row>
    <row r="3435" spans="1:23" outlineLevel="2" x14ac:dyDescent="0.2">
      <c r="A3435" t="s">
        <v>999</v>
      </c>
      <c r="B3435" t="s">
        <v>31</v>
      </c>
      <c r="C3435" t="s">
        <v>32</v>
      </c>
      <c r="D3435" t="s">
        <v>33</v>
      </c>
      <c r="E3435" t="s">
        <v>34</v>
      </c>
      <c r="F3435" t="s">
        <v>933</v>
      </c>
      <c r="G3435" t="s">
        <v>934</v>
      </c>
      <c r="H3435" t="s">
        <v>1615</v>
      </c>
      <c r="I3435" t="s">
        <v>1616</v>
      </c>
      <c r="J3435" t="s">
        <v>1000</v>
      </c>
      <c r="K3435" t="s">
        <v>1003</v>
      </c>
      <c r="L3435" t="s">
        <v>1553</v>
      </c>
      <c r="M3435" t="s">
        <v>12</v>
      </c>
      <c r="N3435" s="2">
        <v>0</v>
      </c>
      <c r="O3435" s="2">
        <v>400000</v>
      </c>
      <c r="P3435" s="2">
        <v>0</v>
      </c>
      <c r="Q3435" s="2">
        <v>400000</v>
      </c>
      <c r="R3435" s="2">
        <v>0</v>
      </c>
      <c r="S3435" s="2">
        <v>0</v>
      </c>
      <c r="T3435" s="2">
        <v>0</v>
      </c>
      <c r="U3435" s="2">
        <v>400000</v>
      </c>
      <c r="V3435" s="2">
        <v>400000</v>
      </c>
      <c r="W3435" s="2">
        <v>400000</v>
      </c>
    </row>
    <row r="3436" spans="1:23" outlineLevel="2" x14ac:dyDescent="0.2">
      <c r="A3436" t="s">
        <v>999</v>
      </c>
      <c r="B3436" t="s">
        <v>31</v>
      </c>
      <c r="C3436" t="s">
        <v>32</v>
      </c>
      <c r="D3436" t="s">
        <v>33</v>
      </c>
      <c r="E3436" t="s">
        <v>34</v>
      </c>
      <c r="F3436" t="s">
        <v>933</v>
      </c>
      <c r="G3436" t="s">
        <v>934</v>
      </c>
      <c r="H3436" t="s">
        <v>1615</v>
      </c>
      <c r="I3436" t="s">
        <v>1616</v>
      </c>
      <c r="J3436" t="s">
        <v>1000</v>
      </c>
      <c r="K3436" t="s">
        <v>1015</v>
      </c>
      <c r="L3436" t="s">
        <v>1617</v>
      </c>
      <c r="M3436" t="s">
        <v>12</v>
      </c>
      <c r="N3436" s="2">
        <v>2000000</v>
      </c>
      <c r="O3436" s="2">
        <v>-2000000</v>
      </c>
      <c r="P3436" s="2">
        <v>0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</row>
    <row r="3437" spans="1:23" outlineLevel="2" x14ac:dyDescent="0.2">
      <c r="A3437" t="s">
        <v>999</v>
      </c>
      <c r="B3437" t="s">
        <v>39</v>
      </c>
      <c r="C3437" t="s">
        <v>70</v>
      </c>
      <c r="D3437" t="s">
        <v>89</v>
      </c>
      <c r="E3437" t="s">
        <v>90</v>
      </c>
      <c r="F3437" t="s">
        <v>1618</v>
      </c>
      <c r="G3437" t="s">
        <v>1619</v>
      </c>
      <c r="H3437" t="s">
        <v>1620</v>
      </c>
      <c r="I3437" t="s">
        <v>1621</v>
      </c>
      <c r="J3437" t="s">
        <v>1000</v>
      </c>
      <c r="K3437" t="s">
        <v>1013</v>
      </c>
      <c r="L3437" t="s">
        <v>1622</v>
      </c>
      <c r="M3437" t="s">
        <v>12</v>
      </c>
      <c r="N3437" s="2">
        <v>67500</v>
      </c>
      <c r="O3437" s="2">
        <v>0</v>
      </c>
      <c r="P3437" s="2">
        <v>-67500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</row>
    <row r="3438" spans="1:23" outlineLevel="2" x14ac:dyDescent="0.2">
      <c r="A3438" t="s">
        <v>999</v>
      </c>
      <c r="B3438" t="s">
        <v>39</v>
      </c>
      <c r="C3438" t="s">
        <v>70</v>
      </c>
      <c r="D3438" t="s">
        <v>89</v>
      </c>
      <c r="E3438" t="s">
        <v>90</v>
      </c>
      <c r="F3438" t="s">
        <v>1618</v>
      </c>
      <c r="G3438" t="s">
        <v>1619</v>
      </c>
      <c r="H3438" t="s">
        <v>1620</v>
      </c>
      <c r="I3438" t="s">
        <v>1621</v>
      </c>
      <c r="J3438" t="s">
        <v>1000</v>
      </c>
      <c r="K3438" t="s">
        <v>1267</v>
      </c>
      <c r="L3438" t="s">
        <v>1623</v>
      </c>
      <c r="M3438" t="s">
        <v>12</v>
      </c>
      <c r="N3438" s="2">
        <v>100000</v>
      </c>
      <c r="O3438" s="2">
        <v>0</v>
      </c>
      <c r="P3438" s="2">
        <v>-100000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2">
        <v>0</v>
      </c>
    </row>
    <row r="3439" spans="1:23" outlineLevel="2" x14ac:dyDescent="0.2">
      <c r="A3439" t="s">
        <v>999</v>
      </c>
      <c r="B3439" t="s">
        <v>39</v>
      </c>
      <c r="C3439" t="s">
        <v>70</v>
      </c>
      <c r="D3439" t="s">
        <v>89</v>
      </c>
      <c r="E3439" t="s">
        <v>90</v>
      </c>
      <c r="F3439" t="s">
        <v>1618</v>
      </c>
      <c r="G3439" t="s">
        <v>1619</v>
      </c>
      <c r="H3439" t="s">
        <v>1620</v>
      </c>
      <c r="I3439" t="s">
        <v>1621</v>
      </c>
      <c r="J3439" t="s">
        <v>1000</v>
      </c>
      <c r="K3439" t="s">
        <v>1029</v>
      </c>
      <c r="L3439" t="s">
        <v>1624</v>
      </c>
      <c r="M3439" t="s">
        <v>12</v>
      </c>
      <c r="N3439" s="2">
        <v>20000</v>
      </c>
      <c r="O3439" s="2">
        <v>0</v>
      </c>
      <c r="P3439" s="2">
        <v>-20000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</row>
    <row r="3440" spans="1:23" outlineLevel="2" x14ac:dyDescent="0.2">
      <c r="A3440" t="s">
        <v>999</v>
      </c>
      <c r="B3440" t="s">
        <v>39</v>
      </c>
      <c r="C3440" t="s">
        <v>58</v>
      </c>
      <c r="D3440" t="s">
        <v>139</v>
      </c>
      <c r="E3440" t="s">
        <v>140</v>
      </c>
      <c r="F3440" t="s">
        <v>1618</v>
      </c>
      <c r="G3440" t="s">
        <v>1619</v>
      </c>
      <c r="H3440" t="s">
        <v>1625</v>
      </c>
      <c r="I3440" t="s">
        <v>1626</v>
      </c>
      <c r="J3440" t="s">
        <v>1000</v>
      </c>
      <c r="K3440" t="s">
        <v>1106</v>
      </c>
      <c r="L3440" t="s">
        <v>1627</v>
      </c>
      <c r="M3440" t="s">
        <v>12</v>
      </c>
      <c r="N3440" s="2">
        <v>60</v>
      </c>
      <c r="O3440" s="2">
        <v>0</v>
      </c>
      <c r="P3440" s="2">
        <v>-60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</row>
    <row r="3441" spans="1:23" outlineLevel="2" x14ac:dyDescent="0.2">
      <c r="A3441" t="s">
        <v>999</v>
      </c>
      <c r="B3441" t="s">
        <v>39</v>
      </c>
      <c r="C3441" t="s">
        <v>70</v>
      </c>
      <c r="D3441" t="s">
        <v>71</v>
      </c>
      <c r="E3441" t="s">
        <v>72</v>
      </c>
      <c r="F3441" t="s">
        <v>1618</v>
      </c>
      <c r="G3441" t="s">
        <v>1619</v>
      </c>
      <c r="H3441" t="s">
        <v>1625</v>
      </c>
      <c r="I3441" t="s">
        <v>1626</v>
      </c>
      <c r="J3441" t="s">
        <v>1000</v>
      </c>
      <c r="K3441" t="s">
        <v>1037</v>
      </c>
      <c r="L3441" t="s">
        <v>1628</v>
      </c>
      <c r="M3441" t="s">
        <v>12</v>
      </c>
      <c r="N3441" s="2">
        <v>28000</v>
      </c>
      <c r="O3441" s="2">
        <v>0</v>
      </c>
      <c r="P3441" s="2">
        <v>-28000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0</v>
      </c>
      <c r="W3441" s="2">
        <v>0</v>
      </c>
    </row>
    <row r="3442" spans="1:23" outlineLevel="2" x14ac:dyDescent="0.2">
      <c r="A3442" t="s">
        <v>999</v>
      </c>
      <c r="B3442" t="s">
        <v>39</v>
      </c>
      <c r="C3442" t="s">
        <v>70</v>
      </c>
      <c r="D3442" t="s">
        <v>71</v>
      </c>
      <c r="E3442" t="s">
        <v>72</v>
      </c>
      <c r="F3442" t="s">
        <v>1618</v>
      </c>
      <c r="G3442" t="s">
        <v>1619</v>
      </c>
      <c r="H3442" t="s">
        <v>1625</v>
      </c>
      <c r="I3442" t="s">
        <v>1626</v>
      </c>
      <c r="J3442" t="s">
        <v>1000</v>
      </c>
      <c r="K3442" t="s">
        <v>1039</v>
      </c>
      <c r="L3442" t="s">
        <v>1629</v>
      </c>
      <c r="M3442" t="s">
        <v>12</v>
      </c>
      <c r="N3442" s="2">
        <v>55000</v>
      </c>
      <c r="O3442" s="2">
        <v>-2000</v>
      </c>
      <c r="P3442" s="2">
        <v>-45080.480000000003</v>
      </c>
      <c r="Q3442" s="2">
        <v>7919.52</v>
      </c>
      <c r="R3442" s="2">
        <v>0</v>
      </c>
      <c r="S3442" s="2">
        <v>7919.52</v>
      </c>
      <c r="T3442" s="2">
        <v>7919.52</v>
      </c>
      <c r="U3442" s="2">
        <v>0</v>
      </c>
      <c r="V3442" s="2">
        <v>0</v>
      </c>
      <c r="W3442" s="2">
        <v>0</v>
      </c>
    </row>
    <row r="3443" spans="1:23" outlineLevel="2" x14ac:dyDescent="0.2">
      <c r="A3443" t="s">
        <v>999</v>
      </c>
      <c r="B3443" t="s">
        <v>39</v>
      </c>
      <c r="C3443" t="s">
        <v>70</v>
      </c>
      <c r="D3443" t="s">
        <v>71</v>
      </c>
      <c r="E3443" t="s">
        <v>72</v>
      </c>
      <c r="F3443" t="s">
        <v>1618</v>
      </c>
      <c r="G3443" t="s">
        <v>1619</v>
      </c>
      <c r="H3443" t="s">
        <v>1625</v>
      </c>
      <c r="I3443" t="s">
        <v>1626</v>
      </c>
      <c r="J3443" t="s">
        <v>1000</v>
      </c>
      <c r="K3443" t="s">
        <v>1058</v>
      </c>
      <c r="L3443" t="s">
        <v>1630</v>
      </c>
      <c r="M3443" t="s">
        <v>12</v>
      </c>
      <c r="N3443" s="2">
        <v>20000</v>
      </c>
      <c r="O3443" s="2">
        <v>0</v>
      </c>
      <c r="P3443" s="2">
        <v>-20000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0</v>
      </c>
    </row>
    <row r="3444" spans="1:23" outlineLevel="2" x14ac:dyDescent="0.2">
      <c r="A3444" t="s">
        <v>999</v>
      </c>
      <c r="B3444" t="s">
        <v>39</v>
      </c>
      <c r="C3444" t="s">
        <v>70</v>
      </c>
      <c r="D3444" t="s">
        <v>71</v>
      </c>
      <c r="E3444" t="s">
        <v>72</v>
      </c>
      <c r="F3444" t="s">
        <v>1618</v>
      </c>
      <c r="G3444" t="s">
        <v>1619</v>
      </c>
      <c r="H3444" t="s">
        <v>1625</v>
      </c>
      <c r="I3444" t="s">
        <v>1626</v>
      </c>
      <c r="J3444" t="s">
        <v>1000</v>
      </c>
      <c r="K3444" t="s">
        <v>1631</v>
      </c>
      <c r="L3444" t="s">
        <v>1632</v>
      </c>
      <c r="M3444" t="s">
        <v>12</v>
      </c>
      <c r="N3444" s="2">
        <v>5117.1499999999996</v>
      </c>
      <c r="O3444" s="2">
        <v>0</v>
      </c>
      <c r="P3444" s="2">
        <v>0</v>
      </c>
      <c r="Q3444" s="2">
        <v>5117.1499999999996</v>
      </c>
      <c r="R3444" s="2">
        <v>3048.86</v>
      </c>
      <c r="S3444" s="2">
        <v>1268.29</v>
      </c>
      <c r="T3444" s="2">
        <v>1268.29</v>
      </c>
      <c r="U3444" s="2">
        <v>3848.86</v>
      </c>
      <c r="V3444" s="2">
        <v>3848.86</v>
      </c>
      <c r="W3444" s="2">
        <v>800</v>
      </c>
    </row>
    <row r="3445" spans="1:23" outlineLevel="2" x14ac:dyDescent="0.2">
      <c r="A3445" t="s">
        <v>999</v>
      </c>
      <c r="B3445" t="s">
        <v>39</v>
      </c>
      <c r="C3445" t="s">
        <v>58</v>
      </c>
      <c r="D3445" t="s">
        <v>139</v>
      </c>
      <c r="E3445" t="s">
        <v>140</v>
      </c>
      <c r="F3445" t="s">
        <v>1618</v>
      </c>
      <c r="G3445" t="s">
        <v>1619</v>
      </c>
      <c r="H3445" t="s">
        <v>1625</v>
      </c>
      <c r="I3445" t="s">
        <v>1626</v>
      </c>
      <c r="J3445" t="s">
        <v>1000</v>
      </c>
      <c r="K3445" t="s">
        <v>1003</v>
      </c>
      <c r="L3445" t="s">
        <v>1633</v>
      </c>
      <c r="M3445" t="s">
        <v>12</v>
      </c>
      <c r="N3445" s="2">
        <v>20000</v>
      </c>
      <c r="O3445" s="2">
        <v>0</v>
      </c>
      <c r="P3445" s="2">
        <v>0</v>
      </c>
      <c r="Q3445" s="2">
        <v>20000</v>
      </c>
      <c r="R3445" s="2">
        <v>0</v>
      </c>
      <c r="S3445" s="2">
        <v>15088.61</v>
      </c>
      <c r="T3445" s="2">
        <v>0</v>
      </c>
      <c r="U3445" s="2">
        <v>4911.3900000000003</v>
      </c>
      <c r="V3445" s="2">
        <v>20000</v>
      </c>
      <c r="W3445" s="2">
        <v>4911.3900000000003</v>
      </c>
    </row>
    <row r="3446" spans="1:23" outlineLevel="2" x14ac:dyDescent="0.2">
      <c r="A3446" t="s">
        <v>999</v>
      </c>
      <c r="B3446" t="s">
        <v>39</v>
      </c>
      <c r="C3446" t="s">
        <v>70</v>
      </c>
      <c r="D3446" t="s">
        <v>71</v>
      </c>
      <c r="E3446" t="s">
        <v>72</v>
      </c>
      <c r="F3446" t="s">
        <v>1618</v>
      </c>
      <c r="G3446" t="s">
        <v>1619</v>
      </c>
      <c r="H3446" t="s">
        <v>1625</v>
      </c>
      <c r="I3446" t="s">
        <v>1626</v>
      </c>
      <c r="J3446" t="s">
        <v>1000</v>
      </c>
      <c r="K3446" t="s">
        <v>1003</v>
      </c>
      <c r="L3446" t="s">
        <v>1634</v>
      </c>
      <c r="M3446" t="s">
        <v>12</v>
      </c>
      <c r="N3446" s="2">
        <v>45000</v>
      </c>
      <c r="O3446" s="2">
        <v>0</v>
      </c>
      <c r="P3446" s="2">
        <v>-45000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</row>
    <row r="3447" spans="1:23" outlineLevel="2" x14ac:dyDescent="0.2">
      <c r="A3447" t="s">
        <v>999</v>
      </c>
      <c r="B3447" t="s">
        <v>39</v>
      </c>
      <c r="C3447" t="s">
        <v>70</v>
      </c>
      <c r="D3447" t="s">
        <v>71</v>
      </c>
      <c r="E3447" t="s">
        <v>72</v>
      </c>
      <c r="F3447" t="s">
        <v>1618</v>
      </c>
      <c r="G3447" t="s">
        <v>1619</v>
      </c>
      <c r="H3447" t="s">
        <v>1625</v>
      </c>
      <c r="I3447" t="s">
        <v>1626</v>
      </c>
      <c r="J3447" t="s">
        <v>1000</v>
      </c>
      <c r="K3447" t="s">
        <v>1539</v>
      </c>
      <c r="L3447" t="s">
        <v>1635</v>
      </c>
      <c r="M3447" t="s">
        <v>12</v>
      </c>
      <c r="N3447" s="2">
        <v>188299</v>
      </c>
      <c r="O3447" s="2">
        <v>2000</v>
      </c>
      <c r="P3447" s="2">
        <v>0</v>
      </c>
      <c r="Q3447" s="2">
        <v>190299</v>
      </c>
      <c r="R3447" s="2">
        <v>0</v>
      </c>
      <c r="S3447" s="2">
        <v>188563.56</v>
      </c>
      <c r="T3447" s="2">
        <v>137061.5</v>
      </c>
      <c r="U3447" s="2">
        <v>1735.44</v>
      </c>
      <c r="V3447" s="2">
        <v>53237.5</v>
      </c>
      <c r="W3447" s="2">
        <v>1735.44</v>
      </c>
    </row>
    <row r="3448" spans="1:23" outlineLevel="2" x14ac:dyDescent="0.2">
      <c r="A3448" t="s">
        <v>999</v>
      </c>
      <c r="B3448" t="s">
        <v>39</v>
      </c>
      <c r="C3448" t="s">
        <v>70</v>
      </c>
      <c r="D3448" t="s">
        <v>71</v>
      </c>
      <c r="E3448" t="s">
        <v>72</v>
      </c>
      <c r="F3448" t="s">
        <v>1618</v>
      </c>
      <c r="G3448" t="s">
        <v>1619</v>
      </c>
      <c r="H3448" t="s">
        <v>1625</v>
      </c>
      <c r="I3448" t="s">
        <v>1626</v>
      </c>
      <c r="J3448" t="s">
        <v>1000</v>
      </c>
      <c r="K3448" t="s">
        <v>1116</v>
      </c>
      <c r="L3448" t="s">
        <v>1636</v>
      </c>
      <c r="M3448" t="s">
        <v>12</v>
      </c>
      <c r="N3448" s="2">
        <v>1740</v>
      </c>
      <c r="O3448" s="2">
        <v>0</v>
      </c>
      <c r="P3448" s="2">
        <v>0</v>
      </c>
      <c r="Q3448" s="2">
        <v>1740</v>
      </c>
      <c r="R3448" s="2">
        <v>1640</v>
      </c>
      <c r="S3448" s="2">
        <v>0</v>
      </c>
      <c r="T3448" s="2">
        <v>0</v>
      </c>
      <c r="U3448" s="2">
        <v>1740</v>
      </c>
      <c r="V3448" s="2">
        <v>1740</v>
      </c>
      <c r="W3448" s="2">
        <v>100</v>
      </c>
    </row>
    <row r="3449" spans="1:23" outlineLevel="2" x14ac:dyDescent="0.2">
      <c r="A3449" t="s">
        <v>999</v>
      </c>
      <c r="B3449" t="s">
        <v>39</v>
      </c>
      <c r="C3449" t="s">
        <v>58</v>
      </c>
      <c r="D3449" t="s">
        <v>139</v>
      </c>
      <c r="E3449" t="s">
        <v>140</v>
      </c>
      <c r="F3449" t="s">
        <v>1618</v>
      </c>
      <c r="G3449" t="s">
        <v>1619</v>
      </c>
      <c r="H3449" t="s">
        <v>1625</v>
      </c>
      <c r="I3449" t="s">
        <v>1626</v>
      </c>
      <c r="J3449" t="s">
        <v>1000</v>
      </c>
      <c r="K3449" t="s">
        <v>1082</v>
      </c>
      <c r="L3449" t="s">
        <v>1637</v>
      </c>
      <c r="M3449" t="s">
        <v>12</v>
      </c>
      <c r="N3449" s="2">
        <v>11770</v>
      </c>
      <c r="O3449" s="2">
        <v>0</v>
      </c>
      <c r="P3449" s="2">
        <v>-11770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</row>
    <row r="3450" spans="1:23" outlineLevel="2" x14ac:dyDescent="0.2">
      <c r="A3450" t="s">
        <v>999</v>
      </c>
      <c r="B3450" t="s">
        <v>39</v>
      </c>
      <c r="C3450" t="s">
        <v>70</v>
      </c>
      <c r="D3450" t="s">
        <v>71</v>
      </c>
      <c r="E3450" t="s">
        <v>72</v>
      </c>
      <c r="F3450" t="s">
        <v>1618</v>
      </c>
      <c r="G3450" t="s">
        <v>1619</v>
      </c>
      <c r="H3450" t="s">
        <v>1625</v>
      </c>
      <c r="I3450" t="s">
        <v>1626</v>
      </c>
      <c r="J3450" t="s">
        <v>1000</v>
      </c>
      <c r="K3450" t="s">
        <v>1084</v>
      </c>
      <c r="L3450" t="s">
        <v>1638</v>
      </c>
      <c r="M3450" t="s">
        <v>12</v>
      </c>
      <c r="N3450" s="2">
        <v>7000</v>
      </c>
      <c r="O3450" s="2">
        <v>0</v>
      </c>
      <c r="P3450" s="2">
        <v>-7000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</row>
    <row r="3451" spans="1:23" outlineLevel="2" x14ac:dyDescent="0.2">
      <c r="A3451" t="s">
        <v>999</v>
      </c>
      <c r="B3451" t="s">
        <v>39</v>
      </c>
      <c r="C3451" t="s">
        <v>58</v>
      </c>
      <c r="D3451" t="s">
        <v>139</v>
      </c>
      <c r="E3451" t="s">
        <v>140</v>
      </c>
      <c r="F3451" t="s">
        <v>1618</v>
      </c>
      <c r="G3451" t="s">
        <v>1619</v>
      </c>
      <c r="H3451" t="s">
        <v>1625</v>
      </c>
      <c r="I3451" t="s">
        <v>1626</v>
      </c>
      <c r="J3451" t="s">
        <v>1000</v>
      </c>
      <c r="K3451" t="s">
        <v>1084</v>
      </c>
      <c r="L3451" t="s">
        <v>1639</v>
      </c>
      <c r="M3451" t="s">
        <v>12</v>
      </c>
      <c r="N3451" s="2">
        <v>3000</v>
      </c>
      <c r="O3451" s="2">
        <v>0</v>
      </c>
      <c r="P3451" s="2">
        <v>-3000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</row>
    <row r="3452" spans="1:23" outlineLevel="2" x14ac:dyDescent="0.2">
      <c r="A3452" t="s">
        <v>999</v>
      </c>
      <c r="B3452" t="s">
        <v>39</v>
      </c>
      <c r="C3452" t="s">
        <v>70</v>
      </c>
      <c r="D3452" t="s">
        <v>71</v>
      </c>
      <c r="E3452" t="s">
        <v>72</v>
      </c>
      <c r="F3452" t="s">
        <v>1618</v>
      </c>
      <c r="G3452" t="s">
        <v>1619</v>
      </c>
      <c r="H3452" t="s">
        <v>1625</v>
      </c>
      <c r="I3452" t="s">
        <v>1626</v>
      </c>
      <c r="J3452" t="s">
        <v>1000</v>
      </c>
      <c r="K3452" t="s">
        <v>1194</v>
      </c>
      <c r="L3452" t="s">
        <v>1640</v>
      </c>
      <c r="M3452" t="s">
        <v>12</v>
      </c>
      <c r="N3452" s="2">
        <v>1780</v>
      </c>
      <c r="O3452" s="2">
        <v>0</v>
      </c>
      <c r="P3452" s="2">
        <v>0</v>
      </c>
      <c r="Q3452" s="2">
        <v>1780</v>
      </c>
      <c r="R3452" s="2">
        <v>1680</v>
      </c>
      <c r="S3452" s="2">
        <v>0</v>
      </c>
      <c r="T3452" s="2">
        <v>0</v>
      </c>
      <c r="U3452" s="2">
        <v>1780</v>
      </c>
      <c r="V3452" s="2">
        <v>1780</v>
      </c>
      <c r="W3452" s="2">
        <v>100</v>
      </c>
    </row>
    <row r="3453" spans="1:23" outlineLevel="2" x14ac:dyDescent="0.2">
      <c r="A3453" t="s">
        <v>999</v>
      </c>
      <c r="B3453" t="s">
        <v>39</v>
      </c>
      <c r="C3453" t="s">
        <v>58</v>
      </c>
      <c r="D3453" t="s">
        <v>139</v>
      </c>
      <c r="E3453" t="s">
        <v>140</v>
      </c>
      <c r="F3453" t="s">
        <v>1618</v>
      </c>
      <c r="G3453" t="s">
        <v>1619</v>
      </c>
      <c r="H3453" t="s">
        <v>1625</v>
      </c>
      <c r="I3453" t="s">
        <v>1626</v>
      </c>
      <c r="J3453" t="s">
        <v>1000</v>
      </c>
      <c r="K3453" t="s">
        <v>1120</v>
      </c>
      <c r="L3453" t="s">
        <v>1641</v>
      </c>
      <c r="M3453" t="s">
        <v>12</v>
      </c>
      <c r="N3453" s="2">
        <v>9940</v>
      </c>
      <c r="O3453" s="2">
        <v>0</v>
      </c>
      <c r="P3453" s="2">
        <v>-9940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</row>
    <row r="3454" spans="1:23" outlineLevel="2" x14ac:dyDescent="0.2">
      <c r="A3454" t="s">
        <v>999</v>
      </c>
      <c r="B3454" t="s">
        <v>39</v>
      </c>
      <c r="C3454" t="s">
        <v>58</v>
      </c>
      <c r="D3454" t="s">
        <v>139</v>
      </c>
      <c r="E3454" t="s">
        <v>140</v>
      </c>
      <c r="F3454" t="s">
        <v>1618</v>
      </c>
      <c r="G3454" t="s">
        <v>1619</v>
      </c>
      <c r="H3454" t="s">
        <v>1625</v>
      </c>
      <c r="I3454" t="s">
        <v>1626</v>
      </c>
      <c r="J3454" t="s">
        <v>1000</v>
      </c>
      <c r="K3454" t="s">
        <v>1183</v>
      </c>
      <c r="L3454" t="s">
        <v>1642</v>
      </c>
      <c r="M3454" t="s">
        <v>12</v>
      </c>
      <c r="N3454" s="2">
        <v>230</v>
      </c>
      <c r="O3454" s="2">
        <v>0</v>
      </c>
      <c r="P3454" s="2">
        <v>-230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</row>
    <row r="3455" spans="1:23" outlineLevel="2" x14ac:dyDescent="0.2">
      <c r="A3455" t="s">
        <v>999</v>
      </c>
      <c r="B3455" t="s">
        <v>39</v>
      </c>
      <c r="C3455" t="s">
        <v>70</v>
      </c>
      <c r="D3455" t="s">
        <v>89</v>
      </c>
      <c r="E3455" t="s">
        <v>90</v>
      </c>
      <c r="F3455" t="s">
        <v>1618</v>
      </c>
      <c r="G3455" t="s">
        <v>1619</v>
      </c>
      <c r="H3455" t="s">
        <v>1643</v>
      </c>
      <c r="I3455" t="s">
        <v>1644</v>
      </c>
      <c r="J3455" t="s">
        <v>1000</v>
      </c>
      <c r="K3455" t="s">
        <v>1104</v>
      </c>
      <c r="L3455" t="s">
        <v>1645</v>
      </c>
      <c r="M3455" t="s">
        <v>12</v>
      </c>
      <c r="N3455" s="2">
        <v>90000</v>
      </c>
      <c r="O3455" s="2">
        <v>0</v>
      </c>
      <c r="P3455" s="2">
        <v>-14353</v>
      </c>
      <c r="Q3455" s="2">
        <v>75647</v>
      </c>
      <c r="R3455" s="2">
        <v>0</v>
      </c>
      <c r="S3455" s="2">
        <v>75356.98</v>
      </c>
      <c r="T3455" s="2">
        <v>60370.93</v>
      </c>
      <c r="U3455" s="2">
        <v>290.02</v>
      </c>
      <c r="V3455" s="2">
        <v>15276.07</v>
      </c>
      <c r="W3455" s="2">
        <v>290.02</v>
      </c>
    </row>
    <row r="3456" spans="1:23" outlineLevel="2" x14ac:dyDescent="0.2">
      <c r="A3456" t="s">
        <v>999</v>
      </c>
      <c r="B3456" t="s">
        <v>39</v>
      </c>
      <c r="C3456" t="s">
        <v>70</v>
      </c>
      <c r="D3456" t="s">
        <v>89</v>
      </c>
      <c r="E3456" t="s">
        <v>90</v>
      </c>
      <c r="F3456" t="s">
        <v>1618</v>
      </c>
      <c r="G3456" t="s">
        <v>1619</v>
      </c>
      <c r="H3456" t="s">
        <v>1643</v>
      </c>
      <c r="I3456" t="s">
        <v>1644</v>
      </c>
      <c r="J3456" t="s">
        <v>1000</v>
      </c>
      <c r="K3456" t="s">
        <v>1106</v>
      </c>
      <c r="L3456" t="s">
        <v>1646</v>
      </c>
      <c r="M3456" t="s">
        <v>12</v>
      </c>
      <c r="N3456" s="2">
        <v>3000</v>
      </c>
      <c r="O3456" s="2">
        <v>0</v>
      </c>
      <c r="P3456" s="2">
        <v>0</v>
      </c>
      <c r="Q3456" s="2">
        <v>3000</v>
      </c>
      <c r="R3456" s="2">
        <v>0</v>
      </c>
      <c r="S3456" s="2">
        <v>962.71</v>
      </c>
      <c r="T3456" s="2">
        <v>0</v>
      </c>
      <c r="U3456" s="2">
        <v>2037.29</v>
      </c>
      <c r="V3456" s="2">
        <v>3000</v>
      </c>
      <c r="W3456" s="2">
        <v>2037.29</v>
      </c>
    </row>
    <row r="3457" spans="1:23" outlineLevel="2" x14ac:dyDescent="0.2">
      <c r="A3457" t="s">
        <v>999</v>
      </c>
      <c r="B3457" t="s">
        <v>39</v>
      </c>
      <c r="C3457" t="s">
        <v>58</v>
      </c>
      <c r="D3457" t="s">
        <v>59</v>
      </c>
      <c r="E3457" t="s">
        <v>60</v>
      </c>
      <c r="F3457" t="s">
        <v>1618</v>
      </c>
      <c r="G3457" t="s">
        <v>1619</v>
      </c>
      <c r="H3457" t="s">
        <v>1643</v>
      </c>
      <c r="I3457" t="s">
        <v>1644</v>
      </c>
      <c r="J3457" t="s">
        <v>1000</v>
      </c>
      <c r="K3457" t="s">
        <v>1106</v>
      </c>
      <c r="L3457" t="s">
        <v>1627</v>
      </c>
      <c r="M3457" t="s">
        <v>12</v>
      </c>
      <c r="N3457" s="2">
        <v>300</v>
      </c>
      <c r="O3457" s="2">
        <v>0</v>
      </c>
      <c r="P3457" s="2">
        <v>-300</v>
      </c>
      <c r="Q3457" s="2">
        <v>0</v>
      </c>
      <c r="R3457" s="2">
        <v>0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</row>
    <row r="3458" spans="1:23" outlineLevel="2" x14ac:dyDescent="0.2">
      <c r="A3458" t="s">
        <v>999</v>
      </c>
      <c r="B3458" t="s">
        <v>39</v>
      </c>
      <c r="C3458" t="s">
        <v>70</v>
      </c>
      <c r="D3458" t="s">
        <v>89</v>
      </c>
      <c r="E3458" t="s">
        <v>90</v>
      </c>
      <c r="F3458" t="s">
        <v>1618</v>
      </c>
      <c r="G3458" t="s">
        <v>1619</v>
      </c>
      <c r="H3458" t="s">
        <v>1643</v>
      </c>
      <c r="I3458" t="s">
        <v>1644</v>
      </c>
      <c r="J3458" t="s">
        <v>1000</v>
      </c>
      <c r="K3458" t="s">
        <v>1037</v>
      </c>
      <c r="L3458" t="s">
        <v>1628</v>
      </c>
      <c r="M3458" t="s">
        <v>12</v>
      </c>
      <c r="N3458" s="2">
        <v>121000</v>
      </c>
      <c r="O3458" s="2">
        <v>0</v>
      </c>
      <c r="P3458" s="2">
        <v>-101000</v>
      </c>
      <c r="Q3458" s="2">
        <v>20000</v>
      </c>
      <c r="R3458" s="2">
        <v>0</v>
      </c>
      <c r="S3458" s="2">
        <v>7861.24</v>
      </c>
      <c r="T3458" s="2">
        <v>679.8</v>
      </c>
      <c r="U3458" s="2">
        <v>12138.76</v>
      </c>
      <c r="V3458" s="2">
        <v>19320.2</v>
      </c>
      <c r="W3458" s="2">
        <v>12138.76</v>
      </c>
    </row>
    <row r="3459" spans="1:23" outlineLevel="2" x14ac:dyDescent="0.2">
      <c r="A3459" t="s">
        <v>999</v>
      </c>
      <c r="B3459" t="s">
        <v>39</v>
      </c>
      <c r="C3459" t="s">
        <v>70</v>
      </c>
      <c r="D3459" t="s">
        <v>71</v>
      </c>
      <c r="E3459" t="s">
        <v>72</v>
      </c>
      <c r="F3459" t="s">
        <v>1618</v>
      </c>
      <c r="G3459" t="s">
        <v>1619</v>
      </c>
      <c r="H3459" t="s">
        <v>1643</v>
      </c>
      <c r="I3459" t="s">
        <v>1644</v>
      </c>
      <c r="J3459" t="s">
        <v>1000</v>
      </c>
      <c r="K3459" t="s">
        <v>1037</v>
      </c>
      <c r="L3459" t="s">
        <v>1628</v>
      </c>
      <c r="M3459" t="s">
        <v>12</v>
      </c>
      <c r="N3459" s="2">
        <v>10000</v>
      </c>
      <c r="O3459" s="2">
        <v>10000</v>
      </c>
      <c r="P3459" s="2">
        <v>-20000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</row>
    <row r="3460" spans="1:23" outlineLevel="2" x14ac:dyDescent="0.2">
      <c r="A3460" t="s">
        <v>999</v>
      </c>
      <c r="B3460" t="s">
        <v>39</v>
      </c>
      <c r="C3460" t="s">
        <v>70</v>
      </c>
      <c r="D3460" t="s">
        <v>71</v>
      </c>
      <c r="E3460" t="s">
        <v>72</v>
      </c>
      <c r="F3460" t="s">
        <v>1618</v>
      </c>
      <c r="G3460" t="s">
        <v>1619</v>
      </c>
      <c r="H3460" t="s">
        <v>1643</v>
      </c>
      <c r="I3460" t="s">
        <v>1644</v>
      </c>
      <c r="J3460" t="s">
        <v>1000</v>
      </c>
      <c r="K3460" t="s">
        <v>1039</v>
      </c>
      <c r="L3460" t="s">
        <v>1629</v>
      </c>
      <c r="M3460" t="s">
        <v>12</v>
      </c>
      <c r="N3460" s="2">
        <v>0</v>
      </c>
      <c r="O3460" s="2">
        <v>130000</v>
      </c>
      <c r="P3460" s="2">
        <v>-130000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</row>
    <row r="3461" spans="1:23" outlineLevel="2" x14ac:dyDescent="0.2">
      <c r="A3461" t="s">
        <v>999</v>
      </c>
      <c r="B3461" t="s">
        <v>39</v>
      </c>
      <c r="C3461" t="s">
        <v>58</v>
      </c>
      <c r="D3461" t="s">
        <v>59</v>
      </c>
      <c r="E3461" t="s">
        <v>60</v>
      </c>
      <c r="F3461" t="s">
        <v>1618</v>
      </c>
      <c r="G3461" t="s">
        <v>1619</v>
      </c>
      <c r="H3461" t="s">
        <v>1643</v>
      </c>
      <c r="I3461" t="s">
        <v>1644</v>
      </c>
      <c r="J3461" t="s">
        <v>1000</v>
      </c>
      <c r="K3461" t="s">
        <v>1039</v>
      </c>
      <c r="L3461" t="s">
        <v>1647</v>
      </c>
      <c r="M3461" t="s">
        <v>12</v>
      </c>
      <c r="N3461" s="2">
        <v>800</v>
      </c>
      <c r="O3461" s="2">
        <v>0</v>
      </c>
      <c r="P3461" s="2">
        <v>-800</v>
      </c>
      <c r="Q3461" s="2">
        <v>0</v>
      </c>
      <c r="R3461" s="2">
        <v>0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</row>
    <row r="3462" spans="1:23" outlineLevel="2" x14ac:dyDescent="0.2">
      <c r="A3462" t="s">
        <v>999</v>
      </c>
      <c r="B3462" t="s">
        <v>39</v>
      </c>
      <c r="C3462" t="s">
        <v>70</v>
      </c>
      <c r="D3462" t="s">
        <v>89</v>
      </c>
      <c r="E3462" t="s">
        <v>90</v>
      </c>
      <c r="F3462" t="s">
        <v>1618</v>
      </c>
      <c r="G3462" t="s">
        <v>1619</v>
      </c>
      <c r="H3462" t="s">
        <v>1643</v>
      </c>
      <c r="I3462" t="s">
        <v>1644</v>
      </c>
      <c r="J3462" t="s">
        <v>1000</v>
      </c>
      <c r="K3462" t="s">
        <v>1088</v>
      </c>
      <c r="L3462" t="s">
        <v>1648</v>
      </c>
      <c r="M3462" t="s">
        <v>12</v>
      </c>
      <c r="N3462" s="2">
        <v>54000</v>
      </c>
      <c r="O3462" s="2">
        <v>0</v>
      </c>
      <c r="P3462" s="2">
        <v>-54000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</row>
    <row r="3463" spans="1:23" outlineLevel="2" x14ac:dyDescent="0.2">
      <c r="A3463" t="s">
        <v>999</v>
      </c>
      <c r="B3463" t="s">
        <v>39</v>
      </c>
      <c r="C3463" t="s">
        <v>70</v>
      </c>
      <c r="D3463" t="s">
        <v>89</v>
      </c>
      <c r="E3463" t="s">
        <v>90</v>
      </c>
      <c r="F3463" t="s">
        <v>1618</v>
      </c>
      <c r="G3463" t="s">
        <v>1619</v>
      </c>
      <c r="H3463" t="s">
        <v>1643</v>
      </c>
      <c r="I3463" t="s">
        <v>1644</v>
      </c>
      <c r="J3463" t="s">
        <v>1000</v>
      </c>
      <c r="K3463" t="s">
        <v>1009</v>
      </c>
      <c r="L3463" t="s">
        <v>1649</v>
      </c>
      <c r="M3463" t="s">
        <v>12</v>
      </c>
      <c r="N3463" s="2">
        <v>79000</v>
      </c>
      <c r="O3463" s="2">
        <v>0</v>
      </c>
      <c r="P3463" s="2">
        <v>-15886</v>
      </c>
      <c r="Q3463" s="2">
        <v>63114</v>
      </c>
      <c r="R3463" s="2">
        <v>5080</v>
      </c>
      <c r="S3463" s="2">
        <v>37266.800000000003</v>
      </c>
      <c r="T3463" s="2">
        <v>19878.41</v>
      </c>
      <c r="U3463" s="2">
        <v>25847.200000000001</v>
      </c>
      <c r="V3463" s="2">
        <v>43235.59</v>
      </c>
      <c r="W3463" s="2">
        <v>20767.2</v>
      </c>
    </row>
    <row r="3464" spans="1:23" outlineLevel="2" x14ac:dyDescent="0.2">
      <c r="A3464" t="s">
        <v>999</v>
      </c>
      <c r="B3464" t="s">
        <v>39</v>
      </c>
      <c r="C3464" t="s">
        <v>70</v>
      </c>
      <c r="D3464" t="s">
        <v>89</v>
      </c>
      <c r="E3464" t="s">
        <v>90</v>
      </c>
      <c r="F3464" t="s">
        <v>1618</v>
      </c>
      <c r="G3464" t="s">
        <v>1619</v>
      </c>
      <c r="H3464" t="s">
        <v>1643</v>
      </c>
      <c r="I3464" t="s">
        <v>1644</v>
      </c>
      <c r="J3464" t="s">
        <v>1000</v>
      </c>
      <c r="K3464" t="s">
        <v>1376</v>
      </c>
      <c r="L3464" t="s">
        <v>1650</v>
      </c>
      <c r="M3464" t="s">
        <v>12</v>
      </c>
      <c r="N3464" s="2">
        <v>175000</v>
      </c>
      <c r="O3464" s="2">
        <v>0</v>
      </c>
      <c r="P3464" s="2">
        <v>-47800</v>
      </c>
      <c r="Q3464" s="2">
        <v>127200</v>
      </c>
      <c r="R3464" s="2">
        <v>1947</v>
      </c>
      <c r="S3464" s="2">
        <v>63371.59</v>
      </c>
      <c r="T3464" s="2">
        <v>46772.52</v>
      </c>
      <c r="U3464" s="2">
        <v>63828.41</v>
      </c>
      <c r="V3464" s="2">
        <v>80427.48</v>
      </c>
      <c r="W3464" s="2">
        <v>61881.41</v>
      </c>
    </row>
    <row r="3465" spans="1:23" outlineLevel="2" x14ac:dyDescent="0.2">
      <c r="A3465" t="s">
        <v>999</v>
      </c>
      <c r="B3465" t="s">
        <v>39</v>
      </c>
      <c r="C3465" t="s">
        <v>70</v>
      </c>
      <c r="D3465" t="s">
        <v>89</v>
      </c>
      <c r="E3465" t="s">
        <v>90</v>
      </c>
      <c r="F3465" t="s">
        <v>1618</v>
      </c>
      <c r="G3465" t="s">
        <v>1619</v>
      </c>
      <c r="H3465" t="s">
        <v>1643</v>
      </c>
      <c r="I3465" t="s">
        <v>1644</v>
      </c>
      <c r="J3465" t="s">
        <v>1000</v>
      </c>
      <c r="K3465" t="s">
        <v>1651</v>
      </c>
      <c r="L3465" t="s">
        <v>1652</v>
      </c>
      <c r="M3465" t="s">
        <v>12</v>
      </c>
      <c r="N3465" s="2">
        <v>16000</v>
      </c>
      <c r="O3465" s="2">
        <v>0</v>
      </c>
      <c r="P3465" s="2">
        <v>0</v>
      </c>
      <c r="Q3465" s="2">
        <v>16000</v>
      </c>
      <c r="R3465" s="2">
        <v>0</v>
      </c>
      <c r="S3465" s="2">
        <v>7711.47</v>
      </c>
      <c r="T3465" s="2">
        <v>6479.47</v>
      </c>
      <c r="U3465" s="2">
        <v>8288.5300000000007</v>
      </c>
      <c r="V3465" s="2">
        <v>9520.5300000000007</v>
      </c>
      <c r="W3465" s="2">
        <v>8288.5300000000007</v>
      </c>
    </row>
    <row r="3466" spans="1:23" outlineLevel="2" x14ac:dyDescent="0.2">
      <c r="A3466" t="s">
        <v>999</v>
      </c>
      <c r="B3466" t="s">
        <v>39</v>
      </c>
      <c r="C3466" t="s">
        <v>70</v>
      </c>
      <c r="D3466" t="s">
        <v>89</v>
      </c>
      <c r="E3466" t="s">
        <v>90</v>
      </c>
      <c r="F3466" t="s">
        <v>1618</v>
      </c>
      <c r="G3466" t="s">
        <v>1619</v>
      </c>
      <c r="H3466" t="s">
        <v>1643</v>
      </c>
      <c r="I3466" t="s">
        <v>1644</v>
      </c>
      <c r="J3466" t="s">
        <v>1000</v>
      </c>
      <c r="K3466" t="s">
        <v>1539</v>
      </c>
      <c r="L3466" t="s">
        <v>1635</v>
      </c>
      <c r="M3466" t="s">
        <v>12</v>
      </c>
      <c r="N3466" s="2">
        <v>7000</v>
      </c>
      <c r="O3466" s="2">
        <v>0</v>
      </c>
      <c r="P3466" s="2">
        <v>-11</v>
      </c>
      <c r="Q3466" s="2">
        <v>6989</v>
      </c>
      <c r="R3466" s="2">
        <v>0</v>
      </c>
      <c r="S3466" s="2">
        <v>6988.8</v>
      </c>
      <c r="T3466" s="2">
        <v>5824</v>
      </c>
      <c r="U3466" s="2">
        <v>0.2</v>
      </c>
      <c r="V3466" s="2">
        <v>1165</v>
      </c>
      <c r="W3466" s="2">
        <v>0.2</v>
      </c>
    </row>
    <row r="3467" spans="1:23" outlineLevel="2" x14ac:dyDescent="0.2">
      <c r="A3467" t="s">
        <v>999</v>
      </c>
      <c r="B3467" t="s">
        <v>39</v>
      </c>
      <c r="C3467" t="s">
        <v>70</v>
      </c>
      <c r="D3467" t="s">
        <v>89</v>
      </c>
      <c r="E3467" t="s">
        <v>90</v>
      </c>
      <c r="F3467" t="s">
        <v>1618</v>
      </c>
      <c r="G3467" t="s">
        <v>1619</v>
      </c>
      <c r="H3467" t="s">
        <v>1643</v>
      </c>
      <c r="I3467" t="s">
        <v>1644</v>
      </c>
      <c r="J3467" t="s">
        <v>1000</v>
      </c>
      <c r="K3467" t="s">
        <v>1013</v>
      </c>
      <c r="L3467" t="s">
        <v>1622</v>
      </c>
      <c r="M3467" t="s">
        <v>12</v>
      </c>
      <c r="N3467" s="2">
        <v>30000</v>
      </c>
      <c r="O3467" s="2">
        <v>0</v>
      </c>
      <c r="P3467" s="2">
        <v>0</v>
      </c>
      <c r="Q3467" s="2">
        <v>30000</v>
      </c>
      <c r="R3467" s="2">
        <v>0</v>
      </c>
      <c r="S3467" s="2">
        <v>19267.919999999998</v>
      </c>
      <c r="T3467" s="2">
        <v>19267.919999999998</v>
      </c>
      <c r="U3467" s="2">
        <v>10732.08</v>
      </c>
      <c r="V3467" s="2">
        <v>10732.08</v>
      </c>
      <c r="W3467" s="2">
        <v>10732.08</v>
      </c>
    </row>
    <row r="3468" spans="1:23" outlineLevel="2" x14ac:dyDescent="0.2">
      <c r="A3468" t="s">
        <v>999</v>
      </c>
      <c r="B3468" t="s">
        <v>39</v>
      </c>
      <c r="C3468" t="s">
        <v>70</v>
      </c>
      <c r="D3468" t="s">
        <v>89</v>
      </c>
      <c r="E3468" t="s">
        <v>90</v>
      </c>
      <c r="F3468" t="s">
        <v>1618</v>
      </c>
      <c r="G3468" t="s">
        <v>1619</v>
      </c>
      <c r="H3468" t="s">
        <v>1643</v>
      </c>
      <c r="I3468" t="s">
        <v>1644</v>
      </c>
      <c r="J3468" t="s">
        <v>1000</v>
      </c>
      <c r="K3468" t="s">
        <v>1015</v>
      </c>
      <c r="L3468" t="s">
        <v>1653</v>
      </c>
      <c r="M3468" t="s">
        <v>12</v>
      </c>
      <c r="N3468" s="2">
        <v>0</v>
      </c>
      <c r="O3468" s="2">
        <v>6998</v>
      </c>
      <c r="P3468" s="2">
        <v>-5000</v>
      </c>
      <c r="Q3468" s="2">
        <v>1998</v>
      </c>
      <c r="R3468" s="2">
        <v>0</v>
      </c>
      <c r="S3468" s="2">
        <v>1997.86</v>
      </c>
      <c r="T3468" s="2">
        <v>1997.86</v>
      </c>
      <c r="U3468" s="2">
        <v>0.14000000000000001</v>
      </c>
      <c r="V3468" s="2">
        <v>0.14000000000000001</v>
      </c>
      <c r="W3468" s="2">
        <v>0.14000000000000001</v>
      </c>
    </row>
    <row r="3469" spans="1:23" outlineLevel="2" x14ac:dyDescent="0.2">
      <c r="A3469" t="s">
        <v>999</v>
      </c>
      <c r="B3469" t="s">
        <v>39</v>
      </c>
      <c r="C3469" t="s">
        <v>70</v>
      </c>
      <c r="D3469" t="s">
        <v>71</v>
      </c>
      <c r="E3469" t="s">
        <v>72</v>
      </c>
      <c r="F3469" t="s">
        <v>1618</v>
      </c>
      <c r="G3469" t="s">
        <v>1619</v>
      </c>
      <c r="H3469" t="s">
        <v>1643</v>
      </c>
      <c r="I3469" t="s">
        <v>1644</v>
      </c>
      <c r="J3469" t="s">
        <v>1000</v>
      </c>
      <c r="K3469" t="s">
        <v>1327</v>
      </c>
      <c r="L3469" t="s">
        <v>1654</v>
      </c>
      <c r="M3469" t="s">
        <v>12</v>
      </c>
      <c r="N3469" s="2">
        <v>131000</v>
      </c>
      <c r="O3469" s="2">
        <v>-131000</v>
      </c>
      <c r="P3469" s="2">
        <v>0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</row>
    <row r="3470" spans="1:23" outlineLevel="2" x14ac:dyDescent="0.2">
      <c r="A3470" t="s">
        <v>999</v>
      </c>
      <c r="B3470" t="s">
        <v>39</v>
      </c>
      <c r="C3470" t="s">
        <v>70</v>
      </c>
      <c r="D3470" t="s">
        <v>89</v>
      </c>
      <c r="E3470" t="s">
        <v>90</v>
      </c>
      <c r="F3470" t="s">
        <v>1618</v>
      </c>
      <c r="G3470" t="s">
        <v>1619</v>
      </c>
      <c r="H3470" t="s">
        <v>1643</v>
      </c>
      <c r="I3470" t="s">
        <v>1644</v>
      </c>
      <c r="J3470" t="s">
        <v>1000</v>
      </c>
      <c r="K3470" t="s">
        <v>1267</v>
      </c>
      <c r="L3470" t="s">
        <v>1623</v>
      </c>
      <c r="M3470" t="s">
        <v>12</v>
      </c>
      <c r="N3470" s="2">
        <v>140000</v>
      </c>
      <c r="O3470" s="2">
        <v>-7896</v>
      </c>
      <c r="P3470" s="2">
        <v>-115724</v>
      </c>
      <c r="Q3470" s="2">
        <v>16380</v>
      </c>
      <c r="R3470" s="2">
        <v>0</v>
      </c>
      <c r="S3470" s="2">
        <v>13567.5</v>
      </c>
      <c r="T3470" s="2">
        <v>13567.5</v>
      </c>
      <c r="U3470" s="2">
        <v>2812.5</v>
      </c>
      <c r="V3470" s="2">
        <v>2812.5</v>
      </c>
      <c r="W3470" s="2">
        <v>2812.5</v>
      </c>
    </row>
    <row r="3471" spans="1:23" outlineLevel="2" x14ac:dyDescent="0.2">
      <c r="A3471" t="s">
        <v>999</v>
      </c>
      <c r="B3471" t="s">
        <v>39</v>
      </c>
      <c r="C3471" t="s">
        <v>70</v>
      </c>
      <c r="D3471" t="s">
        <v>89</v>
      </c>
      <c r="E3471" t="s">
        <v>90</v>
      </c>
      <c r="F3471" t="s">
        <v>1618</v>
      </c>
      <c r="G3471" t="s">
        <v>1619</v>
      </c>
      <c r="H3471" t="s">
        <v>1643</v>
      </c>
      <c r="I3471" t="s">
        <v>1644</v>
      </c>
      <c r="J3471" t="s">
        <v>1000</v>
      </c>
      <c r="K3471" t="s">
        <v>1031</v>
      </c>
      <c r="L3471" t="s">
        <v>1655</v>
      </c>
      <c r="M3471" t="s">
        <v>12</v>
      </c>
      <c r="N3471" s="2">
        <v>0</v>
      </c>
      <c r="O3471" s="2">
        <v>7896</v>
      </c>
      <c r="P3471" s="2">
        <v>0</v>
      </c>
      <c r="Q3471" s="2">
        <v>7896</v>
      </c>
      <c r="R3471" s="2">
        <v>0</v>
      </c>
      <c r="S3471" s="2">
        <v>7896</v>
      </c>
      <c r="T3471" s="2">
        <v>7896</v>
      </c>
      <c r="U3471" s="2">
        <v>0</v>
      </c>
      <c r="V3471" s="2">
        <v>0</v>
      </c>
      <c r="W3471" s="2">
        <v>0</v>
      </c>
    </row>
    <row r="3472" spans="1:23" outlineLevel="2" x14ac:dyDescent="0.2">
      <c r="A3472" t="s">
        <v>999</v>
      </c>
      <c r="B3472" t="s">
        <v>39</v>
      </c>
      <c r="C3472" t="s">
        <v>70</v>
      </c>
      <c r="D3472" t="s">
        <v>89</v>
      </c>
      <c r="E3472" t="s">
        <v>90</v>
      </c>
      <c r="F3472" t="s">
        <v>1618</v>
      </c>
      <c r="G3472" t="s">
        <v>1619</v>
      </c>
      <c r="H3472" t="s">
        <v>1643</v>
      </c>
      <c r="I3472" t="s">
        <v>1644</v>
      </c>
      <c r="J3472" t="s">
        <v>1000</v>
      </c>
      <c r="K3472" t="s">
        <v>1061</v>
      </c>
      <c r="L3472" t="s">
        <v>1656</v>
      </c>
      <c r="M3472" t="s">
        <v>12</v>
      </c>
      <c r="N3472" s="2">
        <v>1280114</v>
      </c>
      <c r="O3472" s="2">
        <v>-6998</v>
      </c>
      <c r="P3472" s="2">
        <v>-1500</v>
      </c>
      <c r="Q3472" s="2">
        <v>1271616</v>
      </c>
      <c r="R3472" s="2">
        <v>0.05</v>
      </c>
      <c r="S3472" s="2">
        <v>340916.34</v>
      </c>
      <c r="T3472" s="2">
        <v>340916.34</v>
      </c>
      <c r="U3472" s="2">
        <v>930699.66</v>
      </c>
      <c r="V3472" s="2">
        <v>930699.66</v>
      </c>
      <c r="W3472" s="2">
        <v>930699.61</v>
      </c>
    </row>
    <row r="3473" spans="1:23" outlineLevel="2" x14ac:dyDescent="0.2">
      <c r="A3473" t="s">
        <v>999</v>
      </c>
      <c r="B3473" t="s">
        <v>39</v>
      </c>
      <c r="C3473" t="s">
        <v>70</v>
      </c>
      <c r="D3473" t="s">
        <v>89</v>
      </c>
      <c r="E3473" t="s">
        <v>90</v>
      </c>
      <c r="F3473" t="s">
        <v>1618</v>
      </c>
      <c r="G3473" t="s">
        <v>1619</v>
      </c>
      <c r="H3473" t="s">
        <v>1643</v>
      </c>
      <c r="I3473" t="s">
        <v>1644</v>
      </c>
      <c r="J3473" t="s">
        <v>1000</v>
      </c>
      <c r="K3473" t="s">
        <v>1061</v>
      </c>
      <c r="L3473" t="s">
        <v>1656</v>
      </c>
      <c r="M3473" t="s">
        <v>15</v>
      </c>
      <c r="N3473" s="2">
        <v>40854.720000000001</v>
      </c>
      <c r="O3473" s="2">
        <v>0</v>
      </c>
      <c r="P3473" s="2">
        <v>-21797.47</v>
      </c>
      <c r="Q3473" s="2">
        <v>19057.25</v>
      </c>
      <c r="R3473" s="2">
        <v>0</v>
      </c>
      <c r="S3473" s="2">
        <v>19057.25</v>
      </c>
      <c r="T3473" s="2">
        <v>19057.25</v>
      </c>
      <c r="U3473" s="2">
        <v>0</v>
      </c>
      <c r="V3473" s="2">
        <v>0</v>
      </c>
      <c r="W3473" s="2">
        <v>0</v>
      </c>
    </row>
    <row r="3474" spans="1:23" outlineLevel="2" x14ac:dyDescent="0.2">
      <c r="A3474" t="s">
        <v>999</v>
      </c>
      <c r="B3474" t="s">
        <v>39</v>
      </c>
      <c r="C3474" t="s">
        <v>70</v>
      </c>
      <c r="D3474" t="s">
        <v>89</v>
      </c>
      <c r="E3474" t="s">
        <v>90</v>
      </c>
      <c r="F3474" t="s">
        <v>1618</v>
      </c>
      <c r="G3474" t="s">
        <v>1619</v>
      </c>
      <c r="H3474" t="s">
        <v>1643</v>
      </c>
      <c r="I3474" t="s">
        <v>1644</v>
      </c>
      <c r="J3474" t="s">
        <v>1000</v>
      </c>
      <c r="K3474" t="s">
        <v>1381</v>
      </c>
      <c r="L3474" t="s">
        <v>1657</v>
      </c>
      <c r="M3474" t="s">
        <v>12</v>
      </c>
      <c r="N3474" s="2">
        <v>200000</v>
      </c>
      <c r="O3474" s="2">
        <v>0</v>
      </c>
      <c r="P3474" s="2">
        <v>0</v>
      </c>
      <c r="Q3474" s="2">
        <v>200000</v>
      </c>
      <c r="R3474" s="2">
        <v>0</v>
      </c>
      <c r="S3474" s="2">
        <v>170733</v>
      </c>
      <c r="T3474" s="2">
        <v>118655.44</v>
      </c>
      <c r="U3474" s="2">
        <v>29267</v>
      </c>
      <c r="V3474" s="2">
        <v>81344.56</v>
      </c>
      <c r="W3474" s="2">
        <v>29267</v>
      </c>
    </row>
    <row r="3475" spans="1:23" outlineLevel="2" x14ac:dyDescent="0.2">
      <c r="A3475" t="s">
        <v>999</v>
      </c>
      <c r="B3475" t="s">
        <v>39</v>
      </c>
      <c r="C3475" t="s">
        <v>70</v>
      </c>
      <c r="D3475" t="s">
        <v>71</v>
      </c>
      <c r="E3475" t="s">
        <v>72</v>
      </c>
      <c r="F3475" t="s">
        <v>1618</v>
      </c>
      <c r="G3475" t="s">
        <v>1619</v>
      </c>
      <c r="H3475" t="s">
        <v>1643</v>
      </c>
      <c r="I3475" t="s">
        <v>1644</v>
      </c>
      <c r="J3475" t="s">
        <v>1000</v>
      </c>
      <c r="K3475" t="s">
        <v>1313</v>
      </c>
      <c r="L3475" t="s">
        <v>1658</v>
      </c>
      <c r="M3475" t="s">
        <v>12</v>
      </c>
      <c r="N3475" s="2">
        <v>0</v>
      </c>
      <c r="O3475" s="2">
        <v>9555.84</v>
      </c>
      <c r="P3475" s="2">
        <v>0</v>
      </c>
      <c r="Q3475" s="2">
        <v>9555.84</v>
      </c>
      <c r="R3475" s="2">
        <v>2971.78</v>
      </c>
      <c r="S3475" s="2">
        <v>6584.06</v>
      </c>
      <c r="T3475" s="2">
        <v>6584.06</v>
      </c>
      <c r="U3475" s="2">
        <v>2971.78</v>
      </c>
      <c r="V3475" s="2">
        <v>2971.78</v>
      </c>
      <c r="W3475" s="2">
        <v>0</v>
      </c>
    </row>
    <row r="3476" spans="1:23" outlineLevel="2" x14ac:dyDescent="0.2">
      <c r="A3476" t="s">
        <v>999</v>
      </c>
      <c r="B3476" t="s">
        <v>39</v>
      </c>
      <c r="C3476" t="s">
        <v>58</v>
      </c>
      <c r="D3476" t="s">
        <v>129</v>
      </c>
      <c r="E3476" t="s">
        <v>130</v>
      </c>
      <c r="F3476" t="s">
        <v>1618</v>
      </c>
      <c r="G3476" t="s">
        <v>1619</v>
      </c>
      <c r="H3476" t="s">
        <v>1643</v>
      </c>
      <c r="I3476" t="s">
        <v>1644</v>
      </c>
      <c r="J3476" t="s">
        <v>1000</v>
      </c>
      <c r="K3476" t="s">
        <v>1313</v>
      </c>
      <c r="L3476" t="s">
        <v>1659</v>
      </c>
      <c r="M3476" t="s">
        <v>12</v>
      </c>
      <c r="N3476" s="2">
        <v>500</v>
      </c>
      <c r="O3476" s="2">
        <v>0</v>
      </c>
      <c r="P3476" s="2">
        <v>0</v>
      </c>
      <c r="Q3476" s="2">
        <v>500</v>
      </c>
      <c r="R3476" s="2">
        <v>242.69</v>
      </c>
      <c r="S3476" s="2">
        <v>257.08999999999997</v>
      </c>
      <c r="T3476" s="2">
        <v>0</v>
      </c>
      <c r="U3476" s="2">
        <v>242.91</v>
      </c>
      <c r="V3476" s="2">
        <v>500</v>
      </c>
      <c r="W3476" s="2">
        <v>0.22</v>
      </c>
    </row>
    <row r="3477" spans="1:23" outlineLevel="2" x14ac:dyDescent="0.2">
      <c r="A3477" t="s">
        <v>999</v>
      </c>
      <c r="B3477" t="s">
        <v>39</v>
      </c>
      <c r="C3477" t="s">
        <v>70</v>
      </c>
      <c r="D3477" t="s">
        <v>89</v>
      </c>
      <c r="E3477" t="s">
        <v>90</v>
      </c>
      <c r="F3477" t="s">
        <v>1618</v>
      </c>
      <c r="G3477" t="s">
        <v>1619</v>
      </c>
      <c r="H3477" t="s">
        <v>1643</v>
      </c>
      <c r="I3477" t="s">
        <v>1644</v>
      </c>
      <c r="J3477" t="s">
        <v>1000</v>
      </c>
      <c r="K3477" t="s">
        <v>1313</v>
      </c>
      <c r="L3477" t="s">
        <v>1658</v>
      </c>
      <c r="M3477" t="s">
        <v>12</v>
      </c>
      <c r="N3477" s="2">
        <v>1613</v>
      </c>
      <c r="O3477" s="2">
        <v>0</v>
      </c>
      <c r="P3477" s="2">
        <v>-1613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</row>
    <row r="3478" spans="1:23" outlineLevel="2" x14ac:dyDescent="0.2">
      <c r="A3478" t="s">
        <v>999</v>
      </c>
      <c r="B3478" t="s">
        <v>39</v>
      </c>
      <c r="C3478" t="s">
        <v>58</v>
      </c>
      <c r="D3478" t="s">
        <v>137</v>
      </c>
      <c r="E3478" t="s">
        <v>138</v>
      </c>
      <c r="F3478" t="s">
        <v>1618</v>
      </c>
      <c r="G3478" t="s">
        <v>1619</v>
      </c>
      <c r="H3478" t="s">
        <v>1643</v>
      </c>
      <c r="I3478" t="s">
        <v>1644</v>
      </c>
      <c r="J3478" t="s">
        <v>1000</v>
      </c>
      <c r="K3478" t="s">
        <v>1092</v>
      </c>
      <c r="L3478" t="s">
        <v>1660</v>
      </c>
      <c r="M3478" t="s">
        <v>12</v>
      </c>
      <c r="N3478" s="2">
        <v>1000</v>
      </c>
      <c r="O3478" s="2">
        <v>0</v>
      </c>
      <c r="P3478" s="2">
        <v>-1000</v>
      </c>
      <c r="Q3478" s="2">
        <v>0</v>
      </c>
      <c r="R3478" s="2">
        <v>0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</row>
    <row r="3479" spans="1:23" outlineLevel="2" x14ac:dyDescent="0.2">
      <c r="A3479" t="s">
        <v>999</v>
      </c>
      <c r="B3479" t="s">
        <v>39</v>
      </c>
      <c r="C3479" t="s">
        <v>70</v>
      </c>
      <c r="D3479" t="s">
        <v>89</v>
      </c>
      <c r="E3479" t="s">
        <v>90</v>
      </c>
      <c r="F3479" t="s">
        <v>1618</v>
      </c>
      <c r="G3479" t="s">
        <v>1619</v>
      </c>
      <c r="H3479" t="s">
        <v>1643</v>
      </c>
      <c r="I3479" t="s">
        <v>1644</v>
      </c>
      <c r="J3479" t="s">
        <v>1000</v>
      </c>
      <c r="K3479" t="s">
        <v>1386</v>
      </c>
      <c r="L3479" t="s">
        <v>1661</v>
      </c>
      <c r="M3479" t="s">
        <v>12</v>
      </c>
      <c r="N3479" s="2">
        <v>950</v>
      </c>
      <c r="O3479" s="2">
        <v>0</v>
      </c>
      <c r="P3479" s="2">
        <v>-950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</row>
    <row r="3480" spans="1:23" outlineLevel="2" x14ac:dyDescent="0.2">
      <c r="A3480" t="s">
        <v>999</v>
      </c>
      <c r="B3480" t="s">
        <v>39</v>
      </c>
      <c r="C3480" t="s">
        <v>70</v>
      </c>
      <c r="D3480" t="s">
        <v>89</v>
      </c>
      <c r="E3480" t="s">
        <v>90</v>
      </c>
      <c r="F3480" t="s">
        <v>1618</v>
      </c>
      <c r="G3480" t="s">
        <v>1619</v>
      </c>
      <c r="H3480" t="s">
        <v>1643</v>
      </c>
      <c r="I3480" t="s">
        <v>1644</v>
      </c>
      <c r="J3480" t="s">
        <v>1000</v>
      </c>
      <c r="K3480" t="s">
        <v>1388</v>
      </c>
      <c r="L3480" t="s">
        <v>1662</v>
      </c>
      <c r="M3480" t="s">
        <v>12</v>
      </c>
      <c r="N3480" s="2">
        <v>1250</v>
      </c>
      <c r="O3480" s="2">
        <v>0</v>
      </c>
      <c r="P3480" s="2">
        <v>-1250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</row>
    <row r="3481" spans="1:23" outlineLevel="2" x14ac:dyDescent="0.2">
      <c r="A3481" t="s">
        <v>999</v>
      </c>
      <c r="B3481" t="s">
        <v>39</v>
      </c>
      <c r="C3481" t="s">
        <v>70</v>
      </c>
      <c r="D3481" t="s">
        <v>71</v>
      </c>
      <c r="E3481" t="s">
        <v>72</v>
      </c>
      <c r="F3481" t="s">
        <v>1618</v>
      </c>
      <c r="G3481" t="s">
        <v>1619</v>
      </c>
      <c r="H3481" t="s">
        <v>1643</v>
      </c>
      <c r="I3481" t="s">
        <v>1644</v>
      </c>
      <c r="J3481" t="s">
        <v>1000</v>
      </c>
      <c r="K3481" t="s">
        <v>1082</v>
      </c>
      <c r="L3481" t="s">
        <v>1663</v>
      </c>
      <c r="M3481" t="s">
        <v>12</v>
      </c>
      <c r="N3481" s="2">
        <v>20000</v>
      </c>
      <c r="O3481" s="2">
        <v>0</v>
      </c>
      <c r="P3481" s="2">
        <v>-20000</v>
      </c>
      <c r="Q3481" s="2">
        <v>0</v>
      </c>
      <c r="R3481" s="2">
        <v>0</v>
      </c>
      <c r="S3481" s="2">
        <v>0</v>
      </c>
      <c r="T3481" s="2">
        <v>0</v>
      </c>
      <c r="U3481" s="2">
        <v>0</v>
      </c>
      <c r="V3481" s="2">
        <v>0</v>
      </c>
      <c r="W3481" s="2">
        <v>0</v>
      </c>
    </row>
    <row r="3482" spans="1:23" outlineLevel="2" x14ac:dyDescent="0.2">
      <c r="A3482" t="s">
        <v>999</v>
      </c>
      <c r="B3482" t="s">
        <v>39</v>
      </c>
      <c r="C3482" t="s">
        <v>58</v>
      </c>
      <c r="D3482" t="s">
        <v>149</v>
      </c>
      <c r="E3482" t="s">
        <v>150</v>
      </c>
      <c r="F3482" t="s">
        <v>1618</v>
      </c>
      <c r="G3482" t="s">
        <v>1619</v>
      </c>
      <c r="H3482" t="s">
        <v>1643</v>
      </c>
      <c r="I3482" t="s">
        <v>1644</v>
      </c>
      <c r="J3482" t="s">
        <v>1000</v>
      </c>
      <c r="K3482" t="s">
        <v>1082</v>
      </c>
      <c r="L3482" t="s">
        <v>1637</v>
      </c>
      <c r="M3482" t="s">
        <v>12</v>
      </c>
      <c r="N3482" s="2">
        <v>5500</v>
      </c>
      <c r="O3482" s="2">
        <v>-5500</v>
      </c>
      <c r="P3482" s="2">
        <v>0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0</v>
      </c>
    </row>
    <row r="3483" spans="1:23" outlineLevel="2" x14ac:dyDescent="0.2">
      <c r="A3483" t="s">
        <v>999</v>
      </c>
      <c r="B3483" t="s">
        <v>39</v>
      </c>
      <c r="C3483" t="s">
        <v>58</v>
      </c>
      <c r="D3483" t="s">
        <v>129</v>
      </c>
      <c r="E3483" t="s">
        <v>130</v>
      </c>
      <c r="F3483" t="s">
        <v>1618</v>
      </c>
      <c r="G3483" t="s">
        <v>1619</v>
      </c>
      <c r="H3483" t="s">
        <v>1643</v>
      </c>
      <c r="I3483" t="s">
        <v>1644</v>
      </c>
      <c r="J3483" t="s">
        <v>1000</v>
      </c>
      <c r="K3483" t="s">
        <v>1082</v>
      </c>
      <c r="L3483" t="s">
        <v>1637</v>
      </c>
      <c r="M3483" t="s">
        <v>12</v>
      </c>
      <c r="N3483" s="2">
        <v>500</v>
      </c>
      <c r="O3483" s="2">
        <v>0</v>
      </c>
      <c r="P3483" s="2">
        <v>0</v>
      </c>
      <c r="Q3483" s="2">
        <v>500</v>
      </c>
      <c r="R3483" s="2">
        <v>0</v>
      </c>
      <c r="S3483" s="2">
        <v>497.17</v>
      </c>
      <c r="T3483" s="2">
        <v>497.17</v>
      </c>
      <c r="U3483" s="2">
        <v>2.83</v>
      </c>
      <c r="V3483" s="2">
        <v>2.83</v>
      </c>
      <c r="W3483" s="2">
        <v>2.83</v>
      </c>
    </row>
    <row r="3484" spans="1:23" outlineLevel="2" x14ac:dyDescent="0.2">
      <c r="A3484" t="s">
        <v>999</v>
      </c>
      <c r="B3484" t="s">
        <v>39</v>
      </c>
      <c r="C3484" t="s">
        <v>58</v>
      </c>
      <c r="D3484" t="s">
        <v>145</v>
      </c>
      <c r="E3484" t="s">
        <v>146</v>
      </c>
      <c r="F3484" t="s">
        <v>1618</v>
      </c>
      <c r="G3484" t="s">
        <v>1619</v>
      </c>
      <c r="H3484" t="s">
        <v>1643</v>
      </c>
      <c r="I3484" t="s">
        <v>1644</v>
      </c>
      <c r="J3484" t="s">
        <v>1000</v>
      </c>
      <c r="K3484" t="s">
        <v>1082</v>
      </c>
      <c r="L3484" t="s">
        <v>1637</v>
      </c>
      <c r="M3484" t="s">
        <v>12</v>
      </c>
      <c r="N3484" s="2">
        <v>5500</v>
      </c>
      <c r="O3484" s="2">
        <v>0</v>
      </c>
      <c r="P3484" s="2">
        <v>-5500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</row>
    <row r="3485" spans="1:23" outlineLevel="2" x14ac:dyDescent="0.2">
      <c r="A3485" t="s">
        <v>999</v>
      </c>
      <c r="B3485" t="s">
        <v>39</v>
      </c>
      <c r="C3485" t="s">
        <v>58</v>
      </c>
      <c r="D3485" t="s">
        <v>135</v>
      </c>
      <c r="E3485" t="s">
        <v>136</v>
      </c>
      <c r="F3485" t="s">
        <v>1618</v>
      </c>
      <c r="G3485" t="s">
        <v>1619</v>
      </c>
      <c r="H3485" t="s">
        <v>1643</v>
      </c>
      <c r="I3485" t="s">
        <v>1644</v>
      </c>
      <c r="J3485" t="s">
        <v>1000</v>
      </c>
      <c r="K3485" t="s">
        <v>1082</v>
      </c>
      <c r="L3485" t="s">
        <v>1637</v>
      </c>
      <c r="M3485" t="s">
        <v>12</v>
      </c>
      <c r="N3485" s="2">
        <v>5500</v>
      </c>
      <c r="O3485" s="2">
        <v>0</v>
      </c>
      <c r="P3485" s="2">
        <v>0</v>
      </c>
      <c r="Q3485" s="2">
        <v>5500</v>
      </c>
      <c r="R3485" s="2">
        <v>0</v>
      </c>
      <c r="S3485" s="2">
        <v>0</v>
      </c>
      <c r="T3485" s="2">
        <v>0</v>
      </c>
      <c r="U3485" s="2">
        <v>5500</v>
      </c>
      <c r="V3485" s="2">
        <v>5500</v>
      </c>
      <c r="W3485" s="2">
        <v>5500</v>
      </c>
    </row>
    <row r="3486" spans="1:23" outlineLevel="2" x14ac:dyDescent="0.2">
      <c r="A3486" t="s">
        <v>999</v>
      </c>
      <c r="B3486" t="s">
        <v>39</v>
      </c>
      <c r="C3486" t="s">
        <v>58</v>
      </c>
      <c r="D3486" t="s">
        <v>137</v>
      </c>
      <c r="E3486" t="s">
        <v>138</v>
      </c>
      <c r="F3486" t="s">
        <v>1618</v>
      </c>
      <c r="G3486" t="s">
        <v>1619</v>
      </c>
      <c r="H3486" t="s">
        <v>1643</v>
      </c>
      <c r="I3486" t="s">
        <v>1644</v>
      </c>
      <c r="J3486" t="s">
        <v>1000</v>
      </c>
      <c r="K3486" t="s">
        <v>1082</v>
      </c>
      <c r="L3486" t="s">
        <v>1637</v>
      </c>
      <c r="M3486" t="s">
        <v>12</v>
      </c>
      <c r="N3486" s="2">
        <v>3500</v>
      </c>
      <c r="O3486" s="2">
        <v>0</v>
      </c>
      <c r="P3486" s="2">
        <v>-3500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</row>
    <row r="3487" spans="1:23" outlineLevel="2" x14ac:dyDescent="0.2">
      <c r="A3487" t="s">
        <v>999</v>
      </c>
      <c r="B3487" t="s">
        <v>39</v>
      </c>
      <c r="C3487" t="s">
        <v>58</v>
      </c>
      <c r="D3487" t="s">
        <v>59</v>
      </c>
      <c r="E3487" t="s">
        <v>60</v>
      </c>
      <c r="F3487" t="s">
        <v>1618</v>
      </c>
      <c r="G3487" t="s">
        <v>1619</v>
      </c>
      <c r="H3487" t="s">
        <v>1643</v>
      </c>
      <c r="I3487" t="s">
        <v>1644</v>
      </c>
      <c r="J3487" t="s">
        <v>1000</v>
      </c>
      <c r="K3487" t="s">
        <v>1082</v>
      </c>
      <c r="L3487" t="s">
        <v>1637</v>
      </c>
      <c r="M3487" t="s">
        <v>12</v>
      </c>
      <c r="N3487" s="2">
        <v>4700</v>
      </c>
      <c r="O3487" s="2">
        <v>0</v>
      </c>
      <c r="P3487" s="2">
        <v>-4700</v>
      </c>
      <c r="Q3487" s="2">
        <v>0</v>
      </c>
      <c r="R3487" s="2">
        <v>0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</row>
    <row r="3488" spans="1:23" outlineLevel="2" x14ac:dyDescent="0.2">
      <c r="A3488" t="s">
        <v>999</v>
      </c>
      <c r="B3488" t="s">
        <v>39</v>
      </c>
      <c r="C3488" t="s">
        <v>58</v>
      </c>
      <c r="D3488" t="s">
        <v>139</v>
      </c>
      <c r="E3488" t="s">
        <v>140</v>
      </c>
      <c r="F3488" t="s">
        <v>1618</v>
      </c>
      <c r="G3488" t="s">
        <v>1619</v>
      </c>
      <c r="H3488" t="s">
        <v>1643</v>
      </c>
      <c r="I3488" t="s">
        <v>1644</v>
      </c>
      <c r="J3488" t="s">
        <v>1000</v>
      </c>
      <c r="K3488" t="s">
        <v>1082</v>
      </c>
      <c r="L3488" t="s">
        <v>1637</v>
      </c>
      <c r="M3488" t="s">
        <v>12</v>
      </c>
      <c r="N3488" s="2">
        <v>5500</v>
      </c>
      <c r="O3488" s="2">
        <v>0</v>
      </c>
      <c r="P3488" s="2">
        <v>-5500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</row>
    <row r="3489" spans="1:23" outlineLevel="2" x14ac:dyDescent="0.2">
      <c r="A3489" t="s">
        <v>999</v>
      </c>
      <c r="B3489" t="s">
        <v>39</v>
      </c>
      <c r="C3489" t="s">
        <v>58</v>
      </c>
      <c r="D3489" t="s">
        <v>147</v>
      </c>
      <c r="E3489" t="s">
        <v>148</v>
      </c>
      <c r="F3489" t="s">
        <v>1618</v>
      </c>
      <c r="G3489" t="s">
        <v>1619</v>
      </c>
      <c r="H3489" t="s">
        <v>1643</v>
      </c>
      <c r="I3489" t="s">
        <v>1644</v>
      </c>
      <c r="J3489" t="s">
        <v>1000</v>
      </c>
      <c r="K3489" t="s">
        <v>1082</v>
      </c>
      <c r="L3489" t="s">
        <v>1637</v>
      </c>
      <c r="M3489" t="s">
        <v>12</v>
      </c>
      <c r="N3489" s="2">
        <v>4500</v>
      </c>
      <c r="O3489" s="2">
        <v>0</v>
      </c>
      <c r="P3489" s="2">
        <v>-4500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</row>
    <row r="3490" spans="1:23" outlineLevel="2" x14ac:dyDescent="0.2">
      <c r="A3490" t="s">
        <v>999</v>
      </c>
      <c r="B3490" t="s">
        <v>39</v>
      </c>
      <c r="C3490" t="s">
        <v>58</v>
      </c>
      <c r="D3490" t="s">
        <v>143</v>
      </c>
      <c r="E3490" t="s">
        <v>144</v>
      </c>
      <c r="F3490" t="s">
        <v>1618</v>
      </c>
      <c r="G3490" t="s">
        <v>1619</v>
      </c>
      <c r="H3490" t="s">
        <v>1643</v>
      </c>
      <c r="I3490" t="s">
        <v>1644</v>
      </c>
      <c r="J3490" t="s">
        <v>1000</v>
      </c>
      <c r="K3490" t="s">
        <v>1082</v>
      </c>
      <c r="L3490" t="s">
        <v>1637</v>
      </c>
      <c r="M3490" t="s">
        <v>12</v>
      </c>
      <c r="N3490" s="2">
        <v>5500</v>
      </c>
      <c r="O3490" s="2">
        <v>0</v>
      </c>
      <c r="P3490" s="2">
        <v>-1867.28</v>
      </c>
      <c r="Q3490" s="2">
        <v>3632.72</v>
      </c>
      <c r="R3490" s="2">
        <v>0</v>
      </c>
      <c r="S3490" s="2">
        <v>3632.72</v>
      </c>
      <c r="T3490" s="2">
        <v>3632.72</v>
      </c>
      <c r="U3490" s="2">
        <v>0</v>
      </c>
      <c r="V3490" s="2">
        <v>0</v>
      </c>
      <c r="W3490" s="2">
        <v>0</v>
      </c>
    </row>
    <row r="3491" spans="1:23" outlineLevel="2" x14ac:dyDescent="0.2">
      <c r="A3491" t="s">
        <v>999</v>
      </c>
      <c r="B3491" t="s">
        <v>39</v>
      </c>
      <c r="C3491" t="s">
        <v>70</v>
      </c>
      <c r="D3491" t="s">
        <v>89</v>
      </c>
      <c r="E3491" t="s">
        <v>90</v>
      </c>
      <c r="F3491" t="s">
        <v>1618</v>
      </c>
      <c r="G3491" t="s">
        <v>1619</v>
      </c>
      <c r="H3491" t="s">
        <v>1643</v>
      </c>
      <c r="I3491" t="s">
        <v>1644</v>
      </c>
      <c r="J3491" t="s">
        <v>1000</v>
      </c>
      <c r="K3491" t="s">
        <v>1084</v>
      </c>
      <c r="L3491" t="s">
        <v>1638</v>
      </c>
      <c r="M3491" t="s">
        <v>12</v>
      </c>
      <c r="N3491" s="2">
        <v>4000</v>
      </c>
      <c r="O3491" s="2">
        <v>0</v>
      </c>
      <c r="P3491" s="2">
        <v>-4000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</row>
    <row r="3492" spans="1:23" outlineLevel="2" x14ac:dyDescent="0.2">
      <c r="A3492" t="s">
        <v>999</v>
      </c>
      <c r="B3492" t="s">
        <v>39</v>
      </c>
      <c r="C3492" t="s">
        <v>70</v>
      </c>
      <c r="D3492" t="s">
        <v>89</v>
      </c>
      <c r="E3492" t="s">
        <v>90</v>
      </c>
      <c r="F3492" t="s">
        <v>1618</v>
      </c>
      <c r="G3492" t="s">
        <v>1619</v>
      </c>
      <c r="H3492" t="s">
        <v>1643</v>
      </c>
      <c r="I3492" t="s">
        <v>1644</v>
      </c>
      <c r="J3492" t="s">
        <v>1000</v>
      </c>
      <c r="K3492" t="s">
        <v>1194</v>
      </c>
      <c r="L3492" t="s">
        <v>1640</v>
      </c>
      <c r="M3492" t="s">
        <v>12</v>
      </c>
      <c r="N3492" s="2">
        <v>514000</v>
      </c>
      <c r="O3492" s="2">
        <v>0</v>
      </c>
      <c r="P3492" s="2">
        <v>-53767</v>
      </c>
      <c r="Q3492" s="2">
        <v>460233</v>
      </c>
      <c r="R3492" s="2">
        <v>7492.16</v>
      </c>
      <c r="S3492" s="2">
        <v>186377.22</v>
      </c>
      <c r="T3492" s="2">
        <v>115572.65</v>
      </c>
      <c r="U3492" s="2">
        <v>273855.78000000003</v>
      </c>
      <c r="V3492" s="2">
        <v>344660.35</v>
      </c>
      <c r="W3492" s="2">
        <v>266363.62</v>
      </c>
    </row>
    <row r="3493" spans="1:23" outlineLevel="2" x14ac:dyDescent="0.2">
      <c r="A3493" t="s">
        <v>999</v>
      </c>
      <c r="B3493" t="s">
        <v>39</v>
      </c>
      <c r="C3493" t="s">
        <v>70</v>
      </c>
      <c r="D3493" t="s">
        <v>89</v>
      </c>
      <c r="E3493" t="s">
        <v>90</v>
      </c>
      <c r="F3493" t="s">
        <v>1618</v>
      </c>
      <c r="G3493" t="s">
        <v>1619</v>
      </c>
      <c r="H3493" t="s">
        <v>1643</v>
      </c>
      <c r="I3493" t="s">
        <v>1644</v>
      </c>
      <c r="J3493" t="s">
        <v>1000</v>
      </c>
      <c r="K3493" t="s">
        <v>1118</v>
      </c>
      <c r="L3493" t="s">
        <v>1664</v>
      </c>
      <c r="M3493" t="s">
        <v>12</v>
      </c>
      <c r="N3493" s="2">
        <v>100</v>
      </c>
      <c r="O3493" s="2">
        <v>0</v>
      </c>
      <c r="P3493" s="2">
        <v>-100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</row>
    <row r="3494" spans="1:23" outlineLevel="2" x14ac:dyDescent="0.2">
      <c r="A3494" t="s">
        <v>999</v>
      </c>
      <c r="B3494" t="s">
        <v>39</v>
      </c>
      <c r="C3494" t="s">
        <v>70</v>
      </c>
      <c r="D3494" t="s">
        <v>89</v>
      </c>
      <c r="E3494" t="s">
        <v>90</v>
      </c>
      <c r="F3494" t="s">
        <v>1618</v>
      </c>
      <c r="G3494" t="s">
        <v>1619</v>
      </c>
      <c r="H3494" t="s">
        <v>1643</v>
      </c>
      <c r="I3494" t="s">
        <v>1644</v>
      </c>
      <c r="J3494" t="s">
        <v>1000</v>
      </c>
      <c r="K3494" t="s">
        <v>1592</v>
      </c>
      <c r="L3494" t="s">
        <v>1665</v>
      </c>
      <c r="M3494" t="s">
        <v>12</v>
      </c>
      <c r="N3494" s="2">
        <v>124000</v>
      </c>
      <c r="O3494" s="2">
        <v>0</v>
      </c>
      <c r="P3494" s="2">
        <v>-22000</v>
      </c>
      <c r="Q3494" s="2">
        <v>102000</v>
      </c>
      <c r="R3494" s="2">
        <v>25854.61</v>
      </c>
      <c r="S3494" s="2">
        <v>70593.929999999993</v>
      </c>
      <c r="T3494" s="2">
        <v>11168.69</v>
      </c>
      <c r="U3494" s="2">
        <v>31406.07</v>
      </c>
      <c r="V3494" s="2">
        <v>90831.31</v>
      </c>
      <c r="W3494" s="2">
        <v>5551.46</v>
      </c>
    </row>
    <row r="3495" spans="1:23" outlineLevel="2" x14ac:dyDescent="0.2">
      <c r="A3495" t="s">
        <v>999</v>
      </c>
      <c r="B3495" t="s">
        <v>39</v>
      </c>
      <c r="C3495" t="s">
        <v>70</v>
      </c>
      <c r="D3495" t="s">
        <v>89</v>
      </c>
      <c r="E3495" t="s">
        <v>90</v>
      </c>
      <c r="F3495" t="s">
        <v>1618</v>
      </c>
      <c r="G3495" t="s">
        <v>1619</v>
      </c>
      <c r="H3495" t="s">
        <v>1643</v>
      </c>
      <c r="I3495" t="s">
        <v>1644</v>
      </c>
      <c r="J3495" t="s">
        <v>1000</v>
      </c>
      <c r="K3495" t="s">
        <v>1343</v>
      </c>
      <c r="L3495" t="s">
        <v>1666</v>
      </c>
      <c r="M3495" t="s">
        <v>12</v>
      </c>
      <c r="N3495" s="2">
        <v>67000</v>
      </c>
      <c r="O3495" s="2">
        <v>0</v>
      </c>
      <c r="P3495" s="2">
        <v>-32500</v>
      </c>
      <c r="Q3495" s="2">
        <v>34500</v>
      </c>
      <c r="R3495" s="2">
        <v>0</v>
      </c>
      <c r="S3495" s="2">
        <v>0</v>
      </c>
      <c r="T3495" s="2">
        <v>0</v>
      </c>
      <c r="U3495" s="2">
        <v>34500</v>
      </c>
      <c r="V3495" s="2">
        <v>34500</v>
      </c>
      <c r="W3495" s="2">
        <v>34500</v>
      </c>
    </row>
    <row r="3496" spans="1:23" outlineLevel="2" x14ac:dyDescent="0.2">
      <c r="A3496" t="s">
        <v>999</v>
      </c>
      <c r="B3496" t="s">
        <v>39</v>
      </c>
      <c r="C3496" t="s">
        <v>70</v>
      </c>
      <c r="D3496" t="s">
        <v>89</v>
      </c>
      <c r="E3496" t="s">
        <v>90</v>
      </c>
      <c r="F3496" t="s">
        <v>1618</v>
      </c>
      <c r="G3496" t="s">
        <v>1619</v>
      </c>
      <c r="H3496" t="s">
        <v>1643</v>
      </c>
      <c r="I3496" t="s">
        <v>1644</v>
      </c>
      <c r="J3496" t="s">
        <v>1000</v>
      </c>
      <c r="K3496" t="s">
        <v>1394</v>
      </c>
      <c r="L3496" t="s">
        <v>1667</v>
      </c>
      <c r="M3496" t="s">
        <v>12</v>
      </c>
      <c r="N3496" s="2">
        <v>7200</v>
      </c>
      <c r="O3496" s="2">
        <v>0</v>
      </c>
      <c r="P3496" s="2">
        <v>-7200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</row>
    <row r="3497" spans="1:23" outlineLevel="2" x14ac:dyDescent="0.2">
      <c r="A3497" t="s">
        <v>999</v>
      </c>
      <c r="B3497" t="s">
        <v>39</v>
      </c>
      <c r="C3497" t="s">
        <v>70</v>
      </c>
      <c r="D3497" t="s">
        <v>71</v>
      </c>
      <c r="E3497" t="s">
        <v>72</v>
      </c>
      <c r="F3497" t="s">
        <v>1618</v>
      </c>
      <c r="G3497" t="s">
        <v>1619</v>
      </c>
      <c r="H3497" t="s">
        <v>1643</v>
      </c>
      <c r="I3497" t="s">
        <v>1644</v>
      </c>
      <c r="J3497" t="s">
        <v>1000</v>
      </c>
      <c r="K3497" t="s">
        <v>1183</v>
      </c>
      <c r="L3497" t="s">
        <v>1668</v>
      </c>
      <c r="M3497" t="s">
        <v>12</v>
      </c>
      <c r="N3497" s="2">
        <v>0</v>
      </c>
      <c r="O3497" s="2">
        <v>1881.6</v>
      </c>
      <c r="P3497" s="2">
        <v>0</v>
      </c>
      <c r="Q3497" s="2">
        <v>1881.6</v>
      </c>
      <c r="R3497" s="2">
        <v>645.12</v>
      </c>
      <c r="S3497" s="2">
        <v>1236.48</v>
      </c>
      <c r="T3497" s="2">
        <v>1236.48</v>
      </c>
      <c r="U3497" s="2">
        <v>645.12</v>
      </c>
      <c r="V3497" s="2">
        <v>645.12</v>
      </c>
      <c r="W3497" s="2">
        <v>0</v>
      </c>
    </row>
    <row r="3498" spans="1:23" outlineLevel="2" x14ac:dyDescent="0.2">
      <c r="A3498" t="s">
        <v>999</v>
      </c>
      <c r="B3498" t="s">
        <v>39</v>
      </c>
      <c r="C3498" t="s">
        <v>70</v>
      </c>
      <c r="D3498" t="s">
        <v>89</v>
      </c>
      <c r="E3498" t="s">
        <v>90</v>
      </c>
      <c r="F3498" t="s">
        <v>1618</v>
      </c>
      <c r="G3498" t="s">
        <v>1619</v>
      </c>
      <c r="H3498" t="s">
        <v>1643</v>
      </c>
      <c r="I3498" t="s">
        <v>1644</v>
      </c>
      <c r="J3498" t="s">
        <v>1000</v>
      </c>
      <c r="K3498" t="s">
        <v>1183</v>
      </c>
      <c r="L3498" t="s">
        <v>1668</v>
      </c>
      <c r="M3498" t="s">
        <v>12</v>
      </c>
      <c r="N3498" s="2">
        <v>73418</v>
      </c>
      <c r="O3498" s="2">
        <v>0</v>
      </c>
      <c r="P3498" s="2">
        <v>-73418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</row>
    <row r="3499" spans="1:23" outlineLevel="2" x14ac:dyDescent="0.2">
      <c r="A3499" t="s">
        <v>999</v>
      </c>
      <c r="B3499" t="s">
        <v>39</v>
      </c>
      <c r="C3499" t="s">
        <v>58</v>
      </c>
      <c r="D3499" t="s">
        <v>147</v>
      </c>
      <c r="E3499" t="s">
        <v>148</v>
      </c>
      <c r="F3499" t="s">
        <v>1618</v>
      </c>
      <c r="G3499" t="s">
        <v>1619</v>
      </c>
      <c r="H3499" t="s">
        <v>1643</v>
      </c>
      <c r="I3499" t="s">
        <v>1644</v>
      </c>
      <c r="J3499" t="s">
        <v>1000</v>
      </c>
      <c r="K3499" t="s">
        <v>1023</v>
      </c>
      <c r="L3499" t="s">
        <v>1669</v>
      </c>
      <c r="M3499" t="s">
        <v>12</v>
      </c>
      <c r="N3499" s="2">
        <v>1000</v>
      </c>
      <c r="O3499" s="2">
        <v>0</v>
      </c>
      <c r="P3499" s="2">
        <v>-1000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</row>
    <row r="3500" spans="1:23" outlineLevel="2" x14ac:dyDescent="0.2">
      <c r="A3500" t="s">
        <v>999</v>
      </c>
      <c r="B3500" t="s">
        <v>39</v>
      </c>
      <c r="C3500" t="s">
        <v>70</v>
      </c>
      <c r="D3500" t="s">
        <v>89</v>
      </c>
      <c r="E3500" t="s">
        <v>90</v>
      </c>
      <c r="F3500" t="s">
        <v>1618</v>
      </c>
      <c r="G3500" t="s">
        <v>1619</v>
      </c>
      <c r="H3500" t="s">
        <v>1643</v>
      </c>
      <c r="I3500" t="s">
        <v>1644</v>
      </c>
      <c r="J3500" t="s">
        <v>1000</v>
      </c>
      <c r="K3500" t="s">
        <v>1023</v>
      </c>
      <c r="L3500" t="s">
        <v>1670</v>
      </c>
      <c r="M3500" t="s">
        <v>12</v>
      </c>
      <c r="N3500" s="2">
        <v>355</v>
      </c>
      <c r="O3500" s="2">
        <v>0</v>
      </c>
      <c r="P3500" s="2">
        <v>-355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</row>
    <row r="3501" spans="1:23" outlineLevel="2" x14ac:dyDescent="0.2">
      <c r="A3501" t="s">
        <v>999</v>
      </c>
      <c r="B3501" t="s">
        <v>39</v>
      </c>
      <c r="C3501" t="s">
        <v>70</v>
      </c>
      <c r="D3501" t="s">
        <v>71</v>
      </c>
      <c r="E3501" t="s">
        <v>72</v>
      </c>
      <c r="F3501" t="s">
        <v>1618</v>
      </c>
      <c r="G3501" t="s">
        <v>1619</v>
      </c>
      <c r="H3501" t="s">
        <v>1671</v>
      </c>
      <c r="I3501" t="s">
        <v>1672</v>
      </c>
      <c r="J3501" t="s">
        <v>1000</v>
      </c>
      <c r="K3501" t="s">
        <v>1037</v>
      </c>
      <c r="L3501" t="s">
        <v>1628</v>
      </c>
      <c r="M3501" t="s">
        <v>12</v>
      </c>
      <c r="N3501" s="2">
        <v>0</v>
      </c>
      <c r="O3501" s="2">
        <v>10000</v>
      </c>
      <c r="P3501" s="2">
        <v>-10000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</row>
    <row r="3502" spans="1:23" outlineLevel="2" x14ac:dyDescent="0.2">
      <c r="A3502" t="s">
        <v>999</v>
      </c>
      <c r="B3502" t="s">
        <v>39</v>
      </c>
      <c r="C3502" t="s">
        <v>70</v>
      </c>
      <c r="D3502" t="s">
        <v>71</v>
      </c>
      <c r="E3502" t="s">
        <v>72</v>
      </c>
      <c r="F3502" t="s">
        <v>1618</v>
      </c>
      <c r="G3502" t="s">
        <v>1619</v>
      </c>
      <c r="H3502" t="s">
        <v>1671</v>
      </c>
      <c r="I3502" t="s">
        <v>1672</v>
      </c>
      <c r="J3502" t="s">
        <v>1000</v>
      </c>
      <c r="K3502" t="s">
        <v>1039</v>
      </c>
      <c r="L3502" t="s">
        <v>1629</v>
      </c>
      <c r="M3502" t="s">
        <v>12</v>
      </c>
      <c r="N3502" s="2">
        <v>149500</v>
      </c>
      <c r="O3502" s="2">
        <v>-149500</v>
      </c>
      <c r="P3502" s="2">
        <v>0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</row>
    <row r="3503" spans="1:23" outlineLevel="2" x14ac:dyDescent="0.2">
      <c r="A3503" t="s">
        <v>999</v>
      </c>
      <c r="B3503" t="s">
        <v>39</v>
      </c>
      <c r="C3503" t="s">
        <v>70</v>
      </c>
      <c r="D3503" t="s">
        <v>71</v>
      </c>
      <c r="E3503" t="s">
        <v>72</v>
      </c>
      <c r="F3503" t="s">
        <v>1618</v>
      </c>
      <c r="G3503" t="s">
        <v>1619</v>
      </c>
      <c r="H3503" t="s">
        <v>1671</v>
      </c>
      <c r="I3503" t="s">
        <v>1672</v>
      </c>
      <c r="J3503" t="s">
        <v>1000</v>
      </c>
      <c r="K3503" t="s">
        <v>1327</v>
      </c>
      <c r="L3503" t="s">
        <v>1654</v>
      </c>
      <c r="M3503" t="s">
        <v>12</v>
      </c>
      <c r="N3503" s="2">
        <v>0</v>
      </c>
      <c r="O3503" s="2">
        <v>130500</v>
      </c>
      <c r="P3503" s="2">
        <v>-130500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</row>
    <row r="3504" spans="1:23" outlineLevel="2" x14ac:dyDescent="0.2">
      <c r="A3504" t="s">
        <v>999</v>
      </c>
      <c r="B3504" t="s">
        <v>39</v>
      </c>
      <c r="C3504" t="s">
        <v>70</v>
      </c>
      <c r="D3504" t="s">
        <v>71</v>
      </c>
      <c r="E3504" t="s">
        <v>72</v>
      </c>
      <c r="F3504" t="s">
        <v>1673</v>
      </c>
      <c r="G3504" t="s">
        <v>1674</v>
      </c>
      <c r="H3504" t="s">
        <v>1675</v>
      </c>
      <c r="I3504" t="s">
        <v>1676</v>
      </c>
      <c r="J3504" t="s">
        <v>1000</v>
      </c>
      <c r="K3504" t="s">
        <v>1037</v>
      </c>
      <c r="L3504" t="s">
        <v>1677</v>
      </c>
      <c r="M3504" t="s">
        <v>12</v>
      </c>
      <c r="N3504" s="2">
        <v>55000</v>
      </c>
      <c r="O3504" s="2">
        <v>0</v>
      </c>
      <c r="P3504" s="2">
        <v>-55000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</row>
    <row r="3505" spans="1:23" outlineLevel="2" x14ac:dyDescent="0.2">
      <c r="A3505" t="s">
        <v>999</v>
      </c>
      <c r="B3505" t="s">
        <v>39</v>
      </c>
      <c r="C3505" t="s">
        <v>58</v>
      </c>
      <c r="D3505" t="s">
        <v>139</v>
      </c>
      <c r="E3505" t="s">
        <v>140</v>
      </c>
      <c r="F3505" t="s">
        <v>1673</v>
      </c>
      <c r="G3505" t="s">
        <v>1674</v>
      </c>
      <c r="H3505" t="s">
        <v>1678</v>
      </c>
      <c r="I3505" t="s">
        <v>1679</v>
      </c>
      <c r="J3505" t="s">
        <v>1000</v>
      </c>
      <c r="K3505" t="s">
        <v>1524</v>
      </c>
      <c r="L3505" t="s">
        <v>1680</v>
      </c>
      <c r="M3505" t="s">
        <v>12</v>
      </c>
      <c r="N3505" s="2">
        <v>2000</v>
      </c>
      <c r="O3505" s="2">
        <v>0</v>
      </c>
      <c r="P3505" s="2">
        <v>-2000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</row>
    <row r="3506" spans="1:23" outlineLevel="2" x14ac:dyDescent="0.2">
      <c r="A3506" t="s">
        <v>999</v>
      </c>
      <c r="B3506" t="s">
        <v>39</v>
      </c>
      <c r="C3506" t="s">
        <v>58</v>
      </c>
      <c r="D3506" t="s">
        <v>135</v>
      </c>
      <c r="E3506" t="s">
        <v>136</v>
      </c>
      <c r="F3506" t="s">
        <v>1673</v>
      </c>
      <c r="G3506" t="s">
        <v>1674</v>
      </c>
      <c r="H3506" t="s">
        <v>1678</v>
      </c>
      <c r="I3506" t="s">
        <v>1679</v>
      </c>
      <c r="J3506" t="s">
        <v>1000</v>
      </c>
      <c r="K3506" t="s">
        <v>1037</v>
      </c>
      <c r="L3506" t="s">
        <v>1681</v>
      </c>
      <c r="M3506" t="s">
        <v>12</v>
      </c>
      <c r="N3506" s="2">
        <v>1500</v>
      </c>
      <c r="O3506" s="2">
        <v>0</v>
      </c>
      <c r="P3506" s="2">
        <v>-1500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</row>
    <row r="3507" spans="1:23" outlineLevel="2" x14ac:dyDescent="0.2">
      <c r="A3507" t="s">
        <v>999</v>
      </c>
      <c r="B3507" t="s">
        <v>39</v>
      </c>
      <c r="C3507" t="s">
        <v>58</v>
      </c>
      <c r="D3507" t="s">
        <v>59</v>
      </c>
      <c r="E3507" t="s">
        <v>60</v>
      </c>
      <c r="F3507" t="s">
        <v>1673</v>
      </c>
      <c r="G3507" t="s">
        <v>1674</v>
      </c>
      <c r="H3507" t="s">
        <v>1678</v>
      </c>
      <c r="I3507" t="s">
        <v>1679</v>
      </c>
      <c r="J3507" t="s">
        <v>1000</v>
      </c>
      <c r="K3507" t="s">
        <v>1037</v>
      </c>
      <c r="L3507" t="s">
        <v>1681</v>
      </c>
      <c r="M3507" t="s">
        <v>12</v>
      </c>
      <c r="N3507" s="2">
        <v>100</v>
      </c>
      <c r="O3507" s="2">
        <v>0</v>
      </c>
      <c r="P3507" s="2">
        <v>-100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</row>
    <row r="3508" spans="1:23" outlineLevel="2" x14ac:dyDescent="0.2">
      <c r="A3508" t="s">
        <v>999</v>
      </c>
      <c r="B3508" t="s">
        <v>39</v>
      </c>
      <c r="C3508" t="s">
        <v>58</v>
      </c>
      <c r="D3508" t="s">
        <v>143</v>
      </c>
      <c r="E3508" t="s">
        <v>144</v>
      </c>
      <c r="F3508" t="s">
        <v>1673</v>
      </c>
      <c r="G3508" t="s">
        <v>1674</v>
      </c>
      <c r="H3508" t="s">
        <v>1678</v>
      </c>
      <c r="I3508" t="s">
        <v>1679</v>
      </c>
      <c r="J3508" t="s">
        <v>1000</v>
      </c>
      <c r="K3508" t="s">
        <v>1037</v>
      </c>
      <c r="L3508" t="s">
        <v>1681</v>
      </c>
      <c r="M3508" t="s">
        <v>12</v>
      </c>
      <c r="N3508" s="2">
        <v>2000</v>
      </c>
      <c r="O3508" s="2">
        <v>0</v>
      </c>
      <c r="P3508" s="2">
        <v>-2000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</row>
    <row r="3509" spans="1:23" outlineLevel="2" x14ac:dyDescent="0.2">
      <c r="A3509" t="s">
        <v>999</v>
      </c>
      <c r="B3509" t="s">
        <v>39</v>
      </c>
      <c r="C3509" t="s">
        <v>58</v>
      </c>
      <c r="D3509" t="s">
        <v>147</v>
      </c>
      <c r="E3509" t="s">
        <v>148</v>
      </c>
      <c r="F3509" t="s">
        <v>1673</v>
      </c>
      <c r="G3509" t="s">
        <v>1674</v>
      </c>
      <c r="H3509" t="s">
        <v>1678</v>
      </c>
      <c r="I3509" t="s">
        <v>1679</v>
      </c>
      <c r="J3509" t="s">
        <v>1000</v>
      </c>
      <c r="K3509" t="s">
        <v>1037</v>
      </c>
      <c r="L3509" t="s">
        <v>1681</v>
      </c>
      <c r="M3509" t="s">
        <v>12</v>
      </c>
      <c r="N3509" s="2">
        <v>1000</v>
      </c>
      <c r="O3509" s="2">
        <v>0</v>
      </c>
      <c r="P3509" s="2">
        <v>-1000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</row>
    <row r="3510" spans="1:23" outlineLevel="2" x14ac:dyDescent="0.2">
      <c r="A3510" t="s">
        <v>999</v>
      </c>
      <c r="B3510" t="s">
        <v>39</v>
      </c>
      <c r="C3510" t="s">
        <v>58</v>
      </c>
      <c r="D3510" t="s">
        <v>139</v>
      </c>
      <c r="E3510" t="s">
        <v>140</v>
      </c>
      <c r="F3510" t="s">
        <v>1673</v>
      </c>
      <c r="G3510" t="s">
        <v>1674</v>
      </c>
      <c r="H3510" t="s">
        <v>1678</v>
      </c>
      <c r="I3510" t="s">
        <v>1679</v>
      </c>
      <c r="J3510" t="s">
        <v>1000</v>
      </c>
      <c r="K3510" t="s">
        <v>1037</v>
      </c>
      <c r="L3510" t="s">
        <v>1681</v>
      </c>
      <c r="M3510" t="s">
        <v>12</v>
      </c>
      <c r="N3510" s="2">
        <v>8000</v>
      </c>
      <c r="O3510" s="2">
        <v>0</v>
      </c>
      <c r="P3510" s="2">
        <v>-8000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</row>
    <row r="3511" spans="1:23" outlineLevel="2" x14ac:dyDescent="0.2">
      <c r="A3511" t="s">
        <v>999</v>
      </c>
      <c r="B3511" t="s">
        <v>39</v>
      </c>
      <c r="C3511" t="s">
        <v>70</v>
      </c>
      <c r="D3511" t="s">
        <v>89</v>
      </c>
      <c r="E3511" t="s">
        <v>90</v>
      </c>
      <c r="F3511" t="s">
        <v>1673</v>
      </c>
      <c r="G3511" t="s">
        <v>1674</v>
      </c>
      <c r="H3511" t="s">
        <v>1678</v>
      </c>
      <c r="I3511" t="s">
        <v>1679</v>
      </c>
      <c r="J3511" t="s">
        <v>1000</v>
      </c>
      <c r="K3511" t="s">
        <v>1037</v>
      </c>
      <c r="L3511" t="s">
        <v>1677</v>
      </c>
      <c r="M3511" t="s">
        <v>12</v>
      </c>
      <c r="N3511" s="2">
        <v>9000</v>
      </c>
      <c r="O3511" s="2">
        <v>0</v>
      </c>
      <c r="P3511" s="2">
        <v>-9000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</row>
    <row r="3512" spans="1:23" outlineLevel="2" x14ac:dyDescent="0.2">
      <c r="A3512" t="s">
        <v>999</v>
      </c>
      <c r="B3512" t="s">
        <v>39</v>
      </c>
      <c r="C3512" t="s">
        <v>58</v>
      </c>
      <c r="D3512" t="s">
        <v>135</v>
      </c>
      <c r="E3512" t="s">
        <v>136</v>
      </c>
      <c r="F3512" t="s">
        <v>1673</v>
      </c>
      <c r="G3512" t="s">
        <v>1674</v>
      </c>
      <c r="H3512" t="s">
        <v>1678</v>
      </c>
      <c r="I3512" t="s">
        <v>1679</v>
      </c>
      <c r="J3512" t="s">
        <v>1000</v>
      </c>
      <c r="K3512" t="s">
        <v>1039</v>
      </c>
      <c r="L3512" t="s">
        <v>1682</v>
      </c>
      <c r="M3512" t="s">
        <v>12</v>
      </c>
      <c r="N3512" s="2">
        <v>4000</v>
      </c>
      <c r="O3512" s="2">
        <v>-4000</v>
      </c>
      <c r="P3512" s="2">
        <v>0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</row>
    <row r="3513" spans="1:23" outlineLevel="2" x14ac:dyDescent="0.2">
      <c r="A3513" t="s">
        <v>999</v>
      </c>
      <c r="B3513" t="s">
        <v>39</v>
      </c>
      <c r="C3513" t="s">
        <v>58</v>
      </c>
      <c r="D3513" t="s">
        <v>59</v>
      </c>
      <c r="E3513" t="s">
        <v>60</v>
      </c>
      <c r="F3513" t="s">
        <v>1673</v>
      </c>
      <c r="G3513" t="s">
        <v>1674</v>
      </c>
      <c r="H3513" t="s">
        <v>1678</v>
      </c>
      <c r="I3513" t="s">
        <v>1679</v>
      </c>
      <c r="J3513" t="s">
        <v>1000</v>
      </c>
      <c r="K3513" t="s">
        <v>1110</v>
      </c>
      <c r="L3513" t="s">
        <v>1683</v>
      </c>
      <c r="M3513" t="s">
        <v>12</v>
      </c>
      <c r="N3513" s="2">
        <v>300</v>
      </c>
      <c r="O3513" s="2">
        <v>0</v>
      </c>
      <c r="P3513" s="2">
        <v>0</v>
      </c>
      <c r="Q3513" s="2">
        <v>300</v>
      </c>
      <c r="R3513" s="2">
        <v>0</v>
      </c>
      <c r="S3513" s="2">
        <v>0</v>
      </c>
      <c r="T3513" s="2">
        <v>0</v>
      </c>
      <c r="U3513" s="2">
        <v>300</v>
      </c>
      <c r="V3513" s="2">
        <v>300</v>
      </c>
      <c r="W3513" s="2">
        <v>300</v>
      </c>
    </row>
    <row r="3514" spans="1:23" outlineLevel="2" x14ac:dyDescent="0.2">
      <c r="A3514" t="s">
        <v>999</v>
      </c>
      <c r="B3514" t="s">
        <v>39</v>
      </c>
      <c r="C3514" t="s">
        <v>58</v>
      </c>
      <c r="D3514" t="s">
        <v>143</v>
      </c>
      <c r="E3514" t="s">
        <v>144</v>
      </c>
      <c r="F3514" t="s">
        <v>1673</v>
      </c>
      <c r="G3514" t="s">
        <v>1674</v>
      </c>
      <c r="H3514" t="s">
        <v>1678</v>
      </c>
      <c r="I3514" t="s">
        <v>1679</v>
      </c>
      <c r="J3514" t="s">
        <v>1000</v>
      </c>
      <c r="K3514" t="s">
        <v>1110</v>
      </c>
      <c r="L3514" t="s">
        <v>1683</v>
      </c>
      <c r="M3514" t="s">
        <v>12</v>
      </c>
      <c r="N3514" s="2">
        <v>1000</v>
      </c>
      <c r="O3514" s="2">
        <v>0</v>
      </c>
      <c r="P3514" s="2">
        <v>0</v>
      </c>
      <c r="Q3514" s="2">
        <v>1000</v>
      </c>
      <c r="R3514" s="2">
        <v>0</v>
      </c>
      <c r="S3514" s="2">
        <v>999.04</v>
      </c>
      <c r="T3514" s="2">
        <v>537.6</v>
      </c>
      <c r="U3514" s="2">
        <v>0.96</v>
      </c>
      <c r="V3514" s="2">
        <v>462.4</v>
      </c>
      <c r="W3514" s="2">
        <v>0.96</v>
      </c>
    </row>
    <row r="3515" spans="1:23" outlineLevel="2" x14ac:dyDescent="0.2">
      <c r="A3515" t="s">
        <v>999</v>
      </c>
      <c r="B3515" t="s">
        <v>39</v>
      </c>
      <c r="C3515" t="s">
        <v>58</v>
      </c>
      <c r="D3515" t="s">
        <v>59</v>
      </c>
      <c r="E3515" t="s">
        <v>60</v>
      </c>
      <c r="F3515" t="s">
        <v>1673</v>
      </c>
      <c r="G3515" t="s">
        <v>1674</v>
      </c>
      <c r="H3515" t="s">
        <v>1678</v>
      </c>
      <c r="I3515" t="s">
        <v>1679</v>
      </c>
      <c r="J3515" t="s">
        <v>1000</v>
      </c>
      <c r="K3515" t="s">
        <v>1129</v>
      </c>
      <c r="L3515" t="s">
        <v>1684</v>
      </c>
      <c r="M3515" t="s">
        <v>12</v>
      </c>
      <c r="N3515" s="2">
        <v>4000</v>
      </c>
      <c r="O3515" s="2">
        <v>0</v>
      </c>
      <c r="P3515" s="2">
        <v>0</v>
      </c>
      <c r="Q3515" s="2">
        <v>4000</v>
      </c>
      <c r="R3515" s="2">
        <v>0</v>
      </c>
      <c r="S3515" s="2">
        <v>0</v>
      </c>
      <c r="T3515" s="2">
        <v>0</v>
      </c>
      <c r="U3515" s="2">
        <v>4000</v>
      </c>
      <c r="V3515" s="2">
        <v>4000</v>
      </c>
      <c r="W3515" s="2">
        <v>4000</v>
      </c>
    </row>
    <row r="3516" spans="1:23" outlineLevel="2" x14ac:dyDescent="0.2">
      <c r="A3516" t="s">
        <v>999</v>
      </c>
      <c r="B3516" t="s">
        <v>39</v>
      </c>
      <c r="C3516" t="s">
        <v>58</v>
      </c>
      <c r="D3516" t="s">
        <v>145</v>
      </c>
      <c r="E3516" t="s">
        <v>146</v>
      </c>
      <c r="F3516" t="s">
        <v>1673</v>
      </c>
      <c r="G3516" t="s">
        <v>1674</v>
      </c>
      <c r="H3516" t="s">
        <v>1678</v>
      </c>
      <c r="I3516" t="s">
        <v>1679</v>
      </c>
      <c r="J3516" t="s">
        <v>1000</v>
      </c>
      <c r="K3516" t="s">
        <v>1129</v>
      </c>
      <c r="L3516" t="s">
        <v>1684</v>
      </c>
      <c r="M3516" t="s">
        <v>12</v>
      </c>
      <c r="N3516" s="2">
        <v>18942</v>
      </c>
      <c r="O3516" s="2">
        <v>0</v>
      </c>
      <c r="P3516" s="2">
        <v>-18942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</row>
    <row r="3517" spans="1:23" outlineLevel="2" x14ac:dyDescent="0.2">
      <c r="A3517" t="s">
        <v>999</v>
      </c>
      <c r="B3517" t="s">
        <v>39</v>
      </c>
      <c r="C3517" t="s">
        <v>58</v>
      </c>
      <c r="D3517" t="s">
        <v>147</v>
      </c>
      <c r="E3517" t="s">
        <v>148</v>
      </c>
      <c r="F3517" t="s">
        <v>1673</v>
      </c>
      <c r="G3517" t="s">
        <v>1674</v>
      </c>
      <c r="H3517" t="s">
        <v>1678</v>
      </c>
      <c r="I3517" t="s">
        <v>1679</v>
      </c>
      <c r="J3517" t="s">
        <v>1000</v>
      </c>
      <c r="K3517" t="s">
        <v>1071</v>
      </c>
      <c r="L3517" t="s">
        <v>1685</v>
      </c>
      <c r="M3517" t="s">
        <v>12</v>
      </c>
      <c r="N3517" s="2">
        <v>11000</v>
      </c>
      <c r="O3517" s="2">
        <v>0</v>
      </c>
      <c r="P3517" s="2">
        <v>0</v>
      </c>
      <c r="Q3517" s="2">
        <v>11000</v>
      </c>
      <c r="R3517" s="2">
        <v>443.74</v>
      </c>
      <c r="S3517" s="2">
        <v>10556.26</v>
      </c>
      <c r="T3517" s="2">
        <v>0</v>
      </c>
      <c r="U3517" s="2">
        <v>443.74</v>
      </c>
      <c r="V3517" s="2">
        <v>11000</v>
      </c>
      <c r="W3517" s="2">
        <v>0</v>
      </c>
    </row>
    <row r="3518" spans="1:23" outlineLevel="2" x14ac:dyDescent="0.2">
      <c r="A3518" t="s">
        <v>999</v>
      </c>
      <c r="B3518" t="s">
        <v>39</v>
      </c>
      <c r="C3518" t="s">
        <v>58</v>
      </c>
      <c r="D3518" t="s">
        <v>143</v>
      </c>
      <c r="E3518" t="s">
        <v>144</v>
      </c>
      <c r="F3518" t="s">
        <v>1673</v>
      </c>
      <c r="G3518" t="s">
        <v>1674</v>
      </c>
      <c r="H3518" t="s">
        <v>1678</v>
      </c>
      <c r="I3518" t="s">
        <v>1679</v>
      </c>
      <c r="J3518" t="s">
        <v>1000</v>
      </c>
      <c r="K3518" t="s">
        <v>1071</v>
      </c>
      <c r="L3518" t="s">
        <v>1685</v>
      </c>
      <c r="M3518" t="s">
        <v>12</v>
      </c>
      <c r="N3518" s="2">
        <v>5500</v>
      </c>
      <c r="O3518" s="2">
        <v>0</v>
      </c>
      <c r="P3518" s="2">
        <v>0</v>
      </c>
      <c r="Q3518" s="2">
        <v>5500</v>
      </c>
      <c r="R3518" s="2">
        <v>0</v>
      </c>
      <c r="S3518" s="2">
        <v>5488</v>
      </c>
      <c r="T3518" s="2">
        <v>5488</v>
      </c>
      <c r="U3518" s="2">
        <v>12</v>
      </c>
      <c r="V3518" s="2">
        <v>12</v>
      </c>
      <c r="W3518" s="2">
        <v>12</v>
      </c>
    </row>
    <row r="3519" spans="1:23" outlineLevel="2" x14ac:dyDescent="0.2">
      <c r="A3519" t="s">
        <v>999</v>
      </c>
      <c r="B3519" t="s">
        <v>39</v>
      </c>
      <c r="C3519" t="s">
        <v>58</v>
      </c>
      <c r="D3519" t="s">
        <v>147</v>
      </c>
      <c r="E3519" t="s">
        <v>148</v>
      </c>
      <c r="F3519" t="s">
        <v>1673</v>
      </c>
      <c r="G3519" t="s">
        <v>1674</v>
      </c>
      <c r="H3519" t="s">
        <v>1678</v>
      </c>
      <c r="I3519" t="s">
        <v>1679</v>
      </c>
      <c r="J3519" t="s">
        <v>1000</v>
      </c>
      <c r="K3519" t="s">
        <v>1017</v>
      </c>
      <c r="L3519" t="s">
        <v>1686</v>
      </c>
      <c r="M3519" t="s">
        <v>12</v>
      </c>
      <c r="N3519" s="2">
        <v>16700</v>
      </c>
      <c r="O3519" s="2">
        <v>0</v>
      </c>
      <c r="P3519" s="2">
        <v>-9741.66</v>
      </c>
      <c r="Q3519" s="2">
        <v>6958.34</v>
      </c>
      <c r="R3519" s="2">
        <v>0</v>
      </c>
      <c r="S3519" s="2">
        <v>0</v>
      </c>
      <c r="T3519" s="2">
        <v>0</v>
      </c>
      <c r="U3519" s="2">
        <v>6958.34</v>
      </c>
      <c r="V3519" s="2">
        <v>6958.34</v>
      </c>
      <c r="W3519" s="2">
        <v>6958.34</v>
      </c>
    </row>
    <row r="3520" spans="1:23" outlineLevel="2" x14ac:dyDescent="0.2">
      <c r="A3520" t="s">
        <v>999</v>
      </c>
      <c r="B3520" t="s">
        <v>39</v>
      </c>
      <c r="C3520" t="s">
        <v>58</v>
      </c>
      <c r="D3520" t="s">
        <v>149</v>
      </c>
      <c r="E3520" t="s">
        <v>150</v>
      </c>
      <c r="F3520" t="s">
        <v>1673</v>
      </c>
      <c r="G3520" t="s">
        <v>1674</v>
      </c>
      <c r="H3520" t="s">
        <v>1678</v>
      </c>
      <c r="I3520" t="s">
        <v>1679</v>
      </c>
      <c r="J3520" t="s">
        <v>1000</v>
      </c>
      <c r="K3520" t="s">
        <v>1017</v>
      </c>
      <c r="L3520" t="s">
        <v>1686</v>
      </c>
      <c r="M3520" t="s">
        <v>12</v>
      </c>
      <c r="N3520" s="2">
        <v>10000</v>
      </c>
      <c r="O3520" s="2">
        <v>0</v>
      </c>
      <c r="P3520" s="2">
        <v>-10000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</row>
    <row r="3521" spans="1:23" outlineLevel="2" x14ac:dyDescent="0.2">
      <c r="A3521" t="s">
        <v>999</v>
      </c>
      <c r="B3521" t="s">
        <v>39</v>
      </c>
      <c r="C3521" t="s">
        <v>58</v>
      </c>
      <c r="D3521" t="s">
        <v>137</v>
      </c>
      <c r="E3521" t="s">
        <v>138</v>
      </c>
      <c r="F3521" t="s">
        <v>1673</v>
      </c>
      <c r="G3521" t="s">
        <v>1674</v>
      </c>
      <c r="H3521" t="s">
        <v>1678</v>
      </c>
      <c r="I3521" t="s">
        <v>1679</v>
      </c>
      <c r="J3521" t="s">
        <v>1000</v>
      </c>
      <c r="K3521" t="s">
        <v>1017</v>
      </c>
      <c r="L3521" t="s">
        <v>1686</v>
      </c>
      <c r="M3521" t="s">
        <v>12</v>
      </c>
      <c r="N3521" s="2">
        <v>29000</v>
      </c>
      <c r="O3521" s="2">
        <v>0</v>
      </c>
      <c r="P3521" s="2">
        <v>-29000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</row>
    <row r="3522" spans="1:23" outlineLevel="2" x14ac:dyDescent="0.2">
      <c r="A3522" t="s">
        <v>999</v>
      </c>
      <c r="B3522" t="s">
        <v>39</v>
      </c>
      <c r="C3522" t="s">
        <v>58</v>
      </c>
      <c r="D3522" t="s">
        <v>145</v>
      </c>
      <c r="E3522" t="s">
        <v>146</v>
      </c>
      <c r="F3522" t="s">
        <v>1673</v>
      </c>
      <c r="G3522" t="s">
        <v>1674</v>
      </c>
      <c r="H3522" t="s">
        <v>1678</v>
      </c>
      <c r="I3522" t="s">
        <v>1679</v>
      </c>
      <c r="J3522" t="s">
        <v>1000</v>
      </c>
      <c r="K3522" t="s">
        <v>1017</v>
      </c>
      <c r="L3522" t="s">
        <v>1686</v>
      </c>
      <c r="M3522" t="s">
        <v>12</v>
      </c>
      <c r="N3522" s="2">
        <v>30258</v>
      </c>
      <c r="O3522" s="2">
        <v>0</v>
      </c>
      <c r="P3522" s="2">
        <v>-30258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</row>
    <row r="3523" spans="1:23" outlineLevel="2" x14ac:dyDescent="0.2">
      <c r="A3523" t="s">
        <v>999</v>
      </c>
      <c r="B3523" t="s">
        <v>39</v>
      </c>
      <c r="C3523" t="s">
        <v>58</v>
      </c>
      <c r="D3523" t="s">
        <v>143</v>
      </c>
      <c r="E3523" t="s">
        <v>144</v>
      </c>
      <c r="F3523" t="s">
        <v>1673</v>
      </c>
      <c r="G3523" t="s">
        <v>1674</v>
      </c>
      <c r="H3523" t="s">
        <v>1678</v>
      </c>
      <c r="I3523" t="s">
        <v>1679</v>
      </c>
      <c r="J3523" t="s">
        <v>1000</v>
      </c>
      <c r="K3523" t="s">
        <v>1061</v>
      </c>
      <c r="L3523" t="s">
        <v>1687</v>
      </c>
      <c r="M3523" t="s">
        <v>12</v>
      </c>
      <c r="N3523" s="2">
        <v>5000</v>
      </c>
      <c r="O3523" s="2">
        <v>0</v>
      </c>
      <c r="P3523" s="2">
        <v>-5000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</row>
    <row r="3524" spans="1:23" outlineLevel="2" x14ac:dyDescent="0.2">
      <c r="A3524" t="s">
        <v>999</v>
      </c>
      <c r="B3524" t="s">
        <v>39</v>
      </c>
      <c r="C3524" t="s">
        <v>58</v>
      </c>
      <c r="D3524" t="s">
        <v>59</v>
      </c>
      <c r="E3524" t="s">
        <v>60</v>
      </c>
      <c r="F3524" t="s">
        <v>1673</v>
      </c>
      <c r="G3524" t="s">
        <v>1674</v>
      </c>
      <c r="H3524" t="s">
        <v>1678</v>
      </c>
      <c r="I3524" t="s">
        <v>1679</v>
      </c>
      <c r="J3524" t="s">
        <v>1000</v>
      </c>
      <c r="K3524" t="s">
        <v>1061</v>
      </c>
      <c r="L3524" t="s">
        <v>1687</v>
      </c>
      <c r="M3524" t="s">
        <v>12</v>
      </c>
      <c r="N3524" s="2">
        <v>900</v>
      </c>
      <c r="O3524" s="2">
        <v>0</v>
      </c>
      <c r="P3524" s="2">
        <v>-900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</row>
    <row r="3525" spans="1:23" outlineLevel="2" x14ac:dyDescent="0.2">
      <c r="A3525" t="s">
        <v>999</v>
      </c>
      <c r="B3525" t="s">
        <v>39</v>
      </c>
      <c r="C3525" t="s">
        <v>58</v>
      </c>
      <c r="D3525" t="s">
        <v>143</v>
      </c>
      <c r="E3525" t="s">
        <v>144</v>
      </c>
      <c r="F3525" t="s">
        <v>1673</v>
      </c>
      <c r="G3525" t="s">
        <v>1674</v>
      </c>
      <c r="H3525" t="s">
        <v>1678</v>
      </c>
      <c r="I3525" t="s">
        <v>1679</v>
      </c>
      <c r="J3525" t="s">
        <v>1000</v>
      </c>
      <c r="K3525" t="s">
        <v>1313</v>
      </c>
      <c r="L3525" t="s">
        <v>1688</v>
      </c>
      <c r="M3525" t="s">
        <v>12</v>
      </c>
      <c r="N3525" s="2">
        <v>1000</v>
      </c>
      <c r="O3525" s="2">
        <v>0</v>
      </c>
      <c r="P3525" s="2">
        <v>-500</v>
      </c>
      <c r="Q3525" s="2">
        <v>500</v>
      </c>
      <c r="R3525" s="2">
        <v>0</v>
      </c>
      <c r="S3525" s="2">
        <v>0</v>
      </c>
      <c r="T3525" s="2">
        <v>0</v>
      </c>
      <c r="U3525" s="2">
        <v>500</v>
      </c>
      <c r="V3525" s="2">
        <v>500</v>
      </c>
      <c r="W3525" s="2">
        <v>500</v>
      </c>
    </row>
    <row r="3526" spans="1:23" outlineLevel="2" x14ac:dyDescent="0.2">
      <c r="A3526" t="s">
        <v>999</v>
      </c>
      <c r="B3526" t="s">
        <v>39</v>
      </c>
      <c r="C3526" t="s">
        <v>58</v>
      </c>
      <c r="D3526" t="s">
        <v>149</v>
      </c>
      <c r="E3526" t="s">
        <v>150</v>
      </c>
      <c r="F3526" t="s">
        <v>1673</v>
      </c>
      <c r="G3526" t="s">
        <v>1674</v>
      </c>
      <c r="H3526" t="s">
        <v>1678</v>
      </c>
      <c r="I3526" t="s">
        <v>1679</v>
      </c>
      <c r="J3526" t="s">
        <v>1000</v>
      </c>
      <c r="K3526" t="s">
        <v>1082</v>
      </c>
      <c r="L3526" t="s">
        <v>1689</v>
      </c>
      <c r="M3526" t="s">
        <v>12</v>
      </c>
      <c r="N3526" s="2">
        <v>1200</v>
      </c>
      <c r="O3526" s="2">
        <v>-1200</v>
      </c>
      <c r="P3526" s="2">
        <v>0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</row>
    <row r="3527" spans="1:23" outlineLevel="2" x14ac:dyDescent="0.2">
      <c r="A3527" t="s">
        <v>999</v>
      </c>
      <c r="B3527" t="s">
        <v>39</v>
      </c>
      <c r="C3527" t="s">
        <v>58</v>
      </c>
      <c r="D3527" t="s">
        <v>59</v>
      </c>
      <c r="E3527" t="s">
        <v>60</v>
      </c>
      <c r="F3527" t="s">
        <v>1673</v>
      </c>
      <c r="G3527" t="s">
        <v>1674</v>
      </c>
      <c r="H3527" t="s">
        <v>1678</v>
      </c>
      <c r="I3527" t="s">
        <v>1679</v>
      </c>
      <c r="J3527" t="s">
        <v>1000</v>
      </c>
      <c r="K3527" t="s">
        <v>1082</v>
      </c>
      <c r="L3527" t="s">
        <v>1689</v>
      </c>
      <c r="M3527" t="s">
        <v>12</v>
      </c>
      <c r="N3527" s="2">
        <v>2500</v>
      </c>
      <c r="O3527" s="2">
        <v>0</v>
      </c>
      <c r="P3527" s="2">
        <v>-2500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</row>
    <row r="3528" spans="1:23" outlineLevel="2" x14ac:dyDescent="0.2">
      <c r="A3528" t="s">
        <v>999</v>
      </c>
      <c r="B3528" t="s">
        <v>39</v>
      </c>
      <c r="C3528" t="s">
        <v>58</v>
      </c>
      <c r="D3528" t="s">
        <v>139</v>
      </c>
      <c r="E3528" t="s">
        <v>140</v>
      </c>
      <c r="F3528" t="s">
        <v>1673</v>
      </c>
      <c r="G3528" t="s">
        <v>1674</v>
      </c>
      <c r="H3528" t="s">
        <v>1678</v>
      </c>
      <c r="I3528" t="s">
        <v>1679</v>
      </c>
      <c r="J3528" t="s">
        <v>1000</v>
      </c>
      <c r="K3528" t="s">
        <v>1082</v>
      </c>
      <c r="L3528" t="s">
        <v>1689</v>
      </c>
      <c r="M3528" t="s">
        <v>12</v>
      </c>
      <c r="N3528" s="2">
        <v>23000</v>
      </c>
      <c r="O3528" s="2">
        <v>0</v>
      </c>
      <c r="P3528" s="2">
        <v>-18050</v>
      </c>
      <c r="Q3528" s="2">
        <v>4950</v>
      </c>
      <c r="R3528" s="2">
        <v>0</v>
      </c>
      <c r="S3528" s="2">
        <v>0</v>
      </c>
      <c r="T3528" s="2">
        <v>0</v>
      </c>
      <c r="U3528" s="2">
        <v>4950</v>
      </c>
      <c r="V3528" s="2">
        <v>4950</v>
      </c>
      <c r="W3528" s="2">
        <v>4950</v>
      </c>
    </row>
    <row r="3529" spans="1:23" outlineLevel="2" x14ac:dyDescent="0.2">
      <c r="A3529" t="s">
        <v>999</v>
      </c>
      <c r="B3529" t="s">
        <v>39</v>
      </c>
      <c r="C3529" t="s">
        <v>58</v>
      </c>
      <c r="D3529" t="s">
        <v>137</v>
      </c>
      <c r="E3529" t="s">
        <v>138</v>
      </c>
      <c r="F3529" t="s">
        <v>1673</v>
      </c>
      <c r="G3529" t="s">
        <v>1674</v>
      </c>
      <c r="H3529" t="s">
        <v>1678</v>
      </c>
      <c r="I3529" t="s">
        <v>1679</v>
      </c>
      <c r="J3529" t="s">
        <v>1000</v>
      </c>
      <c r="K3529" t="s">
        <v>1082</v>
      </c>
      <c r="L3529" t="s">
        <v>1689</v>
      </c>
      <c r="M3529" t="s">
        <v>12</v>
      </c>
      <c r="N3529" s="2">
        <v>4700</v>
      </c>
      <c r="O3529" s="2">
        <v>0</v>
      </c>
      <c r="P3529" s="2">
        <v>-4700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</row>
    <row r="3530" spans="1:23" outlineLevel="2" x14ac:dyDescent="0.2">
      <c r="A3530" t="s">
        <v>999</v>
      </c>
      <c r="B3530" t="s">
        <v>39</v>
      </c>
      <c r="C3530" t="s">
        <v>58</v>
      </c>
      <c r="D3530" t="s">
        <v>135</v>
      </c>
      <c r="E3530" t="s">
        <v>136</v>
      </c>
      <c r="F3530" t="s">
        <v>1673</v>
      </c>
      <c r="G3530" t="s">
        <v>1674</v>
      </c>
      <c r="H3530" t="s">
        <v>1678</v>
      </c>
      <c r="I3530" t="s">
        <v>1679</v>
      </c>
      <c r="J3530" t="s">
        <v>1000</v>
      </c>
      <c r="K3530" t="s">
        <v>1082</v>
      </c>
      <c r="L3530" t="s">
        <v>1689</v>
      </c>
      <c r="M3530" t="s">
        <v>12</v>
      </c>
      <c r="N3530" s="2">
        <v>9500</v>
      </c>
      <c r="O3530" s="2">
        <v>0</v>
      </c>
      <c r="P3530" s="2">
        <v>0</v>
      </c>
      <c r="Q3530" s="2">
        <v>9500</v>
      </c>
      <c r="R3530" s="2">
        <v>0</v>
      </c>
      <c r="S3530" s="2">
        <v>0</v>
      </c>
      <c r="T3530" s="2">
        <v>0</v>
      </c>
      <c r="U3530" s="2">
        <v>9500</v>
      </c>
      <c r="V3530" s="2">
        <v>9500</v>
      </c>
      <c r="W3530" s="2">
        <v>9500</v>
      </c>
    </row>
    <row r="3531" spans="1:23" outlineLevel="2" x14ac:dyDescent="0.2">
      <c r="A3531" t="s">
        <v>999</v>
      </c>
      <c r="B3531" t="s">
        <v>39</v>
      </c>
      <c r="C3531" t="s">
        <v>58</v>
      </c>
      <c r="D3531" t="s">
        <v>147</v>
      </c>
      <c r="E3531" t="s">
        <v>148</v>
      </c>
      <c r="F3531" t="s">
        <v>1673</v>
      </c>
      <c r="G3531" t="s">
        <v>1674</v>
      </c>
      <c r="H3531" t="s">
        <v>1678</v>
      </c>
      <c r="I3531" t="s">
        <v>1679</v>
      </c>
      <c r="J3531" t="s">
        <v>1000</v>
      </c>
      <c r="K3531" t="s">
        <v>1082</v>
      </c>
      <c r="L3531" t="s">
        <v>1689</v>
      </c>
      <c r="M3531" t="s">
        <v>12</v>
      </c>
      <c r="N3531" s="2">
        <v>2000</v>
      </c>
      <c r="O3531" s="2">
        <v>0</v>
      </c>
      <c r="P3531" s="2">
        <v>0</v>
      </c>
      <c r="Q3531" s="2">
        <v>2000</v>
      </c>
      <c r="R3531" s="2">
        <v>605.98</v>
      </c>
      <c r="S3531" s="2">
        <v>1394.02</v>
      </c>
      <c r="T3531" s="2">
        <v>0</v>
      </c>
      <c r="U3531" s="2">
        <v>605.98</v>
      </c>
      <c r="V3531" s="2">
        <v>2000</v>
      </c>
      <c r="W3531" s="2">
        <v>0</v>
      </c>
    </row>
    <row r="3532" spans="1:23" outlineLevel="2" x14ac:dyDescent="0.2">
      <c r="A3532" t="s">
        <v>999</v>
      </c>
      <c r="B3532" t="s">
        <v>39</v>
      </c>
      <c r="C3532" t="s">
        <v>58</v>
      </c>
      <c r="D3532" t="s">
        <v>147</v>
      </c>
      <c r="E3532" t="s">
        <v>148</v>
      </c>
      <c r="F3532" t="s">
        <v>1673</v>
      </c>
      <c r="G3532" t="s">
        <v>1674</v>
      </c>
      <c r="H3532" t="s">
        <v>1678</v>
      </c>
      <c r="I3532" t="s">
        <v>1679</v>
      </c>
      <c r="J3532" t="s">
        <v>1000</v>
      </c>
      <c r="K3532" t="s">
        <v>1118</v>
      </c>
      <c r="L3532" t="s">
        <v>1690</v>
      </c>
      <c r="M3532" t="s">
        <v>12</v>
      </c>
      <c r="N3532" s="2">
        <v>6000</v>
      </c>
      <c r="O3532" s="2">
        <v>0</v>
      </c>
      <c r="P3532" s="2">
        <v>-6000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</row>
    <row r="3533" spans="1:23" outlineLevel="2" x14ac:dyDescent="0.2">
      <c r="A3533" t="s">
        <v>999</v>
      </c>
      <c r="B3533" t="s">
        <v>39</v>
      </c>
      <c r="C3533" t="s">
        <v>58</v>
      </c>
      <c r="D3533" t="s">
        <v>59</v>
      </c>
      <c r="E3533" t="s">
        <v>60</v>
      </c>
      <c r="F3533" t="s">
        <v>1673</v>
      </c>
      <c r="G3533" t="s">
        <v>1674</v>
      </c>
      <c r="H3533" t="s">
        <v>1678</v>
      </c>
      <c r="I3533" t="s">
        <v>1679</v>
      </c>
      <c r="J3533" t="s">
        <v>1000</v>
      </c>
      <c r="K3533" t="s">
        <v>1118</v>
      </c>
      <c r="L3533" t="s">
        <v>1690</v>
      </c>
      <c r="M3533" t="s">
        <v>12</v>
      </c>
      <c r="N3533" s="2">
        <v>4500</v>
      </c>
      <c r="O3533" s="2">
        <v>0</v>
      </c>
      <c r="P3533" s="2">
        <v>-2500</v>
      </c>
      <c r="Q3533" s="2">
        <v>2000</v>
      </c>
      <c r="R3533" s="2">
        <v>0</v>
      </c>
      <c r="S3533" s="2">
        <v>0</v>
      </c>
      <c r="T3533" s="2">
        <v>0</v>
      </c>
      <c r="U3533" s="2">
        <v>2000</v>
      </c>
      <c r="V3533" s="2">
        <v>2000</v>
      </c>
      <c r="W3533" s="2">
        <v>2000</v>
      </c>
    </row>
    <row r="3534" spans="1:23" outlineLevel="2" x14ac:dyDescent="0.2">
      <c r="A3534" t="s">
        <v>999</v>
      </c>
      <c r="B3534" t="s">
        <v>39</v>
      </c>
      <c r="C3534" t="s">
        <v>58</v>
      </c>
      <c r="D3534" t="s">
        <v>145</v>
      </c>
      <c r="E3534" t="s">
        <v>146</v>
      </c>
      <c r="F3534" t="s">
        <v>1673</v>
      </c>
      <c r="G3534" t="s">
        <v>1674</v>
      </c>
      <c r="H3534" t="s">
        <v>1678</v>
      </c>
      <c r="I3534" t="s">
        <v>1679</v>
      </c>
      <c r="J3534" t="s">
        <v>1000</v>
      </c>
      <c r="K3534" t="s">
        <v>1118</v>
      </c>
      <c r="L3534" t="s">
        <v>1690</v>
      </c>
      <c r="M3534" t="s">
        <v>12</v>
      </c>
      <c r="N3534" s="2">
        <v>3000</v>
      </c>
      <c r="O3534" s="2">
        <v>0</v>
      </c>
      <c r="P3534" s="2">
        <v>-3000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</row>
    <row r="3535" spans="1:23" outlineLevel="2" x14ac:dyDescent="0.2">
      <c r="A3535" t="s">
        <v>999</v>
      </c>
      <c r="B3535" t="s">
        <v>39</v>
      </c>
      <c r="C3535" t="s">
        <v>58</v>
      </c>
      <c r="D3535" t="s">
        <v>139</v>
      </c>
      <c r="E3535" t="s">
        <v>140</v>
      </c>
      <c r="F3535" t="s">
        <v>1673</v>
      </c>
      <c r="G3535" t="s">
        <v>1674</v>
      </c>
      <c r="H3535" t="s">
        <v>1678</v>
      </c>
      <c r="I3535" t="s">
        <v>1679</v>
      </c>
      <c r="J3535" t="s">
        <v>1000</v>
      </c>
      <c r="K3535" t="s">
        <v>1118</v>
      </c>
      <c r="L3535" t="s">
        <v>1690</v>
      </c>
      <c r="M3535" t="s">
        <v>12</v>
      </c>
      <c r="N3535" s="2">
        <v>2000</v>
      </c>
      <c r="O3535" s="2">
        <v>0</v>
      </c>
      <c r="P3535" s="2">
        <v>-2000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</row>
    <row r="3536" spans="1:23" outlineLevel="2" x14ac:dyDescent="0.2">
      <c r="A3536" t="s">
        <v>999</v>
      </c>
      <c r="B3536" t="s">
        <v>39</v>
      </c>
      <c r="C3536" t="s">
        <v>58</v>
      </c>
      <c r="D3536" t="s">
        <v>137</v>
      </c>
      <c r="E3536" t="s">
        <v>138</v>
      </c>
      <c r="F3536" t="s">
        <v>1673</v>
      </c>
      <c r="G3536" t="s">
        <v>1674</v>
      </c>
      <c r="H3536" t="s">
        <v>1678</v>
      </c>
      <c r="I3536" t="s">
        <v>1679</v>
      </c>
      <c r="J3536" t="s">
        <v>1000</v>
      </c>
      <c r="K3536" t="s">
        <v>1118</v>
      </c>
      <c r="L3536" t="s">
        <v>1690</v>
      </c>
      <c r="M3536" t="s">
        <v>12</v>
      </c>
      <c r="N3536" s="2">
        <v>1000</v>
      </c>
      <c r="O3536" s="2">
        <v>0</v>
      </c>
      <c r="P3536" s="2">
        <v>-1000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</row>
    <row r="3537" spans="1:23" outlineLevel="2" x14ac:dyDescent="0.2">
      <c r="A3537" t="s">
        <v>999</v>
      </c>
      <c r="B3537" t="s">
        <v>39</v>
      </c>
      <c r="C3537" t="s">
        <v>58</v>
      </c>
      <c r="D3537" t="s">
        <v>139</v>
      </c>
      <c r="E3537" t="s">
        <v>140</v>
      </c>
      <c r="F3537" t="s">
        <v>1673</v>
      </c>
      <c r="G3537" t="s">
        <v>1674</v>
      </c>
      <c r="H3537" t="s">
        <v>1678</v>
      </c>
      <c r="I3537" t="s">
        <v>1679</v>
      </c>
      <c r="J3537" t="s">
        <v>1000</v>
      </c>
      <c r="K3537" t="s">
        <v>1120</v>
      </c>
      <c r="L3537" t="s">
        <v>1691</v>
      </c>
      <c r="M3537" t="s">
        <v>12</v>
      </c>
      <c r="N3537" s="2">
        <v>1500</v>
      </c>
      <c r="O3537" s="2">
        <v>0</v>
      </c>
      <c r="P3537" s="2">
        <v>-1500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</row>
    <row r="3538" spans="1:23" outlineLevel="2" x14ac:dyDescent="0.2">
      <c r="A3538" t="s">
        <v>999</v>
      </c>
      <c r="B3538" t="s">
        <v>39</v>
      </c>
      <c r="C3538" t="s">
        <v>58</v>
      </c>
      <c r="D3538" t="s">
        <v>59</v>
      </c>
      <c r="E3538" t="s">
        <v>60</v>
      </c>
      <c r="F3538" t="s">
        <v>1673</v>
      </c>
      <c r="G3538" t="s">
        <v>1674</v>
      </c>
      <c r="H3538" t="s">
        <v>1678</v>
      </c>
      <c r="I3538" t="s">
        <v>1679</v>
      </c>
      <c r="J3538" t="s">
        <v>1000</v>
      </c>
      <c r="K3538" t="s">
        <v>1120</v>
      </c>
      <c r="L3538" t="s">
        <v>1691</v>
      </c>
      <c r="M3538" t="s">
        <v>12</v>
      </c>
      <c r="N3538" s="2">
        <v>3200</v>
      </c>
      <c r="O3538" s="2">
        <v>0</v>
      </c>
      <c r="P3538" s="2">
        <v>-3200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</row>
    <row r="3539" spans="1:23" outlineLevel="2" x14ac:dyDescent="0.2">
      <c r="A3539" t="s">
        <v>999</v>
      </c>
      <c r="B3539" t="s">
        <v>39</v>
      </c>
      <c r="C3539" t="s">
        <v>58</v>
      </c>
      <c r="D3539" t="s">
        <v>143</v>
      </c>
      <c r="E3539" t="s">
        <v>144</v>
      </c>
      <c r="F3539" t="s">
        <v>1673</v>
      </c>
      <c r="G3539" t="s">
        <v>1674</v>
      </c>
      <c r="H3539" t="s">
        <v>1692</v>
      </c>
      <c r="I3539" t="s">
        <v>1693</v>
      </c>
      <c r="J3539" t="s">
        <v>1000</v>
      </c>
      <c r="K3539" t="s">
        <v>1106</v>
      </c>
      <c r="L3539" t="s">
        <v>1694</v>
      </c>
      <c r="M3539" t="s">
        <v>12</v>
      </c>
      <c r="N3539" s="2">
        <v>888.56</v>
      </c>
      <c r="O3539" s="2">
        <v>0</v>
      </c>
      <c r="P3539" s="2">
        <v>-688.56</v>
      </c>
      <c r="Q3539" s="2">
        <v>200</v>
      </c>
      <c r="R3539" s="2">
        <v>0</v>
      </c>
      <c r="S3539" s="2">
        <v>199.36</v>
      </c>
      <c r="T3539" s="2">
        <v>0</v>
      </c>
      <c r="U3539" s="2">
        <v>0.64</v>
      </c>
      <c r="V3539" s="2">
        <v>200</v>
      </c>
      <c r="W3539" s="2">
        <v>0.64</v>
      </c>
    </row>
    <row r="3540" spans="1:23" outlineLevel="2" x14ac:dyDescent="0.2">
      <c r="A3540" t="s">
        <v>999</v>
      </c>
      <c r="B3540" t="s">
        <v>39</v>
      </c>
      <c r="C3540" t="s">
        <v>58</v>
      </c>
      <c r="D3540" t="s">
        <v>129</v>
      </c>
      <c r="E3540" t="s">
        <v>130</v>
      </c>
      <c r="F3540" t="s">
        <v>1673</v>
      </c>
      <c r="G3540" t="s">
        <v>1674</v>
      </c>
      <c r="H3540" t="s">
        <v>1692</v>
      </c>
      <c r="I3540" t="s">
        <v>1693</v>
      </c>
      <c r="J3540" t="s">
        <v>1000</v>
      </c>
      <c r="K3540" t="s">
        <v>1037</v>
      </c>
      <c r="L3540" t="s">
        <v>1681</v>
      </c>
      <c r="M3540" t="s">
        <v>12</v>
      </c>
      <c r="N3540" s="2">
        <v>2400</v>
      </c>
      <c r="O3540" s="2">
        <v>0</v>
      </c>
      <c r="P3540" s="2">
        <v>0</v>
      </c>
      <c r="Q3540" s="2">
        <v>2400</v>
      </c>
      <c r="R3540" s="2">
        <v>0</v>
      </c>
      <c r="S3540" s="2">
        <v>2399.6</v>
      </c>
      <c r="T3540" s="2">
        <v>2399.6</v>
      </c>
      <c r="U3540" s="2">
        <v>0.4</v>
      </c>
      <c r="V3540" s="2">
        <v>0.4</v>
      </c>
      <c r="W3540" s="2">
        <v>0.4</v>
      </c>
    </row>
    <row r="3541" spans="1:23" outlineLevel="2" x14ac:dyDescent="0.2">
      <c r="A3541" t="s">
        <v>999</v>
      </c>
      <c r="B3541" t="s">
        <v>39</v>
      </c>
      <c r="C3541" t="s">
        <v>58</v>
      </c>
      <c r="D3541" t="s">
        <v>149</v>
      </c>
      <c r="E3541" t="s">
        <v>150</v>
      </c>
      <c r="F3541" t="s">
        <v>1673</v>
      </c>
      <c r="G3541" t="s">
        <v>1674</v>
      </c>
      <c r="H3541" t="s">
        <v>1692</v>
      </c>
      <c r="I3541" t="s">
        <v>1693</v>
      </c>
      <c r="J3541" t="s">
        <v>1000</v>
      </c>
      <c r="K3541" t="s">
        <v>1037</v>
      </c>
      <c r="L3541" t="s">
        <v>1681</v>
      </c>
      <c r="M3541" t="s">
        <v>12</v>
      </c>
      <c r="N3541" s="2">
        <v>700</v>
      </c>
      <c r="O3541" s="2">
        <v>0</v>
      </c>
      <c r="P3541" s="2">
        <v>-700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</row>
    <row r="3542" spans="1:23" outlineLevel="2" x14ac:dyDescent="0.2">
      <c r="A3542" t="s">
        <v>999</v>
      </c>
      <c r="B3542" t="s">
        <v>39</v>
      </c>
      <c r="C3542" t="s">
        <v>58</v>
      </c>
      <c r="D3542" t="s">
        <v>147</v>
      </c>
      <c r="E3542" t="s">
        <v>148</v>
      </c>
      <c r="F3542" t="s">
        <v>1673</v>
      </c>
      <c r="G3542" t="s">
        <v>1674</v>
      </c>
      <c r="H3542" t="s">
        <v>1692</v>
      </c>
      <c r="I3542" t="s">
        <v>1693</v>
      </c>
      <c r="J3542" t="s">
        <v>1000</v>
      </c>
      <c r="K3542" t="s">
        <v>1039</v>
      </c>
      <c r="L3542" t="s">
        <v>1682</v>
      </c>
      <c r="M3542" t="s">
        <v>12</v>
      </c>
      <c r="N3542" s="2">
        <v>1000</v>
      </c>
      <c r="O3542" s="2">
        <v>0</v>
      </c>
      <c r="P3542" s="2">
        <v>-1000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</row>
    <row r="3543" spans="1:23" outlineLevel="2" x14ac:dyDescent="0.2">
      <c r="A3543" t="s">
        <v>999</v>
      </c>
      <c r="B3543" t="s">
        <v>39</v>
      </c>
      <c r="C3543" t="s">
        <v>58</v>
      </c>
      <c r="D3543" t="s">
        <v>139</v>
      </c>
      <c r="E3543" t="s">
        <v>140</v>
      </c>
      <c r="F3543" t="s">
        <v>1673</v>
      </c>
      <c r="G3543" t="s">
        <v>1674</v>
      </c>
      <c r="H3543" t="s">
        <v>1692</v>
      </c>
      <c r="I3543" t="s">
        <v>1693</v>
      </c>
      <c r="J3543" t="s">
        <v>1000</v>
      </c>
      <c r="K3543" t="s">
        <v>1011</v>
      </c>
      <c r="L3543" t="s">
        <v>1695</v>
      </c>
      <c r="M3543" t="s">
        <v>12</v>
      </c>
      <c r="N3543" s="2">
        <v>7000</v>
      </c>
      <c r="O3543" s="2">
        <v>0</v>
      </c>
      <c r="P3543" s="2">
        <v>-7000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</row>
    <row r="3544" spans="1:23" outlineLevel="2" x14ac:dyDescent="0.2">
      <c r="A3544" t="s">
        <v>999</v>
      </c>
      <c r="B3544" t="s">
        <v>39</v>
      </c>
      <c r="C3544" t="s">
        <v>58</v>
      </c>
      <c r="D3544" t="s">
        <v>145</v>
      </c>
      <c r="E3544" t="s">
        <v>146</v>
      </c>
      <c r="F3544" t="s">
        <v>1673</v>
      </c>
      <c r="G3544" t="s">
        <v>1674</v>
      </c>
      <c r="H3544" t="s">
        <v>1692</v>
      </c>
      <c r="I3544" t="s">
        <v>1693</v>
      </c>
      <c r="J3544" t="s">
        <v>1000</v>
      </c>
      <c r="K3544" t="s">
        <v>1061</v>
      </c>
      <c r="L3544" t="s">
        <v>1687</v>
      </c>
      <c r="M3544" t="s">
        <v>12</v>
      </c>
      <c r="N3544" s="2">
        <v>6000</v>
      </c>
      <c r="O3544" s="2">
        <v>0</v>
      </c>
      <c r="P3544" s="2">
        <v>-1494.91</v>
      </c>
      <c r="Q3544" s="2">
        <v>4505.09</v>
      </c>
      <c r="R3544" s="2">
        <v>0</v>
      </c>
      <c r="S3544" s="2">
        <v>4505.09</v>
      </c>
      <c r="T3544" s="2">
        <v>4505.09</v>
      </c>
      <c r="U3544" s="2">
        <v>0</v>
      </c>
      <c r="V3544" s="2">
        <v>0</v>
      </c>
      <c r="W3544" s="2">
        <v>0</v>
      </c>
    </row>
    <row r="3545" spans="1:23" outlineLevel="2" x14ac:dyDescent="0.2">
      <c r="A3545" t="s">
        <v>999</v>
      </c>
      <c r="B3545" t="s">
        <v>39</v>
      </c>
      <c r="C3545" t="s">
        <v>58</v>
      </c>
      <c r="D3545" t="s">
        <v>59</v>
      </c>
      <c r="E3545" t="s">
        <v>60</v>
      </c>
      <c r="F3545" t="s">
        <v>1673</v>
      </c>
      <c r="G3545" t="s">
        <v>1674</v>
      </c>
      <c r="H3545" t="s">
        <v>1692</v>
      </c>
      <c r="I3545" t="s">
        <v>1693</v>
      </c>
      <c r="J3545" t="s">
        <v>1000</v>
      </c>
      <c r="K3545" t="s">
        <v>1061</v>
      </c>
      <c r="L3545" t="s">
        <v>1687</v>
      </c>
      <c r="M3545" t="s">
        <v>12</v>
      </c>
      <c r="N3545" s="2">
        <v>200</v>
      </c>
      <c r="O3545" s="2">
        <v>0</v>
      </c>
      <c r="P3545" s="2">
        <v>0</v>
      </c>
      <c r="Q3545" s="2">
        <v>200</v>
      </c>
      <c r="R3545" s="2">
        <v>0</v>
      </c>
      <c r="S3545" s="2">
        <v>0</v>
      </c>
      <c r="T3545" s="2">
        <v>0</v>
      </c>
      <c r="U3545" s="2">
        <v>200</v>
      </c>
      <c r="V3545" s="2">
        <v>200</v>
      </c>
      <c r="W3545" s="2">
        <v>200</v>
      </c>
    </row>
    <row r="3546" spans="1:23" outlineLevel="2" x14ac:dyDescent="0.2">
      <c r="A3546" t="s">
        <v>999</v>
      </c>
      <c r="B3546" t="s">
        <v>39</v>
      </c>
      <c r="C3546" t="s">
        <v>58</v>
      </c>
      <c r="D3546" t="s">
        <v>129</v>
      </c>
      <c r="E3546" t="s">
        <v>130</v>
      </c>
      <c r="F3546" t="s">
        <v>1673</v>
      </c>
      <c r="G3546" t="s">
        <v>1674</v>
      </c>
      <c r="H3546" t="s">
        <v>1692</v>
      </c>
      <c r="I3546" t="s">
        <v>1693</v>
      </c>
      <c r="J3546" t="s">
        <v>1000</v>
      </c>
      <c r="K3546" t="s">
        <v>1061</v>
      </c>
      <c r="L3546" t="s">
        <v>1687</v>
      </c>
      <c r="M3546" t="s">
        <v>12</v>
      </c>
      <c r="N3546" s="2">
        <v>2000</v>
      </c>
      <c r="O3546" s="2">
        <v>0</v>
      </c>
      <c r="P3546" s="2">
        <v>0</v>
      </c>
      <c r="Q3546" s="2">
        <v>2000</v>
      </c>
      <c r="R3546" s="2">
        <v>0</v>
      </c>
      <c r="S3546" s="2">
        <v>1981.28</v>
      </c>
      <c r="T3546" s="2">
        <v>1981.28</v>
      </c>
      <c r="U3546" s="2">
        <v>18.72</v>
      </c>
      <c r="V3546" s="2">
        <v>18.72</v>
      </c>
      <c r="W3546" s="2">
        <v>18.72</v>
      </c>
    </row>
    <row r="3547" spans="1:23" outlineLevel="2" x14ac:dyDescent="0.2">
      <c r="A3547" t="s">
        <v>999</v>
      </c>
      <c r="B3547" t="s">
        <v>39</v>
      </c>
      <c r="C3547" t="s">
        <v>58</v>
      </c>
      <c r="D3547" t="s">
        <v>137</v>
      </c>
      <c r="E3547" t="s">
        <v>138</v>
      </c>
      <c r="F3547" t="s">
        <v>1673</v>
      </c>
      <c r="G3547" t="s">
        <v>1674</v>
      </c>
      <c r="H3547" t="s">
        <v>1692</v>
      </c>
      <c r="I3547" t="s">
        <v>1693</v>
      </c>
      <c r="J3547" t="s">
        <v>1000</v>
      </c>
      <c r="K3547" t="s">
        <v>1061</v>
      </c>
      <c r="L3547" t="s">
        <v>1687</v>
      </c>
      <c r="M3547" t="s">
        <v>12</v>
      </c>
      <c r="N3547" s="2">
        <v>2500</v>
      </c>
      <c r="O3547" s="2">
        <v>0</v>
      </c>
      <c r="P3547" s="2">
        <v>0</v>
      </c>
      <c r="Q3547" s="2">
        <v>2500</v>
      </c>
      <c r="R3547" s="2">
        <v>288.12</v>
      </c>
      <c r="S3547" s="2">
        <v>2211.88</v>
      </c>
      <c r="T3547" s="2">
        <v>0</v>
      </c>
      <c r="U3547" s="2">
        <v>288.12</v>
      </c>
      <c r="V3547" s="2">
        <v>2500</v>
      </c>
      <c r="W3547" s="2">
        <v>0</v>
      </c>
    </row>
    <row r="3548" spans="1:23" outlineLevel="2" x14ac:dyDescent="0.2">
      <c r="A3548" t="s">
        <v>999</v>
      </c>
      <c r="B3548" t="s">
        <v>39</v>
      </c>
      <c r="C3548" t="s">
        <v>58</v>
      </c>
      <c r="D3548" t="s">
        <v>139</v>
      </c>
      <c r="E3548" t="s">
        <v>140</v>
      </c>
      <c r="F3548" t="s">
        <v>1673</v>
      </c>
      <c r="G3548" t="s">
        <v>1674</v>
      </c>
      <c r="H3548" t="s">
        <v>1692</v>
      </c>
      <c r="I3548" t="s">
        <v>1693</v>
      </c>
      <c r="J3548" t="s">
        <v>1000</v>
      </c>
      <c r="K3548" t="s">
        <v>1061</v>
      </c>
      <c r="L3548" t="s">
        <v>1687</v>
      </c>
      <c r="M3548" t="s">
        <v>12</v>
      </c>
      <c r="N3548" s="2">
        <v>5000</v>
      </c>
      <c r="O3548" s="2">
        <v>0</v>
      </c>
      <c r="P3548" s="2">
        <v>-5000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</row>
    <row r="3549" spans="1:23" outlineLevel="2" x14ac:dyDescent="0.2">
      <c r="A3549" t="s">
        <v>999</v>
      </c>
      <c r="B3549" t="s">
        <v>39</v>
      </c>
      <c r="C3549" t="s">
        <v>58</v>
      </c>
      <c r="D3549" t="s">
        <v>149</v>
      </c>
      <c r="E3549" t="s">
        <v>150</v>
      </c>
      <c r="F3549" t="s">
        <v>1673</v>
      </c>
      <c r="G3549" t="s">
        <v>1674</v>
      </c>
      <c r="H3549" t="s">
        <v>1692</v>
      </c>
      <c r="I3549" t="s">
        <v>1693</v>
      </c>
      <c r="J3549" t="s">
        <v>1000</v>
      </c>
      <c r="K3549" t="s">
        <v>1061</v>
      </c>
      <c r="L3549" t="s">
        <v>1687</v>
      </c>
      <c r="M3549" t="s">
        <v>12</v>
      </c>
      <c r="N3549" s="2">
        <v>3500</v>
      </c>
      <c r="O3549" s="2">
        <v>1500</v>
      </c>
      <c r="P3549" s="2">
        <v>-3813.53</v>
      </c>
      <c r="Q3549" s="2">
        <v>1186.47</v>
      </c>
      <c r="R3549" s="2">
        <v>0</v>
      </c>
      <c r="S3549" s="2">
        <v>1186.47</v>
      </c>
      <c r="T3549" s="2">
        <v>1186.47</v>
      </c>
      <c r="U3549" s="2">
        <v>0</v>
      </c>
      <c r="V3549" s="2">
        <v>0</v>
      </c>
      <c r="W3549" s="2">
        <v>0</v>
      </c>
    </row>
    <row r="3550" spans="1:23" outlineLevel="2" x14ac:dyDescent="0.2">
      <c r="A3550" t="s">
        <v>999</v>
      </c>
      <c r="B3550" t="s">
        <v>39</v>
      </c>
      <c r="C3550" t="s">
        <v>70</v>
      </c>
      <c r="D3550" t="s">
        <v>89</v>
      </c>
      <c r="E3550" t="s">
        <v>90</v>
      </c>
      <c r="F3550" t="s">
        <v>1673</v>
      </c>
      <c r="G3550" t="s">
        <v>1674</v>
      </c>
      <c r="H3550" t="s">
        <v>1692</v>
      </c>
      <c r="I3550" t="s">
        <v>1693</v>
      </c>
      <c r="J3550" t="s">
        <v>1000</v>
      </c>
      <c r="K3550" t="s">
        <v>1061</v>
      </c>
      <c r="L3550" t="s">
        <v>1696</v>
      </c>
      <c r="M3550" t="s">
        <v>12</v>
      </c>
      <c r="N3550" s="2">
        <v>150000</v>
      </c>
      <c r="O3550" s="2">
        <v>0</v>
      </c>
      <c r="P3550" s="2">
        <v>-150000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</row>
    <row r="3551" spans="1:23" outlineLevel="2" x14ac:dyDescent="0.2">
      <c r="A3551" t="s">
        <v>999</v>
      </c>
      <c r="B3551" t="s">
        <v>39</v>
      </c>
      <c r="C3551" t="s">
        <v>58</v>
      </c>
      <c r="D3551" t="s">
        <v>147</v>
      </c>
      <c r="E3551" t="s">
        <v>148</v>
      </c>
      <c r="F3551" t="s">
        <v>1673</v>
      </c>
      <c r="G3551" t="s">
        <v>1674</v>
      </c>
      <c r="H3551" t="s">
        <v>1692</v>
      </c>
      <c r="I3551" t="s">
        <v>1693</v>
      </c>
      <c r="J3551" t="s">
        <v>1000</v>
      </c>
      <c r="K3551" t="s">
        <v>1061</v>
      </c>
      <c r="L3551" t="s">
        <v>1687</v>
      </c>
      <c r="M3551" t="s">
        <v>12</v>
      </c>
      <c r="N3551" s="2">
        <v>4000</v>
      </c>
      <c r="O3551" s="2">
        <v>0</v>
      </c>
      <c r="P3551" s="2">
        <v>0</v>
      </c>
      <c r="Q3551" s="2">
        <v>4000</v>
      </c>
      <c r="R3551" s="2">
        <v>3</v>
      </c>
      <c r="S3551" s="2">
        <v>3997</v>
      </c>
      <c r="T3551" s="2">
        <v>3997</v>
      </c>
      <c r="U3551" s="2">
        <v>3</v>
      </c>
      <c r="V3551" s="2">
        <v>3</v>
      </c>
      <c r="W3551" s="2">
        <v>0</v>
      </c>
    </row>
    <row r="3552" spans="1:23" outlineLevel="2" x14ac:dyDescent="0.2">
      <c r="A3552" t="s">
        <v>999</v>
      </c>
      <c r="B3552" t="s">
        <v>39</v>
      </c>
      <c r="C3552" t="s">
        <v>58</v>
      </c>
      <c r="D3552" t="s">
        <v>135</v>
      </c>
      <c r="E3552" t="s">
        <v>136</v>
      </c>
      <c r="F3552" t="s">
        <v>1673</v>
      </c>
      <c r="G3552" t="s">
        <v>1674</v>
      </c>
      <c r="H3552" t="s">
        <v>1692</v>
      </c>
      <c r="I3552" t="s">
        <v>1693</v>
      </c>
      <c r="J3552" t="s">
        <v>1000</v>
      </c>
      <c r="K3552" t="s">
        <v>1061</v>
      </c>
      <c r="L3552" t="s">
        <v>1687</v>
      </c>
      <c r="M3552" t="s">
        <v>12</v>
      </c>
      <c r="N3552" s="2">
        <v>4000</v>
      </c>
      <c r="O3552" s="2">
        <v>-2498.08</v>
      </c>
      <c r="P3552" s="2">
        <v>0</v>
      </c>
      <c r="Q3552" s="2">
        <v>1501.92</v>
      </c>
      <c r="R3552" s="2">
        <v>0</v>
      </c>
      <c r="S3552" s="2">
        <v>1501.92</v>
      </c>
      <c r="T3552" s="2">
        <v>1501.92</v>
      </c>
      <c r="U3552" s="2">
        <v>0</v>
      </c>
      <c r="V3552" s="2">
        <v>0</v>
      </c>
      <c r="W3552" s="2">
        <v>0</v>
      </c>
    </row>
    <row r="3553" spans="1:23" outlineLevel="2" x14ac:dyDescent="0.2">
      <c r="A3553" t="s">
        <v>999</v>
      </c>
      <c r="B3553" t="s">
        <v>39</v>
      </c>
      <c r="C3553" t="s">
        <v>58</v>
      </c>
      <c r="D3553" t="s">
        <v>59</v>
      </c>
      <c r="E3553" t="s">
        <v>60</v>
      </c>
      <c r="F3553" t="s">
        <v>1673</v>
      </c>
      <c r="G3553" t="s">
        <v>1674</v>
      </c>
      <c r="H3553" t="s">
        <v>1692</v>
      </c>
      <c r="I3553" t="s">
        <v>1693</v>
      </c>
      <c r="J3553" t="s">
        <v>1000</v>
      </c>
      <c r="K3553" t="s">
        <v>1313</v>
      </c>
      <c r="L3553" t="s">
        <v>1688</v>
      </c>
      <c r="M3553" t="s">
        <v>12</v>
      </c>
      <c r="N3553" s="2">
        <v>500</v>
      </c>
      <c r="O3553" s="2">
        <v>0</v>
      </c>
      <c r="P3553" s="2">
        <v>0</v>
      </c>
      <c r="Q3553" s="2">
        <v>500</v>
      </c>
      <c r="R3553" s="2">
        <v>0</v>
      </c>
      <c r="S3553" s="2">
        <v>0</v>
      </c>
      <c r="T3553" s="2">
        <v>0</v>
      </c>
      <c r="U3553" s="2">
        <v>500</v>
      </c>
      <c r="V3553" s="2">
        <v>500</v>
      </c>
      <c r="W3553" s="2">
        <v>500</v>
      </c>
    </row>
    <row r="3554" spans="1:23" outlineLevel="2" x14ac:dyDescent="0.2">
      <c r="A3554" t="s">
        <v>999</v>
      </c>
      <c r="B3554" t="s">
        <v>39</v>
      </c>
      <c r="C3554" t="s">
        <v>58</v>
      </c>
      <c r="D3554" t="s">
        <v>59</v>
      </c>
      <c r="E3554" t="s">
        <v>60</v>
      </c>
      <c r="F3554" t="s">
        <v>1673</v>
      </c>
      <c r="G3554" t="s">
        <v>1674</v>
      </c>
      <c r="H3554" t="s">
        <v>1692</v>
      </c>
      <c r="I3554" t="s">
        <v>1693</v>
      </c>
      <c r="J3554" t="s">
        <v>1000</v>
      </c>
      <c r="K3554" t="s">
        <v>1082</v>
      </c>
      <c r="L3554" t="s">
        <v>1689</v>
      </c>
      <c r="M3554" t="s">
        <v>12</v>
      </c>
      <c r="N3554" s="2">
        <v>4300</v>
      </c>
      <c r="O3554" s="2">
        <v>0</v>
      </c>
      <c r="P3554" s="2">
        <v>-4300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</row>
    <row r="3555" spans="1:23" outlineLevel="2" x14ac:dyDescent="0.2">
      <c r="A3555" t="s">
        <v>999</v>
      </c>
      <c r="B3555" t="s">
        <v>39</v>
      </c>
      <c r="C3555" t="s">
        <v>58</v>
      </c>
      <c r="D3555" t="s">
        <v>135</v>
      </c>
      <c r="E3555" t="s">
        <v>136</v>
      </c>
      <c r="F3555" t="s">
        <v>1673</v>
      </c>
      <c r="G3555" t="s">
        <v>1674</v>
      </c>
      <c r="H3555" t="s">
        <v>1692</v>
      </c>
      <c r="I3555" t="s">
        <v>1693</v>
      </c>
      <c r="J3555" t="s">
        <v>1000</v>
      </c>
      <c r="K3555" t="s">
        <v>1082</v>
      </c>
      <c r="L3555" t="s">
        <v>1689</v>
      </c>
      <c r="M3555" t="s">
        <v>12</v>
      </c>
      <c r="N3555" s="2">
        <v>7000</v>
      </c>
      <c r="O3555" s="2">
        <v>0</v>
      </c>
      <c r="P3555" s="2">
        <v>0</v>
      </c>
      <c r="Q3555" s="2">
        <v>7000</v>
      </c>
      <c r="R3555" s="2">
        <v>0</v>
      </c>
      <c r="S3555" s="2">
        <v>0</v>
      </c>
      <c r="T3555" s="2">
        <v>0</v>
      </c>
      <c r="U3555" s="2">
        <v>7000</v>
      </c>
      <c r="V3555" s="2">
        <v>7000</v>
      </c>
      <c r="W3555" s="2">
        <v>7000</v>
      </c>
    </row>
    <row r="3556" spans="1:23" outlineLevel="2" x14ac:dyDescent="0.2">
      <c r="A3556" t="s">
        <v>999</v>
      </c>
      <c r="B3556" t="s">
        <v>39</v>
      </c>
      <c r="C3556" t="s">
        <v>58</v>
      </c>
      <c r="D3556" t="s">
        <v>143</v>
      </c>
      <c r="E3556" t="s">
        <v>144</v>
      </c>
      <c r="F3556" t="s">
        <v>1673</v>
      </c>
      <c r="G3556" t="s">
        <v>1674</v>
      </c>
      <c r="H3556" t="s">
        <v>1692</v>
      </c>
      <c r="I3556" t="s">
        <v>1693</v>
      </c>
      <c r="J3556" t="s">
        <v>1000</v>
      </c>
      <c r="K3556" t="s">
        <v>1082</v>
      </c>
      <c r="L3556" t="s">
        <v>1689</v>
      </c>
      <c r="M3556" t="s">
        <v>12</v>
      </c>
      <c r="N3556" s="2">
        <v>3000</v>
      </c>
      <c r="O3556" s="2">
        <v>0</v>
      </c>
      <c r="P3556" s="2">
        <v>0</v>
      </c>
      <c r="Q3556" s="2">
        <v>3000</v>
      </c>
      <c r="R3556" s="2">
        <v>0</v>
      </c>
      <c r="S3556" s="2">
        <v>2954</v>
      </c>
      <c r="T3556" s="2">
        <v>2954</v>
      </c>
      <c r="U3556" s="2">
        <v>46</v>
      </c>
      <c r="V3556" s="2">
        <v>46</v>
      </c>
      <c r="W3556" s="2">
        <v>46</v>
      </c>
    </row>
    <row r="3557" spans="1:23" outlineLevel="2" x14ac:dyDescent="0.2">
      <c r="A3557" t="s">
        <v>999</v>
      </c>
      <c r="B3557" t="s">
        <v>39</v>
      </c>
      <c r="C3557" t="s">
        <v>58</v>
      </c>
      <c r="D3557" t="s">
        <v>149</v>
      </c>
      <c r="E3557" t="s">
        <v>150</v>
      </c>
      <c r="F3557" t="s">
        <v>1673</v>
      </c>
      <c r="G3557" t="s">
        <v>1674</v>
      </c>
      <c r="H3557" t="s">
        <v>1692</v>
      </c>
      <c r="I3557" t="s">
        <v>1693</v>
      </c>
      <c r="J3557" t="s">
        <v>1000</v>
      </c>
      <c r="K3557" t="s">
        <v>1118</v>
      </c>
      <c r="L3557" t="s">
        <v>1690</v>
      </c>
      <c r="M3557" t="s">
        <v>12</v>
      </c>
      <c r="N3557" s="2">
        <v>5000</v>
      </c>
      <c r="O3557" s="2">
        <v>2000</v>
      </c>
      <c r="P3557" s="2">
        <v>-7000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</row>
    <row r="3558" spans="1:23" outlineLevel="2" x14ac:dyDescent="0.2">
      <c r="A3558" t="s">
        <v>999</v>
      </c>
      <c r="B3558" t="s">
        <v>39</v>
      </c>
      <c r="C3558" t="s">
        <v>58</v>
      </c>
      <c r="D3558" t="s">
        <v>137</v>
      </c>
      <c r="E3558" t="s">
        <v>138</v>
      </c>
      <c r="F3558" t="s">
        <v>1673</v>
      </c>
      <c r="G3558" t="s">
        <v>1674</v>
      </c>
      <c r="H3558" t="s">
        <v>1692</v>
      </c>
      <c r="I3558" t="s">
        <v>1693</v>
      </c>
      <c r="J3558" t="s">
        <v>1000</v>
      </c>
      <c r="K3558" t="s">
        <v>1023</v>
      </c>
      <c r="L3558" t="s">
        <v>1697</v>
      </c>
      <c r="M3558" t="s">
        <v>12</v>
      </c>
      <c r="N3558" s="2">
        <v>2000</v>
      </c>
      <c r="O3558" s="2">
        <v>0</v>
      </c>
      <c r="P3558" s="2">
        <v>-2000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</row>
    <row r="3559" spans="1:23" outlineLevel="2" x14ac:dyDescent="0.2">
      <c r="A3559" t="s">
        <v>999</v>
      </c>
      <c r="B3559" t="s">
        <v>39</v>
      </c>
      <c r="C3559" t="s">
        <v>58</v>
      </c>
      <c r="D3559" t="s">
        <v>147</v>
      </c>
      <c r="E3559" t="s">
        <v>148</v>
      </c>
      <c r="F3559" t="s">
        <v>1673</v>
      </c>
      <c r="G3559" t="s">
        <v>1674</v>
      </c>
      <c r="H3559" t="s">
        <v>1692</v>
      </c>
      <c r="I3559" t="s">
        <v>1693</v>
      </c>
      <c r="J3559" t="s">
        <v>1000</v>
      </c>
      <c r="K3559" t="s">
        <v>1023</v>
      </c>
      <c r="L3559" t="s">
        <v>1697</v>
      </c>
      <c r="M3559" t="s">
        <v>12</v>
      </c>
      <c r="N3559" s="2">
        <v>1500</v>
      </c>
      <c r="O3559" s="2">
        <v>0</v>
      </c>
      <c r="P3559" s="2">
        <v>-1500</v>
      </c>
      <c r="Q3559" s="2">
        <v>0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</row>
    <row r="3560" spans="1:23" outlineLevel="2" x14ac:dyDescent="0.2">
      <c r="A3560" t="s">
        <v>999</v>
      </c>
      <c r="B3560" t="s">
        <v>39</v>
      </c>
      <c r="C3560" t="s">
        <v>66</v>
      </c>
      <c r="D3560" t="s">
        <v>67</v>
      </c>
      <c r="E3560" t="s">
        <v>68</v>
      </c>
      <c r="F3560" t="s">
        <v>967</v>
      </c>
      <c r="G3560" t="s">
        <v>968</v>
      </c>
      <c r="H3560" t="s">
        <v>969</v>
      </c>
      <c r="I3560" t="s">
        <v>970</v>
      </c>
      <c r="J3560" t="s">
        <v>1000</v>
      </c>
      <c r="K3560" t="s">
        <v>1037</v>
      </c>
      <c r="L3560" t="s">
        <v>1698</v>
      </c>
      <c r="M3560" t="s">
        <v>12</v>
      </c>
      <c r="N3560" s="2">
        <v>0</v>
      </c>
      <c r="O3560" s="2">
        <v>5249.07</v>
      </c>
      <c r="P3560" s="2">
        <v>0</v>
      </c>
      <c r="Q3560" s="2">
        <v>5249.07</v>
      </c>
      <c r="R3560" s="2">
        <v>0</v>
      </c>
      <c r="S3560" s="2">
        <v>0</v>
      </c>
      <c r="T3560" s="2">
        <v>0</v>
      </c>
      <c r="U3560" s="2">
        <v>5249.07</v>
      </c>
      <c r="V3560" s="2">
        <v>5249.07</v>
      </c>
      <c r="W3560" s="2">
        <v>5249.07</v>
      </c>
    </row>
    <row r="3561" spans="1:23" outlineLevel="2" x14ac:dyDescent="0.2">
      <c r="A3561" t="s">
        <v>999</v>
      </c>
      <c r="B3561" t="s">
        <v>39</v>
      </c>
      <c r="C3561" t="s">
        <v>66</v>
      </c>
      <c r="D3561" t="s">
        <v>67</v>
      </c>
      <c r="E3561" t="s">
        <v>68</v>
      </c>
      <c r="F3561" t="s">
        <v>967</v>
      </c>
      <c r="G3561" t="s">
        <v>968</v>
      </c>
      <c r="H3561" t="s">
        <v>969</v>
      </c>
      <c r="I3561" t="s">
        <v>970</v>
      </c>
      <c r="J3561" t="s">
        <v>1000</v>
      </c>
      <c r="K3561" t="s">
        <v>1039</v>
      </c>
      <c r="L3561" t="s">
        <v>1699</v>
      </c>
      <c r="M3561" t="s">
        <v>12</v>
      </c>
      <c r="N3561" s="2">
        <v>170000</v>
      </c>
      <c r="O3561" s="2">
        <v>0</v>
      </c>
      <c r="P3561" s="2">
        <v>0</v>
      </c>
      <c r="Q3561" s="2">
        <v>170000</v>
      </c>
      <c r="R3561" s="2">
        <v>0</v>
      </c>
      <c r="S3561" s="2">
        <v>152507.56</v>
      </c>
      <c r="T3561" s="2">
        <v>151638.51</v>
      </c>
      <c r="U3561" s="2">
        <v>17492.439999999999</v>
      </c>
      <c r="V3561" s="2">
        <v>18361.490000000002</v>
      </c>
      <c r="W3561" s="2">
        <v>17492.439999999999</v>
      </c>
    </row>
    <row r="3562" spans="1:23" outlineLevel="2" x14ac:dyDescent="0.2">
      <c r="A3562" t="s">
        <v>999</v>
      </c>
      <c r="B3562" t="s">
        <v>39</v>
      </c>
      <c r="C3562" t="s">
        <v>66</v>
      </c>
      <c r="D3562" t="s">
        <v>67</v>
      </c>
      <c r="E3562" t="s">
        <v>68</v>
      </c>
      <c r="F3562" t="s">
        <v>967</v>
      </c>
      <c r="G3562" t="s">
        <v>968</v>
      </c>
      <c r="H3562" t="s">
        <v>969</v>
      </c>
      <c r="I3562" t="s">
        <v>970</v>
      </c>
      <c r="J3562" t="s">
        <v>1000</v>
      </c>
      <c r="K3562" t="s">
        <v>1058</v>
      </c>
      <c r="L3562" t="s">
        <v>1700</v>
      </c>
      <c r="M3562" t="s">
        <v>12</v>
      </c>
      <c r="N3562" s="2">
        <v>40000</v>
      </c>
      <c r="O3562" s="2">
        <v>0</v>
      </c>
      <c r="P3562" s="2">
        <v>0</v>
      </c>
      <c r="Q3562" s="2">
        <v>40000</v>
      </c>
      <c r="R3562" s="2">
        <v>0</v>
      </c>
      <c r="S3562" s="2">
        <v>39432.959999999999</v>
      </c>
      <c r="T3562" s="2">
        <v>39432.959999999999</v>
      </c>
      <c r="U3562" s="2">
        <v>567.04</v>
      </c>
      <c r="V3562" s="2">
        <v>567.04</v>
      </c>
      <c r="W3562" s="2">
        <v>567.04</v>
      </c>
    </row>
    <row r="3563" spans="1:23" outlineLevel="2" x14ac:dyDescent="0.2">
      <c r="A3563" t="s">
        <v>999</v>
      </c>
      <c r="B3563" t="s">
        <v>39</v>
      </c>
      <c r="C3563" t="s">
        <v>66</v>
      </c>
      <c r="D3563" t="s">
        <v>67</v>
      </c>
      <c r="E3563" t="s">
        <v>68</v>
      </c>
      <c r="F3563" t="s">
        <v>967</v>
      </c>
      <c r="G3563" t="s">
        <v>968</v>
      </c>
      <c r="H3563" t="s">
        <v>969</v>
      </c>
      <c r="I3563" t="s">
        <v>970</v>
      </c>
      <c r="J3563" t="s">
        <v>1000</v>
      </c>
      <c r="K3563" t="s">
        <v>1149</v>
      </c>
      <c r="L3563" t="s">
        <v>1701</v>
      </c>
      <c r="M3563" t="s">
        <v>12</v>
      </c>
      <c r="N3563" s="2">
        <v>0</v>
      </c>
      <c r="O3563" s="2">
        <v>104255.09</v>
      </c>
      <c r="P3563" s="2">
        <v>0</v>
      </c>
      <c r="Q3563" s="2">
        <v>104255.09</v>
      </c>
      <c r="R3563" s="2">
        <v>13255.09</v>
      </c>
      <c r="S3563" s="2">
        <v>0</v>
      </c>
      <c r="T3563" s="2">
        <v>0</v>
      </c>
      <c r="U3563" s="2">
        <v>104255.09</v>
      </c>
      <c r="V3563" s="2">
        <v>104255.09</v>
      </c>
      <c r="W3563" s="2">
        <v>91000</v>
      </c>
    </row>
    <row r="3564" spans="1:23" outlineLevel="2" x14ac:dyDescent="0.2">
      <c r="A3564" t="s">
        <v>999</v>
      </c>
      <c r="B3564" t="s">
        <v>39</v>
      </c>
      <c r="C3564" t="s">
        <v>66</v>
      </c>
      <c r="D3564" t="s">
        <v>67</v>
      </c>
      <c r="E3564" t="s">
        <v>68</v>
      </c>
      <c r="F3564" t="s">
        <v>967</v>
      </c>
      <c r="G3564" t="s">
        <v>968</v>
      </c>
      <c r="H3564" t="s">
        <v>969</v>
      </c>
      <c r="I3564" t="s">
        <v>970</v>
      </c>
      <c r="J3564" t="s">
        <v>1000</v>
      </c>
      <c r="K3564" t="s">
        <v>1013</v>
      </c>
      <c r="L3564" t="s">
        <v>1702</v>
      </c>
      <c r="M3564" t="s">
        <v>12</v>
      </c>
      <c r="N3564" s="2">
        <v>430000</v>
      </c>
      <c r="O3564" s="2">
        <v>-127101.02</v>
      </c>
      <c r="P3564" s="2">
        <v>-35000</v>
      </c>
      <c r="Q3564" s="2">
        <v>267898.98</v>
      </c>
      <c r="R3564" s="2">
        <v>0</v>
      </c>
      <c r="S3564" s="2">
        <v>145058.91</v>
      </c>
      <c r="T3564" s="2">
        <v>98774.66</v>
      </c>
      <c r="U3564" s="2">
        <v>122840.07</v>
      </c>
      <c r="V3564" s="2">
        <v>169124.32</v>
      </c>
      <c r="W3564" s="2">
        <v>122840.07</v>
      </c>
    </row>
    <row r="3565" spans="1:23" outlineLevel="2" x14ac:dyDescent="0.2">
      <c r="A3565" t="s">
        <v>999</v>
      </c>
      <c r="B3565" t="s">
        <v>39</v>
      </c>
      <c r="C3565" t="s">
        <v>66</v>
      </c>
      <c r="D3565" t="s">
        <v>67</v>
      </c>
      <c r="E3565" t="s">
        <v>68</v>
      </c>
      <c r="F3565" t="s">
        <v>967</v>
      </c>
      <c r="G3565" t="s">
        <v>968</v>
      </c>
      <c r="H3565" t="s">
        <v>969</v>
      </c>
      <c r="I3565" t="s">
        <v>970</v>
      </c>
      <c r="J3565" t="s">
        <v>1000</v>
      </c>
      <c r="K3565" t="s">
        <v>1017</v>
      </c>
      <c r="L3565" t="s">
        <v>1703</v>
      </c>
      <c r="M3565" t="s">
        <v>12</v>
      </c>
      <c r="N3565" s="2">
        <v>250406.08</v>
      </c>
      <c r="O3565" s="2">
        <v>-19696.84</v>
      </c>
      <c r="P3565" s="2">
        <v>0</v>
      </c>
      <c r="Q3565" s="2">
        <v>230709.24</v>
      </c>
      <c r="R3565" s="2">
        <v>2789.92</v>
      </c>
      <c r="S3565" s="2">
        <v>220327.44</v>
      </c>
      <c r="T3565" s="2">
        <v>188786.01</v>
      </c>
      <c r="U3565" s="2">
        <v>10381.799999999999</v>
      </c>
      <c r="V3565" s="2">
        <v>41923.230000000003</v>
      </c>
      <c r="W3565" s="2">
        <v>7591.88</v>
      </c>
    </row>
    <row r="3566" spans="1:23" outlineLevel="2" x14ac:dyDescent="0.2">
      <c r="A3566" t="s">
        <v>999</v>
      </c>
      <c r="B3566" t="s">
        <v>39</v>
      </c>
      <c r="C3566" t="s">
        <v>66</v>
      </c>
      <c r="D3566" t="s">
        <v>67</v>
      </c>
      <c r="E3566" t="s">
        <v>68</v>
      </c>
      <c r="F3566" t="s">
        <v>967</v>
      </c>
      <c r="G3566" t="s">
        <v>968</v>
      </c>
      <c r="H3566" t="s">
        <v>969</v>
      </c>
      <c r="I3566" t="s">
        <v>970</v>
      </c>
      <c r="J3566" t="s">
        <v>1000</v>
      </c>
      <c r="K3566" t="s">
        <v>1078</v>
      </c>
      <c r="L3566" t="s">
        <v>1704</v>
      </c>
      <c r="M3566" t="s">
        <v>12</v>
      </c>
      <c r="N3566" s="2">
        <v>40000</v>
      </c>
      <c r="O3566" s="2">
        <v>-40000</v>
      </c>
      <c r="P3566" s="2">
        <v>0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</row>
    <row r="3567" spans="1:23" outlineLevel="2" x14ac:dyDescent="0.2">
      <c r="A3567" t="s">
        <v>999</v>
      </c>
      <c r="B3567" t="s">
        <v>39</v>
      </c>
      <c r="C3567" t="s">
        <v>66</v>
      </c>
      <c r="D3567" t="s">
        <v>67</v>
      </c>
      <c r="E3567" t="s">
        <v>68</v>
      </c>
      <c r="F3567" t="s">
        <v>967</v>
      </c>
      <c r="G3567" t="s">
        <v>968</v>
      </c>
      <c r="H3567" t="s">
        <v>969</v>
      </c>
      <c r="I3567" t="s">
        <v>970</v>
      </c>
      <c r="J3567" t="s">
        <v>1000</v>
      </c>
      <c r="K3567" t="s">
        <v>1084</v>
      </c>
      <c r="L3567" t="s">
        <v>1705</v>
      </c>
      <c r="M3567" t="s">
        <v>12</v>
      </c>
      <c r="N3567" s="2">
        <v>0</v>
      </c>
      <c r="O3567" s="2">
        <v>38314.06</v>
      </c>
      <c r="P3567" s="2">
        <v>-8814.06</v>
      </c>
      <c r="Q3567" s="2">
        <v>29500</v>
      </c>
      <c r="R3567" s="2">
        <v>0</v>
      </c>
      <c r="S3567" s="2">
        <v>0</v>
      </c>
      <c r="T3567" s="2">
        <v>0</v>
      </c>
      <c r="U3567" s="2">
        <v>29500</v>
      </c>
      <c r="V3567" s="2">
        <v>29500</v>
      </c>
      <c r="W3567" s="2">
        <v>29500</v>
      </c>
    </row>
    <row r="3568" spans="1:23" outlineLevel="2" x14ac:dyDescent="0.2">
      <c r="A3568" t="s">
        <v>999</v>
      </c>
      <c r="B3568" t="s">
        <v>39</v>
      </c>
      <c r="C3568" t="s">
        <v>66</v>
      </c>
      <c r="D3568" t="s">
        <v>67</v>
      </c>
      <c r="E3568" t="s">
        <v>68</v>
      </c>
      <c r="F3568" t="s">
        <v>967</v>
      </c>
      <c r="G3568" t="s">
        <v>968</v>
      </c>
      <c r="H3568" t="s">
        <v>1706</v>
      </c>
      <c r="I3568" t="s">
        <v>1707</v>
      </c>
      <c r="J3568" t="s">
        <v>1000</v>
      </c>
      <c r="K3568" t="s">
        <v>1447</v>
      </c>
      <c r="L3568" t="s">
        <v>1708</v>
      </c>
      <c r="M3568" t="s">
        <v>12</v>
      </c>
      <c r="N3568" s="2">
        <v>78400</v>
      </c>
      <c r="O3568" s="2">
        <v>-1456</v>
      </c>
      <c r="P3568" s="2">
        <v>0</v>
      </c>
      <c r="Q3568" s="2">
        <v>76944</v>
      </c>
      <c r="R3568" s="2">
        <v>0</v>
      </c>
      <c r="S3568" s="2">
        <v>76944</v>
      </c>
      <c r="T3568" s="2">
        <v>38472</v>
      </c>
      <c r="U3568" s="2">
        <v>0</v>
      </c>
      <c r="V3568" s="2">
        <v>38472</v>
      </c>
      <c r="W3568" s="2">
        <v>0</v>
      </c>
    </row>
    <row r="3569" spans="1:23" outlineLevel="2" x14ac:dyDescent="0.2">
      <c r="A3569" t="s">
        <v>999</v>
      </c>
      <c r="B3569" t="s">
        <v>39</v>
      </c>
      <c r="C3569" t="s">
        <v>66</v>
      </c>
      <c r="D3569" t="s">
        <v>67</v>
      </c>
      <c r="E3569" t="s">
        <v>68</v>
      </c>
      <c r="F3569" t="s">
        <v>967</v>
      </c>
      <c r="G3569" t="s">
        <v>968</v>
      </c>
      <c r="H3569" t="s">
        <v>1706</v>
      </c>
      <c r="I3569" t="s">
        <v>1707</v>
      </c>
      <c r="J3569" t="s">
        <v>1000</v>
      </c>
      <c r="K3569" t="s">
        <v>1015</v>
      </c>
      <c r="L3569" t="s">
        <v>1709</v>
      </c>
      <c r="M3569" t="s">
        <v>12</v>
      </c>
      <c r="N3569" s="2">
        <v>295300</v>
      </c>
      <c r="O3569" s="2">
        <v>-67435.199999999997</v>
      </c>
      <c r="P3569" s="2">
        <v>-54530.31</v>
      </c>
      <c r="Q3569" s="2">
        <v>173334.49</v>
      </c>
      <c r="R3569" s="2">
        <v>0</v>
      </c>
      <c r="S3569" s="2">
        <v>45271.519999999997</v>
      </c>
      <c r="T3569" s="2">
        <v>40397.760000000002</v>
      </c>
      <c r="U3569" s="2">
        <v>128062.97</v>
      </c>
      <c r="V3569" s="2">
        <v>132936.73000000001</v>
      </c>
      <c r="W3569" s="2">
        <v>128062.97</v>
      </c>
    </row>
    <row r="3570" spans="1:23" outlineLevel="2" x14ac:dyDescent="0.2">
      <c r="A3570" t="s">
        <v>999</v>
      </c>
      <c r="B3570" t="s">
        <v>39</v>
      </c>
      <c r="C3570" t="s">
        <v>66</v>
      </c>
      <c r="D3570" t="s">
        <v>67</v>
      </c>
      <c r="E3570" t="s">
        <v>68</v>
      </c>
      <c r="F3570" t="s">
        <v>967</v>
      </c>
      <c r="G3570" t="s">
        <v>968</v>
      </c>
      <c r="H3570" t="s">
        <v>1706</v>
      </c>
      <c r="I3570" t="s">
        <v>1707</v>
      </c>
      <c r="J3570" t="s">
        <v>1000</v>
      </c>
      <c r="K3570" t="s">
        <v>1015</v>
      </c>
      <c r="L3570" t="s">
        <v>1709</v>
      </c>
      <c r="M3570" t="s">
        <v>15</v>
      </c>
      <c r="N3570" s="2">
        <v>1165.06</v>
      </c>
      <c r="O3570" s="2">
        <v>0</v>
      </c>
      <c r="P3570" s="2">
        <v>0</v>
      </c>
      <c r="Q3570" s="2">
        <v>1165.06</v>
      </c>
      <c r="R3570" s="2">
        <v>0</v>
      </c>
      <c r="S3570" s="2">
        <v>1165.06</v>
      </c>
      <c r="T3570" s="2">
        <v>0</v>
      </c>
      <c r="U3570" s="2">
        <v>0</v>
      </c>
      <c r="V3570" s="2">
        <v>1165.06</v>
      </c>
      <c r="W3570" s="2">
        <v>0</v>
      </c>
    </row>
    <row r="3571" spans="1:23" outlineLevel="2" x14ac:dyDescent="0.2">
      <c r="A3571" t="s">
        <v>999</v>
      </c>
      <c r="B3571" t="s">
        <v>39</v>
      </c>
      <c r="C3571" t="s">
        <v>66</v>
      </c>
      <c r="D3571" t="s">
        <v>67</v>
      </c>
      <c r="E3571" t="s">
        <v>68</v>
      </c>
      <c r="F3571" t="s">
        <v>967</v>
      </c>
      <c r="G3571" t="s">
        <v>968</v>
      </c>
      <c r="H3571" t="s">
        <v>1706</v>
      </c>
      <c r="I3571" t="s">
        <v>1707</v>
      </c>
      <c r="J3571" t="s">
        <v>1000</v>
      </c>
      <c r="K3571" t="s">
        <v>1017</v>
      </c>
      <c r="L3571" t="s">
        <v>1703</v>
      </c>
      <c r="M3571" t="s">
        <v>12</v>
      </c>
      <c r="N3571" s="2">
        <v>0</v>
      </c>
      <c r="O3571" s="2">
        <v>48462.400000000001</v>
      </c>
      <c r="P3571" s="2">
        <v>0</v>
      </c>
      <c r="Q3571" s="2">
        <v>48462.400000000001</v>
      </c>
      <c r="R3571" s="2">
        <v>0</v>
      </c>
      <c r="S3571" s="2">
        <v>48462.400000000001</v>
      </c>
      <c r="T3571" s="2">
        <v>45006.080000000002</v>
      </c>
      <c r="U3571" s="2">
        <v>0</v>
      </c>
      <c r="V3571" s="2">
        <v>3456.32</v>
      </c>
      <c r="W3571" s="2">
        <v>0</v>
      </c>
    </row>
    <row r="3572" spans="1:23" outlineLevel="2" x14ac:dyDescent="0.2">
      <c r="A3572" t="s">
        <v>999</v>
      </c>
      <c r="B3572" t="s">
        <v>39</v>
      </c>
      <c r="C3572" t="s">
        <v>66</v>
      </c>
      <c r="D3572" t="s">
        <v>67</v>
      </c>
      <c r="E3572" t="s">
        <v>68</v>
      </c>
      <c r="F3572" t="s">
        <v>967</v>
      </c>
      <c r="G3572" t="s">
        <v>968</v>
      </c>
      <c r="H3572" t="s">
        <v>978</v>
      </c>
      <c r="I3572" t="s">
        <v>979</v>
      </c>
      <c r="J3572" t="s">
        <v>1000</v>
      </c>
      <c r="K3572" t="s">
        <v>1100</v>
      </c>
      <c r="L3572" t="s">
        <v>1710</v>
      </c>
      <c r="M3572" t="s">
        <v>12</v>
      </c>
      <c r="N3572" s="2">
        <v>16000</v>
      </c>
      <c r="O3572" s="2">
        <v>0</v>
      </c>
      <c r="P3572" s="2">
        <v>0</v>
      </c>
      <c r="Q3572" s="2">
        <v>16000</v>
      </c>
      <c r="R3572" s="2">
        <v>0</v>
      </c>
      <c r="S3572" s="2">
        <v>8000</v>
      </c>
      <c r="T3572" s="2">
        <v>4610.57</v>
      </c>
      <c r="U3572" s="2">
        <v>8000</v>
      </c>
      <c r="V3572" s="2">
        <v>11389.43</v>
      </c>
      <c r="W3572" s="2">
        <v>8000</v>
      </c>
    </row>
    <row r="3573" spans="1:23" outlineLevel="2" x14ac:dyDescent="0.2">
      <c r="A3573" t="s">
        <v>999</v>
      </c>
      <c r="B3573" t="s">
        <v>39</v>
      </c>
      <c r="C3573" t="s">
        <v>66</v>
      </c>
      <c r="D3573" t="s">
        <v>67</v>
      </c>
      <c r="E3573" t="s">
        <v>68</v>
      </c>
      <c r="F3573" t="s">
        <v>967</v>
      </c>
      <c r="G3573" t="s">
        <v>968</v>
      </c>
      <c r="H3573" t="s">
        <v>978</v>
      </c>
      <c r="I3573" t="s">
        <v>979</v>
      </c>
      <c r="J3573" t="s">
        <v>1000</v>
      </c>
      <c r="K3573" t="s">
        <v>1102</v>
      </c>
      <c r="L3573" t="s">
        <v>1711</v>
      </c>
      <c r="M3573" t="s">
        <v>12</v>
      </c>
      <c r="N3573" s="2">
        <v>15000</v>
      </c>
      <c r="O3573" s="2">
        <v>0</v>
      </c>
      <c r="P3573" s="2">
        <v>0</v>
      </c>
      <c r="Q3573" s="2">
        <v>15000</v>
      </c>
      <c r="R3573" s="2">
        <v>0</v>
      </c>
      <c r="S3573" s="2">
        <v>7000</v>
      </c>
      <c r="T3573" s="2">
        <v>3960.7</v>
      </c>
      <c r="U3573" s="2">
        <v>8000</v>
      </c>
      <c r="V3573" s="2">
        <v>11039.3</v>
      </c>
      <c r="W3573" s="2">
        <v>8000</v>
      </c>
    </row>
    <row r="3574" spans="1:23" outlineLevel="2" x14ac:dyDescent="0.2">
      <c r="A3574" t="s">
        <v>999</v>
      </c>
      <c r="B3574" t="s">
        <v>39</v>
      </c>
      <c r="C3574" t="s">
        <v>66</v>
      </c>
      <c r="D3574" t="s">
        <v>67</v>
      </c>
      <c r="E3574" t="s">
        <v>68</v>
      </c>
      <c r="F3574" t="s">
        <v>967</v>
      </c>
      <c r="G3574" t="s">
        <v>968</v>
      </c>
      <c r="H3574" t="s">
        <v>978</v>
      </c>
      <c r="I3574" t="s">
        <v>979</v>
      </c>
      <c r="J3574" t="s">
        <v>1000</v>
      </c>
      <c r="K3574" t="s">
        <v>1108</v>
      </c>
      <c r="L3574" t="s">
        <v>1712</v>
      </c>
      <c r="M3574" t="s">
        <v>12</v>
      </c>
      <c r="N3574" s="2">
        <v>230000</v>
      </c>
      <c r="O3574" s="2">
        <v>93807.95</v>
      </c>
      <c r="P3574" s="2">
        <v>0</v>
      </c>
      <c r="Q3574" s="2">
        <v>323807.95</v>
      </c>
      <c r="R3574" s="2">
        <v>51288.32</v>
      </c>
      <c r="S3574" s="2">
        <v>229339.8</v>
      </c>
      <c r="T3574" s="2">
        <v>213858.94</v>
      </c>
      <c r="U3574" s="2">
        <v>94468.15</v>
      </c>
      <c r="V3574" s="2">
        <v>109949.01</v>
      </c>
      <c r="W3574" s="2">
        <v>43179.83</v>
      </c>
    </row>
    <row r="3575" spans="1:23" outlineLevel="2" x14ac:dyDescent="0.2">
      <c r="A3575" t="s">
        <v>999</v>
      </c>
      <c r="B3575" t="s">
        <v>39</v>
      </c>
      <c r="C3575" t="s">
        <v>66</v>
      </c>
      <c r="D3575" t="s">
        <v>67</v>
      </c>
      <c r="E3575" t="s">
        <v>68</v>
      </c>
      <c r="F3575" t="s">
        <v>967</v>
      </c>
      <c r="G3575" t="s">
        <v>968</v>
      </c>
      <c r="H3575" t="s">
        <v>978</v>
      </c>
      <c r="I3575" t="s">
        <v>979</v>
      </c>
      <c r="J3575" t="s">
        <v>1000</v>
      </c>
      <c r="K3575" t="s">
        <v>1003</v>
      </c>
      <c r="L3575" t="s">
        <v>1713</v>
      </c>
      <c r="M3575" t="s">
        <v>12</v>
      </c>
      <c r="N3575" s="2">
        <v>0</v>
      </c>
      <c r="O3575" s="2">
        <v>26922.99</v>
      </c>
      <c r="P3575" s="2">
        <v>0</v>
      </c>
      <c r="Q3575" s="2">
        <v>26922.99</v>
      </c>
      <c r="R3575" s="2">
        <v>0</v>
      </c>
      <c r="S3575" s="2">
        <v>0</v>
      </c>
      <c r="T3575" s="2">
        <v>0</v>
      </c>
      <c r="U3575" s="2">
        <v>26922.99</v>
      </c>
      <c r="V3575" s="2">
        <v>26922.99</v>
      </c>
      <c r="W3575" s="2">
        <v>26922.99</v>
      </c>
    </row>
    <row r="3576" spans="1:23" outlineLevel="2" x14ac:dyDescent="0.2">
      <c r="A3576" t="s">
        <v>999</v>
      </c>
      <c r="B3576" t="s">
        <v>39</v>
      </c>
      <c r="C3576" t="s">
        <v>66</v>
      </c>
      <c r="D3576" t="s">
        <v>67</v>
      </c>
      <c r="E3576" t="s">
        <v>68</v>
      </c>
      <c r="F3576" t="s">
        <v>967</v>
      </c>
      <c r="G3576" t="s">
        <v>968</v>
      </c>
      <c r="H3576" t="s">
        <v>978</v>
      </c>
      <c r="I3576" t="s">
        <v>979</v>
      </c>
      <c r="J3576" t="s">
        <v>1000</v>
      </c>
      <c r="K3576" t="s">
        <v>1015</v>
      </c>
      <c r="L3576" t="s">
        <v>1709</v>
      </c>
      <c r="M3576" t="s">
        <v>15</v>
      </c>
      <c r="N3576" s="2">
        <v>28054</v>
      </c>
      <c r="O3576" s="2">
        <v>0</v>
      </c>
      <c r="P3576" s="2">
        <v>-4208.1000000000004</v>
      </c>
      <c r="Q3576" s="2">
        <v>23845.9</v>
      </c>
      <c r="R3576" s="2">
        <v>0</v>
      </c>
      <c r="S3576" s="2">
        <v>23845.9</v>
      </c>
      <c r="T3576" s="2">
        <v>22443.200000000001</v>
      </c>
      <c r="U3576" s="2">
        <v>0</v>
      </c>
      <c r="V3576" s="2">
        <v>1402.7</v>
      </c>
      <c r="W3576" s="2">
        <v>0</v>
      </c>
    </row>
    <row r="3577" spans="1:23" outlineLevel="2" x14ac:dyDescent="0.2">
      <c r="A3577" t="s">
        <v>999</v>
      </c>
      <c r="B3577" t="s">
        <v>39</v>
      </c>
      <c r="C3577" t="s">
        <v>66</v>
      </c>
      <c r="D3577" t="s">
        <v>67</v>
      </c>
      <c r="E3577" t="s">
        <v>68</v>
      </c>
      <c r="F3577" t="s">
        <v>967</v>
      </c>
      <c r="G3577" t="s">
        <v>968</v>
      </c>
      <c r="H3577" t="s">
        <v>978</v>
      </c>
      <c r="I3577" t="s">
        <v>979</v>
      </c>
      <c r="J3577" t="s">
        <v>1000</v>
      </c>
      <c r="K3577" t="s">
        <v>1015</v>
      </c>
      <c r="L3577" t="s">
        <v>1709</v>
      </c>
      <c r="M3577" t="s">
        <v>12</v>
      </c>
      <c r="N3577" s="2">
        <v>0</v>
      </c>
      <c r="O3577" s="2">
        <v>1404.05</v>
      </c>
      <c r="P3577" s="2">
        <v>0</v>
      </c>
      <c r="Q3577" s="2">
        <v>1404.05</v>
      </c>
      <c r="R3577" s="2">
        <v>0</v>
      </c>
      <c r="S3577" s="2">
        <v>1404.05</v>
      </c>
      <c r="T3577" s="2">
        <v>0</v>
      </c>
      <c r="U3577" s="2">
        <v>0</v>
      </c>
      <c r="V3577" s="2">
        <v>1404.05</v>
      </c>
      <c r="W3577" s="2">
        <v>0</v>
      </c>
    </row>
    <row r="3578" spans="1:23" outlineLevel="2" x14ac:dyDescent="0.2">
      <c r="A3578" t="s">
        <v>999</v>
      </c>
      <c r="B3578" t="s">
        <v>39</v>
      </c>
      <c r="C3578" t="s">
        <v>66</v>
      </c>
      <c r="D3578" t="s">
        <v>67</v>
      </c>
      <c r="E3578" t="s">
        <v>68</v>
      </c>
      <c r="F3578" t="s">
        <v>967</v>
      </c>
      <c r="G3578" t="s">
        <v>968</v>
      </c>
      <c r="H3578" t="s">
        <v>978</v>
      </c>
      <c r="I3578" t="s">
        <v>979</v>
      </c>
      <c r="J3578" t="s">
        <v>1000</v>
      </c>
      <c r="K3578" t="s">
        <v>1017</v>
      </c>
      <c r="L3578" t="s">
        <v>1703</v>
      </c>
      <c r="M3578" t="s">
        <v>12</v>
      </c>
      <c r="N3578" s="2">
        <v>29639.56</v>
      </c>
      <c r="O3578" s="2">
        <v>-11724.04</v>
      </c>
      <c r="P3578" s="2">
        <v>0</v>
      </c>
      <c r="Q3578" s="2">
        <v>17915.52</v>
      </c>
      <c r="R3578" s="2">
        <v>0</v>
      </c>
      <c r="S3578" s="2">
        <v>17915.52</v>
      </c>
      <c r="T3578" s="2">
        <v>14929.6</v>
      </c>
      <c r="U3578" s="2">
        <v>0</v>
      </c>
      <c r="V3578" s="2">
        <v>2985.92</v>
      </c>
      <c r="W3578" s="2">
        <v>0</v>
      </c>
    </row>
    <row r="3579" spans="1:23" outlineLevel="2" x14ac:dyDescent="0.2">
      <c r="A3579" t="s">
        <v>999</v>
      </c>
      <c r="B3579" t="s">
        <v>39</v>
      </c>
      <c r="C3579" t="s">
        <v>66</v>
      </c>
      <c r="D3579" t="s">
        <v>67</v>
      </c>
      <c r="E3579" t="s">
        <v>68</v>
      </c>
      <c r="F3579" t="s">
        <v>967</v>
      </c>
      <c r="G3579" t="s">
        <v>968</v>
      </c>
      <c r="H3579" t="s">
        <v>1714</v>
      </c>
      <c r="I3579" t="s">
        <v>1715</v>
      </c>
      <c r="J3579" t="s">
        <v>1000</v>
      </c>
      <c r="K3579" t="s">
        <v>1037</v>
      </c>
      <c r="L3579" t="s">
        <v>1698</v>
      </c>
      <c r="M3579" t="s">
        <v>12</v>
      </c>
      <c r="N3579" s="2">
        <v>0</v>
      </c>
      <c r="O3579" s="2">
        <v>16761.7</v>
      </c>
      <c r="P3579" s="2">
        <v>0</v>
      </c>
      <c r="Q3579" s="2">
        <v>16761.7</v>
      </c>
      <c r="R3579" s="2">
        <v>0</v>
      </c>
      <c r="S3579" s="2">
        <v>16761.7</v>
      </c>
      <c r="T3579" s="2">
        <v>16761.7</v>
      </c>
      <c r="U3579" s="2">
        <v>0</v>
      </c>
      <c r="V3579" s="2">
        <v>0</v>
      </c>
      <c r="W3579" s="2">
        <v>0</v>
      </c>
    </row>
    <row r="3580" spans="1:23" outlineLevel="2" x14ac:dyDescent="0.2">
      <c r="A3580" t="s">
        <v>999</v>
      </c>
      <c r="B3580" t="s">
        <v>39</v>
      </c>
      <c r="C3580" t="s">
        <v>66</v>
      </c>
      <c r="D3580" t="s">
        <v>67</v>
      </c>
      <c r="E3580" t="s">
        <v>68</v>
      </c>
      <c r="F3580" t="s">
        <v>967</v>
      </c>
      <c r="G3580" t="s">
        <v>968</v>
      </c>
      <c r="H3580" t="s">
        <v>1714</v>
      </c>
      <c r="I3580" t="s">
        <v>1715</v>
      </c>
      <c r="J3580" t="s">
        <v>1000</v>
      </c>
      <c r="K3580" t="s">
        <v>1037</v>
      </c>
      <c r="L3580" t="s">
        <v>1698</v>
      </c>
      <c r="M3580" t="s">
        <v>15</v>
      </c>
      <c r="N3580" s="2">
        <v>13517.5</v>
      </c>
      <c r="O3580" s="2">
        <v>0</v>
      </c>
      <c r="P3580" s="2">
        <v>0</v>
      </c>
      <c r="Q3580" s="2">
        <v>13517.5</v>
      </c>
      <c r="R3580" s="2">
        <v>0</v>
      </c>
      <c r="S3580" s="2">
        <v>13517.5</v>
      </c>
      <c r="T3580" s="2">
        <v>13517.5</v>
      </c>
      <c r="U3580" s="2">
        <v>0</v>
      </c>
      <c r="V3580" s="2">
        <v>0</v>
      </c>
      <c r="W3580" s="2">
        <v>0</v>
      </c>
    </row>
    <row r="3581" spans="1:23" outlineLevel="2" x14ac:dyDescent="0.2">
      <c r="A3581" t="s">
        <v>999</v>
      </c>
      <c r="B3581" t="s">
        <v>39</v>
      </c>
      <c r="C3581" t="s">
        <v>66</v>
      </c>
      <c r="D3581" t="s">
        <v>67</v>
      </c>
      <c r="E3581" t="s">
        <v>68</v>
      </c>
      <c r="F3581" t="s">
        <v>967</v>
      </c>
      <c r="G3581" t="s">
        <v>968</v>
      </c>
      <c r="H3581" t="s">
        <v>1714</v>
      </c>
      <c r="I3581" t="s">
        <v>1715</v>
      </c>
      <c r="J3581" t="s">
        <v>1000</v>
      </c>
      <c r="K3581" t="s">
        <v>1003</v>
      </c>
      <c r="L3581" t="s">
        <v>1713</v>
      </c>
      <c r="M3581" t="s">
        <v>12</v>
      </c>
      <c r="N3581" s="2">
        <v>60000</v>
      </c>
      <c r="O3581" s="2">
        <v>0</v>
      </c>
      <c r="P3581" s="2">
        <v>-60000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</row>
    <row r="3582" spans="1:23" outlineLevel="2" x14ac:dyDescent="0.2">
      <c r="A3582" t="s">
        <v>999</v>
      </c>
      <c r="B3582" t="s">
        <v>39</v>
      </c>
      <c r="C3582" t="s">
        <v>66</v>
      </c>
      <c r="D3582" t="s">
        <v>67</v>
      </c>
      <c r="E3582" t="s">
        <v>68</v>
      </c>
      <c r="F3582" t="s">
        <v>967</v>
      </c>
      <c r="G3582" t="s">
        <v>968</v>
      </c>
      <c r="H3582" t="s">
        <v>1714</v>
      </c>
      <c r="I3582" t="s">
        <v>1715</v>
      </c>
      <c r="J3582" t="s">
        <v>1000</v>
      </c>
      <c r="K3582" t="s">
        <v>1129</v>
      </c>
      <c r="L3582" t="s">
        <v>1716</v>
      </c>
      <c r="M3582" t="s">
        <v>12</v>
      </c>
      <c r="N3582" s="2">
        <v>42294</v>
      </c>
      <c r="O3582" s="2">
        <v>11511.37</v>
      </c>
      <c r="P3582" s="2">
        <v>0</v>
      </c>
      <c r="Q3582" s="2">
        <v>53805.37</v>
      </c>
      <c r="R3582" s="2">
        <v>11289.6</v>
      </c>
      <c r="S3582" s="2">
        <v>40071.019999999997</v>
      </c>
      <c r="T3582" s="2">
        <v>22261.7</v>
      </c>
      <c r="U3582" s="2">
        <v>13734.35</v>
      </c>
      <c r="V3582" s="2">
        <v>31543.67</v>
      </c>
      <c r="W3582" s="2">
        <v>2444.75</v>
      </c>
    </row>
    <row r="3583" spans="1:23" outlineLevel="2" x14ac:dyDescent="0.2">
      <c r="A3583" t="s">
        <v>999</v>
      </c>
      <c r="B3583" t="s">
        <v>39</v>
      </c>
      <c r="C3583" t="s">
        <v>66</v>
      </c>
      <c r="D3583" t="s">
        <v>67</v>
      </c>
      <c r="E3583" t="s">
        <v>68</v>
      </c>
      <c r="F3583" t="s">
        <v>967</v>
      </c>
      <c r="G3583" t="s">
        <v>968</v>
      </c>
      <c r="H3583" t="s">
        <v>1714</v>
      </c>
      <c r="I3583" t="s">
        <v>1715</v>
      </c>
      <c r="J3583" t="s">
        <v>1000</v>
      </c>
      <c r="K3583" t="s">
        <v>1149</v>
      </c>
      <c r="L3583" t="s">
        <v>1701</v>
      </c>
      <c r="M3583" t="s">
        <v>12</v>
      </c>
      <c r="N3583" s="2">
        <v>75000</v>
      </c>
      <c r="O3583" s="2">
        <v>35000</v>
      </c>
      <c r="P3583" s="2">
        <v>-49462.03</v>
      </c>
      <c r="Q3583" s="2">
        <v>60537.97</v>
      </c>
      <c r="R3583" s="2">
        <v>0</v>
      </c>
      <c r="S3583" s="2">
        <v>0</v>
      </c>
      <c r="T3583" s="2">
        <v>0</v>
      </c>
      <c r="U3583" s="2">
        <v>60537.97</v>
      </c>
      <c r="V3583" s="2">
        <v>60537.97</v>
      </c>
      <c r="W3583" s="2">
        <v>60537.97</v>
      </c>
    </row>
    <row r="3584" spans="1:23" outlineLevel="2" x14ac:dyDescent="0.2">
      <c r="A3584" t="s">
        <v>999</v>
      </c>
      <c r="B3584" t="s">
        <v>39</v>
      </c>
      <c r="C3584" t="s">
        <v>66</v>
      </c>
      <c r="D3584" t="s">
        <v>67</v>
      </c>
      <c r="E3584" t="s">
        <v>68</v>
      </c>
      <c r="F3584" t="s">
        <v>967</v>
      </c>
      <c r="G3584" t="s">
        <v>968</v>
      </c>
      <c r="H3584" t="s">
        <v>1714</v>
      </c>
      <c r="I3584" t="s">
        <v>1715</v>
      </c>
      <c r="J3584" t="s">
        <v>1000</v>
      </c>
      <c r="K3584" t="s">
        <v>1013</v>
      </c>
      <c r="L3584" t="s">
        <v>1702</v>
      </c>
      <c r="M3584" t="s">
        <v>12</v>
      </c>
      <c r="N3584" s="2">
        <v>326100</v>
      </c>
      <c r="O3584" s="2">
        <v>0</v>
      </c>
      <c r="P3584" s="2">
        <v>0</v>
      </c>
      <c r="Q3584" s="2">
        <v>326100</v>
      </c>
      <c r="R3584" s="2">
        <v>2225.9899999999998</v>
      </c>
      <c r="S3584" s="2">
        <v>234719.57</v>
      </c>
      <c r="T3584" s="2">
        <v>83403.62</v>
      </c>
      <c r="U3584" s="2">
        <v>91380.43</v>
      </c>
      <c r="V3584" s="2">
        <v>242696.38</v>
      </c>
      <c r="W3584" s="2">
        <v>89154.44</v>
      </c>
    </row>
    <row r="3585" spans="1:23" outlineLevel="2" x14ac:dyDescent="0.2">
      <c r="A3585" t="s">
        <v>999</v>
      </c>
      <c r="B3585" t="s">
        <v>39</v>
      </c>
      <c r="C3585" t="s">
        <v>66</v>
      </c>
      <c r="D3585" t="s">
        <v>67</v>
      </c>
      <c r="E3585" t="s">
        <v>68</v>
      </c>
      <c r="F3585" t="s">
        <v>967</v>
      </c>
      <c r="G3585" t="s">
        <v>968</v>
      </c>
      <c r="H3585" t="s">
        <v>1714</v>
      </c>
      <c r="I3585" t="s">
        <v>1715</v>
      </c>
      <c r="J3585" t="s">
        <v>1000</v>
      </c>
      <c r="K3585" t="s">
        <v>1015</v>
      </c>
      <c r="L3585" t="s">
        <v>1709</v>
      </c>
      <c r="M3585" t="s">
        <v>12</v>
      </c>
      <c r="N3585" s="2">
        <v>20000</v>
      </c>
      <c r="O3585" s="2">
        <v>0</v>
      </c>
      <c r="P3585" s="2">
        <v>0</v>
      </c>
      <c r="Q3585" s="2">
        <v>20000</v>
      </c>
      <c r="R3585" s="2">
        <v>0</v>
      </c>
      <c r="S3585" s="2">
        <v>0</v>
      </c>
      <c r="T3585" s="2">
        <v>0</v>
      </c>
      <c r="U3585" s="2">
        <v>20000</v>
      </c>
      <c r="V3585" s="2">
        <v>20000</v>
      </c>
      <c r="W3585" s="2">
        <v>20000</v>
      </c>
    </row>
    <row r="3586" spans="1:23" outlineLevel="2" x14ac:dyDescent="0.2">
      <c r="A3586" t="s">
        <v>999</v>
      </c>
      <c r="B3586" t="s">
        <v>39</v>
      </c>
      <c r="C3586" t="s">
        <v>66</v>
      </c>
      <c r="D3586" t="s">
        <v>67</v>
      </c>
      <c r="E3586" t="s">
        <v>68</v>
      </c>
      <c r="F3586" t="s">
        <v>967</v>
      </c>
      <c r="G3586" t="s">
        <v>968</v>
      </c>
      <c r="H3586" t="s">
        <v>1714</v>
      </c>
      <c r="I3586" t="s">
        <v>1715</v>
      </c>
      <c r="J3586" t="s">
        <v>1000</v>
      </c>
      <c r="K3586" t="s">
        <v>1017</v>
      </c>
      <c r="L3586" t="s">
        <v>1703</v>
      </c>
      <c r="M3586" t="s">
        <v>12</v>
      </c>
      <c r="N3586" s="2">
        <v>36450</v>
      </c>
      <c r="O3586" s="2">
        <v>-17041.52</v>
      </c>
      <c r="P3586" s="2">
        <v>0</v>
      </c>
      <c r="Q3586" s="2">
        <v>19408.48</v>
      </c>
      <c r="R3586" s="2">
        <v>0</v>
      </c>
      <c r="S3586" s="2">
        <v>19408.48</v>
      </c>
      <c r="T3586" s="2">
        <v>16422.560000000001</v>
      </c>
      <c r="U3586" s="2">
        <v>0</v>
      </c>
      <c r="V3586" s="2">
        <v>2985.92</v>
      </c>
      <c r="W3586" s="2">
        <v>0</v>
      </c>
    </row>
    <row r="3587" spans="1:23" outlineLevel="2" x14ac:dyDescent="0.2">
      <c r="A3587" t="s">
        <v>999</v>
      </c>
      <c r="B3587" t="s">
        <v>39</v>
      </c>
      <c r="C3587" t="s">
        <v>66</v>
      </c>
      <c r="D3587" t="s">
        <v>67</v>
      </c>
      <c r="E3587" t="s">
        <v>68</v>
      </c>
      <c r="F3587" t="s">
        <v>967</v>
      </c>
      <c r="G3587" t="s">
        <v>968</v>
      </c>
      <c r="H3587" t="s">
        <v>1714</v>
      </c>
      <c r="I3587" t="s">
        <v>1715</v>
      </c>
      <c r="J3587" t="s">
        <v>1000</v>
      </c>
      <c r="K3587" t="s">
        <v>1289</v>
      </c>
      <c r="L3587" t="s">
        <v>1717</v>
      </c>
      <c r="M3587" t="s">
        <v>12</v>
      </c>
      <c r="N3587" s="2">
        <v>30000</v>
      </c>
      <c r="O3587" s="2">
        <v>0</v>
      </c>
      <c r="P3587" s="2">
        <v>0</v>
      </c>
      <c r="Q3587" s="2">
        <v>30000</v>
      </c>
      <c r="R3587" s="2">
        <v>5.35</v>
      </c>
      <c r="S3587" s="2">
        <v>29545.599999999999</v>
      </c>
      <c r="T3587" s="2">
        <v>16250.08</v>
      </c>
      <c r="U3587" s="2">
        <v>454.4</v>
      </c>
      <c r="V3587" s="2">
        <v>13749.92</v>
      </c>
      <c r="W3587" s="2">
        <v>449.05</v>
      </c>
    </row>
    <row r="3588" spans="1:23" outlineLevel="2" x14ac:dyDescent="0.2">
      <c r="A3588" t="s">
        <v>999</v>
      </c>
      <c r="B3588" t="s">
        <v>39</v>
      </c>
      <c r="C3588" t="s">
        <v>66</v>
      </c>
      <c r="D3588" t="s">
        <v>67</v>
      </c>
      <c r="E3588" t="s">
        <v>68</v>
      </c>
      <c r="F3588" t="s">
        <v>967</v>
      </c>
      <c r="G3588" t="s">
        <v>968</v>
      </c>
      <c r="H3588" t="s">
        <v>1714</v>
      </c>
      <c r="I3588" t="s">
        <v>1715</v>
      </c>
      <c r="J3588" t="s">
        <v>1000</v>
      </c>
      <c r="K3588" t="s">
        <v>1045</v>
      </c>
      <c r="L3588" t="s">
        <v>1718</v>
      </c>
      <c r="M3588" t="s">
        <v>12</v>
      </c>
      <c r="N3588" s="2">
        <v>0</v>
      </c>
      <c r="O3588" s="2">
        <v>7951.64</v>
      </c>
      <c r="P3588" s="2">
        <v>0</v>
      </c>
      <c r="Q3588" s="2">
        <v>7951.64</v>
      </c>
      <c r="R3588" s="2">
        <v>0</v>
      </c>
      <c r="S3588" s="2">
        <v>0</v>
      </c>
      <c r="T3588" s="2">
        <v>0</v>
      </c>
      <c r="U3588" s="2">
        <v>7951.64</v>
      </c>
      <c r="V3588" s="2">
        <v>7951.64</v>
      </c>
      <c r="W3588" s="2">
        <v>7951.64</v>
      </c>
    </row>
    <row r="3589" spans="1:23" outlineLevel="2" x14ac:dyDescent="0.2">
      <c r="A3589" t="s">
        <v>999</v>
      </c>
      <c r="B3589" t="s">
        <v>39</v>
      </c>
      <c r="C3589" t="s">
        <v>66</v>
      </c>
      <c r="D3589" t="s">
        <v>121</v>
      </c>
      <c r="E3589" t="s">
        <v>122</v>
      </c>
      <c r="F3589" t="s">
        <v>980</v>
      </c>
      <c r="G3589" t="s">
        <v>981</v>
      </c>
      <c r="H3589" t="s">
        <v>982</v>
      </c>
      <c r="I3589" t="s">
        <v>983</v>
      </c>
      <c r="J3589" t="s">
        <v>1000</v>
      </c>
      <c r="K3589" t="s">
        <v>1058</v>
      </c>
      <c r="L3589" t="s">
        <v>1719</v>
      </c>
      <c r="M3589" t="s">
        <v>12</v>
      </c>
      <c r="N3589" s="2">
        <v>14000</v>
      </c>
      <c r="O3589" s="2">
        <v>0</v>
      </c>
      <c r="P3589" s="2">
        <v>-14000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</row>
    <row r="3590" spans="1:23" outlineLevel="2" x14ac:dyDescent="0.2">
      <c r="A3590" t="s">
        <v>999</v>
      </c>
      <c r="B3590" t="s">
        <v>39</v>
      </c>
      <c r="C3590" t="s">
        <v>66</v>
      </c>
      <c r="D3590" t="s">
        <v>121</v>
      </c>
      <c r="E3590" t="s">
        <v>122</v>
      </c>
      <c r="F3590" t="s">
        <v>980</v>
      </c>
      <c r="G3590" t="s">
        <v>981</v>
      </c>
      <c r="H3590" t="s">
        <v>982</v>
      </c>
      <c r="I3590" t="s">
        <v>983</v>
      </c>
      <c r="J3590" t="s">
        <v>1000</v>
      </c>
      <c r="K3590" t="s">
        <v>1017</v>
      </c>
      <c r="L3590" t="s">
        <v>1720</v>
      </c>
      <c r="M3590" t="s">
        <v>12</v>
      </c>
      <c r="N3590" s="2">
        <v>713000</v>
      </c>
      <c r="O3590" s="2">
        <v>-671451.34</v>
      </c>
      <c r="P3590" s="2">
        <v>-41548.660000000003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</row>
    <row r="3591" spans="1:23" outlineLevel="2" x14ac:dyDescent="0.2">
      <c r="A3591" t="s">
        <v>999</v>
      </c>
      <c r="B3591" t="s">
        <v>39</v>
      </c>
      <c r="C3591" t="s">
        <v>66</v>
      </c>
      <c r="D3591" t="s">
        <v>121</v>
      </c>
      <c r="E3591" t="s">
        <v>122</v>
      </c>
      <c r="F3591" t="s">
        <v>980</v>
      </c>
      <c r="G3591" t="s">
        <v>981</v>
      </c>
      <c r="H3591" t="s">
        <v>982</v>
      </c>
      <c r="I3591" t="s">
        <v>983</v>
      </c>
      <c r="J3591" t="s">
        <v>1000</v>
      </c>
      <c r="K3591" t="s">
        <v>1031</v>
      </c>
      <c r="L3591" t="s">
        <v>1721</v>
      </c>
      <c r="M3591" t="s">
        <v>12</v>
      </c>
      <c r="N3591" s="2">
        <v>7000</v>
      </c>
      <c r="O3591" s="2">
        <v>7000</v>
      </c>
      <c r="P3591" s="2">
        <v>-7000</v>
      </c>
      <c r="Q3591" s="2">
        <v>7000</v>
      </c>
      <c r="R3591" s="2">
        <v>0</v>
      </c>
      <c r="S3591" s="2">
        <v>6473.04</v>
      </c>
      <c r="T3591" s="2">
        <v>0</v>
      </c>
      <c r="U3591" s="2">
        <v>526.96</v>
      </c>
      <c r="V3591" s="2">
        <v>7000</v>
      </c>
      <c r="W3591" s="2">
        <v>526.96</v>
      </c>
    </row>
    <row r="3592" spans="1:23" outlineLevel="2" x14ac:dyDescent="0.2">
      <c r="A3592" t="s">
        <v>999</v>
      </c>
      <c r="B3592" t="s">
        <v>39</v>
      </c>
      <c r="C3592" t="s">
        <v>66</v>
      </c>
      <c r="D3592" t="s">
        <v>121</v>
      </c>
      <c r="E3592" t="s">
        <v>122</v>
      </c>
      <c r="F3592" t="s">
        <v>980</v>
      </c>
      <c r="G3592" t="s">
        <v>981</v>
      </c>
      <c r="H3592" t="s">
        <v>982</v>
      </c>
      <c r="I3592" t="s">
        <v>983</v>
      </c>
      <c r="J3592" t="s">
        <v>1000</v>
      </c>
      <c r="K3592" t="s">
        <v>1116</v>
      </c>
      <c r="L3592" t="s">
        <v>1722</v>
      </c>
      <c r="M3592" t="s">
        <v>12</v>
      </c>
      <c r="N3592" s="2">
        <v>14000</v>
      </c>
      <c r="O3592" s="2">
        <v>-7000</v>
      </c>
      <c r="P3592" s="2">
        <v>0</v>
      </c>
      <c r="Q3592" s="2">
        <v>7000</v>
      </c>
      <c r="R3592" s="2">
        <v>0</v>
      </c>
      <c r="S3592" s="2">
        <v>0</v>
      </c>
      <c r="T3592" s="2">
        <v>0</v>
      </c>
      <c r="U3592" s="2">
        <v>7000</v>
      </c>
      <c r="V3592" s="2">
        <v>7000</v>
      </c>
      <c r="W3592" s="2">
        <v>7000</v>
      </c>
    </row>
    <row r="3593" spans="1:23" outlineLevel="2" x14ac:dyDescent="0.2">
      <c r="A3593" t="s">
        <v>999</v>
      </c>
      <c r="B3593" t="s">
        <v>39</v>
      </c>
      <c r="C3593" t="s">
        <v>66</v>
      </c>
      <c r="D3593" t="s">
        <v>121</v>
      </c>
      <c r="E3593" t="s">
        <v>122</v>
      </c>
      <c r="F3593" t="s">
        <v>980</v>
      </c>
      <c r="G3593" t="s">
        <v>981</v>
      </c>
      <c r="H3593" t="s">
        <v>982</v>
      </c>
      <c r="I3593" t="s">
        <v>983</v>
      </c>
      <c r="J3593" t="s">
        <v>1000</v>
      </c>
      <c r="K3593" t="s">
        <v>1092</v>
      </c>
      <c r="L3593" t="s">
        <v>1723</v>
      </c>
      <c r="M3593" t="s">
        <v>12</v>
      </c>
      <c r="N3593" s="2">
        <v>7000</v>
      </c>
      <c r="O3593" s="2">
        <v>0</v>
      </c>
      <c r="P3593" s="2">
        <v>-7000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</row>
    <row r="3594" spans="1:23" outlineLevel="2" x14ac:dyDescent="0.2">
      <c r="A3594" t="s">
        <v>999</v>
      </c>
      <c r="B3594" t="s">
        <v>39</v>
      </c>
      <c r="C3594" t="s">
        <v>66</v>
      </c>
      <c r="D3594" t="s">
        <v>121</v>
      </c>
      <c r="E3594" t="s">
        <v>122</v>
      </c>
      <c r="F3594" t="s">
        <v>980</v>
      </c>
      <c r="G3594" t="s">
        <v>981</v>
      </c>
      <c r="H3594" t="s">
        <v>982</v>
      </c>
      <c r="I3594" t="s">
        <v>983</v>
      </c>
      <c r="J3594" t="s">
        <v>1000</v>
      </c>
      <c r="K3594" t="s">
        <v>1194</v>
      </c>
      <c r="L3594" t="s">
        <v>1724</v>
      </c>
      <c r="M3594" t="s">
        <v>12</v>
      </c>
      <c r="N3594" s="2">
        <v>5000</v>
      </c>
      <c r="O3594" s="2">
        <v>0</v>
      </c>
      <c r="P3594" s="2">
        <v>0</v>
      </c>
      <c r="Q3594" s="2">
        <v>5000</v>
      </c>
      <c r="R3594" s="2">
        <v>0</v>
      </c>
      <c r="S3594" s="2">
        <v>0</v>
      </c>
      <c r="T3594" s="2">
        <v>0</v>
      </c>
      <c r="U3594" s="2">
        <v>5000</v>
      </c>
      <c r="V3594" s="2">
        <v>5000</v>
      </c>
      <c r="W3594" s="2">
        <v>5000</v>
      </c>
    </row>
    <row r="3595" spans="1:23" outlineLevel="2" x14ac:dyDescent="0.2">
      <c r="A3595" t="s">
        <v>999</v>
      </c>
      <c r="B3595" t="s">
        <v>39</v>
      </c>
      <c r="C3595" t="s">
        <v>66</v>
      </c>
      <c r="D3595" t="s">
        <v>121</v>
      </c>
      <c r="E3595" t="s">
        <v>122</v>
      </c>
      <c r="F3595" t="s">
        <v>980</v>
      </c>
      <c r="G3595" t="s">
        <v>981</v>
      </c>
      <c r="H3595" t="s">
        <v>1725</v>
      </c>
      <c r="I3595" t="s">
        <v>1726</v>
      </c>
      <c r="J3595" t="s">
        <v>1000</v>
      </c>
      <c r="K3595" t="s">
        <v>1037</v>
      </c>
      <c r="L3595" t="s">
        <v>1727</v>
      </c>
      <c r="M3595" t="s">
        <v>12</v>
      </c>
      <c r="N3595" s="2">
        <v>10000</v>
      </c>
      <c r="O3595" s="2">
        <v>0</v>
      </c>
      <c r="P3595" s="2">
        <v>-10000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</row>
    <row r="3596" spans="1:23" outlineLevel="2" x14ac:dyDescent="0.2">
      <c r="A3596" t="s">
        <v>999</v>
      </c>
      <c r="B3596" t="s">
        <v>39</v>
      </c>
      <c r="C3596" t="s">
        <v>66</v>
      </c>
      <c r="D3596" t="s">
        <v>121</v>
      </c>
      <c r="E3596" t="s">
        <v>122</v>
      </c>
      <c r="F3596" t="s">
        <v>980</v>
      </c>
      <c r="G3596" t="s">
        <v>981</v>
      </c>
      <c r="H3596" t="s">
        <v>1725</v>
      </c>
      <c r="I3596" t="s">
        <v>1726</v>
      </c>
      <c r="J3596" t="s">
        <v>1000</v>
      </c>
      <c r="K3596" t="s">
        <v>1039</v>
      </c>
      <c r="L3596" t="s">
        <v>1728</v>
      </c>
      <c r="M3596" t="s">
        <v>12</v>
      </c>
      <c r="N3596" s="2">
        <v>10000</v>
      </c>
      <c r="O3596" s="2">
        <v>0</v>
      </c>
      <c r="P3596" s="2">
        <v>-10000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</row>
    <row r="3597" spans="1:23" outlineLevel="2" x14ac:dyDescent="0.2">
      <c r="A3597" t="s">
        <v>999</v>
      </c>
      <c r="B3597" t="s">
        <v>39</v>
      </c>
      <c r="C3597" t="s">
        <v>66</v>
      </c>
      <c r="D3597" t="s">
        <v>121</v>
      </c>
      <c r="E3597" t="s">
        <v>122</v>
      </c>
      <c r="F3597" t="s">
        <v>980</v>
      </c>
      <c r="G3597" t="s">
        <v>981</v>
      </c>
      <c r="H3597" t="s">
        <v>1729</v>
      </c>
      <c r="I3597" t="s">
        <v>1730</v>
      </c>
      <c r="J3597" t="s">
        <v>1000</v>
      </c>
      <c r="K3597" t="s">
        <v>1013</v>
      </c>
      <c r="L3597" t="s">
        <v>1731</v>
      </c>
      <c r="M3597" t="s">
        <v>12</v>
      </c>
      <c r="N3597" s="2">
        <v>60000</v>
      </c>
      <c r="O3597" s="2">
        <v>0</v>
      </c>
      <c r="P3597" s="2">
        <v>-60000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</row>
    <row r="3598" spans="1:23" outlineLevel="2" x14ac:dyDescent="0.2">
      <c r="A3598" t="s">
        <v>999</v>
      </c>
      <c r="B3598" t="s">
        <v>39</v>
      </c>
      <c r="C3598" t="s">
        <v>66</v>
      </c>
      <c r="D3598" t="s">
        <v>121</v>
      </c>
      <c r="E3598" t="s">
        <v>122</v>
      </c>
      <c r="F3598" t="s">
        <v>980</v>
      </c>
      <c r="G3598" t="s">
        <v>981</v>
      </c>
      <c r="H3598" t="s">
        <v>1729</v>
      </c>
      <c r="I3598" t="s">
        <v>1730</v>
      </c>
      <c r="J3598" t="s">
        <v>1000</v>
      </c>
      <c r="K3598" t="s">
        <v>1017</v>
      </c>
      <c r="L3598" t="s">
        <v>1720</v>
      </c>
      <c r="M3598" t="s">
        <v>12</v>
      </c>
      <c r="N3598" s="2">
        <v>139485.76000000001</v>
      </c>
      <c r="O3598" s="2">
        <v>0</v>
      </c>
      <c r="P3598" s="2">
        <v>-139485.76000000001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</row>
    <row r="3599" spans="1:23" outlineLevel="2" x14ac:dyDescent="0.2">
      <c r="A3599" t="s">
        <v>999</v>
      </c>
      <c r="B3599" t="s">
        <v>39</v>
      </c>
      <c r="C3599" t="s">
        <v>58</v>
      </c>
      <c r="D3599" t="s">
        <v>119</v>
      </c>
      <c r="E3599" t="s">
        <v>120</v>
      </c>
      <c r="F3599" t="s">
        <v>980</v>
      </c>
      <c r="G3599" t="s">
        <v>981</v>
      </c>
      <c r="H3599" t="s">
        <v>991</v>
      </c>
      <c r="I3599" t="s">
        <v>992</v>
      </c>
      <c r="J3599" t="s">
        <v>1000</v>
      </c>
      <c r="K3599" t="s">
        <v>1037</v>
      </c>
      <c r="L3599" t="s">
        <v>1732</v>
      </c>
      <c r="M3599" t="s">
        <v>12</v>
      </c>
      <c r="N3599" s="2">
        <v>4000</v>
      </c>
      <c r="O3599" s="2">
        <v>0</v>
      </c>
      <c r="P3599" s="2">
        <v>0</v>
      </c>
      <c r="Q3599" s="2">
        <v>4000</v>
      </c>
      <c r="R3599" s="2">
        <v>0</v>
      </c>
      <c r="S3599" s="2">
        <v>0</v>
      </c>
      <c r="T3599" s="2">
        <v>0</v>
      </c>
      <c r="U3599" s="2">
        <v>4000</v>
      </c>
      <c r="V3599" s="2">
        <v>4000</v>
      </c>
      <c r="W3599" s="2">
        <v>4000</v>
      </c>
    </row>
    <row r="3600" spans="1:23" outlineLevel="2" x14ac:dyDescent="0.2">
      <c r="A3600" t="s">
        <v>999</v>
      </c>
      <c r="B3600" t="s">
        <v>39</v>
      </c>
      <c r="C3600" t="s">
        <v>58</v>
      </c>
      <c r="D3600" t="s">
        <v>119</v>
      </c>
      <c r="E3600" t="s">
        <v>120</v>
      </c>
      <c r="F3600" t="s">
        <v>980</v>
      </c>
      <c r="G3600" t="s">
        <v>981</v>
      </c>
      <c r="H3600" t="s">
        <v>991</v>
      </c>
      <c r="I3600" t="s">
        <v>992</v>
      </c>
      <c r="J3600" t="s">
        <v>1000</v>
      </c>
      <c r="K3600" t="s">
        <v>1058</v>
      </c>
      <c r="L3600" t="s">
        <v>1733</v>
      </c>
      <c r="M3600" t="s">
        <v>12</v>
      </c>
      <c r="N3600" s="2">
        <v>4000</v>
      </c>
      <c r="O3600" s="2">
        <v>0</v>
      </c>
      <c r="P3600" s="2">
        <v>0</v>
      </c>
      <c r="Q3600" s="2">
        <v>4000</v>
      </c>
      <c r="R3600" s="2">
        <v>0</v>
      </c>
      <c r="S3600" s="2">
        <v>2166.5300000000002</v>
      </c>
      <c r="T3600" s="2">
        <v>0</v>
      </c>
      <c r="U3600" s="2">
        <v>1833.47</v>
      </c>
      <c r="V3600" s="2">
        <v>4000</v>
      </c>
      <c r="W3600" s="2">
        <v>1833.47</v>
      </c>
    </row>
    <row r="3601" spans="1:23" outlineLevel="2" x14ac:dyDescent="0.2">
      <c r="A3601" t="s">
        <v>999</v>
      </c>
      <c r="B3601" t="s">
        <v>39</v>
      </c>
      <c r="C3601" t="s">
        <v>58</v>
      </c>
      <c r="D3601" t="s">
        <v>119</v>
      </c>
      <c r="E3601" t="s">
        <v>120</v>
      </c>
      <c r="F3601" t="s">
        <v>980</v>
      </c>
      <c r="G3601" t="s">
        <v>981</v>
      </c>
      <c r="H3601" t="s">
        <v>991</v>
      </c>
      <c r="I3601" t="s">
        <v>992</v>
      </c>
      <c r="J3601" t="s">
        <v>1000</v>
      </c>
      <c r="K3601" t="s">
        <v>1009</v>
      </c>
      <c r="L3601" t="s">
        <v>1734</v>
      </c>
      <c r="M3601" t="s">
        <v>12</v>
      </c>
      <c r="N3601" s="2">
        <v>8000</v>
      </c>
      <c r="O3601" s="2">
        <v>0</v>
      </c>
      <c r="P3601" s="2">
        <v>-8000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</row>
    <row r="3602" spans="1:23" outlineLevel="2" x14ac:dyDescent="0.2">
      <c r="A3602" t="s">
        <v>999</v>
      </c>
      <c r="B3602" t="s">
        <v>39</v>
      </c>
      <c r="C3602" t="s">
        <v>58</v>
      </c>
      <c r="D3602" t="s">
        <v>119</v>
      </c>
      <c r="E3602" t="s">
        <v>120</v>
      </c>
      <c r="F3602" t="s">
        <v>980</v>
      </c>
      <c r="G3602" t="s">
        <v>981</v>
      </c>
      <c r="H3602" t="s">
        <v>991</v>
      </c>
      <c r="I3602" t="s">
        <v>992</v>
      </c>
      <c r="J3602" t="s">
        <v>1000</v>
      </c>
      <c r="K3602" t="s">
        <v>1011</v>
      </c>
      <c r="L3602" t="s">
        <v>1735</v>
      </c>
      <c r="M3602" t="s">
        <v>12</v>
      </c>
      <c r="N3602" s="2">
        <v>115000</v>
      </c>
      <c r="O3602" s="2">
        <v>0</v>
      </c>
      <c r="P3602" s="2">
        <v>-108037.8</v>
      </c>
      <c r="Q3602" s="2">
        <v>6962.2</v>
      </c>
      <c r="R3602" s="2">
        <v>0</v>
      </c>
      <c r="S3602" s="2">
        <v>5800</v>
      </c>
      <c r="T3602" s="2">
        <v>0</v>
      </c>
      <c r="U3602" s="2">
        <v>1162.2</v>
      </c>
      <c r="V3602" s="2">
        <v>6962.2</v>
      </c>
      <c r="W3602" s="2">
        <v>1162.2</v>
      </c>
    </row>
    <row r="3603" spans="1:23" outlineLevel="2" x14ac:dyDescent="0.2">
      <c r="A3603" t="s">
        <v>999</v>
      </c>
      <c r="B3603" t="s">
        <v>39</v>
      </c>
      <c r="C3603" t="s">
        <v>58</v>
      </c>
      <c r="D3603" t="s">
        <v>119</v>
      </c>
      <c r="E3603" t="s">
        <v>120</v>
      </c>
      <c r="F3603" t="s">
        <v>980</v>
      </c>
      <c r="G3603" t="s">
        <v>981</v>
      </c>
      <c r="H3603" t="s">
        <v>991</v>
      </c>
      <c r="I3603" t="s">
        <v>992</v>
      </c>
      <c r="J3603" t="s">
        <v>1000</v>
      </c>
      <c r="K3603" t="s">
        <v>1013</v>
      </c>
      <c r="L3603" t="s">
        <v>1736</v>
      </c>
      <c r="M3603" t="s">
        <v>12</v>
      </c>
      <c r="N3603" s="2">
        <v>202000</v>
      </c>
      <c r="O3603" s="2">
        <v>0</v>
      </c>
      <c r="P3603" s="2">
        <v>-202000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</row>
    <row r="3604" spans="1:23" outlineLevel="2" x14ac:dyDescent="0.2">
      <c r="A3604" t="s">
        <v>999</v>
      </c>
      <c r="B3604" t="s">
        <v>39</v>
      </c>
      <c r="C3604" t="s">
        <v>58</v>
      </c>
      <c r="D3604" t="s">
        <v>119</v>
      </c>
      <c r="E3604" t="s">
        <v>120</v>
      </c>
      <c r="F3604" t="s">
        <v>980</v>
      </c>
      <c r="G3604" t="s">
        <v>981</v>
      </c>
      <c r="H3604" t="s">
        <v>991</v>
      </c>
      <c r="I3604" t="s">
        <v>992</v>
      </c>
      <c r="J3604" t="s">
        <v>1000</v>
      </c>
      <c r="K3604" t="s">
        <v>1017</v>
      </c>
      <c r="L3604" t="s">
        <v>1737</v>
      </c>
      <c r="M3604" t="s">
        <v>12</v>
      </c>
      <c r="N3604" s="2">
        <v>542000</v>
      </c>
      <c r="O3604" s="2">
        <v>-367172.78</v>
      </c>
      <c r="P3604" s="2">
        <v>-174827.22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</row>
    <row r="3605" spans="1:23" outlineLevel="2" x14ac:dyDescent="0.2">
      <c r="A3605" t="s">
        <v>999</v>
      </c>
      <c r="B3605" t="s">
        <v>39</v>
      </c>
      <c r="C3605" t="s">
        <v>58</v>
      </c>
      <c r="D3605" t="s">
        <v>119</v>
      </c>
      <c r="E3605" t="s">
        <v>120</v>
      </c>
      <c r="F3605" t="s">
        <v>980</v>
      </c>
      <c r="G3605" t="s">
        <v>981</v>
      </c>
      <c r="H3605" t="s">
        <v>991</v>
      </c>
      <c r="I3605" t="s">
        <v>992</v>
      </c>
      <c r="J3605" t="s">
        <v>1000</v>
      </c>
      <c r="K3605" t="s">
        <v>1031</v>
      </c>
      <c r="L3605" t="s">
        <v>1738</v>
      </c>
      <c r="M3605" t="s">
        <v>12</v>
      </c>
      <c r="N3605" s="2">
        <v>22500</v>
      </c>
      <c r="O3605" s="2">
        <v>0</v>
      </c>
      <c r="P3605" s="2">
        <v>-22500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</row>
    <row r="3606" spans="1:23" outlineLevel="2" x14ac:dyDescent="0.2">
      <c r="A3606" t="s">
        <v>999</v>
      </c>
      <c r="B3606" t="s">
        <v>39</v>
      </c>
      <c r="C3606" t="s">
        <v>58</v>
      </c>
      <c r="D3606" t="s">
        <v>119</v>
      </c>
      <c r="E3606" t="s">
        <v>120</v>
      </c>
      <c r="F3606" t="s">
        <v>980</v>
      </c>
      <c r="G3606" t="s">
        <v>981</v>
      </c>
      <c r="H3606" t="s">
        <v>991</v>
      </c>
      <c r="I3606" t="s">
        <v>992</v>
      </c>
      <c r="J3606" t="s">
        <v>1000</v>
      </c>
      <c r="K3606" t="s">
        <v>1116</v>
      </c>
      <c r="L3606" t="s">
        <v>1739</v>
      </c>
      <c r="M3606" t="s">
        <v>12</v>
      </c>
      <c r="N3606" s="2">
        <v>8000</v>
      </c>
      <c r="O3606" s="2">
        <v>0</v>
      </c>
      <c r="P3606" s="2">
        <v>-8000</v>
      </c>
      <c r="Q3606" s="2">
        <v>0</v>
      </c>
      <c r="R3606" s="2">
        <v>0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</row>
    <row r="3607" spans="1:23" outlineLevel="2" x14ac:dyDescent="0.2">
      <c r="A3607" t="s">
        <v>999</v>
      </c>
      <c r="B3607" t="s">
        <v>39</v>
      </c>
      <c r="C3607" t="s">
        <v>58</v>
      </c>
      <c r="D3607" t="s">
        <v>119</v>
      </c>
      <c r="E3607" t="s">
        <v>120</v>
      </c>
      <c r="F3607" t="s">
        <v>980</v>
      </c>
      <c r="G3607" t="s">
        <v>981</v>
      </c>
      <c r="H3607" t="s">
        <v>991</v>
      </c>
      <c r="I3607" t="s">
        <v>992</v>
      </c>
      <c r="J3607" t="s">
        <v>1000</v>
      </c>
      <c r="K3607" t="s">
        <v>1019</v>
      </c>
      <c r="L3607" t="s">
        <v>1740</v>
      </c>
      <c r="M3607" t="s">
        <v>12</v>
      </c>
      <c r="N3607" s="2">
        <v>10000</v>
      </c>
      <c r="O3607" s="2">
        <v>0</v>
      </c>
      <c r="P3607" s="2">
        <v>0</v>
      </c>
      <c r="Q3607" s="2">
        <v>10000</v>
      </c>
      <c r="R3607" s="2">
        <v>0</v>
      </c>
      <c r="S3607" s="2">
        <v>1399.57</v>
      </c>
      <c r="T3607" s="2">
        <v>1384.45</v>
      </c>
      <c r="U3607" s="2">
        <v>8600.43</v>
      </c>
      <c r="V3607" s="2">
        <v>8615.5499999999993</v>
      </c>
      <c r="W3607" s="2">
        <v>8600.43</v>
      </c>
    </row>
    <row r="3608" spans="1:23" outlineLevel="2" x14ac:dyDescent="0.2">
      <c r="A3608" t="s">
        <v>999</v>
      </c>
      <c r="B3608" t="s">
        <v>39</v>
      </c>
      <c r="C3608" t="s">
        <v>58</v>
      </c>
      <c r="D3608" t="s">
        <v>119</v>
      </c>
      <c r="E3608" t="s">
        <v>120</v>
      </c>
      <c r="F3608" t="s">
        <v>980</v>
      </c>
      <c r="G3608" t="s">
        <v>981</v>
      </c>
      <c r="H3608" t="s">
        <v>991</v>
      </c>
      <c r="I3608" t="s">
        <v>992</v>
      </c>
      <c r="J3608" t="s">
        <v>1000</v>
      </c>
      <c r="K3608" t="s">
        <v>1092</v>
      </c>
      <c r="L3608" t="s">
        <v>1741</v>
      </c>
      <c r="M3608" t="s">
        <v>12</v>
      </c>
      <c r="N3608" s="2">
        <v>51000</v>
      </c>
      <c r="O3608" s="2">
        <v>0</v>
      </c>
      <c r="P3608" s="2">
        <v>-36000</v>
      </c>
      <c r="Q3608" s="2">
        <v>15000</v>
      </c>
      <c r="R3608" s="2">
        <v>0</v>
      </c>
      <c r="S3608" s="2">
        <v>6594.11</v>
      </c>
      <c r="T3608" s="2">
        <v>6594.11</v>
      </c>
      <c r="U3608" s="2">
        <v>8405.89</v>
      </c>
      <c r="V3608" s="2">
        <v>8405.89</v>
      </c>
      <c r="W3608" s="2">
        <v>8405.89</v>
      </c>
    </row>
    <row r="3609" spans="1:23" outlineLevel="2" x14ac:dyDescent="0.2">
      <c r="A3609" t="s">
        <v>1742</v>
      </c>
      <c r="B3609" t="s">
        <v>39</v>
      </c>
      <c r="C3609" t="s">
        <v>58</v>
      </c>
      <c r="D3609" t="s">
        <v>143</v>
      </c>
      <c r="E3609" t="s">
        <v>144</v>
      </c>
      <c r="F3609" t="s">
        <v>1005</v>
      </c>
      <c r="G3609" t="s">
        <v>1006</v>
      </c>
      <c r="H3609" t="s">
        <v>1007</v>
      </c>
      <c r="I3609" t="s">
        <v>1008</v>
      </c>
      <c r="J3609" t="s">
        <v>1743</v>
      </c>
      <c r="K3609" t="s">
        <v>1744</v>
      </c>
      <c r="L3609" t="s">
        <v>1745</v>
      </c>
      <c r="M3609" t="s">
        <v>12</v>
      </c>
      <c r="N3609" s="2">
        <v>50000</v>
      </c>
      <c r="O3609" s="2">
        <v>0</v>
      </c>
      <c r="P3609" s="2">
        <v>-121.91</v>
      </c>
      <c r="Q3609" s="2">
        <v>49878.09</v>
      </c>
      <c r="R3609" s="2">
        <v>0</v>
      </c>
      <c r="S3609" s="2">
        <v>49878.09</v>
      </c>
      <c r="T3609" s="2">
        <v>0</v>
      </c>
      <c r="U3609" s="2">
        <v>0</v>
      </c>
      <c r="V3609" s="2">
        <v>49878.09</v>
      </c>
      <c r="W3609" s="2">
        <v>0</v>
      </c>
    </row>
    <row r="3610" spans="1:23" outlineLevel="2" x14ac:dyDescent="0.2">
      <c r="A3610" t="s">
        <v>1742</v>
      </c>
      <c r="B3610" t="s">
        <v>39</v>
      </c>
      <c r="C3610" t="s">
        <v>58</v>
      </c>
      <c r="D3610" t="s">
        <v>59</v>
      </c>
      <c r="E3610" t="s">
        <v>60</v>
      </c>
      <c r="F3610" t="s">
        <v>1005</v>
      </c>
      <c r="G3610" t="s">
        <v>1006</v>
      </c>
      <c r="H3610" t="s">
        <v>1007</v>
      </c>
      <c r="I3610" t="s">
        <v>1008</v>
      </c>
      <c r="J3610" t="s">
        <v>1743</v>
      </c>
      <c r="K3610" t="s">
        <v>1744</v>
      </c>
      <c r="L3610" t="s">
        <v>1745</v>
      </c>
      <c r="M3610" t="s">
        <v>12</v>
      </c>
      <c r="N3610" s="2">
        <v>50000</v>
      </c>
      <c r="O3610" s="2">
        <v>0</v>
      </c>
      <c r="P3610" s="2">
        <v>-50000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</row>
    <row r="3611" spans="1:23" outlineLevel="2" x14ac:dyDescent="0.2">
      <c r="A3611" t="s">
        <v>1742</v>
      </c>
      <c r="B3611" t="s">
        <v>39</v>
      </c>
      <c r="C3611" t="s">
        <v>58</v>
      </c>
      <c r="D3611" t="s">
        <v>59</v>
      </c>
      <c r="E3611" t="s">
        <v>60</v>
      </c>
      <c r="F3611" t="s">
        <v>837</v>
      </c>
      <c r="G3611" t="s">
        <v>838</v>
      </c>
      <c r="H3611" t="s">
        <v>1064</v>
      </c>
      <c r="I3611" t="s">
        <v>1065</v>
      </c>
      <c r="J3611" t="s">
        <v>1743</v>
      </c>
      <c r="K3611" t="s">
        <v>1746</v>
      </c>
      <c r="L3611" t="s">
        <v>1747</v>
      </c>
      <c r="M3611" t="s">
        <v>12</v>
      </c>
      <c r="N3611" s="2">
        <v>2125517.42</v>
      </c>
      <c r="O3611" s="2">
        <v>-254208.4</v>
      </c>
      <c r="P3611" s="2">
        <v>-90000</v>
      </c>
      <c r="Q3611" s="2">
        <v>1781309.02</v>
      </c>
      <c r="R3611" s="2">
        <v>332450.27</v>
      </c>
      <c r="S3611" s="2">
        <v>1423221.55</v>
      </c>
      <c r="T3611" s="2">
        <v>429231.05</v>
      </c>
      <c r="U3611" s="2">
        <v>358087.47</v>
      </c>
      <c r="V3611" s="2">
        <v>1352077.97</v>
      </c>
      <c r="W3611" s="2">
        <v>25637.200000000001</v>
      </c>
    </row>
    <row r="3612" spans="1:23" outlineLevel="2" x14ac:dyDescent="0.2">
      <c r="A3612" t="s">
        <v>1742</v>
      </c>
      <c r="B3612" t="s">
        <v>39</v>
      </c>
      <c r="C3612" t="s">
        <v>58</v>
      </c>
      <c r="D3612" t="s">
        <v>143</v>
      </c>
      <c r="E3612" t="s">
        <v>144</v>
      </c>
      <c r="F3612" t="s">
        <v>837</v>
      </c>
      <c r="G3612" t="s">
        <v>838</v>
      </c>
      <c r="H3612" t="s">
        <v>1064</v>
      </c>
      <c r="I3612" t="s">
        <v>1065</v>
      </c>
      <c r="J3612" t="s">
        <v>1743</v>
      </c>
      <c r="K3612" t="s">
        <v>1746</v>
      </c>
      <c r="L3612" t="s">
        <v>1747</v>
      </c>
      <c r="M3612" t="s">
        <v>15</v>
      </c>
      <c r="N3612" s="2">
        <v>259644.36</v>
      </c>
      <c r="O3612" s="2">
        <v>-214370.71</v>
      </c>
      <c r="P3612" s="2">
        <v>0</v>
      </c>
      <c r="Q3612" s="2">
        <v>45273.65</v>
      </c>
      <c r="R3612" s="2">
        <v>0</v>
      </c>
      <c r="S3612" s="2">
        <v>45273.65</v>
      </c>
      <c r="T3612" s="2">
        <v>45273.64</v>
      </c>
      <c r="U3612" s="2">
        <v>0</v>
      </c>
      <c r="V3612" s="2">
        <v>0.01</v>
      </c>
      <c r="W3612" s="2">
        <v>0</v>
      </c>
    </row>
    <row r="3613" spans="1:23" outlineLevel="2" x14ac:dyDescent="0.2">
      <c r="A3613" t="s">
        <v>1742</v>
      </c>
      <c r="B3613" t="s">
        <v>39</v>
      </c>
      <c r="C3613" t="s">
        <v>58</v>
      </c>
      <c r="D3613" t="s">
        <v>145</v>
      </c>
      <c r="E3613" t="s">
        <v>146</v>
      </c>
      <c r="F3613" t="s">
        <v>837</v>
      </c>
      <c r="G3613" t="s">
        <v>838</v>
      </c>
      <c r="H3613" t="s">
        <v>1064</v>
      </c>
      <c r="I3613" t="s">
        <v>1065</v>
      </c>
      <c r="J3613" t="s">
        <v>1743</v>
      </c>
      <c r="K3613" t="s">
        <v>1746</v>
      </c>
      <c r="L3613" t="s">
        <v>1747</v>
      </c>
      <c r="M3613" t="s">
        <v>12</v>
      </c>
      <c r="N3613" s="2">
        <v>3057015.52</v>
      </c>
      <c r="O3613" s="2">
        <v>9533.15</v>
      </c>
      <c r="P3613" s="2">
        <v>-40556.76</v>
      </c>
      <c r="Q3613" s="2">
        <v>3025991.91</v>
      </c>
      <c r="R3613" s="2">
        <v>0.02</v>
      </c>
      <c r="S3613" s="2">
        <v>2945211.8</v>
      </c>
      <c r="T3613" s="2">
        <v>2042012.13</v>
      </c>
      <c r="U3613" s="2">
        <v>80780.11</v>
      </c>
      <c r="V3613" s="2">
        <v>983979.78</v>
      </c>
      <c r="W3613" s="2">
        <v>80780.09</v>
      </c>
    </row>
    <row r="3614" spans="1:23" outlineLevel="2" x14ac:dyDescent="0.2">
      <c r="A3614" t="s">
        <v>1742</v>
      </c>
      <c r="B3614" t="s">
        <v>39</v>
      </c>
      <c r="C3614" t="s">
        <v>58</v>
      </c>
      <c r="D3614" t="s">
        <v>147</v>
      </c>
      <c r="E3614" t="s">
        <v>148</v>
      </c>
      <c r="F3614" t="s">
        <v>837</v>
      </c>
      <c r="G3614" t="s">
        <v>838</v>
      </c>
      <c r="H3614" t="s">
        <v>1064</v>
      </c>
      <c r="I3614" t="s">
        <v>1065</v>
      </c>
      <c r="J3614" t="s">
        <v>1743</v>
      </c>
      <c r="K3614" t="s">
        <v>1746</v>
      </c>
      <c r="L3614" t="s">
        <v>1747</v>
      </c>
      <c r="M3614" t="s">
        <v>12</v>
      </c>
      <c r="N3614" s="2">
        <v>3380061.09</v>
      </c>
      <c r="O3614" s="2">
        <v>-87443.09</v>
      </c>
      <c r="P3614" s="2">
        <v>-403373.33</v>
      </c>
      <c r="Q3614" s="2">
        <v>2889244.67</v>
      </c>
      <c r="R3614" s="2">
        <v>103923.62</v>
      </c>
      <c r="S3614" s="2">
        <v>2780679.63</v>
      </c>
      <c r="T3614" s="2">
        <v>913065.19</v>
      </c>
      <c r="U3614" s="2">
        <v>108565.04</v>
      </c>
      <c r="V3614" s="2">
        <v>1976179.48</v>
      </c>
      <c r="W3614" s="2">
        <v>4641.42</v>
      </c>
    </row>
    <row r="3615" spans="1:23" outlineLevel="2" x14ac:dyDescent="0.2">
      <c r="A3615" t="s">
        <v>1742</v>
      </c>
      <c r="B3615" t="s">
        <v>39</v>
      </c>
      <c r="C3615" t="s">
        <v>58</v>
      </c>
      <c r="D3615" t="s">
        <v>149</v>
      </c>
      <c r="E3615" t="s">
        <v>150</v>
      </c>
      <c r="F3615" t="s">
        <v>837</v>
      </c>
      <c r="G3615" t="s">
        <v>838</v>
      </c>
      <c r="H3615" t="s">
        <v>1064</v>
      </c>
      <c r="I3615" t="s">
        <v>1065</v>
      </c>
      <c r="J3615" t="s">
        <v>1743</v>
      </c>
      <c r="K3615" t="s">
        <v>1746</v>
      </c>
      <c r="L3615" t="s">
        <v>1747</v>
      </c>
      <c r="M3615" t="s">
        <v>15</v>
      </c>
      <c r="N3615" s="2">
        <v>275597.96000000002</v>
      </c>
      <c r="O3615" s="2">
        <v>298158.67</v>
      </c>
      <c r="P3615" s="2">
        <v>-124187.12</v>
      </c>
      <c r="Q3615" s="2">
        <v>449569.51</v>
      </c>
      <c r="R3615" s="2">
        <v>0.01</v>
      </c>
      <c r="S3615" s="2">
        <v>449569.5</v>
      </c>
      <c r="T3615" s="2">
        <v>449569.5</v>
      </c>
      <c r="U3615" s="2">
        <v>0.01</v>
      </c>
      <c r="V3615" s="2">
        <v>0.01</v>
      </c>
      <c r="W3615" s="2">
        <v>0</v>
      </c>
    </row>
    <row r="3616" spans="1:23" outlineLevel="2" x14ac:dyDescent="0.2">
      <c r="A3616" t="s">
        <v>1742</v>
      </c>
      <c r="B3616" t="s">
        <v>39</v>
      </c>
      <c r="C3616" t="s">
        <v>58</v>
      </c>
      <c r="D3616" t="s">
        <v>143</v>
      </c>
      <c r="E3616" t="s">
        <v>144</v>
      </c>
      <c r="F3616" t="s">
        <v>837</v>
      </c>
      <c r="G3616" t="s">
        <v>838</v>
      </c>
      <c r="H3616" t="s">
        <v>1064</v>
      </c>
      <c r="I3616" t="s">
        <v>1065</v>
      </c>
      <c r="J3616" t="s">
        <v>1743</v>
      </c>
      <c r="K3616" t="s">
        <v>1746</v>
      </c>
      <c r="L3616" t="s">
        <v>1747</v>
      </c>
      <c r="M3616" t="s">
        <v>12</v>
      </c>
      <c r="N3616" s="2">
        <v>1687354.49</v>
      </c>
      <c r="O3616" s="2">
        <v>-100668.77</v>
      </c>
      <c r="P3616" s="2">
        <v>-846477.02</v>
      </c>
      <c r="Q3616" s="2">
        <v>740208.7</v>
      </c>
      <c r="R3616" s="2">
        <v>1793.8</v>
      </c>
      <c r="S3616" s="2">
        <v>712839.53</v>
      </c>
      <c r="T3616" s="2">
        <v>322354.87</v>
      </c>
      <c r="U3616" s="2">
        <v>27369.17</v>
      </c>
      <c r="V3616" s="2">
        <v>417853.83</v>
      </c>
      <c r="W3616" s="2">
        <v>25575.37</v>
      </c>
    </row>
    <row r="3617" spans="1:23" outlineLevel="2" x14ac:dyDescent="0.2">
      <c r="A3617" t="s">
        <v>1742</v>
      </c>
      <c r="B3617" t="s">
        <v>39</v>
      </c>
      <c r="C3617" t="s">
        <v>58</v>
      </c>
      <c r="D3617" t="s">
        <v>149</v>
      </c>
      <c r="E3617" t="s">
        <v>150</v>
      </c>
      <c r="F3617" t="s">
        <v>837</v>
      </c>
      <c r="G3617" t="s">
        <v>838</v>
      </c>
      <c r="H3617" t="s">
        <v>1064</v>
      </c>
      <c r="I3617" t="s">
        <v>1065</v>
      </c>
      <c r="J3617" t="s">
        <v>1743</v>
      </c>
      <c r="K3617" t="s">
        <v>1746</v>
      </c>
      <c r="L3617" t="s">
        <v>1747</v>
      </c>
      <c r="M3617" t="s">
        <v>12</v>
      </c>
      <c r="N3617" s="2">
        <v>3924069.69</v>
      </c>
      <c r="O3617" s="2">
        <v>-21439.06</v>
      </c>
      <c r="P3617" s="2">
        <v>-30774.89</v>
      </c>
      <c r="Q3617" s="2">
        <v>3871855.74</v>
      </c>
      <c r="R3617" s="2">
        <v>40339.89</v>
      </c>
      <c r="S3617" s="2">
        <v>3819698.53</v>
      </c>
      <c r="T3617" s="2">
        <v>1633178.39</v>
      </c>
      <c r="U3617" s="2">
        <v>52157.21</v>
      </c>
      <c r="V3617" s="2">
        <v>2238677.35</v>
      </c>
      <c r="W3617" s="2">
        <v>11817.32</v>
      </c>
    </row>
    <row r="3618" spans="1:23" outlineLevel="2" x14ac:dyDescent="0.2">
      <c r="A3618" t="s">
        <v>1742</v>
      </c>
      <c r="B3618" t="s">
        <v>39</v>
      </c>
      <c r="C3618" t="s">
        <v>58</v>
      </c>
      <c r="D3618" t="s">
        <v>137</v>
      </c>
      <c r="E3618" t="s">
        <v>138</v>
      </c>
      <c r="F3618" t="s">
        <v>837</v>
      </c>
      <c r="G3618" t="s">
        <v>838</v>
      </c>
      <c r="H3618" t="s">
        <v>1064</v>
      </c>
      <c r="I3618" t="s">
        <v>1065</v>
      </c>
      <c r="J3618" t="s">
        <v>1743</v>
      </c>
      <c r="K3618" t="s">
        <v>1746</v>
      </c>
      <c r="L3618" t="s">
        <v>1747</v>
      </c>
      <c r="M3618" t="s">
        <v>12</v>
      </c>
      <c r="N3618" s="2">
        <v>819164.85</v>
      </c>
      <c r="O3618" s="2">
        <v>-31217.55</v>
      </c>
      <c r="P3618" s="2">
        <v>-82174.600000000006</v>
      </c>
      <c r="Q3618" s="2">
        <v>705772.7</v>
      </c>
      <c r="R3618" s="2">
        <v>0.01</v>
      </c>
      <c r="S3618" s="2">
        <v>705771.8</v>
      </c>
      <c r="T3618" s="2">
        <v>282807.96999999997</v>
      </c>
      <c r="U3618" s="2">
        <v>0.9</v>
      </c>
      <c r="V3618" s="2">
        <v>422964.73</v>
      </c>
      <c r="W3618" s="2">
        <v>0.89</v>
      </c>
    </row>
    <row r="3619" spans="1:23" outlineLevel="2" x14ac:dyDescent="0.2">
      <c r="A3619" t="s">
        <v>1742</v>
      </c>
      <c r="B3619" t="s">
        <v>39</v>
      </c>
      <c r="C3619" t="s">
        <v>58</v>
      </c>
      <c r="D3619" t="s">
        <v>147</v>
      </c>
      <c r="E3619" t="s">
        <v>148</v>
      </c>
      <c r="F3619" t="s">
        <v>837</v>
      </c>
      <c r="G3619" t="s">
        <v>838</v>
      </c>
      <c r="H3619" t="s">
        <v>1064</v>
      </c>
      <c r="I3619" t="s">
        <v>1065</v>
      </c>
      <c r="J3619" t="s">
        <v>1743</v>
      </c>
      <c r="K3619" t="s">
        <v>1746</v>
      </c>
      <c r="L3619" t="s">
        <v>1747</v>
      </c>
      <c r="M3619" t="s">
        <v>15</v>
      </c>
      <c r="N3619" s="2">
        <v>161918.95000000001</v>
      </c>
      <c r="O3619" s="2">
        <v>-111879.96</v>
      </c>
      <c r="P3619" s="2">
        <v>0</v>
      </c>
      <c r="Q3619" s="2">
        <v>50038.99</v>
      </c>
      <c r="R3619" s="2">
        <v>0</v>
      </c>
      <c r="S3619" s="2">
        <v>50038.99</v>
      </c>
      <c r="T3619" s="2">
        <v>50038.99</v>
      </c>
      <c r="U3619" s="2">
        <v>0</v>
      </c>
      <c r="V3619" s="2">
        <v>0</v>
      </c>
      <c r="W3619" s="2">
        <v>0</v>
      </c>
    </row>
    <row r="3620" spans="1:23" outlineLevel="2" x14ac:dyDescent="0.2">
      <c r="A3620" t="s">
        <v>1742</v>
      </c>
      <c r="B3620" t="s">
        <v>39</v>
      </c>
      <c r="C3620" t="s">
        <v>58</v>
      </c>
      <c r="D3620" t="s">
        <v>145</v>
      </c>
      <c r="E3620" t="s">
        <v>146</v>
      </c>
      <c r="F3620" t="s">
        <v>837</v>
      </c>
      <c r="G3620" t="s">
        <v>838</v>
      </c>
      <c r="H3620" t="s">
        <v>1064</v>
      </c>
      <c r="I3620" t="s">
        <v>1065</v>
      </c>
      <c r="J3620" t="s">
        <v>1743</v>
      </c>
      <c r="K3620" t="s">
        <v>1746</v>
      </c>
      <c r="L3620" t="s">
        <v>1747</v>
      </c>
      <c r="M3620" t="s">
        <v>15</v>
      </c>
      <c r="N3620" s="2">
        <v>787657.76</v>
      </c>
      <c r="O3620" s="2">
        <v>-84391.89</v>
      </c>
      <c r="P3620" s="2">
        <v>0</v>
      </c>
      <c r="Q3620" s="2">
        <v>703265.87</v>
      </c>
      <c r="R3620" s="2">
        <v>0</v>
      </c>
      <c r="S3620" s="2">
        <v>703265.87</v>
      </c>
      <c r="T3620" s="2">
        <v>697886.11</v>
      </c>
      <c r="U3620" s="2">
        <v>0</v>
      </c>
      <c r="V3620" s="2">
        <v>5379.76</v>
      </c>
      <c r="W3620" s="2">
        <v>0</v>
      </c>
    </row>
    <row r="3621" spans="1:23" outlineLevel="2" x14ac:dyDescent="0.2">
      <c r="A3621" t="s">
        <v>1742</v>
      </c>
      <c r="B3621" t="s">
        <v>39</v>
      </c>
      <c r="C3621" t="s">
        <v>58</v>
      </c>
      <c r="D3621" t="s">
        <v>137</v>
      </c>
      <c r="E3621" t="s">
        <v>138</v>
      </c>
      <c r="F3621" t="s">
        <v>837</v>
      </c>
      <c r="G3621" t="s">
        <v>838</v>
      </c>
      <c r="H3621" t="s">
        <v>1064</v>
      </c>
      <c r="I3621" t="s">
        <v>1065</v>
      </c>
      <c r="J3621" t="s">
        <v>1743</v>
      </c>
      <c r="K3621" t="s">
        <v>1746</v>
      </c>
      <c r="L3621" t="s">
        <v>1747</v>
      </c>
      <c r="M3621" t="s">
        <v>15</v>
      </c>
      <c r="N3621" s="2">
        <v>57278.64</v>
      </c>
      <c r="O3621" s="2">
        <v>-45250.76</v>
      </c>
      <c r="P3621" s="2">
        <v>-0.01</v>
      </c>
      <c r="Q3621" s="2">
        <v>12027.87</v>
      </c>
      <c r="R3621" s="2">
        <v>0</v>
      </c>
      <c r="S3621" s="2">
        <v>12027.87</v>
      </c>
      <c r="T3621" s="2">
        <v>12027.86</v>
      </c>
      <c r="U3621" s="2">
        <v>0</v>
      </c>
      <c r="V3621" s="2">
        <v>0.01</v>
      </c>
      <c r="W3621" s="2">
        <v>0</v>
      </c>
    </row>
    <row r="3622" spans="1:23" outlineLevel="2" x14ac:dyDescent="0.2">
      <c r="A3622" t="s">
        <v>1742</v>
      </c>
      <c r="B3622" t="s">
        <v>39</v>
      </c>
      <c r="C3622" t="s">
        <v>58</v>
      </c>
      <c r="D3622" t="s">
        <v>135</v>
      </c>
      <c r="E3622" t="s">
        <v>136</v>
      </c>
      <c r="F3622" t="s">
        <v>837</v>
      </c>
      <c r="G3622" t="s">
        <v>838</v>
      </c>
      <c r="H3622" t="s">
        <v>1064</v>
      </c>
      <c r="I3622" t="s">
        <v>1065</v>
      </c>
      <c r="J3622" t="s">
        <v>1743</v>
      </c>
      <c r="K3622" t="s">
        <v>1746</v>
      </c>
      <c r="L3622" t="s">
        <v>1747</v>
      </c>
      <c r="M3622" t="s">
        <v>12</v>
      </c>
      <c r="N3622" s="2">
        <v>210247.01</v>
      </c>
      <c r="O3622" s="2">
        <v>39912.050000000003</v>
      </c>
      <c r="P3622" s="2">
        <v>-60843</v>
      </c>
      <c r="Q3622" s="2">
        <v>189316.06</v>
      </c>
      <c r="R3622" s="2">
        <v>520.54</v>
      </c>
      <c r="S3622" s="2">
        <v>181940.11</v>
      </c>
      <c r="T3622" s="2">
        <v>15492.88</v>
      </c>
      <c r="U3622" s="2">
        <v>7375.95</v>
      </c>
      <c r="V3622" s="2">
        <v>173823.18</v>
      </c>
      <c r="W3622" s="2">
        <v>6855.41</v>
      </c>
    </row>
    <row r="3623" spans="1:23" outlineLevel="2" x14ac:dyDescent="0.2">
      <c r="A3623" t="s">
        <v>1742</v>
      </c>
      <c r="B3623" t="s">
        <v>39</v>
      </c>
      <c r="C3623" t="s">
        <v>58</v>
      </c>
      <c r="D3623" t="s">
        <v>139</v>
      </c>
      <c r="E3623" t="s">
        <v>140</v>
      </c>
      <c r="F3623" t="s">
        <v>837</v>
      </c>
      <c r="G3623" t="s">
        <v>838</v>
      </c>
      <c r="H3623" t="s">
        <v>1064</v>
      </c>
      <c r="I3623" t="s">
        <v>1065</v>
      </c>
      <c r="J3623" t="s">
        <v>1743</v>
      </c>
      <c r="K3623" t="s">
        <v>1746</v>
      </c>
      <c r="L3623" t="s">
        <v>1747</v>
      </c>
      <c r="M3623" t="s">
        <v>12</v>
      </c>
      <c r="N3623" s="2">
        <v>2176079.4</v>
      </c>
      <c r="O3623" s="2">
        <v>4495.4399999999996</v>
      </c>
      <c r="P3623" s="2">
        <v>-406056</v>
      </c>
      <c r="Q3623" s="2">
        <v>1774518.84</v>
      </c>
      <c r="R3623" s="2">
        <v>9739.01</v>
      </c>
      <c r="S3623" s="2">
        <v>1764561.43</v>
      </c>
      <c r="T3623" s="2">
        <v>601565.24</v>
      </c>
      <c r="U3623" s="2">
        <v>9957.41</v>
      </c>
      <c r="V3623" s="2">
        <v>1172953.6000000001</v>
      </c>
      <c r="W3623" s="2">
        <v>218.4</v>
      </c>
    </row>
    <row r="3624" spans="1:23" outlineLevel="2" x14ac:dyDescent="0.2">
      <c r="A3624" t="s">
        <v>1742</v>
      </c>
      <c r="B3624" t="s">
        <v>39</v>
      </c>
      <c r="C3624" t="s">
        <v>58</v>
      </c>
      <c r="D3624" t="s">
        <v>139</v>
      </c>
      <c r="E3624" t="s">
        <v>140</v>
      </c>
      <c r="F3624" t="s">
        <v>837</v>
      </c>
      <c r="G3624" t="s">
        <v>838</v>
      </c>
      <c r="H3624" t="s">
        <v>1064</v>
      </c>
      <c r="I3624" t="s">
        <v>1065</v>
      </c>
      <c r="J3624" t="s">
        <v>1743</v>
      </c>
      <c r="K3624" t="s">
        <v>1746</v>
      </c>
      <c r="L3624" t="s">
        <v>1747</v>
      </c>
      <c r="M3624" t="s">
        <v>15</v>
      </c>
      <c r="N3624" s="2">
        <v>567002.05000000005</v>
      </c>
      <c r="O3624" s="2">
        <v>-80030.91</v>
      </c>
      <c r="P3624" s="2">
        <v>0</v>
      </c>
      <c r="Q3624" s="2">
        <v>486971.14</v>
      </c>
      <c r="R3624" s="2">
        <v>0</v>
      </c>
      <c r="S3624" s="2">
        <v>486971.14</v>
      </c>
      <c r="T3624" s="2">
        <v>486971.08</v>
      </c>
      <c r="U3624" s="2">
        <v>0</v>
      </c>
      <c r="V3624" s="2">
        <v>0.06</v>
      </c>
      <c r="W3624" s="2">
        <v>0</v>
      </c>
    </row>
    <row r="3625" spans="1:23" outlineLevel="2" x14ac:dyDescent="0.2">
      <c r="A3625" t="s">
        <v>1742</v>
      </c>
      <c r="B3625" t="s">
        <v>39</v>
      </c>
      <c r="C3625" t="s">
        <v>58</v>
      </c>
      <c r="D3625" t="s">
        <v>59</v>
      </c>
      <c r="E3625" t="s">
        <v>60</v>
      </c>
      <c r="F3625" t="s">
        <v>837</v>
      </c>
      <c r="G3625" t="s">
        <v>838</v>
      </c>
      <c r="H3625" t="s">
        <v>1064</v>
      </c>
      <c r="I3625" t="s">
        <v>1065</v>
      </c>
      <c r="J3625" t="s">
        <v>1743</v>
      </c>
      <c r="K3625" t="s">
        <v>1746</v>
      </c>
      <c r="L3625" t="s">
        <v>1747</v>
      </c>
      <c r="M3625" t="s">
        <v>15</v>
      </c>
      <c r="N3625" s="2">
        <v>232581.4</v>
      </c>
      <c r="O3625" s="2">
        <v>-161665.68</v>
      </c>
      <c r="P3625" s="2">
        <v>0</v>
      </c>
      <c r="Q3625" s="2">
        <v>70915.72</v>
      </c>
      <c r="R3625" s="2">
        <v>0</v>
      </c>
      <c r="S3625" s="2">
        <v>70915.72</v>
      </c>
      <c r="T3625" s="2">
        <v>70915.72</v>
      </c>
      <c r="U3625" s="2">
        <v>0</v>
      </c>
      <c r="V3625" s="2">
        <v>0</v>
      </c>
      <c r="W3625" s="2">
        <v>0</v>
      </c>
    </row>
    <row r="3626" spans="1:23" outlineLevel="2" x14ac:dyDescent="0.2">
      <c r="A3626" t="s">
        <v>1742</v>
      </c>
      <c r="B3626" t="s">
        <v>39</v>
      </c>
      <c r="C3626" t="s">
        <v>58</v>
      </c>
      <c r="D3626" t="s">
        <v>139</v>
      </c>
      <c r="E3626" t="s">
        <v>140</v>
      </c>
      <c r="F3626" t="s">
        <v>837</v>
      </c>
      <c r="G3626" t="s">
        <v>838</v>
      </c>
      <c r="H3626" t="s">
        <v>1064</v>
      </c>
      <c r="I3626" t="s">
        <v>1065</v>
      </c>
      <c r="J3626" t="s">
        <v>1743</v>
      </c>
      <c r="K3626" t="s">
        <v>1748</v>
      </c>
      <c r="L3626" t="s">
        <v>1749</v>
      </c>
      <c r="M3626" t="s">
        <v>15</v>
      </c>
      <c r="N3626" s="2">
        <v>24900</v>
      </c>
      <c r="O3626" s="2">
        <v>22567.58</v>
      </c>
      <c r="P3626" s="2">
        <v>0</v>
      </c>
      <c r="Q3626" s="2">
        <v>47467.58</v>
      </c>
      <c r="R3626" s="2">
        <v>0.01</v>
      </c>
      <c r="S3626" s="2">
        <v>47467.57</v>
      </c>
      <c r="T3626" s="2">
        <v>47467.57</v>
      </c>
      <c r="U3626" s="2">
        <v>0.01</v>
      </c>
      <c r="V3626" s="2">
        <v>0.01</v>
      </c>
      <c r="W3626" s="2">
        <v>0</v>
      </c>
    </row>
    <row r="3627" spans="1:23" outlineLevel="2" x14ac:dyDescent="0.2">
      <c r="A3627" t="s">
        <v>1742</v>
      </c>
      <c r="B3627" t="s">
        <v>39</v>
      </c>
      <c r="C3627" t="s">
        <v>58</v>
      </c>
      <c r="D3627" t="s">
        <v>135</v>
      </c>
      <c r="E3627" t="s">
        <v>136</v>
      </c>
      <c r="F3627" t="s">
        <v>837</v>
      </c>
      <c r="G3627" t="s">
        <v>838</v>
      </c>
      <c r="H3627" t="s">
        <v>1064</v>
      </c>
      <c r="I3627" t="s">
        <v>1065</v>
      </c>
      <c r="J3627" t="s">
        <v>1743</v>
      </c>
      <c r="K3627" t="s">
        <v>1748</v>
      </c>
      <c r="L3627" t="s">
        <v>1749</v>
      </c>
      <c r="M3627" t="s">
        <v>12</v>
      </c>
      <c r="N3627" s="2">
        <v>1430806.72</v>
      </c>
      <c r="O3627" s="2">
        <v>-17994.16</v>
      </c>
      <c r="P3627" s="2">
        <v>-22500</v>
      </c>
      <c r="Q3627" s="2">
        <v>1390312.56</v>
      </c>
      <c r="R3627" s="2">
        <v>826.44</v>
      </c>
      <c r="S3627" s="2">
        <v>1375662.65</v>
      </c>
      <c r="T3627" s="2">
        <v>623063.31999999995</v>
      </c>
      <c r="U3627" s="2">
        <v>14649.91</v>
      </c>
      <c r="V3627" s="2">
        <v>767249.24</v>
      </c>
      <c r="W3627" s="2">
        <v>13823.47</v>
      </c>
    </row>
    <row r="3628" spans="1:23" outlineLevel="2" x14ac:dyDescent="0.2">
      <c r="A3628" t="s">
        <v>1742</v>
      </c>
      <c r="B3628" t="s">
        <v>39</v>
      </c>
      <c r="C3628" t="s">
        <v>58</v>
      </c>
      <c r="D3628" t="s">
        <v>147</v>
      </c>
      <c r="E3628" t="s">
        <v>148</v>
      </c>
      <c r="F3628" t="s">
        <v>837</v>
      </c>
      <c r="G3628" t="s">
        <v>838</v>
      </c>
      <c r="H3628" t="s">
        <v>1064</v>
      </c>
      <c r="I3628" t="s">
        <v>1065</v>
      </c>
      <c r="J3628" t="s">
        <v>1743</v>
      </c>
      <c r="K3628" t="s">
        <v>1748</v>
      </c>
      <c r="L3628" t="s">
        <v>1749</v>
      </c>
      <c r="M3628" t="s">
        <v>15</v>
      </c>
      <c r="N3628" s="2">
        <v>0</v>
      </c>
      <c r="O3628" s="2">
        <v>111879.96</v>
      </c>
      <c r="P3628" s="2">
        <v>0</v>
      </c>
      <c r="Q3628" s="2">
        <v>111879.96</v>
      </c>
      <c r="R3628" s="2">
        <v>0</v>
      </c>
      <c r="S3628" s="2">
        <v>111879.96</v>
      </c>
      <c r="T3628" s="2">
        <v>111879.96</v>
      </c>
      <c r="U3628" s="2">
        <v>0</v>
      </c>
      <c r="V3628" s="2">
        <v>0</v>
      </c>
      <c r="W3628" s="2">
        <v>0</v>
      </c>
    </row>
    <row r="3629" spans="1:23" outlineLevel="2" x14ac:dyDescent="0.2">
      <c r="A3629" t="s">
        <v>1742</v>
      </c>
      <c r="B3629" t="s">
        <v>39</v>
      </c>
      <c r="C3629" t="s">
        <v>58</v>
      </c>
      <c r="D3629" t="s">
        <v>147</v>
      </c>
      <c r="E3629" t="s">
        <v>148</v>
      </c>
      <c r="F3629" t="s">
        <v>837</v>
      </c>
      <c r="G3629" t="s">
        <v>838</v>
      </c>
      <c r="H3629" t="s">
        <v>1064</v>
      </c>
      <c r="I3629" t="s">
        <v>1065</v>
      </c>
      <c r="J3629" t="s">
        <v>1743</v>
      </c>
      <c r="K3629" t="s">
        <v>1748</v>
      </c>
      <c r="L3629" t="s">
        <v>1749</v>
      </c>
      <c r="M3629" t="s">
        <v>12</v>
      </c>
      <c r="N3629" s="2">
        <v>1533018.52</v>
      </c>
      <c r="O3629" s="2">
        <v>7334.94</v>
      </c>
      <c r="P3629" s="2">
        <v>-162000</v>
      </c>
      <c r="Q3629" s="2">
        <v>1378353.46</v>
      </c>
      <c r="R3629" s="2">
        <v>197299.92</v>
      </c>
      <c r="S3629" s="2">
        <v>1177979.56</v>
      </c>
      <c r="T3629" s="2">
        <v>602976.26</v>
      </c>
      <c r="U3629" s="2">
        <v>200373.9</v>
      </c>
      <c r="V3629" s="2">
        <v>775377.2</v>
      </c>
      <c r="W3629" s="2">
        <v>3073.98</v>
      </c>
    </row>
    <row r="3630" spans="1:23" outlineLevel="2" x14ac:dyDescent="0.2">
      <c r="A3630" t="s">
        <v>1742</v>
      </c>
      <c r="B3630" t="s">
        <v>39</v>
      </c>
      <c r="C3630" t="s">
        <v>58</v>
      </c>
      <c r="D3630" t="s">
        <v>143</v>
      </c>
      <c r="E3630" t="s">
        <v>144</v>
      </c>
      <c r="F3630" t="s">
        <v>837</v>
      </c>
      <c r="G3630" t="s">
        <v>838</v>
      </c>
      <c r="H3630" t="s">
        <v>1064</v>
      </c>
      <c r="I3630" t="s">
        <v>1065</v>
      </c>
      <c r="J3630" t="s">
        <v>1743</v>
      </c>
      <c r="K3630" t="s">
        <v>1748</v>
      </c>
      <c r="L3630" t="s">
        <v>1749</v>
      </c>
      <c r="M3630" t="s">
        <v>15</v>
      </c>
      <c r="N3630" s="2">
        <v>90000</v>
      </c>
      <c r="O3630" s="2">
        <v>-59574.17</v>
      </c>
      <c r="P3630" s="2">
        <v>0</v>
      </c>
      <c r="Q3630" s="2">
        <v>30425.83</v>
      </c>
      <c r="R3630" s="2">
        <v>0.01</v>
      </c>
      <c r="S3630" s="2">
        <v>30425.82</v>
      </c>
      <c r="T3630" s="2">
        <v>30425.82</v>
      </c>
      <c r="U3630" s="2">
        <v>0.01</v>
      </c>
      <c r="V3630" s="2">
        <v>0.01</v>
      </c>
      <c r="W3630" s="2">
        <v>0</v>
      </c>
    </row>
    <row r="3631" spans="1:23" outlineLevel="2" x14ac:dyDescent="0.2">
      <c r="A3631" t="s">
        <v>1742</v>
      </c>
      <c r="B3631" t="s">
        <v>39</v>
      </c>
      <c r="C3631" t="s">
        <v>58</v>
      </c>
      <c r="D3631" t="s">
        <v>137</v>
      </c>
      <c r="E3631" t="s">
        <v>138</v>
      </c>
      <c r="F3631" t="s">
        <v>837</v>
      </c>
      <c r="G3631" t="s">
        <v>838</v>
      </c>
      <c r="H3631" t="s">
        <v>1064</v>
      </c>
      <c r="I3631" t="s">
        <v>1065</v>
      </c>
      <c r="J3631" t="s">
        <v>1743</v>
      </c>
      <c r="K3631" t="s">
        <v>1748</v>
      </c>
      <c r="L3631" t="s">
        <v>1749</v>
      </c>
      <c r="M3631" t="s">
        <v>15</v>
      </c>
      <c r="N3631" s="2">
        <v>141267.42000000001</v>
      </c>
      <c r="O3631" s="2">
        <v>-71169.77</v>
      </c>
      <c r="P3631" s="2">
        <v>-0.01</v>
      </c>
      <c r="Q3631" s="2">
        <v>70097.64</v>
      </c>
      <c r="R3631" s="2">
        <v>0</v>
      </c>
      <c r="S3631" s="2">
        <v>70097.64</v>
      </c>
      <c r="T3631" s="2">
        <v>70097.64</v>
      </c>
      <c r="U3631" s="2">
        <v>0</v>
      </c>
      <c r="V3631" s="2">
        <v>0</v>
      </c>
      <c r="W3631" s="2">
        <v>0</v>
      </c>
    </row>
    <row r="3632" spans="1:23" outlineLevel="2" x14ac:dyDescent="0.2">
      <c r="A3632" t="s">
        <v>1742</v>
      </c>
      <c r="B3632" t="s">
        <v>39</v>
      </c>
      <c r="C3632" t="s">
        <v>58</v>
      </c>
      <c r="D3632" t="s">
        <v>137</v>
      </c>
      <c r="E3632" t="s">
        <v>138</v>
      </c>
      <c r="F3632" t="s">
        <v>837</v>
      </c>
      <c r="G3632" t="s">
        <v>838</v>
      </c>
      <c r="H3632" t="s">
        <v>1064</v>
      </c>
      <c r="I3632" t="s">
        <v>1065</v>
      </c>
      <c r="J3632" t="s">
        <v>1743</v>
      </c>
      <c r="K3632" t="s">
        <v>1748</v>
      </c>
      <c r="L3632" t="s">
        <v>1749</v>
      </c>
      <c r="M3632" t="s">
        <v>12</v>
      </c>
      <c r="N3632" s="2">
        <v>1668818.66</v>
      </c>
      <c r="O3632" s="2">
        <v>-225838.06</v>
      </c>
      <c r="P3632" s="2">
        <v>-99270.9</v>
      </c>
      <c r="Q3632" s="2">
        <v>1343709.7</v>
      </c>
      <c r="R3632" s="2">
        <v>0</v>
      </c>
      <c r="S3632" s="2">
        <v>1343709.69</v>
      </c>
      <c r="T3632" s="2">
        <v>446747.99</v>
      </c>
      <c r="U3632" s="2">
        <v>0.01</v>
      </c>
      <c r="V3632" s="2">
        <v>896961.71</v>
      </c>
      <c r="W3632" s="2">
        <v>0.01</v>
      </c>
    </row>
    <row r="3633" spans="1:23" outlineLevel="2" x14ac:dyDescent="0.2">
      <c r="A3633" t="s">
        <v>1742</v>
      </c>
      <c r="B3633" t="s">
        <v>39</v>
      </c>
      <c r="C3633" t="s">
        <v>58</v>
      </c>
      <c r="D3633" t="s">
        <v>149</v>
      </c>
      <c r="E3633" t="s">
        <v>150</v>
      </c>
      <c r="F3633" t="s">
        <v>837</v>
      </c>
      <c r="G3633" t="s">
        <v>838</v>
      </c>
      <c r="H3633" t="s">
        <v>1064</v>
      </c>
      <c r="I3633" t="s">
        <v>1065</v>
      </c>
      <c r="J3633" t="s">
        <v>1743</v>
      </c>
      <c r="K3633" t="s">
        <v>1748</v>
      </c>
      <c r="L3633" t="s">
        <v>1749</v>
      </c>
      <c r="M3633" t="s">
        <v>12</v>
      </c>
      <c r="N3633" s="2">
        <v>1982402.14</v>
      </c>
      <c r="O3633" s="2">
        <v>190160.81</v>
      </c>
      <c r="P3633" s="2">
        <v>-315826.99</v>
      </c>
      <c r="Q3633" s="2">
        <v>1856735.96</v>
      </c>
      <c r="R3633" s="2">
        <v>0</v>
      </c>
      <c r="S3633" s="2">
        <v>1810936.45</v>
      </c>
      <c r="T3633" s="2">
        <v>980246.26</v>
      </c>
      <c r="U3633" s="2">
        <v>45799.51</v>
      </c>
      <c r="V3633" s="2">
        <v>876489.7</v>
      </c>
      <c r="W3633" s="2">
        <v>45799.51</v>
      </c>
    </row>
    <row r="3634" spans="1:23" outlineLevel="2" x14ac:dyDescent="0.2">
      <c r="A3634" t="s">
        <v>1742</v>
      </c>
      <c r="B3634" t="s">
        <v>39</v>
      </c>
      <c r="C3634" t="s">
        <v>58</v>
      </c>
      <c r="D3634" t="s">
        <v>59</v>
      </c>
      <c r="E3634" t="s">
        <v>60</v>
      </c>
      <c r="F3634" t="s">
        <v>837</v>
      </c>
      <c r="G3634" t="s">
        <v>838</v>
      </c>
      <c r="H3634" t="s">
        <v>1064</v>
      </c>
      <c r="I3634" t="s">
        <v>1065</v>
      </c>
      <c r="J3634" t="s">
        <v>1743</v>
      </c>
      <c r="K3634" t="s">
        <v>1748</v>
      </c>
      <c r="L3634" t="s">
        <v>1749</v>
      </c>
      <c r="M3634" t="s">
        <v>12</v>
      </c>
      <c r="N3634" s="2">
        <v>2871294.47</v>
      </c>
      <c r="O3634" s="2">
        <v>232581.4</v>
      </c>
      <c r="P3634" s="2">
        <v>-249999.99</v>
      </c>
      <c r="Q3634" s="2">
        <v>2853875.88</v>
      </c>
      <c r="R3634" s="2">
        <v>0</v>
      </c>
      <c r="S3634" s="2">
        <v>2599954.4300000002</v>
      </c>
      <c r="T3634" s="2">
        <v>616594.78</v>
      </c>
      <c r="U3634" s="2">
        <v>253921.45</v>
      </c>
      <c r="V3634" s="2">
        <v>2237281.1</v>
      </c>
      <c r="W3634" s="2">
        <v>253921.45</v>
      </c>
    </row>
    <row r="3635" spans="1:23" outlineLevel="2" x14ac:dyDescent="0.2">
      <c r="A3635" t="s">
        <v>1742</v>
      </c>
      <c r="B3635" t="s">
        <v>39</v>
      </c>
      <c r="C3635" t="s">
        <v>58</v>
      </c>
      <c r="D3635" t="s">
        <v>149</v>
      </c>
      <c r="E3635" t="s">
        <v>150</v>
      </c>
      <c r="F3635" t="s">
        <v>837</v>
      </c>
      <c r="G3635" t="s">
        <v>838</v>
      </c>
      <c r="H3635" t="s">
        <v>1064</v>
      </c>
      <c r="I3635" t="s">
        <v>1065</v>
      </c>
      <c r="J3635" t="s">
        <v>1743</v>
      </c>
      <c r="K3635" t="s">
        <v>1748</v>
      </c>
      <c r="L3635" t="s">
        <v>1749</v>
      </c>
      <c r="M3635" t="s">
        <v>15</v>
      </c>
      <c r="N3635" s="2">
        <v>56249.919999999998</v>
      </c>
      <c r="O3635" s="2">
        <v>243219.5</v>
      </c>
      <c r="P3635" s="2">
        <v>0</v>
      </c>
      <c r="Q3635" s="2">
        <v>299469.42</v>
      </c>
      <c r="R3635" s="2">
        <v>0</v>
      </c>
      <c r="S3635" s="2">
        <v>299469.42</v>
      </c>
      <c r="T3635" s="2">
        <v>299469.42</v>
      </c>
      <c r="U3635" s="2">
        <v>0</v>
      </c>
      <c r="V3635" s="2">
        <v>0</v>
      </c>
      <c r="W3635" s="2">
        <v>0</v>
      </c>
    </row>
    <row r="3636" spans="1:23" outlineLevel="2" x14ac:dyDescent="0.2">
      <c r="A3636" t="s">
        <v>1742</v>
      </c>
      <c r="B3636" t="s">
        <v>39</v>
      </c>
      <c r="C3636" t="s">
        <v>58</v>
      </c>
      <c r="D3636" t="s">
        <v>59</v>
      </c>
      <c r="E3636" t="s">
        <v>60</v>
      </c>
      <c r="F3636" t="s">
        <v>837</v>
      </c>
      <c r="G3636" t="s">
        <v>838</v>
      </c>
      <c r="H3636" t="s">
        <v>1064</v>
      </c>
      <c r="I3636" t="s">
        <v>1065</v>
      </c>
      <c r="J3636" t="s">
        <v>1743</v>
      </c>
      <c r="K3636" t="s">
        <v>1748</v>
      </c>
      <c r="L3636" t="s">
        <v>1749</v>
      </c>
      <c r="M3636" t="s">
        <v>15</v>
      </c>
      <c r="N3636" s="2">
        <v>0</v>
      </c>
      <c r="O3636" s="2">
        <v>174333.23</v>
      </c>
      <c r="P3636" s="2">
        <v>-0.01</v>
      </c>
      <c r="Q3636" s="2">
        <v>174333.22</v>
      </c>
      <c r="R3636" s="2">
        <v>0</v>
      </c>
      <c r="S3636" s="2">
        <v>174333.22</v>
      </c>
      <c r="T3636" s="2">
        <v>174333.22</v>
      </c>
      <c r="U3636" s="2">
        <v>0</v>
      </c>
      <c r="V3636" s="2">
        <v>0</v>
      </c>
      <c r="W3636" s="2">
        <v>0</v>
      </c>
    </row>
    <row r="3637" spans="1:23" outlineLevel="2" x14ac:dyDescent="0.2">
      <c r="A3637" t="s">
        <v>1742</v>
      </c>
      <c r="B3637" t="s">
        <v>39</v>
      </c>
      <c r="C3637" t="s">
        <v>58</v>
      </c>
      <c r="D3637" t="s">
        <v>145</v>
      </c>
      <c r="E3637" t="s">
        <v>146</v>
      </c>
      <c r="F3637" t="s">
        <v>837</v>
      </c>
      <c r="G3637" t="s">
        <v>838</v>
      </c>
      <c r="H3637" t="s">
        <v>1064</v>
      </c>
      <c r="I3637" t="s">
        <v>1065</v>
      </c>
      <c r="J3637" t="s">
        <v>1743</v>
      </c>
      <c r="K3637" t="s">
        <v>1748</v>
      </c>
      <c r="L3637" t="s">
        <v>1749</v>
      </c>
      <c r="M3637" t="s">
        <v>12</v>
      </c>
      <c r="N3637" s="2">
        <v>2443557.15</v>
      </c>
      <c r="O3637" s="2">
        <v>-91757.15</v>
      </c>
      <c r="P3637" s="2">
        <v>-398784.54</v>
      </c>
      <c r="Q3637" s="2">
        <v>1953015.46</v>
      </c>
      <c r="R3637" s="2">
        <v>0</v>
      </c>
      <c r="S3637" s="2">
        <v>1953015.46</v>
      </c>
      <c r="T3637" s="2">
        <v>948583.25</v>
      </c>
      <c r="U3637" s="2">
        <v>0</v>
      </c>
      <c r="V3637" s="2">
        <v>1004432.21</v>
      </c>
      <c r="W3637" s="2">
        <v>0</v>
      </c>
    </row>
    <row r="3638" spans="1:23" outlineLevel="2" x14ac:dyDescent="0.2">
      <c r="A3638" t="s">
        <v>1742</v>
      </c>
      <c r="B3638" t="s">
        <v>39</v>
      </c>
      <c r="C3638" t="s">
        <v>58</v>
      </c>
      <c r="D3638" t="s">
        <v>139</v>
      </c>
      <c r="E3638" t="s">
        <v>140</v>
      </c>
      <c r="F3638" t="s">
        <v>837</v>
      </c>
      <c r="G3638" t="s">
        <v>838</v>
      </c>
      <c r="H3638" t="s">
        <v>1064</v>
      </c>
      <c r="I3638" t="s">
        <v>1065</v>
      </c>
      <c r="J3638" t="s">
        <v>1743</v>
      </c>
      <c r="K3638" t="s">
        <v>1748</v>
      </c>
      <c r="L3638" t="s">
        <v>1749</v>
      </c>
      <c r="M3638" t="s">
        <v>12</v>
      </c>
      <c r="N3638" s="2">
        <v>786371.82</v>
      </c>
      <c r="O3638" s="2">
        <v>68751.990000000005</v>
      </c>
      <c r="P3638" s="2">
        <v>-202720</v>
      </c>
      <c r="Q3638" s="2">
        <v>652403.81000000006</v>
      </c>
      <c r="R3638" s="2">
        <v>0</v>
      </c>
      <c r="S3638" s="2">
        <v>649415.80000000005</v>
      </c>
      <c r="T3638" s="2">
        <v>55803.9</v>
      </c>
      <c r="U3638" s="2">
        <v>2988.01</v>
      </c>
      <c r="V3638" s="2">
        <v>596599.91</v>
      </c>
      <c r="W3638" s="2">
        <v>2988.01</v>
      </c>
    </row>
    <row r="3639" spans="1:23" outlineLevel="2" x14ac:dyDescent="0.2">
      <c r="A3639" t="s">
        <v>1742</v>
      </c>
      <c r="B3639" t="s">
        <v>39</v>
      </c>
      <c r="C3639" t="s">
        <v>58</v>
      </c>
      <c r="D3639" t="s">
        <v>143</v>
      </c>
      <c r="E3639" t="s">
        <v>144</v>
      </c>
      <c r="F3639" t="s">
        <v>837</v>
      </c>
      <c r="G3639" t="s">
        <v>838</v>
      </c>
      <c r="H3639" t="s">
        <v>1064</v>
      </c>
      <c r="I3639" t="s">
        <v>1065</v>
      </c>
      <c r="J3639" t="s">
        <v>1743</v>
      </c>
      <c r="K3639" t="s">
        <v>1748</v>
      </c>
      <c r="L3639" t="s">
        <v>1749</v>
      </c>
      <c r="M3639" t="s">
        <v>12</v>
      </c>
      <c r="N3639" s="2">
        <v>1505465.7</v>
      </c>
      <c r="O3639" s="2">
        <v>-92413.09</v>
      </c>
      <c r="P3639" s="2">
        <v>-43000</v>
      </c>
      <c r="Q3639" s="2">
        <v>1370052.61</v>
      </c>
      <c r="R3639" s="2">
        <v>0.04</v>
      </c>
      <c r="S3639" s="2">
        <v>1355465.88</v>
      </c>
      <c r="T3639" s="2">
        <v>445530.23</v>
      </c>
      <c r="U3639" s="2">
        <v>14586.73</v>
      </c>
      <c r="V3639" s="2">
        <v>924522.38</v>
      </c>
      <c r="W3639" s="2">
        <v>14586.69</v>
      </c>
    </row>
    <row r="3640" spans="1:23" outlineLevel="2" x14ac:dyDescent="0.2">
      <c r="A3640" t="s">
        <v>1742</v>
      </c>
      <c r="B3640" t="s">
        <v>39</v>
      </c>
      <c r="C3640" t="s">
        <v>58</v>
      </c>
      <c r="D3640" t="s">
        <v>137</v>
      </c>
      <c r="E3640" t="s">
        <v>138</v>
      </c>
      <c r="F3640" t="s">
        <v>837</v>
      </c>
      <c r="G3640" t="s">
        <v>838</v>
      </c>
      <c r="H3640" t="s">
        <v>1064</v>
      </c>
      <c r="I3640" t="s">
        <v>1065</v>
      </c>
      <c r="J3640" t="s">
        <v>1743</v>
      </c>
      <c r="K3640" t="s">
        <v>1744</v>
      </c>
      <c r="L3640" t="s">
        <v>1750</v>
      </c>
      <c r="M3640" t="s">
        <v>12</v>
      </c>
      <c r="N3640" s="2">
        <v>825454.9</v>
      </c>
      <c r="O3640" s="2">
        <v>48283.11</v>
      </c>
      <c r="P3640" s="2">
        <v>-269072.71999999997</v>
      </c>
      <c r="Q3640" s="2">
        <v>604665.29</v>
      </c>
      <c r="R3640" s="2">
        <v>0</v>
      </c>
      <c r="S3640" s="2">
        <v>604665.29</v>
      </c>
      <c r="T3640" s="2">
        <v>339152.01</v>
      </c>
      <c r="U3640" s="2">
        <v>0</v>
      </c>
      <c r="V3640" s="2">
        <v>265513.28000000003</v>
      </c>
      <c r="W3640" s="2">
        <v>0</v>
      </c>
    </row>
    <row r="3641" spans="1:23" outlineLevel="2" x14ac:dyDescent="0.2">
      <c r="A3641" t="s">
        <v>1742</v>
      </c>
      <c r="B3641" t="s">
        <v>39</v>
      </c>
      <c r="C3641" t="s">
        <v>58</v>
      </c>
      <c r="D3641" t="s">
        <v>143</v>
      </c>
      <c r="E3641" t="s">
        <v>144</v>
      </c>
      <c r="F3641" t="s">
        <v>837</v>
      </c>
      <c r="G3641" t="s">
        <v>838</v>
      </c>
      <c r="H3641" t="s">
        <v>1064</v>
      </c>
      <c r="I3641" t="s">
        <v>1065</v>
      </c>
      <c r="J3641" t="s">
        <v>1743</v>
      </c>
      <c r="K3641" t="s">
        <v>1744</v>
      </c>
      <c r="L3641" t="s">
        <v>1750</v>
      </c>
      <c r="M3641" t="s">
        <v>15</v>
      </c>
      <c r="N3641" s="2">
        <v>65000</v>
      </c>
      <c r="O3641" s="2">
        <v>-65000</v>
      </c>
      <c r="P3641" s="2">
        <v>0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</row>
    <row r="3642" spans="1:23" outlineLevel="2" x14ac:dyDescent="0.2">
      <c r="A3642" t="s">
        <v>1742</v>
      </c>
      <c r="B3642" t="s">
        <v>39</v>
      </c>
      <c r="C3642" t="s">
        <v>58</v>
      </c>
      <c r="D3642" t="s">
        <v>137</v>
      </c>
      <c r="E3642" t="s">
        <v>138</v>
      </c>
      <c r="F3642" t="s">
        <v>837</v>
      </c>
      <c r="G3642" t="s">
        <v>838</v>
      </c>
      <c r="H3642" t="s">
        <v>1064</v>
      </c>
      <c r="I3642" t="s">
        <v>1065</v>
      </c>
      <c r="J3642" t="s">
        <v>1743</v>
      </c>
      <c r="K3642" t="s">
        <v>1744</v>
      </c>
      <c r="L3642" t="s">
        <v>1750</v>
      </c>
      <c r="M3642" t="s">
        <v>15</v>
      </c>
      <c r="N3642" s="2">
        <v>234498.13</v>
      </c>
      <c r="O3642" s="2">
        <v>-26732.05</v>
      </c>
      <c r="P3642" s="2">
        <v>0</v>
      </c>
      <c r="Q3642" s="2">
        <v>207766.08</v>
      </c>
      <c r="R3642" s="2">
        <v>0</v>
      </c>
      <c r="S3642" s="2">
        <v>207766.08</v>
      </c>
      <c r="T3642" s="2">
        <v>207766.07</v>
      </c>
      <c r="U3642" s="2">
        <v>0</v>
      </c>
      <c r="V3642" s="2">
        <v>0.01</v>
      </c>
      <c r="W3642" s="2">
        <v>0</v>
      </c>
    </row>
    <row r="3643" spans="1:23" outlineLevel="2" x14ac:dyDescent="0.2">
      <c r="A3643" t="s">
        <v>1742</v>
      </c>
      <c r="B3643" t="s">
        <v>39</v>
      </c>
      <c r="C3643" t="s">
        <v>58</v>
      </c>
      <c r="D3643" t="s">
        <v>59</v>
      </c>
      <c r="E3643" t="s">
        <v>60</v>
      </c>
      <c r="F3643" t="s">
        <v>837</v>
      </c>
      <c r="G3643" t="s">
        <v>838</v>
      </c>
      <c r="H3643" t="s">
        <v>1125</v>
      </c>
      <c r="I3643" t="s">
        <v>1126</v>
      </c>
      <c r="J3643" t="s">
        <v>1743</v>
      </c>
      <c r="K3643" t="s">
        <v>1746</v>
      </c>
      <c r="L3643" t="s">
        <v>1747</v>
      </c>
      <c r="M3643" t="s">
        <v>12</v>
      </c>
      <c r="N3643" s="2">
        <v>230964</v>
      </c>
      <c r="O3643" s="2">
        <v>-164490.57</v>
      </c>
      <c r="P3643" s="2">
        <v>-100</v>
      </c>
      <c r="Q3643" s="2">
        <v>66373.429999999993</v>
      </c>
      <c r="R3643" s="2">
        <v>0</v>
      </c>
      <c r="S3643" s="2">
        <v>65644.009999999995</v>
      </c>
      <c r="T3643" s="2">
        <v>65644.009999999995</v>
      </c>
      <c r="U3643" s="2">
        <v>729.42</v>
      </c>
      <c r="V3643" s="2">
        <v>729.42</v>
      </c>
      <c r="W3643" s="2">
        <v>729.42</v>
      </c>
    </row>
    <row r="3644" spans="1:23" outlineLevel="2" x14ac:dyDescent="0.2">
      <c r="A3644" t="s">
        <v>1742</v>
      </c>
      <c r="B3644" t="s">
        <v>39</v>
      </c>
      <c r="C3644" t="s">
        <v>58</v>
      </c>
      <c r="D3644" t="s">
        <v>147</v>
      </c>
      <c r="E3644" t="s">
        <v>148</v>
      </c>
      <c r="F3644" t="s">
        <v>837</v>
      </c>
      <c r="G3644" t="s">
        <v>838</v>
      </c>
      <c r="H3644" t="s">
        <v>1125</v>
      </c>
      <c r="I3644" t="s">
        <v>1126</v>
      </c>
      <c r="J3644" t="s">
        <v>1743</v>
      </c>
      <c r="K3644" t="s">
        <v>1746</v>
      </c>
      <c r="L3644" t="s">
        <v>1747</v>
      </c>
      <c r="M3644" t="s">
        <v>12</v>
      </c>
      <c r="N3644" s="2">
        <v>402100.22</v>
      </c>
      <c r="O3644" s="2">
        <v>0</v>
      </c>
      <c r="P3644" s="2">
        <v>-133745.95000000001</v>
      </c>
      <c r="Q3644" s="2">
        <v>268354.27</v>
      </c>
      <c r="R3644" s="2">
        <v>35002.730000000003</v>
      </c>
      <c r="S3644" s="2">
        <v>233351.54</v>
      </c>
      <c r="T3644" s="2">
        <v>232659.59</v>
      </c>
      <c r="U3644" s="2">
        <v>35002.730000000003</v>
      </c>
      <c r="V3644" s="2">
        <v>35694.68</v>
      </c>
      <c r="W3644" s="2">
        <v>0</v>
      </c>
    </row>
    <row r="3645" spans="1:23" outlineLevel="2" x14ac:dyDescent="0.2">
      <c r="A3645" t="s">
        <v>1742</v>
      </c>
      <c r="B3645" t="s">
        <v>39</v>
      </c>
      <c r="C3645" t="s">
        <v>58</v>
      </c>
      <c r="D3645" t="s">
        <v>137</v>
      </c>
      <c r="E3645" t="s">
        <v>138</v>
      </c>
      <c r="F3645" t="s">
        <v>837</v>
      </c>
      <c r="G3645" t="s">
        <v>838</v>
      </c>
      <c r="H3645" t="s">
        <v>1125</v>
      </c>
      <c r="I3645" t="s">
        <v>1126</v>
      </c>
      <c r="J3645" t="s">
        <v>1743</v>
      </c>
      <c r="K3645" t="s">
        <v>1746</v>
      </c>
      <c r="L3645" t="s">
        <v>1747</v>
      </c>
      <c r="M3645" t="s">
        <v>12</v>
      </c>
      <c r="N3645" s="2">
        <v>55000</v>
      </c>
      <c r="O3645" s="2">
        <v>-27000</v>
      </c>
      <c r="P3645" s="2">
        <v>-28000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0</v>
      </c>
      <c r="W3645" s="2">
        <v>0</v>
      </c>
    </row>
    <row r="3646" spans="1:23" outlineLevel="2" x14ac:dyDescent="0.2">
      <c r="A3646" t="s">
        <v>1742</v>
      </c>
      <c r="B3646" t="s">
        <v>39</v>
      </c>
      <c r="C3646" t="s">
        <v>58</v>
      </c>
      <c r="D3646" t="s">
        <v>149</v>
      </c>
      <c r="E3646" t="s">
        <v>150</v>
      </c>
      <c r="F3646" t="s">
        <v>837</v>
      </c>
      <c r="G3646" t="s">
        <v>838</v>
      </c>
      <c r="H3646" t="s">
        <v>1125</v>
      </c>
      <c r="I3646" t="s">
        <v>1126</v>
      </c>
      <c r="J3646" t="s">
        <v>1743</v>
      </c>
      <c r="K3646" t="s">
        <v>1746</v>
      </c>
      <c r="L3646" t="s">
        <v>1747</v>
      </c>
      <c r="M3646" t="s">
        <v>12</v>
      </c>
      <c r="N3646" s="2">
        <v>300000</v>
      </c>
      <c r="O3646" s="2">
        <v>-36892.49</v>
      </c>
      <c r="P3646" s="2">
        <v>-45256.29</v>
      </c>
      <c r="Q3646" s="2">
        <v>217851.22</v>
      </c>
      <c r="R3646" s="2">
        <v>0</v>
      </c>
      <c r="S3646" s="2">
        <v>217851.22</v>
      </c>
      <c r="T3646" s="2">
        <v>141846.04</v>
      </c>
      <c r="U3646" s="2">
        <v>0</v>
      </c>
      <c r="V3646" s="2">
        <v>76005.179999999993</v>
      </c>
      <c r="W3646" s="2">
        <v>0</v>
      </c>
    </row>
    <row r="3647" spans="1:23" outlineLevel="2" x14ac:dyDescent="0.2">
      <c r="A3647" t="s">
        <v>1742</v>
      </c>
      <c r="B3647" t="s">
        <v>39</v>
      </c>
      <c r="C3647" t="s">
        <v>58</v>
      </c>
      <c r="D3647" t="s">
        <v>139</v>
      </c>
      <c r="E3647" t="s">
        <v>140</v>
      </c>
      <c r="F3647" t="s">
        <v>837</v>
      </c>
      <c r="G3647" t="s">
        <v>838</v>
      </c>
      <c r="H3647" t="s">
        <v>1125</v>
      </c>
      <c r="I3647" t="s">
        <v>1126</v>
      </c>
      <c r="J3647" t="s">
        <v>1743</v>
      </c>
      <c r="K3647" t="s">
        <v>1746</v>
      </c>
      <c r="L3647" t="s">
        <v>1747</v>
      </c>
      <c r="M3647" t="s">
        <v>12</v>
      </c>
      <c r="N3647" s="2">
        <v>347040</v>
      </c>
      <c r="O3647" s="2">
        <v>0</v>
      </c>
      <c r="P3647" s="2">
        <v>-266400</v>
      </c>
      <c r="Q3647" s="2">
        <v>80640</v>
      </c>
      <c r="R3647" s="2">
        <v>0</v>
      </c>
      <c r="S3647" s="2">
        <v>80640</v>
      </c>
      <c r="T3647" s="2">
        <v>0</v>
      </c>
      <c r="U3647" s="2">
        <v>0</v>
      </c>
      <c r="V3647" s="2">
        <v>80640</v>
      </c>
      <c r="W3647" s="2">
        <v>0</v>
      </c>
    </row>
    <row r="3648" spans="1:23" outlineLevel="2" x14ac:dyDescent="0.2">
      <c r="A3648" t="s">
        <v>1742</v>
      </c>
      <c r="B3648" t="s">
        <v>39</v>
      </c>
      <c r="C3648" t="s">
        <v>58</v>
      </c>
      <c r="D3648" t="s">
        <v>145</v>
      </c>
      <c r="E3648" t="s">
        <v>146</v>
      </c>
      <c r="F3648" t="s">
        <v>837</v>
      </c>
      <c r="G3648" t="s">
        <v>838</v>
      </c>
      <c r="H3648" t="s">
        <v>1125</v>
      </c>
      <c r="I3648" t="s">
        <v>1126</v>
      </c>
      <c r="J3648" t="s">
        <v>1743</v>
      </c>
      <c r="K3648" t="s">
        <v>1746</v>
      </c>
      <c r="L3648" t="s">
        <v>1747</v>
      </c>
      <c r="M3648" t="s">
        <v>12</v>
      </c>
      <c r="N3648" s="2">
        <v>455528.6</v>
      </c>
      <c r="O3648" s="2">
        <v>-380528.6</v>
      </c>
      <c r="P3648" s="2">
        <v>-50018.98</v>
      </c>
      <c r="Q3648" s="2">
        <v>24981.02</v>
      </c>
      <c r="R3648" s="2">
        <v>0</v>
      </c>
      <c r="S3648" s="2">
        <v>24981.02</v>
      </c>
      <c r="T3648" s="2">
        <v>24305.68</v>
      </c>
      <c r="U3648" s="2">
        <v>0</v>
      </c>
      <c r="V3648" s="2">
        <v>675.34</v>
      </c>
      <c r="W3648" s="2">
        <v>0</v>
      </c>
    </row>
    <row r="3649" spans="1:23" outlineLevel="2" x14ac:dyDescent="0.2">
      <c r="A3649" t="s">
        <v>1742</v>
      </c>
      <c r="B3649" t="s">
        <v>39</v>
      </c>
      <c r="C3649" t="s">
        <v>58</v>
      </c>
      <c r="D3649" t="s">
        <v>135</v>
      </c>
      <c r="E3649" t="s">
        <v>136</v>
      </c>
      <c r="F3649" t="s">
        <v>837</v>
      </c>
      <c r="G3649" t="s">
        <v>838</v>
      </c>
      <c r="H3649" t="s">
        <v>1125</v>
      </c>
      <c r="I3649" t="s">
        <v>1126</v>
      </c>
      <c r="J3649" t="s">
        <v>1743</v>
      </c>
      <c r="K3649" t="s">
        <v>1746</v>
      </c>
      <c r="L3649" t="s">
        <v>1747</v>
      </c>
      <c r="M3649" t="s">
        <v>12</v>
      </c>
      <c r="N3649" s="2">
        <v>197716.97</v>
      </c>
      <c r="O3649" s="2">
        <v>10607.83</v>
      </c>
      <c r="P3649" s="2">
        <v>0</v>
      </c>
      <c r="Q3649" s="2">
        <v>208324.8</v>
      </c>
      <c r="R3649" s="2">
        <v>0.06</v>
      </c>
      <c r="S3649" s="2">
        <v>208324.74</v>
      </c>
      <c r="T3649" s="2">
        <v>11994.27</v>
      </c>
      <c r="U3649" s="2">
        <v>0.06</v>
      </c>
      <c r="V3649" s="2">
        <v>196330.53</v>
      </c>
      <c r="W3649" s="2">
        <v>0</v>
      </c>
    </row>
    <row r="3650" spans="1:23" outlineLevel="2" x14ac:dyDescent="0.2">
      <c r="A3650" t="s">
        <v>1742</v>
      </c>
      <c r="B3650" t="s">
        <v>39</v>
      </c>
      <c r="C3650" t="s">
        <v>58</v>
      </c>
      <c r="D3650" t="s">
        <v>143</v>
      </c>
      <c r="E3650" t="s">
        <v>144</v>
      </c>
      <c r="F3650" t="s">
        <v>837</v>
      </c>
      <c r="G3650" t="s">
        <v>838</v>
      </c>
      <c r="H3650" t="s">
        <v>1125</v>
      </c>
      <c r="I3650" t="s">
        <v>1126</v>
      </c>
      <c r="J3650" t="s">
        <v>1743</v>
      </c>
      <c r="K3650" t="s">
        <v>1746</v>
      </c>
      <c r="L3650" t="s">
        <v>1747</v>
      </c>
      <c r="M3650" t="s">
        <v>12</v>
      </c>
      <c r="N3650" s="2">
        <v>238012.98</v>
      </c>
      <c r="O3650" s="2">
        <v>2218.5700000000002</v>
      </c>
      <c r="P3650" s="2">
        <v>-30000</v>
      </c>
      <c r="Q3650" s="2">
        <v>210231.55</v>
      </c>
      <c r="R3650" s="2">
        <v>1644.2</v>
      </c>
      <c r="S3650" s="2">
        <v>205914.35</v>
      </c>
      <c r="T3650" s="2">
        <v>180514.87</v>
      </c>
      <c r="U3650" s="2">
        <v>4317.2</v>
      </c>
      <c r="V3650" s="2">
        <v>29716.68</v>
      </c>
      <c r="W3650" s="2">
        <v>2673</v>
      </c>
    </row>
    <row r="3651" spans="1:23" outlineLevel="2" x14ac:dyDescent="0.2">
      <c r="A3651" t="s">
        <v>1742</v>
      </c>
      <c r="B3651" t="s">
        <v>39</v>
      </c>
      <c r="C3651" t="s">
        <v>58</v>
      </c>
      <c r="D3651" t="s">
        <v>59</v>
      </c>
      <c r="E3651" t="s">
        <v>60</v>
      </c>
      <c r="F3651" t="s">
        <v>837</v>
      </c>
      <c r="G3651" t="s">
        <v>838</v>
      </c>
      <c r="H3651" t="s">
        <v>1125</v>
      </c>
      <c r="I3651" t="s">
        <v>1126</v>
      </c>
      <c r="J3651" t="s">
        <v>1743</v>
      </c>
      <c r="K3651" t="s">
        <v>1746</v>
      </c>
      <c r="L3651" t="s">
        <v>1747</v>
      </c>
      <c r="M3651" t="s">
        <v>15</v>
      </c>
      <c r="N3651" s="2">
        <v>53123.75</v>
      </c>
      <c r="O3651" s="2">
        <v>0</v>
      </c>
      <c r="P3651" s="2">
        <v>0</v>
      </c>
      <c r="Q3651" s="2">
        <v>53123.75</v>
      </c>
      <c r="R3651" s="2">
        <v>0</v>
      </c>
      <c r="S3651" s="2">
        <v>53123.75</v>
      </c>
      <c r="T3651" s="2">
        <v>53123.75</v>
      </c>
      <c r="U3651" s="2">
        <v>0</v>
      </c>
      <c r="V3651" s="2">
        <v>0</v>
      </c>
      <c r="W3651" s="2">
        <v>0</v>
      </c>
    </row>
    <row r="3652" spans="1:23" outlineLevel="2" x14ac:dyDescent="0.2">
      <c r="A3652" t="s">
        <v>1742</v>
      </c>
      <c r="B3652" t="s">
        <v>39</v>
      </c>
      <c r="C3652" t="s">
        <v>58</v>
      </c>
      <c r="D3652" t="s">
        <v>143</v>
      </c>
      <c r="E3652" t="s">
        <v>144</v>
      </c>
      <c r="F3652" t="s">
        <v>837</v>
      </c>
      <c r="G3652" t="s">
        <v>838</v>
      </c>
      <c r="H3652" t="s">
        <v>1125</v>
      </c>
      <c r="I3652" t="s">
        <v>1126</v>
      </c>
      <c r="J3652" t="s">
        <v>1743</v>
      </c>
      <c r="K3652" t="s">
        <v>1746</v>
      </c>
      <c r="L3652" t="s">
        <v>1747</v>
      </c>
      <c r="M3652" t="s">
        <v>15</v>
      </c>
      <c r="N3652" s="2">
        <v>100000</v>
      </c>
      <c r="O3652" s="2">
        <v>-64108.63</v>
      </c>
      <c r="P3652" s="2">
        <v>0</v>
      </c>
      <c r="Q3652" s="2">
        <v>35891.370000000003</v>
      </c>
      <c r="R3652" s="2">
        <v>0.01</v>
      </c>
      <c r="S3652" s="2">
        <v>35891.360000000001</v>
      </c>
      <c r="T3652" s="2">
        <v>35891.360000000001</v>
      </c>
      <c r="U3652" s="2">
        <v>0.01</v>
      </c>
      <c r="V3652" s="2">
        <v>0.01</v>
      </c>
      <c r="W3652" s="2">
        <v>0</v>
      </c>
    </row>
    <row r="3653" spans="1:23" outlineLevel="2" x14ac:dyDescent="0.2">
      <c r="A3653" t="s">
        <v>1742</v>
      </c>
      <c r="B3653" t="s">
        <v>39</v>
      </c>
      <c r="C3653" t="s">
        <v>58</v>
      </c>
      <c r="D3653" t="s">
        <v>147</v>
      </c>
      <c r="E3653" t="s">
        <v>148</v>
      </c>
      <c r="F3653" t="s">
        <v>837</v>
      </c>
      <c r="G3653" t="s">
        <v>838</v>
      </c>
      <c r="H3653" t="s">
        <v>1125</v>
      </c>
      <c r="I3653" t="s">
        <v>1126</v>
      </c>
      <c r="J3653" t="s">
        <v>1743</v>
      </c>
      <c r="K3653" t="s">
        <v>1748</v>
      </c>
      <c r="L3653" t="s">
        <v>1749</v>
      </c>
      <c r="M3653" t="s">
        <v>12</v>
      </c>
      <c r="N3653" s="2">
        <v>134041.07</v>
      </c>
      <c r="O3653" s="2">
        <v>-36257.49</v>
      </c>
      <c r="P3653" s="2">
        <v>-97783.58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</row>
    <row r="3654" spans="1:23" outlineLevel="2" x14ac:dyDescent="0.2">
      <c r="A3654" t="s">
        <v>1742</v>
      </c>
      <c r="B3654" t="s">
        <v>39</v>
      </c>
      <c r="C3654" t="s">
        <v>58</v>
      </c>
      <c r="D3654" t="s">
        <v>135</v>
      </c>
      <c r="E3654" t="s">
        <v>136</v>
      </c>
      <c r="F3654" t="s">
        <v>837</v>
      </c>
      <c r="G3654" t="s">
        <v>838</v>
      </c>
      <c r="H3654" t="s">
        <v>1125</v>
      </c>
      <c r="I3654" t="s">
        <v>1126</v>
      </c>
      <c r="J3654" t="s">
        <v>1743</v>
      </c>
      <c r="K3654" t="s">
        <v>1748</v>
      </c>
      <c r="L3654" t="s">
        <v>1749</v>
      </c>
      <c r="M3654" t="s">
        <v>12</v>
      </c>
      <c r="N3654" s="2">
        <v>40000</v>
      </c>
      <c r="O3654" s="2">
        <v>29392.17</v>
      </c>
      <c r="P3654" s="2">
        <v>0</v>
      </c>
      <c r="Q3654" s="2">
        <v>69392.17</v>
      </c>
      <c r="R3654" s="2">
        <v>0.28000000000000003</v>
      </c>
      <c r="S3654" s="2">
        <v>64404.46</v>
      </c>
      <c r="T3654" s="2">
        <v>14999.22</v>
      </c>
      <c r="U3654" s="2">
        <v>4987.71</v>
      </c>
      <c r="V3654" s="2">
        <v>54392.95</v>
      </c>
      <c r="W3654" s="2">
        <v>4987.43</v>
      </c>
    </row>
    <row r="3655" spans="1:23" outlineLevel="2" x14ac:dyDescent="0.2">
      <c r="A3655" t="s">
        <v>1742</v>
      </c>
      <c r="B3655" t="s">
        <v>39</v>
      </c>
      <c r="C3655" t="s">
        <v>58</v>
      </c>
      <c r="D3655" t="s">
        <v>139</v>
      </c>
      <c r="E3655" t="s">
        <v>140</v>
      </c>
      <c r="F3655" t="s">
        <v>837</v>
      </c>
      <c r="G3655" t="s">
        <v>838</v>
      </c>
      <c r="H3655" t="s">
        <v>1125</v>
      </c>
      <c r="I3655" t="s">
        <v>1126</v>
      </c>
      <c r="J3655" t="s">
        <v>1743</v>
      </c>
      <c r="K3655" t="s">
        <v>1748</v>
      </c>
      <c r="L3655" t="s">
        <v>1749</v>
      </c>
      <c r="M3655" t="s">
        <v>12</v>
      </c>
      <c r="N3655" s="2">
        <v>75756.740000000005</v>
      </c>
      <c r="O3655" s="2">
        <v>0</v>
      </c>
      <c r="P3655" s="2">
        <v>-49996.74</v>
      </c>
      <c r="Q3655" s="2">
        <v>25760</v>
      </c>
      <c r="R3655" s="2">
        <v>0</v>
      </c>
      <c r="S3655" s="2">
        <v>25760</v>
      </c>
      <c r="T3655" s="2">
        <v>0</v>
      </c>
      <c r="U3655" s="2">
        <v>0</v>
      </c>
      <c r="V3655" s="2">
        <v>25760</v>
      </c>
      <c r="W3655" s="2">
        <v>0</v>
      </c>
    </row>
    <row r="3656" spans="1:23" outlineLevel="2" x14ac:dyDescent="0.2">
      <c r="A3656" t="s">
        <v>1742</v>
      </c>
      <c r="B3656" t="s">
        <v>39</v>
      </c>
      <c r="C3656" t="s">
        <v>58</v>
      </c>
      <c r="D3656" t="s">
        <v>149</v>
      </c>
      <c r="E3656" t="s">
        <v>150</v>
      </c>
      <c r="F3656" t="s">
        <v>837</v>
      </c>
      <c r="G3656" t="s">
        <v>838</v>
      </c>
      <c r="H3656" t="s">
        <v>1125</v>
      </c>
      <c r="I3656" t="s">
        <v>1126</v>
      </c>
      <c r="J3656" t="s">
        <v>1743</v>
      </c>
      <c r="K3656" t="s">
        <v>1748</v>
      </c>
      <c r="L3656" t="s">
        <v>1749</v>
      </c>
      <c r="M3656" t="s">
        <v>12</v>
      </c>
      <c r="N3656" s="2">
        <v>276402.88</v>
      </c>
      <c r="O3656" s="2">
        <v>-5100</v>
      </c>
      <c r="P3656" s="2">
        <v>-271302.88</v>
      </c>
      <c r="Q3656" s="2">
        <v>0</v>
      </c>
      <c r="R3656" s="2">
        <v>0</v>
      </c>
      <c r="S3656" s="2">
        <v>0</v>
      </c>
      <c r="T3656" s="2">
        <v>0</v>
      </c>
      <c r="U3656" s="2">
        <v>0</v>
      </c>
      <c r="V3656" s="2">
        <v>0</v>
      </c>
      <c r="W3656" s="2">
        <v>0</v>
      </c>
    </row>
    <row r="3657" spans="1:23" outlineLevel="2" x14ac:dyDescent="0.2">
      <c r="A3657" t="s">
        <v>1742</v>
      </c>
      <c r="B3657" t="s">
        <v>39</v>
      </c>
      <c r="C3657" t="s">
        <v>58</v>
      </c>
      <c r="D3657" t="s">
        <v>143</v>
      </c>
      <c r="E3657" t="s">
        <v>144</v>
      </c>
      <c r="F3657" t="s">
        <v>837</v>
      </c>
      <c r="G3657" t="s">
        <v>838</v>
      </c>
      <c r="H3657" t="s">
        <v>1125</v>
      </c>
      <c r="I3657" t="s">
        <v>1126</v>
      </c>
      <c r="J3657" t="s">
        <v>1743</v>
      </c>
      <c r="K3657" t="s">
        <v>1748</v>
      </c>
      <c r="L3657" t="s">
        <v>1749</v>
      </c>
      <c r="M3657" t="s">
        <v>12</v>
      </c>
      <c r="N3657" s="2">
        <v>220000</v>
      </c>
      <c r="O3657" s="2">
        <v>3852.42</v>
      </c>
      <c r="P3657" s="2">
        <v>0</v>
      </c>
      <c r="Q3657" s="2">
        <v>223852.42</v>
      </c>
      <c r="R3657" s="2">
        <v>3852.42</v>
      </c>
      <c r="S3657" s="2">
        <v>210759.58</v>
      </c>
      <c r="T3657" s="2">
        <v>41918.39</v>
      </c>
      <c r="U3657" s="2">
        <v>13092.84</v>
      </c>
      <c r="V3657" s="2">
        <v>181934.03</v>
      </c>
      <c r="W3657" s="2">
        <v>9240.42</v>
      </c>
    </row>
    <row r="3658" spans="1:23" outlineLevel="2" x14ac:dyDescent="0.2">
      <c r="A3658" t="s">
        <v>1742</v>
      </c>
      <c r="B3658" t="s">
        <v>39</v>
      </c>
      <c r="C3658" t="s">
        <v>58</v>
      </c>
      <c r="D3658" t="s">
        <v>145</v>
      </c>
      <c r="E3658" t="s">
        <v>146</v>
      </c>
      <c r="F3658" t="s">
        <v>837</v>
      </c>
      <c r="G3658" t="s">
        <v>838</v>
      </c>
      <c r="H3658" t="s">
        <v>1125</v>
      </c>
      <c r="I3658" t="s">
        <v>1126</v>
      </c>
      <c r="J3658" t="s">
        <v>1743</v>
      </c>
      <c r="K3658" t="s">
        <v>1748</v>
      </c>
      <c r="L3658" t="s">
        <v>1749</v>
      </c>
      <c r="M3658" t="s">
        <v>12</v>
      </c>
      <c r="N3658" s="2">
        <v>171842.86</v>
      </c>
      <c r="O3658" s="2">
        <v>370157.14</v>
      </c>
      <c r="P3658" s="2">
        <v>-272544.15999999997</v>
      </c>
      <c r="Q3658" s="2">
        <v>269455.84000000003</v>
      </c>
      <c r="R3658" s="2">
        <v>0</v>
      </c>
      <c r="S3658" s="2">
        <v>269455.84000000003</v>
      </c>
      <c r="T3658" s="2">
        <v>0</v>
      </c>
      <c r="U3658" s="2">
        <v>0</v>
      </c>
      <c r="V3658" s="2">
        <v>269455.84000000003</v>
      </c>
      <c r="W3658" s="2">
        <v>0</v>
      </c>
    </row>
    <row r="3659" spans="1:23" outlineLevel="2" x14ac:dyDescent="0.2">
      <c r="A3659" t="s">
        <v>1742</v>
      </c>
      <c r="B3659" t="s">
        <v>39</v>
      </c>
      <c r="C3659" t="s">
        <v>58</v>
      </c>
      <c r="D3659" t="s">
        <v>59</v>
      </c>
      <c r="E3659" t="s">
        <v>60</v>
      </c>
      <c r="F3659" t="s">
        <v>837</v>
      </c>
      <c r="G3659" t="s">
        <v>838</v>
      </c>
      <c r="H3659" t="s">
        <v>1125</v>
      </c>
      <c r="I3659" t="s">
        <v>1126</v>
      </c>
      <c r="J3659" t="s">
        <v>1743</v>
      </c>
      <c r="K3659" t="s">
        <v>1748</v>
      </c>
      <c r="L3659" t="s">
        <v>1749</v>
      </c>
      <c r="M3659" t="s">
        <v>12</v>
      </c>
      <c r="N3659" s="2">
        <v>316380.99</v>
      </c>
      <c r="O3659" s="2">
        <v>162290.57</v>
      </c>
      <c r="P3659" s="2">
        <v>0</v>
      </c>
      <c r="Q3659" s="2">
        <v>478671.56</v>
      </c>
      <c r="R3659" s="2">
        <v>0.01</v>
      </c>
      <c r="S3659" s="2">
        <v>391544.67</v>
      </c>
      <c r="T3659" s="2">
        <v>169217.17</v>
      </c>
      <c r="U3659" s="2">
        <v>87126.89</v>
      </c>
      <c r="V3659" s="2">
        <v>309454.39</v>
      </c>
      <c r="W3659" s="2">
        <v>87126.88</v>
      </c>
    </row>
    <row r="3660" spans="1:23" outlineLevel="2" x14ac:dyDescent="0.2">
      <c r="A3660" t="s">
        <v>1742</v>
      </c>
      <c r="B3660" t="s">
        <v>39</v>
      </c>
      <c r="C3660" t="s">
        <v>58</v>
      </c>
      <c r="D3660" t="s">
        <v>59</v>
      </c>
      <c r="E3660" t="s">
        <v>60</v>
      </c>
      <c r="F3660" t="s">
        <v>837</v>
      </c>
      <c r="G3660" t="s">
        <v>838</v>
      </c>
      <c r="H3660" t="s">
        <v>1125</v>
      </c>
      <c r="I3660" t="s">
        <v>1126</v>
      </c>
      <c r="J3660" t="s">
        <v>1743</v>
      </c>
      <c r="K3660" t="s">
        <v>1748</v>
      </c>
      <c r="L3660" t="s">
        <v>1749</v>
      </c>
      <c r="M3660" t="s">
        <v>15</v>
      </c>
      <c r="N3660" s="2">
        <v>0</v>
      </c>
      <c r="O3660" s="2">
        <v>82171.839999999997</v>
      </c>
      <c r="P3660" s="2">
        <v>0</v>
      </c>
      <c r="Q3660" s="2">
        <v>82171.839999999997</v>
      </c>
      <c r="R3660" s="2">
        <v>0</v>
      </c>
      <c r="S3660" s="2">
        <v>82171.839999999997</v>
      </c>
      <c r="T3660" s="2">
        <v>82171.83</v>
      </c>
      <c r="U3660" s="2">
        <v>0</v>
      </c>
      <c r="V3660" s="2">
        <v>0.01</v>
      </c>
      <c r="W3660" s="2">
        <v>0</v>
      </c>
    </row>
    <row r="3661" spans="1:23" outlineLevel="2" x14ac:dyDescent="0.2">
      <c r="A3661" t="s">
        <v>1742</v>
      </c>
      <c r="B3661" t="s">
        <v>39</v>
      </c>
      <c r="C3661" t="s">
        <v>58</v>
      </c>
      <c r="D3661" t="s">
        <v>137</v>
      </c>
      <c r="E3661" t="s">
        <v>138</v>
      </c>
      <c r="F3661" t="s">
        <v>837</v>
      </c>
      <c r="G3661" t="s">
        <v>838</v>
      </c>
      <c r="H3661" t="s">
        <v>1125</v>
      </c>
      <c r="I3661" t="s">
        <v>1126</v>
      </c>
      <c r="J3661" t="s">
        <v>1743</v>
      </c>
      <c r="K3661" t="s">
        <v>1748</v>
      </c>
      <c r="L3661" t="s">
        <v>1749</v>
      </c>
      <c r="M3661" t="s">
        <v>12</v>
      </c>
      <c r="N3661" s="2">
        <v>80000</v>
      </c>
      <c r="O3661" s="2">
        <v>316151.86</v>
      </c>
      <c r="P3661" s="2">
        <v>-9504.26</v>
      </c>
      <c r="Q3661" s="2">
        <v>386647.6</v>
      </c>
      <c r="R3661" s="2">
        <v>0</v>
      </c>
      <c r="S3661" s="2">
        <v>144893.82999999999</v>
      </c>
      <c r="T3661" s="2">
        <v>0</v>
      </c>
      <c r="U3661" s="2">
        <v>241753.77</v>
      </c>
      <c r="V3661" s="2">
        <v>386647.6</v>
      </c>
      <c r="W3661" s="2">
        <v>241753.77</v>
      </c>
    </row>
    <row r="3662" spans="1:23" outlineLevel="2" x14ac:dyDescent="0.2">
      <c r="A3662" t="s">
        <v>1742</v>
      </c>
      <c r="B3662" t="s">
        <v>39</v>
      </c>
      <c r="C3662" t="s">
        <v>58</v>
      </c>
      <c r="D3662" t="s">
        <v>137</v>
      </c>
      <c r="E3662" t="s">
        <v>138</v>
      </c>
      <c r="F3662" t="s">
        <v>837</v>
      </c>
      <c r="G3662" t="s">
        <v>838</v>
      </c>
      <c r="H3662" t="s">
        <v>1125</v>
      </c>
      <c r="I3662" t="s">
        <v>1126</v>
      </c>
      <c r="J3662" t="s">
        <v>1743</v>
      </c>
      <c r="K3662" t="s">
        <v>1744</v>
      </c>
      <c r="L3662" t="s">
        <v>1750</v>
      </c>
      <c r="M3662" t="s">
        <v>12</v>
      </c>
      <c r="N3662" s="2">
        <v>289151.86</v>
      </c>
      <c r="O3662" s="2">
        <v>-289151.86</v>
      </c>
      <c r="P3662" s="2">
        <v>0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</row>
    <row r="3663" spans="1:23" outlineLevel="2" x14ac:dyDescent="0.2">
      <c r="A3663" t="s">
        <v>1742</v>
      </c>
      <c r="B3663" t="s">
        <v>39</v>
      </c>
      <c r="C3663" t="s">
        <v>58</v>
      </c>
      <c r="D3663" t="s">
        <v>59</v>
      </c>
      <c r="E3663" t="s">
        <v>60</v>
      </c>
      <c r="F3663" t="s">
        <v>837</v>
      </c>
      <c r="G3663" t="s">
        <v>838</v>
      </c>
      <c r="H3663" t="s">
        <v>1125</v>
      </c>
      <c r="I3663" t="s">
        <v>1126</v>
      </c>
      <c r="J3663" t="s">
        <v>1743</v>
      </c>
      <c r="K3663" t="s">
        <v>1751</v>
      </c>
      <c r="L3663" t="s">
        <v>1752</v>
      </c>
      <c r="M3663" t="s">
        <v>12</v>
      </c>
      <c r="N3663" s="2">
        <v>0</v>
      </c>
      <c r="O3663" s="2">
        <v>2200</v>
      </c>
      <c r="P3663" s="2">
        <v>-2200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</row>
    <row r="3664" spans="1:23" outlineLevel="2" x14ac:dyDescent="0.2">
      <c r="A3664" t="s">
        <v>1742</v>
      </c>
      <c r="B3664" t="s">
        <v>31</v>
      </c>
      <c r="C3664" t="s">
        <v>107</v>
      </c>
      <c r="D3664" t="s">
        <v>108</v>
      </c>
      <c r="E3664" t="s">
        <v>109</v>
      </c>
      <c r="F3664" t="s">
        <v>856</v>
      </c>
      <c r="G3664" t="s">
        <v>857</v>
      </c>
      <c r="H3664" t="s">
        <v>870</v>
      </c>
      <c r="I3664" t="s">
        <v>871</v>
      </c>
      <c r="J3664" t="s">
        <v>1743</v>
      </c>
      <c r="K3664" t="s">
        <v>1751</v>
      </c>
      <c r="L3664" t="s">
        <v>1753</v>
      </c>
      <c r="M3664" t="s">
        <v>12</v>
      </c>
      <c r="N3664" s="2">
        <v>10000</v>
      </c>
      <c r="O3664" s="2">
        <v>0</v>
      </c>
      <c r="P3664" s="2">
        <v>-10000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</row>
    <row r="3665" spans="1:23" outlineLevel="2" x14ac:dyDescent="0.2">
      <c r="A3665" t="s">
        <v>1742</v>
      </c>
      <c r="B3665" t="s">
        <v>53</v>
      </c>
      <c r="C3665" t="s">
        <v>54</v>
      </c>
      <c r="D3665" t="s">
        <v>55</v>
      </c>
      <c r="E3665" t="s">
        <v>56</v>
      </c>
      <c r="F3665" t="s">
        <v>1754</v>
      </c>
      <c r="G3665" t="s">
        <v>1755</v>
      </c>
      <c r="H3665" t="s">
        <v>1756</v>
      </c>
      <c r="I3665" t="s">
        <v>1757</v>
      </c>
      <c r="J3665" t="s">
        <v>1743</v>
      </c>
      <c r="K3665" t="s">
        <v>1744</v>
      </c>
      <c r="L3665" t="s">
        <v>1758</v>
      </c>
      <c r="M3665" t="s">
        <v>12</v>
      </c>
      <c r="N3665" s="2">
        <v>2000000</v>
      </c>
      <c r="O3665" s="2">
        <v>-2000000</v>
      </c>
      <c r="P3665" s="2">
        <v>0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</row>
    <row r="3666" spans="1:23" outlineLevel="2" x14ac:dyDescent="0.2">
      <c r="A3666" t="s">
        <v>1742</v>
      </c>
      <c r="B3666" t="s">
        <v>53</v>
      </c>
      <c r="C3666" t="s">
        <v>54</v>
      </c>
      <c r="D3666" t="s">
        <v>55</v>
      </c>
      <c r="E3666" t="s">
        <v>56</v>
      </c>
      <c r="F3666" t="s">
        <v>1196</v>
      </c>
      <c r="G3666" t="s">
        <v>1197</v>
      </c>
      <c r="H3666" t="s">
        <v>1198</v>
      </c>
      <c r="I3666" t="s">
        <v>1199</v>
      </c>
      <c r="J3666" t="s">
        <v>1743</v>
      </c>
      <c r="K3666" t="s">
        <v>1744</v>
      </c>
      <c r="L3666" t="s">
        <v>1759</v>
      </c>
      <c r="M3666" t="s">
        <v>12</v>
      </c>
      <c r="N3666" s="2">
        <v>2806879.08</v>
      </c>
      <c r="O3666" s="2">
        <v>1990466.26</v>
      </c>
      <c r="P3666" s="2">
        <v>-3721936.5</v>
      </c>
      <c r="Q3666" s="2">
        <v>1075408.8400000001</v>
      </c>
      <c r="R3666" s="2">
        <v>524603.78</v>
      </c>
      <c r="S3666" s="2">
        <v>515046.46</v>
      </c>
      <c r="T3666" s="2">
        <v>271662.45</v>
      </c>
      <c r="U3666" s="2">
        <v>560362.38</v>
      </c>
      <c r="V3666" s="2">
        <v>803746.39</v>
      </c>
      <c r="W3666" s="2">
        <v>35758.6</v>
      </c>
    </row>
    <row r="3667" spans="1:23" outlineLevel="2" x14ac:dyDescent="0.2">
      <c r="A3667" t="s">
        <v>1742</v>
      </c>
      <c r="B3667" t="s">
        <v>39</v>
      </c>
      <c r="C3667" t="s">
        <v>58</v>
      </c>
      <c r="D3667" t="s">
        <v>129</v>
      </c>
      <c r="E3667" t="s">
        <v>130</v>
      </c>
      <c r="F3667" t="s">
        <v>1220</v>
      </c>
      <c r="G3667" t="s">
        <v>1221</v>
      </c>
      <c r="H3667" t="s">
        <v>1222</v>
      </c>
      <c r="I3667" t="s">
        <v>1223</v>
      </c>
      <c r="J3667" t="s">
        <v>1743</v>
      </c>
      <c r="K3667" t="s">
        <v>1746</v>
      </c>
      <c r="L3667" t="s">
        <v>1760</v>
      </c>
      <c r="M3667" t="s">
        <v>12</v>
      </c>
      <c r="N3667" s="2">
        <v>10000</v>
      </c>
      <c r="O3667" s="2">
        <v>-2428.8000000000002</v>
      </c>
      <c r="P3667" s="2">
        <v>0</v>
      </c>
      <c r="Q3667" s="2">
        <v>7571.2</v>
      </c>
      <c r="R3667" s="2">
        <v>0</v>
      </c>
      <c r="S3667" s="2">
        <v>7571.2</v>
      </c>
      <c r="T3667" s="2">
        <v>7571.2</v>
      </c>
      <c r="U3667" s="2">
        <v>0</v>
      </c>
      <c r="V3667" s="2">
        <v>0</v>
      </c>
      <c r="W3667" s="2">
        <v>0</v>
      </c>
    </row>
    <row r="3668" spans="1:23" outlineLevel="2" x14ac:dyDescent="0.2">
      <c r="A3668" t="s">
        <v>1742</v>
      </c>
      <c r="B3668" t="s">
        <v>31</v>
      </c>
      <c r="C3668" t="s">
        <v>79</v>
      </c>
      <c r="D3668" t="s">
        <v>83</v>
      </c>
      <c r="E3668" t="s">
        <v>84</v>
      </c>
      <c r="F3668" t="s">
        <v>874</v>
      </c>
      <c r="G3668" t="s">
        <v>875</v>
      </c>
      <c r="H3668" t="s">
        <v>1251</v>
      </c>
      <c r="I3668" t="s">
        <v>1252</v>
      </c>
      <c r="J3668" t="s">
        <v>1743</v>
      </c>
      <c r="K3668" t="s">
        <v>1744</v>
      </c>
      <c r="L3668" t="s">
        <v>1761</v>
      </c>
      <c r="M3668" t="s">
        <v>12</v>
      </c>
      <c r="N3668" s="2">
        <v>14742672</v>
      </c>
      <c r="O3668" s="2">
        <v>-4612221.26</v>
      </c>
      <c r="P3668" s="2">
        <v>-6066931.0599999996</v>
      </c>
      <c r="Q3668" s="2">
        <v>4063519.68</v>
      </c>
      <c r="R3668" s="2">
        <v>1892694.67</v>
      </c>
      <c r="S3668" s="2">
        <v>953165.18</v>
      </c>
      <c r="T3668" s="2">
        <v>0</v>
      </c>
      <c r="U3668" s="2">
        <v>3110354.5</v>
      </c>
      <c r="V3668" s="2">
        <v>4063519.68</v>
      </c>
      <c r="W3668" s="2">
        <v>1217659.83</v>
      </c>
    </row>
    <row r="3669" spans="1:23" outlineLevel="2" x14ac:dyDescent="0.2">
      <c r="A3669" t="s">
        <v>1742</v>
      </c>
      <c r="B3669" t="s">
        <v>31</v>
      </c>
      <c r="C3669" t="s">
        <v>79</v>
      </c>
      <c r="D3669" t="s">
        <v>131</v>
      </c>
      <c r="E3669" t="s">
        <v>132</v>
      </c>
      <c r="F3669" t="s">
        <v>883</v>
      </c>
      <c r="G3669" t="s">
        <v>884</v>
      </c>
      <c r="H3669" t="s">
        <v>1255</v>
      </c>
      <c r="I3669" t="s">
        <v>1256</v>
      </c>
      <c r="J3669" t="s">
        <v>1743</v>
      </c>
      <c r="K3669" t="s">
        <v>1744</v>
      </c>
      <c r="L3669" t="s">
        <v>1762</v>
      </c>
      <c r="M3669" t="s">
        <v>12</v>
      </c>
      <c r="N3669" s="2">
        <v>10000</v>
      </c>
      <c r="O3669" s="2">
        <v>0</v>
      </c>
      <c r="P3669" s="2">
        <v>-10000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</row>
    <row r="3670" spans="1:23" outlineLevel="2" x14ac:dyDescent="0.2">
      <c r="A3670" t="s">
        <v>1742</v>
      </c>
      <c r="B3670" t="s">
        <v>31</v>
      </c>
      <c r="C3670" t="s">
        <v>79</v>
      </c>
      <c r="D3670" t="s">
        <v>83</v>
      </c>
      <c r="E3670" t="s">
        <v>84</v>
      </c>
      <c r="F3670" t="s">
        <v>883</v>
      </c>
      <c r="G3670" t="s">
        <v>884</v>
      </c>
      <c r="H3670" t="s">
        <v>1293</v>
      </c>
      <c r="I3670" t="s">
        <v>1294</v>
      </c>
      <c r="J3670" t="s">
        <v>1743</v>
      </c>
      <c r="K3670" t="s">
        <v>1744</v>
      </c>
      <c r="L3670" t="s">
        <v>1762</v>
      </c>
      <c r="M3670" t="s">
        <v>12</v>
      </c>
      <c r="N3670" s="2">
        <v>7648470</v>
      </c>
      <c r="O3670" s="2">
        <v>-2406030.38</v>
      </c>
      <c r="P3670" s="2">
        <v>-5242439.62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</row>
    <row r="3671" spans="1:23" outlineLevel="2" x14ac:dyDescent="0.2">
      <c r="A3671" t="s">
        <v>1742</v>
      </c>
      <c r="B3671" t="s">
        <v>31</v>
      </c>
      <c r="C3671" t="s">
        <v>32</v>
      </c>
      <c r="D3671" t="s">
        <v>33</v>
      </c>
      <c r="E3671" t="s">
        <v>34</v>
      </c>
      <c r="F3671" t="s">
        <v>933</v>
      </c>
      <c r="G3671" t="s">
        <v>934</v>
      </c>
      <c r="H3671" t="s">
        <v>1615</v>
      </c>
      <c r="I3671" t="s">
        <v>1616</v>
      </c>
      <c r="J3671" t="s">
        <v>1743</v>
      </c>
      <c r="K3671" t="s">
        <v>1751</v>
      </c>
      <c r="L3671" t="s">
        <v>1764</v>
      </c>
      <c r="M3671" t="s">
        <v>12</v>
      </c>
      <c r="N3671" s="2">
        <v>0</v>
      </c>
      <c r="O3671" s="2">
        <v>1600000</v>
      </c>
      <c r="P3671" s="2">
        <v>-1590000</v>
      </c>
      <c r="Q3671" s="2">
        <v>10000</v>
      </c>
      <c r="R3671" s="2">
        <v>0</v>
      </c>
      <c r="S3671" s="2">
        <v>0</v>
      </c>
      <c r="T3671" s="2">
        <v>0</v>
      </c>
      <c r="U3671" s="2">
        <v>10000</v>
      </c>
      <c r="V3671" s="2">
        <v>10000</v>
      </c>
      <c r="W3671" s="2">
        <v>10000</v>
      </c>
    </row>
    <row r="3672" spans="1:23" outlineLevel="2" x14ac:dyDescent="0.2">
      <c r="A3672" t="s">
        <v>1742</v>
      </c>
      <c r="B3672" t="s">
        <v>39</v>
      </c>
      <c r="C3672" t="s">
        <v>70</v>
      </c>
      <c r="D3672" t="s">
        <v>89</v>
      </c>
      <c r="E3672" t="s">
        <v>90</v>
      </c>
      <c r="F3672" t="s">
        <v>1618</v>
      </c>
      <c r="G3672" t="s">
        <v>1619</v>
      </c>
      <c r="H3672" t="s">
        <v>1643</v>
      </c>
      <c r="I3672" t="s">
        <v>1644</v>
      </c>
      <c r="J3672" t="s">
        <v>1743</v>
      </c>
      <c r="K3672" t="s">
        <v>1765</v>
      </c>
      <c r="L3672" t="s">
        <v>1766</v>
      </c>
      <c r="M3672" t="s">
        <v>12</v>
      </c>
      <c r="N3672" s="2">
        <v>350000</v>
      </c>
      <c r="O3672" s="2">
        <v>0</v>
      </c>
      <c r="P3672" s="2">
        <v>-350000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</row>
    <row r="3673" spans="1:23" outlineLevel="2" x14ac:dyDescent="0.2">
      <c r="A3673" t="s">
        <v>1742</v>
      </c>
      <c r="B3673" t="s">
        <v>39</v>
      </c>
      <c r="C3673" t="s">
        <v>58</v>
      </c>
      <c r="D3673" t="s">
        <v>59</v>
      </c>
      <c r="E3673" t="s">
        <v>60</v>
      </c>
      <c r="F3673" t="s">
        <v>1673</v>
      </c>
      <c r="G3673" t="s">
        <v>1674</v>
      </c>
      <c r="H3673" t="s">
        <v>1678</v>
      </c>
      <c r="I3673" t="s">
        <v>1679</v>
      </c>
      <c r="J3673" t="s">
        <v>1743</v>
      </c>
      <c r="K3673" t="s">
        <v>1748</v>
      </c>
      <c r="L3673" t="s">
        <v>1767</v>
      </c>
      <c r="M3673" t="s">
        <v>12</v>
      </c>
      <c r="N3673" s="2">
        <v>10300</v>
      </c>
      <c r="O3673" s="2">
        <v>0</v>
      </c>
      <c r="P3673" s="2">
        <v>-10300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</row>
    <row r="3674" spans="1:23" outlineLevel="2" x14ac:dyDescent="0.2">
      <c r="A3674" t="s">
        <v>1742</v>
      </c>
      <c r="B3674" t="s">
        <v>39</v>
      </c>
      <c r="C3674" t="s">
        <v>66</v>
      </c>
      <c r="D3674" t="s">
        <v>67</v>
      </c>
      <c r="E3674" t="s">
        <v>68</v>
      </c>
      <c r="F3674" t="s">
        <v>967</v>
      </c>
      <c r="G3674" t="s">
        <v>968</v>
      </c>
      <c r="H3674" t="s">
        <v>1706</v>
      </c>
      <c r="I3674" t="s">
        <v>1707</v>
      </c>
      <c r="J3674" t="s">
        <v>1743</v>
      </c>
      <c r="K3674" t="s">
        <v>1746</v>
      </c>
      <c r="L3674" t="s">
        <v>1768</v>
      </c>
      <c r="M3674" t="s">
        <v>12</v>
      </c>
      <c r="N3674" s="2">
        <v>10295560</v>
      </c>
      <c r="O3674" s="2">
        <v>-897662.12</v>
      </c>
      <c r="P3674" s="2">
        <v>-4711333</v>
      </c>
      <c r="Q3674" s="2">
        <v>4686564.88</v>
      </c>
      <c r="R3674" s="2">
        <v>1981.27</v>
      </c>
      <c r="S3674" s="2">
        <v>2437311.7999999998</v>
      </c>
      <c r="T3674" s="2">
        <v>2142196.59</v>
      </c>
      <c r="U3674" s="2">
        <v>2249253.08</v>
      </c>
      <c r="V3674" s="2">
        <v>2544368.29</v>
      </c>
      <c r="W3674" s="2">
        <v>2247271.81</v>
      </c>
    </row>
    <row r="3675" spans="1:23" outlineLevel="2" x14ac:dyDescent="0.2">
      <c r="A3675" t="s">
        <v>1742</v>
      </c>
      <c r="B3675" t="s">
        <v>39</v>
      </c>
      <c r="C3675" t="s">
        <v>66</v>
      </c>
      <c r="D3675" t="s">
        <v>67</v>
      </c>
      <c r="E3675" t="s">
        <v>68</v>
      </c>
      <c r="F3675" t="s">
        <v>967</v>
      </c>
      <c r="G3675" t="s">
        <v>968</v>
      </c>
      <c r="H3675" t="s">
        <v>1769</v>
      </c>
      <c r="I3675" t="s">
        <v>1770</v>
      </c>
      <c r="J3675" t="s">
        <v>1743</v>
      </c>
      <c r="K3675" t="s">
        <v>1746</v>
      </c>
      <c r="L3675" t="s">
        <v>1768</v>
      </c>
      <c r="M3675" t="s">
        <v>12</v>
      </c>
      <c r="N3675" s="2">
        <v>2131000</v>
      </c>
      <c r="O3675" s="2">
        <v>-278255.2</v>
      </c>
      <c r="P3675" s="2">
        <v>-767000</v>
      </c>
      <c r="Q3675" s="2">
        <v>1085744.8</v>
      </c>
      <c r="R3675" s="2">
        <v>344.64</v>
      </c>
      <c r="S3675" s="2">
        <v>967246.97</v>
      </c>
      <c r="T3675" s="2">
        <v>828505.33</v>
      </c>
      <c r="U3675" s="2">
        <v>118497.83</v>
      </c>
      <c r="V3675" s="2">
        <v>257239.47</v>
      </c>
      <c r="W3675" s="2">
        <v>118153.19</v>
      </c>
    </row>
    <row r="3676" spans="1:23" outlineLevel="2" x14ac:dyDescent="0.2">
      <c r="A3676" t="s">
        <v>1742</v>
      </c>
      <c r="B3676" t="s">
        <v>39</v>
      </c>
      <c r="C3676" t="s">
        <v>66</v>
      </c>
      <c r="D3676" t="s">
        <v>67</v>
      </c>
      <c r="E3676" t="s">
        <v>68</v>
      </c>
      <c r="F3676" t="s">
        <v>967</v>
      </c>
      <c r="G3676" t="s">
        <v>968</v>
      </c>
      <c r="H3676" t="s">
        <v>978</v>
      </c>
      <c r="I3676" t="s">
        <v>979</v>
      </c>
      <c r="J3676" t="s">
        <v>1743</v>
      </c>
      <c r="K3676" t="s">
        <v>1746</v>
      </c>
      <c r="L3676" t="s">
        <v>1768</v>
      </c>
      <c r="M3676" t="s">
        <v>12</v>
      </c>
      <c r="N3676" s="2">
        <v>5750350.3600000003</v>
      </c>
      <c r="O3676" s="2">
        <v>509040.05</v>
      </c>
      <c r="P3676" s="2">
        <v>-3580565.02</v>
      </c>
      <c r="Q3676" s="2">
        <v>2678825.39</v>
      </c>
      <c r="R3676" s="2">
        <v>522.09</v>
      </c>
      <c r="S3676" s="2">
        <v>1964148.28</v>
      </c>
      <c r="T3676" s="2">
        <v>1689089.94</v>
      </c>
      <c r="U3676" s="2">
        <v>714677.11</v>
      </c>
      <c r="V3676" s="2">
        <v>989735.45</v>
      </c>
      <c r="W3676" s="2">
        <v>714155.02</v>
      </c>
    </row>
    <row r="3677" spans="1:23" outlineLevel="2" x14ac:dyDescent="0.2">
      <c r="A3677" t="s">
        <v>1742</v>
      </c>
      <c r="B3677" t="s">
        <v>39</v>
      </c>
      <c r="C3677" t="s">
        <v>66</v>
      </c>
      <c r="D3677" t="s">
        <v>67</v>
      </c>
      <c r="E3677" t="s">
        <v>68</v>
      </c>
      <c r="F3677" t="s">
        <v>967</v>
      </c>
      <c r="G3677" t="s">
        <v>968</v>
      </c>
      <c r="H3677" t="s">
        <v>978</v>
      </c>
      <c r="I3677" t="s">
        <v>979</v>
      </c>
      <c r="J3677" t="s">
        <v>1743</v>
      </c>
      <c r="K3677" t="s">
        <v>1746</v>
      </c>
      <c r="L3677" t="s">
        <v>1768</v>
      </c>
      <c r="M3677" t="s">
        <v>15</v>
      </c>
      <c r="N3677" s="2">
        <v>616354.76</v>
      </c>
      <c r="O3677" s="2">
        <v>0</v>
      </c>
      <c r="P3677" s="2">
        <v>-176153.85</v>
      </c>
      <c r="Q3677" s="2">
        <v>440200.91</v>
      </c>
      <c r="R3677" s="2">
        <v>0.01</v>
      </c>
      <c r="S3677" s="2">
        <v>440200.9</v>
      </c>
      <c r="T3677" s="2">
        <v>440200.89</v>
      </c>
      <c r="U3677" s="2">
        <v>0.01</v>
      </c>
      <c r="V3677" s="2">
        <v>0.02</v>
      </c>
      <c r="W3677" s="2">
        <v>0</v>
      </c>
    </row>
    <row r="3678" spans="1:23" outlineLevel="2" x14ac:dyDescent="0.2">
      <c r="A3678" t="s">
        <v>1742</v>
      </c>
      <c r="B3678" t="s">
        <v>39</v>
      </c>
      <c r="C3678" t="s">
        <v>66</v>
      </c>
      <c r="D3678" t="s">
        <v>67</v>
      </c>
      <c r="E3678" t="s">
        <v>68</v>
      </c>
      <c r="F3678" t="s">
        <v>967</v>
      </c>
      <c r="G3678" t="s">
        <v>968</v>
      </c>
      <c r="H3678" t="s">
        <v>1714</v>
      </c>
      <c r="I3678" t="s">
        <v>1715</v>
      </c>
      <c r="J3678" t="s">
        <v>1743</v>
      </c>
      <c r="K3678" t="s">
        <v>1746</v>
      </c>
      <c r="L3678" t="s">
        <v>1768</v>
      </c>
      <c r="M3678" t="s">
        <v>12</v>
      </c>
      <c r="N3678" s="2">
        <v>370000</v>
      </c>
      <c r="O3678" s="2">
        <v>0</v>
      </c>
      <c r="P3678" s="2">
        <v>-63820</v>
      </c>
      <c r="Q3678" s="2">
        <v>306180</v>
      </c>
      <c r="R3678" s="2">
        <v>0</v>
      </c>
      <c r="S3678" s="2">
        <v>297914.75</v>
      </c>
      <c r="T3678" s="2">
        <v>293269.71000000002</v>
      </c>
      <c r="U3678" s="2">
        <v>8265.25</v>
      </c>
      <c r="V3678" s="2">
        <v>12910.29</v>
      </c>
      <c r="W3678" s="2">
        <v>8265.25</v>
      </c>
    </row>
    <row r="3679" spans="1:23" outlineLevel="2" x14ac:dyDescent="0.2">
      <c r="A3679" t="s">
        <v>1742</v>
      </c>
      <c r="B3679" t="s">
        <v>39</v>
      </c>
      <c r="C3679" t="s">
        <v>66</v>
      </c>
      <c r="D3679" t="s">
        <v>67</v>
      </c>
      <c r="E3679" t="s">
        <v>68</v>
      </c>
      <c r="F3679" t="s">
        <v>967</v>
      </c>
      <c r="G3679" t="s">
        <v>968</v>
      </c>
      <c r="H3679" t="s">
        <v>1771</v>
      </c>
      <c r="I3679" t="s">
        <v>1772</v>
      </c>
      <c r="J3679" t="s">
        <v>1743</v>
      </c>
      <c r="K3679" t="s">
        <v>1746</v>
      </c>
      <c r="L3679" t="s">
        <v>1768</v>
      </c>
      <c r="M3679" t="s">
        <v>12</v>
      </c>
      <c r="N3679" s="2">
        <v>1893500</v>
      </c>
      <c r="O3679" s="2">
        <v>2000</v>
      </c>
      <c r="P3679" s="2">
        <v>-273170.11</v>
      </c>
      <c r="Q3679" s="2">
        <v>1622329.89</v>
      </c>
      <c r="R3679" s="2">
        <v>1310.3399999999999</v>
      </c>
      <c r="S3679" s="2">
        <v>925889.24</v>
      </c>
      <c r="T3679" s="2">
        <v>798135.74</v>
      </c>
      <c r="U3679" s="2">
        <v>696440.65</v>
      </c>
      <c r="V3679" s="2">
        <v>824194.15</v>
      </c>
      <c r="W3679" s="2">
        <v>695130.31</v>
      </c>
    </row>
    <row r="3680" spans="1:23" outlineLevel="2" x14ac:dyDescent="0.2">
      <c r="A3680" t="s">
        <v>1773</v>
      </c>
      <c r="B3680" t="s">
        <v>31</v>
      </c>
      <c r="C3680" t="s">
        <v>79</v>
      </c>
      <c r="D3680" t="s">
        <v>83</v>
      </c>
      <c r="E3680" t="s">
        <v>84</v>
      </c>
      <c r="F3680" t="s">
        <v>883</v>
      </c>
      <c r="G3680" t="s">
        <v>884</v>
      </c>
      <c r="H3680" t="s">
        <v>1286</v>
      </c>
      <c r="I3680" t="s">
        <v>1287</v>
      </c>
      <c r="J3680" t="s">
        <v>1774</v>
      </c>
      <c r="K3680" t="s">
        <v>1775</v>
      </c>
      <c r="L3680" t="s">
        <v>1776</v>
      </c>
      <c r="M3680" t="s">
        <v>12</v>
      </c>
      <c r="N3680" s="2">
        <v>2000</v>
      </c>
      <c r="O3680" s="2">
        <v>0</v>
      </c>
      <c r="P3680" s="2">
        <v>0</v>
      </c>
      <c r="Q3680" s="2">
        <v>2000</v>
      </c>
      <c r="R3680" s="2">
        <v>0</v>
      </c>
      <c r="S3680" s="2">
        <v>1993.6</v>
      </c>
      <c r="T3680" s="2">
        <v>1993.6</v>
      </c>
      <c r="U3680" s="2">
        <v>6.4</v>
      </c>
      <c r="V3680" s="2">
        <v>6.4</v>
      </c>
      <c r="W3680" s="2">
        <v>6.4</v>
      </c>
    </row>
    <row r="3681" spans="1:23" outlineLevel="2" x14ac:dyDescent="0.2">
      <c r="A3681" t="s">
        <v>1773</v>
      </c>
      <c r="B3681" t="s">
        <v>39</v>
      </c>
      <c r="C3681" t="s">
        <v>40</v>
      </c>
      <c r="D3681" t="s">
        <v>77</v>
      </c>
      <c r="E3681" t="s">
        <v>78</v>
      </c>
      <c r="F3681" t="s">
        <v>1354</v>
      </c>
      <c r="G3681" t="s">
        <v>1355</v>
      </c>
      <c r="H3681" t="s">
        <v>1369</v>
      </c>
      <c r="I3681" t="s">
        <v>1370</v>
      </c>
      <c r="J3681" t="s">
        <v>1774</v>
      </c>
      <c r="K3681" t="s">
        <v>1777</v>
      </c>
      <c r="L3681" t="s">
        <v>1778</v>
      </c>
      <c r="M3681" t="s">
        <v>12</v>
      </c>
      <c r="N3681" s="2">
        <v>5000000.46</v>
      </c>
      <c r="O3681" s="2">
        <v>0</v>
      </c>
      <c r="P3681" s="2">
        <v>-2500000</v>
      </c>
      <c r="Q3681" s="2">
        <v>2500000.46</v>
      </c>
      <c r="R3681" s="2">
        <v>0</v>
      </c>
      <c r="S3681" s="2">
        <v>1809152.7</v>
      </c>
      <c r="T3681" s="2">
        <v>1809152.7</v>
      </c>
      <c r="U3681" s="2">
        <v>690847.76</v>
      </c>
      <c r="V3681" s="2">
        <v>690847.76</v>
      </c>
      <c r="W3681" s="2">
        <v>690847.76</v>
      </c>
    </row>
    <row r="3682" spans="1:23" outlineLevel="2" x14ac:dyDescent="0.2">
      <c r="A3682" t="s">
        <v>1773</v>
      </c>
      <c r="B3682" t="s">
        <v>31</v>
      </c>
      <c r="C3682" t="s">
        <v>32</v>
      </c>
      <c r="D3682" t="s">
        <v>123</v>
      </c>
      <c r="E3682" t="s">
        <v>124</v>
      </c>
      <c r="F3682" t="s">
        <v>933</v>
      </c>
      <c r="G3682" t="s">
        <v>934</v>
      </c>
      <c r="H3682" t="s">
        <v>949</v>
      </c>
      <c r="I3682" t="s">
        <v>950</v>
      </c>
      <c r="J3682" t="s">
        <v>1774</v>
      </c>
      <c r="K3682" t="s">
        <v>1777</v>
      </c>
      <c r="L3682" t="s">
        <v>1779</v>
      </c>
      <c r="M3682" t="s">
        <v>12</v>
      </c>
      <c r="N3682" s="2">
        <v>0</v>
      </c>
      <c r="O3682" s="2">
        <v>710</v>
      </c>
      <c r="P3682" s="2">
        <v>0</v>
      </c>
      <c r="Q3682" s="2">
        <v>710</v>
      </c>
      <c r="R3682" s="2">
        <v>0</v>
      </c>
      <c r="S3682" s="2">
        <v>710</v>
      </c>
      <c r="T3682" s="2">
        <v>707.66</v>
      </c>
      <c r="U3682" s="2">
        <v>0</v>
      </c>
      <c r="V3682" s="2">
        <v>2.34</v>
      </c>
      <c r="W3682" s="2">
        <v>0</v>
      </c>
    </row>
    <row r="3683" spans="1:23" outlineLevel="2" x14ac:dyDescent="0.2">
      <c r="A3683" t="s">
        <v>1773</v>
      </c>
      <c r="B3683" t="s">
        <v>31</v>
      </c>
      <c r="C3683" t="s">
        <v>32</v>
      </c>
      <c r="D3683" t="s">
        <v>123</v>
      </c>
      <c r="E3683" t="s">
        <v>124</v>
      </c>
      <c r="F3683" t="s">
        <v>933</v>
      </c>
      <c r="G3683" t="s">
        <v>934</v>
      </c>
      <c r="H3683" t="s">
        <v>965</v>
      </c>
      <c r="I3683" t="s">
        <v>966</v>
      </c>
      <c r="J3683" t="s">
        <v>1774</v>
      </c>
      <c r="K3683" t="s">
        <v>1777</v>
      </c>
      <c r="L3683" t="s">
        <v>1779</v>
      </c>
      <c r="M3683" t="s">
        <v>12</v>
      </c>
      <c r="N3683" s="2">
        <v>600</v>
      </c>
      <c r="O3683" s="2">
        <v>0</v>
      </c>
      <c r="P3683" s="2">
        <v>0</v>
      </c>
      <c r="Q3683" s="2">
        <v>600</v>
      </c>
      <c r="R3683" s="2">
        <v>0</v>
      </c>
      <c r="S3683" s="2">
        <v>0</v>
      </c>
      <c r="T3683" s="2">
        <v>0</v>
      </c>
      <c r="U3683" s="2">
        <v>600</v>
      </c>
      <c r="V3683" s="2">
        <v>600</v>
      </c>
      <c r="W3683" s="2">
        <v>600</v>
      </c>
    </row>
    <row r="3684" spans="1:23" outlineLevel="2" x14ac:dyDescent="0.2">
      <c r="A3684" t="s">
        <v>1773</v>
      </c>
      <c r="B3684" t="s">
        <v>39</v>
      </c>
      <c r="C3684" t="s">
        <v>70</v>
      </c>
      <c r="D3684" t="s">
        <v>89</v>
      </c>
      <c r="E3684" t="s">
        <v>90</v>
      </c>
      <c r="F3684" t="s">
        <v>1618</v>
      </c>
      <c r="G3684" t="s">
        <v>1619</v>
      </c>
      <c r="H3684" t="s">
        <v>1643</v>
      </c>
      <c r="I3684" t="s">
        <v>1644</v>
      </c>
      <c r="J3684" t="s">
        <v>1774</v>
      </c>
      <c r="K3684" t="s">
        <v>1777</v>
      </c>
      <c r="L3684" t="s">
        <v>1780</v>
      </c>
      <c r="M3684" t="s">
        <v>12</v>
      </c>
      <c r="N3684" s="2">
        <v>45000</v>
      </c>
      <c r="O3684" s="2">
        <v>0</v>
      </c>
      <c r="P3684" s="2">
        <v>-500</v>
      </c>
      <c r="Q3684" s="2">
        <v>44500</v>
      </c>
      <c r="R3684" s="2">
        <v>0</v>
      </c>
      <c r="S3684" s="2">
        <v>27573</v>
      </c>
      <c r="T3684" s="2">
        <v>22287.16</v>
      </c>
      <c r="U3684" s="2">
        <v>16927</v>
      </c>
      <c r="V3684" s="2">
        <v>22212.84</v>
      </c>
      <c r="W3684" s="2">
        <v>16927</v>
      </c>
    </row>
    <row r="3685" spans="1:23" outlineLevel="2" x14ac:dyDescent="0.2">
      <c r="A3685" t="s">
        <v>1773</v>
      </c>
      <c r="B3685" t="s">
        <v>39</v>
      </c>
      <c r="C3685" t="s">
        <v>70</v>
      </c>
      <c r="D3685" t="s">
        <v>89</v>
      </c>
      <c r="E3685" t="s">
        <v>90</v>
      </c>
      <c r="F3685" t="s">
        <v>1618</v>
      </c>
      <c r="G3685" t="s">
        <v>1619</v>
      </c>
      <c r="H3685" t="s">
        <v>1643</v>
      </c>
      <c r="I3685" t="s">
        <v>1644</v>
      </c>
      <c r="J3685" t="s">
        <v>1774</v>
      </c>
      <c r="K3685" t="s">
        <v>1775</v>
      </c>
      <c r="L3685" t="s">
        <v>1781</v>
      </c>
      <c r="M3685" t="s">
        <v>12</v>
      </c>
      <c r="N3685" s="2">
        <v>1000</v>
      </c>
      <c r="O3685" s="2">
        <v>0</v>
      </c>
      <c r="P3685" s="2">
        <v>0</v>
      </c>
      <c r="Q3685" s="2">
        <v>1000</v>
      </c>
      <c r="R3685" s="2">
        <v>0</v>
      </c>
      <c r="S3685" s="2">
        <v>0</v>
      </c>
      <c r="T3685" s="2">
        <v>0</v>
      </c>
      <c r="U3685" s="2">
        <v>1000</v>
      </c>
      <c r="V3685" s="2">
        <v>1000</v>
      </c>
      <c r="W3685" s="2">
        <v>1000</v>
      </c>
    </row>
    <row r="3686" spans="1:23" outlineLevel="2" x14ac:dyDescent="0.2">
      <c r="A3686" t="s">
        <v>1773</v>
      </c>
      <c r="B3686" t="s">
        <v>39</v>
      </c>
      <c r="C3686" t="s">
        <v>66</v>
      </c>
      <c r="D3686" t="s">
        <v>67</v>
      </c>
      <c r="E3686" t="s">
        <v>68</v>
      </c>
      <c r="F3686" t="s">
        <v>967</v>
      </c>
      <c r="G3686" t="s">
        <v>968</v>
      </c>
      <c r="H3686" t="s">
        <v>978</v>
      </c>
      <c r="I3686" t="s">
        <v>979</v>
      </c>
      <c r="J3686" t="s">
        <v>1774</v>
      </c>
      <c r="K3686" t="s">
        <v>1775</v>
      </c>
      <c r="L3686" t="s">
        <v>1782</v>
      </c>
      <c r="M3686" t="s">
        <v>12</v>
      </c>
      <c r="N3686" s="2">
        <v>5000</v>
      </c>
      <c r="O3686" s="2">
        <v>0</v>
      </c>
      <c r="P3686" s="2">
        <v>0</v>
      </c>
      <c r="Q3686" s="2">
        <v>5000</v>
      </c>
      <c r="R3686" s="2">
        <v>0</v>
      </c>
      <c r="S3686" s="2">
        <v>167.92</v>
      </c>
      <c r="T3686" s="2">
        <v>107.52</v>
      </c>
      <c r="U3686" s="2">
        <v>4832.08</v>
      </c>
      <c r="V3686" s="2">
        <v>4892.4799999999996</v>
      </c>
      <c r="W3686" s="2">
        <v>4832.08</v>
      </c>
    </row>
    <row r="3687" spans="1:23" outlineLevel="2" x14ac:dyDescent="0.2">
      <c r="A3687" t="s">
        <v>1783</v>
      </c>
      <c r="B3687" t="s">
        <v>53</v>
      </c>
      <c r="C3687" t="s">
        <v>54</v>
      </c>
      <c r="D3687" t="s">
        <v>1784</v>
      </c>
      <c r="E3687" t="s">
        <v>1785</v>
      </c>
      <c r="F3687" t="s">
        <v>820</v>
      </c>
      <c r="G3687" t="s">
        <v>821</v>
      </c>
      <c r="H3687" t="s">
        <v>1786</v>
      </c>
      <c r="I3687" t="s">
        <v>1787</v>
      </c>
      <c r="J3687" t="s">
        <v>1788</v>
      </c>
      <c r="K3687" t="s">
        <v>1789</v>
      </c>
      <c r="L3687" t="s">
        <v>1790</v>
      </c>
      <c r="M3687" t="s">
        <v>12</v>
      </c>
      <c r="N3687" s="2">
        <v>430000</v>
      </c>
      <c r="O3687" s="2">
        <v>0</v>
      </c>
      <c r="P3687" s="2">
        <v>-250833.13</v>
      </c>
      <c r="Q3687" s="2">
        <v>179166.87</v>
      </c>
      <c r="R3687" s="2">
        <v>0</v>
      </c>
      <c r="S3687" s="2">
        <v>179166.87</v>
      </c>
      <c r="T3687" s="2">
        <v>165729.29</v>
      </c>
      <c r="U3687" s="2">
        <v>0</v>
      </c>
      <c r="V3687" s="2">
        <v>13437.58</v>
      </c>
      <c r="W3687" s="2">
        <v>0</v>
      </c>
    </row>
    <row r="3688" spans="1:23" outlineLevel="2" x14ac:dyDescent="0.2">
      <c r="A3688" t="s">
        <v>1783</v>
      </c>
      <c r="B3688" t="s">
        <v>39</v>
      </c>
      <c r="C3688" t="s">
        <v>95</v>
      </c>
      <c r="D3688" t="s">
        <v>1791</v>
      </c>
      <c r="E3688" t="s">
        <v>1792</v>
      </c>
      <c r="F3688" t="s">
        <v>820</v>
      </c>
      <c r="G3688" t="s">
        <v>821</v>
      </c>
      <c r="H3688" t="s">
        <v>1793</v>
      </c>
      <c r="I3688" t="s">
        <v>1794</v>
      </c>
      <c r="J3688" t="s">
        <v>1788</v>
      </c>
      <c r="K3688" t="s">
        <v>1789</v>
      </c>
      <c r="L3688" t="s">
        <v>1795</v>
      </c>
      <c r="M3688" t="s">
        <v>12</v>
      </c>
      <c r="N3688" s="2">
        <v>6000000</v>
      </c>
      <c r="O3688" s="2">
        <v>1000000</v>
      </c>
      <c r="P3688" s="2">
        <v>-2204769.41</v>
      </c>
      <c r="Q3688" s="2">
        <v>4795230.59</v>
      </c>
      <c r="R3688" s="2">
        <v>0</v>
      </c>
      <c r="S3688" s="2">
        <v>4795230.59</v>
      </c>
      <c r="T3688" s="2">
        <v>4183730.77</v>
      </c>
      <c r="U3688" s="2">
        <v>0</v>
      </c>
      <c r="V3688" s="2">
        <v>611499.81999999995</v>
      </c>
      <c r="W3688" s="2">
        <v>0</v>
      </c>
    </row>
    <row r="3689" spans="1:23" outlineLevel="2" x14ac:dyDescent="0.2">
      <c r="A3689" t="s">
        <v>1783</v>
      </c>
      <c r="B3689" t="s">
        <v>39</v>
      </c>
      <c r="C3689" t="s">
        <v>95</v>
      </c>
      <c r="D3689" t="s">
        <v>1791</v>
      </c>
      <c r="E3689" t="s">
        <v>1792</v>
      </c>
      <c r="F3689" t="s">
        <v>820</v>
      </c>
      <c r="G3689" t="s">
        <v>821</v>
      </c>
      <c r="H3689" t="s">
        <v>1793</v>
      </c>
      <c r="I3689" t="s">
        <v>1794</v>
      </c>
      <c r="J3689" t="s">
        <v>1788</v>
      </c>
      <c r="K3689" t="s">
        <v>1789</v>
      </c>
      <c r="L3689" t="s">
        <v>1795</v>
      </c>
      <c r="M3689" t="s">
        <v>15</v>
      </c>
      <c r="N3689" s="2">
        <v>0</v>
      </c>
      <c r="O3689" s="2">
        <v>1204769.4099999999</v>
      </c>
      <c r="P3689" s="2">
        <v>0</v>
      </c>
      <c r="Q3689" s="2">
        <v>1204769.4099999999</v>
      </c>
      <c r="R3689" s="2">
        <v>0</v>
      </c>
      <c r="S3689" s="2">
        <v>1204769.4099999999</v>
      </c>
      <c r="T3689" s="2">
        <v>454067.31</v>
      </c>
      <c r="U3689" s="2">
        <v>0</v>
      </c>
      <c r="V3689" s="2">
        <v>750702.1</v>
      </c>
      <c r="W3689" s="2">
        <v>0</v>
      </c>
    </row>
    <row r="3690" spans="1:23" outlineLevel="2" x14ac:dyDescent="0.2">
      <c r="A3690" t="s">
        <v>1783</v>
      </c>
      <c r="B3690" t="s">
        <v>31</v>
      </c>
      <c r="C3690" t="s">
        <v>107</v>
      </c>
      <c r="D3690" t="s">
        <v>1796</v>
      </c>
      <c r="E3690" t="s">
        <v>1797</v>
      </c>
      <c r="F3690" t="s">
        <v>820</v>
      </c>
      <c r="G3690" t="s">
        <v>821</v>
      </c>
      <c r="H3690" t="s">
        <v>1798</v>
      </c>
      <c r="I3690" t="s">
        <v>1799</v>
      </c>
      <c r="J3690" t="s">
        <v>1788</v>
      </c>
      <c r="K3690" t="s">
        <v>1800</v>
      </c>
      <c r="L3690" t="s">
        <v>1801</v>
      </c>
      <c r="M3690" t="s">
        <v>12</v>
      </c>
      <c r="N3690" s="2">
        <v>5839596</v>
      </c>
      <c r="O3690" s="2">
        <v>0</v>
      </c>
      <c r="P3690" s="2">
        <v>-1300000</v>
      </c>
      <c r="Q3690" s="2">
        <v>4539596</v>
      </c>
      <c r="R3690" s="2">
        <v>0</v>
      </c>
      <c r="S3690" s="2">
        <v>3938378.38</v>
      </c>
      <c r="T3690" s="2">
        <v>3219798</v>
      </c>
      <c r="U3690" s="2">
        <v>601217.62</v>
      </c>
      <c r="V3690" s="2">
        <v>1319798</v>
      </c>
      <c r="W3690" s="2">
        <v>601217.62</v>
      </c>
    </row>
    <row r="3691" spans="1:23" outlineLevel="2" x14ac:dyDescent="0.2">
      <c r="A3691" t="s">
        <v>1783</v>
      </c>
      <c r="B3691" t="s">
        <v>31</v>
      </c>
      <c r="C3691" t="s">
        <v>107</v>
      </c>
      <c r="D3691" t="s">
        <v>1802</v>
      </c>
      <c r="E3691" t="s">
        <v>1803</v>
      </c>
      <c r="F3691" t="s">
        <v>820</v>
      </c>
      <c r="G3691" t="s">
        <v>821</v>
      </c>
      <c r="H3691" t="s">
        <v>1804</v>
      </c>
      <c r="I3691" t="s">
        <v>1805</v>
      </c>
      <c r="J3691" t="s">
        <v>1788</v>
      </c>
      <c r="K3691" t="s">
        <v>1800</v>
      </c>
      <c r="L3691" t="s">
        <v>1801</v>
      </c>
      <c r="M3691" t="s">
        <v>12</v>
      </c>
      <c r="N3691" s="2">
        <v>4035016.69</v>
      </c>
      <c r="O3691" s="2">
        <v>0</v>
      </c>
      <c r="P3691" s="2">
        <v>-300000</v>
      </c>
      <c r="Q3691" s="2">
        <v>3735016.69</v>
      </c>
      <c r="R3691" s="2">
        <v>0</v>
      </c>
      <c r="S3691" s="2">
        <v>3497617.1</v>
      </c>
      <c r="T3691" s="2">
        <v>2610533.36</v>
      </c>
      <c r="U3691" s="2">
        <v>237399.59</v>
      </c>
      <c r="V3691" s="2">
        <v>1124483.33</v>
      </c>
      <c r="W3691" s="2">
        <v>237399.59</v>
      </c>
    </row>
    <row r="3692" spans="1:23" outlineLevel="2" x14ac:dyDescent="0.2">
      <c r="A3692" t="s">
        <v>1783</v>
      </c>
      <c r="B3692" t="s">
        <v>53</v>
      </c>
      <c r="C3692" t="s">
        <v>85</v>
      </c>
      <c r="D3692" t="s">
        <v>1806</v>
      </c>
      <c r="E3692" t="s">
        <v>1807</v>
      </c>
      <c r="F3692" t="s">
        <v>820</v>
      </c>
      <c r="G3692" t="s">
        <v>821</v>
      </c>
      <c r="H3692" t="s">
        <v>1808</v>
      </c>
      <c r="I3692" t="s">
        <v>1809</v>
      </c>
      <c r="J3692" t="s">
        <v>1788</v>
      </c>
      <c r="K3692" t="s">
        <v>1800</v>
      </c>
      <c r="L3692" t="s">
        <v>1810</v>
      </c>
      <c r="M3692" t="s">
        <v>12</v>
      </c>
      <c r="N3692" s="2">
        <v>1642926</v>
      </c>
      <c r="O3692" s="2">
        <v>0</v>
      </c>
      <c r="P3692" s="2">
        <v>-205329</v>
      </c>
      <c r="Q3692" s="2">
        <v>1437597</v>
      </c>
      <c r="R3692" s="2">
        <v>0</v>
      </c>
      <c r="S3692" s="2">
        <v>1437597</v>
      </c>
      <c r="T3692" s="2">
        <v>1114863.6399999999</v>
      </c>
      <c r="U3692" s="2">
        <v>0</v>
      </c>
      <c r="V3692" s="2">
        <v>322733.36</v>
      </c>
      <c r="W3692" s="2">
        <v>0</v>
      </c>
    </row>
    <row r="3693" spans="1:23" outlineLevel="2" x14ac:dyDescent="0.2">
      <c r="A3693" t="s">
        <v>1783</v>
      </c>
      <c r="B3693" t="s">
        <v>53</v>
      </c>
      <c r="C3693" t="s">
        <v>85</v>
      </c>
      <c r="D3693" t="s">
        <v>1811</v>
      </c>
      <c r="E3693" t="s">
        <v>1812</v>
      </c>
      <c r="F3693" t="s">
        <v>820</v>
      </c>
      <c r="G3693" t="s">
        <v>821</v>
      </c>
      <c r="H3693" t="s">
        <v>1813</v>
      </c>
      <c r="I3693" t="s">
        <v>1814</v>
      </c>
      <c r="J3693" t="s">
        <v>1788</v>
      </c>
      <c r="K3693" t="s">
        <v>1789</v>
      </c>
      <c r="L3693" t="s">
        <v>1815</v>
      </c>
      <c r="M3693" t="s">
        <v>12</v>
      </c>
      <c r="N3693" s="2">
        <v>2635898.96</v>
      </c>
      <c r="O3693" s="2">
        <v>0</v>
      </c>
      <c r="P3693" s="2">
        <v>-1054372.3700000001</v>
      </c>
      <c r="Q3693" s="2">
        <v>1581526.59</v>
      </c>
      <c r="R3693" s="2">
        <v>0</v>
      </c>
      <c r="S3693" s="2">
        <v>1581526.59</v>
      </c>
      <c r="T3693" s="2">
        <v>1253509.58</v>
      </c>
      <c r="U3693" s="2">
        <v>0</v>
      </c>
      <c r="V3693" s="2">
        <v>328017.01</v>
      </c>
      <c r="W3693" s="2">
        <v>0</v>
      </c>
    </row>
    <row r="3694" spans="1:23" outlineLevel="2" x14ac:dyDescent="0.2">
      <c r="A3694" t="s">
        <v>1783</v>
      </c>
      <c r="B3694" t="s">
        <v>31</v>
      </c>
      <c r="C3694" t="s">
        <v>49</v>
      </c>
      <c r="D3694" t="s">
        <v>1816</v>
      </c>
      <c r="E3694" t="s">
        <v>1817</v>
      </c>
      <c r="F3694" t="s">
        <v>820</v>
      </c>
      <c r="G3694" t="s">
        <v>821</v>
      </c>
      <c r="H3694" t="s">
        <v>1818</v>
      </c>
      <c r="I3694" t="s">
        <v>1819</v>
      </c>
      <c r="J3694" t="s">
        <v>1788</v>
      </c>
      <c r="K3694" t="s">
        <v>1820</v>
      </c>
      <c r="L3694" t="s">
        <v>1821</v>
      </c>
      <c r="M3694" t="s">
        <v>12</v>
      </c>
      <c r="N3694" s="2">
        <v>0</v>
      </c>
      <c r="O3694" s="2">
        <v>30256906.059999999</v>
      </c>
      <c r="P3694" s="2">
        <v>-12041569.119999999</v>
      </c>
      <c r="Q3694" s="2">
        <v>18215336.940000001</v>
      </c>
      <c r="R3694" s="2">
        <v>0</v>
      </c>
      <c r="S3694" s="2">
        <v>17248364.379999999</v>
      </c>
      <c r="T3694" s="2">
        <v>15927559.34</v>
      </c>
      <c r="U3694" s="2">
        <v>966972.56</v>
      </c>
      <c r="V3694" s="2">
        <v>2287777.6</v>
      </c>
      <c r="W3694" s="2">
        <v>966972.56</v>
      </c>
    </row>
    <row r="3695" spans="1:23" outlineLevel="2" x14ac:dyDescent="0.2">
      <c r="A3695" t="s">
        <v>1783</v>
      </c>
      <c r="B3695" t="s">
        <v>31</v>
      </c>
      <c r="C3695" t="s">
        <v>49</v>
      </c>
      <c r="D3695" t="s">
        <v>1816</v>
      </c>
      <c r="E3695" t="s">
        <v>1817</v>
      </c>
      <c r="F3695" t="s">
        <v>820</v>
      </c>
      <c r="G3695" t="s">
        <v>821</v>
      </c>
      <c r="H3695" t="s">
        <v>1818</v>
      </c>
      <c r="I3695" t="s">
        <v>1819</v>
      </c>
      <c r="J3695" t="s">
        <v>1788</v>
      </c>
      <c r="K3695" t="s">
        <v>1789</v>
      </c>
      <c r="L3695" t="s">
        <v>1822</v>
      </c>
      <c r="M3695" t="s">
        <v>12</v>
      </c>
      <c r="N3695" s="2">
        <v>30256906.059999999</v>
      </c>
      <c r="O3695" s="2">
        <v>-30256906.059999999</v>
      </c>
      <c r="P3695" s="2">
        <v>0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</row>
    <row r="3696" spans="1:23" outlineLevel="2" x14ac:dyDescent="0.2">
      <c r="A3696" t="s">
        <v>1783</v>
      </c>
      <c r="B3696" t="s">
        <v>39</v>
      </c>
      <c r="C3696" t="s">
        <v>40</v>
      </c>
      <c r="D3696" t="s">
        <v>1823</v>
      </c>
      <c r="E3696" t="s">
        <v>1824</v>
      </c>
      <c r="F3696" t="s">
        <v>820</v>
      </c>
      <c r="G3696" t="s">
        <v>821</v>
      </c>
      <c r="H3696" t="s">
        <v>1825</v>
      </c>
      <c r="I3696" t="s">
        <v>1826</v>
      </c>
      <c r="J3696" t="s">
        <v>1788</v>
      </c>
      <c r="K3696" t="s">
        <v>1789</v>
      </c>
      <c r="L3696" t="s">
        <v>1827</v>
      </c>
      <c r="M3696" t="s">
        <v>15</v>
      </c>
      <c r="N3696" s="2">
        <v>56072118.43</v>
      </c>
      <c r="O3696" s="2">
        <v>-1204769.4099999999</v>
      </c>
      <c r="P3696" s="2">
        <v>0</v>
      </c>
      <c r="Q3696" s="2">
        <v>54867349.020000003</v>
      </c>
      <c r="R3696" s="2">
        <v>0</v>
      </c>
      <c r="S3696" s="2">
        <v>54867349.020000003</v>
      </c>
      <c r="T3696" s="2">
        <v>16434614.369999999</v>
      </c>
      <c r="U3696" s="2">
        <v>0</v>
      </c>
      <c r="V3696" s="2">
        <v>38432734.649999999</v>
      </c>
      <c r="W3696" s="2">
        <v>0</v>
      </c>
    </row>
    <row r="3697" spans="1:23" outlineLevel="2" x14ac:dyDescent="0.2">
      <c r="A3697" t="s">
        <v>1783</v>
      </c>
      <c r="B3697" t="s">
        <v>39</v>
      </c>
      <c r="C3697" t="s">
        <v>40</v>
      </c>
      <c r="D3697" t="s">
        <v>1823</v>
      </c>
      <c r="E3697" t="s">
        <v>1824</v>
      </c>
      <c r="F3697" t="s">
        <v>820</v>
      </c>
      <c r="G3697" t="s">
        <v>821</v>
      </c>
      <c r="H3697" t="s">
        <v>1825</v>
      </c>
      <c r="I3697" t="s">
        <v>1826</v>
      </c>
      <c r="J3697" t="s">
        <v>1788</v>
      </c>
      <c r="K3697" t="s">
        <v>1789</v>
      </c>
      <c r="L3697" t="s">
        <v>1827</v>
      </c>
      <c r="M3697" t="s">
        <v>12</v>
      </c>
      <c r="N3697" s="2">
        <v>34763147</v>
      </c>
      <c r="O3697" s="2">
        <v>0</v>
      </c>
      <c r="P3697" s="2">
        <v>0</v>
      </c>
      <c r="Q3697" s="2">
        <v>34763147</v>
      </c>
      <c r="R3697" s="2">
        <v>0</v>
      </c>
      <c r="S3697" s="2">
        <v>34763147</v>
      </c>
      <c r="T3697" s="2">
        <v>28631084.219999999</v>
      </c>
      <c r="U3697" s="2">
        <v>0</v>
      </c>
      <c r="V3697" s="2">
        <v>6132062.7800000003</v>
      </c>
      <c r="W3697" s="2">
        <v>0</v>
      </c>
    </row>
    <row r="3698" spans="1:23" outlineLevel="2" x14ac:dyDescent="0.2">
      <c r="A3698" t="s">
        <v>1783</v>
      </c>
      <c r="B3698" t="s">
        <v>39</v>
      </c>
      <c r="C3698" t="s">
        <v>40</v>
      </c>
      <c r="D3698" t="s">
        <v>1828</v>
      </c>
      <c r="E3698" t="s">
        <v>1829</v>
      </c>
      <c r="F3698" t="s">
        <v>820</v>
      </c>
      <c r="G3698" t="s">
        <v>821</v>
      </c>
      <c r="H3698" t="s">
        <v>1830</v>
      </c>
      <c r="I3698" t="s">
        <v>1831</v>
      </c>
      <c r="J3698" t="s">
        <v>1788</v>
      </c>
      <c r="K3698" t="s">
        <v>1789</v>
      </c>
      <c r="L3698" t="s">
        <v>1827</v>
      </c>
      <c r="M3698" t="s">
        <v>12</v>
      </c>
      <c r="N3698" s="2">
        <v>41000000</v>
      </c>
      <c r="O3698" s="2">
        <v>0</v>
      </c>
      <c r="P3698" s="2">
        <v>-3945766.9</v>
      </c>
      <c r="Q3698" s="2">
        <v>37054233.100000001</v>
      </c>
      <c r="R3698" s="2">
        <v>0</v>
      </c>
      <c r="S3698" s="2">
        <v>37054233.100000001</v>
      </c>
      <c r="T3698" s="2">
        <v>28316704.640000001</v>
      </c>
      <c r="U3698" s="2">
        <v>0</v>
      </c>
      <c r="V3698" s="2">
        <v>8737528.4600000009</v>
      </c>
      <c r="W3698" s="2">
        <v>0</v>
      </c>
    </row>
    <row r="3699" spans="1:23" outlineLevel="2" x14ac:dyDescent="0.2">
      <c r="A3699" t="s">
        <v>1783</v>
      </c>
      <c r="B3699" t="s">
        <v>39</v>
      </c>
      <c r="C3699" t="s">
        <v>40</v>
      </c>
      <c r="D3699" t="s">
        <v>1832</v>
      </c>
      <c r="E3699" t="s">
        <v>1833</v>
      </c>
      <c r="F3699" t="s">
        <v>820</v>
      </c>
      <c r="G3699" t="s">
        <v>821</v>
      </c>
      <c r="H3699" t="s">
        <v>1834</v>
      </c>
      <c r="I3699" t="s">
        <v>1835</v>
      </c>
      <c r="J3699" t="s">
        <v>1788</v>
      </c>
      <c r="K3699" t="s">
        <v>1789</v>
      </c>
      <c r="L3699" t="s">
        <v>1827</v>
      </c>
      <c r="M3699" t="s">
        <v>12</v>
      </c>
      <c r="N3699" s="2">
        <v>26681305</v>
      </c>
      <c r="O3699" s="2">
        <v>-1000000</v>
      </c>
      <c r="P3699" s="2">
        <v>-16521656.439999999</v>
      </c>
      <c r="Q3699" s="2">
        <v>9159648.5600000005</v>
      </c>
      <c r="R3699" s="2">
        <v>0</v>
      </c>
      <c r="S3699" s="2">
        <v>9159648.5600000005</v>
      </c>
      <c r="T3699" s="2">
        <v>7745819.2400000002</v>
      </c>
      <c r="U3699" s="2">
        <v>0</v>
      </c>
      <c r="V3699" s="2">
        <v>1413829.32</v>
      </c>
      <c r="W3699" s="2">
        <v>0</v>
      </c>
    </row>
    <row r="3700" spans="1:23" outlineLevel="2" x14ac:dyDescent="0.2">
      <c r="A3700" t="s">
        <v>1783</v>
      </c>
      <c r="B3700" t="s">
        <v>1</v>
      </c>
      <c r="C3700" t="s">
        <v>44</v>
      </c>
      <c r="D3700" t="s">
        <v>1836</v>
      </c>
      <c r="E3700" t="s">
        <v>1837</v>
      </c>
      <c r="F3700" t="s">
        <v>820</v>
      </c>
      <c r="G3700" t="s">
        <v>821</v>
      </c>
      <c r="H3700" t="s">
        <v>1838</v>
      </c>
      <c r="I3700" t="s">
        <v>1839</v>
      </c>
      <c r="J3700" t="s">
        <v>1788</v>
      </c>
      <c r="K3700" t="s">
        <v>1820</v>
      </c>
      <c r="L3700" t="s">
        <v>1840</v>
      </c>
      <c r="M3700" t="s">
        <v>15</v>
      </c>
      <c r="N3700" s="2">
        <v>0</v>
      </c>
      <c r="O3700" s="2">
        <v>300000</v>
      </c>
      <c r="P3700" s="2">
        <v>-120000</v>
      </c>
      <c r="Q3700" s="2">
        <v>180000</v>
      </c>
      <c r="R3700" s="2">
        <v>0</v>
      </c>
      <c r="S3700" s="2">
        <v>180000</v>
      </c>
      <c r="T3700" s="2">
        <v>0</v>
      </c>
      <c r="U3700" s="2">
        <v>0</v>
      </c>
      <c r="V3700" s="2">
        <v>180000</v>
      </c>
      <c r="W3700" s="2">
        <v>0</v>
      </c>
    </row>
    <row r="3701" spans="1:23" outlineLevel="2" x14ac:dyDescent="0.2">
      <c r="A3701" t="s">
        <v>1783</v>
      </c>
      <c r="B3701" t="s">
        <v>1</v>
      </c>
      <c r="C3701" t="s">
        <v>44</v>
      </c>
      <c r="D3701" t="s">
        <v>1836</v>
      </c>
      <c r="E3701" t="s">
        <v>1837</v>
      </c>
      <c r="F3701" t="s">
        <v>820</v>
      </c>
      <c r="G3701" t="s">
        <v>821</v>
      </c>
      <c r="H3701" t="s">
        <v>1838</v>
      </c>
      <c r="I3701" t="s">
        <v>1839</v>
      </c>
      <c r="J3701" t="s">
        <v>1788</v>
      </c>
      <c r="K3701" t="s">
        <v>1841</v>
      </c>
      <c r="L3701" t="s">
        <v>1842</v>
      </c>
      <c r="M3701" t="s">
        <v>15</v>
      </c>
      <c r="N3701" s="2">
        <v>300000</v>
      </c>
      <c r="O3701" s="2">
        <v>-300000</v>
      </c>
      <c r="P3701" s="2">
        <v>0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</row>
    <row r="3702" spans="1:23" outlineLevel="2" x14ac:dyDescent="0.2">
      <c r="A3702" t="s">
        <v>1783</v>
      </c>
      <c r="B3702" t="s">
        <v>39</v>
      </c>
      <c r="C3702" t="s">
        <v>66</v>
      </c>
      <c r="D3702" t="s">
        <v>1843</v>
      </c>
      <c r="E3702" t="s">
        <v>1844</v>
      </c>
      <c r="F3702" t="s">
        <v>820</v>
      </c>
      <c r="G3702" t="s">
        <v>821</v>
      </c>
      <c r="H3702" t="s">
        <v>1845</v>
      </c>
      <c r="I3702" t="s">
        <v>1846</v>
      </c>
      <c r="J3702" t="s">
        <v>1788</v>
      </c>
      <c r="K3702" t="s">
        <v>1789</v>
      </c>
      <c r="L3702" t="s">
        <v>1847</v>
      </c>
      <c r="M3702" t="s">
        <v>12</v>
      </c>
      <c r="N3702" s="2">
        <v>13000000</v>
      </c>
      <c r="O3702" s="2">
        <v>0</v>
      </c>
      <c r="P3702" s="2">
        <v>-9750000</v>
      </c>
      <c r="Q3702" s="2">
        <v>3250000</v>
      </c>
      <c r="R3702" s="2">
        <v>0</v>
      </c>
      <c r="S3702" s="2">
        <v>3250000</v>
      </c>
      <c r="T3702" s="2">
        <v>3249999.99</v>
      </c>
      <c r="U3702" s="2">
        <v>0</v>
      </c>
      <c r="V3702" s="2">
        <v>0.01</v>
      </c>
      <c r="W3702" s="2">
        <v>0</v>
      </c>
    </row>
    <row r="3703" spans="1:23" outlineLevel="2" x14ac:dyDescent="0.2">
      <c r="A3703" t="s">
        <v>1783</v>
      </c>
      <c r="B3703" t="s">
        <v>39</v>
      </c>
      <c r="C3703" t="s">
        <v>66</v>
      </c>
      <c r="D3703" t="s">
        <v>826</v>
      </c>
      <c r="E3703" t="s">
        <v>827</v>
      </c>
      <c r="F3703" t="s">
        <v>820</v>
      </c>
      <c r="G3703" t="s">
        <v>821</v>
      </c>
      <c r="H3703" t="s">
        <v>828</v>
      </c>
      <c r="I3703" t="s">
        <v>829</v>
      </c>
      <c r="J3703" t="s">
        <v>1788</v>
      </c>
      <c r="K3703" t="s">
        <v>1789</v>
      </c>
      <c r="L3703" t="s">
        <v>1847</v>
      </c>
      <c r="M3703" t="s">
        <v>12</v>
      </c>
      <c r="N3703" s="2">
        <v>3500000</v>
      </c>
      <c r="O3703" s="2">
        <v>0</v>
      </c>
      <c r="P3703" s="2">
        <v>-2333333.33</v>
      </c>
      <c r="Q3703" s="2">
        <v>1166666.67</v>
      </c>
      <c r="R3703" s="2">
        <v>0</v>
      </c>
      <c r="S3703" s="2">
        <v>1166666.67</v>
      </c>
      <c r="T3703" s="2">
        <v>1166666.67</v>
      </c>
      <c r="U3703" s="2">
        <v>0</v>
      </c>
      <c r="V3703" s="2">
        <v>0</v>
      </c>
      <c r="W3703" s="2">
        <v>0</v>
      </c>
    </row>
    <row r="3704" spans="1:23" outlineLevel="2" x14ac:dyDescent="0.2">
      <c r="A3704" t="s">
        <v>1783</v>
      </c>
      <c r="B3704" t="s">
        <v>53</v>
      </c>
      <c r="C3704" t="s">
        <v>85</v>
      </c>
      <c r="D3704" t="s">
        <v>831</v>
      </c>
      <c r="E3704" t="s">
        <v>832</v>
      </c>
      <c r="F3704" t="s">
        <v>820</v>
      </c>
      <c r="G3704" t="s">
        <v>821</v>
      </c>
      <c r="H3704" t="s">
        <v>833</v>
      </c>
      <c r="I3704" t="s">
        <v>834</v>
      </c>
      <c r="J3704" t="s">
        <v>1788</v>
      </c>
      <c r="K3704" t="s">
        <v>1789</v>
      </c>
      <c r="L3704" t="s">
        <v>1815</v>
      </c>
      <c r="M3704" t="s">
        <v>12</v>
      </c>
      <c r="N3704" s="2">
        <v>0</v>
      </c>
      <c r="O3704" s="2">
        <v>305368.53999999998</v>
      </c>
      <c r="P3704" s="2">
        <v>0</v>
      </c>
      <c r="Q3704" s="2">
        <v>305368.53999999998</v>
      </c>
      <c r="R3704" s="2">
        <v>0</v>
      </c>
      <c r="S3704" s="2">
        <v>305368.53999999998</v>
      </c>
      <c r="T3704" s="2">
        <v>305368.53999999998</v>
      </c>
      <c r="U3704" s="2">
        <v>0</v>
      </c>
      <c r="V3704" s="2">
        <v>0</v>
      </c>
      <c r="W3704" s="2">
        <v>0</v>
      </c>
    </row>
    <row r="3705" spans="1:23" outlineLevel="2" x14ac:dyDescent="0.2">
      <c r="A3705" t="s">
        <v>1783</v>
      </c>
      <c r="B3705" t="s">
        <v>31</v>
      </c>
      <c r="C3705" t="s">
        <v>49</v>
      </c>
      <c r="D3705" t="s">
        <v>1848</v>
      </c>
      <c r="E3705" t="s">
        <v>1849</v>
      </c>
      <c r="F3705" t="s">
        <v>820</v>
      </c>
      <c r="G3705" t="s">
        <v>821</v>
      </c>
      <c r="H3705" t="s">
        <v>1850</v>
      </c>
      <c r="I3705" t="s">
        <v>1851</v>
      </c>
      <c r="J3705" t="s">
        <v>1788</v>
      </c>
      <c r="K3705" t="s">
        <v>1820</v>
      </c>
      <c r="L3705" t="s">
        <v>1821</v>
      </c>
      <c r="M3705" t="s">
        <v>12</v>
      </c>
      <c r="N3705" s="2">
        <v>0</v>
      </c>
      <c r="O3705" s="2">
        <v>750000</v>
      </c>
      <c r="P3705" s="2">
        <v>0</v>
      </c>
      <c r="Q3705" s="2">
        <v>750000</v>
      </c>
      <c r="R3705" s="2">
        <v>0</v>
      </c>
      <c r="S3705" s="2">
        <v>750000</v>
      </c>
      <c r="T3705" s="2">
        <v>638000</v>
      </c>
      <c r="U3705" s="2">
        <v>0</v>
      </c>
      <c r="V3705" s="2">
        <v>112000</v>
      </c>
      <c r="W3705" s="2">
        <v>0</v>
      </c>
    </row>
    <row r="3706" spans="1:23" outlineLevel="2" x14ac:dyDescent="0.2">
      <c r="A3706" t="s">
        <v>1783</v>
      </c>
      <c r="B3706" t="s">
        <v>31</v>
      </c>
      <c r="C3706" t="s">
        <v>49</v>
      </c>
      <c r="D3706" t="s">
        <v>1848</v>
      </c>
      <c r="E3706" t="s">
        <v>1849</v>
      </c>
      <c r="F3706" t="s">
        <v>820</v>
      </c>
      <c r="G3706" t="s">
        <v>821</v>
      </c>
      <c r="H3706" t="s">
        <v>1850</v>
      </c>
      <c r="I3706" t="s">
        <v>1851</v>
      </c>
      <c r="J3706" t="s">
        <v>1788</v>
      </c>
      <c r="K3706" t="s">
        <v>1789</v>
      </c>
      <c r="L3706" t="s">
        <v>1822</v>
      </c>
      <c r="M3706" t="s">
        <v>12</v>
      </c>
      <c r="N3706" s="2">
        <v>750000</v>
      </c>
      <c r="O3706" s="2">
        <v>-750000</v>
      </c>
      <c r="P3706" s="2">
        <v>0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</row>
    <row r="3707" spans="1:23" outlineLevel="2" x14ac:dyDescent="0.2">
      <c r="A3707" t="s">
        <v>1783</v>
      </c>
      <c r="B3707" t="s">
        <v>39</v>
      </c>
      <c r="C3707" t="s">
        <v>95</v>
      </c>
      <c r="D3707" t="s">
        <v>96</v>
      </c>
      <c r="E3707" t="s">
        <v>97</v>
      </c>
      <c r="F3707" t="s">
        <v>1033</v>
      </c>
      <c r="G3707" t="s">
        <v>1034</v>
      </c>
      <c r="H3707" t="s">
        <v>1852</v>
      </c>
      <c r="I3707" t="s">
        <v>1853</v>
      </c>
      <c r="J3707" t="s">
        <v>1788</v>
      </c>
      <c r="K3707" t="s">
        <v>1800</v>
      </c>
      <c r="L3707" t="s">
        <v>1854</v>
      </c>
      <c r="M3707" t="s">
        <v>12</v>
      </c>
      <c r="N3707" s="2">
        <v>365417.45</v>
      </c>
      <c r="O3707" s="2">
        <v>0</v>
      </c>
      <c r="P3707" s="2">
        <v>-315417.45</v>
      </c>
      <c r="Q3707" s="2">
        <v>50000</v>
      </c>
      <c r="R3707" s="2">
        <v>0</v>
      </c>
      <c r="S3707" s="2">
        <v>0</v>
      </c>
      <c r="T3707" s="2">
        <v>0</v>
      </c>
      <c r="U3707" s="2">
        <v>50000</v>
      </c>
      <c r="V3707" s="2">
        <v>50000</v>
      </c>
      <c r="W3707" s="2">
        <v>50000</v>
      </c>
    </row>
    <row r="3708" spans="1:23" outlineLevel="2" x14ac:dyDescent="0.2">
      <c r="A3708" t="s">
        <v>1783</v>
      </c>
      <c r="B3708" t="s">
        <v>39</v>
      </c>
      <c r="C3708" t="s">
        <v>58</v>
      </c>
      <c r="D3708" t="s">
        <v>105</v>
      </c>
      <c r="E3708" t="s">
        <v>106</v>
      </c>
      <c r="F3708" t="s">
        <v>837</v>
      </c>
      <c r="G3708" t="s">
        <v>838</v>
      </c>
      <c r="H3708" t="s">
        <v>1134</v>
      </c>
      <c r="I3708" t="s">
        <v>1135</v>
      </c>
      <c r="J3708" t="s">
        <v>1788</v>
      </c>
      <c r="K3708" t="s">
        <v>1855</v>
      </c>
      <c r="L3708" t="s">
        <v>1856</v>
      </c>
      <c r="M3708" t="s">
        <v>12</v>
      </c>
      <c r="N3708" s="2">
        <v>0</v>
      </c>
      <c r="O3708" s="2">
        <v>1000000</v>
      </c>
      <c r="P3708" s="2">
        <v>0</v>
      </c>
      <c r="Q3708" s="2">
        <v>1000000</v>
      </c>
      <c r="R3708" s="2">
        <v>149260.65</v>
      </c>
      <c r="S3708" s="2">
        <v>850739.35</v>
      </c>
      <c r="T3708" s="2">
        <v>0</v>
      </c>
      <c r="U3708" s="2">
        <v>149260.65</v>
      </c>
      <c r="V3708" s="2">
        <v>1000000</v>
      </c>
      <c r="W3708" s="2">
        <v>0</v>
      </c>
    </row>
    <row r="3709" spans="1:23" outlineLevel="2" x14ac:dyDescent="0.2">
      <c r="A3709" t="s">
        <v>1783</v>
      </c>
      <c r="B3709" t="s">
        <v>31</v>
      </c>
      <c r="C3709" t="s">
        <v>107</v>
      </c>
      <c r="D3709" t="s">
        <v>108</v>
      </c>
      <c r="E3709" t="s">
        <v>109</v>
      </c>
      <c r="F3709" t="s">
        <v>856</v>
      </c>
      <c r="G3709" t="s">
        <v>857</v>
      </c>
      <c r="H3709" t="s">
        <v>1143</v>
      </c>
      <c r="I3709" t="s">
        <v>1144</v>
      </c>
      <c r="J3709" t="s">
        <v>1788</v>
      </c>
      <c r="K3709" t="s">
        <v>1800</v>
      </c>
      <c r="L3709" t="s">
        <v>1857</v>
      </c>
      <c r="M3709" t="s">
        <v>12</v>
      </c>
      <c r="N3709" s="2">
        <v>55000</v>
      </c>
      <c r="O3709" s="2">
        <v>-55000</v>
      </c>
      <c r="P3709" s="2">
        <v>0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</row>
    <row r="3710" spans="1:23" outlineLevel="2" x14ac:dyDescent="0.2">
      <c r="A3710" t="s">
        <v>1783</v>
      </c>
      <c r="B3710" t="s">
        <v>31</v>
      </c>
      <c r="C3710" t="s">
        <v>107</v>
      </c>
      <c r="D3710" t="s">
        <v>108</v>
      </c>
      <c r="E3710" t="s">
        <v>109</v>
      </c>
      <c r="F3710" t="s">
        <v>856</v>
      </c>
      <c r="G3710" t="s">
        <v>857</v>
      </c>
      <c r="H3710" t="s">
        <v>1187</v>
      </c>
      <c r="I3710" t="s">
        <v>1188</v>
      </c>
      <c r="J3710" t="s">
        <v>1788</v>
      </c>
      <c r="K3710" t="s">
        <v>1789</v>
      </c>
      <c r="L3710" t="s">
        <v>1858</v>
      </c>
      <c r="M3710" t="s">
        <v>12</v>
      </c>
      <c r="N3710" s="2">
        <v>161100</v>
      </c>
      <c r="O3710" s="2">
        <v>-61100</v>
      </c>
      <c r="P3710" s="2">
        <v>-100000</v>
      </c>
      <c r="Q3710" s="2">
        <v>0</v>
      </c>
      <c r="R3710" s="2">
        <v>0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</row>
    <row r="3711" spans="1:23" outlineLevel="2" x14ac:dyDescent="0.2">
      <c r="A3711" t="s">
        <v>1783</v>
      </c>
      <c r="B3711" t="s">
        <v>53</v>
      </c>
      <c r="C3711" t="s">
        <v>85</v>
      </c>
      <c r="D3711" t="s">
        <v>86</v>
      </c>
      <c r="E3711" t="s">
        <v>87</v>
      </c>
      <c r="F3711" t="s">
        <v>1215</v>
      </c>
      <c r="G3711" t="s">
        <v>1216</v>
      </c>
      <c r="H3711" t="s">
        <v>1217</v>
      </c>
      <c r="I3711" t="s">
        <v>1218</v>
      </c>
      <c r="J3711" t="s">
        <v>1788</v>
      </c>
      <c r="K3711" t="s">
        <v>1800</v>
      </c>
      <c r="L3711" t="s">
        <v>1859</v>
      </c>
      <c r="M3711" t="s">
        <v>12</v>
      </c>
      <c r="N3711" s="2">
        <v>36000</v>
      </c>
      <c r="O3711" s="2">
        <v>6000</v>
      </c>
      <c r="P3711" s="2">
        <v>-42000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</row>
    <row r="3712" spans="1:23" outlineLevel="2" x14ac:dyDescent="0.2">
      <c r="A3712" t="s">
        <v>1783</v>
      </c>
      <c r="B3712" t="s">
        <v>53</v>
      </c>
      <c r="C3712" t="s">
        <v>85</v>
      </c>
      <c r="D3712" t="s">
        <v>86</v>
      </c>
      <c r="E3712" t="s">
        <v>87</v>
      </c>
      <c r="F3712" t="s">
        <v>1236</v>
      </c>
      <c r="G3712" t="s">
        <v>1237</v>
      </c>
      <c r="H3712" t="s">
        <v>1238</v>
      </c>
      <c r="I3712" t="s">
        <v>1239</v>
      </c>
      <c r="J3712" t="s">
        <v>1788</v>
      </c>
      <c r="K3712" t="s">
        <v>1800</v>
      </c>
      <c r="L3712" t="s">
        <v>1860</v>
      </c>
      <c r="M3712" t="s">
        <v>12</v>
      </c>
      <c r="N3712" s="2">
        <v>50000</v>
      </c>
      <c r="O3712" s="2">
        <v>0</v>
      </c>
      <c r="P3712" s="2">
        <v>-50000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</row>
    <row r="3713" spans="1:23" outlineLevel="2" x14ac:dyDescent="0.2">
      <c r="A3713" t="s">
        <v>1783</v>
      </c>
      <c r="B3713" t="s">
        <v>53</v>
      </c>
      <c r="C3713" t="s">
        <v>85</v>
      </c>
      <c r="D3713" t="s">
        <v>86</v>
      </c>
      <c r="E3713" t="s">
        <v>87</v>
      </c>
      <c r="F3713" t="s">
        <v>1243</v>
      </c>
      <c r="G3713" t="s">
        <v>1244</v>
      </c>
      <c r="H3713" t="s">
        <v>1245</v>
      </c>
      <c r="I3713" t="s">
        <v>1246</v>
      </c>
      <c r="J3713" t="s">
        <v>1788</v>
      </c>
      <c r="K3713" t="s">
        <v>1800</v>
      </c>
      <c r="L3713" t="s">
        <v>1861</v>
      </c>
      <c r="M3713" t="s">
        <v>12</v>
      </c>
      <c r="N3713" s="2">
        <v>43000</v>
      </c>
      <c r="O3713" s="2">
        <v>-17000</v>
      </c>
      <c r="P3713" s="2">
        <v>-26000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</row>
    <row r="3714" spans="1:23" outlineLevel="2" x14ac:dyDescent="0.2">
      <c r="A3714" t="s">
        <v>1783</v>
      </c>
      <c r="B3714" t="s">
        <v>31</v>
      </c>
      <c r="C3714" t="s">
        <v>79</v>
      </c>
      <c r="D3714" t="s">
        <v>83</v>
      </c>
      <c r="E3714" t="s">
        <v>84</v>
      </c>
      <c r="F3714" t="s">
        <v>874</v>
      </c>
      <c r="G3714" t="s">
        <v>875</v>
      </c>
      <c r="H3714" t="s">
        <v>876</v>
      </c>
      <c r="I3714" t="s">
        <v>877</v>
      </c>
      <c r="J3714" t="s">
        <v>1788</v>
      </c>
      <c r="K3714" t="s">
        <v>1800</v>
      </c>
      <c r="L3714" t="s">
        <v>1862</v>
      </c>
      <c r="M3714" t="s">
        <v>12</v>
      </c>
      <c r="N3714" s="2">
        <v>150000</v>
      </c>
      <c r="O3714" s="2">
        <v>-150000</v>
      </c>
      <c r="P3714" s="2">
        <v>0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</row>
    <row r="3715" spans="1:23" outlineLevel="2" x14ac:dyDescent="0.2">
      <c r="A3715" t="s">
        <v>1783</v>
      </c>
      <c r="B3715" t="s">
        <v>31</v>
      </c>
      <c r="C3715" t="s">
        <v>79</v>
      </c>
      <c r="D3715" t="s">
        <v>83</v>
      </c>
      <c r="E3715" t="s">
        <v>84</v>
      </c>
      <c r="F3715" t="s">
        <v>883</v>
      </c>
      <c r="G3715" t="s">
        <v>884</v>
      </c>
      <c r="H3715" t="s">
        <v>1286</v>
      </c>
      <c r="I3715" t="s">
        <v>1287</v>
      </c>
      <c r="J3715" t="s">
        <v>1788</v>
      </c>
      <c r="K3715" t="s">
        <v>1800</v>
      </c>
      <c r="L3715" t="s">
        <v>1863</v>
      </c>
      <c r="M3715" t="s">
        <v>12</v>
      </c>
      <c r="N3715" s="2">
        <v>0</v>
      </c>
      <c r="O3715" s="2">
        <v>15000</v>
      </c>
      <c r="P3715" s="2">
        <v>0</v>
      </c>
      <c r="Q3715" s="2">
        <v>15000</v>
      </c>
      <c r="R3715" s="2">
        <v>15000</v>
      </c>
      <c r="S3715" s="2">
        <v>0</v>
      </c>
      <c r="T3715" s="2">
        <v>0</v>
      </c>
      <c r="U3715" s="2">
        <v>15000</v>
      </c>
      <c r="V3715" s="2">
        <v>15000</v>
      </c>
      <c r="W3715" s="2">
        <v>0</v>
      </c>
    </row>
    <row r="3716" spans="1:23" outlineLevel="2" x14ac:dyDescent="0.2">
      <c r="A3716" t="s">
        <v>1783</v>
      </c>
      <c r="B3716" t="s">
        <v>31</v>
      </c>
      <c r="C3716" t="s">
        <v>49</v>
      </c>
      <c r="D3716" t="s">
        <v>50</v>
      </c>
      <c r="E3716" t="s">
        <v>51</v>
      </c>
      <c r="F3716" t="s">
        <v>1864</v>
      </c>
      <c r="G3716" t="s">
        <v>1865</v>
      </c>
      <c r="H3716" t="s">
        <v>1866</v>
      </c>
      <c r="I3716" t="s">
        <v>1867</v>
      </c>
      <c r="J3716" t="s">
        <v>1788</v>
      </c>
      <c r="K3716" t="s">
        <v>1800</v>
      </c>
      <c r="L3716" t="s">
        <v>1868</v>
      </c>
      <c r="M3716" t="s">
        <v>12</v>
      </c>
      <c r="N3716" s="2">
        <v>74179.58</v>
      </c>
      <c r="O3716" s="2">
        <v>0</v>
      </c>
      <c r="P3716" s="2">
        <v>0</v>
      </c>
      <c r="Q3716" s="2">
        <v>74179.58</v>
      </c>
      <c r="R3716" s="2">
        <v>0</v>
      </c>
      <c r="S3716" s="2">
        <v>61330.239999999998</v>
      </c>
      <c r="T3716" s="2">
        <v>0</v>
      </c>
      <c r="U3716" s="2">
        <v>12849.34</v>
      </c>
      <c r="V3716" s="2">
        <v>74179.58</v>
      </c>
      <c r="W3716" s="2">
        <v>12849.34</v>
      </c>
    </row>
    <row r="3717" spans="1:23" outlineLevel="2" x14ac:dyDescent="0.2">
      <c r="A3717" t="s">
        <v>1783</v>
      </c>
      <c r="B3717" t="s">
        <v>31</v>
      </c>
      <c r="C3717" t="s">
        <v>49</v>
      </c>
      <c r="D3717" t="s">
        <v>50</v>
      </c>
      <c r="E3717" t="s">
        <v>51</v>
      </c>
      <c r="F3717" t="s">
        <v>1864</v>
      </c>
      <c r="G3717" t="s">
        <v>1865</v>
      </c>
      <c r="H3717" t="s">
        <v>1866</v>
      </c>
      <c r="I3717" t="s">
        <v>1867</v>
      </c>
      <c r="J3717" t="s">
        <v>1788</v>
      </c>
      <c r="K3717" t="s">
        <v>1869</v>
      </c>
      <c r="L3717" t="s">
        <v>1870</v>
      </c>
      <c r="M3717" t="s">
        <v>12</v>
      </c>
      <c r="N3717" s="2">
        <v>303660</v>
      </c>
      <c r="O3717" s="2">
        <v>0</v>
      </c>
      <c r="P3717" s="2">
        <v>0</v>
      </c>
      <c r="Q3717" s="2">
        <v>303660</v>
      </c>
      <c r="R3717" s="2">
        <v>0</v>
      </c>
      <c r="S3717" s="2">
        <v>153660</v>
      </c>
      <c r="T3717" s="2">
        <v>153660</v>
      </c>
      <c r="U3717" s="2">
        <v>150000</v>
      </c>
      <c r="V3717" s="2">
        <v>150000</v>
      </c>
      <c r="W3717" s="2">
        <v>150000</v>
      </c>
    </row>
    <row r="3718" spans="1:23" outlineLevel="2" x14ac:dyDescent="0.2">
      <c r="A3718" t="s">
        <v>1783</v>
      </c>
      <c r="B3718" t="s">
        <v>31</v>
      </c>
      <c r="C3718" t="s">
        <v>49</v>
      </c>
      <c r="D3718" t="s">
        <v>50</v>
      </c>
      <c r="E3718" t="s">
        <v>51</v>
      </c>
      <c r="F3718" t="s">
        <v>893</v>
      </c>
      <c r="G3718" t="s">
        <v>894</v>
      </c>
      <c r="H3718" t="s">
        <v>895</v>
      </c>
      <c r="I3718" t="s">
        <v>896</v>
      </c>
      <c r="J3718" t="s">
        <v>1788</v>
      </c>
      <c r="K3718" t="s">
        <v>1800</v>
      </c>
      <c r="L3718" t="s">
        <v>1871</v>
      </c>
      <c r="M3718" t="s">
        <v>12</v>
      </c>
      <c r="N3718" s="2">
        <v>100000</v>
      </c>
      <c r="O3718" s="2">
        <v>0</v>
      </c>
      <c r="P3718" s="2">
        <v>-95000</v>
      </c>
      <c r="Q3718" s="2">
        <v>5000</v>
      </c>
      <c r="R3718" s="2">
        <v>0</v>
      </c>
      <c r="S3718" s="2">
        <v>0</v>
      </c>
      <c r="T3718" s="2">
        <v>0</v>
      </c>
      <c r="U3718" s="2">
        <v>5000</v>
      </c>
      <c r="V3718" s="2">
        <v>5000</v>
      </c>
      <c r="W3718" s="2">
        <v>5000</v>
      </c>
    </row>
    <row r="3719" spans="1:23" outlineLevel="2" x14ac:dyDescent="0.2">
      <c r="A3719" t="s">
        <v>1783</v>
      </c>
      <c r="B3719" t="s">
        <v>31</v>
      </c>
      <c r="C3719" t="s">
        <v>49</v>
      </c>
      <c r="D3719" t="s">
        <v>50</v>
      </c>
      <c r="E3719" t="s">
        <v>51</v>
      </c>
      <c r="F3719" t="s">
        <v>893</v>
      </c>
      <c r="G3719" t="s">
        <v>894</v>
      </c>
      <c r="H3719" t="s">
        <v>902</v>
      </c>
      <c r="I3719" t="s">
        <v>903</v>
      </c>
      <c r="J3719" t="s">
        <v>1788</v>
      </c>
      <c r="K3719" t="s">
        <v>1800</v>
      </c>
      <c r="L3719" t="s">
        <v>1871</v>
      </c>
      <c r="M3719" t="s">
        <v>12</v>
      </c>
      <c r="N3719" s="2">
        <v>0</v>
      </c>
      <c r="O3719" s="2">
        <v>27000</v>
      </c>
      <c r="P3719" s="2">
        <v>0</v>
      </c>
      <c r="Q3719" s="2">
        <v>27000</v>
      </c>
      <c r="R3719" s="2">
        <v>0</v>
      </c>
      <c r="S3719" s="2">
        <v>25000</v>
      </c>
      <c r="T3719" s="2">
        <v>12500</v>
      </c>
      <c r="U3719" s="2">
        <v>2000</v>
      </c>
      <c r="V3719" s="2">
        <v>14500</v>
      </c>
      <c r="W3719" s="2">
        <v>2000</v>
      </c>
    </row>
    <row r="3720" spans="1:23" outlineLevel="2" x14ac:dyDescent="0.2">
      <c r="A3720" t="s">
        <v>1783</v>
      </c>
      <c r="B3720" t="s">
        <v>39</v>
      </c>
      <c r="C3720" t="s">
        <v>40</v>
      </c>
      <c r="D3720" t="s">
        <v>77</v>
      </c>
      <c r="E3720" t="s">
        <v>78</v>
      </c>
      <c r="F3720" t="s">
        <v>1354</v>
      </c>
      <c r="G3720" t="s">
        <v>1355</v>
      </c>
      <c r="H3720" t="s">
        <v>1369</v>
      </c>
      <c r="I3720" t="s">
        <v>1370</v>
      </c>
      <c r="J3720" t="s">
        <v>1788</v>
      </c>
      <c r="K3720" t="s">
        <v>1800</v>
      </c>
      <c r="L3720" t="s">
        <v>1872</v>
      </c>
      <c r="M3720" t="s">
        <v>12</v>
      </c>
      <c r="N3720" s="2">
        <v>5081379.0999999996</v>
      </c>
      <c r="O3720" s="2">
        <v>-3640360.8</v>
      </c>
      <c r="P3720" s="2">
        <v>-146018.29999999999</v>
      </c>
      <c r="Q3720" s="2">
        <v>1295000</v>
      </c>
      <c r="R3720" s="2">
        <v>0</v>
      </c>
      <c r="S3720" s="2">
        <v>1295000</v>
      </c>
      <c r="T3720" s="2">
        <v>1294000</v>
      </c>
      <c r="U3720" s="2">
        <v>0</v>
      </c>
      <c r="V3720" s="2">
        <v>1000</v>
      </c>
      <c r="W3720" s="2">
        <v>0</v>
      </c>
    </row>
    <row r="3721" spans="1:23" outlineLevel="2" x14ac:dyDescent="0.2">
      <c r="A3721" t="s">
        <v>1783</v>
      </c>
      <c r="B3721" t="s">
        <v>1</v>
      </c>
      <c r="C3721" t="s">
        <v>16</v>
      </c>
      <c r="D3721" t="s">
        <v>64</v>
      </c>
      <c r="E3721" t="s">
        <v>65</v>
      </c>
      <c r="F3721" t="s">
        <v>911</v>
      </c>
      <c r="G3721" t="s">
        <v>912</v>
      </c>
      <c r="H3721" t="s">
        <v>1497</v>
      </c>
      <c r="I3721" t="s">
        <v>1498</v>
      </c>
      <c r="J3721" t="s">
        <v>1788</v>
      </c>
      <c r="K3721" t="s">
        <v>1841</v>
      </c>
      <c r="L3721" t="s">
        <v>1873</v>
      </c>
      <c r="M3721" t="s">
        <v>15</v>
      </c>
      <c r="N3721" s="2">
        <v>99488.98</v>
      </c>
      <c r="O3721" s="2">
        <v>0</v>
      </c>
      <c r="P3721" s="2">
        <v>0</v>
      </c>
      <c r="Q3721" s="2">
        <v>99488.98</v>
      </c>
      <c r="R3721" s="2">
        <v>0</v>
      </c>
      <c r="S3721" s="2">
        <v>99488.98</v>
      </c>
      <c r="T3721" s="2">
        <v>99488.98</v>
      </c>
      <c r="U3721" s="2">
        <v>0</v>
      </c>
      <c r="V3721" s="2">
        <v>0</v>
      </c>
      <c r="W3721" s="2">
        <v>0</v>
      </c>
    </row>
    <row r="3722" spans="1:23" outlineLevel="2" x14ac:dyDescent="0.2">
      <c r="A3722" t="s">
        <v>1783</v>
      </c>
      <c r="B3722" t="s">
        <v>31</v>
      </c>
      <c r="C3722" t="s">
        <v>32</v>
      </c>
      <c r="D3722" t="s">
        <v>75</v>
      </c>
      <c r="E3722" t="s">
        <v>76</v>
      </c>
      <c r="F3722" t="s">
        <v>933</v>
      </c>
      <c r="G3722" t="s">
        <v>934</v>
      </c>
      <c r="H3722" t="s">
        <v>949</v>
      </c>
      <c r="I3722" t="s">
        <v>950</v>
      </c>
      <c r="J3722" t="s">
        <v>1788</v>
      </c>
      <c r="K3722" t="s">
        <v>1869</v>
      </c>
      <c r="L3722" t="s">
        <v>1874</v>
      </c>
      <c r="M3722" t="s">
        <v>12</v>
      </c>
      <c r="N3722" s="2">
        <v>80448</v>
      </c>
      <c r="O3722" s="2">
        <v>-53000</v>
      </c>
      <c r="P3722" s="2">
        <v>-27448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</row>
    <row r="3723" spans="1:23" outlineLevel="2" x14ac:dyDescent="0.2">
      <c r="A3723" t="s">
        <v>1783</v>
      </c>
      <c r="B3723" t="s">
        <v>31</v>
      </c>
      <c r="C3723" t="s">
        <v>32</v>
      </c>
      <c r="D3723" t="s">
        <v>33</v>
      </c>
      <c r="E3723" t="s">
        <v>34</v>
      </c>
      <c r="F3723" t="s">
        <v>933</v>
      </c>
      <c r="G3723" t="s">
        <v>934</v>
      </c>
      <c r="H3723" t="s">
        <v>949</v>
      </c>
      <c r="I3723" t="s">
        <v>950</v>
      </c>
      <c r="J3723" t="s">
        <v>1788</v>
      </c>
      <c r="K3723" t="s">
        <v>1869</v>
      </c>
      <c r="L3723" t="s">
        <v>1874</v>
      </c>
      <c r="M3723" t="s">
        <v>12</v>
      </c>
      <c r="N3723" s="2">
        <v>382128</v>
      </c>
      <c r="O3723" s="2">
        <v>-382128</v>
      </c>
      <c r="P3723" s="2">
        <v>0</v>
      </c>
      <c r="Q3723" s="2">
        <v>0</v>
      </c>
      <c r="R3723" s="2">
        <v>0</v>
      </c>
      <c r="S3723" s="2">
        <v>0</v>
      </c>
      <c r="T3723" s="2">
        <v>0</v>
      </c>
      <c r="U3723" s="2">
        <v>0</v>
      </c>
      <c r="V3723" s="2">
        <v>0</v>
      </c>
      <c r="W3723" s="2">
        <v>0</v>
      </c>
    </row>
    <row r="3724" spans="1:23" outlineLevel="2" x14ac:dyDescent="0.2">
      <c r="A3724" t="s">
        <v>1783</v>
      </c>
      <c r="B3724" t="s">
        <v>39</v>
      </c>
      <c r="C3724" t="s">
        <v>70</v>
      </c>
      <c r="D3724" t="s">
        <v>71</v>
      </c>
      <c r="E3724" t="s">
        <v>72</v>
      </c>
      <c r="F3724" t="s">
        <v>1618</v>
      </c>
      <c r="G3724" t="s">
        <v>1619</v>
      </c>
      <c r="H3724" t="s">
        <v>1643</v>
      </c>
      <c r="I3724" t="s">
        <v>1644</v>
      </c>
      <c r="J3724" t="s">
        <v>1788</v>
      </c>
      <c r="K3724" t="s">
        <v>1789</v>
      </c>
      <c r="L3724" t="s">
        <v>1875</v>
      </c>
      <c r="M3724" t="s">
        <v>12</v>
      </c>
      <c r="N3724" s="2">
        <v>216905.54</v>
      </c>
      <c r="O3724" s="2">
        <v>-11437.44</v>
      </c>
      <c r="P3724" s="2">
        <v>-205468.1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</row>
    <row r="3725" spans="1:23" outlineLevel="2" x14ac:dyDescent="0.2">
      <c r="A3725" t="s">
        <v>1783</v>
      </c>
      <c r="B3725" t="s">
        <v>39</v>
      </c>
      <c r="C3725" t="s">
        <v>70</v>
      </c>
      <c r="D3725" t="s">
        <v>71</v>
      </c>
      <c r="E3725" t="s">
        <v>72</v>
      </c>
      <c r="F3725" t="s">
        <v>1618</v>
      </c>
      <c r="G3725" t="s">
        <v>1619</v>
      </c>
      <c r="H3725" t="s">
        <v>1643</v>
      </c>
      <c r="I3725" t="s">
        <v>1644</v>
      </c>
      <c r="J3725" t="s">
        <v>1788</v>
      </c>
      <c r="K3725" t="s">
        <v>1800</v>
      </c>
      <c r="L3725" t="s">
        <v>1876</v>
      </c>
      <c r="M3725" t="s">
        <v>12</v>
      </c>
      <c r="N3725" s="2">
        <v>9000</v>
      </c>
      <c r="O3725" s="2">
        <v>-9000</v>
      </c>
      <c r="P3725" s="2">
        <v>0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</row>
    <row r="3726" spans="1:23" outlineLevel="2" x14ac:dyDescent="0.2">
      <c r="A3726" t="s">
        <v>1783</v>
      </c>
      <c r="B3726" t="s">
        <v>39</v>
      </c>
      <c r="C3726" t="s">
        <v>70</v>
      </c>
      <c r="D3726" t="s">
        <v>71</v>
      </c>
      <c r="E3726" t="s">
        <v>72</v>
      </c>
      <c r="F3726" t="s">
        <v>1618</v>
      </c>
      <c r="G3726" t="s">
        <v>1619</v>
      </c>
      <c r="H3726" t="s">
        <v>1671</v>
      </c>
      <c r="I3726" t="s">
        <v>1672</v>
      </c>
      <c r="J3726" t="s">
        <v>1788</v>
      </c>
      <c r="K3726" t="s">
        <v>1800</v>
      </c>
      <c r="L3726" t="s">
        <v>1876</v>
      </c>
      <c r="M3726" t="s">
        <v>12</v>
      </c>
      <c r="N3726" s="2">
        <v>0</v>
      </c>
      <c r="O3726" s="2">
        <v>9000</v>
      </c>
      <c r="P3726" s="2">
        <v>-9000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</row>
    <row r="3727" spans="1:23" outlineLevel="2" x14ac:dyDescent="0.2">
      <c r="A3727" t="s">
        <v>1783</v>
      </c>
      <c r="B3727" t="s">
        <v>39</v>
      </c>
      <c r="C3727" t="s">
        <v>70</v>
      </c>
      <c r="D3727" t="s">
        <v>71</v>
      </c>
      <c r="E3727" t="s">
        <v>72</v>
      </c>
      <c r="F3727" t="s">
        <v>1673</v>
      </c>
      <c r="G3727" t="s">
        <v>1674</v>
      </c>
      <c r="H3727" t="s">
        <v>1675</v>
      </c>
      <c r="I3727" t="s">
        <v>1676</v>
      </c>
      <c r="J3727" t="s">
        <v>1788</v>
      </c>
      <c r="K3727" t="s">
        <v>1855</v>
      </c>
      <c r="L3727" t="s">
        <v>1877</v>
      </c>
      <c r="M3727" t="s">
        <v>12</v>
      </c>
      <c r="N3727" s="2">
        <v>250000</v>
      </c>
      <c r="O3727" s="2">
        <v>0</v>
      </c>
      <c r="P3727" s="2">
        <v>-250000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</row>
    <row r="3728" spans="1:23" outlineLevel="2" x14ac:dyDescent="0.2">
      <c r="A3728" t="s">
        <v>1783</v>
      </c>
      <c r="B3728" t="s">
        <v>39</v>
      </c>
      <c r="C3728" t="s">
        <v>70</v>
      </c>
      <c r="D3728" t="s">
        <v>71</v>
      </c>
      <c r="E3728" t="s">
        <v>72</v>
      </c>
      <c r="F3728" t="s">
        <v>1673</v>
      </c>
      <c r="G3728" t="s">
        <v>1674</v>
      </c>
      <c r="H3728" t="s">
        <v>1675</v>
      </c>
      <c r="I3728" t="s">
        <v>1676</v>
      </c>
      <c r="J3728" t="s">
        <v>1788</v>
      </c>
      <c r="K3728" t="s">
        <v>1800</v>
      </c>
      <c r="L3728" t="s">
        <v>1878</v>
      </c>
      <c r="M3728" t="s">
        <v>12</v>
      </c>
      <c r="N3728" s="2">
        <v>300000</v>
      </c>
      <c r="O3728" s="2">
        <v>0</v>
      </c>
      <c r="P3728" s="2">
        <v>-300000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</row>
    <row r="3729" spans="1:23" outlineLevel="2" x14ac:dyDescent="0.2">
      <c r="A3729" t="s">
        <v>1783</v>
      </c>
      <c r="B3729" t="s">
        <v>39</v>
      </c>
      <c r="C3729" t="s">
        <v>70</v>
      </c>
      <c r="D3729" t="s">
        <v>71</v>
      </c>
      <c r="E3729" t="s">
        <v>72</v>
      </c>
      <c r="F3729" t="s">
        <v>1673</v>
      </c>
      <c r="G3729" t="s">
        <v>1674</v>
      </c>
      <c r="H3729" t="s">
        <v>1678</v>
      </c>
      <c r="I3729" t="s">
        <v>1679</v>
      </c>
      <c r="J3729" t="s">
        <v>1788</v>
      </c>
      <c r="K3729" t="s">
        <v>1789</v>
      </c>
      <c r="L3729" t="s">
        <v>1879</v>
      </c>
      <c r="M3729" t="s">
        <v>12</v>
      </c>
      <c r="N3729" s="2">
        <v>1000000</v>
      </c>
      <c r="O3729" s="2">
        <v>0</v>
      </c>
      <c r="P3729" s="2">
        <v>0</v>
      </c>
      <c r="Q3729" s="2">
        <v>1000000</v>
      </c>
      <c r="R3729" s="2">
        <v>0</v>
      </c>
      <c r="S3729" s="2">
        <v>1000000</v>
      </c>
      <c r="T3729" s="2">
        <v>1000000</v>
      </c>
      <c r="U3729" s="2">
        <v>0</v>
      </c>
      <c r="V3729" s="2">
        <v>0</v>
      </c>
      <c r="W3729" s="2">
        <v>0</v>
      </c>
    </row>
    <row r="3730" spans="1:23" outlineLevel="2" x14ac:dyDescent="0.2">
      <c r="A3730" t="s">
        <v>1783</v>
      </c>
      <c r="B3730" t="s">
        <v>39</v>
      </c>
      <c r="C3730" t="s">
        <v>70</v>
      </c>
      <c r="D3730" t="s">
        <v>71</v>
      </c>
      <c r="E3730" t="s">
        <v>72</v>
      </c>
      <c r="F3730" t="s">
        <v>1673</v>
      </c>
      <c r="G3730" t="s">
        <v>1674</v>
      </c>
      <c r="H3730" t="s">
        <v>1678</v>
      </c>
      <c r="I3730" t="s">
        <v>1679</v>
      </c>
      <c r="J3730" t="s">
        <v>1788</v>
      </c>
      <c r="K3730" t="s">
        <v>1800</v>
      </c>
      <c r="L3730" t="s">
        <v>1878</v>
      </c>
      <c r="M3730" t="s">
        <v>12</v>
      </c>
      <c r="N3730" s="2">
        <v>30000</v>
      </c>
      <c r="O3730" s="2">
        <v>0</v>
      </c>
      <c r="P3730" s="2">
        <v>0</v>
      </c>
      <c r="Q3730" s="2">
        <v>30000</v>
      </c>
      <c r="R3730" s="2">
        <v>0</v>
      </c>
      <c r="S3730" s="2">
        <v>30000</v>
      </c>
      <c r="T3730" s="2">
        <v>4997</v>
      </c>
      <c r="U3730" s="2">
        <v>0</v>
      </c>
      <c r="V3730" s="2">
        <v>25003</v>
      </c>
      <c r="W3730" s="2">
        <v>0</v>
      </c>
    </row>
    <row r="3731" spans="1:23" outlineLevel="2" x14ac:dyDescent="0.2">
      <c r="A3731" t="s">
        <v>1783</v>
      </c>
      <c r="B3731" t="s">
        <v>39</v>
      </c>
      <c r="C3731" t="s">
        <v>66</v>
      </c>
      <c r="D3731" t="s">
        <v>67</v>
      </c>
      <c r="E3731" t="s">
        <v>68</v>
      </c>
      <c r="F3731" t="s">
        <v>967</v>
      </c>
      <c r="G3731" t="s">
        <v>968</v>
      </c>
      <c r="H3731" t="s">
        <v>1706</v>
      </c>
      <c r="I3731" t="s">
        <v>1707</v>
      </c>
      <c r="J3731" t="s">
        <v>1788</v>
      </c>
      <c r="K3731" t="s">
        <v>1789</v>
      </c>
      <c r="L3731" t="s">
        <v>1880</v>
      </c>
      <c r="M3731" t="s">
        <v>12</v>
      </c>
      <c r="N3731" s="2">
        <v>0</v>
      </c>
      <c r="O3731" s="2">
        <v>726091.57</v>
      </c>
      <c r="P3731" s="2">
        <v>0</v>
      </c>
      <c r="Q3731" s="2">
        <v>726091.57</v>
      </c>
      <c r="R3731" s="2">
        <v>0</v>
      </c>
      <c r="S3731" s="2">
        <v>0</v>
      </c>
      <c r="T3731" s="2">
        <v>0</v>
      </c>
      <c r="U3731" s="2">
        <v>726091.57</v>
      </c>
      <c r="V3731" s="2">
        <v>726091.57</v>
      </c>
      <c r="W3731" s="2">
        <v>726091.57</v>
      </c>
    </row>
    <row r="3732" spans="1:23" outlineLevel="2" x14ac:dyDescent="0.2">
      <c r="A3732" t="s">
        <v>1783</v>
      </c>
      <c r="B3732" t="s">
        <v>39</v>
      </c>
      <c r="C3732" t="s">
        <v>66</v>
      </c>
      <c r="D3732" t="s">
        <v>67</v>
      </c>
      <c r="E3732" t="s">
        <v>68</v>
      </c>
      <c r="F3732" t="s">
        <v>967</v>
      </c>
      <c r="G3732" t="s">
        <v>968</v>
      </c>
      <c r="H3732" t="s">
        <v>1706</v>
      </c>
      <c r="I3732" t="s">
        <v>1707</v>
      </c>
      <c r="J3732" t="s">
        <v>1788</v>
      </c>
      <c r="K3732" t="s">
        <v>1800</v>
      </c>
      <c r="L3732" t="s">
        <v>1881</v>
      </c>
      <c r="M3732" t="s">
        <v>12</v>
      </c>
      <c r="N3732" s="2">
        <v>300000</v>
      </c>
      <c r="O3732" s="2">
        <v>-200000</v>
      </c>
      <c r="P3732" s="2">
        <v>-100000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s="2">
        <v>0</v>
      </c>
      <c r="W3732" s="2">
        <v>0</v>
      </c>
    </row>
    <row r="3733" spans="1:23" outlineLevel="2" x14ac:dyDescent="0.2">
      <c r="A3733" t="s">
        <v>1882</v>
      </c>
      <c r="B3733" t="s">
        <v>39</v>
      </c>
      <c r="C3733" t="s">
        <v>58</v>
      </c>
      <c r="D3733" t="s">
        <v>59</v>
      </c>
      <c r="E3733" t="s">
        <v>60</v>
      </c>
      <c r="F3733" t="s">
        <v>1005</v>
      </c>
      <c r="G3733" t="s">
        <v>1006</v>
      </c>
      <c r="H3733" t="s">
        <v>1007</v>
      </c>
      <c r="I3733" t="s">
        <v>1008</v>
      </c>
      <c r="J3733" t="s">
        <v>1883</v>
      </c>
      <c r="K3733" t="s">
        <v>1884</v>
      </c>
      <c r="L3733" t="s">
        <v>1885</v>
      </c>
      <c r="M3733" t="s">
        <v>12</v>
      </c>
      <c r="N3733" s="2">
        <v>6000</v>
      </c>
      <c r="O3733" s="2">
        <v>0</v>
      </c>
      <c r="P3733" s="2">
        <v>-6000</v>
      </c>
      <c r="Q3733" s="2">
        <v>0</v>
      </c>
      <c r="R3733" s="2">
        <v>0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</row>
    <row r="3734" spans="1:23" outlineLevel="2" x14ac:dyDescent="0.2">
      <c r="A3734" t="s">
        <v>1882</v>
      </c>
      <c r="B3734" t="s">
        <v>39</v>
      </c>
      <c r="C3734" t="s">
        <v>58</v>
      </c>
      <c r="D3734" t="s">
        <v>143</v>
      </c>
      <c r="E3734" t="s">
        <v>144</v>
      </c>
      <c r="F3734" t="s">
        <v>1005</v>
      </c>
      <c r="G3734" t="s">
        <v>1006</v>
      </c>
      <c r="H3734" t="s">
        <v>1007</v>
      </c>
      <c r="I3734" t="s">
        <v>1008</v>
      </c>
      <c r="J3734" t="s">
        <v>1883</v>
      </c>
      <c r="K3734" t="s">
        <v>1884</v>
      </c>
      <c r="L3734" t="s">
        <v>1885</v>
      </c>
      <c r="M3734" t="s">
        <v>12</v>
      </c>
      <c r="N3734" s="2">
        <v>4000</v>
      </c>
      <c r="O3734" s="2">
        <v>0</v>
      </c>
      <c r="P3734" s="2">
        <v>-4000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</row>
    <row r="3735" spans="1:23" outlineLevel="2" x14ac:dyDescent="0.2">
      <c r="A3735" t="s">
        <v>1882</v>
      </c>
      <c r="B3735" t="s">
        <v>39</v>
      </c>
      <c r="C3735" t="s">
        <v>58</v>
      </c>
      <c r="D3735" t="s">
        <v>59</v>
      </c>
      <c r="E3735" t="s">
        <v>60</v>
      </c>
      <c r="F3735" t="s">
        <v>1005</v>
      </c>
      <c r="G3735" t="s">
        <v>1006</v>
      </c>
      <c r="H3735" t="s">
        <v>1007</v>
      </c>
      <c r="I3735" t="s">
        <v>1008</v>
      </c>
      <c r="J3735" t="s">
        <v>1883</v>
      </c>
      <c r="K3735" t="s">
        <v>1886</v>
      </c>
      <c r="L3735" t="s">
        <v>1887</v>
      </c>
      <c r="M3735" t="s">
        <v>12</v>
      </c>
      <c r="N3735" s="2">
        <v>2000</v>
      </c>
      <c r="O3735" s="2">
        <v>0</v>
      </c>
      <c r="P3735" s="2">
        <v>-2000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2">
        <v>0</v>
      </c>
    </row>
    <row r="3736" spans="1:23" outlineLevel="2" x14ac:dyDescent="0.2">
      <c r="A3736" t="s">
        <v>1882</v>
      </c>
      <c r="B3736" t="s">
        <v>39</v>
      </c>
      <c r="C3736" t="s">
        <v>58</v>
      </c>
      <c r="D3736" t="s">
        <v>143</v>
      </c>
      <c r="E3736" t="s">
        <v>144</v>
      </c>
      <c r="F3736" t="s">
        <v>1005</v>
      </c>
      <c r="G3736" t="s">
        <v>1006</v>
      </c>
      <c r="H3736" t="s">
        <v>1007</v>
      </c>
      <c r="I3736" t="s">
        <v>1008</v>
      </c>
      <c r="J3736" t="s">
        <v>1883</v>
      </c>
      <c r="K3736" t="s">
        <v>1886</v>
      </c>
      <c r="L3736" t="s">
        <v>1887</v>
      </c>
      <c r="M3736" t="s">
        <v>12</v>
      </c>
      <c r="N3736" s="2">
        <v>2000</v>
      </c>
      <c r="O3736" s="2">
        <v>0</v>
      </c>
      <c r="P3736" s="2">
        <v>-2000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</row>
    <row r="3737" spans="1:23" outlineLevel="2" x14ac:dyDescent="0.2">
      <c r="A3737" t="s">
        <v>1882</v>
      </c>
      <c r="B3737" t="s">
        <v>39</v>
      </c>
      <c r="C3737" t="s">
        <v>95</v>
      </c>
      <c r="D3737" t="s">
        <v>96</v>
      </c>
      <c r="E3737" t="s">
        <v>97</v>
      </c>
      <c r="F3737" t="s">
        <v>1025</v>
      </c>
      <c r="G3737" t="s">
        <v>1026</v>
      </c>
      <c r="H3737" t="s">
        <v>1027</v>
      </c>
      <c r="I3737" t="s">
        <v>1028</v>
      </c>
      <c r="J3737" t="s">
        <v>1883</v>
      </c>
      <c r="K3737" t="s">
        <v>1886</v>
      </c>
      <c r="L3737" t="s">
        <v>1888</v>
      </c>
      <c r="M3737" t="s">
        <v>12</v>
      </c>
      <c r="N3737" s="2">
        <v>15000</v>
      </c>
      <c r="O3737" s="2">
        <v>0</v>
      </c>
      <c r="P3737" s="2">
        <v>-15000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</row>
    <row r="3738" spans="1:23" outlineLevel="2" x14ac:dyDescent="0.2">
      <c r="A3738" t="s">
        <v>1882</v>
      </c>
      <c r="B3738" t="s">
        <v>39</v>
      </c>
      <c r="C3738" t="s">
        <v>95</v>
      </c>
      <c r="D3738" t="s">
        <v>96</v>
      </c>
      <c r="E3738" t="s">
        <v>97</v>
      </c>
      <c r="F3738" t="s">
        <v>1047</v>
      </c>
      <c r="G3738" t="s">
        <v>1048</v>
      </c>
      <c r="H3738" t="s">
        <v>1049</v>
      </c>
      <c r="I3738" t="s">
        <v>1050</v>
      </c>
      <c r="J3738" t="s">
        <v>1883</v>
      </c>
      <c r="K3738" t="s">
        <v>1886</v>
      </c>
      <c r="L3738" t="s">
        <v>1889</v>
      </c>
      <c r="M3738" t="s">
        <v>12</v>
      </c>
      <c r="N3738" s="2">
        <v>13000</v>
      </c>
      <c r="O3738" s="2">
        <v>-13000</v>
      </c>
      <c r="P3738" s="2">
        <v>0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</row>
    <row r="3739" spans="1:23" outlineLevel="2" x14ac:dyDescent="0.2">
      <c r="A3739" t="s">
        <v>1882</v>
      </c>
      <c r="B3739" t="s">
        <v>39</v>
      </c>
      <c r="C3739" t="s">
        <v>58</v>
      </c>
      <c r="D3739" t="s">
        <v>135</v>
      </c>
      <c r="E3739" t="s">
        <v>136</v>
      </c>
      <c r="F3739" t="s">
        <v>837</v>
      </c>
      <c r="G3739" t="s">
        <v>838</v>
      </c>
      <c r="H3739" t="s">
        <v>839</v>
      </c>
      <c r="I3739" t="s">
        <v>840</v>
      </c>
      <c r="J3739" t="s">
        <v>1883</v>
      </c>
      <c r="K3739" t="s">
        <v>1884</v>
      </c>
      <c r="L3739" t="s">
        <v>1890</v>
      </c>
      <c r="M3739" t="s">
        <v>12</v>
      </c>
      <c r="N3739" s="2">
        <v>1000</v>
      </c>
      <c r="O3739" s="2">
        <v>0</v>
      </c>
      <c r="P3739" s="2">
        <v>-1000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0</v>
      </c>
    </row>
    <row r="3740" spans="1:23" outlineLevel="2" x14ac:dyDescent="0.2">
      <c r="A3740" t="s">
        <v>1882</v>
      </c>
      <c r="B3740" t="s">
        <v>39</v>
      </c>
      <c r="C3740" t="s">
        <v>58</v>
      </c>
      <c r="D3740" t="s">
        <v>149</v>
      </c>
      <c r="E3740" t="s">
        <v>150</v>
      </c>
      <c r="F3740" t="s">
        <v>837</v>
      </c>
      <c r="G3740" t="s">
        <v>838</v>
      </c>
      <c r="H3740" t="s">
        <v>839</v>
      </c>
      <c r="I3740" t="s">
        <v>840</v>
      </c>
      <c r="J3740" t="s">
        <v>1883</v>
      </c>
      <c r="K3740" t="s">
        <v>1884</v>
      </c>
      <c r="L3740" t="s">
        <v>1890</v>
      </c>
      <c r="M3740" t="s">
        <v>12</v>
      </c>
      <c r="N3740" s="2">
        <v>1000</v>
      </c>
      <c r="O3740" s="2">
        <v>0</v>
      </c>
      <c r="P3740" s="2">
        <v>-1000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</row>
    <row r="3741" spans="1:23" outlineLevel="2" x14ac:dyDescent="0.2">
      <c r="A3741" t="s">
        <v>1882</v>
      </c>
      <c r="B3741" t="s">
        <v>39</v>
      </c>
      <c r="C3741" t="s">
        <v>58</v>
      </c>
      <c r="D3741" t="s">
        <v>135</v>
      </c>
      <c r="E3741" t="s">
        <v>136</v>
      </c>
      <c r="F3741" t="s">
        <v>837</v>
      </c>
      <c r="G3741" t="s">
        <v>838</v>
      </c>
      <c r="H3741" t="s">
        <v>852</v>
      </c>
      <c r="I3741" t="s">
        <v>853</v>
      </c>
      <c r="J3741" t="s">
        <v>1883</v>
      </c>
      <c r="K3741" t="s">
        <v>1891</v>
      </c>
      <c r="L3741" t="s">
        <v>1892</v>
      </c>
      <c r="M3741" t="s">
        <v>12</v>
      </c>
      <c r="N3741" s="2">
        <v>7000</v>
      </c>
      <c r="O3741" s="2">
        <v>0</v>
      </c>
      <c r="P3741" s="2">
        <v>-7000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0</v>
      </c>
      <c r="W3741" s="2">
        <v>0</v>
      </c>
    </row>
    <row r="3742" spans="1:23" outlineLevel="2" x14ac:dyDescent="0.2">
      <c r="A3742" t="s">
        <v>1882</v>
      </c>
      <c r="B3742" t="s">
        <v>39</v>
      </c>
      <c r="C3742" t="s">
        <v>58</v>
      </c>
      <c r="D3742" t="s">
        <v>145</v>
      </c>
      <c r="E3742" t="s">
        <v>146</v>
      </c>
      <c r="F3742" t="s">
        <v>837</v>
      </c>
      <c r="G3742" t="s">
        <v>838</v>
      </c>
      <c r="H3742" t="s">
        <v>852</v>
      </c>
      <c r="I3742" t="s">
        <v>853</v>
      </c>
      <c r="J3742" t="s">
        <v>1883</v>
      </c>
      <c r="K3742" t="s">
        <v>1891</v>
      </c>
      <c r="L3742" t="s">
        <v>1892</v>
      </c>
      <c r="M3742" t="s">
        <v>12</v>
      </c>
      <c r="N3742" s="2">
        <v>4500</v>
      </c>
      <c r="O3742" s="2">
        <v>0</v>
      </c>
      <c r="P3742" s="2">
        <v>-4500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</row>
    <row r="3743" spans="1:23" outlineLevel="2" x14ac:dyDescent="0.2">
      <c r="A3743" t="s">
        <v>1882</v>
      </c>
      <c r="B3743" t="s">
        <v>39</v>
      </c>
      <c r="C3743" t="s">
        <v>58</v>
      </c>
      <c r="D3743" t="s">
        <v>143</v>
      </c>
      <c r="E3743" t="s">
        <v>144</v>
      </c>
      <c r="F3743" t="s">
        <v>837</v>
      </c>
      <c r="G3743" t="s">
        <v>838</v>
      </c>
      <c r="H3743" t="s">
        <v>852</v>
      </c>
      <c r="I3743" t="s">
        <v>853</v>
      </c>
      <c r="J3743" t="s">
        <v>1883</v>
      </c>
      <c r="K3743" t="s">
        <v>1891</v>
      </c>
      <c r="L3743" t="s">
        <v>1892</v>
      </c>
      <c r="M3743" t="s">
        <v>12</v>
      </c>
      <c r="N3743" s="2">
        <v>25000</v>
      </c>
      <c r="O3743" s="2">
        <v>-25000</v>
      </c>
      <c r="P3743" s="2">
        <v>0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</row>
    <row r="3744" spans="1:23" outlineLevel="2" x14ac:dyDescent="0.2">
      <c r="A3744" t="s">
        <v>1882</v>
      </c>
      <c r="B3744" t="s">
        <v>39</v>
      </c>
      <c r="C3744" t="s">
        <v>58</v>
      </c>
      <c r="D3744" t="s">
        <v>129</v>
      </c>
      <c r="E3744" t="s">
        <v>130</v>
      </c>
      <c r="F3744" t="s">
        <v>837</v>
      </c>
      <c r="G3744" t="s">
        <v>838</v>
      </c>
      <c r="H3744" t="s">
        <v>852</v>
      </c>
      <c r="I3744" t="s">
        <v>853</v>
      </c>
      <c r="J3744" t="s">
        <v>1883</v>
      </c>
      <c r="K3744" t="s">
        <v>1891</v>
      </c>
      <c r="L3744" t="s">
        <v>1892</v>
      </c>
      <c r="M3744" t="s">
        <v>12</v>
      </c>
      <c r="N3744" s="2">
        <v>1000</v>
      </c>
      <c r="O3744" s="2">
        <v>0</v>
      </c>
      <c r="P3744" s="2">
        <v>0</v>
      </c>
      <c r="Q3744" s="2">
        <v>1000</v>
      </c>
      <c r="R3744" s="2">
        <v>0</v>
      </c>
      <c r="S3744" s="2">
        <v>0</v>
      </c>
      <c r="T3744" s="2">
        <v>0</v>
      </c>
      <c r="U3744" s="2">
        <v>1000</v>
      </c>
      <c r="V3744" s="2">
        <v>1000</v>
      </c>
      <c r="W3744" s="2">
        <v>1000</v>
      </c>
    </row>
    <row r="3745" spans="1:23" outlineLevel="2" x14ac:dyDescent="0.2">
      <c r="A3745" t="s">
        <v>1882</v>
      </c>
      <c r="B3745" t="s">
        <v>39</v>
      </c>
      <c r="C3745" t="s">
        <v>58</v>
      </c>
      <c r="D3745" t="s">
        <v>139</v>
      </c>
      <c r="E3745" t="s">
        <v>140</v>
      </c>
      <c r="F3745" t="s">
        <v>837</v>
      </c>
      <c r="G3745" t="s">
        <v>838</v>
      </c>
      <c r="H3745" t="s">
        <v>852</v>
      </c>
      <c r="I3745" t="s">
        <v>853</v>
      </c>
      <c r="J3745" t="s">
        <v>1883</v>
      </c>
      <c r="K3745" t="s">
        <v>1891</v>
      </c>
      <c r="L3745" t="s">
        <v>1892</v>
      </c>
      <c r="M3745" t="s">
        <v>12</v>
      </c>
      <c r="N3745" s="2">
        <v>500</v>
      </c>
      <c r="O3745" s="2">
        <v>-500</v>
      </c>
      <c r="P3745" s="2">
        <v>0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</row>
    <row r="3746" spans="1:23" outlineLevel="2" x14ac:dyDescent="0.2">
      <c r="A3746" t="s">
        <v>1882</v>
      </c>
      <c r="B3746" t="s">
        <v>39</v>
      </c>
      <c r="C3746" t="s">
        <v>58</v>
      </c>
      <c r="D3746" t="s">
        <v>147</v>
      </c>
      <c r="E3746" t="s">
        <v>148</v>
      </c>
      <c r="F3746" t="s">
        <v>837</v>
      </c>
      <c r="G3746" t="s">
        <v>838</v>
      </c>
      <c r="H3746" t="s">
        <v>852</v>
      </c>
      <c r="I3746" t="s">
        <v>853</v>
      </c>
      <c r="J3746" t="s">
        <v>1883</v>
      </c>
      <c r="K3746" t="s">
        <v>1891</v>
      </c>
      <c r="L3746" t="s">
        <v>1892</v>
      </c>
      <c r="M3746" t="s">
        <v>12</v>
      </c>
      <c r="N3746" s="2">
        <v>7080.07</v>
      </c>
      <c r="O3746" s="2">
        <v>-7080.07</v>
      </c>
      <c r="P3746" s="2">
        <v>0</v>
      </c>
      <c r="Q3746" s="2">
        <v>0</v>
      </c>
      <c r="R3746" s="2">
        <v>0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</row>
    <row r="3747" spans="1:23" outlineLevel="2" x14ac:dyDescent="0.2">
      <c r="A3747" t="s">
        <v>1882</v>
      </c>
      <c r="B3747" t="s">
        <v>39</v>
      </c>
      <c r="C3747" t="s">
        <v>58</v>
      </c>
      <c r="D3747" t="s">
        <v>149</v>
      </c>
      <c r="E3747" t="s">
        <v>150</v>
      </c>
      <c r="F3747" t="s">
        <v>837</v>
      </c>
      <c r="G3747" t="s">
        <v>838</v>
      </c>
      <c r="H3747" t="s">
        <v>852</v>
      </c>
      <c r="I3747" t="s">
        <v>853</v>
      </c>
      <c r="J3747" t="s">
        <v>1883</v>
      </c>
      <c r="K3747" t="s">
        <v>1884</v>
      </c>
      <c r="L3747" t="s">
        <v>1890</v>
      </c>
      <c r="M3747" t="s">
        <v>12</v>
      </c>
      <c r="N3747" s="2">
        <v>7000</v>
      </c>
      <c r="O3747" s="2">
        <v>0</v>
      </c>
      <c r="P3747" s="2">
        <v>-7000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</row>
    <row r="3748" spans="1:23" outlineLevel="2" x14ac:dyDescent="0.2">
      <c r="A3748" t="s">
        <v>1882</v>
      </c>
      <c r="B3748" t="s">
        <v>39</v>
      </c>
      <c r="C3748" t="s">
        <v>58</v>
      </c>
      <c r="D3748" t="s">
        <v>145</v>
      </c>
      <c r="E3748" t="s">
        <v>146</v>
      </c>
      <c r="F3748" t="s">
        <v>837</v>
      </c>
      <c r="G3748" t="s">
        <v>838</v>
      </c>
      <c r="H3748" t="s">
        <v>852</v>
      </c>
      <c r="I3748" t="s">
        <v>853</v>
      </c>
      <c r="J3748" t="s">
        <v>1883</v>
      </c>
      <c r="K3748" t="s">
        <v>1884</v>
      </c>
      <c r="L3748" t="s">
        <v>1890</v>
      </c>
      <c r="M3748" t="s">
        <v>12</v>
      </c>
      <c r="N3748" s="2">
        <v>3300</v>
      </c>
      <c r="O3748" s="2">
        <v>0</v>
      </c>
      <c r="P3748" s="2">
        <v>-3300</v>
      </c>
      <c r="Q3748" s="2">
        <v>0</v>
      </c>
      <c r="R3748" s="2">
        <v>0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</row>
    <row r="3749" spans="1:23" outlineLevel="2" x14ac:dyDescent="0.2">
      <c r="A3749" t="s">
        <v>1882</v>
      </c>
      <c r="B3749" t="s">
        <v>39</v>
      </c>
      <c r="C3749" t="s">
        <v>58</v>
      </c>
      <c r="D3749" t="s">
        <v>59</v>
      </c>
      <c r="E3749" t="s">
        <v>60</v>
      </c>
      <c r="F3749" t="s">
        <v>837</v>
      </c>
      <c r="G3749" t="s">
        <v>838</v>
      </c>
      <c r="H3749" t="s">
        <v>852</v>
      </c>
      <c r="I3749" t="s">
        <v>853</v>
      </c>
      <c r="J3749" t="s">
        <v>1883</v>
      </c>
      <c r="K3749" t="s">
        <v>1884</v>
      </c>
      <c r="L3749" t="s">
        <v>1890</v>
      </c>
      <c r="M3749" t="s">
        <v>12</v>
      </c>
      <c r="N3749" s="2">
        <v>1500</v>
      </c>
      <c r="O3749" s="2">
        <v>0</v>
      </c>
      <c r="P3749" s="2">
        <v>-1500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</row>
    <row r="3750" spans="1:23" outlineLevel="2" x14ac:dyDescent="0.2">
      <c r="A3750" t="s">
        <v>1882</v>
      </c>
      <c r="B3750" t="s">
        <v>39</v>
      </c>
      <c r="C3750" t="s">
        <v>58</v>
      </c>
      <c r="D3750" t="s">
        <v>147</v>
      </c>
      <c r="E3750" t="s">
        <v>148</v>
      </c>
      <c r="F3750" t="s">
        <v>837</v>
      </c>
      <c r="G3750" t="s">
        <v>838</v>
      </c>
      <c r="H3750" t="s">
        <v>852</v>
      </c>
      <c r="I3750" t="s">
        <v>853</v>
      </c>
      <c r="J3750" t="s">
        <v>1883</v>
      </c>
      <c r="K3750" t="s">
        <v>1884</v>
      </c>
      <c r="L3750" t="s">
        <v>1890</v>
      </c>
      <c r="M3750" t="s">
        <v>12</v>
      </c>
      <c r="N3750" s="2">
        <v>4000.83</v>
      </c>
      <c r="O3750" s="2">
        <v>-4000.83</v>
      </c>
      <c r="P3750" s="2">
        <v>0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</row>
    <row r="3751" spans="1:23" outlineLevel="2" x14ac:dyDescent="0.2">
      <c r="A3751" t="s">
        <v>1882</v>
      </c>
      <c r="B3751" t="s">
        <v>39</v>
      </c>
      <c r="C3751" t="s">
        <v>58</v>
      </c>
      <c r="D3751" t="s">
        <v>143</v>
      </c>
      <c r="E3751" t="s">
        <v>144</v>
      </c>
      <c r="F3751" t="s">
        <v>837</v>
      </c>
      <c r="G3751" t="s">
        <v>838</v>
      </c>
      <c r="H3751" t="s">
        <v>852</v>
      </c>
      <c r="I3751" t="s">
        <v>853</v>
      </c>
      <c r="J3751" t="s">
        <v>1883</v>
      </c>
      <c r="K3751" t="s">
        <v>1884</v>
      </c>
      <c r="L3751" t="s">
        <v>1890</v>
      </c>
      <c r="M3751" t="s">
        <v>12</v>
      </c>
      <c r="N3751" s="2">
        <v>16000</v>
      </c>
      <c r="O3751" s="2">
        <v>7453.12</v>
      </c>
      <c r="P3751" s="2">
        <v>-5000</v>
      </c>
      <c r="Q3751" s="2">
        <v>18453.12</v>
      </c>
      <c r="R3751" s="2">
        <v>0</v>
      </c>
      <c r="S3751" s="2">
        <v>14500.62</v>
      </c>
      <c r="T3751" s="2">
        <v>2340.8000000000002</v>
      </c>
      <c r="U3751" s="2">
        <v>3952.5</v>
      </c>
      <c r="V3751" s="2">
        <v>16112.32</v>
      </c>
      <c r="W3751" s="2">
        <v>3952.5</v>
      </c>
    </row>
    <row r="3752" spans="1:23" outlineLevel="2" x14ac:dyDescent="0.2">
      <c r="A3752" t="s">
        <v>1882</v>
      </c>
      <c r="B3752" t="s">
        <v>39</v>
      </c>
      <c r="C3752" t="s">
        <v>58</v>
      </c>
      <c r="D3752" t="s">
        <v>137</v>
      </c>
      <c r="E3752" t="s">
        <v>138</v>
      </c>
      <c r="F3752" t="s">
        <v>837</v>
      </c>
      <c r="G3752" t="s">
        <v>838</v>
      </c>
      <c r="H3752" t="s">
        <v>852</v>
      </c>
      <c r="I3752" t="s">
        <v>853</v>
      </c>
      <c r="J3752" t="s">
        <v>1883</v>
      </c>
      <c r="K3752" t="s">
        <v>1884</v>
      </c>
      <c r="L3752" t="s">
        <v>1890</v>
      </c>
      <c r="M3752" t="s">
        <v>12</v>
      </c>
      <c r="N3752" s="2">
        <v>4000</v>
      </c>
      <c r="O3752" s="2">
        <v>0</v>
      </c>
      <c r="P3752" s="2">
        <v>-4000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</row>
    <row r="3753" spans="1:23" outlineLevel="2" x14ac:dyDescent="0.2">
      <c r="A3753" t="s">
        <v>1882</v>
      </c>
      <c r="B3753" t="s">
        <v>39</v>
      </c>
      <c r="C3753" t="s">
        <v>58</v>
      </c>
      <c r="D3753" t="s">
        <v>139</v>
      </c>
      <c r="E3753" t="s">
        <v>140</v>
      </c>
      <c r="F3753" t="s">
        <v>837</v>
      </c>
      <c r="G3753" t="s">
        <v>838</v>
      </c>
      <c r="H3753" t="s">
        <v>852</v>
      </c>
      <c r="I3753" t="s">
        <v>853</v>
      </c>
      <c r="J3753" t="s">
        <v>1883</v>
      </c>
      <c r="K3753" t="s">
        <v>1893</v>
      </c>
      <c r="L3753" t="s">
        <v>1894</v>
      </c>
      <c r="M3753" t="s">
        <v>12</v>
      </c>
      <c r="N3753" s="2">
        <v>700</v>
      </c>
      <c r="O3753" s="2">
        <v>-700</v>
      </c>
      <c r="P3753" s="2">
        <v>0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</row>
    <row r="3754" spans="1:23" outlineLevel="2" x14ac:dyDescent="0.2">
      <c r="A3754" t="s">
        <v>1882</v>
      </c>
      <c r="B3754" t="s">
        <v>39</v>
      </c>
      <c r="C3754" t="s">
        <v>58</v>
      </c>
      <c r="D3754" t="s">
        <v>143</v>
      </c>
      <c r="E3754" t="s">
        <v>144</v>
      </c>
      <c r="F3754" t="s">
        <v>837</v>
      </c>
      <c r="G3754" t="s">
        <v>838</v>
      </c>
      <c r="H3754" t="s">
        <v>852</v>
      </c>
      <c r="I3754" t="s">
        <v>853</v>
      </c>
      <c r="J3754" t="s">
        <v>1883</v>
      </c>
      <c r="K3754" t="s">
        <v>1886</v>
      </c>
      <c r="L3754" t="s">
        <v>1895</v>
      </c>
      <c r="M3754" t="s">
        <v>12</v>
      </c>
      <c r="N3754" s="2">
        <v>20000</v>
      </c>
      <c r="O3754" s="2">
        <v>-9893</v>
      </c>
      <c r="P3754" s="2">
        <v>-2155</v>
      </c>
      <c r="Q3754" s="2">
        <v>7952</v>
      </c>
      <c r="R3754" s="2">
        <v>13.44</v>
      </c>
      <c r="S3754" s="2">
        <v>6872.32</v>
      </c>
      <c r="T3754" s="2">
        <v>0</v>
      </c>
      <c r="U3754" s="2">
        <v>1079.68</v>
      </c>
      <c r="V3754" s="2">
        <v>7952</v>
      </c>
      <c r="W3754" s="2">
        <v>1066.24</v>
      </c>
    </row>
    <row r="3755" spans="1:23" outlineLevel="2" x14ac:dyDescent="0.2">
      <c r="A3755" t="s">
        <v>1882</v>
      </c>
      <c r="B3755" t="s">
        <v>39</v>
      </c>
      <c r="C3755" t="s">
        <v>58</v>
      </c>
      <c r="D3755" t="s">
        <v>147</v>
      </c>
      <c r="E3755" t="s">
        <v>148</v>
      </c>
      <c r="F3755" t="s">
        <v>837</v>
      </c>
      <c r="G3755" t="s">
        <v>838</v>
      </c>
      <c r="H3755" t="s">
        <v>852</v>
      </c>
      <c r="I3755" t="s">
        <v>853</v>
      </c>
      <c r="J3755" t="s">
        <v>1883</v>
      </c>
      <c r="K3755" t="s">
        <v>1886</v>
      </c>
      <c r="L3755" t="s">
        <v>1895</v>
      </c>
      <c r="M3755" t="s">
        <v>12</v>
      </c>
      <c r="N3755" s="2">
        <v>3000</v>
      </c>
      <c r="O3755" s="2">
        <v>0</v>
      </c>
      <c r="P3755" s="2">
        <v>-3000</v>
      </c>
      <c r="Q3755" s="2">
        <v>0</v>
      </c>
      <c r="R3755" s="2">
        <v>0</v>
      </c>
      <c r="S3755" s="2">
        <v>0</v>
      </c>
      <c r="T3755" s="2">
        <v>0</v>
      </c>
      <c r="U3755" s="2">
        <v>0</v>
      </c>
      <c r="V3755" s="2">
        <v>0</v>
      </c>
      <c r="W3755" s="2">
        <v>0</v>
      </c>
    </row>
    <row r="3756" spans="1:23" outlineLevel="2" x14ac:dyDescent="0.2">
      <c r="A3756" t="s">
        <v>1882</v>
      </c>
      <c r="B3756" t="s">
        <v>39</v>
      </c>
      <c r="C3756" t="s">
        <v>58</v>
      </c>
      <c r="D3756" t="s">
        <v>129</v>
      </c>
      <c r="E3756" t="s">
        <v>130</v>
      </c>
      <c r="F3756" t="s">
        <v>837</v>
      </c>
      <c r="G3756" t="s">
        <v>838</v>
      </c>
      <c r="H3756" t="s">
        <v>852</v>
      </c>
      <c r="I3756" t="s">
        <v>853</v>
      </c>
      <c r="J3756" t="s">
        <v>1883</v>
      </c>
      <c r="K3756" t="s">
        <v>1886</v>
      </c>
      <c r="L3756" t="s">
        <v>1895</v>
      </c>
      <c r="M3756" t="s">
        <v>12</v>
      </c>
      <c r="N3756" s="2">
        <v>3500</v>
      </c>
      <c r="O3756" s="2">
        <v>-397.6</v>
      </c>
      <c r="P3756" s="2">
        <v>0</v>
      </c>
      <c r="Q3756" s="2">
        <v>3102.4</v>
      </c>
      <c r="R3756" s="2">
        <v>0</v>
      </c>
      <c r="S3756" s="2">
        <v>3102.4</v>
      </c>
      <c r="T3756" s="2">
        <v>3102.4</v>
      </c>
      <c r="U3756" s="2">
        <v>0</v>
      </c>
      <c r="V3756" s="2">
        <v>0</v>
      </c>
      <c r="W3756" s="2">
        <v>0</v>
      </c>
    </row>
    <row r="3757" spans="1:23" outlineLevel="2" x14ac:dyDescent="0.2">
      <c r="A3757" t="s">
        <v>1882</v>
      </c>
      <c r="B3757" t="s">
        <v>39</v>
      </c>
      <c r="C3757" t="s">
        <v>58</v>
      </c>
      <c r="D3757" t="s">
        <v>149</v>
      </c>
      <c r="E3757" t="s">
        <v>150</v>
      </c>
      <c r="F3757" t="s">
        <v>837</v>
      </c>
      <c r="G3757" t="s">
        <v>838</v>
      </c>
      <c r="H3757" t="s">
        <v>1125</v>
      </c>
      <c r="I3757" t="s">
        <v>1126</v>
      </c>
      <c r="J3757" t="s">
        <v>1883</v>
      </c>
      <c r="K3757" t="s">
        <v>1891</v>
      </c>
      <c r="L3757" t="s">
        <v>1892</v>
      </c>
      <c r="M3757" t="s">
        <v>12</v>
      </c>
      <c r="N3757" s="2">
        <v>5000</v>
      </c>
      <c r="O3757" s="2">
        <v>-5000</v>
      </c>
      <c r="P3757" s="2">
        <v>0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0</v>
      </c>
      <c r="W3757" s="2">
        <v>0</v>
      </c>
    </row>
    <row r="3758" spans="1:23" outlineLevel="2" x14ac:dyDescent="0.2">
      <c r="A3758" t="s">
        <v>1882</v>
      </c>
      <c r="B3758" t="s">
        <v>39</v>
      </c>
      <c r="C3758" t="s">
        <v>58</v>
      </c>
      <c r="D3758" t="s">
        <v>135</v>
      </c>
      <c r="E3758" t="s">
        <v>136</v>
      </c>
      <c r="F3758" t="s">
        <v>837</v>
      </c>
      <c r="G3758" t="s">
        <v>838</v>
      </c>
      <c r="H3758" t="s">
        <v>1125</v>
      </c>
      <c r="I3758" t="s">
        <v>1126</v>
      </c>
      <c r="J3758" t="s">
        <v>1883</v>
      </c>
      <c r="K3758" t="s">
        <v>1884</v>
      </c>
      <c r="L3758" t="s">
        <v>1890</v>
      </c>
      <c r="M3758" t="s">
        <v>12</v>
      </c>
      <c r="N3758" s="2">
        <v>0</v>
      </c>
      <c r="O3758" s="2">
        <v>25000</v>
      </c>
      <c r="P3758" s="2">
        <v>0</v>
      </c>
      <c r="Q3758" s="2">
        <v>25000</v>
      </c>
      <c r="R3758" s="2">
        <v>1276.51</v>
      </c>
      <c r="S3758" s="2">
        <v>23723.48</v>
      </c>
      <c r="T3758" s="2">
        <v>23723.48</v>
      </c>
      <c r="U3758" s="2">
        <v>1276.52</v>
      </c>
      <c r="V3758" s="2">
        <v>1276.52</v>
      </c>
      <c r="W3758" s="2">
        <v>0.01</v>
      </c>
    </row>
    <row r="3759" spans="1:23" outlineLevel="2" x14ac:dyDescent="0.2">
      <c r="A3759" t="s">
        <v>1882</v>
      </c>
      <c r="B3759" t="s">
        <v>39</v>
      </c>
      <c r="C3759" t="s">
        <v>58</v>
      </c>
      <c r="D3759" t="s">
        <v>149</v>
      </c>
      <c r="E3759" t="s">
        <v>150</v>
      </c>
      <c r="F3759" t="s">
        <v>837</v>
      </c>
      <c r="G3759" t="s">
        <v>838</v>
      </c>
      <c r="H3759" t="s">
        <v>1125</v>
      </c>
      <c r="I3759" t="s">
        <v>1126</v>
      </c>
      <c r="J3759" t="s">
        <v>1883</v>
      </c>
      <c r="K3759" t="s">
        <v>1884</v>
      </c>
      <c r="L3759" t="s">
        <v>1890</v>
      </c>
      <c r="M3759" t="s">
        <v>12</v>
      </c>
      <c r="N3759" s="2">
        <v>18000</v>
      </c>
      <c r="O3759" s="2">
        <v>-18000</v>
      </c>
      <c r="P3759" s="2">
        <v>0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</row>
    <row r="3760" spans="1:23" outlineLevel="2" x14ac:dyDescent="0.2">
      <c r="A3760" t="s">
        <v>1882</v>
      </c>
      <c r="B3760" t="s">
        <v>39</v>
      </c>
      <c r="C3760" t="s">
        <v>58</v>
      </c>
      <c r="D3760" t="s">
        <v>147</v>
      </c>
      <c r="E3760" t="s">
        <v>148</v>
      </c>
      <c r="F3760" t="s">
        <v>837</v>
      </c>
      <c r="G3760" t="s">
        <v>838</v>
      </c>
      <c r="H3760" t="s">
        <v>1125</v>
      </c>
      <c r="I3760" t="s">
        <v>1126</v>
      </c>
      <c r="J3760" t="s">
        <v>1883</v>
      </c>
      <c r="K3760" t="s">
        <v>1884</v>
      </c>
      <c r="L3760" t="s">
        <v>1890</v>
      </c>
      <c r="M3760" t="s">
        <v>12</v>
      </c>
      <c r="N3760" s="2">
        <v>0</v>
      </c>
      <c r="O3760" s="2">
        <v>20000</v>
      </c>
      <c r="P3760" s="2">
        <v>0</v>
      </c>
      <c r="Q3760" s="2">
        <v>20000</v>
      </c>
      <c r="R3760" s="2">
        <v>5328</v>
      </c>
      <c r="S3760" s="2">
        <v>14672</v>
      </c>
      <c r="T3760" s="2">
        <v>0</v>
      </c>
      <c r="U3760" s="2">
        <v>5328</v>
      </c>
      <c r="V3760" s="2">
        <v>20000</v>
      </c>
      <c r="W3760" s="2">
        <v>0</v>
      </c>
    </row>
    <row r="3761" spans="1:23" outlineLevel="2" x14ac:dyDescent="0.2">
      <c r="A3761" t="s">
        <v>1882</v>
      </c>
      <c r="B3761" t="s">
        <v>39</v>
      </c>
      <c r="C3761" t="s">
        <v>58</v>
      </c>
      <c r="D3761" t="s">
        <v>149</v>
      </c>
      <c r="E3761" t="s">
        <v>150</v>
      </c>
      <c r="F3761" t="s">
        <v>837</v>
      </c>
      <c r="G3761" t="s">
        <v>838</v>
      </c>
      <c r="H3761" t="s">
        <v>1125</v>
      </c>
      <c r="I3761" t="s">
        <v>1126</v>
      </c>
      <c r="J3761" t="s">
        <v>1883</v>
      </c>
      <c r="K3761" t="s">
        <v>1886</v>
      </c>
      <c r="L3761" t="s">
        <v>1895</v>
      </c>
      <c r="M3761" t="s">
        <v>12</v>
      </c>
      <c r="N3761" s="2">
        <v>65000</v>
      </c>
      <c r="O3761" s="2">
        <v>-65000</v>
      </c>
      <c r="P3761" s="2">
        <v>0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</row>
    <row r="3762" spans="1:23" outlineLevel="2" x14ac:dyDescent="0.2">
      <c r="A3762" t="s">
        <v>1882</v>
      </c>
      <c r="B3762" t="s">
        <v>31</v>
      </c>
      <c r="C3762" t="s">
        <v>107</v>
      </c>
      <c r="D3762" t="s">
        <v>108</v>
      </c>
      <c r="E3762" t="s">
        <v>109</v>
      </c>
      <c r="F3762" t="s">
        <v>856</v>
      </c>
      <c r="G3762" t="s">
        <v>857</v>
      </c>
      <c r="H3762" t="s">
        <v>1143</v>
      </c>
      <c r="I3762" t="s">
        <v>1144</v>
      </c>
      <c r="J3762" t="s">
        <v>1883</v>
      </c>
      <c r="K3762" t="s">
        <v>1884</v>
      </c>
      <c r="L3762" t="s">
        <v>1896</v>
      </c>
      <c r="M3762" t="s">
        <v>12</v>
      </c>
      <c r="N3762" s="2">
        <v>10000</v>
      </c>
      <c r="O3762" s="2">
        <v>0</v>
      </c>
      <c r="P3762" s="2">
        <v>-10000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</row>
    <row r="3763" spans="1:23" outlineLevel="2" x14ac:dyDescent="0.2">
      <c r="A3763" t="s">
        <v>1882</v>
      </c>
      <c r="B3763" t="s">
        <v>31</v>
      </c>
      <c r="C3763" t="s">
        <v>107</v>
      </c>
      <c r="D3763" t="s">
        <v>108</v>
      </c>
      <c r="E3763" t="s">
        <v>109</v>
      </c>
      <c r="F3763" t="s">
        <v>856</v>
      </c>
      <c r="G3763" t="s">
        <v>857</v>
      </c>
      <c r="H3763" t="s">
        <v>870</v>
      </c>
      <c r="I3763" t="s">
        <v>871</v>
      </c>
      <c r="J3763" t="s">
        <v>1883</v>
      </c>
      <c r="K3763" t="s">
        <v>1891</v>
      </c>
      <c r="L3763" t="s">
        <v>1897</v>
      </c>
      <c r="M3763" t="s">
        <v>12</v>
      </c>
      <c r="N3763" s="2">
        <v>6000</v>
      </c>
      <c r="O3763" s="2">
        <v>0</v>
      </c>
      <c r="P3763" s="2">
        <v>-6000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</row>
    <row r="3764" spans="1:23" outlineLevel="2" x14ac:dyDescent="0.2">
      <c r="A3764" t="s">
        <v>1882</v>
      </c>
      <c r="B3764" t="s">
        <v>31</v>
      </c>
      <c r="C3764" t="s">
        <v>107</v>
      </c>
      <c r="D3764" t="s">
        <v>108</v>
      </c>
      <c r="E3764" t="s">
        <v>109</v>
      </c>
      <c r="F3764" t="s">
        <v>856</v>
      </c>
      <c r="G3764" t="s">
        <v>857</v>
      </c>
      <c r="H3764" t="s">
        <v>870</v>
      </c>
      <c r="I3764" t="s">
        <v>871</v>
      </c>
      <c r="J3764" t="s">
        <v>1883</v>
      </c>
      <c r="K3764" t="s">
        <v>1884</v>
      </c>
      <c r="L3764" t="s">
        <v>1896</v>
      </c>
      <c r="M3764" t="s">
        <v>12</v>
      </c>
      <c r="N3764" s="2">
        <v>54840</v>
      </c>
      <c r="O3764" s="2">
        <v>0</v>
      </c>
      <c r="P3764" s="2">
        <v>-54840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</row>
    <row r="3765" spans="1:23" outlineLevel="2" x14ac:dyDescent="0.2">
      <c r="A3765" t="s">
        <v>1882</v>
      </c>
      <c r="B3765" t="s">
        <v>31</v>
      </c>
      <c r="C3765" t="s">
        <v>107</v>
      </c>
      <c r="D3765" t="s">
        <v>108</v>
      </c>
      <c r="E3765" t="s">
        <v>109</v>
      </c>
      <c r="F3765" t="s">
        <v>856</v>
      </c>
      <c r="G3765" t="s">
        <v>857</v>
      </c>
      <c r="H3765" t="s">
        <v>870</v>
      </c>
      <c r="I3765" t="s">
        <v>871</v>
      </c>
      <c r="J3765" t="s">
        <v>1883</v>
      </c>
      <c r="K3765" t="s">
        <v>1893</v>
      </c>
      <c r="L3765" t="s">
        <v>1898</v>
      </c>
      <c r="M3765" t="s">
        <v>12</v>
      </c>
      <c r="N3765" s="2">
        <v>4000</v>
      </c>
      <c r="O3765" s="2">
        <v>0</v>
      </c>
      <c r="P3765" s="2">
        <v>-4000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</row>
    <row r="3766" spans="1:23" outlineLevel="2" x14ac:dyDescent="0.2">
      <c r="A3766" t="s">
        <v>1882</v>
      </c>
      <c r="B3766" t="s">
        <v>31</v>
      </c>
      <c r="C3766" t="s">
        <v>107</v>
      </c>
      <c r="D3766" t="s">
        <v>108</v>
      </c>
      <c r="E3766" t="s">
        <v>109</v>
      </c>
      <c r="F3766" t="s">
        <v>856</v>
      </c>
      <c r="G3766" t="s">
        <v>857</v>
      </c>
      <c r="H3766" t="s">
        <v>870</v>
      </c>
      <c r="I3766" t="s">
        <v>871</v>
      </c>
      <c r="J3766" t="s">
        <v>1883</v>
      </c>
      <c r="K3766" t="s">
        <v>1886</v>
      </c>
      <c r="L3766" t="s">
        <v>1899</v>
      </c>
      <c r="M3766" t="s">
        <v>12</v>
      </c>
      <c r="N3766" s="2">
        <v>10055</v>
      </c>
      <c r="O3766" s="2">
        <v>0</v>
      </c>
      <c r="P3766" s="2">
        <v>-10055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</row>
    <row r="3767" spans="1:23" outlineLevel="2" x14ac:dyDescent="0.2">
      <c r="A3767" t="s">
        <v>1882</v>
      </c>
      <c r="B3767" t="s">
        <v>31</v>
      </c>
      <c r="C3767" t="s">
        <v>107</v>
      </c>
      <c r="D3767" t="s">
        <v>1168</v>
      </c>
      <c r="E3767" t="s">
        <v>1169</v>
      </c>
      <c r="F3767" t="s">
        <v>856</v>
      </c>
      <c r="G3767" t="s">
        <v>857</v>
      </c>
      <c r="H3767" t="s">
        <v>1166</v>
      </c>
      <c r="I3767" t="s">
        <v>1167</v>
      </c>
      <c r="J3767" t="s">
        <v>1883</v>
      </c>
      <c r="K3767" t="s">
        <v>1886</v>
      </c>
      <c r="L3767" t="s">
        <v>1899</v>
      </c>
      <c r="M3767" t="s">
        <v>12</v>
      </c>
      <c r="N3767" s="2">
        <v>10000</v>
      </c>
      <c r="O3767" s="2">
        <v>0</v>
      </c>
      <c r="P3767" s="2">
        <v>-10000</v>
      </c>
      <c r="Q3767" s="2">
        <v>0</v>
      </c>
      <c r="R3767" s="2">
        <v>0</v>
      </c>
      <c r="S3767" s="2">
        <v>0</v>
      </c>
      <c r="T3767" s="2">
        <v>0</v>
      </c>
      <c r="U3767" s="2">
        <v>0</v>
      </c>
      <c r="V3767" s="2">
        <v>0</v>
      </c>
      <c r="W3767" s="2">
        <v>0</v>
      </c>
    </row>
    <row r="3768" spans="1:23" outlineLevel="2" x14ac:dyDescent="0.2">
      <c r="A3768" t="s">
        <v>1882</v>
      </c>
      <c r="B3768" t="s">
        <v>31</v>
      </c>
      <c r="C3768" t="s">
        <v>107</v>
      </c>
      <c r="D3768" t="s">
        <v>1168</v>
      </c>
      <c r="E3768" t="s">
        <v>1169</v>
      </c>
      <c r="F3768" t="s">
        <v>856</v>
      </c>
      <c r="G3768" t="s">
        <v>857</v>
      </c>
      <c r="H3768" t="s">
        <v>1173</v>
      </c>
      <c r="I3768" t="s">
        <v>1174</v>
      </c>
      <c r="J3768" t="s">
        <v>1883</v>
      </c>
      <c r="K3768" t="s">
        <v>1891</v>
      </c>
      <c r="L3768" t="s">
        <v>1897</v>
      </c>
      <c r="M3768" t="s">
        <v>12</v>
      </c>
      <c r="N3768" s="2">
        <v>15000</v>
      </c>
      <c r="O3768" s="2">
        <v>0</v>
      </c>
      <c r="P3768" s="2">
        <v>-15000</v>
      </c>
      <c r="Q3768" s="2">
        <v>0</v>
      </c>
      <c r="R3768" s="2">
        <v>0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</row>
    <row r="3769" spans="1:23" outlineLevel="2" x14ac:dyDescent="0.2">
      <c r="A3769" t="s">
        <v>1882</v>
      </c>
      <c r="B3769" t="s">
        <v>31</v>
      </c>
      <c r="C3769" t="s">
        <v>107</v>
      </c>
      <c r="D3769" t="s">
        <v>1168</v>
      </c>
      <c r="E3769" t="s">
        <v>1169</v>
      </c>
      <c r="F3769" t="s">
        <v>856</v>
      </c>
      <c r="G3769" t="s">
        <v>857</v>
      </c>
      <c r="H3769" t="s">
        <v>1173</v>
      </c>
      <c r="I3769" t="s">
        <v>1174</v>
      </c>
      <c r="J3769" t="s">
        <v>1883</v>
      </c>
      <c r="K3769" t="s">
        <v>1884</v>
      </c>
      <c r="L3769" t="s">
        <v>1896</v>
      </c>
      <c r="M3769" t="s">
        <v>12</v>
      </c>
      <c r="N3769" s="2">
        <v>24070</v>
      </c>
      <c r="O3769" s="2">
        <v>-24070</v>
      </c>
      <c r="P3769" s="2">
        <v>0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0</v>
      </c>
      <c r="W3769" s="2">
        <v>0</v>
      </c>
    </row>
    <row r="3770" spans="1:23" outlineLevel="2" x14ac:dyDescent="0.2">
      <c r="A3770" t="s">
        <v>1882</v>
      </c>
      <c r="B3770" t="s">
        <v>31</v>
      </c>
      <c r="C3770" t="s">
        <v>107</v>
      </c>
      <c r="D3770" t="s">
        <v>1168</v>
      </c>
      <c r="E3770" t="s">
        <v>1169</v>
      </c>
      <c r="F3770" t="s">
        <v>856</v>
      </c>
      <c r="G3770" t="s">
        <v>857</v>
      </c>
      <c r="H3770" t="s">
        <v>1173</v>
      </c>
      <c r="I3770" t="s">
        <v>1174</v>
      </c>
      <c r="J3770" t="s">
        <v>1883</v>
      </c>
      <c r="K3770" t="s">
        <v>1886</v>
      </c>
      <c r="L3770" t="s">
        <v>1899</v>
      </c>
      <c r="M3770" t="s">
        <v>12</v>
      </c>
      <c r="N3770" s="2">
        <v>5000</v>
      </c>
      <c r="O3770" s="2">
        <v>0</v>
      </c>
      <c r="P3770" s="2">
        <v>-5000</v>
      </c>
      <c r="Q3770" s="2">
        <v>0</v>
      </c>
      <c r="R3770" s="2">
        <v>0</v>
      </c>
      <c r="S3770" s="2">
        <v>0</v>
      </c>
      <c r="T3770" s="2">
        <v>0</v>
      </c>
      <c r="U3770" s="2">
        <v>0</v>
      </c>
      <c r="V3770" s="2">
        <v>0</v>
      </c>
      <c r="W3770" s="2">
        <v>0</v>
      </c>
    </row>
    <row r="3771" spans="1:23" outlineLevel="2" x14ac:dyDescent="0.2">
      <c r="A3771" t="s">
        <v>1882</v>
      </c>
      <c r="B3771" t="s">
        <v>31</v>
      </c>
      <c r="C3771" t="s">
        <v>107</v>
      </c>
      <c r="D3771" t="s">
        <v>108</v>
      </c>
      <c r="E3771" t="s">
        <v>109</v>
      </c>
      <c r="F3771" t="s">
        <v>856</v>
      </c>
      <c r="G3771" t="s">
        <v>857</v>
      </c>
      <c r="H3771" t="s">
        <v>1187</v>
      </c>
      <c r="I3771" t="s">
        <v>1188</v>
      </c>
      <c r="J3771" t="s">
        <v>1883</v>
      </c>
      <c r="K3771" t="s">
        <v>1891</v>
      </c>
      <c r="L3771" t="s">
        <v>1897</v>
      </c>
      <c r="M3771" t="s">
        <v>12</v>
      </c>
      <c r="N3771" s="2">
        <v>5000</v>
      </c>
      <c r="O3771" s="2">
        <v>0</v>
      </c>
      <c r="P3771" s="2">
        <v>-5000</v>
      </c>
      <c r="Q3771" s="2">
        <v>0</v>
      </c>
      <c r="R3771" s="2">
        <v>0</v>
      </c>
      <c r="S3771" s="2">
        <v>0</v>
      </c>
      <c r="T3771" s="2">
        <v>0</v>
      </c>
      <c r="U3771" s="2">
        <v>0</v>
      </c>
      <c r="V3771" s="2">
        <v>0</v>
      </c>
      <c r="W3771" s="2">
        <v>0</v>
      </c>
    </row>
    <row r="3772" spans="1:23" outlineLevel="2" x14ac:dyDescent="0.2">
      <c r="A3772" t="s">
        <v>1882</v>
      </c>
      <c r="B3772" t="s">
        <v>31</v>
      </c>
      <c r="C3772" t="s">
        <v>107</v>
      </c>
      <c r="D3772" t="s">
        <v>108</v>
      </c>
      <c r="E3772" t="s">
        <v>109</v>
      </c>
      <c r="F3772" t="s">
        <v>856</v>
      </c>
      <c r="G3772" t="s">
        <v>857</v>
      </c>
      <c r="H3772" t="s">
        <v>1187</v>
      </c>
      <c r="I3772" t="s">
        <v>1188</v>
      </c>
      <c r="J3772" t="s">
        <v>1883</v>
      </c>
      <c r="K3772" t="s">
        <v>1884</v>
      </c>
      <c r="L3772" t="s">
        <v>1896</v>
      </c>
      <c r="M3772" t="s">
        <v>12</v>
      </c>
      <c r="N3772" s="2">
        <v>60000</v>
      </c>
      <c r="O3772" s="2">
        <v>-7000</v>
      </c>
      <c r="P3772" s="2">
        <v>-53000</v>
      </c>
      <c r="Q3772" s="2">
        <v>0</v>
      </c>
      <c r="R3772" s="2">
        <v>0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</row>
    <row r="3773" spans="1:23" outlineLevel="2" x14ac:dyDescent="0.2">
      <c r="A3773" t="s">
        <v>1882</v>
      </c>
      <c r="B3773" t="s">
        <v>31</v>
      </c>
      <c r="C3773" t="s">
        <v>107</v>
      </c>
      <c r="D3773" t="s">
        <v>108</v>
      </c>
      <c r="E3773" t="s">
        <v>109</v>
      </c>
      <c r="F3773" t="s">
        <v>856</v>
      </c>
      <c r="G3773" t="s">
        <v>857</v>
      </c>
      <c r="H3773" t="s">
        <v>1187</v>
      </c>
      <c r="I3773" t="s">
        <v>1188</v>
      </c>
      <c r="J3773" t="s">
        <v>1883</v>
      </c>
      <c r="K3773" t="s">
        <v>1886</v>
      </c>
      <c r="L3773" t="s">
        <v>1899</v>
      </c>
      <c r="M3773" t="s">
        <v>12</v>
      </c>
      <c r="N3773" s="2">
        <v>5000</v>
      </c>
      <c r="O3773" s="2">
        <v>0</v>
      </c>
      <c r="P3773" s="2">
        <v>-5000</v>
      </c>
      <c r="Q3773" s="2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</row>
    <row r="3774" spans="1:23" outlineLevel="2" x14ac:dyDescent="0.2">
      <c r="A3774" t="s">
        <v>1882</v>
      </c>
      <c r="B3774" t="s">
        <v>31</v>
      </c>
      <c r="C3774" t="s">
        <v>107</v>
      </c>
      <c r="D3774" t="s">
        <v>108</v>
      </c>
      <c r="E3774" t="s">
        <v>109</v>
      </c>
      <c r="F3774" t="s">
        <v>856</v>
      </c>
      <c r="G3774" t="s">
        <v>857</v>
      </c>
      <c r="H3774" t="s">
        <v>1187</v>
      </c>
      <c r="I3774" t="s">
        <v>1188</v>
      </c>
      <c r="J3774" t="s">
        <v>1883</v>
      </c>
      <c r="K3774" t="s">
        <v>1900</v>
      </c>
      <c r="L3774" t="s">
        <v>1901</v>
      </c>
      <c r="M3774" t="s">
        <v>12</v>
      </c>
      <c r="N3774" s="2">
        <v>10000</v>
      </c>
      <c r="O3774" s="2">
        <v>0</v>
      </c>
      <c r="P3774" s="2">
        <v>-10000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</row>
    <row r="3775" spans="1:23" outlineLevel="2" x14ac:dyDescent="0.2">
      <c r="A3775" t="s">
        <v>1882</v>
      </c>
      <c r="B3775" t="s">
        <v>53</v>
      </c>
      <c r="C3775" t="s">
        <v>54</v>
      </c>
      <c r="D3775" t="s">
        <v>55</v>
      </c>
      <c r="E3775" t="s">
        <v>56</v>
      </c>
      <c r="F3775" t="s">
        <v>1196</v>
      </c>
      <c r="G3775" t="s">
        <v>1197</v>
      </c>
      <c r="H3775" t="s">
        <v>1202</v>
      </c>
      <c r="I3775" t="s">
        <v>1203</v>
      </c>
      <c r="J3775" t="s">
        <v>1883</v>
      </c>
      <c r="K3775" t="s">
        <v>1884</v>
      </c>
      <c r="L3775" t="s">
        <v>1902</v>
      </c>
      <c r="M3775" t="s">
        <v>12</v>
      </c>
      <c r="N3775" s="2">
        <v>434563.92</v>
      </c>
      <c r="O3775" s="2">
        <v>-279743.2</v>
      </c>
      <c r="P3775" s="2">
        <v>-149175.92000000001</v>
      </c>
      <c r="Q3775" s="2">
        <v>5644.8</v>
      </c>
      <c r="R3775" s="2">
        <v>0</v>
      </c>
      <c r="S3775" s="2">
        <v>5644.8</v>
      </c>
      <c r="T3775" s="2">
        <v>5644.8</v>
      </c>
      <c r="U3775" s="2">
        <v>0</v>
      </c>
      <c r="V3775" s="2">
        <v>0</v>
      </c>
      <c r="W3775" s="2">
        <v>0</v>
      </c>
    </row>
    <row r="3776" spans="1:23" outlineLevel="2" x14ac:dyDescent="0.2">
      <c r="A3776" t="s">
        <v>1882</v>
      </c>
      <c r="B3776" t="s">
        <v>53</v>
      </c>
      <c r="C3776" t="s">
        <v>54</v>
      </c>
      <c r="D3776" t="s">
        <v>55</v>
      </c>
      <c r="E3776" t="s">
        <v>56</v>
      </c>
      <c r="F3776" t="s">
        <v>1196</v>
      </c>
      <c r="G3776" t="s">
        <v>1197</v>
      </c>
      <c r="H3776" t="s">
        <v>1202</v>
      </c>
      <c r="I3776" t="s">
        <v>1203</v>
      </c>
      <c r="J3776" t="s">
        <v>1883</v>
      </c>
      <c r="K3776" t="s">
        <v>1886</v>
      </c>
      <c r="L3776" t="s">
        <v>1903</v>
      </c>
      <c r="M3776" t="s">
        <v>12</v>
      </c>
      <c r="N3776" s="2">
        <v>10000</v>
      </c>
      <c r="O3776" s="2">
        <v>11922.74</v>
      </c>
      <c r="P3776" s="2">
        <v>0</v>
      </c>
      <c r="Q3776" s="2">
        <v>21922.74</v>
      </c>
      <c r="R3776" s="2">
        <v>0</v>
      </c>
      <c r="S3776" s="2">
        <v>21922.74</v>
      </c>
      <c r="T3776" s="2">
        <v>21922.74</v>
      </c>
      <c r="U3776" s="2">
        <v>0</v>
      </c>
      <c r="V3776" s="2">
        <v>0</v>
      </c>
      <c r="W3776" s="2">
        <v>0</v>
      </c>
    </row>
    <row r="3777" spans="1:23" outlineLevel="2" x14ac:dyDescent="0.2">
      <c r="A3777" t="s">
        <v>1882</v>
      </c>
      <c r="B3777" t="s">
        <v>39</v>
      </c>
      <c r="C3777" t="s">
        <v>58</v>
      </c>
      <c r="D3777" t="s">
        <v>143</v>
      </c>
      <c r="E3777" t="s">
        <v>144</v>
      </c>
      <c r="F3777" t="s">
        <v>1220</v>
      </c>
      <c r="G3777" t="s">
        <v>1221</v>
      </c>
      <c r="H3777" t="s">
        <v>1222</v>
      </c>
      <c r="I3777" t="s">
        <v>1223</v>
      </c>
      <c r="J3777" t="s">
        <v>1883</v>
      </c>
      <c r="K3777" t="s">
        <v>1886</v>
      </c>
      <c r="L3777" t="s">
        <v>1904</v>
      </c>
      <c r="M3777" t="s">
        <v>12</v>
      </c>
      <c r="N3777" s="2">
        <v>1500</v>
      </c>
      <c r="O3777" s="2">
        <v>0</v>
      </c>
      <c r="P3777" s="2">
        <v>0</v>
      </c>
      <c r="Q3777" s="2">
        <v>1500</v>
      </c>
      <c r="R3777" s="2">
        <v>0</v>
      </c>
      <c r="S3777" s="2">
        <v>1432.48</v>
      </c>
      <c r="T3777" s="2">
        <v>1432.48</v>
      </c>
      <c r="U3777" s="2">
        <v>67.52</v>
      </c>
      <c r="V3777" s="2">
        <v>67.52</v>
      </c>
      <c r="W3777" s="2">
        <v>67.52</v>
      </c>
    </row>
    <row r="3778" spans="1:23" outlineLevel="2" x14ac:dyDescent="0.2">
      <c r="A3778" t="s">
        <v>1882</v>
      </c>
      <c r="B3778" t="s">
        <v>31</v>
      </c>
      <c r="C3778" t="s">
        <v>79</v>
      </c>
      <c r="D3778" t="s">
        <v>83</v>
      </c>
      <c r="E3778" t="s">
        <v>84</v>
      </c>
      <c r="F3778" t="s">
        <v>874</v>
      </c>
      <c r="G3778" t="s">
        <v>875</v>
      </c>
      <c r="H3778" t="s">
        <v>1251</v>
      </c>
      <c r="I3778" t="s">
        <v>1252</v>
      </c>
      <c r="J3778" t="s">
        <v>1883</v>
      </c>
      <c r="K3778" t="s">
        <v>1886</v>
      </c>
      <c r="L3778" t="s">
        <v>1905</v>
      </c>
      <c r="M3778" t="s">
        <v>12</v>
      </c>
      <c r="N3778" s="2">
        <v>5934.84</v>
      </c>
      <c r="O3778" s="2">
        <v>-5934.84</v>
      </c>
      <c r="P3778" s="2">
        <v>0</v>
      </c>
      <c r="Q3778" s="2">
        <v>0</v>
      </c>
      <c r="R3778" s="2">
        <v>0</v>
      </c>
      <c r="S3778" s="2">
        <v>0</v>
      </c>
      <c r="T3778" s="2">
        <v>0</v>
      </c>
      <c r="U3778" s="2">
        <v>0</v>
      </c>
      <c r="V3778" s="2">
        <v>0</v>
      </c>
      <c r="W3778" s="2">
        <v>0</v>
      </c>
    </row>
    <row r="3779" spans="1:23" outlineLevel="2" x14ac:dyDescent="0.2">
      <c r="A3779" t="s">
        <v>1882</v>
      </c>
      <c r="B3779" t="s">
        <v>31</v>
      </c>
      <c r="C3779" t="s">
        <v>79</v>
      </c>
      <c r="D3779" t="s">
        <v>83</v>
      </c>
      <c r="E3779" t="s">
        <v>84</v>
      </c>
      <c r="F3779" t="s">
        <v>874</v>
      </c>
      <c r="G3779" t="s">
        <v>875</v>
      </c>
      <c r="H3779" t="s">
        <v>1251</v>
      </c>
      <c r="I3779" t="s">
        <v>1252</v>
      </c>
      <c r="J3779" t="s">
        <v>1883</v>
      </c>
      <c r="K3779" t="s">
        <v>1906</v>
      </c>
      <c r="L3779" t="s">
        <v>1907</v>
      </c>
      <c r="M3779" t="s">
        <v>12</v>
      </c>
      <c r="N3779" s="2">
        <v>0</v>
      </c>
      <c r="O3779" s="2">
        <v>1000</v>
      </c>
      <c r="P3779" s="2">
        <v>-1000</v>
      </c>
      <c r="Q3779" s="2">
        <v>0</v>
      </c>
      <c r="R3779" s="2">
        <v>0</v>
      </c>
      <c r="S3779" s="2">
        <v>0</v>
      </c>
      <c r="T3779" s="2">
        <v>0</v>
      </c>
      <c r="U3779" s="2">
        <v>0</v>
      </c>
      <c r="V3779" s="2">
        <v>0</v>
      </c>
      <c r="W3779" s="2">
        <v>0</v>
      </c>
    </row>
    <row r="3780" spans="1:23" outlineLevel="2" x14ac:dyDescent="0.2">
      <c r="A3780" t="s">
        <v>1882</v>
      </c>
      <c r="B3780" t="s">
        <v>31</v>
      </c>
      <c r="C3780" t="s">
        <v>79</v>
      </c>
      <c r="D3780" t="s">
        <v>80</v>
      </c>
      <c r="E3780" t="s">
        <v>81</v>
      </c>
      <c r="F3780" t="s">
        <v>883</v>
      </c>
      <c r="G3780" t="s">
        <v>884</v>
      </c>
      <c r="H3780" t="s">
        <v>1255</v>
      </c>
      <c r="I3780" t="s">
        <v>1256</v>
      </c>
      <c r="J3780" t="s">
        <v>1883</v>
      </c>
      <c r="K3780" t="s">
        <v>1891</v>
      </c>
      <c r="L3780" t="s">
        <v>1908</v>
      </c>
      <c r="M3780" t="s">
        <v>12</v>
      </c>
      <c r="N3780" s="2">
        <v>0</v>
      </c>
      <c r="O3780" s="2">
        <v>14000</v>
      </c>
      <c r="P3780" s="2">
        <v>0</v>
      </c>
      <c r="Q3780" s="2">
        <v>14000</v>
      </c>
      <c r="R3780" s="2">
        <v>0.02</v>
      </c>
      <c r="S3780" s="2">
        <v>13942.48</v>
      </c>
      <c r="T3780" s="2">
        <v>0</v>
      </c>
      <c r="U3780" s="2">
        <v>57.52</v>
      </c>
      <c r="V3780" s="2">
        <v>14000</v>
      </c>
      <c r="W3780" s="2">
        <v>57.5</v>
      </c>
    </row>
    <row r="3781" spans="1:23" outlineLevel="2" x14ac:dyDescent="0.2">
      <c r="A3781" t="s">
        <v>1882</v>
      </c>
      <c r="B3781" t="s">
        <v>31</v>
      </c>
      <c r="C3781" t="s">
        <v>79</v>
      </c>
      <c r="D3781" t="s">
        <v>125</v>
      </c>
      <c r="E3781" t="s">
        <v>126</v>
      </c>
      <c r="F3781" t="s">
        <v>883</v>
      </c>
      <c r="G3781" t="s">
        <v>884</v>
      </c>
      <c r="H3781" t="s">
        <v>1255</v>
      </c>
      <c r="I3781" t="s">
        <v>1256</v>
      </c>
      <c r="J3781" t="s">
        <v>1883</v>
      </c>
      <c r="K3781" t="s">
        <v>1891</v>
      </c>
      <c r="L3781" t="s">
        <v>1908</v>
      </c>
      <c r="M3781" t="s">
        <v>12</v>
      </c>
      <c r="N3781" s="2">
        <v>124571.42</v>
      </c>
      <c r="O3781" s="2">
        <v>0</v>
      </c>
      <c r="P3781" s="2">
        <v>-124571.42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2">
        <v>0</v>
      </c>
    </row>
    <row r="3782" spans="1:23" outlineLevel="2" x14ac:dyDescent="0.2">
      <c r="A3782" t="s">
        <v>1882</v>
      </c>
      <c r="B3782" t="s">
        <v>31</v>
      </c>
      <c r="C3782" t="s">
        <v>79</v>
      </c>
      <c r="D3782" t="s">
        <v>80</v>
      </c>
      <c r="E3782" t="s">
        <v>81</v>
      </c>
      <c r="F3782" t="s">
        <v>883</v>
      </c>
      <c r="G3782" t="s">
        <v>884</v>
      </c>
      <c r="H3782" t="s">
        <v>1255</v>
      </c>
      <c r="I3782" t="s">
        <v>1256</v>
      </c>
      <c r="J3782" t="s">
        <v>1883</v>
      </c>
      <c r="K3782" t="s">
        <v>1884</v>
      </c>
      <c r="L3782" t="s">
        <v>1909</v>
      </c>
      <c r="M3782" t="s">
        <v>12</v>
      </c>
      <c r="N3782" s="2">
        <v>48200</v>
      </c>
      <c r="O3782" s="2">
        <v>-14000</v>
      </c>
      <c r="P3782" s="2">
        <v>-24800</v>
      </c>
      <c r="Q3782" s="2">
        <v>9400</v>
      </c>
      <c r="R3782" s="2">
        <v>0</v>
      </c>
      <c r="S3782" s="2">
        <v>5700</v>
      </c>
      <c r="T3782" s="2">
        <v>0</v>
      </c>
      <c r="U3782" s="2">
        <v>3700</v>
      </c>
      <c r="V3782" s="2">
        <v>9400</v>
      </c>
      <c r="W3782" s="2">
        <v>3700</v>
      </c>
    </row>
    <row r="3783" spans="1:23" outlineLevel="2" x14ac:dyDescent="0.2">
      <c r="A3783" t="s">
        <v>1882</v>
      </c>
      <c r="B3783" t="s">
        <v>31</v>
      </c>
      <c r="C3783" t="s">
        <v>79</v>
      </c>
      <c r="D3783" t="s">
        <v>127</v>
      </c>
      <c r="E3783" t="s">
        <v>128</v>
      </c>
      <c r="F3783" t="s">
        <v>883</v>
      </c>
      <c r="G3783" t="s">
        <v>884</v>
      </c>
      <c r="H3783" t="s">
        <v>1255</v>
      </c>
      <c r="I3783" t="s">
        <v>1256</v>
      </c>
      <c r="J3783" t="s">
        <v>1883</v>
      </c>
      <c r="K3783" t="s">
        <v>1884</v>
      </c>
      <c r="L3783" t="s">
        <v>1909</v>
      </c>
      <c r="M3783" t="s">
        <v>12</v>
      </c>
      <c r="N3783" s="2">
        <v>84000</v>
      </c>
      <c r="O3783" s="2">
        <v>-50400</v>
      </c>
      <c r="P3783" s="2">
        <v>-33600</v>
      </c>
      <c r="Q3783" s="2">
        <v>0</v>
      </c>
      <c r="R3783" s="2">
        <v>0</v>
      </c>
      <c r="S3783" s="2">
        <v>0</v>
      </c>
      <c r="T3783" s="2">
        <v>0</v>
      </c>
      <c r="U3783" s="2">
        <v>0</v>
      </c>
      <c r="V3783" s="2">
        <v>0</v>
      </c>
      <c r="W3783" s="2">
        <v>0</v>
      </c>
    </row>
    <row r="3784" spans="1:23" outlineLevel="2" x14ac:dyDescent="0.2">
      <c r="A3784" t="s">
        <v>1882</v>
      </c>
      <c r="B3784" t="s">
        <v>31</v>
      </c>
      <c r="C3784" t="s">
        <v>79</v>
      </c>
      <c r="D3784" t="s">
        <v>115</v>
      </c>
      <c r="E3784" t="s">
        <v>116</v>
      </c>
      <c r="F3784" t="s">
        <v>883</v>
      </c>
      <c r="G3784" t="s">
        <v>884</v>
      </c>
      <c r="H3784" t="s">
        <v>1255</v>
      </c>
      <c r="I3784" t="s">
        <v>1256</v>
      </c>
      <c r="J3784" t="s">
        <v>1883</v>
      </c>
      <c r="K3784" t="s">
        <v>1884</v>
      </c>
      <c r="L3784" t="s">
        <v>1909</v>
      </c>
      <c r="M3784" t="s">
        <v>12</v>
      </c>
      <c r="N3784" s="2">
        <v>6040</v>
      </c>
      <c r="O3784" s="2">
        <v>0</v>
      </c>
      <c r="P3784" s="2">
        <v>-6040</v>
      </c>
      <c r="Q3784" s="2">
        <v>0</v>
      </c>
      <c r="R3784" s="2">
        <v>0</v>
      </c>
      <c r="S3784" s="2">
        <v>0</v>
      </c>
      <c r="T3784" s="2">
        <v>0</v>
      </c>
      <c r="U3784" s="2">
        <v>0</v>
      </c>
      <c r="V3784" s="2">
        <v>0</v>
      </c>
      <c r="W3784" s="2">
        <v>0</v>
      </c>
    </row>
    <row r="3785" spans="1:23" outlineLevel="2" x14ac:dyDescent="0.2">
      <c r="A3785" t="s">
        <v>1882</v>
      </c>
      <c r="B3785" t="s">
        <v>31</v>
      </c>
      <c r="C3785" t="s">
        <v>79</v>
      </c>
      <c r="D3785" t="s">
        <v>113</v>
      </c>
      <c r="E3785" t="s">
        <v>114</v>
      </c>
      <c r="F3785" t="s">
        <v>883</v>
      </c>
      <c r="G3785" t="s">
        <v>884</v>
      </c>
      <c r="H3785" t="s">
        <v>1255</v>
      </c>
      <c r="I3785" t="s">
        <v>1256</v>
      </c>
      <c r="J3785" t="s">
        <v>1883</v>
      </c>
      <c r="K3785" t="s">
        <v>1886</v>
      </c>
      <c r="L3785" t="s">
        <v>1910</v>
      </c>
      <c r="M3785" t="s">
        <v>12</v>
      </c>
      <c r="N3785" s="2">
        <v>0</v>
      </c>
      <c r="O3785" s="2">
        <v>7000</v>
      </c>
      <c r="P3785" s="2">
        <v>0</v>
      </c>
      <c r="Q3785" s="2">
        <v>7000</v>
      </c>
      <c r="R3785" s="2">
        <v>0</v>
      </c>
      <c r="S3785" s="2">
        <v>6245.12</v>
      </c>
      <c r="T3785" s="2">
        <v>0</v>
      </c>
      <c r="U3785" s="2">
        <v>754.88</v>
      </c>
      <c r="V3785" s="2">
        <v>7000</v>
      </c>
      <c r="W3785" s="2">
        <v>754.88</v>
      </c>
    </row>
    <row r="3786" spans="1:23" outlineLevel="2" x14ac:dyDescent="0.2">
      <c r="A3786" t="s">
        <v>1882</v>
      </c>
      <c r="B3786" t="s">
        <v>31</v>
      </c>
      <c r="C3786" t="s">
        <v>79</v>
      </c>
      <c r="D3786" t="s">
        <v>125</v>
      </c>
      <c r="E3786" t="s">
        <v>126</v>
      </c>
      <c r="F3786" t="s">
        <v>883</v>
      </c>
      <c r="G3786" t="s">
        <v>884</v>
      </c>
      <c r="H3786" t="s">
        <v>1255</v>
      </c>
      <c r="I3786" t="s">
        <v>1256</v>
      </c>
      <c r="J3786" t="s">
        <v>1883</v>
      </c>
      <c r="K3786" t="s">
        <v>1886</v>
      </c>
      <c r="L3786" t="s">
        <v>1910</v>
      </c>
      <c r="M3786" t="s">
        <v>12</v>
      </c>
      <c r="N3786" s="2">
        <v>114720.11</v>
      </c>
      <c r="O3786" s="2">
        <v>0</v>
      </c>
      <c r="P3786" s="2">
        <v>-114720.11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</row>
    <row r="3787" spans="1:23" outlineLevel="2" x14ac:dyDescent="0.2">
      <c r="A3787" t="s">
        <v>1882</v>
      </c>
      <c r="B3787" t="s">
        <v>31</v>
      </c>
      <c r="C3787" t="s">
        <v>79</v>
      </c>
      <c r="D3787" t="s">
        <v>80</v>
      </c>
      <c r="E3787" t="s">
        <v>81</v>
      </c>
      <c r="F3787" t="s">
        <v>883</v>
      </c>
      <c r="G3787" t="s">
        <v>884</v>
      </c>
      <c r="H3787" t="s">
        <v>1255</v>
      </c>
      <c r="I3787" t="s">
        <v>1256</v>
      </c>
      <c r="J3787" t="s">
        <v>1883</v>
      </c>
      <c r="K3787" t="s">
        <v>1886</v>
      </c>
      <c r="L3787" t="s">
        <v>1910</v>
      </c>
      <c r="M3787" t="s">
        <v>12</v>
      </c>
      <c r="N3787" s="2">
        <v>74800</v>
      </c>
      <c r="O3787" s="2">
        <v>-2800</v>
      </c>
      <c r="P3787" s="2">
        <v>-72000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</row>
    <row r="3788" spans="1:23" outlineLevel="2" x14ac:dyDescent="0.2">
      <c r="A3788" t="s">
        <v>1882</v>
      </c>
      <c r="B3788" t="s">
        <v>31</v>
      </c>
      <c r="C3788" t="s">
        <v>79</v>
      </c>
      <c r="D3788" t="s">
        <v>83</v>
      </c>
      <c r="E3788" t="s">
        <v>84</v>
      </c>
      <c r="F3788" t="s">
        <v>883</v>
      </c>
      <c r="G3788" t="s">
        <v>884</v>
      </c>
      <c r="H3788" t="s">
        <v>1286</v>
      </c>
      <c r="I3788" t="s">
        <v>1287</v>
      </c>
      <c r="J3788" t="s">
        <v>1883</v>
      </c>
      <c r="K3788" t="s">
        <v>1886</v>
      </c>
      <c r="L3788" t="s">
        <v>1910</v>
      </c>
      <c r="M3788" t="s">
        <v>12</v>
      </c>
      <c r="N3788" s="2">
        <v>114480.66</v>
      </c>
      <c r="O3788" s="2">
        <v>0</v>
      </c>
      <c r="P3788" s="2">
        <v>-114480.66</v>
      </c>
      <c r="Q3788" s="2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</row>
    <row r="3789" spans="1:23" outlineLevel="2" x14ac:dyDescent="0.2">
      <c r="A3789" t="s">
        <v>1882</v>
      </c>
      <c r="B3789" t="s">
        <v>31</v>
      </c>
      <c r="C3789" t="s">
        <v>49</v>
      </c>
      <c r="D3789" t="s">
        <v>50</v>
      </c>
      <c r="E3789" t="s">
        <v>51</v>
      </c>
      <c r="F3789" t="s">
        <v>893</v>
      </c>
      <c r="G3789" t="s">
        <v>894</v>
      </c>
      <c r="H3789" t="s">
        <v>895</v>
      </c>
      <c r="I3789" t="s">
        <v>896</v>
      </c>
      <c r="J3789" t="s">
        <v>1883</v>
      </c>
      <c r="K3789" t="s">
        <v>1891</v>
      </c>
      <c r="L3789" t="s">
        <v>1911</v>
      </c>
      <c r="M3789" t="s">
        <v>12</v>
      </c>
      <c r="N3789" s="2">
        <v>9000</v>
      </c>
      <c r="O3789" s="2">
        <v>0</v>
      </c>
      <c r="P3789" s="2">
        <v>0</v>
      </c>
      <c r="Q3789" s="2">
        <v>9000</v>
      </c>
      <c r="R3789" s="2">
        <v>9000</v>
      </c>
      <c r="S3789" s="2">
        <v>0</v>
      </c>
      <c r="T3789" s="2">
        <v>0</v>
      </c>
      <c r="U3789" s="2">
        <v>9000</v>
      </c>
      <c r="V3789" s="2">
        <v>9000</v>
      </c>
      <c r="W3789" s="2">
        <v>0</v>
      </c>
    </row>
    <row r="3790" spans="1:23" outlineLevel="2" x14ac:dyDescent="0.2">
      <c r="A3790" t="s">
        <v>1882</v>
      </c>
      <c r="B3790" t="s">
        <v>31</v>
      </c>
      <c r="C3790" t="s">
        <v>49</v>
      </c>
      <c r="D3790" t="s">
        <v>50</v>
      </c>
      <c r="E3790" t="s">
        <v>51</v>
      </c>
      <c r="F3790" t="s">
        <v>893</v>
      </c>
      <c r="G3790" t="s">
        <v>894</v>
      </c>
      <c r="H3790" t="s">
        <v>895</v>
      </c>
      <c r="I3790" t="s">
        <v>896</v>
      </c>
      <c r="J3790" t="s">
        <v>1883</v>
      </c>
      <c r="K3790" t="s">
        <v>1884</v>
      </c>
      <c r="L3790" t="s">
        <v>1912</v>
      </c>
      <c r="M3790" t="s">
        <v>12</v>
      </c>
      <c r="N3790" s="2">
        <v>4500</v>
      </c>
      <c r="O3790" s="2">
        <v>0</v>
      </c>
      <c r="P3790" s="2">
        <v>0</v>
      </c>
      <c r="Q3790" s="2">
        <v>4500</v>
      </c>
      <c r="R3790" s="2">
        <v>0</v>
      </c>
      <c r="S3790" s="2">
        <v>0</v>
      </c>
      <c r="T3790" s="2">
        <v>0</v>
      </c>
      <c r="U3790" s="2">
        <v>4500</v>
      </c>
      <c r="V3790" s="2">
        <v>4500</v>
      </c>
      <c r="W3790" s="2">
        <v>4500</v>
      </c>
    </row>
    <row r="3791" spans="1:23" outlineLevel="2" x14ac:dyDescent="0.2">
      <c r="A3791" t="s">
        <v>1882</v>
      </c>
      <c r="B3791" t="s">
        <v>31</v>
      </c>
      <c r="C3791" t="s">
        <v>49</v>
      </c>
      <c r="D3791" t="s">
        <v>50</v>
      </c>
      <c r="E3791" t="s">
        <v>51</v>
      </c>
      <c r="F3791" t="s">
        <v>893</v>
      </c>
      <c r="G3791" t="s">
        <v>894</v>
      </c>
      <c r="H3791" t="s">
        <v>895</v>
      </c>
      <c r="I3791" t="s">
        <v>896</v>
      </c>
      <c r="J3791" t="s">
        <v>1883</v>
      </c>
      <c r="K3791" t="s">
        <v>1886</v>
      </c>
      <c r="L3791" t="s">
        <v>1913</v>
      </c>
      <c r="M3791" t="s">
        <v>12</v>
      </c>
      <c r="N3791" s="2">
        <v>7000</v>
      </c>
      <c r="O3791" s="2">
        <v>0</v>
      </c>
      <c r="P3791" s="2">
        <v>35600</v>
      </c>
      <c r="Q3791" s="2">
        <v>42600</v>
      </c>
      <c r="R3791" s="2">
        <v>38171.32</v>
      </c>
      <c r="S3791" s="2">
        <v>0</v>
      </c>
      <c r="T3791" s="2">
        <v>0</v>
      </c>
      <c r="U3791" s="2">
        <v>42600</v>
      </c>
      <c r="V3791" s="2">
        <v>42600</v>
      </c>
      <c r="W3791" s="2">
        <v>4428.68</v>
      </c>
    </row>
    <row r="3792" spans="1:23" outlineLevel="2" x14ac:dyDescent="0.2">
      <c r="A3792" t="s">
        <v>1882</v>
      </c>
      <c r="B3792" t="s">
        <v>31</v>
      </c>
      <c r="C3792" t="s">
        <v>49</v>
      </c>
      <c r="D3792" t="s">
        <v>50</v>
      </c>
      <c r="E3792" t="s">
        <v>51</v>
      </c>
      <c r="F3792" t="s">
        <v>893</v>
      </c>
      <c r="G3792" t="s">
        <v>894</v>
      </c>
      <c r="H3792" t="s">
        <v>895</v>
      </c>
      <c r="I3792" t="s">
        <v>896</v>
      </c>
      <c r="J3792" t="s">
        <v>1883</v>
      </c>
      <c r="K3792" t="s">
        <v>1914</v>
      </c>
      <c r="L3792" t="s">
        <v>1915</v>
      </c>
      <c r="M3792" t="s">
        <v>12</v>
      </c>
      <c r="N3792" s="2">
        <v>2000</v>
      </c>
      <c r="O3792" s="2">
        <v>0</v>
      </c>
      <c r="P3792" s="2">
        <v>0</v>
      </c>
      <c r="Q3792" s="2">
        <v>2000</v>
      </c>
      <c r="R3792" s="2">
        <v>2000</v>
      </c>
      <c r="S3792" s="2">
        <v>0</v>
      </c>
      <c r="T3792" s="2">
        <v>0</v>
      </c>
      <c r="U3792" s="2">
        <v>2000</v>
      </c>
      <c r="V3792" s="2">
        <v>2000</v>
      </c>
      <c r="W3792" s="2">
        <v>0</v>
      </c>
    </row>
    <row r="3793" spans="1:23" outlineLevel="2" x14ac:dyDescent="0.2">
      <c r="A3793" t="s">
        <v>1882</v>
      </c>
      <c r="B3793" t="s">
        <v>31</v>
      </c>
      <c r="C3793" t="s">
        <v>49</v>
      </c>
      <c r="D3793" t="s">
        <v>50</v>
      </c>
      <c r="E3793" t="s">
        <v>51</v>
      </c>
      <c r="F3793" t="s">
        <v>893</v>
      </c>
      <c r="G3793" t="s">
        <v>894</v>
      </c>
      <c r="H3793" t="s">
        <v>902</v>
      </c>
      <c r="I3793" t="s">
        <v>903</v>
      </c>
      <c r="J3793" t="s">
        <v>1883</v>
      </c>
      <c r="K3793" t="s">
        <v>1884</v>
      </c>
      <c r="L3793" t="s">
        <v>1912</v>
      </c>
      <c r="M3793" t="s">
        <v>12</v>
      </c>
      <c r="N3793" s="2">
        <v>118500</v>
      </c>
      <c r="O3793" s="2">
        <v>0</v>
      </c>
      <c r="P3793" s="2">
        <v>-118500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</row>
    <row r="3794" spans="1:23" outlineLevel="2" x14ac:dyDescent="0.2">
      <c r="A3794" t="s">
        <v>1882</v>
      </c>
      <c r="B3794" t="s">
        <v>31</v>
      </c>
      <c r="C3794" t="s">
        <v>49</v>
      </c>
      <c r="D3794" t="s">
        <v>50</v>
      </c>
      <c r="E3794" t="s">
        <v>51</v>
      </c>
      <c r="F3794" t="s">
        <v>893</v>
      </c>
      <c r="G3794" t="s">
        <v>894</v>
      </c>
      <c r="H3794" t="s">
        <v>902</v>
      </c>
      <c r="I3794" t="s">
        <v>903</v>
      </c>
      <c r="J3794" t="s">
        <v>1883</v>
      </c>
      <c r="K3794" t="s">
        <v>1886</v>
      </c>
      <c r="L3794" t="s">
        <v>1913</v>
      </c>
      <c r="M3794" t="s">
        <v>12</v>
      </c>
      <c r="N3794" s="2">
        <v>0</v>
      </c>
      <c r="O3794" s="2">
        <v>0</v>
      </c>
      <c r="P3794" s="2">
        <v>57000</v>
      </c>
      <c r="Q3794" s="2">
        <v>57000</v>
      </c>
      <c r="R3794" s="2">
        <v>0</v>
      </c>
      <c r="S3794" s="2">
        <v>0</v>
      </c>
      <c r="T3794" s="2">
        <v>0</v>
      </c>
      <c r="U3794" s="2">
        <v>57000</v>
      </c>
      <c r="V3794" s="2">
        <v>57000</v>
      </c>
      <c r="W3794" s="2">
        <v>57000</v>
      </c>
    </row>
    <row r="3795" spans="1:23" outlineLevel="2" x14ac:dyDescent="0.2">
      <c r="A3795" t="s">
        <v>1882</v>
      </c>
      <c r="B3795" t="s">
        <v>31</v>
      </c>
      <c r="C3795" t="s">
        <v>49</v>
      </c>
      <c r="D3795" t="s">
        <v>50</v>
      </c>
      <c r="E3795" t="s">
        <v>51</v>
      </c>
      <c r="F3795" t="s">
        <v>893</v>
      </c>
      <c r="G3795" t="s">
        <v>894</v>
      </c>
      <c r="H3795" t="s">
        <v>1346</v>
      </c>
      <c r="I3795" t="s">
        <v>1347</v>
      </c>
      <c r="J3795" t="s">
        <v>1883</v>
      </c>
      <c r="K3795" t="s">
        <v>1891</v>
      </c>
      <c r="L3795" t="s">
        <v>1911</v>
      </c>
      <c r="M3795" t="s">
        <v>12</v>
      </c>
      <c r="N3795" s="2">
        <v>15000</v>
      </c>
      <c r="O3795" s="2">
        <v>0</v>
      </c>
      <c r="P3795" s="2">
        <v>0</v>
      </c>
      <c r="Q3795" s="2">
        <v>15000</v>
      </c>
      <c r="R3795" s="2">
        <v>2477.08</v>
      </c>
      <c r="S3795" s="2">
        <v>12522.92</v>
      </c>
      <c r="T3795" s="2">
        <v>0</v>
      </c>
      <c r="U3795" s="2">
        <v>2477.08</v>
      </c>
      <c r="V3795" s="2">
        <v>15000</v>
      </c>
      <c r="W3795" s="2">
        <v>0</v>
      </c>
    </row>
    <row r="3796" spans="1:23" outlineLevel="2" x14ac:dyDescent="0.2">
      <c r="A3796" t="s">
        <v>1882</v>
      </c>
      <c r="B3796" t="s">
        <v>31</v>
      </c>
      <c r="C3796" t="s">
        <v>49</v>
      </c>
      <c r="D3796" t="s">
        <v>50</v>
      </c>
      <c r="E3796" t="s">
        <v>51</v>
      </c>
      <c r="F3796" t="s">
        <v>893</v>
      </c>
      <c r="G3796" t="s">
        <v>894</v>
      </c>
      <c r="H3796" t="s">
        <v>1346</v>
      </c>
      <c r="I3796" t="s">
        <v>1347</v>
      </c>
      <c r="J3796" t="s">
        <v>1883</v>
      </c>
      <c r="K3796" t="s">
        <v>1884</v>
      </c>
      <c r="L3796" t="s">
        <v>1912</v>
      </c>
      <c r="M3796" t="s">
        <v>12</v>
      </c>
      <c r="N3796" s="2">
        <v>25000.12</v>
      </c>
      <c r="O3796" s="2">
        <v>-25000.12</v>
      </c>
      <c r="P3796" s="2">
        <v>0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</row>
    <row r="3797" spans="1:23" outlineLevel="2" x14ac:dyDescent="0.2">
      <c r="A3797" t="s">
        <v>1882</v>
      </c>
      <c r="B3797" t="s">
        <v>31</v>
      </c>
      <c r="C3797" t="s">
        <v>49</v>
      </c>
      <c r="D3797" t="s">
        <v>50</v>
      </c>
      <c r="E3797" t="s">
        <v>51</v>
      </c>
      <c r="F3797" t="s">
        <v>893</v>
      </c>
      <c r="G3797" t="s">
        <v>894</v>
      </c>
      <c r="H3797" t="s">
        <v>1346</v>
      </c>
      <c r="I3797" t="s">
        <v>1347</v>
      </c>
      <c r="J3797" t="s">
        <v>1883</v>
      </c>
      <c r="K3797" t="s">
        <v>1886</v>
      </c>
      <c r="L3797" t="s">
        <v>1913</v>
      </c>
      <c r="M3797" t="s">
        <v>12</v>
      </c>
      <c r="N3797" s="2">
        <v>20000</v>
      </c>
      <c r="O3797" s="2">
        <v>0</v>
      </c>
      <c r="P3797" s="2">
        <v>0</v>
      </c>
      <c r="Q3797" s="2">
        <v>20000</v>
      </c>
      <c r="R3797" s="2">
        <v>19164</v>
      </c>
      <c r="S3797" s="2">
        <v>0</v>
      </c>
      <c r="T3797" s="2">
        <v>0</v>
      </c>
      <c r="U3797" s="2">
        <v>20000</v>
      </c>
      <c r="V3797" s="2">
        <v>20000</v>
      </c>
      <c r="W3797" s="2">
        <v>836</v>
      </c>
    </row>
    <row r="3798" spans="1:23" outlineLevel="2" x14ac:dyDescent="0.2">
      <c r="A3798" t="s">
        <v>1882</v>
      </c>
      <c r="B3798" t="s">
        <v>39</v>
      </c>
      <c r="C3798" t="s">
        <v>40</v>
      </c>
      <c r="D3798" t="s">
        <v>77</v>
      </c>
      <c r="E3798" t="s">
        <v>78</v>
      </c>
      <c r="F3798" t="s">
        <v>1354</v>
      </c>
      <c r="G3798" t="s">
        <v>1355</v>
      </c>
      <c r="H3798" t="s">
        <v>1356</v>
      </c>
      <c r="I3798" t="s">
        <v>1357</v>
      </c>
      <c r="J3798" t="s">
        <v>1883</v>
      </c>
      <c r="K3798" t="s">
        <v>1884</v>
      </c>
      <c r="L3798" t="s">
        <v>1916</v>
      </c>
      <c r="M3798" t="s">
        <v>12</v>
      </c>
      <c r="N3798" s="2">
        <v>205595.2</v>
      </c>
      <c r="O3798" s="2">
        <v>0</v>
      </c>
      <c r="P3798" s="2">
        <v>-40687.800000000003</v>
      </c>
      <c r="Q3798" s="2">
        <v>164907.4</v>
      </c>
      <c r="R3798" s="2">
        <v>22260.84</v>
      </c>
      <c r="S3798" s="2">
        <v>76160</v>
      </c>
      <c r="T3798" s="2">
        <v>0</v>
      </c>
      <c r="U3798" s="2">
        <v>88747.4</v>
      </c>
      <c r="V3798" s="2">
        <v>164907.4</v>
      </c>
      <c r="W3798" s="2">
        <v>66486.559999999998</v>
      </c>
    </row>
    <row r="3799" spans="1:23" outlineLevel="2" x14ac:dyDescent="0.2">
      <c r="A3799" t="s">
        <v>1882</v>
      </c>
      <c r="B3799" t="s">
        <v>39</v>
      </c>
      <c r="C3799" t="s">
        <v>40</v>
      </c>
      <c r="D3799" t="s">
        <v>77</v>
      </c>
      <c r="E3799" t="s">
        <v>78</v>
      </c>
      <c r="F3799" t="s">
        <v>1354</v>
      </c>
      <c r="G3799" t="s">
        <v>1355</v>
      </c>
      <c r="H3799" t="s">
        <v>1356</v>
      </c>
      <c r="I3799" t="s">
        <v>1357</v>
      </c>
      <c r="J3799" t="s">
        <v>1883</v>
      </c>
      <c r="K3799" t="s">
        <v>1886</v>
      </c>
      <c r="L3799" t="s">
        <v>1917</v>
      </c>
      <c r="M3799" t="s">
        <v>12</v>
      </c>
      <c r="N3799" s="2">
        <v>54500</v>
      </c>
      <c r="O3799" s="2">
        <v>0</v>
      </c>
      <c r="P3799" s="2">
        <v>-54500</v>
      </c>
      <c r="Q3799" s="2">
        <v>0</v>
      </c>
      <c r="R3799" s="2">
        <v>0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</row>
    <row r="3800" spans="1:23" outlineLevel="2" x14ac:dyDescent="0.2">
      <c r="A3800" t="s">
        <v>1882</v>
      </c>
      <c r="B3800" t="s">
        <v>39</v>
      </c>
      <c r="C3800" t="s">
        <v>40</v>
      </c>
      <c r="D3800" t="s">
        <v>77</v>
      </c>
      <c r="E3800" t="s">
        <v>78</v>
      </c>
      <c r="F3800" t="s">
        <v>1354</v>
      </c>
      <c r="G3800" t="s">
        <v>1355</v>
      </c>
      <c r="H3800" t="s">
        <v>1362</v>
      </c>
      <c r="I3800" t="s">
        <v>1363</v>
      </c>
      <c r="J3800" t="s">
        <v>1883</v>
      </c>
      <c r="K3800" t="s">
        <v>1884</v>
      </c>
      <c r="L3800" t="s">
        <v>1916</v>
      </c>
      <c r="M3800" t="s">
        <v>12</v>
      </c>
      <c r="N3800" s="2">
        <v>5000</v>
      </c>
      <c r="O3800" s="2">
        <v>0</v>
      </c>
      <c r="P3800" s="2">
        <v>-5000</v>
      </c>
      <c r="Q3800" s="2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</row>
    <row r="3801" spans="1:23" outlineLevel="2" x14ac:dyDescent="0.2">
      <c r="A3801" t="s">
        <v>1882</v>
      </c>
      <c r="B3801" t="s">
        <v>39</v>
      </c>
      <c r="C3801" t="s">
        <v>40</v>
      </c>
      <c r="D3801" t="s">
        <v>77</v>
      </c>
      <c r="E3801" t="s">
        <v>78</v>
      </c>
      <c r="F3801" t="s">
        <v>1354</v>
      </c>
      <c r="G3801" t="s">
        <v>1355</v>
      </c>
      <c r="H3801" t="s">
        <v>1362</v>
      </c>
      <c r="I3801" t="s">
        <v>1363</v>
      </c>
      <c r="J3801" t="s">
        <v>1883</v>
      </c>
      <c r="K3801" t="s">
        <v>1886</v>
      </c>
      <c r="L3801" t="s">
        <v>1917</v>
      </c>
      <c r="M3801" t="s">
        <v>12</v>
      </c>
      <c r="N3801" s="2">
        <v>8800</v>
      </c>
      <c r="O3801" s="2">
        <v>0</v>
      </c>
      <c r="P3801" s="2">
        <v>-8800</v>
      </c>
      <c r="Q3801" s="2">
        <v>0</v>
      </c>
      <c r="R3801" s="2">
        <v>0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</row>
    <row r="3802" spans="1:23" outlineLevel="2" x14ac:dyDescent="0.2">
      <c r="A3802" t="s">
        <v>1882</v>
      </c>
      <c r="B3802" t="s">
        <v>39</v>
      </c>
      <c r="C3802" t="s">
        <v>40</v>
      </c>
      <c r="D3802" t="s">
        <v>77</v>
      </c>
      <c r="E3802" t="s">
        <v>78</v>
      </c>
      <c r="F3802" t="s">
        <v>1354</v>
      </c>
      <c r="G3802" t="s">
        <v>1355</v>
      </c>
      <c r="H3802" t="s">
        <v>1369</v>
      </c>
      <c r="I3802" t="s">
        <v>1370</v>
      </c>
      <c r="J3802" t="s">
        <v>1883</v>
      </c>
      <c r="K3802" t="s">
        <v>1891</v>
      </c>
      <c r="L3802" t="s">
        <v>1918</v>
      </c>
      <c r="M3802" t="s">
        <v>12</v>
      </c>
      <c r="N3802" s="2">
        <v>0</v>
      </c>
      <c r="O3802" s="2">
        <v>640</v>
      </c>
      <c r="P3802" s="2">
        <v>0</v>
      </c>
      <c r="Q3802" s="2">
        <v>640</v>
      </c>
      <c r="R3802" s="2">
        <v>0</v>
      </c>
      <c r="S3802" s="2">
        <v>0</v>
      </c>
      <c r="T3802" s="2">
        <v>0</v>
      </c>
      <c r="U3802" s="2">
        <v>640</v>
      </c>
      <c r="V3802" s="2">
        <v>640</v>
      </c>
      <c r="W3802" s="2">
        <v>640</v>
      </c>
    </row>
    <row r="3803" spans="1:23" outlineLevel="2" x14ac:dyDescent="0.2">
      <c r="A3803" t="s">
        <v>1882</v>
      </c>
      <c r="B3803" t="s">
        <v>39</v>
      </c>
      <c r="C3803" t="s">
        <v>40</v>
      </c>
      <c r="D3803" t="s">
        <v>77</v>
      </c>
      <c r="E3803" t="s">
        <v>78</v>
      </c>
      <c r="F3803" t="s">
        <v>1354</v>
      </c>
      <c r="G3803" t="s">
        <v>1355</v>
      </c>
      <c r="H3803" t="s">
        <v>1369</v>
      </c>
      <c r="I3803" t="s">
        <v>1370</v>
      </c>
      <c r="J3803" t="s">
        <v>1883</v>
      </c>
      <c r="K3803" t="s">
        <v>1884</v>
      </c>
      <c r="L3803" t="s">
        <v>1916</v>
      </c>
      <c r="M3803" t="s">
        <v>12</v>
      </c>
      <c r="N3803" s="2">
        <v>3052296.2</v>
      </c>
      <c r="O3803" s="2">
        <v>-48357.919999999998</v>
      </c>
      <c r="P3803" s="2">
        <v>-2723512.93</v>
      </c>
      <c r="Q3803" s="2">
        <v>280425.34999999998</v>
      </c>
      <c r="R3803" s="2">
        <v>76.8</v>
      </c>
      <c r="S3803" s="2">
        <v>3483.2</v>
      </c>
      <c r="T3803" s="2">
        <v>3483.2</v>
      </c>
      <c r="U3803" s="2">
        <v>276942.15000000002</v>
      </c>
      <c r="V3803" s="2">
        <v>276942.15000000002</v>
      </c>
      <c r="W3803" s="2">
        <v>276865.34999999998</v>
      </c>
    </row>
    <row r="3804" spans="1:23" outlineLevel="2" x14ac:dyDescent="0.2">
      <c r="A3804" t="s">
        <v>1882</v>
      </c>
      <c r="B3804" t="s">
        <v>39</v>
      </c>
      <c r="C3804" t="s">
        <v>40</v>
      </c>
      <c r="D3804" t="s">
        <v>77</v>
      </c>
      <c r="E3804" t="s">
        <v>78</v>
      </c>
      <c r="F3804" t="s">
        <v>1354</v>
      </c>
      <c r="G3804" t="s">
        <v>1355</v>
      </c>
      <c r="H3804" t="s">
        <v>1369</v>
      </c>
      <c r="I3804" t="s">
        <v>1370</v>
      </c>
      <c r="J3804" t="s">
        <v>1883</v>
      </c>
      <c r="K3804" t="s">
        <v>1893</v>
      </c>
      <c r="L3804" t="s">
        <v>1919</v>
      </c>
      <c r="M3804" t="s">
        <v>12</v>
      </c>
      <c r="N3804" s="2">
        <v>0</v>
      </c>
      <c r="O3804" s="2">
        <v>3815.2</v>
      </c>
      <c r="P3804" s="2">
        <v>0</v>
      </c>
      <c r="Q3804" s="2">
        <v>3815.2</v>
      </c>
      <c r="R3804" s="2">
        <v>0</v>
      </c>
      <c r="S3804" s="2">
        <v>0</v>
      </c>
      <c r="T3804" s="2">
        <v>0</v>
      </c>
      <c r="U3804" s="2">
        <v>3815.2</v>
      </c>
      <c r="V3804" s="2">
        <v>3815.2</v>
      </c>
      <c r="W3804" s="2">
        <v>3815.2</v>
      </c>
    </row>
    <row r="3805" spans="1:23" outlineLevel="2" x14ac:dyDescent="0.2">
      <c r="A3805" t="s">
        <v>1882</v>
      </c>
      <c r="B3805" t="s">
        <v>39</v>
      </c>
      <c r="C3805" t="s">
        <v>40</v>
      </c>
      <c r="D3805" t="s">
        <v>77</v>
      </c>
      <c r="E3805" t="s">
        <v>78</v>
      </c>
      <c r="F3805" t="s">
        <v>1354</v>
      </c>
      <c r="G3805" t="s">
        <v>1355</v>
      </c>
      <c r="H3805" t="s">
        <v>1369</v>
      </c>
      <c r="I3805" t="s">
        <v>1370</v>
      </c>
      <c r="J3805" t="s">
        <v>1883</v>
      </c>
      <c r="K3805" t="s">
        <v>1886</v>
      </c>
      <c r="L3805" t="s">
        <v>1917</v>
      </c>
      <c r="M3805" t="s">
        <v>12</v>
      </c>
      <c r="N3805" s="2">
        <v>296800</v>
      </c>
      <c r="O3805" s="2">
        <v>0</v>
      </c>
      <c r="P3805" s="2">
        <v>-296800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</row>
    <row r="3806" spans="1:23" outlineLevel="2" x14ac:dyDescent="0.2">
      <c r="A3806" t="s">
        <v>1882</v>
      </c>
      <c r="B3806" t="s">
        <v>39</v>
      </c>
      <c r="C3806" t="s">
        <v>40</v>
      </c>
      <c r="D3806" t="s">
        <v>77</v>
      </c>
      <c r="E3806" t="s">
        <v>78</v>
      </c>
      <c r="F3806" t="s">
        <v>1354</v>
      </c>
      <c r="G3806" t="s">
        <v>1355</v>
      </c>
      <c r="H3806" t="s">
        <v>1369</v>
      </c>
      <c r="I3806" t="s">
        <v>1370</v>
      </c>
      <c r="J3806" t="s">
        <v>1883</v>
      </c>
      <c r="K3806" t="s">
        <v>1920</v>
      </c>
      <c r="L3806" t="s">
        <v>1921</v>
      </c>
      <c r="M3806" t="s">
        <v>12</v>
      </c>
      <c r="N3806" s="2">
        <v>0</v>
      </c>
      <c r="O3806" s="2">
        <v>200000</v>
      </c>
      <c r="P3806" s="2">
        <v>-200000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</row>
    <row r="3807" spans="1:23" outlineLevel="2" x14ac:dyDescent="0.2">
      <c r="A3807" t="s">
        <v>1882</v>
      </c>
      <c r="B3807" t="s">
        <v>39</v>
      </c>
      <c r="C3807" t="s">
        <v>40</v>
      </c>
      <c r="D3807" t="s">
        <v>77</v>
      </c>
      <c r="E3807" t="s">
        <v>78</v>
      </c>
      <c r="F3807" t="s">
        <v>1354</v>
      </c>
      <c r="G3807" t="s">
        <v>1355</v>
      </c>
      <c r="H3807" t="s">
        <v>1399</v>
      </c>
      <c r="I3807" t="s">
        <v>1400</v>
      </c>
      <c r="J3807" t="s">
        <v>1883</v>
      </c>
      <c r="K3807" t="s">
        <v>1891</v>
      </c>
      <c r="L3807" t="s">
        <v>1918</v>
      </c>
      <c r="M3807" t="s">
        <v>12</v>
      </c>
      <c r="N3807" s="2">
        <v>174739.6</v>
      </c>
      <c r="O3807" s="2">
        <v>0</v>
      </c>
      <c r="P3807" s="2">
        <v>-150000</v>
      </c>
      <c r="Q3807" s="2">
        <v>24739.599999999999</v>
      </c>
      <c r="R3807" s="2">
        <v>0</v>
      </c>
      <c r="S3807" s="2">
        <v>0</v>
      </c>
      <c r="T3807" s="2">
        <v>0</v>
      </c>
      <c r="U3807" s="2">
        <v>24739.599999999999</v>
      </c>
      <c r="V3807" s="2">
        <v>24739.599999999999</v>
      </c>
      <c r="W3807" s="2">
        <v>24739.599999999999</v>
      </c>
    </row>
    <row r="3808" spans="1:23" outlineLevel="2" x14ac:dyDescent="0.2">
      <c r="A3808" t="s">
        <v>1882</v>
      </c>
      <c r="B3808" t="s">
        <v>39</v>
      </c>
      <c r="C3808" t="s">
        <v>40</v>
      </c>
      <c r="D3808" t="s">
        <v>77</v>
      </c>
      <c r="E3808" t="s">
        <v>78</v>
      </c>
      <c r="F3808" t="s">
        <v>1354</v>
      </c>
      <c r="G3808" t="s">
        <v>1355</v>
      </c>
      <c r="H3808" t="s">
        <v>1399</v>
      </c>
      <c r="I3808" t="s">
        <v>1400</v>
      </c>
      <c r="J3808" t="s">
        <v>1883</v>
      </c>
      <c r="K3808" t="s">
        <v>1884</v>
      </c>
      <c r="L3808" t="s">
        <v>1916</v>
      </c>
      <c r="M3808" t="s">
        <v>12</v>
      </c>
      <c r="N3808" s="2">
        <v>78400</v>
      </c>
      <c r="O3808" s="2">
        <v>0</v>
      </c>
      <c r="P3808" s="2">
        <v>-78400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</row>
    <row r="3809" spans="1:23" outlineLevel="2" x14ac:dyDescent="0.2">
      <c r="A3809" t="s">
        <v>1882</v>
      </c>
      <c r="B3809" t="s">
        <v>39</v>
      </c>
      <c r="C3809" t="s">
        <v>40</v>
      </c>
      <c r="D3809" t="s">
        <v>77</v>
      </c>
      <c r="E3809" t="s">
        <v>78</v>
      </c>
      <c r="F3809" t="s">
        <v>1354</v>
      </c>
      <c r="G3809" t="s">
        <v>1355</v>
      </c>
      <c r="H3809" t="s">
        <v>1399</v>
      </c>
      <c r="I3809" t="s">
        <v>1400</v>
      </c>
      <c r="J3809" t="s">
        <v>1883</v>
      </c>
      <c r="K3809" t="s">
        <v>1886</v>
      </c>
      <c r="L3809" t="s">
        <v>1917</v>
      </c>
      <c r="M3809" t="s">
        <v>12</v>
      </c>
      <c r="N3809" s="2">
        <v>1636921.02</v>
      </c>
      <c r="O3809" s="2">
        <v>0</v>
      </c>
      <c r="P3809" s="2">
        <v>-848236.41</v>
      </c>
      <c r="Q3809" s="2">
        <v>788684.61</v>
      </c>
      <c r="R3809" s="2">
        <v>0</v>
      </c>
      <c r="S3809" s="2">
        <v>467510.4</v>
      </c>
      <c r="T3809" s="2">
        <v>467510.4</v>
      </c>
      <c r="U3809" s="2">
        <v>321174.21000000002</v>
      </c>
      <c r="V3809" s="2">
        <v>321174.21000000002</v>
      </c>
      <c r="W3809" s="2">
        <v>321174.21000000002</v>
      </c>
    </row>
    <row r="3810" spans="1:23" outlineLevel="2" x14ac:dyDescent="0.2">
      <c r="A3810" t="s">
        <v>1882</v>
      </c>
      <c r="B3810" t="s">
        <v>39</v>
      </c>
      <c r="C3810" t="s">
        <v>40</v>
      </c>
      <c r="D3810" t="s">
        <v>41</v>
      </c>
      <c r="E3810" t="s">
        <v>42</v>
      </c>
      <c r="F3810" t="s">
        <v>1403</v>
      </c>
      <c r="G3810" t="s">
        <v>1404</v>
      </c>
      <c r="H3810" t="s">
        <v>1405</v>
      </c>
      <c r="I3810" t="s">
        <v>1406</v>
      </c>
      <c r="J3810" t="s">
        <v>1883</v>
      </c>
      <c r="K3810" t="s">
        <v>1884</v>
      </c>
      <c r="L3810" t="s">
        <v>1922</v>
      </c>
      <c r="M3810" t="s">
        <v>12</v>
      </c>
      <c r="N3810" s="2">
        <v>0</v>
      </c>
      <c r="O3810" s="2">
        <v>4396</v>
      </c>
      <c r="P3810" s="2">
        <v>-4396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</row>
    <row r="3811" spans="1:23" outlineLevel="2" x14ac:dyDescent="0.2">
      <c r="A3811" t="s">
        <v>1882</v>
      </c>
      <c r="B3811" t="s">
        <v>39</v>
      </c>
      <c r="C3811" t="s">
        <v>40</v>
      </c>
      <c r="D3811" t="s">
        <v>41</v>
      </c>
      <c r="E3811" t="s">
        <v>42</v>
      </c>
      <c r="F3811" t="s">
        <v>1403</v>
      </c>
      <c r="G3811" t="s">
        <v>1404</v>
      </c>
      <c r="H3811" t="s">
        <v>1405</v>
      </c>
      <c r="I3811" t="s">
        <v>1406</v>
      </c>
      <c r="J3811" t="s">
        <v>1883</v>
      </c>
      <c r="K3811" t="s">
        <v>1886</v>
      </c>
      <c r="L3811" t="s">
        <v>1923</v>
      </c>
      <c r="M3811" t="s">
        <v>12</v>
      </c>
      <c r="N3811" s="2">
        <v>596480</v>
      </c>
      <c r="O3811" s="2">
        <v>-2288.16</v>
      </c>
      <c r="P3811" s="2">
        <v>-73000</v>
      </c>
      <c r="Q3811" s="2">
        <v>521191.84</v>
      </c>
      <c r="R3811" s="2">
        <v>0</v>
      </c>
      <c r="S3811" s="2">
        <v>7000</v>
      </c>
      <c r="T3811" s="2">
        <v>7000</v>
      </c>
      <c r="U3811" s="2">
        <v>514191.84</v>
      </c>
      <c r="V3811" s="2">
        <v>514191.84</v>
      </c>
      <c r="W3811" s="2">
        <v>514191.84</v>
      </c>
    </row>
    <row r="3812" spans="1:23" outlineLevel="2" x14ac:dyDescent="0.2">
      <c r="A3812" t="s">
        <v>1882</v>
      </c>
      <c r="B3812" t="s">
        <v>39</v>
      </c>
      <c r="C3812" t="s">
        <v>40</v>
      </c>
      <c r="D3812" t="s">
        <v>77</v>
      </c>
      <c r="E3812" t="s">
        <v>78</v>
      </c>
      <c r="F3812" t="s">
        <v>1403</v>
      </c>
      <c r="G3812" t="s">
        <v>1404</v>
      </c>
      <c r="H3812" t="s">
        <v>1414</v>
      </c>
      <c r="I3812" t="s">
        <v>1415</v>
      </c>
      <c r="J3812" t="s">
        <v>1883</v>
      </c>
      <c r="K3812" t="s">
        <v>1891</v>
      </c>
      <c r="L3812" t="s">
        <v>1924</v>
      </c>
      <c r="M3812" t="s">
        <v>12</v>
      </c>
      <c r="N3812" s="2">
        <v>0</v>
      </c>
      <c r="O3812" s="2">
        <v>3200</v>
      </c>
      <c r="P3812" s="2">
        <v>0</v>
      </c>
      <c r="Q3812" s="2">
        <v>3200</v>
      </c>
      <c r="R3812" s="2">
        <v>0</v>
      </c>
      <c r="S3812" s="2">
        <v>0</v>
      </c>
      <c r="T3812" s="2">
        <v>0</v>
      </c>
      <c r="U3812" s="2">
        <v>3200</v>
      </c>
      <c r="V3812" s="2">
        <v>3200</v>
      </c>
      <c r="W3812" s="2">
        <v>3200</v>
      </c>
    </row>
    <row r="3813" spans="1:23" outlineLevel="2" x14ac:dyDescent="0.2">
      <c r="A3813" t="s">
        <v>1882</v>
      </c>
      <c r="B3813" t="s">
        <v>1</v>
      </c>
      <c r="C3813" t="s">
        <v>2</v>
      </c>
      <c r="D3813" t="s">
        <v>463</v>
      </c>
      <c r="E3813" t="s">
        <v>464</v>
      </c>
      <c r="F3813" t="s">
        <v>911</v>
      </c>
      <c r="G3813" t="s">
        <v>912</v>
      </c>
      <c r="H3813" t="s">
        <v>913</v>
      </c>
      <c r="I3813" t="s">
        <v>914</v>
      </c>
      <c r="J3813" t="s">
        <v>1883</v>
      </c>
      <c r="K3813" t="s">
        <v>1884</v>
      </c>
      <c r="L3813" t="s">
        <v>1929</v>
      </c>
      <c r="M3813" t="s">
        <v>15</v>
      </c>
      <c r="N3813" s="2">
        <v>0</v>
      </c>
      <c r="O3813" s="2">
        <v>309115.96999999997</v>
      </c>
      <c r="P3813" s="2">
        <v>0</v>
      </c>
      <c r="Q3813" s="2">
        <v>309115.96999999997</v>
      </c>
      <c r="R3813" s="2">
        <v>0</v>
      </c>
      <c r="S3813" s="2">
        <v>309115.96999999997</v>
      </c>
      <c r="T3813" s="2">
        <v>0</v>
      </c>
      <c r="U3813" s="2">
        <v>0</v>
      </c>
      <c r="V3813" s="2">
        <v>309115.96999999997</v>
      </c>
      <c r="W3813" s="2">
        <v>0</v>
      </c>
    </row>
    <row r="3814" spans="1:23" outlineLevel="2" x14ac:dyDescent="0.2">
      <c r="A3814" t="s">
        <v>1882</v>
      </c>
      <c r="B3814" t="s">
        <v>1</v>
      </c>
      <c r="C3814" t="s">
        <v>2</v>
      </c>
      <c r="D3814" t="s">
        <v>3</v>
      </c>
      <c r="E3814" t="s">
        <v>4</v>
      </c>
      <c r="F3814" t="s">
        <v>911</v>
      </c>
      <c r="G3814" t="s">
        <v>912</v>
      </c>
      <c r="H3814" t="s">
        <v>1441</v>
      </c>
      <c r="I3814" t="s">
        <v>1442</v>
      </c>
      <c r="J3814" t="s">
        <v>1883</v>
      </c>
      <c r="K3814" t="s">
        <v>1891</v>
      </c>
      <c r="L3814" t="s">
        <v>1930</v>
      </c>
      <c r="M3814" t="s">
        <v>15</v>
      </c>
      <c r="N3814" s="2">
        <v>0</v>
      </c>
      <c r="O3814" s="2">
        <v>1510.77</v>
      </c>
      <c r="P3814" s="2">
        <v>-134.4</v>
      </c>
      <c r="Q3814" s="2">
        <v>1376.37</v>
      </c>
      <c r="R3814" s="2">
        <v>1376.37</v>
      </c>
      <c r="S3814" s="2">
        <v>0</v>
      </c>
      <c r="T3814" s="2">
        <v>0</v>
      </c>
      <c r="U3814" s="2">
        <v>1376.37</v>
      </c>
      <c r="V3814" s="2">
        <v>1376.37</v>
      </c>
      <c r="W3814" s="2">
        <v>0</v>
      </c>
    </row>
    <row r="3815" spans="1:23" outlineLevel="2" x14ac:dyDescent="0.2">
      <c r="A3815" t="s">
        <v>1882</v>
      </c>
      <c r="B3815" t="s">
        <v>1</v>
      </c>
      <c r="C3815" t="s">
        <v>2</v>
      </c>
      <c r="D3815" t="s">
        <v>3</v>
      </c>
      <c r="E3815" t="s">
        <v>4</v>
      </c>
      <c r="F3815" t="s">
        <v>911</v>
      </c>
      <c r="G3815" t="s">
        <v>912</v>
      </c>
      <c r="H3815" t="s">
        <v>1441</v>
      </c>
      <c r="I3815" t="s">
        <v>1442</v>
      </c>
      <c r="J3815" t="s">
        <v>1883</v>
      </c>
      <c r="K3815" t="s">
        <v>1884</v>
      </c>
      <c r="L3815" t="s">
        <v>1929</v>
      </c>
      <c r="M3815" t="s">
        <v>15</v>
      </c>
      <c r="N3815" s="2">
        <v>10000</v>
      </c>
      <c r="O3815" s="2">
        <v>-10000</v>
      </c>
      <c r="P3815" s="2">
        <v>0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0</v>
      </c>
      <c r="W3815" s="2">
        <v>0</v>
      </c>
    </row>
    <row r="3816" spans="1:23" outlineLevel="2" x14ac:dyDescent="0.2">
      <c r="A3816" t="s">
        <v>1882</v>
      </c>
      <c r="B3816" t="s">
        <v>1</v>
      </c>
      <c r="C3816" t="s">
        <v>2</v>
      </c>
      <c r="D3816" t="s">
        <v>3</v>
      </c>
      <c r="E3816" t="s">
        <v>4</v>
      </c>
      <c r="F3816" t="s">
        <v>911</v>
      </c>
      <c r="G3816" t="s">
        <v>912</v>
      </c>
      <c r="H3816" t="s">
        <v>1441</v>
      </c>
      <c r="I3816" t="s">
        <v>1442</v>
      </c>
      <c r="J3816" t="s">
        <v>1883</v>
      </c>
      <c r="K3816" t="s">
        <v>1886</v>
      </c>
      <c r="L3816" t="s">
        <v>1931</v>
      </c>
      <c r="M3816" t="s">
        <v>15</v>
      </c>
      <c r="N3816" s="2">
        <v>757633.67</v>
      </c>
      <c r="O3816" s="2">
        <v>2329.6</v>
      </c>
      <c r="P3816" s="2">
        <v>-748993.5</v>
      </c>
      <c r="Q3816" s="2">
        <v>10969.77</v>
      </c>
      <c r="R3816" s="2">
        <v>4591.17</v>
      </c>
      <c r="S3816" s="2">
        <v>6378.6</v>
      </c>
      <c r="T3816" s="2">
        <v>6378.6</v>
      </c>
      <c r="U3816" s="2">
        <v>4591.17</v>
      </c>
      <c r="V3816" s="2">
        <v>4591.17</v>
      </c>
      <c r="W3816" s="2">
        <v>0</v>
      </c>
    </row>
    <row r="3817" spans="1:23" outlineLevel="2" x14ac:dyDescent="0.2">
      <c r="A3817" t="s">
        <v>1882</v>
      </c>
      <c r="B3817" t="s">
        <v>1</v>
      </c>
      <c r="C3817" t="s">
        <v>2</v>
      </c>
      <c r="D3817" t="s">
        <v>3</v>
      </c>
      <c r="E3817" t="s">
        <v>4</v>
      </c>
      <c r="F3817" t="s">
        <v>911</v>
      </c>
      <c r="G3817" t="s">
        <v>912</v>
      </c>
      <c r="H3817" t="s">
        <v>1441</v>
      </c>
      <c r="I3817" t="s">
        <v>1442</v>
      </c>
      <c r="J3817" t="s">
        <v>1883</v>
      </c>
      <c r="K3817" t="s">
        <v>1886</v>
      </c>
      <c r="L3817" t="s">
        <v>1931</v>
      </c>
      <c r="M3817" t="s">
        <v>12</v>
      </c>
      <c r="N3817" s="2">
        <v>0</v>
      </c>
      <c r="O3817" s="2">
        <v>0</v>
      </c>
      <c r="P3817" s="2">
        <v>39681.9</v>
      </c>
      <c r="Q3817" s="2">
        <v>39681.9</v>
      </c>
      <c r="R3817" s="2">
        <v>38198.43</v>
      </c>
      <c r="S3817" s="2">
        <v>0</v>
      </c>
      <c r="T3817" s="2">
        <v>0</v>
      </c>
      <c r="U3817" s="2">
        <v>39681.9</v>
      </c>
      <c r="V3817" s="2">
        <v>39681.9</v>
      </c>
      <c r="W3817" s="2">
        <v>1483.47</v>
      </c>
    </row>
    <row r="3818" spans="1:23" outlineLevel="2" x14ac:dyDescent="0.2">
      <c r="A3818" t="s">
        <v>1882</v>
      </c>
      <c r="B3818" t="s">
        <v>1</v>
      </c>
      <c r="C3818" t="s">
        <v>2</v>
      </c>
      <c r="D3818" t="s">
        <v>3</v>
      </c>
      <c r="E3818" t="s">
        <v>4</v>
      </c>
      <c r="F3818" t="s">
        <v>911</v>
      </c>
      <c r="G3818" t="s">
        <v>912</v>
      </c>
      <c r="H3818" t="s">
        <v>1441</v>
      </c>
      <c r="I3818" t="s">
        <v>1442</v>
      </c>
      <c r="J3818" t="s">
        <v>1883</v>
      </c>
      <c r="K3818" t="s">
        <v>1932</v>
      </c>
      <c r="L3818" t="s">
        <v>1933</v>
      </c>
      <c r="M3818" t="s">
        <v>15</v>
      </c>
      <c r="N3818" s="2">
        <v>0</v>
      </c>
      <c r="O3818" s="2">
        <v>87344.78</v>
      </c>
      <c r="P3818" s="2">
        <v>-87344.78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</row>
    <row r="3819" spans="1:23" outlineLevel="2" x14ac:dyDescent="0.2">
      <c r="A3819" t="s">
        <v>1882</v>
      </c>
      <c r="B3819" t="s">
        <v>1</v>
      </c>
      <c r="C3819" t="s">
        <v>91</v>
      </c>
      <c r="D3819" t="s">
        <v>92</v>
      </c>
      <c r="E3819" t="s">
        <v>93</v>
      </c>
      <c r="F3819" t="s">
        <v>911</v>
      </c>
      <c r="G3819" t="s">
        <v>912</v>
      </c>
      <c r="H3819" t="s">
        <v>920</v>
      </c>
      <c r="I3819" t="s">
        <v>921</v>
      </c>
      <c r="J3819" t="s">
        <v>1883</v>
      </c>
      <c r="K3819" t="s">
        <v>1891</v>
      </c>
      <c r="L3819" t="s">
        <v>1934</v>
      </c>
      <c r="M3819" t="s">
        <v>12</v>
      </c>
      <c r="N3819" s="2">
        <v>0</v>
      </c>
      <c r="O3819" s="2">
        <v>0</v>
      </c>
      <c r="P3819" s="2">
        <v>84870.24</v>
      </c>
      <c r="Q3819" s="2">
        <v>84870.24</v>
      </c>
      <c r="R3819" s="2">
        <v>0</v>
      </c>
      <c r="S3819" s="2">
        <v>0</v>
      </c>
      <c r="T3819" s="2">
        <v>0</v>
      </c>
      <c r="U3819" s="2">
        <v>84870.24</v>
      </c>
      <c r="V3819" s="2">
        <v>84870.24</v>
      </c>
      <c r="W3819" s="2">
        <v>84870.24</v>
      </c>
    </row>
    <row r="3820" spans="1:23" outlineLevel="2" x14ac:dyDescent="0.2">
      <c r="A3820" t="s">
        <v>1882</v>
      </c>
      <c r="B3820" t="s">
        <v>1</v>
      </c>
      <c r="C3820" t="s">
        <v>91</v>
      </c>
      <c r="D3820" t="s">
        <v>92</v>
      </c>
      <c r="E3820" t="s">
        <v>93</v>
      </c>
      <c r="F3820" t="s">
        <v>911</v>
      </c>
      <c r="G3820" t="s">
        <v>912</v>
      </c>
      <c r="H3820" t="s">
        <v>920</v>
      </c>
      <c r="I3820" t="s">
        <v>921</v>
      </c>
      <c r="J3820" t="s">
        <v>1883</v>
      </c>
      <c r="K3820" t="s">
        <v>1891</v>
      </c>
      <c r="L3820" t="s">
        <v>1934</v>
      </c>
      <c r="M3820" t="s">
        <v>15</v>
      </c>
      <c r="N3820" s="2">
        <v>0</v>
      </c>
      <c r="O3820" s="2">
        <v>84870.24</v>
      </c>
      <c r="P3820" s="2">
        <v>-84870.24</v>
      </c>
      <c r="Q3820" s="2">
        <v>0</v>
      </c>
      <c r="R3820" s="2">
        <v>0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</row>
    <row r="3821" spans="1:23" outlineLevel="2" x14ac:dyDescent="0.2">
      <c r="A3821" t="s">
        <v>1882</v>
      </c>
      <c r="B3821" t="s">
        <v>1</v>
      </c>
      <c r="C3821" t="s">
        <v>91</v>
      </c>
      <c r="D3821" t="s">
        <v>92</v>
      </c>
      <c r="E3821" t="s">
        <v>93</v>
      </c>
      <c r="F3821" t="s">
        <v>911</v>
      </c>
      <c r="G3821" t="s">
        <v>912</v>
      </c>
      <c r="H3821" t="s">
        <v>920</v>
      </c>
      <c r="I3821" t="s">
        <v>921</v>
      </c>
      <c r="J3821" t="s">
        <v>1883</v>
      </c>
      <c r="K3821" t="s">
        <v>1884</v>
      </c>
      <c r="L3821" t="s">
        <v>1935</v>
      </c>
      <c r="M3821" t="s">
        <v>15</v>
      </c>
      <c r="N3821" s="2">
        <v>15400</v>
      </c>
      <c r="O3821" s="2">
        <v>-8761</v>
      </c>
      <c r="P3821" s="2">
        <v>0</v>
      </c>
      <c r="Q3821" s="2">
        <v>6639</v>
      </c>
      <c r="R3821" s="2">
        <v>3</v>
      </c>
      <c r="S3821" s="2">
        <v>6636</v>
      </c>
      <c r="T3821" s="2">
        <v>6636</v>
      </c>
      <c r="U3821" s="2">
        <v>3</v>
      </c>
      <c r="V3821" s="2">
        <v>3</v>
      </c>
      <c r="W3821" s="2">
        <v>0</v>
      </c>
    </row>
    <row r="3822" spans="1:23" outlineLevel="2" x14ac:dyDescent="0.2">
      <c r="A3822" t="s">
        <v>1882</v>
      </c>
      <c r="B3822" t="s">
        <v>1</v>
      </c>
      <c r="C3822" t="s">
        <v>91</v>
      </c>
      <c r="D3822" t="s">
        <v>92</v>
      </c>
      <c r="E3822" t="s">
        <v>93</v>
      </c>
      <c r="F3822" t="s">
        <v>911</v>
      </c>
      <c r="G3822" t="s">
        <v>912</v>
      </c>
      <c r="H3822" t="s">
        <v>920</v>
      </c>
      <c r="I3822" t="s">
        <v>921</v>
      </c>
      <c r="J3822" t="s">
        <v>1883</v>
      </c>
      <c r="K3822" t="s">
        <v>1925</v>
      </c>
      <c r="L3822" t="s">
        <v>1936</v>
      </c>
      <c r="M3822" t="s">
        <v>15</v>
      </c>
      <c r="N3822" s="2">
        <v>62800</v>
      </c>
      <c r="O3822" s="2">
        <v>-62800</v>
      </c>
      <c r="P3822" s="2">
        <v>0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</row>
    <row r="3823" spans="1:23" outlineLevel="2" x14ac:dyDescent="0.2">
      <c r="A3823" t="s">
        <v>1882</v>
      </c>
      <c r="B3823" t="s">
        <v>1</v>
      </c>
      <c r="C3823" t="s">
        <v>91</v>
      </c>
      <c r="D3823" t="s">
        <v>92</v>
      </c>
      <c r="E3823" t="s">
        <v>93</v>
      </c>
      <c r="F3823" t="s">
        <v>911</v>
      </c>
      <c r="G3823" t="s">
        <v>912</v>
      </c>
      <c r="H3823" t="s">
        <v>920</v>
      </c>
      <c r="I3823" t="s">
        <v>921</v>
      </c>
      <c r="J3823" t="s">
        <v>1883</v>
      </c>
      <c r="K3823" t="s">
        <v>1886</v>
      </c>
      <c r="L3823" t="s">
        <v>1937</v>
      </c>
      <c r="M3823" t="s">
        <v>15</v>
      </c>
      <c r="N3823" s="2">
        <v>8980.7000000000007</v>
      </c>
      <c r="O3823" s="2">
        <v>78000</v>
      </c>
      <c r="P3823" s="2">
        <v>-27137.98</v>
      </c>
      <c r="Q3823" s="2">
        <v>59842.720000000001</v>
      </c>
      <c r="R3823" s="2">
        <v>59842.720000000001</v>
      </c>
      <c r="S3823" s="2">
        <v>0</v>
      </c>
      <c r="T3823" s="2">
        <v>0</v>
      </c>
      <c r="U3823" s="2">
        <v>59842.720000000001</v>
      </c>
      <c r="V3823" s="2">
        <v>59842.720000000001</v>
      </c>
      <c r="W3823" s="2">
        <v>0</v>
      </c>
    </row>
    <row r="3824" spans="1:23" outlineLevel="2" x14ac:dyDescent="0.2">
      <c r="A3824" t="s">
        <v>1882</v>
      </c>
      <c r="B3824" t="s">
        <v>1</v>
      </c>
      <c r="C3824" t="s">
        <v>91</v>
      </c>
      <c r="D3824" t="s">
        <v>92</v>
      </c>
      <c r="E3824" t="s">
        <v>93</v>
      </c>
      <c r="F3824" t="s">
        <v>911</v>
      </c>
      <c r="G3824" t="s">
        <v>912</v>
      </c>
      <c r="H3824" t="s">
        <v>920</v>
      </c>
      <c r="I3824" t="s">
        <v>921</v>
      </c>
      <c r="J3824" t="s">
        <v>1883</v>
      </c>
      <c r="K3824" t="s">
        <v>1886</v>
      </c>
      <c r="L3824" t="s">
        <v>1937</v>
      </c>
      <c r="M3824" t="s">
        <v>12</v>
      </c>
      <c r="N3824" s="2">
        <v>0</v>
      </c>
      <c r="O3824" s="2">
        <v>0</v>
      </c>
      <c r="P3824" s="2">
        <v>27137.98</v>
      </c>
      <c r="Q3824" s="2">
        <v>27137.98</v>
      </c>
      <c r="R3824" s="2">
        <v>0</v>
      </c>
      <c r="S3824" s="2">
        <v>0</v>
      </c>
      <c r="T3824" s="2">
        <v>0</v>
      </c>
      <c r="U3824" s="2">
        <v>27137.98</v>
      </c>
      <c r="V3824" s="2">
        <v>27137.98</v>
      </c>
      <c r="W3824" s="2">
        <v>27137.98</v>
      </c>
    </row>
    <row r="3825" spans="1:23" outlineLevel="2" x14ac:dyDescent="0.2">
      <c r="A3825" t="s">
        <v>1882</v>
      </c>
      <c r="B3825" t="s">
        <v>1</v>
      </c>
      <c r="C3825" t="s">
        <v>99</v>
      </c>
      <c r="D3825" t="s">
        <v>100</v>
      </c>
      <c r="E3825" t="s">
        <v>101</v>
      </c>
      <c r="F3825" t="s">
        <v>911</v>
      </c>
      <c r="G3825" t="s">
        <v>912</v>
      </c>
      <c r="H3825" t="s">
        <v>1470</v>
      </c>
      <c r="I3825" t="s">
        <v>1471</v>
      </c>
      <c r="J3825" t="s">
        <v>1883</v>
      </c>
      <c r="K3825" t="s">
        <v>1884</v>
      </c>
      <c r="L3825" t="s">
        <v>1938</v>
      </c>
      <c r="M3825" t="s">
        <v>15</v>
      </c>
      <c r="N3825" s="2">
        <v>18816</v>
      </c>
      <c r="O3825" s="2">
        <v>0</v>
      </c>
      <c r="P3825" s="2">
        <v>-189.28</v>
      </c>
      <c r="Q3825" s="2">
        <v>18626.72</v>
      </c>
      <c r="R3825" s="2">
        <v>18626.72</v>
      </c>
      <c r="S3825" s="2">
        <v>0</v>
      </c>
      <c r="T3825" s="2">
        <v>0</v>
      </c>
      <c r="U3825" s="2">
        <v>18626.72</v>
      </c>
      <c r="V3825" s="2">
        <v>18626.72</v>
      </c>
      <c r="W3825" s="2">
        <v>0</v>
      </c>
    </row>
    <row r="3826" spans="1:23" outlineLevel="2" x14ac:dyDescent="0.2">
      <c r="A3826" t="s">
        <v>1882</v>
      </c>
      <c r="B3826" t="s">
        <v>1</v>
      </c>
      <c r="C3826" t="s">
        <v>99</v>
      </c>
      <c r="D3826" t="s">
        <v>100</v>
      </c>
      <c r="E3826" t="s">
        <v>101</v>
      </c>
      <c r="F3826" t="s">
        <v>911</v>
      </c>
      <c r="G3826" t="s">
        <v>912</v>
      </c>
      <c r="H3826" t="s">
        <v>1470</v>
      </c>
      <c r="I3826" t="s">
        <v>1471</v>
      </c>
      <c r="J3826" t="s">
        <v>1883</v>
      </c>
      <c r="K3826" t="s">
        <v>1884</v>
      </c>
      <c r="L3826" t="s">
        <v>1938</v>
      </c>
      <c r="M3826" t="s">
        <v>12</v>
      </c>
      <c r="N3826" s="2">
        <v>0</v>
      </c>
      <c r="O3826" s="2">
        <v>0</v>
      </c>
      <c r="P3826" s="2">
        <v>189.28</v>
      </c>
      <c r="Q3826" s="2">
        <v>189.28</v>
      </c>
      <c r="R3826" s="2">
        <v>0</v>
      </c>
      <c r="S3826" s="2">
        <v>0</v>
      </c>
      <c r="T3826" s="2">
        <v>0</v>
      </c>
      <c r="U3826" s="2">
        <v>189.28</v>
      </c>
      <c r="V3826" s="2">
        <v>189.28</v>
      </c>
      <c r="W3826" s="2">
        <v>189.28</v>
      </c>
    </row>
    <row r="3827" spans="1:23" outlineLevel="2" x14ac:dyDescent="0.2">
      <c r="A3827" t="s">
        <v>1882</v>
      </c>
      <c r="B3827" t="s">
        <v>1</v>
      </c>
      <c r="C3827" t="s">
        <v>99</v>
      </c>
      <c r="D3827" t="s">
        <v>100</v>
      </c>
      <c r="E3827" t="s">
        <v>101</v>
      </c>
      <c r="F3827" t="s">
        <v>911</v>
      </c>
      <c r="G3827" t="s">
        <v>912</v>
      </c>
      <c r="H3827" t="s">
        <v>1470</v>
      </c>
      <c r="I3827" t="s">
        <v>1471</v>
      </c>
      <c r="J3827" t="s">
        <v>1883</v>
      </c>
      <c r="K3827" t="s">
        <v>1906</v>
      </c>
      <c r="L3827" t="s">
        <v>1939</v>
      </c>
      <c r="M3827" t="s">
        <v>12</v>
      </c>
      <c r="N3827" s="2">
        <v>0</v>
      </c>
      <c r="O3827" s="2">
        <v>0</v>
      </c>
      <c r="P3827" s="2">
        <v>721.62</v>
      </c>
      <c r="Q3827" s="2">
        <v>721.62</v>
      </c>
      <c r="R3827" s="2">
        <v>0</v>
      </c>
      <c r="S3827" s="2">
        <v>0</v>
      </c>
      <c r="T3827" s="2">
        <v>0</v>
      </c>
      <c r="U3827" s="2">
        <v>721.62</v>
      </c>
      <c r="V3827" s="2">
        <v>721.62</v>
      </c>
      <c r="W3827" s="2">
        <v>721.62</v>
      </c>
    </row>
    <row r="3828" spans="1:23" outlineLevel="2" x14ac:dyDescent="0.2">
      <c r="A3828" t="s">
        <v>1882</v>
      </c>
      <c r="B3828" t="s">
        <v>1</v>
      </c>
      <c r="C3828" t="s">
        <v>99</v>
      </c>
      <c r="D3828" t="s">
        <v>100</v>
      </c>
      <c r="E3828" t="s">
        <v>101</v>
      </c>
      <c r="F3828" t="s">
        <v>911</v>
      </c>
      <c r="G3828" t="s">
        <v>912</v>
      </c>
      <c r="H3828" t="s">
        <v>1470</v>
      </c>
      <c r="I3828" t="s">
        <v>1471</v>
      </c>
      <c r="J3828" t="s">
        <v>1883</v>
      </c>
      <c r="K3828" t="s">
        <v>1906</v>
      </c>
      <c r="L3828" t="s">
        <v>1939</v>
      </c>
      <c r="M3828" t="s">
        <v>15</v>
      </c>
      <c r="N3828" s="2">
        <v>5040</v>
      </c>
      <c r="O3828" s="2">
        <v>-1344</v>
      </c>
      <c r="P3828" s="2">
        <v>-721.62</v>
      </c>
      <c r="Q3828" s="2">
        <v>2974.38</v>
      </c>
      <c r="R3828" s="2">
        <v>0</v>
      </c>
      <c r="S3828" s="2">
        <v>2974.38</v>
      </c>
      <c r="T3828" s="2">
        <v>2974.38</v>
      </c>
      <c r="U3828" s="2">
        <v>0</v>
      </c>
      <c r="V3828" s="2">
        <v>0</v>
      </c>
      <c r="W3828" s="2">
        <v>0</v>
      </c>
    </row>
    <row r="3829" spans="1:23" outlineLevel="2" x14ac:dyDescent="0.2">
      <c r="A3829" t="s">
        <v>1882</v>
      </c>
      <c r="B3829" t="s">
        <v>1</v>
      </c>
      <c r="C3829" t="s">
        <v>2</v>
      </c>
      <c r="D3829" t="s">
        <v>630</v>
      </c>
      <c r="E3829" t="s">
        <v>631</v>
      </c>
      <c r="F3829" t="s">
        <v>911</v>
      </c>
      <c r="G3829" t="s">
        <v>912</v>
      </c>
      <c r="H3829" t="s">
        <v>1509</v>
      </c>
      <c r="I3829" t="s">
        <v>1510</v>
      </c>
      <c r="J3829" t="s">
        <v>1883</v>
      </c>
      <c r="K3829" t="s">
        <v>1886</v>
      </c>
      <c r="L3829" t="s">
        <v>1931</v>
      </c>
      <c r="M3829" t="s">
        <v>15</v>
      </c>
      <c r="N3829" s="2">
        <v>20000</v>
      </c>
      <c r="O3829" s="2">
        <v>0</v>
      </c>
      <c r="P3829" s="2">
        <v>-20000</v>
      </c>
      <c r="Q3829" s="2">
        <v>0</v>
      </c>
      <c r="R3829" s="2">
        <v>0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</row>
    <row r="3830" spans="1:23" outlineLevel="2" x14ac:dyDescent="0.2">
      <c r="A3830" t="s">
        <v>1882</v>
      </c>
      <c r="B3830" t="s">
        <v>1</v>
      </c>
      <c r="C3830" t="s">
        <v>2</v>
      </c>
      <c r="D3830" t="s">
        <v>13</v>
      </c>
      <c r="E3830" t="s">
        <v>14</v>
      </c>
      <c r="F3830" t="s">
        <v>911</v>
      </c>
      <c r="G3830" t="s">
        <v>912</v>
      </c>
      <c r="H3830" t="s">
        <v>1513</v>
      </c>
      <c r="I3830" t="s">
        <v>1514</v>
      </c>
      <c r="J3830" t="s">
        <v>1883</v>
      </c>
      <c r="K3830" t="s">
        <v>1891</v>
      </c>
      <c r="L3830" t="s">
        <v>1930</v>
      </c>
      <c r="M3830" t="s">
        <v>12</v>
      </c>
      <c r="N3830" s="2">
        <v>0</v>
      </c>
      <c r="O3830" s="2">
        <v>0</v>
      </c>
      <c r="P3830" s="2">
        <v>51000</v>
      </c>
      <c r="Q3830" s="2">
        <v>51000</v>
      </c>
      <c r="R3830" s="2">
        <v>0</v>
      </c>
      <c r="S3830" s="2">
        <v>0</v>
      </c>
      <c r="T3830" s="2">
        <v>0</v>
      </c>
      <c r="U3830" s="2">
        <v>51000</v>
      </c>
      <c r="V3830" s="2">
        <v>51000</v>
      </c>
      <c r="W3830" s="2">
        <v>51000</v>
      </c>
    </row>
    <row r="3831" spans="1:23" outlineLevel="2" x14ac:dyDescent="0.2">
      <c r="A3831" t="s">
        <v>1882</v>
      </c>
      <c r="B3831" t="s">
        <v>1</v>
      </c>
      <c r="C3831" t="s">
        <v>2</v>
      </c>
      <c r="D3831" t="s">
        <v>13</v>
      </c>
      <c r="E3831" t="s">
        <v>14</v>
      </c>
      <c r="F3831" t="s">
        <v>911</v>
      </c>
      <c r="G3831" t="s">
        <v>912</v>
      </c>
      <c r="H3831" t="s">
        <v>1513</v>
      </c>
      <c r="I3831" t="s">
        <v>1514</v>
      </c>
      <c r="J3831" t="s">
        <v>1883</v>
      </c>
      <c r="K3831" t="s">
        <v>1891</v>
      </c>
      <c r="L3831" t="s">
        <v>1930</v>
      </c>
      <c r="M3831" t="s">
        <v>15</v>
      </c>
      <c r="N3831" s="2">
        <v>161000</v>
      </c>
      <c r="O3831" s="2">
        <v>0</v>
      </c>
      <c r="P3831" s="2">
        <v>-161000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</row>
    <row r="3832" spans="1:23" outlineLevel="2" x14ac:dyDescent="0.2">
      <c r="A3832" t="s">
        <v>1882</v>
      </c>
      <c r="B3832" t="s">
        <v>1</v>
      </c>
      <c r="C3832" t="s">
        <v>2</v>
      </c>
      <c r="D3832" t="s">
        <v>13</v>
      </c>
      <c r="E3832" t="s">
        <v>14</v>
      </c>
      <c r="F3832" t="s">
        <v>911</v>
      </c>
      <c r="G3832" t="s">
        <v>912</v>
      </c>
      <c r="H3832" t="s">
        <v>1513</v>
      </c>
      <c r="I3832" t="s">
        <v>1514</v>
      </c>
      <c r="J3832" t="s">
        <v>1883</v>
      </c>
      <c r="K3832" t="s">
        <v>1884</v>
      </c>
      <c r="L3832" t="s">
        <v>1929</v>
      </c>
      <c r="M3832" t="s">
        <v>15</v>
      </c>
      <c r="N3832" s="2">
        <v>60500</v>
      </c>
      <c r="O3832" s="2">
        <v>0</v>
      </c>
      <c r="P3832" s="2">
        <v>-60500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</row>
    <row r="3833" spans="1:23" outlineLevel="2" x14ac:dyDescent="0.2">
      <c r="A3833" t="s">
        <v>1882</v>
      </c>
      <c r="B3833" t="s">
        <v>1</v>
      </c>
      <c r="C3833" t="s">
        <v>2</v>
      </c>
      <c r="D3833" t="s">
        <v>589</v>
      </c>
      <c r="E3833" t="s">
        <v>590</v>
      </c>
      <c r="F3833" t="s">
        <v>911</v>
      </c>
      <c r="G3833" t="s">
        <v>912</v>
      </c>
      <c r="H3833" t="s">
        <v>931</v>
      </c>
      <c r="I3833" t="s">
        <v>932</v>
      </c>
      <c r="J3833" t="s">
        <v>1883</v>
      </c>
      <c r="K3833" t="s">
        <v>1927</v>
      </c>
      <c r="L3833" t="s">
        <v>1940</v>
      </c>
      <c r="M3833" t="s">
        <v>12</v>
      </c>
      <c r="N3833" s="2">
        <v>0</v>
      </c>
      <c r="O3833" s="2">
        <v>0</v>
      </c>
      <c r="P3833" s="2">
        <v>2856796.29</v>
      </c>
      <c r="Q3833" s="2">
        <v>2856796.29</v>
      </c>
      <c r="R3833" s="2">
        <v>0</v>
      </c>
      <c r="S3833" s="2">
        <v>0</v>
      </c>
      <c r="T3833" s="2">
        <v>0</v>
      </c>
      <c r="U3833" s="2">
        <v>2856796.29</v>
      </c>
      <c r="V3833" s="2">
        <v>2856796.29</v>
      </c>
      <c r="W3833" s="2">
        <v>2856796.29</v>
      </c>
    </row>
    <row r="3834" spans="1:23" outlineLevel="2" x14ac:dyDescent="0.2">
      <c r="A3834" t="s">
        <v>1882</v>
      </c>
      <c r="B3834" t="s">
        <v>1</v>
      </c>
      <c r="C3834" t="s">
        <v>2</v>
      </c>
      <c r="D3834" t="s">
        <v>589</v>
      </c>
      <c r="E3834" t="s">
        <v>590</v>
      </c>
      <c r="F3834" t="s">
        <v>911</v>
      </c>
      <c r="G3834" t="s">
        <v>912</v>
      </c>
      <c r="H3834" t="s">
        <v>931</v>
      </c>
      <c r="I3834" t="s">
        <v>932</v>
      </c>
      <c r="J3834" t="s">
        <v>1883</v>
      </c>
      <c r="K3834" t="s">
        <v>1927</v>
      </c>
      <c r="L3834" t="s">
        <v>1940</v>
      </c>
      <c r="M3834" t="s">
        <v>15</v>
      </c>
      <c r="N3834" s="2">
        <v>5995414.71</v>
      </c>
      <c r="O3834" s="2">
        <v>-931995.97</v>
      </c>
      <c r="P3834" s="2">
        <v>-4271449.4800000004</v>
      </c>
      <c r="Q3834" s="2">
        <v>791969.26</v>
      </c>
      <c r="R3834" s="2">
        <v>508698</v>
      </c>
      <c r="S3834" s="2">
        <v>283271.26</v>
      </c>
      <c r="T3834" s="2">
        <v>283271.26</v>
      </c>
      <c r="U3834" s="2">
        <v>508698</v>
      </c>
      <c r="V3834" s="2">
        <v>508698</v>
      </c>
      <c r="W3834" s="2">
        <v>0</v>
      </c>
    </row>
    <row r="3835" spans="1:23" outlineLevel="2" x14ac:dyDescent="0.2">
      <c r="A3835" t="s">
        <v>1882</v>
      </c>
      <c r="B3835" t="s">
        <v>1</v>
      </c>
      <c r="C3835" t="s">
        <v>2</v>
      </c>
      <c r="D3835" t="s">
        <v>505</v>
      </c>
      <c r="E3835" t="s">
        <v>506</v>
      </c>
      <c r="F3835" t="s">
        <v>911</v>
      </c>
      <c r="G3835" t="s">
        <v>912</v>
      </c>
      <c r="H3835" t="s">
        <v>1522</v>
      </c>
      <c r="I3835" t="s">
        <v>1523</v>
      </c>
      <c r="J3835" t="s">
        <v>1883</v>
      </c>
      <c r="K3835" t="s">
        <v>1891</v>
      </c>
      <c r="L3835" t="s">
        <v>1930</v>
      </c>
      <c r="M3835" t="s">
        <v>15</v>
      </c>
      <c r="N3835" s="2">
        <v>0</v>
      </c>
      <c r="O3835" s="2">
        <v>177322.17</v>
      </c>
      <c r="P3835" s="2">
        <v>-177322.17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</row>
    <row r="3836" spans="1:23" outlineLevel="2" x14ac:dyDescent="0.2">
      <c r="A3836" t="s">
        <v>1882</v>
      </c>
      <c r="B3836" t="s">
        <v>1</v>
      </c>
      <c r="C3836" t="s">
        <v>2</v>
      </c>
      <c r="D3836" t="s">
        <v>505</v>
      </c>
      <c r="E3836" t="s">
        <v>506</v>
      </c>
      <c r="F3836" t="s">
        <v>911</v>
      </c>
      <c r="G3836" t="s">
        <v>912</v>
      </c>
      <c r="H3836" t="s">
        <v>1522</v>
      </c>
      <c r="I3836" t="s">
        <v>1523</v>
      </c>
      <c r="J3836" t="s">
        <v>1883</v>
      </c>
      <c r="K3836" t="s">
        <v>1884</v>
      </c>
      <c r="L3836" t="s">
        <v>1929</v>
      </c>
      <c r="M3836" t="s">
        <v>15</v>
      </c>
      <c r="N3836" s="2">
        <v>0</v>
      </c>
      <c r="O3836" s="2">
        <v>35333.019999999997</v>
      </c>
      <c r="P3836" s="2">
        <v>-35333.019999999997</v>
      </c>
      <c r="Q3836" s="2">
        <v>0</v>
      </c>
      <c r="R3836" s="2">
        <v>0</v>
      </c>
      <c r="S3836" s="2">
        <v>0</v>
      </c>
      <c r="T3836" s="2">
        <v>0</v>
      </c>
      <c r="U3836" s="2">
        <v>0</v>
      </c>
      <c r="V3836" s="2">
        <v>0</v>
      </c>
      <c r="W3836" s="2">
        <v>0</v>
      </c>
    </row>
    <row r="3837" spans="1:23" outlineLevel="2" x14ac:dyDescent="0.2">
      <c r="A3837" t="s">
        <v>1882</v>
      </c>
      <c r="B3837" t="s">
        <v>1</v>
      </c>
      <c r="C3837" t="s">
        <v>2</v>
      </c>
      <c r="D3837" t="s">
        <v>505</v>
      </c>
      <c r="E3837" t="s">
        <v>506</v>
      </c>
      <c r="F3837" t="s">
        <v>911</v>
      </c>
      <c r="G3837" t="s">
        <v>912</v>
      </c>
      <c r="H3837" t="s">
        <v>1522</v>
      </c>
      <c r="I3837" t="s">
        <v>1523</v>
      </c>
      <c r="J3837" t="s">
        <v>1883</v>
      </c>
      <c r="K3837" t="s">
        <v>1886</v>
      </c>
      <c r="L3837" t="s">
        <v>1931</v>
      </c>
      <c r="M3837" t="s">
        <v>12</v>
      </c>
      <c r="N3837" s="2">
        <v>0</v>
      </c>
      <c r="O3837" s="2">
        <v>0</v>
      </c>
      <c r="P3837" s="2">
        <v>77044.56</v>
      </c>
      <c r="Q3837" s="2">
        <v>77044.56</v>
      </c>
      <c r="R3837" s="2">
        <v>0</v>
      </c>
      <c r="S3837" s="2">
        <v>0</v>
      </c>
      <c r="T3837" s="2">
        <v>0</v>
      </c>
      <c r="U3837" s="2">
        <v>77044.56</v>
      </c>
      <c r="V3837" s="2">
        <v>77044.56</v>
      </c>
      <c r="W3837" s="2">
        <v>77044.56</v>
      </c>
    </row>
    <row r="3838" spans="1:23" outlineLevel="2" x14ac:dyDescent="0.2">
      <c r="A3838" t="s">
        <v>1882</v>
      </c>
      <c r="B3838" t="s">
        <v>1</v>
      </c>
      <c r="C3838" t="s">
        <v>2</v>
      </c>
      <c r="D3838" t="s">
        <v>505</v>
      </c>
      <c r="E3838" t="s">
        <v>506</v>
      </c>
      <c r="F3838" t="s">
        <v>911</v>
      </c>
      <c r="G3838" t="s">
        <v>912</v>
      </c>
      <c r="H3838" t="s">
        <v>1522</v>
      </c>
      <c r="I3838" t="s">
        <v>1523</v>
      </c>
      <c r="J3838" t="s">
        <v>1883</v>
      </c>
      <c r="K3838" t="s">
        <v>1886</v>
      </c>
      <c r="L3838" t="s">
        <v>1931</v>
      </c>
      <c r="M3838" t="s">
        <v>15</v>
      </c>
      <c r="N3838" s="2">
        <v>30000</v>
      </c>
      <c r="O3838" s="2">
        <v>50597.56</v>
      </c>
      <c r="P3838" s="2">
        <v>-77044.56</v>
      </c>
      <c r="Q3838" s="2">
        <v>3553</v>
      </c>
      <c r="R3838" s="2">
        <v>3553</v>
      </c>
      <c r="S3838" s="2">
        <v>0</v>
      </c>
      <c r="T3838" s="2">
        <v>0</v>
      </c>
      <c r="U3838" s="2">
        <v>3553</v>
      </c>
      <c r="V3838" s="2">
        <v>3553</v>
      </c>
      <c r="W3838" s="2">
        <v>0</v>
      </c>
    </row>
    <row r="3839" spans="1:23" outlineLevel="2" x14ac:dyDescent="0.2">
      <c r="A3839" t="s">
        <v>1882</v>
      </c>
      <c r="B3839" t="s">
        <v>1</v>
      </c>
      <c r="C3839" t="s">
        <v>91</v>
      </c>
      <c r="D3839" t="s">
        <v>92</v>
      </c>
      <c r="E3839" t="s">
        <v>93</v>
      </c>
      <c r="F3839" t="s">
        <v>911</v>
      </c>
      <c r="G3839" t="s">
        <v>912</v>
      </c>
      <c r="H3839" t="s">
        <v>1529</v>
      </c>
      <c r="I3839" t="s">
        <v>1530</v>
      </c>
      <c r="J3839" t="s">
        <v>1883</v>
      </c>
      <c r="K3839" t="s">
        <v>1891</v>
      </c>
      <c r="L3839" t="s">
        <v>1934</v>
      </c>
      <c r="M3839" t="s">
        <v>15</v>
      </c>
      <c r="N3839" s="2">
        <v>0</v>
      </c>
      <c r="O3839" s="2">
        <v>6350.4</v>
      </c>
      <c r="P3839" s="2">
        <v>0</v>
      </c>
      <c r="Q3839" s="2">
        <v>6350.4</v>
      </c>
      <c r="R3839" s="2">
        <v>0</v>
      </c>
      <c r="S3839" s="2">
        <v>6350.4</v>
      </c>
      <c r="T3839" s="2">
        <v>6350.4</v>
      </c>
      <c r="U3839" s="2">
        <v>0</v>
      </c>
      <c r="V3839" s="2">
        <v>0</v>
      </c>
      <c r="W3839" s="2">
        <v>0</v>
      </c>
    </row>
    <row r="3840" spans="1:23" outlineLevel="2" x14ac:dyDescent="0.2">
      <c r="A3840" t="s">
        <v>1882</v>
      </c>
      <c r="B3840" t="s">
        <v>1</v>
      </c>
      <c r="C3840" t="s">
        <v>91</v>
      </c>
      <c r="D3840" t="s">
        <v>92</v>
      </c>
      <c r="E3840" t="s">
        <v>93</v>
      </c>
      <c r="F3840" t="s">
        <v>911</v>
      </c>
      <c r="G3840" t="s">
        <v>912</v>
      </c>
      <c r="H3840" t="s">
        <v>1529</v>
      </c>
      <c r="I3840" t="s">
        <v>1530</v>
      </c>
      <c r="J3840" t="s">
        <v>1883</v>
      </c>
      <c r="K3840" t="s">
        <v>1884</v>
      </c>
      <c r="L3840" t="s">
        <v>1935</v>
      </c>
      <c r="M3840" t="s">
        <v>15</v>
      </c>
      <c r="N3840" s="2">
        <v>320000</v>
      </c>
      <c r="O3840" s="2">
        <v>11478</v>
      </c>
      <c r="P3840" s="2">
        <v>-331478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</row>
    <row r="3841" spans="1:23" outlineLevel="2" x14ac:dyDescent="0.2">
      <c r="A3841" t="s">
        <v>1882</v>
      </c>
      <c r="B3841" t="s">
        <v>1</v>
      </c>
      <c r="C3841" t="s">
        <v>91</v>
      </c>
      <c r="D3841" t="s">
        <v>92</v>
      </c>
      <c r="E3841" t="s">
        <v>93</v>
      </c>
      <c r="F3841" t="s">
        <v>911</v>
      </c>
      <c r="G3841" t="s">
        <v>912</v>
      </c>
      <c r="H3841" t="s">
        <v>1529</v>
      </c>
      <c r="I3841" t="s">
        <v>1530</v>
      </c>
      <c r="J3841" t="s">
        <v>1883</v>
      </c>
      <c r="K3841" t="s">
        <v>1884</v>
      </c>
      <c r="L3841" t="s">
        <v>1935</v>
      </c>
      <c r="M3841" t="s">
        <v>12</v>
      </c>
      <c r="N3841" s="2">
        <v>0</v>
      </c>
      <c r="O3841" s="2">
        <v>0</v>
      </c>
      <c r="P3841" s="2">
        <v>331478</v>
      </c>
      <c r="Q3841" s="2">
        <v>331478</v>
      </c>
      <c r="R3841" s="2">
        <v>0</v>
      </c>
      <c r="S3841" s="2">
        <v>0</v>
      </c>
      <c r="T3841" s="2">
        <v>0</v>
      </c>
      <c r="U3841" s="2">
        <v>331478</v>
      </c>
      <c r="V3841" s="2">
        <v>331478</v>
      </c>
      <c r="W3841" s="2">
        <v>331478</v>
      </c>
    </row>
    <row r="3842" spans="1:23" outlineLevel="2" x14ac:dyDescent="0.2">
      <c r="A3842" t="s">
        <v>1882</v>
      </c>
      <c r="B3842" t="s">
        <v>1</v>
      </c>
      <c r="C3842" t="s">
        <v>91</v>
      </c>
      <c r="D3842" t="s">
        <v>92</v>
      </c>
      <c r="E3842" t="s">
        <v>93</v>
      </c>
      <c r="F3842" t="s">
        <v>911</v>
      </c>
      <c r="G3842" t="s">
        <v>912</v>
      </c>
      <c r="H3842" t="s">
        <v>1529</v>
      </c>
      <c r="I3842" t="s">
        <v>1530</v>
      </c>
      <c r="J3842" t="s">
        <v>1883</v>
      </c>
      <c r="K3842" t="s">
        <v>1886</v>
      </c>
      <c r="L3842" t="s">
        <v>1937</v>
      </c>
      <c r="M3842" t="s">
        <v>15</v>
      </c>
      <c r="N3842" s="2">
        <v>3500</v>
      </c>
      <c r="O3842" s="2">
        <v>53671.6</v>
      </c>
      <c r="P3842" s="2">
        <v>-57171.6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</row>
    <row r="3843" spans="1:23" outlineLevel="2" x14ac:dyDescent="0.2">
      <c r="A3843" t="s">
        <v>1882</v>
      </c>
      <c r="B3843" t="s">
        <v>1</v>
      </c>
      <c r="C3843" t="s">
        <v>91</v>
      </c>
      <c r="D3843" t="s">
        <v>92</v>
      </c>
      <c r="E3843" t="s">
        <v>93</v>
      </c>
      <c r="F3843" t="s">
        <v>911</v>
      </c>
      <c r="G3843" t="s">
        <v>912</v>
      </c>
      <c r="H3843" t="s">
        <v>1529</v>
      </c>
      <c r="I3843" t="s">
        <v>1530</v>
      </c>
      <c r="J3843" t="s">
        <v>1883</v>
      </c>
      <c r="K3843" t="s">
        <v>1886</v>
      </c>
      <c r="L3843" t="s">
        <v>1937</v>
      </c>
      <c r="M3843" t="s">
        <v>12</v>
      </c>
      <c r="N3843" s="2">
        <v>0</v>
      </c>
      <c r="O3843" s="2">
        <v>0</v>
      </c>
      <c r="P3843" s="2">
        <v>57171.6</v>
      </c>
      <c r="Q3843" s="2">
        <v>57171.6</v>
      </c>
      <c r="R3843" s="2">
        <v>0</v>
      </c>
      <c r="S3843" s="2">
        <v>0</v>
      </c>
      <c r="T3843" s="2">
        <v>0</v>
      </c>
      <c r="U3843" s="2">
        <v>57171.6</v>
      </c>
      <c r="V3843" s="2">
        <v>57171.6</v>
      </c>
      <c r="W3843" s="2">
        <v>57171.6</v>
      </c>
    </row>
    <row r="3844" spans="1:23" outlineLevel="2" x14ac:dyDescent="0.2">
      <c r="A3844" t="s">
        <v>1882</v>
      </c>
      <c r="B3844" t="s">
        <v>1</v>
      </c>
      <c r="C3844" t="s">
        <v>2</v>
      </c>
      <c r="D3844" t="s">
        <v>1533</v>
      </c>
      <c r="E3844" t="s">
        <v>1534</v>
      </c>
      <c r="F3844" t="s">
        <v>911</v>
      </c>
      <c r="G3844" t="s">
        <v>912</v>
      </c>
      <c r="H3844" t="s">
        <v>1535</v>
      </c>
      <c r="I3844" t="s">
        <v>1536</v>
      </c>
      <c r="J3844" t="s">
        <v>1883</v>
      </c>
      <c r="K3844" t="s">
        <v>1884</v>
      </c>
      <c r="L3844" t="s">
        <v>1929</v>
      </c>
      <c r="M3844" t="s">
        <v>15</v>
      </c>
      <c r="N3844" s="2">
        <v>1115000</v>
      </c>
      <c r="O3844" s="2">
        <v>-1052392</v>
      </c>
      <c r="P3844" s="2">
        <v>-23475.200000000001</v>
      </c>
      <c r="Q3844" s="2">
        <v>39132.800000000003</v>
      </c>
      <c r="R3844" s="2">
        <v>39132.800000000003</v>
      </c>
      <c r="S3844" s="2">
        <v>0</v>
      </c>
      <c r="T3844" s="2">
        <v>0</v>
      </c>
      <c r="U3844" s="2">
        <v>39132.800000000003</v>
      </c>
      <c r="V3844" s="2">
        <v>39132.800000000003</v>
      </c>
      <c r="W3844" s="2">
        <v>0</v>
      </c>
    </row>
    <row r="3845" spans="1:23" outlineLevel="2" x14ac:dyDescent="0.2">
      <c r="A3845" t="s">
        <v>1882</v>
      </c>
      <c r="B3845" t="s">
        <v>1</v>
      </c>
      <c r="C3845" t="s">
        <v>2</v>
      </c>
      <c r="D3845" t="s">
        <v>1533</v>
      </c>
      <c r="E3845" t="s">
        <v>1534</v>
      </c>
      <c r="F3845" t="s">
        <v>911</v>
      </c>
      <c r="G3845" t="s">
        <v>912</v>
      </c>
      <c r="H3845" t="s">
        <v>1535</v>
      </c>
      <c r="I3845" t="s">
        <v>1536</v>
      </c>
      <c r="J3845" t="s">
        <v>1883</v>
      </c>
      <c r="K3845" t="s">
        <v>1886</v>
      </c>
      <c r="L3845" t="s">
        <v>1931</v>
      </c>
      <c r="M3845" t="s">
        <v>15</v>
      </c>
      <c r="N3845" s="2">
        <v>500000</v>
      </c>
      <c r="O3845" s="2">
        <v>649759.36</v>
      </c>
      <c r="P3845" s="2">
        <v>-1063519.3600000001</v>
      </c>
      <c r="Q3845" s="2">
        <v>86240</v>
      </c>
      <c r="R3845" s="2">
        <v>86240</v>
      </c>
      <c r="S3845" s="2">
        <v>0</v>
      </c>
      <c r="T3845" s="2">
        <v>0</v>
      </c>
      <c r="U3845" s="2">
        <v>86240</v>
      </c>
      <c r="V3845" s="2">
        <v>86240</v>
      </c>
      <c r="W3845" s="2">
        <v>0</v>
      </c>
    </row>
    <row r="3846" spans="1:23" outlineLevel="2" x14ac:dyDescent="0.2">
      <c r="A3846" t="s">
        <v>1882</v>
      </c>
      <c r="B3846" t="s">
        <v>1</v>
      </c>
      <c r="C3846" t="s">
        <v>2</v>
      </c>
      <c r="D3846" t="s">
        <v>1533</v>
      </c>
      <c r="E3846" t="s">
        <v>1534</v>
      </c>
      <c r="F3846" t="s">
        <v>911</v>
      </c>
      <c r="G3846" t="s">
        <v>912</v>
      </c>
      <c r="H3846" t="s">
        <v>1537</v>
      </c>
      <c r="I3846" t="s">
        <v>1538</v>
      </c>
      <c r="J3846" t="s">
        <v>1883</v>
      </c>
      <c r="K3846" t="s">
        <v>1884</v>
      </c>
      <c r="L3846" t="s">
        <v>1929</v>
      </c>
      <c r="M3846" t="s">
        <v>15</v>
      </c>
      <c r="N3846" s="2">
        <v>49624</v>
      </c>
      <c r="O3846" s="2">
        <v>0</v>
      </c>
      <c r="P3846" s="2">
        <v>-49624</v>
      </c>
      <c r="Q3846" s="2">
        <v>0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</row>
    <row r="3847" spans="1:23" outlineLevel="2" x14ac:dyDescent="0.2">
      <c r="A3847" t="s">
        <v>1882</v>
      </c>
      <c r="B3847" t="s">
        <v>1</v>
      </c>
      <c r="C3847" t="s">
        <v>2</v>
      </c>
      <c r="D3847" t="s">
        <v>1533</v>
      </c>
      <c r="E3847" t="s">
        <v>1534</v>
      </c>
      <c r="F3847" t="s">
        <v>911</v>
      </c>
      <c r="G3847" t="s">
        <v>912</v>
      </c>
      <c r="H3847" t="s">
        <v>1537</v>
      </c>
      <c r="I3847" t="s">
        <v>1538</v>
      </c>
      <c r="J3847" t="s">
        <v>1883</v>
      </c>
      <c r="K3847" t="s">
        <v>1886</v>
      </c>
      <c r="L3847" t="s">
        <v>1931</v>
      </c>
      <c r="M3847" t="s">
        <v>15</v>
      </c>
      <c r="N3847" s="2">
        <v>2254175.17</v>
      </c>
      <c r="O3847" s="2">
        <v>-233291.18</v>
      </c>
      <c r="P3847" s="2">
        <v>-440800.81</v>
      </c>
      <c r="Q3847" s="2">
        <v>1580083.18</v>
      </c>
      <c r="R3847" s="2">
        <v>1105533.24</v>
      </c>
      <c r="S3847" s="2">
        <v>329959.24</v>
      </c>
      <c r="T3847" s="2">
        <v>174775.15</v>
      </c>
      <c r="U3847" s="2">
        <v>1250123.94</v>
      </c>
      <c r="V3847" s="2">
        <v>1405308.03</v>
      </c>
      <c r="W3847" s="2">
        <v>144590.70000000001</v>
      </c>
    </row>
    <row r="3848" spans="1:23" outlineLevel="2" x14ac:dyDescent="0.2">
      <c r="A3848" t="s">
        <v>1882</v>
      </c>
      <c r="B3848" t="s">
        <v>1</v>
      </c>
      <c r="C3848" t="s">
        <v>2</v>
      </c>
      <c r="D3848" t="s">
        <v>1533</v>
      </c>
      <c r="E3848" t="s">
        <v>1534</v>
      </c>
      <c r="F3848" t="s">
        <v>911</v>
      </c>
      <c r="G3848" t="s">
        <v>912</v>
      </c>
      <c r="H3848" t="s">
        <v>1537</v>
      </c>
      <c r="I3848" t="s">
        <v>1538</v>
      </c>
      <c r="J3848" t="s">
        <v>1883</v>
      </c>
      <c r="K3848" t="s">
        <v>1886</v>
      </c>
      <c r="L3848" t="s">
        <v>1931</v>
      </c>
      <c r="M3848" t="s">
        <v>12</v>
      </c>
      <c r="N3848" s="2">
        <v>0</v>
      </c>
      <c r="O3848" s="2">
        <v>0</v>
      </c>
      <c r="P3848" s="2">
        <v>128919.86</v>
      </c>
      <c r="Q3848" s="2">
        <v>128919.86</v>
      </c>
      <c r="R3848" s="2">
        <v>0</v>
      </c>
      <c r="S3848" s="2">
        <v>0</v>
      </c>
      <c r="T3848" s="2">
        <v>0</v>
      </c>
      <c r="U3848" s="2">
        <v>128919.86</v>
      </c>
      <c r="V3848" s="2">
        <v>128919.86</v>
      </c>
      <c r="W3848" s="2">
        <v>128919.86</v>
      </c>
    </row>
    <row r="3849" spans="1:23" outlineLevel="2" x14ac:dyDescent="0.2">
      <c r="A3849" t="s">
        <v>1882</v>
      </c>
      <c r="B3849" t="s">
        <v>31</v>
      </c>
      <c r="C3849" t="s">
        <v>32</v>
      </c>
      <c r="D3849" t="s">
        <v>141</v>
      </c>
      <c r="E3849" t="s">
        <v>142</v>
      </c>
      <c r="F3849" t="s">
        <v>933</v>
      </c>
      <c r="G3849" t="s">
        <v>934</v>
      </c>
      <c r="H3849" t="s">
        <v>1545</v>
      </c>
      <c r="I3849" t="s">
        <v>1546</v>
      </c>
      <c r="J3849" t="s">
        <v>1883</v>
      </c>
      <c r="K3849" t="s">
        <v>1886</v>
      </c>
      <c r="L3849" t="s">
        <v>1941</v>
      </c>
      <c r="M3849" t="s">
        <v>12</v>
      </c>
      <c r="N3849" s="2">
        <v>700000</v>
      </c>
      <c r="O3849" s="2">
        <v>6368.32</v>
      </c>
      <c r="P3849" s="2">
        <v>-700000</v>
      </c>
      <c r="Q3849" s="2">
        <v>6368.32</v>
      </c>
      <c r="R3849" s="2">
        <v>0</v>
      </c>
      <c r="S3849" s="2">
        <v>6368.32</v>
      </c>
      <c r="T3849" s="2">
        <v>6368.32</v>
      </c>
      <c r="U3849" s="2">
        <v>0</v>
      </c>
      <c r="V3849" s="2">
        <v>0</v>
      </c>
      <c r="W3849" s="2">
        <v>0</v>
      </c>
    </row>
    <row r="3850" spans="1:23" outlineLevel="2" x14ac:dyDescent="0.2">
      <c r="A3850" t="s">
        <v>1882</v>
      </c>
      <c r="B3850" t="s">
        <v>39</v>
      </c>
      <c r="C3850" t="s">
        <v>58</v>
      </c>
      <c r="D3850" t="s">
        <v>143</v>
      </c>
      <c r="E3850" t="s">
        <v>144</v>
      </c>
      <c r="F3850" t="s">
        <v>933</v>
      </c>
      <c r="G3850" t="s">
        <v>934</v>
      </c>
      <c r="H3850" t="s">
        <v>1564</v>
      </c>
      <c r="I3850" t="s">
        <v>1565</v>
      </c>
      <c r="J3850" t="s">
        <v>1883</v>
      </c>
      <c r="K3850" t="s">
        <v>1884</v>
      </c>
      <c r="L3850" t="s">
        <v>1942</v>
      </c>
      <c r="M3850" t="s">
        <v>12</v>
      </c>
      <c r="N3850" s="2">
        <v>0</v>
      </c>
      <c r="O3850" s="2">
        <v>3500</v>
      </c>
      <c r="P3850" s="2">
        <v>0</v>
      </c>
      <c r="Q3850" s="2">
        <v>3500</v>
      </c>
      <c r="R3850" s="2">
        <v>2352</v>
      </c>
      <c r="S3850" s="2">
        <v>0</v>
      </c>
      <c r="T3850" s="2">
        <v>0</v>
      </c>
      <c r="U3850" s="2">
        <v>3500</v>
      </c>
      <c r="V3850" s="2">
        <v>3500</v>
      </c>
      <c r="W3850" s="2">
        <v>1148</v>
      </c>
    </row>
    <row r="3851" spans="1:23" outlineLevel="2" x14ac:dyDescent="0.2">
      <c r="A3851" t="s">
        <v>1882</v>
      </c>
      <c r="B3851" t="s">
        <v>39</v>
      </c>
      <c r="C3851" t="s">
        <v>58</v>
      </c>
      <c r="D3851" t="s">
        <v>137</v>
      </c>
      <c r="E3851" t="s">
        <v>138</v>
      </c>
      <c r="F3851" t="s">
        <v>933</v>
      </c>
      <c r="G3851" t="s">
        <v>934</v>
      </c>
      <c r="H3851" t="s">
        <v>1564</v>
      </c>
      <c r="I3851" t="s">
        <v>1565</v>
      </c>
      <c r="J3851" t="s">
        <v>1883</v>
      </c>
      <c r="K3851" t="s">
        <v>1914</v>
      </c>
      <c r="L3851" t="s">
        <v>1943</v>
      </c>
      <c r="M3851" t="s">
        <v>12</v>
      </c>
      <c r="N3851" s="2">
        <v>0</v>
      </c>
      <c r="O3851" s="2">
        <v>4000</v>
      </c>
      <c r="P3851" s="2">
        <v>0</v>
      </c>
      <c r="Q3851" s="2">
        <v>4000</v>
      </c>
      <c r="R3851" s="2">
        <v>0</v>
      </c>
      <c r="S3851" s="2">
        <v>0</v>
      </c>
      <c r="T3851" s="2">
        <v>0</v>
      </c>
      <c r="U3851" s="2">
        <v>4000</v>
      </c>
      <c r="V3851" s="2">
        <v>4000</v>
      </c>
      <c r="W3851" s="2">
        <v>4000</v>
      </c>
    </row>
    <row r="3852" spans="1:23" outlineLevel="2" x14ac:dyDescent="0.2">
      <c r="A3852" t="s">
        <v>1882</v>
      </c>
      <c r="B3852" t="s">
        <v>39</v>
      </c>
      <c r="C3852" t="s">
        <v>58</v>
      </c>
      <c r="D3852" t="s">
        <v>139</v>
      </c>
      <c r="E3852" t="s">
        <v>140</v>
      </c>
      <c r="F3852" t="s">
        <v>933</v>
      </c>
      <c r="G3852" t="s">
        <v>934</v>
      </c>
      <c r="H3852" t="s">
        <v>1575</v>
      </c>
      <c r="I3852" t="s">
        <v>1576</v>
      </c>
      <c r="J3852" t="s">
        <v>1883</v>
      </c>
      <c r="K3852" t="s">
        <v>1886</v>
      </c>
      <c r="L3852" t="s">
        <v>1944</v>
      </c>
      <c r="M3852" t="s">
        <v>12</v>
      </c>
      <c r="N3852" s="2">
        <v>0</v>
      </c>
      <c r="O3852" s="2">
        <v>4000</v>
      </c>
      <c r="P3852" s="2">
        <v>-4000</v>
      </c>
      <c r="Q3852" s="2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</row>
    <row r="3853" spans="1:23" outlineLevel="2" x14ac:dyDescent="0.2">
      <c r="A3853" t="s">
        <v>1882</v>
      </c>
      <c r="B3853" t="s">
        <v>39</v>
      </c>
      <c r="C3853" t="s">
        <v>58</v>
      </c>
      <c r="D3853" t="s">
        <v>143</v>
      </c>
      <c r="E3853" t="s">
        <v>144</v>
      </c>
      <c r="F3853" t="s">
        <v>933</v>
      </c>
      <c r="G3853" t="s">
        <v>934</v>
      </c>
      <c r="H3853" t="s">
        <v>1575</v>
      </c>
      <c r="I3853" t="s">
        <v>1576</v>
      </c>
      <c r="J3853" t="s">
        <v>1883</v>
      </c>
      <c r="K3853" t="s">
        <v>1886</v>
      </c>
      <c r="L3853" t="s">
        <v>1944</v>
      </c>
      <c r="M3853" t="s">
        <v>12</v>
      </c>
      <c r="N3853" s="2">
        <v>0</v>
      </c>
      <c r="O3853" s="2">
        <v>4000</v>
      </c>
      <c r="P3853" s="2">
        <v>0</v>
      </c>
      <c r="Q3853" s="2">
        <v>4000</v>
      </c>
      <c r="R3853" s="2">
        <v>14.56</v>
      </c>
      <c r="S3853" s="2">
        <v>2608.48</v>
      </c>
      <c r="T3853" s="2">
        <v>0</v>
      </c>
      <c r="U3853" s="2">
        <v>1391.52</v>
      </c>
      <c r="V3853" s="2">
        <v>4000</v>
      </c>
      <c r="W3853" s="2">
        <v>1376.96</v>
      </c>
    </row>
    <row r="3854" spans="1:23" outlineLevel="2" x14ac:dyDescent="0.2">
      <c r="A3854" t="s">
        <v>1882</v>
      </c>
      <c r="B3854" t="s">
        <v>39</v>
      </c>
      <c r="C3854" t="s">
        <v>58</v>
      </c>
      <c r="D3854" t="s">
        <v>137</v>
      </c>
      <c r="E3854" t="s">
        <v>138</v>
      </c>
      <c r="F3854" t="s">
        <v>933</v>
      </c>
      <c r="G3854" t="s">
        <v>934</v>
      </c>
      <c r="H3854" t="s">
        <v>1575</v>
      </c>
      <c r="I3854" t="s">
        <v>1576</v>
      </c>
      <c r="J3854" t="s">
        <v>1883</v>
      </c>
      <c r="K3854" t="s">
        <v>1886</v>
      </c>
      <c r="L3854" t="s">
        <v>1944</v>
      </c>
      <c r="M3854" t="s">
        <v>12</v>
      </c>
      <c r="N3854" s="2">
        <v>0</v>
      </c>
      <c r="O3854" s="2">
        <v>2908</v>
      </c>
      <c r="P3854" s="2">
        <v>-2908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</row>
    <row r="3855" spans="1:23" outlineLevel="2" x14ac:dyDescent="0.2">
      <c r="A3855" t="s">
        <v>1882</v>
      </c>
      <c r="B3855" t="s">
        <v>39</v>
      </c>
      <c r="C3855" t="s">
        <v>58</v>
      </c>
      <c r="D3855" t="s">
        <v>143</v>
      </c>
      <c r="E3855" t="s">
        <v>144</v>
      </c>
      <c r="F3855" t="s">
        <v>933</v>
      </c>
      <c r="G3855" t="s">
        <v>934</v>
      </c>
      <c r="H3855" t="s">
        <v>1575</v>
      </c>
      <c r="I3855" t="s">
        <v>1576</v>
      </c>
      <c r="J3855" t="s">
        <v>1883</v>
      </c>
      <c r="K3855" t="s">
        <v>1914</v>
      </c>
      <c r="L3855" t="s">
        <v>1943</v>
      </c>
      <c r="M3855" t="s">
        <v>12</v>
      </c>
      <c r="N3855" s="2">
        <v>0</v>
      </c>
      <c r="O3855" s="2">
        <v>2000</v>
      </c>
      <c r="P3855" s="2">
        <v>-2000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</row>
    <row r="3856" spans="1:23" outlineLevel="2" x14ac:dyDescent="0.2">
      <c r="A3856" t="s">
        <v>1882</v>
      </c>
      <c r="B3856" t="s">
        <v>39</v>
      </c>
      <c r="C3856" t="s">
        <v>58</v>
      </c>
      <c r="D3856" t="s">
        <v>139</v>
      </c>
      <c r="E3856" t="s">
        <v>140</v>
      </c>
      <c r="F3856" t="s">
        <v>933</v>
      </c>
      <c r="G3856" t="s">
        <v>934</v>
      </c>
      <c r="H3856" t="s">
        <v>1575</v>
      </c>
      <c r="I3856" t="s">
        <v>1576</v>
      </c>
      <c r="J3856" t="s">
        <v>1883</v>
      </c>
      <c r="K3856" t="s">
        <v>1914</v>
      </c>
      <c r="L3856" t="s">
        <v>1943</v>
      </c>
      <c r="M3856" t="s">
        <v>12</v>
      </c>
      <c r="N3856" s="2">
        <v>0</v>
      </c>
      <c r="O3856" s="2">
        <v>2000</v>
      </c>
      <c r="P3856" s="2">
        <v>-2000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</row>
    <row r="3857" spans="1:23" outlineLevel="2" x14ac:dyDescent="0.2">
      <c r="A3857" t="s">
        <v>1882</v>
      </c>
      <c r="B3857" t="s">
        <v>39</v>
      </c>
      <c r="C3857" t="s">
        <v>58</v>
      </c>
      <c r="D3857" t="s">
        <v>137</v>
      </c>
      <c r="E3857" t="s">
        <v>138</v>
      </c>
      <c r="F3857" t="s">
        <v>933</v>
      </c>
      <c r="G3857" t="s">
        <v>934</v>
      </c>
      <c r="H3857" t="s">
        <v>1575</v>
      </c>
      <c r="I3857" t="s">
        <v>1576</v>
      </c>
      <c r="J3857" t="s">
        <v>1883</v>
      </c>
      <c r="K3857" t="s">
        <v>1914</v>
      </c>
      <c r="L3857" t="s">
        <v>1943</v>
      </c>
      <c r="M3857" t="s">
        <v>12</v>
      </c>
      <c r="N3857" s="2">
        <v>0</v>
      </c>
      <c r="O3857" s="2">
        <v>1300</v>
      </c>
      <c r="P3857" s="2">
        <v>-1300</v>
      </c>
      <c r="Q3857" s="2">
        <v>0</v>
      </c>
      <c r="R3857" s="2">
        <v>0</v>
      </c>
      <c r="S3857" s="2">
        <v>0</v>
      </c>
      <c r="T3857" s="2">
        <v>0</v>
      </c>
      <c r="U3857" s="2">
        <v>0</v>
      </c>
      <c r="V3857" s="2">
        <v>0</v>
      </c>
      <c r="W3857" s="2">
        <v>0</v>
      </c>
    </row>
    <row r="3858" spans="1:23" outlineLevel="2" x14ac:dyDescent="0.2">
      <c r="A3858" t="s">
        <v>1882</v>
      </c>
      <c r="B3858" t="s">
        <v>39</v>
      </c>
      <c r="C3858" t="s">
        <v>58</v>
      </c>
      <c r="D3858" t="s">
        <v>143</v>
      </c>
      <c r="E3858" t="s">
        <v>144</v>
      </c>
      <c r="F3858" t="s">
        <v>933</v>
      </c>
      <c r="G3858" t="s">
        <v>934</v>
      </c>
      <c r="H3858" t="s">
        <v>935</v>
      </c>
      <c r="I3858" t="s">
        <v>936</v>
      </c>
      <c r="J3858" t="s">
        <v>1883</v>
      </c>
      <c r="K3858" t="s">
        <v>1891</v>
      </c>
      <c r="L3858" t="s">
        <v>1945</v>
      </c>
      <c r="M3858" t="s">
        <v>12</v>
      </c>
      <c r="N3858" s="2">
        <v>1472.46</v>
      </c>
      <c r="O3858" s="2">
        <v>-900</v>
      </c>
      <c r="P3858" s="2">
        <v>0</v>
      </c>
      <c r="Q3858" s="2">
        <v>572.46</v>
      </c>
      <c r="R3858" s="2">
        <v>0.16</v>
      </c>
      <c r="S3858" s="2">
        <v>509.44</v>
      </c>
      <c r="T3858" s="2">
        <v>0</v>
      </c>
      <c r="U3858" s="2">
        <v>63.02</v>
      </c>
      <c r="V3858" s="2">
        <v>572.46</v>
      </c>
      <c r="W3858" s="2">
        <v>62.86</v>
      </c>
    </row>
    <row r="3859" spans="1:23" outlineLevel="2" x14ac:dyDescent="0.2">
      <c r="A3859" t="s">
        <v>1882</v>
      </c>
      <c r="B3859" t="s">
        <v>39</v>
      </c>
      <c r="C3859" t="s">
        <v>58</v>
      </c>
      <c r="D3859" t="s">
        <v>149</v>
      </c>
      <c r="E3859" t="s">
        <v>150</v>
      </c>
      <c r="F3859" t="s">
        <v>933</v>
      </c>
      <c r="G3859" t="s">
        <v>934</v>
      </c>
      <c r="H3859" t="s">
        <v>935</v>
      </c>
      <c r="I3859" t="s">
        <v>936</v>
      </c>
      <c r="J3859" t="s">
        <v>1883</v>
      </c>
      <c r="K3859" t="s">
        <v>1891</v>
      </c>
      <c r="L3859" t="s">
        <v>1945</v>
      </c>
      <c r="M3859" t="s">
        <v>12</v>
      </c>
      <c r="N3859" s="2">
        <v>1472.46</v>
      </c>
      <c r="O3859" s="2">
        <v>0</v>
      </c>
      <c r="P3859" s="2">
        <v>-1472.46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</row>
    <row r="3860" spans="1:23" outlineLevel="2" x14ac:dyDescent="0.2">
      <c r="A3860" t="s">
        <v>1882</v>
      </c>
      <c r="B3860" t="s">
        <v>39</v>
      </c>
      <c r="C3860" t="s">
        <v>58</v>
      </c>
      <c r="D3860" t="s">
        <v>59</v>
      </c>
      <c r="E3860" t="s">
        <v>60</v>
      </c>
      <c r="F3860" t="s">
        <v>933</v>
      </c>
      <c r="G3860" t="s">
        <v>934</v>
      </c>
      <c r="H3860" t="s">
        <v>935</v>
      </c>
      <c r="I3860" t="s">
        <v>936</v>
      </c>
      <c r="J3860" t="s">
        <v>1883</v>
      </c>
      <c r="K3860" t="s">
        <v>1891</v>
      </c>
      <c r="L3860" t="s">
        <v>1945</v>
      </c>
      <c r="M3860" t="s">
        <v>12</v>
      </c>
      <c r="N3860" s="2">
        <v>1472.46</v>
      </c>
      <c r="O3860" s="2">
        <v>0</v>
      </c>
      <c r="P3860" s="2">
        <v>0</v>
      </c>
      <c r="Q3860" s="2">
        <v>1472.46</v>
      </c>
      <c r="R3860" s="2">
        <v>0</v>
      </c>
      <c r="S3860" s="2">
        <v>0</v>
      </c>
      <c r="T3860" s="2">
        <v>0</v>
      </c>
      <c r="U3860" s="2">
        <v>1472.46</v>
      </c>
      <c r="V3860" s="2">
        <v>1472.46</v>
      </c>
      <c r="W3860" s="2">
        <v>1472.46</v>
      </c>
    </row>
    <row r="3861" spans="1:23" outlineLevel="2" x14ac:dyDescent="0.2">
      <c r="A3861" t="s">
        <v>1882</v>
      </c>
      <c r="B3861" t="s">
        <v>39</v>
      </c>
      <c r="C3861" t="s">
        <v>58</v>
      </c>
      <c r="D3861" t="s">
        <v>145</v>
      </c>
      <c r="E3861" t="s">
        <v>146</v>
      </c>
      <c r="F3861" t="s">
        <v>933</v>
      </c>
      <c r="G3861" t="s">
        <v>934</v>
      </c>
      <c r="H3861" t="s">
        <v>935</v>
      </c>
      <c r="I3861" t="s">
        <v>936</v>
      </c>
      <c r="J3861" t="s">
        <v>1883</v>
      </c>
      <c r="K3861" t="s">
        <v>1891</v>
      </c>
      <c r="L3861" t="s">
        <v>1945</v>
      </c>
      <c r="M3861" t="s">
        <v>12</v>
      </c>
      <c r="N3861" s="2">
        <v>1472.46</v>
      </c>
      <c r="O3861" s="2">
        <v>0</v>
      </c>
      <c r="P3861" s="2">
        <v>0</v>
      </c>
      <c r="Q3861" s="2">
        <v>1472.46</v>
      </c>
      <c r="R3861" s="2">
        <v>0</v>
      </c>
      <c r="S3861" s="2">
        <v>1471.68</v>
      </c>
      <c r="T3861" s="2">
        <v>1471.68</v>
      </c>
      <c r="U3861" s="2">
        <v>0.78</v>
      </c>
      <c r="V3861" s="2">
        <v>0.78</v>
      </c>
      <c r="W3861" s="2">
        <v>0.78</v>
      </c>
    </row>
    <row r="3862" spans="1:23" outlineLevel="2" x14ac:dyDescent="0.2">
      <c r="A3862" t="s">
        <v>1882</v>
      </c>
      <c r="B3862" t="s">
        <v>39</v>
      </c>
      <c r="C3862" t="s">
        <v>58</v>
      </c>
      <c r="D3862" t="s">
        <v>147</v>
      </c>
      <c r="E3862" t="s">
        <v>148</v>
      </c>
      <c r="F3862" t="s">
        <v>933</v>
      </c>
      <c r="G3862" t="s">
        <v>934</v>
      </c>
      <c r="H3862" t="s">
        <v>935</v>
      </c>
      <c r="I3862" t="s">
        <v>936</v>
      </c>
      <c r="J3862" t="s">
        <v>1883</v>
      </c>
      <c r="K3862" t="s">
        <v>1891</v>
      </c>
      <c r="L3862" t="s">
        <v>1945</v>
      </c>
      <c r="M3862" t="s">
        <v>12</v>
      </c>
      <c r="N3862" s="2">
        <v>3000</v>
      </c>
      <c r="O3862" s="2">
        <v>0</v>
      </c>
      <c r="P3862" s="2">
        <v>-3000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</row>
    <row r="3863" spans="1:23" outlineLevel="2" x14ac:dyDescent="0.2">
      <c r="A3863" t="s">
        <v>1882</v>
      </c>
      <c r="B3863" t="s">
        <v>39</v>
      </c>
      <c r="C3863" t="s">
        <v>58</v>
      </c>
      <c r="D3863" t="s">
        <v>137</v>
      </c>
      <c r="E3863" t="s">
        <v>138</v>
      </c>
      <c r="F3863" t="s">
        <v>933</v>
      </c>
      <c r="G3863" t="s">
        <v>934</v>
      </c>
      <c r="H3863" t="s">
        <v>935</v>
      </c>
      <c r="I3863" t="s">
        <v>936</v>
      </c>
      <c r="J3863" t="s">
        <v>1883</v>
      </c>
      <c r="K3863" t="s">
        <v>1891</v>
      </c>
      <c r="L3863" t="s">
        <v>1945</v>
      </c>
      <c r="M3863" t="s">
        <v>12</v>
      </c>
      <c r="N3863" s="2">
        <v>1472.46</v>
      </c>
      <c r="O3863" s="2">
        <v>0</v>
      </c>
      <c r="P3863" s="2">
        <v>-1472.46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</row>
    <row r="3864" spans="1:23" outlineLevel="2" x14ac:dyDescent="0.2">
      <c r="A3864" t="s">
        <v>1882</v>
      </c>
      <c r="B3864" t="s">
        <v>31</v>
      </c>
      <c r="C3864" t="s">
        <v>32</v>
      </c>
      <c r="D3864" t="s">
        <v>141</v>
      </c>
      <c r="E3864" t="s">
        <v>142</v>
      </c>
      <c r="F3864" t="s">
        <v>933</v>
      </c>
      <c r="G3864" t="s">
        <v>934</v>
      </c>
      <c r="H3864" t="s">
        <v>935</v>
      </c>
      <c r="I3864" t="s">
        <v>936</v>
      </c>
      <c r="J3864" t="s">
        <v>1883</v>
      </c>
      <c r="K3864" t="s">
        <v>1891</v>
      </c>
      <c r="L3864" t="s">
        <v>1946</v>
      </c>
      <c r="M3864" t="s">
        <v>12</v>
      </c>
      <c r="N3864" s="2">
        <v>0</v>
      </c>
      <c r="O3864" s="2">
        <v>52000</v>
      </c>
      <c r="P3864" s="2">
        <v>0</v>
      </c>
      <c r="Q3864" s="2">
        <v>52000</v>
      </c>
      <c r="R3864" s="2">
        <v>18155.060000000001</v>
      </c>
      <c r="S3864" s="2">
        <v>0</v>
      </c>
      <c r="T3864" s="2">
        <v>0</v>
      </c>
      <c r="U3864" s="2">
        <v>52000</v>
      </c>
      <c r="V3864" s="2">
        <v>52000</v>
      </c>
      <c r="W3864" s="2">
        <v>33844.94</v>
      </c>
    </row>
    <row r="3865" spans="1:23" outlineLevel="2" x14ac:dyDescent="0.2">
      <c r="A3865" t="s">
        <v>1882</v>
      </c>
      <c r="B3865" t="s">
        <v>39</v>
      </c>
      <c r="C3865" t="s">
        <v>58</v>
      </c>
      <c r="D3865" t="s">
        <v>139</v>
      </c>
      <c r="E3865" t="s">
        <v>140</v>
      </c>
      <c r="F3865" t="s">
        <v>933</v>
      </c>
      <c r="G3865" t="s">
        <v>934</v>
      </c>
      <c r="H3865" t="s">
        <v>935</v>
      </c>
      <c r="I3865" t="s">
        <v>936</v>
      </c>
      <c r="J3865" t="s">
        <v>1883</v>
      </c>
      <c r="K3865" t="s">
        <v>1891</v>
      </c>
      <c r="L3865" t="s">
        <v>1945</v>
      </c>
      <c r="M3865" t="s">
        <v>12</v>
      </c>
      <c r="N3865" s="2">
        <v>1472.46</v>
      </c>
      <c r="O3865" s="2">
        <v>-1472.46</v>
      </c>
      <c r="P3865" s="2">
        <v>0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</row>
    <row r="3866" spans="1:23" outlineLevel="2" x14ac:dyDescent="0.2">
      <c r="A3866" t="s">
        <v>1882</v>
      </c>
      <c r="B3866" t="s">
        <v>39</v>
      </c>
      <c r="C3866" t="s">
        <v>58</v>
      </c>
      <c r="D3866" t="s">
        <v>135</v>
      </c>
      <c r="E3866" t="s">
        <v>136</v>
      </c>
      <c r="F3866" t="s">
        <v>933</v>
      </c>
      <c r="G3866" t="s">
        <v>934</v>
      </c>
      <c r="H3866" t="s">
        <v>935</v>
      </c>
      <c r="I3866" t="s">
        <v>936</v>
      </c>
      <c r="J3866" t="s">
        <v>1883</v>
      </c>
      <c r="K3866" t="s">
        <v>1891</v>
      </c>
      <c r="L3866" t="s">
        <v>1945</v>
      </c>
      <c r="M3866" t="s">
        <v>12</v>
      </c>
      <c r="N3866" s="2">
        <v>1472.46</v>
      </c>
      <c r="O3866" s="2">
        <v>0</v>
      </c>
      <c r="P3866" s="2">
        <v>-1472.46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</row>
    <row r="3867" spans="1:23" outlineLevel="2" x14ac:dyDescent="0.2">
      <c r="A3867" t="s">
        <v>1882</v>
      </c>
      <c r="B3867" t="s">
        <v>31</v>
      </c>
      <c r="C3867" t="s">
        <v>32</v>
      </c>
      <c r="D3867" t="s">
        <v>141</v>
      </c>
      <c r="E3867" t="s">
        <v>142</v>
      </c>
      <c r="F3867" t="s">
        <v>933</v>
      </c>
      <c r="G3867" t="s">
        <v>934</v>
      </c>
      <c r="H3867" t="s">
        <v>935</v>
      </c>
      <c r="I3867" t="s">
        <v>936</v>
      </c>
      <c r="J3867" t="s">
        <v>1883</v>
      </c>
      <c r="K3867" t="s">
        <v>1884</v>
      </c>
      <c r="L3867" t="s">
        <v>1947</v>
      </c>
      <c r="M3867" t="s">
        <v>12</v>
      </c>
      <c r="N3867" s="2">
        <v>682960.5</v>
      </c>
      <c r="O3867" s="2">
        <v>-514481.54</v>
      </c>
      <c r="P3867" s="2">
        <v>-135938.96</v>
      </c>
      <c r="Q3867" s="2">
        <v>32540</v>
      </c>
      <c r="R3867" s="2">
        <v>6140.59</v>
      </c>
      <c r="S3867" s="2">
        <v>0</v>
      </c>
      <c r="T3867" s="2">
        <v>0</v>
      </c>
      <c r="U3867" s="2">
        <v>32540</v>
      </c>
      <c r="V3867" s="2">
        <v>32540</v>
      </c>
      <c r="W3867" s="2">
        <v>26399.41</v>
      </c>
    </row>
    <row r="3868" spans="1:23" outlineLevel="2" x14ac:dyDescent="0.2">
      <c r="A3868" t="s">
        <v>1882</v>
      </c>
      <c r="B3868" t="s">
        <v>39</v>
      </c>
      <c r="C3868" t="s">
        <v>58</v>
      </c>
      <c r="D3868" t="s">
        <v>143</v>
      </c>
      <c r="E3868" t="s">
        <v>144</v>
      </c>
      <c r="F3868" t="s">
        <v>933</v>
      </c>
      <c r="G3868" t="s">
        <v>934</v>
      </c>
      <c r="H3868" t="s">
        <v>935</v>
      </c>
      <c r="I3868" t="s">
        <v>936</v>
      </c>
      <c r="J3868" t="s">
        <v>1883</v>
      </c>
      <c r="K3868" t="s">
        <v>1884</v>
      </c>
      <c r="L3868" t="s">
        <v>1942</v>
      </c>
      <c r="M3868" t="s">
        <v>12</v>
      </c>
      <c r="N3868" s="2">
        <v>0</v>
      </c>
      <c r="O3868" s="2">
        <v>900</v>
      </c>
      <c r="P3868" s="2">
        <v>0</v>
      </c>
      <c r="Q3868" s="2">
        <v>900</v>
      </c>
      <c r="R3868" s="2">
        <v>0</v>
      </c>
      <c r="S3868" s="2">
        <v>270</v>
      </c>
      <c r="T3868" s="2">
        <v>0</v>
      </c>
      <c r="U3868" s="2">
        <v>630</v>
      </c>
      <c r="V3868" s="2">
        <v>900</v>
      </c>
      <c r="W3868" s="2">
        <v>630</v>
      </c>
    </row>
    <row r="3869" spans="1:23" outlineLevel="2" x14ac:dyDescent="0.2">
      <c r="A3869" t="s">
        <v>1882</v>
      </c>
      <c r="B3869" t="s">
        <v>31</v>
      </c>
      <c r="C3869" t="s">
        <v>32</v>
      </c>
      <c r="D3869" t="s">
        <v>141</v>
      </c>
      <c r="E3869" t="s">
        <v>142</v>
      </c>
      <c r="F3869" t="s">
        <v>933</v>
      </c>
      <c r="G3869" t="s">
        <v>934</v>
      </c>
      <c r="H3869" t="s">
        <v>935</v>
      </c>
      <c r="I3869" t="s">
        <v>936</v>
      </c>
      <c r="J3869" t="s">
        <v>1883</v>
      </c>
      <c r="K3869" t="s">
        <v>1925</v>
      </c>
      <c r="L3869" t="s">
        <v>1948</v>
      </c>
      <c r="M3869" t="s">
        <v>12</v>
      </c>
      <c r="N3869" s="2">
        <v>0</v>
      </c>
      <c r="O3869" s="2">
        <v>100000</v>
      </c>
      <c r="P3869" s="2">
        <v>0</v>
      </c>
      <c r="Q3869" s="2">
        <v>100000</v>
      </c>
      <c r="R3869" s="2">
        <v>0</v>
      </c>
      <c r="S3869" s="2">
        <v>0</v>
      </c>
      <c r="T3869" s="2">
        <v>0</v>
      </c>
      <c r="U3869" s="2">
        <v>100000</v>
      </c>
      <c r="V3869" s="2">
        <v>100000</v>
      </c>
      <c r="W3869" s="2">
        <v>100000</v>
      </c>
    </row>
    <row r="3870" spans="1:23" outlineLevel="2" x14ac:dyDescent="0.2">
      <c r="A3870" t="s">
        <v>1882</v>
      </c>
      <c r="B3870" t="s">
        <v>31</v>
      </c>
      <c r="C3870" t="s">
        <v>32</v>
      </c>
      <c r="D3870" t="s">
        <v>141</v>
      </c>
      <c r="E3870" t="s">
        <v>142</v>
      </c>
      <c r="F3870" t="s">
        <v>933</v>
      </c>
      <c r="G3870" t="s">
        <v>934</v>
      </c>
      <c r="H3870" t="s">
        <v>935</v>
      </c>
      <c r="I3870" t="s">
        <v>936</v>
      </c>
      <c r="J3870" t="s">
        <v>1883</v>
      </c>
      <c r="K3870" t="s">
        <v>1886</v>
      </c>
      <c r="L3870" t="s">
        <v>1941</v>
      </c>
      <c r="M3870" t="s">
        <v>12</v>
      </c>
      <c r="N3870" s="2">
        <v>187000</v>
      </c>
      <c r="O3870" s="2">
        <v>-52000</v>
      </c>
      <c r="P3870" s="2">
        <v>-100000</v>
      </c>
      <c r="Q3870" s="2">
        <v>35000</v>
      </c>
      <c r="R3870" s="2">
        <v>0</v>
      </c>
      <c r="S3870" s="2">
        <v>0</v>
      </c>
      <c r="T3870" s="2">
        <v>0</v>
      </c>
      <c r="U3870" s="2">
        <v>35000</v>
      </c>
      <c r="V3870" s="2">
        <v>35000</v>
      </c>
      <c r="W3870" s="2">
        <v>35000</v>
      </c>
    </row>
    <row r="3871" spans="1:23" outlineLevel="2" x14ac:dyDescent="0.2">
      <c r="A3871" t="s">
        <v>1882</v>
      </c>
      <c r="B3871" t="s">
        <v>31</v>
      </c>
      <c r="C3871" t="s">
        <v>32</v>
      </c>
      <c r="D3871" t="s">
        <v>141</v>
      </c>
      <c r="E3871" t="s">
        <v>142</v>
      </c>
      <c r="F3871" t="s">
        <v>933</v>
      </c>
      <c r="G3871" t="s">
        <v>934</v>
      </c>
      <c r="H3871" t="s">
        <v>935</v>
      </c>
      <c r="I3871" t="s">
        <v>936</v>
      </c>
      <c r="J3871" t="s">
        <v>1883</v>
      </c>
      <c r="K3871" t="s">
        <v>1949</v>
      </c>
      <c r="L3871" t="s">
        <v>1950</v>
      </c>
      <c r="M3871" t="s">
        <v>12</v>
      </c>
      <c r="N3871" s="2">
        <v>0</v>
      </c>
      <c r="O3871" s="2">
        <v>2719.7</v>
      </c>
      <c r="P3871" s="2">
        <v>0</v>
      </c>
      <c r="Q3871" s="2">
        <v>2719.7</v>
      </c>
      <c r="R3871" s="2">
        <v>0</v>
      </c>
      <c r="S3871" s="2">
        <v>0</v>
      </c>
      <c r="T3871" s="2">
        <v>0</v>
      </c>
      <c r="U3871" s="2">
        <v>2719.7</v>
      </c>
      <c r="V3871" s="2">
        <v>2719.7</v>
      </c>
      <c r="W3871" s="2">
        <v>2719.7</v>
      </c>
    </row>
    <row r="3872" spans="1:23" outlineLevel="2" x14ac:dyDescent="0.2">
      <c r="A3872" t="s">
        <v>1882</v>
      </c>
      <c r="B3872" t="s">
        <v>39</v>
      </c>
      <c r="C3872" t="s">
        <v>58</v>
      </c>
      <c r="D3872" t="s">
        <v>147</v>
      </c>
      <c r="E3872" t="s">
        <v>148</v>
      </c>
      <c r="F3872" t="s">
        <v>933</v>
      </c>
      <c r="G3872" t="s">
        <v>934</v>
      </c>
      <c r="H3872" t="s">
        <v>935</v>
      </c>
      <c r="I3872" t="s">
        <v>936</v>
      </c>
      <c r="J3872" t="s">
        <v>1883</v>
      </c>
      <c r="K3872" t="s">
        <v>1914</v>
      </c>
      <c r="L3872" t="s">
        <v>1943</v>
      </c>
      <c r="M3872" t="s">
        <v>12</v>
      </c>
      <c r="N3872" s="2">
        <v>2000</v>
      </c>
      <c r="O3872" s="2">
        <v>0</v>
      </c>
      <c r="P3872" s="2">
        <v>-2000</v>
      </c>
      <c r="Q3872" s="2">
        <v>0</v>
      </c>
      <c r="R3872" s="2">
        <v>0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</row>
    <row r="3873" spans="1:23" outlineLevel="2" x14ac:dyDescent="0.2">
      <c r="A3873" t="s">
        <v>1882</v>
      </c>
      <c r="B3873" t="s">
        <v>31</v>
      </c>
      <c r="C3873" t="s">
        <v>32</v>
      </c>
      <c r="D3873" t="s">
        <v>141</v>
      </c>
      <c r="E3873" t="s">
        <v>142</v>
      </c>
      <c r="F3873" t="s">
        <v>933</v>
      </c>
      <c r="G3873" t="s">
        <v>934</v>
      </c>
      <c r="H3873" t="s">
        <v>935</v>
      </c>
      <c r="I3873" t="s">
        <v>936</v>
      </c>
      <c r="J3873" t="s">
        <v>1883</v>
      </c>
      <c r="K3873" t="s">
        <v>1914</v>
      </c>
      <c r="L3873" t="s">
        <v>1951</v>
      </c>
      <c r="M3873" t="s">
        <v>12</v>
      </c>
      <c r="N3873" s="2">
        <v>0</v>
      </c>
      <c r="O3873" s="2">
        <v>85000</v>
      </c>
      <c r="P3873" s="2">
        <v>0</v>
      </c>
      <c r="Q3873" s="2">
        <v>85000</v>
      </c>
      <c r="R3873" s="2">
        <v>6725.78</v>
      </c>
      <c r="S3873" s="2">
        <v>0</v>
      </c>
      <c r="T3873" s="2">
        <v>0</v>
      </c>
      <c r="U3873" s="2">
        <v>85000</v>
      </c>
      <c r="V3873" s="2">
        <v>85000</v>
      </c>
      <c r="W3873" s="2">
        <v>78274.22</v>
      </c>
    </row>
    <row r="3874" spans="1:23" outlineLevel="2" x14ac:dyDescent="0.2">
      <c r="A3874" t="s">
        <v>1882</v>
      </c>
      <c r="B3874" t="s">
        <v>31</v>
      </c>
      <c r="C3874" t="s">
        <v>32</v>
      </c>
      <c r="D3874" t="s">
        <v>75</v>
      </c>
      <c r="E3874" t="s">
        <v>76</v>
      </c>
      <c r="F3874" t="s">
        <v>933</v>
      </c>
      <c r="G3874" t="s">
        <v>934</v>
      </c>
      <c r="H3874" t="s">
        <v>949</v>
      </c>
      <c r="I3874" t="s">
        <v>950</v>
      </c>
      <c r="J3874" t="s">
        <v>1883</v>
      </c>
      <c r="K3874" t="s">
        <v>1891</v>
      </c>
      <c r="L3874" t="s">
        <v>1946</v>
      </c>
      <c r="M3874" t="s">
        <v>12</v>
      </c>
      <c r="N3874" s="2">
        <v>1500</v>
      </c>
      <c r="O3874" s="2">
        <v>36155.22</v>
      </c>
      <c r="P3874" s="2">
        <v>0</v>
      </c>
      <c r="Q3874" s="2">
        <v>37655.22</v>
      </c>
      <c r="R3874" s="2">
        <v>0</v>
      </c>
      <c r="S3874" s="2">
        <v>0</v>
      </c>
      <c r="T3874" s="2">
        <v>0</v>
      </c>
      <c r="U3874" s="2">
        <v>37655.22</v>
      </c>
      <c r="V3874" s="2">
        <v>37655.22</v>
      </c>
      <c r="W3874" s="2">
        <v>37655.22</v>
      </c>
    </row>
    <row r="3875" spans="1:23" outlineLevel="2" x14ac:dyDescent="0.2">
      <c r="A3875" t="s">
        <v>1882</v>
      </c>
      <c r="B3875" t="s">
        <v>31</v>
      </c>
      <c r="C3875" t="s">
        <v>32</v>
      </c>
      <c r="D3875" t="s">
        <v>75</v>
      </c>
      <c r="E3875" t="s">
        <v>76</v>
      </c>
      <c r="F3875" t="s">
        <v>933</v>
      </c>
      <c r="G3875" t="s">
        <v>934</v>
      </c>
      <c r="H3875" t="s">
        <v>949</v>
      </c>
      <c r="I3875" t="s">
        <v>950</v>
      </c>
      <c r="J3875" t="s">
        <v>1883</v>
      </c>
      <c r="K3875" t="s">
        <v>1884</v>
      </c>
      <c r="L3875" t="s">
        <v>1947</v>
      </c>
      <c r="M3875" t="s">
        <v>12</v>
      </c>
      <c r="N3875" s="2">
        <v>30000</v>
      </c>
      <c r="O3875" s="2">
        <v>78616</v>
      </c>
      <c r="P3875" s="2">
        <v>0</v>
      </c>
      <c r="Q3875" s="2">
        <v>108616</v>
      </c>
      <c r="R3875" s="2">
        <v>0</v>
      </c>
      <c r="S3875" s="2">
        <v>0</v>
      </c>
      <c r="T3875" s="2">
        <v>0</v>
      </c>
      <c r="U3875" s="2">
        <v>108616</v>
      </c>
      <c r="V3875" s="2">
        <v>108616</v>
      </c>
      <c r="W3875" s="2">
        <v>108616</v>
      </c>
    </row>
    <row r="3876" spans="1:23" outlineLevel="2" x14ac:dyDescent="0.2">
      <c r="A3876" t="s">
        <v>1882</v>
      </c>
      <c r="B3876" t="s">
        <v>31</v>
      </c>
      <c r="C3876" t="s">
        <v>32</v>
      </c>
      <c r="D3876" t="s">
        <v>123</v>
      </c>
      <c r="E3876" t="s">
        <v>124</v>
      </c>
      <c r="F3876" t="s">
        <v>933</v>
      </c>
      <c r="G3876" t="s">
        <v>934</v>
      </c>
      <c r="H3876" t="s">
        <v>949</v>
      </c>
      <c r="I3876" t="s">
        <v>950</v>
      </c>
      <c r="J3876" t="s">
        <v>1883</v>
      </c>
      <c r="K3876" t="s">
        <v>1884</v>
      </c>
      <c r="L3876" t="s">
        <v>1947</v>
      </c>
      <c r="M3876" t="s">
        <v>12</v>
      </c>
      <c r="N3876" s="2">
        <v>50000</v>
      </c>
      <c r="O3876" s="2">
        <v>0</v>
      </c>
      <c r="P3876" s="2">
        <v>-1666.56</v>
      </c>
      <c r="Q3876" s="2">
        <v>48333.440000000002</v>
      </c>
      <c r="R3876" s="2">
        <v>1666.56</v>
      </c>
      <c r="S3876" s="2">
        <v>7231</v>
      </c>
      <c r="T3876" s="2">
        <v>7231</v>
      </c>
      <c r="U3876" s="2">
        <v>41102.44</v>
      </c>
      <c r="V3876" s="2">
        <v>41102.44</v>
      </c>
      <c r="W3876" s="2">
        <v>39435.879999999997</v>
      </c>
    </row>
    <row r="3877" spans="1:23" outlineLevel="2" x14ac:dyDescent="0.2">
      <c r="A3877" t="s">
        <v>1882</v>
      </c>
      <c r="B3877" t="s">
        <v>31</v>
      </c>
      <c r="C3877" t="s">
        <v>32</v>
      </c>
      <c r="D3877" t="s">
        <v>33</v>
      </c>
      <c r="E3877" t="s">
        <v>34</v>
      </c>
      <c r="F3877" t="s">
        <v>933</v>
      </c>
      <c r="G3877" t="s">
        <v>934</v>
      </c>
      <c r="H3877" t="s">
        <v>949</v>
      </c>
      <c r="I3877" t="s">
        <v>950</v>
      </c>
      <c r="J3877" t="s">
        <v>1883</v>
      </c>
      <c r="K3877" t="s">
        <v>1886</v>
      </c>
      <c r="L3877" t="s">
        <v>1941</v>
      </c>
      <c r="M3877" t="s">
        <v>12</v>
      </c>
      <c r="N3877" s="2">
        <v>0</v>
      </c>
      <c r="O3877" s="2">
        <v>17919.98</v>
      </c>
      <c r="P3877" s="2">
        <v>0</v>
      </c>
      <c r="Q3877" s="2">
        <v>17919.98</v>
      </c>
      <c r="R3877" s="2">
        <v>0</v>
      </c>
      <c r="S3877" s="2">
        <v>17919.98</v>
      </c>
      <c r="T3877" s="2">
        <v>17919.98</v>
      </c>
      <c r="U3877" s="2">
        <v>0</v>
      </c>
      <c r="V3877" s="2">
        <v>0</v>
      </c>
      <c r="W3877" s="2">
        <v>0</v>
      </c>
    </row>
    <row r="3878" spans="1:23" outlineLevel="2" x14ac:dyDescent="0.2">
      <c r="A3878" t="s">
        <v>1882</v>
      </c>
      <c r="B3878" t="s">
        <v>31</v>
      </c>
      <c r="C3878" t="s">
        <v>32</v>
      </c>
      <c r="D3878" t="s">
        <v>75</v>
      </c>
      <c r="E3878" t="s">
        <v>76</v>
      </c>
      <c r="F3878" t="s">
        <v>933</v>
      </c>
      <c r="G3878" t="s">
        <v>934</v>
      </c>
      <c r="H3878" t="s">
        <v>949</v>
      </c>
      <c r="I3878" t="s">
        <v>950</v>
      </c>
      <c r="J3878" t="s">
        <v>1883</v>
      </c>
      <c r="K3878" t="s">
        <v>1886</v>
      </c>
      <c r="L3878" t="s">
        <v>1941</v>
      </c>
      <c r="M3878" t="s">
        <v>12</v>
      </c>
      <c r="N3878" s="2">
        <v>50000</v>
      </c>
      <c r="O3878" s="2">
        <v>-42133.88</v>
      </c>
      <c r="P3878" s="2">
        <v>0</v>
      </c>
      <c r="Q3878" s="2">
        <v>7866.12</v>
      </c>
      <c r="R3878" s="2">
        <v>0</v>
      </c>
      <c r="S3878" s="2">
        <v>0</v>
      </c>
      <c r="T3878" s="2">
        <v>0</v>
      </c>
      <c r="U3878" s="2">
        <v>7866.12</v>
      </c>
      <c r="V3878" s="2">
        <v>7866.12</v>
      </c>
      <c r="W3878" s="2">
        <v>7866.12</v>
      </c>
    </row>
    <row r="3879" spans="1:23" outlineLevel="2" x14ac:dyDescent="0.2">
      <c r="A3879" t="s">
        <v>1882</v>
      </c>
      <c r="B3879" t="s">
        <v>31</v>
      </c>
      <c r="C3879" t="s">
        <v>32</v>
      </c>
      <c r="D3879" t="s">
        <v>123</v>
      </c>
      <c r="E3879" t="s">
        <v>124</v>
      </c>
      <c r="F3879" t="s">
        <v>933</v>
      </c>
      <c r="G3879" t="s">
        <v>934</v>
      </c>
      <c r="H3879" t="s">
        <v>949</v>
      </c>
      <c r="I3879" t="s">
        <v>950</v>
      </c>
      <c r="J3879" t="s">
        <v>1883</v>
      </c>
      <c r="K3879" t="s">
        <v>1886</v>
      </c>
      <c r="L3879" t="s">
        <v>1941</v>
      </c>
      <c r="M3879" t="s">
        <v>12</v>
      </c>
      <c r="N3879" s="2">
        <v>46000</v>
      </c>
      <c r="O3879" s="2">
        <v>0</v>
      </c>
      <c r="P3879" s="2">
        <v>0</v>
      </c>
      <c r="Q3879" s="2">
        <v>46000</v>
      </c>
      <c r="R3879" s="2">
        <v>104.92</v>
      </c>
      <c r="S3879" s="2">
        <v>10379.040000000001</v>
      </c>
      <c r="T3879" s="2">
        <v>10379.040000000001</v>
      </c>
      <c r="U3879" s="2">
        <v>35620.959999999999</v>
      </c>
      <c r="V3879" s="2">
        <v>35620.959999999999</v>
      </c>
      <c r="W3879" s="2">
        <v>35516.04</v>
      </c>
    </row>
    <row r="3880" spans="1:23" outlineLevel="2" x14ac:dyDescent="0.2">
      <c r="A3880" t="s">
        <v>1882</v>
      </c>
      <c r="B3880" t="s">
        <v>31</v>
      </c>
      <c r="C3880" t="s">
        <v>32</v>
      </c>
      <c r="D3880" t="s">
        <v>33</v>
      </c>
      <c r="E3880" t="s">
        <v>34</v>
      </c>
      <c r="F3880" t="s">
        <v>933</v>
      </c>
      <c r="G3880" t="s">
        <v>934</v>
      </c>
      <c r="H3880" t="s">
        <v>949</v>
      </c>
      <c r="I3880" t="s">
        <v>950</v>
      </c>
      <c r="J3880" t="s">
        <v>1883</v>
      </c>
      <c r="K3880" t="s">
        <v>1914</v>
      </c>
      <c r="L3880" t="s">
        <v>1951</v>
      </c>
      <c r="M3880" t="s">
        <v>12</v>
      </c>
      <c r="N3880" s="2">
        <v>25000</v>
      </c>
      <c r="O3880" s="2">
        <v>41236.54</v>
      </c>
      <c r="P3880" s="2">
        <v>0</v>
      </c>
      <c r="Q3880" s="2">
        <v>66236.539999999994</v>
      </c>
      <c r="R3880" s="2">
        <v>1932</v>
      </c>
      <c r="S3880" s="2">
        <v>28236.54</v>
      </c>
      <c r="T3880" s="2">
        <v>28236.54</v>
      </c>
      <c r="U3880" s="2">
        <v>38000</v>
      </c>
      <c r="V3880" s="2">
        <v>38000</v>
      </c>
      <c r="W3880" s="2">
        <v>36068</v>
      </c>
    </row>
    <row r="3881" spans="1:23" outlineLevel="2" x14ac:dyDescent="0.2">
      <c r="A3881" t="s">
        <v>1882</v>
      </c>
      <c r="B3881" t="s">
        <v>31</v>
      </c>
      <c r="C3881" t="s">
        <v>32</v>
      </c>
      <c r="D3881" t="s">
        <v>75</v>
      </c>
      <c r="E3881" t="s">
        <v>76</v>
      </c>
      <c r="F3881" t="s">
        <v>933</v>
      </c>
      <c r="G3881" t="s">
        <v>934</v>
      </c>
      <c r="H3881" t="s">
        <v>949</v>
      </c>
      <c r="I3881" t="s">
        <v>950</v>
      </c>
      <c r="J3881" t="s">
        <v>1883</v>
      </c>
      <c r="K3881" t="s">
        <v>1914</v>
      </c>
      <c r="L3881" t="s">
        <v>1951</v>
      </c>
      <c r="M3881" t="s">
        <v>12</v>
      </c>
      <c r="N3881" s="2">
        <v>650757</v>
      </c>
      <c r="O3881" s="2">
        <v>-416807.37</v>
      </c>
      <c r="P3881" s="2">
        <v>-139200</v>
      </c>
      <c r="Q3881" s="2">
        <v>94749.63</v>
      </c>
      <c r="R3881" s="2">
        <v>0</v>
      </c>
      <c r="S3881" s="2">
        <v>52783.02</v>
      </c>
      <c r="T3881" s="2">
        <v>47687.02</v>
      </c>
      <c r="U3881" s="2">
        <v>41966.61</v>
      </c>
      <c r="V3881" s="2">
        <v>47062.61</v>
      </c>
      <c r="W3881" s="2">
        <v>41966.61</v>
      </c>
    </row>
    <row r="3882" spans="1:23" outlineLevel="2" x14ac:dyDescent="0.2">
      <c r="A3882" t="s">
        <v>1882</v>
      </c>
      <c r="B3882" t="s">
        <v>31</v>
      </c>
      <c r="C3882" t="s">
        <v>32</v>
      </c>
      <c r="D3882" t="s">
        <v>75</v>
      </c>
      <c r="E3882" t="s">
        <v>76</v>
      </c>
      <c r="F3882" t="s">
        <v>933</v>
      </c>
      <c r="G3882" t="s">
        <v>934</v>
      </c>
      <c r="H3882" t="s">
        <v>949</v>
      </c>
      <c r="I3882" t="s">
        <v>950</v>
      </c>
      <c r="J3882" t="s">
        <v>1883</v>
      </c>
      <c r="K3882" t="s">
        <v>1952</v>
      </c>
      <c r="L3882" t="s">
        <v>1953</v>
      </c>
      <c r="M3882" t="s">
        <v>12</v>
      </c>
      <c r="N3882" s="2">
        <v>2550</v>
      </c>
      <c r="O3882" s="2">
        <v>38176.959999999999</v>
      </c>
      <c r="P3882" s="2">
        <v>-30726.959999999999</v>
      </c>
      <c r="Q3882" s="2">
        <v>10000</v>
      </c>
      <c r="R3882" s="2">
        <v>2632</v>
      </c>
      <c r="S3882" s="2">
        <v>0</v>
      </c>
      <c r="T3882" s="2">
        <v>0</v>
      </c>
      <c r="U3882" s="2">
        <v>10000</v>
      </c>
      <c r="V3882" s="2">
        <v>10000</v>
      </c>
      <c r="W3882" s="2">
        <v>7368</v>
      </c>
    </row>
    <row r="3883" spans="1:23" outlineLevel="2" x14ac:dyDescent="0.2">
      <c r="A3883" t="s">
        <v>1882</v>
      </c>
      <c r="B3883" t="s">
        <v>31</v>
      </c>
      <c r="C3883" t="s">
        <v>32</v>
      </c>
      <c r="D3883" t="s">
        <v>33</v>
      </c>
      <c r="E3883" t="s">
        <v>34</v>
      </c>
      <c r="F3883" t="s">
        <v>933</v>
      </c>
      <c r="G3883" t="s">
        <v>934</v>
      </c>
      <c r="H3883" t="s">
        <v>949</v>
      </c>
      <c r="I3883" t="s">
        <v>950</v>
      </c>
      <c r="J3883" t="s">
        <v>1883</v>
      </c>
      <c r="K3883" t="s">
        <v>1952</v>
      </c>
      <c r="L3883" t="s">
        <v>1953</v>
      </c>
      <c r="M3883" t="s">
        <v>12</v>
      </c>
      <c r="N3883" s="2">
        <v>20000</v>
      </c>
      <c r="O3883" s="2">
        <v>-13224</v>
      </c>
      <c r="P3883" s="2">
        <v>0</v>
      </c>
      <c r="Q3883" s="2">
        <v>6776</v>
      </c>
      <c r="R3883" s="2">
        <v>0</v>
      </c>
      <c r="S3883" s="2">
        <v>0</v>
      </c>
      <c r="T3883" s="2">
        <v>0</v>
      </c>
      <c r="U3883" s="2">
        <v>6776</v>
      </c>
      <c r="V3883" s="2">
        <v>6776</v>
      </c>
      <c r="W3883" s="2">
        <v>6776</v>
      </c>
    </row>
    <row r="3884" spans="1:23" outlineLevel="2" x14ac:dyDescent="0.2">
      <c r="A3884" t="s">
        <v>1882</v>
      </c>
      <c r="B3884" t="s">
        <v>31</v>
      </c>
      <c r="C3884" t="s">
        <v>32</v>
      </c>
      <c r="D3884" t="s">
        <v>75</v>
      </c>
      <c r="E3884" t="s">
        <v>76</v>
      </c>
      <c r="F3884" t="s">
        <v>933</v>
      </c>
      <c r="G3884" t="s">
        <v>934</v>
      </c>
      <c r="H3884" t="s">
        <v>963</v>
      </c>
      <c r="I3884" t="s">
        <v>964</v>
      </c>
      <c r="J3884" t="s">
        <v>1883</v>
      </c>
      <c r="K3884" t="s">
        <v>1891</v>
      </c>
      <c r="L3884" t="s">
        <v>1946</v>
      </c>
      <c r="M3884" t="s">
        <v>12</v>
      </c>
      <c r="N3884" s="2">
        <v>6000</v>
      </c>
      <c r="O3884" s="2">
        <v>12000</v>
      </c>
      <c r="P3884" s="2">
        <v>-8000</v>
      </c>
      <c r="Q3884" s="2">
        <v>10000</v>
      </c>
      <c r="R3884" s="2">
        <v>0</v>
      </c>
      <c r="S3884" s="2">
        <v>0</v>
      </c>
      <c r="T3884" s="2">
        <v>0</v>
      </c>
      <c r="U3884" s="2">
        <v>10000</v>
      </c>
      <c r="V3884" s="2">
        <v>10000</v>
      </c>
      <c r="W3884" s="2">
        <v>10000</v>
      </c>
    </row>
    <row r="3885" spans="1:23" outlineLevel="2" x14ac:dyDescent="0.2">
      <c r="A3885" t="s">
        <v>1882</v>
      </c>
      <c r="B3885" t="s">
        <v>31</v>
      </c>
      <c r="C3885" t="s">
        <v>32</v>
      </c>
      <c r="D3885" t="s">
        <v>75</v>
      </c>
      <c r="E3885" t="s">
        <v>76</v>
      </c>
      <c r="F3885" t="s">
        <v>933</v>
      </c>
      <c r="G3885" t="s">
        <v>934</v>
      </c>
      <c r="H3885" t="s">
        <v>963</v>
      </c>
      <c r="I3885" t="s">
        <v>964</v>
      </c>
      <c r="J3885" t="s">
        <v>1883</v>
      </c>
      <c r="K3885" t="s">
        <v>1884</v>
      </c>
      <c r="L3885" t="s">
        <v>1947</v>
      </c>
      <c r="M3885" t="s">
        <v>12</v>
      </c>
      <c r="N3885" s="2">
        <v>19000</v>
      </c>
      <c r="O3885" s="2">
        <v>-5000</v>
      </c>
      <c r="P3885" s="2">
        <v>-10000</v>
      </c>
      <c r="Q3885" s="2">
        <v>4000</v>
      </c>
      <c r="R3885" s="2">
        <v>0</v>
      </c>
      <c r="S3885" s="2">
        <v>0</v>
      </c>
      <c r="T3885" s="2">
        <v>0</v>
      </c>
      <c r="U3885" s="2">
        <v>4000</v>
      </c>
      <c r="V3885" s="2">
        <v>4000</v>
      </c>
      <c r="W3885" s="2">
        <v>4000</v>
      </c>
    </row>
    <row r="3886" spans="1:23" outlineLevel="2" x14ac:dyDescent="0.2">
      <c r="A3886" t="s">
        <v>1882</v>
      </c>
      <c r="B3886" t="s">
        <v>31</v>
      </c>
      <c r="C3886" t="s">
        <v>32</v>
      </c>
      <c r="D3886" t="s">
        <v>75</v>
      </c>
      <c r="E3886" t="s">
        <v>76</v>
      </c>
      <c r="F3886" t="s">
        <v>933</v>
      </c>
      <c r="G3886" t="s">
        <v>934</v>
      </c>
      <c r="H3886" t="s">
        <v>963</v>
      </c>
      <c r="I3886" t="s">
        <v>964</v>
      </c>
      <c r="J3886" t="s">
        <v>1883</v>
      </c>
      <c r="K3886" t="s">
        <v>1886</v>
      </c>
      <c r="L3886" t="s">
        <v>1941</v>
      </c>
      <c r="M3886" t="s">
        <v>12</v>
      </c>
      <c r="N3886" s="2">
        <v>50000</v>
      </c>
      <c r="O3886" s="2">
        <v>-8478.44</v>
      </c>
      <c r="P3886" s="2">
        <v>-20000</v>
      </c>
      <c r="Q3886" s="2">
        <v>21521.56</v>
      </c>
      <c r="R3886" s="2">
        <v>0</v>
      </c>
      <c r="S3886" s="2">
        <v>7610.4</v>
      </c>
      <c r="T3886" s="2">
        <v>0</v>
      </c>
      <c r="U3886" s="2">
        <v>13911.16</v>
      </c>
      <c r="V3886" s="2">
        <v>21521.56</v>
      </c>
      <c r="W3886" s="2">
        <v>13911.16</v>
      </c>
    </row>
    <row r="3887" spans="1:23" outlineLevel="2" x14ac:dyDescent="0.2">
      <c r="A3887" t="s">
        <v>1882</v>
      </c>
      <c r="B3887" t="s">
        <v>31</v>
      </c>
      <c r="C3887" t="s">
        <v>32</v>
      </c>
      <c r="D3887" t="s">
        <v>123</v>
      </c>
      <c r="E3887" t="s">
        <v>124</v>
      </c>
      <c r="F3887" t="s">
        <v>933</v>
      </c>
      <c r="G3887" t="s">
        <v>934</v>
      </c>
      <c r="H3887" t="s">
        <v>965</v>
      </c>
      <c r="I3887" t="s">
        <v>966</v>
      </c>
      <c r="J3887" t="s">
        <v>1883</v>
      </c>
      <c r="K3887" t="s">
        <v>1891</v>
      </c>
      <c r="L3887" t="s">
        <v>1946</v>
      </c>
      <c r="M3887" t="s">
        <v>12</v>
      </c>
      <c r="N3887" s="2">
        <v>4000</v>
      </c>
      <c r="O3887" s="2">
        <v>-4000</v>
      </c>
      <c r="P3887" s="2">
        <v>0</v>
      </c>
      <c r="Q3887" s="2">
        <v>0</v>
      </c>
      <c r="R3887" s="2">
        <v>0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</row>
    <row r="3888" spans="1:23" outlineLevel="2" x14ac:dyDescent="0.2">
      <c r="A3888" t="s">
        <v>1882</v>
      </c>
      <c r="B3888" t="s">
        <v>31</v>
      </c>
      <c r="C3888" t="s">
        <v>32</v>
      </c>
      <c r="D3888" t="s">
        <v>123</v>
      </c>
      <c r="E3888" t="s">
        <v>124</v>
      </c>
      <c r="F3888" t="s">
        <v>933</v>
      </c>
      <c r="G3888" t="s">
        <v>934</v>
      </c>
      <c r="H3888" t="s">
        <v>965</v>
      </c>
      <c r="I3888" t="s">
        <v>966</v>
      </c>
      <c r="J3888" t="s">
        <v>1883</v>
      </c>
      <c r="K3888" t="s">
        <v>1884</v>
      </c>
      <c r="L3888" t="s">
        <v>1947</v>
      </c>
      <c r="M3888" t="s">
        <v>12</v>
      </c>
      <c r="N3888" s="2">
        <v>84000</v>
      </c>
      <c r="O3888" s="2">
        <v>-84000</v>
      </c>
      <c r="P3888" s="2">
        <v>0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</row>
    <row r="3889" spans="1:23" outlineLevel="2" x14ac:dyDescent="0.2">
      <c r="A3889" t="s">
        <v>1882</v>
      </c>
      <c r="B3889" t="s">
        <v>31</v>
      </c>
      <c r="C3889" t="s">
        <v>32</v>
      </c>
      <c r="D3889" t="s">
        <v>123</v>
      </c>
      <c r="E3889" t="s">
        <v>124</v>
      </c>
      <c r="F3889" t="s">
        <v>933</v>
      </c>
      <c r="G3889" t="s">
        <v>934</v>
      </c>
      <c r="H3889" t="s">
        <v>965</v>
      </c>
      <c r="I3889" t="s">
        <v>966</v>
      </c>
      <c r="J3889" t="s">
        <v>1883</v>
      </c>
      <c r="K3889" t="s">
        <v>1886</v>
      </c>
      <c r="L3889" t="s">
        <v>1941</v>
      </c>
      <c r="M3889" t="s">
        <v>12</v>
      </c>
      <c r="N3889" s="2">
        <v>22000</v>
      </c>
      <c r="O3889" s="2">
        <v>-15000</v>
      </c>
      <c r="P3889" s="2">
        <v>0</v>
      </c>
      <c r="Q3889" s="2">
        <v>7000</v>
      </c>
      <c r="R3889" s="2">
        <v>0</v>
      </c>
      <c r="S3889" s="2">
        <v>6876.8</v>
      </c>
      <c r="T3889" s="2">
        <v>0</v>
      </c>
      <c r="U3889" s="2">
        <v>123.2</v>
      </c>
      <c r="V3889" s="2">
        <v>7000</v>
      </c>
      <c r="W3889" s="2">
        <v>123.2</v>
      </c>
    </row>
    <row r="3890" spans="1:23" outlineLevel="2" x14ac:dyDescent="0.2">
      <c r="A3890" t="s">
        <v>1882</v>
      </c>
      <c r="B3890" t="s">
        <v>39</v>
      </c>
      <c r="C3890" t="s">
        <v>70</v>
      </c>
      <c r="D3890" t="s">
        <v>89</v>
      </c>
      <c r="E3890" t="s">
        <v>90</v>
      </c>
      <c r="F3890" t="s">
        <v>1618</v>
      </c>
      <c r="G3890" t="s">
        <v>1619</v>
      </c>
      <c r="H3890" t="s">
        <v>1620</v>
      </c>
      <c r="I3890" t="s">
        <v>1621</v>
      </c>
      <c r="J3890" t="s">
        <v>1883</v>
      </c>
      <c r="K3890" t="s">
        <v>1886</v>
      </c>
      <c r="L3890" t="s">
        <v>1954</v>
      </c>
      <c r="M3890" t="s">
        <v>12</v>
      </c>
      <c r="N3890" s="2">
        <v>150000</v>
      </c>
      <c r="O3890" s="2">
        <v>0</v>
      </c>
      <c r="P3890" s="2">
        <v>-112100</v>
      </c>
      <c r="Q3890" s="2">
        <v>37900</v>
      </c>
      <c r="R3890" s="2">
        <v>0</v>
      </c>
      <c r="S3890" s="2">
        <v>0</v>
      </c>
      <c r="T3890" s="2">
        <v>0</v>
      </c>
      <c r="U3890" s="2">
        <v>37900</v>
      </c>
      <c r="V3890" s="2">
        <v>37900</v>
      </c>
      <c r="W3890" s="2">
        <v>37900</v>
      </c>
    </row>
    <row r="3891" spans="1:23" outlineLevel="2" x14ac:dyDescent="0.2">
      <c r="A3891" t="s">
        <v>1882</v>
      </c>
      <c r="B3891" t="s">
        <v>39</v>
      </c>
      <c r="C3891" t="s">
        <v>70</v>
      </c>
      <c r="D3891" t="s">
        <v>71</v>
      </c>
      <c r="E3891" t="s">
        <v>72</v>
      </c>
      <c r="F3891" t="s">
        <v>1618</v>
      </c>
      <c r="G3891" t="s">
        <v>1619</v>
      </c>
      <c r="H3891" t="s">
        <v>1625</v>
      </c>
      <c r="I3891" t="s">
        <v>1626</v>
      </c>
      <c r="J3891" t="s">
        <v>1883</v>
      </c>
      <c r="K3891" t="s">
        <v>1886</v>
      </c>
      <c r="L3891" t="s">
        <v>1954</v>
      </c>
      <c r="M3891" t="s">
        <v>12</v>
      </c>
      <c r="N3891" s="2">
        <v>65600</v>
      </c>
      <c r="O3891" s="2">
        <v>0</v>
      </c>
      <c r="P3891" s="2">
        <v>-65600</v>
      </c>
      <c r="Q3891" s="2">
        <v>0</v>
      </c>
      <c r="R3891" s="2">
        <v>0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</row>
    <row r="3892" spans="1:23" outlineLevel="2" x14ac:dyDescent="0.2">
      <c r="A3892" t="s">
        <v>1882</v>
      </c>
      <c r="B3892" t="s">
        <v>39</v>
      </c>
      <c r="C3892" t="s">
        <v>70</v>
      </c>
      <c r="D3892" t="s">
        <v>89</v>
      </c>
      <c r="E3892" t="s">
        <v>90</v>
      </c>
      <c r="F3892" t="s">
        <v>1618</v>
      </c>
      <c r="G3892" t="s">
        <v>1619</v>
      </c>
      <c r="H3892" t="s">
        <v>1643</v>
      </c>
      <c r="I3892" t="s">
        <v>1644</v>
      </c>
      <c r="J3892" t="s">
        <v>1883</v>
      </c>
      <c r="K3892" t="s">
        <v>1884</v>
      </c>
      <c r="L3892" t="s">
        <v>1955</v>
      </c>
      <c r="M3892" t="s">
        <v>12</v>
      </c>
      <c r="N3892" s="2">
        <v>381700</v>
      </c>
      <c r="O3892" s="2">
        <v>0</v>
      </c>
      <c r="P3892" s="2">
        <v>-377389</v>
      </c>
      <c r="Q3892" s="2">
        <v>4311</v>
      </c>
      <c r="R3892" s="2">
        <v>0</v>
      </c>
      <c r="S3892" s="2">
        <v>1310.4000000000001</v>
      </c>
      <c r="T3892" s="2">
        <v>1310.4000000000001</v>
      </c>
      <c r="U3892" s="2">
        <v>3000.6</v>
      </c>
      <c r="V3892" s="2">
        <v>3000.6</v>
      </c>
      <c r="W3892" s="2">
        <v>3000.6</v>
      </c>
    </row>
    <row r="3893" spans="1:23" outlineLevel="2" x14ac:dyDescent="0.2">
      <c r="A3893" t="s">
        <v>1882</v>
      </c>
      <c r="B3893" t="s">
        <v>39</v>
      </c>
      <c r="C3893" t="s">
        <v>70</v>
      </c>
      <c r="D3893" t="s">
        <v>89</v>
      </c>
      <c r="E3893" t="s">
        <v>90</v>
      </c>
      <c r="F3893" t="s">
        <v>1618</v>
      </c>
      <c r="G3893" t="s">
        <v>1619</v>
      </c>
      <c r="H3893" t="s">
        <v>1643</v>
      </c>
      <c r="I3893" t="s">
        <v>1644</v>
      </c>
      <c r="J3893" t="s">
        <v>1883</v>
      </c>
      <c r="K3893" t="s">
        <v>1884</v>
      </c>
      <c r="L3893" t="s">
        <v>1955</v>
      </c>
      <c r="M3893" t="s">
        <v>15</v>
      </c>
      <c r="N3893" s="2">
        <v>67920</v>
      </c>
      <c r="O3893" s="2">
        <v>0</v>
      </c>
      <c r="P3893" s="2">
        <v>-67920</v>
      </c>
      <c r="Q3893" s="2">
        <v>0</v>
      </c>
      <c r="R3893" s="2">
        <v>0</v>
      </c>
      <c r="S3893" s="2">
        <v>0</v>
      </c>
      <c r="T3893" s="2">
        <v>0</v>
      </c>
      <c r="U3893" s="2">
        <v>0</v>
      </c>
      <c r="V3893" s="2">
        <v>0</v>
      </c>
      <c r="W3893" s="2">
        <v>0</v>
      </c>
    </row>
    <row r="3894" spans="1:23" outlineLevel="2" x14ac:dyDescent="0.2">
      <c r="A3894" t="s">
        <v>1882</v>
      </c>
      <c r="B3894" t="s">
        <v>39</v>
      </c>
      <c r="C3894" t="s">
        <v>58</v>
      </c>
      <c r="D3894" t="s">
        <v>137</v>
      </c>
      <c r="E3894" t="s">
        <v>138</v>
      </c>
      <c r="F3894" t="s">
        <v>1618</v>
      </c>
      <c r="G3894" t="s">
        <v>1619</v>
      </c>
      <c r="H3894" t="s">
        <v>1643</v>
      </c>
      <c r="I3894" t="s">
        <v>1644</v>
      </c>
      <c r="J3894" t="s">
        <v>1883</v>
      </c>
      <c r="K3894" t="s">
        <v>1886</v>
      </c>
      <c r="L3894" t="s">
        <v>1956</v>
      </c>
      <c r="M3894" t="s">
        <v>12</v>
      </c>
      <c r="N3894" s="2">
        <v>1000</v>
      </c>
      <c r="O3894" s="2">
        <v>0</v>
      </c>
      <c r="P3894" s="2">
        <v>-1000</v>
      </c>
      <c r="Q3894" s="2">
        <v>0</v>
      </c>
      <c r="R3894" s="2">
        <v>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</row>
    <row r="3895" spans="1:23" outlineLevel="2" x14ac:dyDescent="0.2">
      <c r="A3895" t="s">
        <v>1882</v>
      </c>
      <c r="B3895" t="s">
        <v>39</v>
      </c>
      <c r="C3895" t="s">
        <v>70</v>
      </c>
      <c r="D3895" t="s">
        <v>89</v>
      </c>
      <c r="E3895" t="s">
        <v>90</v>
      </c>
      <c r="F3895" t="s">
        <v>1618</v>
      </c>
      <c r="G3895" t="s">
        <v>1619</v>
      </c>
      <c r="H3895" t="s">
        <v>1643</v>
      </c>
      <c r="I3895" t="s">
        <v>1644</v>
      </c>
      <c r="J3895" t="s">
        <v>1883</v>
      </c>
      <c r="K3895" t="s">
        <v>1886</v>
      </c>
      <c r="L3895" t="s">
        <v>1954</v>
      </c>
      <c r="M3895" t="s">
        <v>12</v>
      </c>
      <c r="N3895" s="2">
        <v>50000</v>
      </c>
      <c r="O3895" s="2">
        <v>0</v>
      </c>
      <c r="P3895" s="2">
        <v>-18110</v>
      </c>
      <c r="Q3895" s="2">
        <v>31890</v>
      </c>
      <c r="R3895" s="2">
        <v>0</v>
      </c>
      <c r="S3895" s="2">
        <v>0</v>
      </c>
      <c r="T3895" s="2">
        <v>0</v>
      </c>
      <c r="U3895" s="2">
        <v>31890</v>
      </c>
      <c r="V3895" s="2">
        <v>31890</v>
      </c>
      <c r="W3895" s="2">
        <v>31890</v>
      </c>
    </row>
    <row r="3896" spans="1:23" outlineLevel="2" x14ac:dyDescent="0.2">
      <c r="A3896" t="s">
        <v>1882</v>
      </c>
      <c r="B3896" t="s">
        <v>39</v>
      </c>
      <c r="C3896" t="s">
        <v>70</v>
      </c>
      <c r="D3896" t="s">
        <v>89</v>
      </c>
      <c r="E3896" t="s">
        <v>90</v>
      </c>
      <c r="F3896" t="s">
        <v>1618</v>
      </c>
      <c r="G3896" t="s">
        <v>1619</v>
      </c>
      <c r="H3896" t="s">
        <v>1643</v>
      </c>
      <c r="I3896" t="s">
        <v>1644</v>
      </c>
      <c r="J3896" t="s">
        <v>1883</v>
      </c>
      <c r="K3896" t="s">
        <v>1957</v>
      </c>
      <c r="L3896" t="s">
        <v>1958</v>
      </c>
      <c r="M3896" t="s">
        <v>12</v>
      </c>
      <c r="N3896" s="2">
        <v>150000</v>
      </c>
      <c r="O3896" s="2">
        <v>0</v>
      </c>
      <c r="P3896" s="2">
        <v>-150000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</row>
    <row r="3897" spans="1:23" outlineLevel="2" x14ac:dyDescent="0.2">
      <c r="A3897" t="s">
        <v>1882</v>
      </c>
      <c r="B3897" t="s">
        <v>39</v>
      </c>
      <c r="C3897" t="s">
        <v>70</v>
      </c>
      <c r="D3897" t="s">
        <v>71</v>
      </c>
      <c r="E3897" t="s">
        <v>72</v>
      </c>
      <c r="F3897" t="s">
        <v>1673</v>
      </c>
      <c r="G3897" t="s">
        <v>1674</v>
      </c>
      <c r="H3897" t="s">
        <v>1675</v>
      </c>
      <c r="I3897" t="s">
        <v>1676</v>
      </c>
      <c r="J3897" t="s">
        <v>1883</v>
      </c>
      <c r="K3897" t="s">
        <v>1886</v>
      </c>
      <c r="L3897" t="s">
        <v>1959</v>
      </c>
      <c r="M3897" t="s">
        <v>12</v>
      </c>
      <c r="N3897" s="2">
        <v>0</v>
      </c>
      <c r="O3897" s="2">
        <v>0</v>
      </c>
      <c r="P3897" s="2">
        <v>125000</v>
      </c>
      <c r="Q3897" s="2">
        <v>125000</v>
      </c>
      <c r="R3897" s="2">
        <v>0</v>
      </c>
      <c r="S3897" s="2">
        <v>0</v>
      </c>
      <c r="T3897" s="2">
        <v>0</v>
      </c>
      <c r="U3897" s="2">
        <v>125000</v>
      </c>
      <c r="V3897" s="2">
        <v>125000</v>
      </c>
      <c r="W3897" s="2">
        <v>125000</v>
      </c>
    </row>
    <row r="3898" spans="1:23" outlineLevel="2" x14ac:dyDescent="0.2">
      <c r="A3898" t="s">
        <v>1882</v>
      </c>
      <c r="B3898" t="s">
        <v>39</v>
      </c>
      <c r="C3898" t="s">
        <v>58</v>
      </c>
      <c r="D3898" t="s">
        <v>137</v>
      </c>
      <c r="E3898" t="s">
        <v>138</v>
      </c>
      <c r="F3898" t="s">
        <v>1673</v>
      </c>
      <c r="G3898" t="s">
        <v>1674</v>
      </c>
      <c r="H3898" t="s">
        <v>1678</v>
      </c>
      <c r="I3898" t="s">
        <v>1679</v>
      </c>
      <c r="J3898" t="s">
        <v>1883</v>
      </c>
      <c r="K3898" t="s">
        <v>1891</v>
      </c>
      <c r="L3898" t="s">
        <v>1960</v>
      </c>
      <c r="M3898" t="s">
        <v>12</v>
      </c>
      <c r="N3898" s="2">
        <v>4500</v>
      </c>
      <c r="O3898" s="2">
        <v>0</v>
      </c>
      <c r="P3898" s="2">
        <v>-4500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</row>
    <row r="3899" spans="1:23" outlineLevel="2" x14ac:dyDescent="0.2">
      <c r="A3899" t="s">
        <v>1882</v>
      </c>
      <c r="B3899" t="s">
        <v>39</v>
      </c>
      <c r="C3899" t="s">
        <v>58</v>
      </c>
      <c r="D3899" t="s">
        <v>139</v>
      </c>
      <c r="E3899" t="s">
        <v>140</v>
      </c>
      <c r="F3899" t="s">
        <v>1673</v>
      </c>
      <c r="G3899" t="s">
        <v>1674</v>
      </c>
      <c r="H3899" t="s">
        <v>1678</v>
      </c>
      <c r="I3899" t="s">
        <v>1679</v>
      </c>
      <c r="J3899" t="s">
        <v>1883</v>
      </c>
      <c r="K3899" t="s">
        <v>1891</v>
      </c>
      <c r="L3899" t="s">
        <v>1960</v>
      </c>
      <c r="M3899" t="s">
        <v>12</v>
      </c>
      <c r="N3899" s="2">
        <v>5500</v>
      </c>
      <c r="O3899" s="2">
        <v>0</v>
      </c>
      <c r="P3899" s="2">
        <v>-5500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</row>
    <row r="3900" spans="1:23" outlineLevel="2" x14ac:dyDescent="0.2">
      <c r="A3900" t="s">
        <v>1882</v>
      </c>
      <c r="B3900" t="s">
        <v>39</v>
      </c>
      <c r="C3900" t="s">
        <v>58</v>
      </c>
      <c r="D3900" t="s">
        <v>139</v>
      </c>
      <c r="E3900" t="s">
        <v>140</v>
      </c>
      <c r="F3900" t="s">
        <v>1673</v>
      </c>
      <c r="G3900" t="s">
        <v>1674</v>
      </c>
      <c r="H3900" t="s">
        <v>1678</v>
      </c>
      <c r="I3900" t="s">
        <v>1679</v>
      </c>
      <c r="J3900" t="s">
        <v>1883</v>
      </c>
      <c r="K3900" t="s">
        <v>1884</v>
      </c>
      <c r="L3900" t="s">
        <v>1961</v>
      </c>
      <c r="M3900" t="s">
        <v>12</v>
      </c>
      <c r="N3900" s="2">
        <v>11000</v>
      </c>
      <c r="O3900" s="2">
        <v>0</v>
      </c>
      <c r="P3900" s="2">
        <v>-11000</v>
      </c>
      <c r="Q3900" s="2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</row>
    <row r="3901" spans="1:23" outlineLevel="2" x14ac:dyDescent="0.2">
      <c r="A3901" t="s">
        <v>1882</v>
      </c>
      <c r="B3901" t="s">
        <v>39</v>
      </c>
      <c r="C3901" t="s">
        <v>58</v>
      </c>
      <c r="D3901" t="s">
        <v>135</v>
      </c>
      <c r="E3901" t="s">
        <v>136</v>
      </c>
      <c r="F3901" t="s">
        <v>1673</v>
      </c>
      <c r="G3901" t="s">
        <v>1674</v>
      </c>
      <c r="H3901" t="s">
        <v>1678</v>
      </c>
      <c r="I3901" t="s">
        <v>1679</v>
      </c>
      <c r="J3901" t="s">
        <v>1883</v>
      </c>
      <c r="K3901" t="s">
        <v>1884</v>
      </c>
      <c r="L3901" t="s">
        <v>1961</v>
      </c>
      <c r="M3901" t="s">
        <v>12</v>
      </c>
      <c r="N3901" s="2">
        <v>9500</v>
      </c>
      <c r="O3901" s="2">
        <v>0</v>
      </c>
      <c r="P3901" s="2">
        <v>0</v>
      </c>
      <c r="Q3901" s="2">
        <v>9500</v>
      </c>
      <c r="R3901" s="2">
        <v>231.29</v>
      </c>
      <c r="S3901" s="2">
        <v>9268.69</v>
      </c>
      <c r="T3901" s="2">
        <v>9268.69</v>
      </c>
      <c r="U3901" s="2">
        <v>231.31</v>
      </c>
      <c r="V3901" s="2">
        <v>231.31</v>
      </c>
      <c r="W3901" s="2">
        <v>0.02</v>
      </c>
    </row>
    <row r="3902" spans="1:23" outlineLevel="2" x14ac:dyDescent="0.2">
      <c r="A3902" t="s">
        <v>1882</v>
      </c>
      <c r="B3902" t="s">
        <v>39</v>
      </c>
      <c r="C3902" t="s">
        <v>58</v>
      </c>
      <c r="D3902" t="s">
        <v>147</v>
      </c>
      <c r="E3902" t="s">
        <v>148</v>
      </c>
      <c r="F3902" t="s">
        <v>1673</v>
      </c>
      <c r="G3902" t="s">
        <v>1674</v>
      </c>
      <c r="H3902" t="s">
        <v>1678</v>
      </c>
      <c r="I3902" t="s">
        <v>1679</v>
      </c>
      <c r="J3902" t="s">
        <v>1883</v>
      </c>
      <c r="K3902" t="s">
        <v>1884</v>
      </c>
      <c r="L3902" t="s">
        <v>1961</v>
      </c>
      <c r="M3902" t="s">
        <v>12</v>
      </c>
      <c r="N3902" s="2">
        <v>4000</v>
      </c>
      <c r="O3902" s="2">
        <v>0</v>
      </c>
      <c r="P3902" s="2">
        <v>-4000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</row>
    <row r="3903" spans="1:23" outlineLevel="2" x14ac:dyDescent="0.2">
      <c r="A3903" t="s">
        <v>1882</v>
      </c>
      <c r="B3903" t="s">
        <v>39</v>
      </c>
      <c r="C3903" t="s">
        <v>58</v>
      </c>
      <c r="D3903" t="s">
        <v>143</v>
      </c>
      <c r="E3903" t="s">
        <v>144</v>
      </c>
      <c r="F3903" t="s">
        <v>1673</v>
      </c>
      <c r="G3903" t="s">
        <v>1674</v>
      </c>
      <c r="H3903" t="s">
        <v>1678</v>
      </c>
      <c r="I3903" t="s">
        <v>1679</v>
      </c>
      <c r="J3903" t="s">
        <v>1883</v>
      </c>
      <c r="K3903" t="s">
        <v>1884</v>
      </c>
      <c r="L3903" t="s">
        <v>1961</v>
      </c>
      <c r="M3903" t="s">
        <v>12</v>
      </c>
      <c r="N3903" s="2">
        <v>15500</v>
      </c>
      <c r="O3903" s="2">
        <v>0</v>
      </c>
      <c r="P3903" s="2">
        <v>-15500</v>
      </c>
      <c r="Q3903" s="2">
        <v>0</v>
      </c>
      <c r="R3903" s="2">
        <v>0</v>
      </c>
      <c r="S3903" s="2">
        <v>0</v>
      </c>
      <c r="T3903" s="2">
        <v>0</v>
      </c>
      <c r="U3903" s="2">
        <v>0</v>
      </c>
      <c r="V3903" s="2">
        <v>0</v>
      </c>
      <c r="W3903" s="2">
        <v>0</v>
      </c>
    </row>
    <row r="3904" spans="1:23" outlineLevel="2" x14ac:dyDescent="0.2">
      <c r="A3904" t="s">
        <v>1882</v>
      </c>
      <c r="B3904" t="s">
        <v>39</v>
      </c>
      <c r="C3904" t="s">
        <v>58</v>
      </c>
      <c r="D3904" t="s">
        <v>59</v>
      </c>
      <c r="E3904" t="s">
        <v>60</v>
      </c>
      <c r="F3904" t="s">
        <v>1673</v>
      </c>
      <c r="G3904" t="s">
        <v>1674</v>
      </c>
      <c r="H3904" t="s">
        <v>1678</v>
      </c>
      <c r="I3904" t="s">
        <v>1679</v>
      </c>
      <c r="J3904" t="s">
        <v>1883</v>
      </c>
      <c r="K3904" t="s">
        <v>1884</v>
      </c>
      <c r="L3904" t="s">
        <v>1961</v>
      </c>
      <c r="M3904" t="s">
        <v>12</v>
      </c>
      <c r="N3904" s="2">
        <v>1700</v>
      </c>
      <c r="O3904" s="2">
        <v>0</v>
      </c>
      <c r="P3904" s="2">
        <v>-1700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</row>
    <row r="3905" spans="1:23" outlineLevel="2" x14ac:dyDescent="0.2">
      <c r="A3905" t="s">
        <v>1882</v>
      </c>
      <c r="B3905" t="s">
        <v>39</v>
      </c>
      <c r="C3905" t="s">
        <v>58</v>
      </c>
      <c r="D3905" t="s">
        <v>143</v>
      </c>
      <c r="E3905" t="s">
        <v>144</v>
      </c>
      <c r="F3905" t="s">
        <v>1673</v>
      </c>
      <c r="G3905" t="s">
        <v>1674</v>
      </c>
      <c r="H3905" t="s">
        <v>1678</v>
      </c>
      <c r="I3905" t="s">
        <v>1679</v>
      </c>
      <c r="J3905" t="s">
        <v>1883</v>
      </c>
      <c r="K3905" t="s">
        <v>1886</v>
      </c>
      <c r="L3905" t="s">
        <v>1962</v>
      </c>
      <c r="M3905" t="s">
        <v>12</v>
      </c>
      <c r="N3905" s="2">
        <v>6000</v>
      </c>
      <c r="O3905" s="2">
        <v>0</v>
      </c>
      <c r="P3905" s="2">
        <v>0</v>
      </c>
      <c r="Q3905" s="2">
        <v>6000</v>
      </c>
      <c r="R3905" s="2">
        <v>0</v>
      </c>
      <c r="S3905" s="2">
        <v>5996.48</v>
      </c>
      <c r="T3905" s="2">
        <v>5800.48</v>
      </c>
      <c r="U3905" s="2">
        <v>3.52</v>
      </c>
      <c r="V3905" s="2">
        <v>199.52</v>
      </c>
      <c r="W3905" s="2">
        <v>3.52</v>
      </c>
    </row>
    <row r="3906" spans="1:23" outlineLevel="2" x14ac:dyDescent="0.2">
      <c r="A3906" t="s">
        <v>1882</v>
      </c>
      <c r="B3906" t="s">
        <v>39</v>
      </c>
      <c r="C3906" t="s">
        <v>58</v>
      </c>
      <c r="D3906" t="s">
        <v>135</v>
      </c>
      <c r="E3906" t="s">
        <v>136</v>
      </c>
      <c r="F3906" t="s">
        <v>1673</v>
      </c>
      <c r="G3906" t="s">
        <v>1674</v>
      </c>
      <c r="H3906" t="s">
        <v>1692</v>
      </c>
      <c r="I3906" t="s">
        <v>1693</v>
      </c>
      <c r="J3906" t="s">
        <v>1883</v>
      </c>
      <c r="K3906" t="s">
        <v>1891</v>
      </c>
      <c r="L3906" t="s">
        <v>1960</v>
      </c>
      <c r="M3906" t="s">
        <v>12</v>
      </c>
      <c r="N3906" s="2">
        <v>0</v>
      </c>
      <c r="O3906" s="2">
        <v>6498.08</v>
      </c>
      <c r="P3906" s="2">
        <v>0</v>
      </c>
      <c r="Q3906" s="2">
        <v>6498.08</v>
      </c>
      <c r="R3906" s="2">
        <v>214.88</v>
      </c>
      <c r="S3906" s="2">
        <v>6283.2</v>
      </c>
      <c r="T3906" s="2">
        <v>6283.2</v>
      </c>
      <c r="U3906" s="2">
        <v>214.88</v>
      </c>
      <c r="V3906" s="2">
        <v>214.88</v>
      </c>
      <c r="W3906" s="2">
        <v>0</v>
      </c>
    </row>
    <row r="3907" spans="1:23" outlineLevel="2" x14ac:dyDescent="0.2">
      <c r="A3907" t="s">
        <v>1882</v>
      </c>
      <c r="B3907" t="s">
        <v>39</v>
      </c>
      <c r="C3907" t="s">
        <v>58</v>
      </c>
      <c r="D3907" t="s">
        <v>145</v>
      </c>
      <c r="E3907" t="s">
        <v>146</v>
      </c>
      <c r="F3907" t="s">
        <v>1673</v>
      </c>
      <c r="G3907" t="s">
        <v>1674</v>
      </c>
      <c r="H3907" t="s">
        <v>1692</v>
      </c>
      <c r="I3907" t="s">
        <v>1693</v>
      </c>
      <c r="J3907" t="s">
        <v>1883</v>
      </c>
      <c r="K3907" t="s">
        <v>1891</v>
      </c>
      <c r="L3907" t="s">
        <v>1960</v>
      </c>
      <c r="M3907" t="s">
        <v>12</v>
      </c>
      <c r="N3907" s="2">
        <v>5000</v>
      </c>
      <c r="O3907" s="2">
        <v>0</v>
      </c>
      <c r="P3907" s="2">
        <v>-5000</v>
      </c>
      <c r="Q3907" s="2">
        <v>0</v>
      </c>
      <c r="R3907" s="2">
        <v>0</v>
      </c>
      <c r="S3907" s="2">
        <v>0</v>
      </c>
      <c r="T3907" s="2">
        <v>0</v>
      </c>
      <c r="U3907" s="2">
        <v>0</v>
      </c>
      <c r="V3907" s="2">
        <v>0</v>
      </c>
      <c r="W3907" s="2">
        <v>0</v>
      </c>
    </row>
    <row r="3908" spans="1:23" outlineLevel="2" x14ac:dyDescent="0.2">
      <c r="A3908" t="s">
        <v>1882</v>
      </c>
      <c r="B3908" t="s">
        <v>39</v>
      </c>
      <c r="C3908" t="s">
        <v>58</v>
      </c>
      <c r="D3908" t="s">
        <v>129</v>
      </c>
      <c r="E3908" t="s">
        <v>130</v>
      </c>
      <c r="F3908" t="s">
        <v>1673</v>
      </c>
      <c r="G3908" t="s">
        <v>1674</v>
      </c>
      <c r="H3908" t="s">
        <v>1692</v>
      </c>
      <c r="I3908" t="s">
        <v>1693</v>
      </c>
      <c r="J3908" t="s">
        <v>1883</v>
      </c>
      <c r="K3908" t="s">
        <v>1891</v>
      </c>
      <c r="L3908" t="s">
        <v>1960</v>
      </c>
      <c r="M3908" t="s">
        <v>12</v>
      </c>
      <c r="N3908" s="2">
        <v>1000</v>
      </c>
      <c r="O3908" s="2">
        <v>0</v>
      </c>
      <c r="P3908" s="2">
        <v>0</v>
      </c>
      <c r="Q3908" s="2">
        <v>1000</v>
      </c>
      <c r="R3908" s="2">
        <v>0</v>
      </c>
      <c r="S3908" s="2">
        <v>0</v>
      </c>
      <c r="T3908" s="2">
        <v>0</v>
      </c>
      <c r="U3908" s="2">
        <v>1000</v>
      </c>
      <c r="V3908" s="2">
        <v>1000</v>
      </c>
      <c r="W3908" s="2">
        <v>1000</v>
      </c>
    </row>
    <row r="3909" spans="1:23" outlineLevel="2" x14ac:dyDescent="0.2">
      <c r="A3909" t="s">
        <v>1882</v>
      </c>
      <c r="B3909" t="s">
        <v>39</v>
      </c>
      <c r="C3909" t="s">
        <v>58</v>
      </c>
      <c r="D3909" t="s">
        <v>59</v>
      </c>
      <c r="E3909" t="s">
        <v>60</v>
      </c>
      <c r="F3909" t="s">
        <v>1673</v>
      </c>
      <c r="G3909" t="s">
        <v>1674</v>
      </c>
      <c r="H3909" t="s">
        <v>1692</v>
      </c>
      <c r="I3909" t="s">
        <v>1693</v>
      </c>
      <c r="J3909" t="s">
        <v>1883</v>
      </c>
      <c r="K3909" t="s">
        <v>1884</v>
      </c>
      <c r="L3909" t="s">
        <v>1961</v>
      </c>
      <c r="M3909" t="s">
        <v>12</v>
      </c>
      <c r="N3909" s="2">
        <v>2500</v>
      </c>
      <c r="O3909" s="2">
        <v>0</v>
      </c>
      <c r="P3909" s="2">
        <v>-2500</v>
      </c>
      <c r="Q3909" s="2">
        <v>0</v>
      </c>
      <c r="R3909" s="2">
        <v>0</v>
      </c>
      <c r="S3909" s="2">
        <v>0</v>
      </c>
      <c r="T3909" s="2">
        <v>0</v>
      </c>
      <c r="U3909" s="2">
        <v>0</v>
      </c>
      <c r="V3909" s="2">
        <v>0</v>
      </c>
      <c r="W3909" s="2">
        <v>0</v>
      </c>
    </row>
    <row r="3910" spans="1:23" outlineLevel="2" x14ac:dyDescent="0.2">
      <c r="A3910" t="s">
        <v>1882</v>
      </c>
      <c r="B3910" t="s">
        <v>39</v>
      </c>
      <c r="C3910" t="s">
        <v>58</v>
      </c>
      <c r="D3910" t="s">
        <v>149</v>
      </c>
      <c r="E3910" t="s">
        <v>150</v>
      </c>
      <c r="F3910" t="s">
        <v>1673</v>
      </c>
      <c r="G3910" t="s">
        <v>1674</v>
      </c>
      <c r="H3910" t="s">
        <v>1692</v>
      </c>
      <c r="I3910" t="s">
        <v>1693</v>
      </c>
      <c r="J3910" t="s">
        <v>1883</v>
      </c>
      <c r="K3910" t="s">
        <v>1884</v>
      </c>
      <c r="L3910" t="s">
        <v>1961</v>
      </c>
      <c r="M3910" t="s">
        <v>12</v>
      </c>
      <c r="N3910" s="2">
        <v>2000</v>
      </c>
      <c r="O3910" s="2">
        <v>3200</v>
      </c>
      <c r="P3910" s="2">
        <v>-5200</v>
      </c>
      <c r="Q3910" s="2">
        <v>0</v>
      </c>
      <c r="R3910" s="2">
        <v>0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</row>
    <row r="3911" spans="1:23" outlineLevel="2" x14ac:dyDescent="0.2">
      <c r="A3911" t="s">
        <v>1882</v>
      </c>
      <c r="B3911" t="s">
        <v>39</v>
      </c>
      <c r="C3911" t="s">
        <v>58</v>
      </c>
      <c r="D3911" t="s">
        <v>139</v>
      </c>
      <c r="E3911" t="s">
        <v>140</v>
      </c>
      <c r="F3911" t="s">
        <v>1673</v>
      </c>
      <c r="G3911" t="s">
        <v>1674</v>
      </c>
      <c r="H3911" t="s">
        <v>1692</v>
      </c>
      <c r="I3911" t="s">
        <v>1693</v>
      </c>
      <c r="J3911" t="s">
        <v>1883</v>
      </c>
      <c r="K3911" t="s">
        <v>1884</v>
      </c>
      <c r="L3911" t="s">
        <v>1961</v>
      </c>
      <c r="M3911" t="s">
        <v>12</v>
      </c>
      <c r="N3911" s="2">
        <v>5000</v>
      </c>
      <c r="O3911" s="2">
        <v>0</v>
      </c>
      <c r="P3911" s="2">
        <v>-5000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</row>
    <row r="3912" spans="1:23" outlineLevel="2" x14ac:dyDescent="0.2">
      <c r="A3912" t="s">
        <v>1882</v>
      </c>
      <c r="B3912" t="s">
        <v>39</v>
      </c>
      <c r="C3912" t="s">
        <v>70</v>
      </c>
      <c r="D3912" t="s">
        <v>89</v>
      </c>
      <c r="E3912" t="s">
        <v>90</v>
      </c>
      <c r="F3912" t="s">
        <v>1673</v>
      </c>
      <c r="G3912" t="s">
        <v>1674</v>
      </c>
      <c r="H3912" t="s">
        <v>1692</v>
      </c>
      <c r="I3912" t="s">
        <v>1693</v>
      </c>
      <c r="J3912" t="s">
        <v>1883</v>
      </c>
      <c r="K3912" t="s">
        <v>1884</v>
      </c>
      <c r="L3912" t="s">
        <v>1963</v>
      </c>
      <c r="M3912" t="s">
        <v>12</v>
      </c>
      <c r="N3912" s="2">
        <v>50000</v>
      </c>
      <c r="O3912" s="2">
        <v>0</v>
      </c>
      <c r="P3912" s="2">
        <v>-8000</v>
      </c>
      <c r="Q3912" s="2">
        <v>42000</v>
      </c>
      <c r="R3912" s="2">
        <v>41941</v>
      </c>
      <c r="S3912" s="2">
        <v>0</v>
      </c>
      <c r="T3912" s="2">
        <v>0</v>
      </c>
      <c r="U3912" s="2">
        <v>42000</v>
      </c>
      <c r="V3912" s="2">
        <v>42000</v>
      </c>
      <c r="W3912" s="2">
        <v>59</v>
      </c>
    </row>
    <row r="3913" spans="1:23" outlineLevel="2" x14ac:dyDescent="0.2">
      <c r="A3913" t="s">
        <v>1882</v>
      </c>
      <c r="B3913" t="s">
        <v>39</v>
      </c>
      <c r="C3913" t="s">
        <v>58</v>
      </c>
      <c r="D3913" t="s">
        <v>129</v>
      </c>
      <c r="E3913" t="s">
        <v>130</v>
      </c>
      <c r="F3913" t="s">
        <v>1673</v>
      </c>
      <c r="G3913" t="s">
        <v>1674</v>
      </c>
      <c r="H3913" t="s">
        <v>1692</v>
      </c>
      <c r="I3913" t="s">
        <v>1693</v>
      </c>
      <c r="J3913" t="s">
        <v>1883</v>
      </c>
      <c r="K3913" t="s">
        <v>1884</v>
      </c>
      <c r="L3913" t="s">
        <v>1961</v>
      </c>
      <c r="M3913" t="s">
        <v>12</v>
      </c>
      <c r="N3913" s="2">
        <v>2600</v>
      </c>
      <c r="O3913" s="2">
        <v>0</v>
      </c>
      <c r="P3913" s="2">
        <v>-2600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0</v>
      </c>
      <c r="W3913" s="2">
        <v>0</v>
      </c>
    </row>
    <row r="3914" spans="1:23" outlineLevel="2" x14ac:dyDescent="0.2">
      <c r="A3914" t="s">
        <v>1882</v>
      </c>
      <c r="B3914" t="s">
        <v>39</v>
      </c>
      <c r="C3914" t="s">
        <v>70</v>
      </c>
      <c r="D3914" t="s">
        <v>89</v>
      </c>
      <c r="E3914" t="s">
        <v>90</v>
      </c>
      <c r="F3914" t="s">
        <v>1673</v>
      </c>
      <c r="G3914" t="s">
        <v>1674</v>
      </c>
      <c r="H3914" t="s">
        <v>1692</v>
      </c>
      <c r="I3914" t="s">
        <v>1693</v>
      </c>
      <c r="J3914" t="s">
        <v>1883</v>
      </c>
      <c r="K3914" t="s">
        <v>1893</v>
      </c>
      <c r="L3914" t="s">
        <v>1964</v>
      </c>
      <c r="M3914" t="s">
        <v>12</v>
      </c>
      <c r="N3914" s="2">
        <v>50000</v>
      </c>
      <c r="O3914" s="2">
        <v>0</v>
      </c>
      <c r="P3914" s="2">
        <v>-50000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</row>
    <row r="3915" spans="1:23" outlineLevel="2" x14ac:dyDescent="0.2">
      <c r="A3915" t="s">
        <v>1882</v>
      </c>
      <c r="B3915" t="s">
        <v>39</v>
      </c>
      <c r="C3915" t="s">
        <v>58</v>
      </c>
      <c r="D3915" t="s">
        <v>147</v>
      </c>
      <c r="E3915" t="s">
        <v>148</v>
      </c>
      <c r="F3915" t="s">
        <v>1673</v>
      </c>
      <c r="G3915" t="s">
        <v>1674</v>
      </c>
      <c r="H3915" t="s">
        <v>1692</v>
      </c>
      <c r="I3915" t="s">
        <v>1693</v>
      </c>
      <c r="J3915" t="s">
        <v>1883</v>
      </c>
      <c r="K3915" t="s">
        <v>1886</v>
      </c>
      <c r="L3915" t="s">
        <v>1962</v>
      </c>
      <c r="M3915" t="s">
        <v>12</v>
      </c>
      <c r="N3915" s="2">
        <v>4500</v>
      </c>
      <c r="O3915" s="2">
        <v>0</v>
      </c>
      <c r="P3915" s="2">
        <v>-4500</v>
      </c>
      <c r="Q3915" s="2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</row>
    <row r="3916" spans="1:23" outlineLevel="2" x14ac:dyDescent="0.2">
      <c r="A3916" t="s">
        <v>1882</v>
      </c>
      <c r="B3916" t="s">
        <v>39</v>
      </c>
      <c r="C3916" t="s">
        <v>66</v>
      </c>
      <c r="D3916" t="s">
        <v>67</v>
      </c>
      <c r="E3916" t="s">
        <v>68</v>
      </c>
      <c r="F3916" t="s">
        <v>967</v>
      </c>
      <c r="G3916" t="s">
        <v>968</v>
      </c>
      <c r="H3916" t="s">
        <v>1706</v>
      </c>
      <c r="I3916" t="s">
        <v>1707</v>
      </c>
      <c r="J3916" t="s">
        <v>1883</v>
      </c>
      <c r="K3916" t="s">
        <v>1891</v>
      </c>
      <c r="L3916" t="s">
        <v>1965</v>
      </c>
      <c r="M3916" t="s">
        <v>12</v>
      </c>
      <c r="N3916" s="2">
        <v>0</v>
      </c>
      <c r="O3916" s="2">
        <v>33600</v>
      </c>
      <c r="P3916" s="2">
        <v>-33600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</row>
    <row r="3917" spans="1:23" outlineLevel="2" x14ac:dyDescent="0.2">
      <c r="A3917" t="s">
        <v>1882</v>
      </c>
      <c r="B3917" t="s">
        <v>39</v>
      </c>
      <c r="C3917" t="s">
        <v>66</v>
      </c>
      <c r="D3917" t="s">
        <v>67</v>
      </c>
      <c r="E3917" t="s">
        <v>68</v>
      </c>
      <c r="F3917" t="s">
        <v>967</v>
      </c>
      <c r="G3917" t="s">
        <v>968</v>
      </c>
      <c r="H3917" t="s">
        <v>1714</v>
      </c>
      <c r="I3917" t="s">
        <v>1715</v>
      </c>
      <c r="J3917" t="s">
        <v>1883</v>
      </c>
      <c r="K3917" t="s">
        <v>1891</v>
      </c>
      <c r="L3917" t="s">
        <v>1965</v>
      </c>
      <c r="M3917" t="s">
        <v>12</v>
      </c>
      <c r="N3917" s="2">
        <v>70000</v>
      </c>
      <c r="O3917" s="2">
        <v>0</v>
      </c>
      <c r="P3917" s="2">
        <v>-70000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</row>
    <row r="3918" spans="1:23" outlineLevel="2" x14ac:dyDescent="0.2">
      <c r="A3918" t="s">
        <v>1882</v>
      </c>
      <c r="B3918" t="s">
        <v>39</v>
      </c>
      <c r="C3918" t="s">
        <v>66</v>
      </c>
      <c r="D3918" t="s">
        <v>121</v>
      </c>
      <c r="E3918" t="s">
        <v>122</v>
      </c>
      <c r="F3918" t="s">
        <v>980</v>
      </c>
      <c r="G3918" t="s">
        <v>981</v>
      </c>
      <c r="H3918" t="s">
        <v>982</v>
      </c>
      <c r="I3918" t="s">
        <v>983</v>
      </c>
      <c r="J3918" t="s">
        <v>1883</v>
      </c>
      <c r="K3918" t="s">
        <v>1886</v>
      </c>
      <c r="L3918" t="s">
        <v>1966</v>
      </c>
      <c r="M3918" t="s">
        <v>12</v>
      </c>
      <c r="N3918" s="2">
        <v>40000</v>
      </c>
      <c r="O3918" s="2">
        <v>0</v>
      </c>
      <c r="P3918" s="2">
        <v>0</v>
      </c>
      <c r="Q3918" s="2">
        <v>40000</v>
      </c>
      <c r="R3918" s="2">
        <v>0</v>
      </c>
      <c r="S3918" s="2">
        <v>0</v>
      </c>
      <c r="T3918" s="2">
        <v>0</v>
      </c>
      <c r="U3918" s="2">
        <v>40000</v>
      </c>
      <c r="V3918" s="2">
        <v>40000</v>
      </c>
      <c r="W3918" s="2">
        <v>40000</v>
      </c>
    </row>
    <row r="3919" spans="1:23" outlineLevel="2" x14ac:dyDescent="0.2">
      <c r="A3919" t="s">
        <v>1882</v>
      </c>
      <c r="B3919" t="s">
        <v>39</v>
      </c>
      <c r="C3919" t="s">
        <v>58</v>
      </c>
      <c r="D3919" t="s">
        <v>119</v>
      </c>
      <c r="E3919" t="s">
        <v>120</v>
      </c>
      <c r="F3919" t="s">
        <v>980</v>
      </c>
      <c r="G3919" t="s">
        <v>981</v>
      </c>
      <c r="H3919" t="s">
        <v>991</v>
      </c>
      <c r="I3919" t="s">
        <v>992</v>
      </c>
      <c r="J3919" t="s">
        <v>1883</v>
      </c>
      <c r="K3919" t="s">
        <v>1884</v>
      </c>
      <c r="L3919" t="s">
        <v>1967</v>
      </c>
      <c r="M3919" t="s">
        <v>12</v>
      </c>
      <c r="N3919" s="2">
        <v>20000</v>
      </c>
      <c r="O3919" s="2">
        <v>0</v>
      </c>
      <c r="P3919" s="2">
        <v>0</v>
      </c>
      <c r="Q3919" s="2">
        <v>20000</v>
      </c>
      <c r="R3919" s="2">
        <v>879.2</v>
      </c>
      <c r="S3919" s="2">
        <v>7739.2</v>
      </c>
      <c r="T3919" s="2">
        <v>7739.2</v>
      </c>
      <c r="U3919" s="2">
        <v>12260.8</v>
      </c>
      <c r="V3919" s="2">
        <v>12260.8</v>
      </c>
      <c r="W3919" s="2">
        <v>11381.6</v>
      </c>
    </row>
    <row r="3920" spans="1:23" outlineLevel="2" x14ac:dyDescent="0.2">
      <c r="A3920" t="s">
        <v>1882</v>
      </c>
      <c r="B3920" t="s">
        <v>39</v>
      </c>
      <c r="C3920" t="s">
        <v>58</v>
      </c>
      <c r="D3920" t="s">
        <v>119</v>
      </c>
      <c r="E3920" t="s">
        <v>120</v>
      </c>
      <c r="F3920" t="s">
        <v>980</v>
      </c>
      <c r="G3920" t="s">
        <v>981</v>
      </c>
      <c r="H3920" t="s">
        <v>991</v>
      </c>
      <c r="I3920" t="s">
        <v>992</v>
      </c>
      <c r="J3920" t="s">
        <v>1883</v>
      </c>
      <c r="K3920" t="s">
        <v>1886</v>
      </c>
      <c r="L3920" t="s">
        <v>1968</v>
      </c>
      <c r="M3920" t="s">
        <v>12</v>
      </c>
      <c r="N3920" s="2">
        <v>13500</v>
      </c>
      <c r="O3920" s="2">
        <v>0</v>
      </c>
      <c r="P3920" s="2">
        <v>0</v>
      </c>
      <c r="Q3920" s="2">
        <v>13500</v>
      </c>
      <c r="R3920" s="2">
        <v>0</v>
      </c>
      <c r="S3920" s="2">
        <v>0</v>
      </c>
      <c r="T3920" s="2">
        <v>0</v>
      </c>
      <c r="U3920" s="2">
        <v>13500</v>
      </c>
      <c r="V3920" s="2">
        <v>13500</v>
      </c>
      <c r="W3920" s="2">
        <v>13500</v>
      </c>
    </row>
    <row r="3921" spans="1:23" outlineLevel="2" x14ac:dyDescent="0.2">
      <c r="A3921" t="s">
        <v>1969</v>
      </c>
      <c r="B3921" t="s">
        <v>1</v>
      </c>
      <c r="C3921" t="s">
        <v>2</v>
      </c>
      <c r="D3921" t="s">
        <v>474</v>
      </c>
      <c r="E3921" t="s">
        <v>475</v>
      </c>
      <c r="F3921" t="s">
        <v>911</v>
      </c>
      <c r="G3921" t="s">
        <v>912</v>
      </c>
      <c r="H3921" t="s">
        <v>1438</v>
      </c>
      <c r="I3921" t="s">
        <v>1439</v>
      </c>
      <c r="J3921" t="s">
        <v>1970</v>
      </c>
      <c r="K3921" t="s">
        <v>1971</v>
      </c>
      <c r="L3921" t="s">
        <v>1972</v>
      </c>
      <c r="M3921" t="s">
        <v>12</v>
      </c>
      <c r="N3921" s="2">
        <v>0</v>
      </c>
      <c r="O3921" s="2">
        <v>0</v>
      </c>
      <c r="P3921" s="2">
        <v>1741317.75</v>
      </c>
      <c r="Q3921" s="2">
        <v>1741317.75</v>
      </c>
      <c r="R3921" s="2">
        <v>0</v>
      </c>
      <c r="S3921" s="2">
        <v>867933.98</v>
      </c>
      <c r="T3921" s="2">
        <v>867933.98</v>
      </c>
      <c r="U3921" s="2">
        <v>873383.77</v>
      </c>
      <c r="V3921" s="2">
        <v>873383.77</v>
      </c>
      <c r="W3921" s="2">
        <v>873383.77</v>
      </c>
    </row>
    <row r="3922" spans="1:23" outlineLevel="2" x14ac:dyDescent="0.2">
      <c r="A3922" t="s">
        <v>1969</v>
      </c>
      <c r="B3922" t="s">
        <v>1</v>
      </c>
      <c r="C3922" t="s">
        <v>2</v>
      </c>
      <c r="D3922" t="s">
        <v>474</v>
      </c>
      <c r="E3922" t="s">
        <v>475</v>
      </c>
      <c r="F3922" t="s">
        <v>911</v>
      </c>
      <c r="G3922" t="s">
        <v>912</v>
      </c>
      <c r="H3922" t="s">
        <v>1438</v>
      </c>
      <c r="I3922" t="s">
        <v>1439</v>
      </c>
      <c r="J3922" t="s">
        <v>1970</v>
      </c>
      <c r="K3922" t="s">
        <v>1971</v>
      </c>
      <c r="L3922" t="s">
        <v>1972</v>
      </c>
      <c r="M3922" t="s">
        <v>15</v>
      </c>
      <c r="N3922" s="2">
        <v>16309720.710000001</v>
      </c>
      <c r="O3922" s="2">
        <v>0</v>
      </c>
      <c r="P3922" s="2">
        <v>-1034969.68</v>
      </c>
      <c r="Q3922" s="2">
        <v>15274751.029999999</v>
      </c>
      <c r="R3922" s="2">
        <v>0</v>
      </c>
      <c r="S3922" s="2">
        <v>15274751.029999999</v>
      </c>
      <c r="T3922" s="2">
        <v>15274751.029999999</v>
      </c>
      <c r="U3922" s="2">
        <v>0</v>
      </c>
      <c r="V3922" s="2">
        <v>0</v>
      </c>
      <c r="W3922" s="2">
        <v>0</v>
      </c>
    </row>
    <row r="3923" spans="1:23" outlineLevel="2" x14ac:dyDescent="0.2">
      <c r="A3923" t="s">
        <v>1969</v>
      </c>
      <c r="B3923" t="s">
        <v>1</v>
      </c>
      <c r="C3923" t="s">
        <v>2</v>
      </c>
      <c r="D3923" t="s">
        <v>474</v>
      </c>
      <c r="E3923" t="s">
        <v>475</v>
      </c>
      <c r="F3923" t="s">
        <v>911</v>
      </c>
      <c r="G3923" t="s">
        <v>912</v>
      </c>
      <c r="H3923" t="s">
        <v>1438</v>
      </c>
      <c r="I3923" t="s">
        <v>1439</v>
      </c>
      <c r="J3923" t="s">
        <v>1970</v>
      </c>
      <c r="K3923" t="s">
        <v>1973</v>
      </c>
      <c r="L3923" t="s">
        <v>1974</v>
      </c>
      <c r="M3923" t="s">
        <v>12</v>
      </c>
      <c r="N3923" s="2">
        <v>0</v>
      </c>
      <c r="O3923" s="2">
        <v>0</v>
      </c>
      <c r="P3923" s="2">
        <v>8009494.8799999999</v>
      </c>
      <c r="Q3923" s="2">
        <v>8009494.8799999999</v>
      </c>
      <c r="R3923" s="2">
        <v>0</v>
      </c>
      <c r="S3923" s="2">
        <v>0</v>
      </c>
      <c r="T3923" s="2">
        <v>0</v>
      </c>
      <c r="U3923" s="2">
        <v>8009494.8799999999</v>
      </c>
      <c r="V3923" s="2">
        <v>8009494.8799999999</v>
      </c>
      <c r="W3923" s="2">
        <v>8009494.8799999999</v>
      </c>
    </row>
    <row r="3924" spans="1:23" outlineLevel="2" x14ac:dyDescent="0.2">
      <c r="A3924" t="s">
        <v>1969</v>
      </c>
      <c r="B3924" t="s">
        <v>1</v>
      </c>
      <c r="C3924" t="s">
        <v>2</v>
      </c>
      <c r="D3924" t="s">
        <v>474</v>
      </c>
      <c r="E3924" t="s">
        <v>475</v>
      </c>
      <c r="F3924" t="s">
        <v>911</v>
      </c>
      <c r="G3924" t="s">
        <v>912</v>
      </c>
      <c r="H3924" t="s">
        <v>1438</v>
      </c>
      <c r="I3924" t="s">
        <v>1439</v>
      </c>
      <c r="J3924" t="s">
        <v>1970</v>
      </c>
      <c r="K3924" t="s">
        <v>1973</v>
      </c>
      <c r="L3924" t="s">
        <v>1974</v>
      </c>
      <c r="M3924" t="s">
        <v>15</v>
      </c>
      <c r="N3924" s="2">
        <v>28795415.219999999</v>
      </c>
      <c r="O3924" s="2">
        <v>-5310720</v>
      </c>
      <c r="P3924" s="2">
        <v>-5072255.04</v>
      </c>
      <c r="Q3924" s="2">
        <v>18412440.18</v>
      </c>
      <c r="R3924" s="2">
        <v>0</v>
      </c>
      <c r="S3924" s="2">
        <v>18412440.18</v>
      </c>
      <c r="T3924" s="2">
        <v>18412440.18</v>
      </c>
      <c r="U3924" s="2">
        <v>0</v>
      </c>
      <c r="V3924" s="2">
        <v>0</v>
      </c>
      <c r="W3924" s="2">
        <v>0</v>
      </c>
    </row>
    <row r="3925" spans="1:23" outlineLevel="2" x14ac:dyDescent="0.2">
      <c r="A3925" t="s">
        <v>1969</v>
      </c>
      <c r="B3925" t="s">
        <v>1</v>
      </c>
      <c r="C3925" t="s">
        <v>2</v>
      </c>
      <c r="D3925" t="s">
        <v>474</v>
      </c>
      <c r="E3925" t="s">
        <v>475</v>
      </c>
      <c r="F3925" t="s">
        <v>911</v>
      </c>
      <c r="G3925" t="s">
        <v>912</v>
      </c>
      <c r="H3925" t="s">
        <v>1438</v>
      </c>
      <c r="I3925" t="s">
        <v>1439</v>
      </c>
      <c r="J3925" t="s">
        <v>1970</v>
      </c>
      <c r="K3925" t="s">
        <v>1975</v>
      </c>
      <c r="L3925" t="s">
        <v>1976</v>
      </c>
      <c r="M3925" t="s">
        <v>15</v>
      </c>
      <c r="N3925" s="2">
        <v>0</v>
      </c>
      <c r="O3925" s="2">
        <v>5310720</v>
      </c>
      <c r="P3925" s="2">
        <v>0</v>
      </c>
      <c r="Q3925" s="2">
        <v>5310720</v>
      </c>
      <c r="R3925" s="2">
        <v>0</v>
      </c>
      <c r="S3925" s="2">
        <v>5310720</v>
      </c>
      <c r="T3925" s="2">
        <v>5310720</v>
      </c>
      <c r="U3925" s="2">
        <v>0</v>
      </c>
      <c r="V3925" s="2">
        <v>0</v>
      </c>
      <c r="W3925" s="2">
        <v>0</v>
      </c>
    </row>
    <row r="3926" spans="1:23" outlineLevel="2" x14ac:dyDescent="0.2">
      <c r="A3926" t="s">
        <v>1977</v>
      </c>
      <c r="B3926" t="s">
        <v>1</v>
      </c>
      <c r="C3926" t="s">
        <v>2</v>
      </c>
      <c r="D3926" t="s">
        <v>474</v>
      </c>
      <c r="E3926" t="s">
        <v>475</v>
      </c>
      <c r="F3926" t="s">
        <v>5</v>
      </c>
      <c r="G3926" t="s">
        <v>6</v>
      </c>
      <c r="H3926" t="s">
        <v>7</v>
      </c>
      <c r="I3926" t="s">
        <v>8</v>
      </c>
      <c r="J3926" t="s">
        <v>1978</v>
      </c>
      <c r="K3926" t="s">
        <v>1979</v>
      </c>
      <c r="L3926" t="s">
        <v>1980</v>
      </c>
      <c r="M3926" t="s">
        <v>15</v>
      </c>
      <c r="N3926" s="2">
        <v>400000</v>
      </c>
      <c r="O3926" s="2">
        <v>0</v>
      </c>
      <c r="P3926" s="2">
        <v>-400000</v>
      </c>
      <c r="Q3926" s="2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0</v>
      </c>
      <c r="W3926" s="2">
        <v>0</v>
      </c>
    </row>
    <row r="3927" spans="1:23" outlineLevel="2" x14ac:dyDescent="0.2">
      <c r="A3927" t="s">
        <v>1977</v>
      </c>
      <c r="B3927" t="s">
        <v>1</v>
      </c>
      <c r="C3927" t="s">
        <v>2</v>
      </c>
      <c r="D3927" t="s">
        <v>474</v>
      </c>
      <c r="E3927" t="s">
        <v>475</v>
      </c>
      <c r="F3927" t="s">
        <v>5</v>
      </c>
      <c r="G3927" t="s">
        <v>6</v>
      </c>
      <c r="H3927" t="s">
        <v>7</v>
      </c>
      <c r="I3927" t="s">
        <v>8</v>
      </c>
      <c r="J3927" t="s">
        <v>1978</v>
      </c>
      <c r="K3927" t="s">
        <v>1979</v>
      </c>
      <c r="L3927" t="s">
        <v>1980</v>
      </c>
      <c r="M3927" t="s">
        <v>12</v>
      </c>
      <c r="N3927" s="2">
        <v>0</v>
      </c>
      <c r="O3927" s="2">
        <v>0</v>
      </c>
      <c r="P3927" s="2">
        <v>80000</v>
      </c>
      <c r="Q3927" s="2">
        <v>80000</v>
      </c>
      <c r="R3927" s="2">
        <v>0</v>
      </c>
      <c r="S3927" s="2">
        <v>0</v>
      </c>
      <c r="T3927" s="2">
        <v>0</v>
      </c>
      <c r="U3927" s="2">
        <v>80000</v>
      </c>
      <c r="V3927" s="2">
        <v>80000</v>
      </c>
      <c r="W3927" s="2">
        <v>80000</v>
      </c>
    </row>
    <row r="3928" spans="1:23" outlineLevel="2" x14ac:dyDescent="0.2">
      <c r="A3928" t="s">
        <v>1977</v>
      </c>
      <c r="B3928" t="s">
        <v>1</v>
      </c>
      <c r="C3928" t="s">
        <v>2</v>
      </c>
      <c r="D3928" t="s">
        <v>20</v>
      </c>
      <c r="E3928" t="s">
        <v>21</v>
      </c>
      <c r="F3928" t="s">
        <v>5</v>
      </c>
      <c r="G3928" t="s">
        <v>6</v>
      </c>
      <c r="H3928" t="s">
        <v>35</v>
      </c>
      <c r="I3928" t="s">
        <v>36</v>
      </c>
      <c r="J3928" t="s">
        <v>1978</v>
      </c>
      <c r="K3928" t="s">
        <v>1981</v>
      </c>
      <c r="L3928" t="s">
        <v>1982</v>
      </c>
      <c r="M3928" t="s">
        <v>12</v>
      </c>
      <c r="N3928" s="2">
        <v>0</v>
      </c>
      <c r="O3928" s="2">
        <v>0</v>
      </c>
      <c r="P3928" s="2">
        <v>468774.89</v>
      </c>
      <c r="Q3928" s="2">
        <v>468774.89</v>
      </c>
      <c r="R3928" s="2">
        <v>0</v>
      </c>
      <c r="S3928" s="2">
        <v>0</v>
      </c>
      <c r="T3928" s="2">
        <v>0</v>
      </c>
      <c r="U3928" s="2">
        <v>468774.89</v>
      </c>
      <c r="V3928" s="2">
        <v>468774.89</v>
      </c>
      <c r="W3928" s="2">
        <v>468774.89</v>
      </c>
    </row>
    <row r="3929" spans="1:23" outlineLevel="2" x14ac:dyDescent="0.2">
      <c r="A3929" t="s">
        <v>1977</v>
      </c>
      <c r="B3929" t="s">
        <v>1</v>
      </c>
      <c r="C3929" t="s">
        <v>91</v>
      </c>
      <c r="D3929" t="s">
        <v>92</v>
      </c>
      <c r="E3929" t="s">
        <v>93</v>
      </c>
      <c r="F3929" t="s">
        <v>5</v>
      </c>
      <c r="G3929" t="s">
        <v>6</v>
      </c>
      <c r="H3929" t="s">
        <v>35</v>
      </c>
      <c r="I3929" t="s">
        <v>36</v>
      </c>
      <c r="J3929" t="s">
        <v>1978</v>
      </c>
      <c r="K3929" t="s">
        <v>1981</v>
      </c>
      <c r="L3929" t="s">
        <v>1983</v>
      </c>
      <c r="M3929" t="s">
        <v>15</v>
      </c>
      <c r="N3929" s="2">
        <v>0</v>
      </c>
      <c r="O3929" s="2">
        <v>50000</v>
      </c>
      <c r="P3929" s="2">
        <v>-25325.19</v>
      </c>
      <c r="Q3929" s="2">
        <v>24674.81</v>
      </c>
      <c r="R3929" s="2">
        <v>0</v>
      </c>
      <c r="S3929" s="2">
        <v>24674.81</v>
      </c>
      <c r="T3929" s="2">
        <v>17252.46</v>
      </c>
      <c r="U3929" s="2">
        <v>0</v>
      </c>
      <c r="V3929" s="2">
        <v>7422.35</v>
      </c>
      <c r="W3929" s="2">
        <v>0</v>
      </c>
    </row>
    <row r="3930" spans="1:23" outlineLevel="2" x14ac:dyDescent="0.2">
      <c r="A3930" t="s">
        <v>1977</v>
      </c>
      <c r="B3930" t="s">
        <v>1</v>
      </c>
      <c r="C3930" t="s">
        <v>2</v>
      </c>
      <c r="D3930" t="s">
        <v>3</v>
      </c>
      <c r="E3930" t="s">
        <v>4</v>
      </c>
      <c r="F3930" t="s">
        <v>5</v>
      </c>
      <c r="G3930" t="s">
        <v>6</v>
      </c>
      <c r="H3930" t="s">
        <v>35</v>
      </c>
      <c r="I3930" t="s">
        <v>36</v>
      </c>
      <c r="J3930" t="s">
        <v>1978</v>
      </c>
      <c r="K3930" t="s">
        <v>1981</v>
      </c>
      <c r="L3930" t="s">
        <v>1982</v>
      </c>
      <c r="M3930" t="s">
        <v>12</v>
      </c>
      <c r="N3930" s="2">
        <v>0</v>
      </c>
      <c r="O3930" s="2">
        <v>0</v>
      </c>
      <c r="P3930" s="2">
        <v>15000</v>
      </c>
      <c r="Q3930" s="2">
        <v>15000</v>
      </c>
      <c r="R3930" s="2">
        <v>0</v>
      </c>
      <c r="S3930" s="2">
        <v>0</v>
      </c>
      <c r="T3930" s="2">
        <v>0</v>
      </c>
      <c r="U3930" s="2">
        <v>15000</v>
      </c>
      <c r="V3930" s="2">
        <v>15000</v>
      </c>
      <c r="W3930" s="2">
        <v>15000</v>
      </c>
    </row>
    <row r="3931" spans="1:23" outlineLevel="2" x14ac:dyDescent="0.2">
      <c r="A3931" t="s">
        <v>1977</v>
      </c>
      <c r="B3931" t="s">
        <v>1</v>
      </c>
      <c r="C3931" t="s">
        <v>2</v>
      </c>
      <c r="D3931" t="s">
        <v>3</v>
      </c>
      <c r="E3931" t="s">
        <v>4</v>
      </c>
      <c r="F3931" t="s">
        <v>5</v>
      </c>
      <c r="G3931" t="s">
        <v>6</v>
      </c>
      <c r="H3931" t="s">
        <v>35</v>
      </c>
      <c r="I3931" t="s">
        <v>36</v>
      </c>
      <c r="J3931" t="s">
        <v>1978</v>
      </c>
      <c r="K3931" t="s">
        <v>1981</v>
      </c>
      <c r="L3931" t="s">
        <v>1982</v>
      </c>
      <c r="M3931" t="s">
        <v>15</v>
      </c>
      <c r="N3931" s="2">
        <v>0</v>
      </c>
      <c r="O3931" s="2">
        <v>15000</v>
      </c>
      <c r="P3931" s="2">
        <v>-15000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</row>
    <row r="3932" spans="1:23" outlineLevel="2" x14ac:dyDescent="0.2">
      <c r="A3932" t="s">
        <v>1977</v>
      </c>
      <c r="B3932" t="s">
        <v>1</v>
      </c>
      <c r="C3932" t="s">
        <v>91</v>
      </c>
      <c r="D3932" t="s">
        <v>92</v>
      </c>
      <c r="E3932" t="s">
        <v>93</v>
      </c>
      <c r="F3932" t="s">
        <v>5</v>
      </c>
      <c r="G3932" t="s">
        <v>6</v>
      </c>
      <c r="H3932" t="s">
        <v>35</v>
      </c>
      <c r="I3932" t="s">
        <v>36</v>
      </c>
      <c r="J3932" t="s">
        <v>1978</v>
      </c>
      <c r="K3932" t="s">
        <v>1981</v>
      </c>
      <c r="L3932" t="s">
        <v>1983</v>
      </c>
      <c r="M3932" t="s">
        <v>12</v>
      </c>
      <c r="N3932" s="2">
        <v>0</v>
      </c>
      <c r="O3932" s="2">
        <v>0</v>
      </c>
      <c r="P3932" s="2">
        <v>25325.19</v>
      </c>
      <c r="Q3932" s="2">
        <v>25325.19</v>
      </c>
      <c r="R3932" s="2">
        <v>0</v>
      </c>
      <c r="S3932" s="2">
        <v>0</v>
      </c>
      <c r="T3932" s="2">
        <v>0</v>
      </c>
      <c r="U3932" s="2">
        <v>25325.19</v>
      </c>
      <c r="V3932" s="2">
        <v>25325.19</v>
      </c>
      <c r="W3932" s="2">
        <v>25325.19</v>
      </c>
    </row>
    <row r="3933" spans="1:23" outlineLevel="2" x14ac:dyDescent="0.2">
      <c r="A3933" t="s">
        <v>1977</v>
      </c>
      <c r="B3933" t="s">
        <v>1</v>
      </c>
      <c r="C3933" t="s">
        <v>2</v>
      </c>
      <c r="D3933" t="s">
        <v>20</v>
      </c>
      <c r="E3933" t="s">
        <v>21</v>
      </c>
      <c r="F3933" t="s">
        <v>5</v>
      </c>
      <c r="G3933" t="s">
        <v>6</v>
      </c>
      <c r="H3933" t="s">
        <v>35</v>
      </c>
      <c r="I3933" t="s">
        <v>36</v>
      </c>
      <c r="J3933" t="s">
        <v>1978</v>
      </c>
      <c r="K3933" t="s">
        <v>1981</v>
      </c>
      <c r="L3933" t="s">
        <v>1982</v>
      </c>
      <c r="M3933" t="s">
        <v>15</v>
      </c>
      <c r="N3933" s="2">
        <v>1025101.75</v>
      </c>
      <c r="O3933" s="2">
        <v>-113299.89</v>
      </c>
      <c r="P3933" s="2">
        <v>-468774.89</v>
      </c>
      <c r="Q3933" s="2">
        <v>443026.97</v>
      </c>
      <c r="R3933" s="2">
        <v>0</v>
      </c>
      <c r="S3933" s="2">
        <v>443026.97</v>
      </c>
      <c r="T3933" s="2">
        <v>437170.96</v>
      </c>
      <c r="U3933" s="2">
        <v>0</v>
      </c>
      <c r="V3933" s="2">
        <v>5856.01</v>
      </c>
      <c r="W3933" s="2">
        <v>0</v>
      </c>
    </row>
    <row r="3934" spans="1:23" outlineLevel="2" x14ac:dyDescent="0.2">
      <c r="A3934" t="s">
        <v>1977</v>
      </c>
      <c r="B3934" t="s">
        <v>39</v>
      </c>
      <c r="C3934" t="s">
        <v>58</v>
      </c>
      <c r="D3934" t="s">
        <v>137</v>
      </c>
      <c r="E3934" t="s">
        <v>138</v>
      </c>
      <c r="F3934" t="s">
        <v>837</v>
      </c>
      <c r="G3934" t="s">
        <v>838</v>
      </c>
      <c r="H3934" t="s">
        <v>852</v>
      </c>
      <c r="I3934" t="s">
        <v>853</v>
      </c>
      <c r="J3934" t="s">
        <v>1978</v>
      </c>
      <c r="K3934" t="s">
        <v>1981</v>
      </c>
      <c r="L3934" t="s">
        <v>1984</v>
      </c>
      <c r="M3934" t="s">
        <v>15</v>
      </c>
      <c r="N3934" s="2">
        <v>0</v>
      </c>
      <c r="O3934" s="2">
        <v>1980.52</v>
      </c>
      <c r="P3934" s="2">
        <v>-1980.52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</row>
    <row r="3935" spans="1:23" outlineLevel="2" x14ac:dyDescent="0.2">
      <c r="A3935" t="s">
        <v>1977</v>
      </c>
      <c r="B3935" t="s">
        <v>39</v>
      </c>
      <c r="C3935" t="s">
        <v>58</v>
      </c>
      <c r="D3935" t="s">
        <v>129</v>
      </c>
      <c r="E3935" t="s">
        <v>130</v>
      </c>
      <c r="F3935" t="s">
        <v>837</v>
      </c>
      <c r="G3935" t="s">
        <v>838</v>
      </c>
      <c r="H3935" t="s">
        <v>852</v>
      </c>
      <c r="I3935" t="s">
        <v>853</v>
      </c>
      <c r="J3935" t="s">
        <v>1978</v>
      </c>
      <c r="K3935" t="s">
        <v>1981</v>
      </c>
      <c r="L3935" t="s">
        <v>1984</v>
      </c>
      <c r="M3935" t="s">
        <v>12</v>
      </c>
      <c r="N3935" s="2">
        <v>0</v>
      </c>
      <c r="O3935" s="2">
        <v>2086.54</v>
      </c>
      <c r="P3935" s="2">
        <v>0</v>
      </c>
      <c r="Q3935" s="2">
        <v>2086.54</v>
      </c>
      <c r="R3935" s="2">
        <v>0</v>
      </c>
      <c r="S3935" s="2">
        <v>2086.54</v>
      </c>
      <c r="T3935" s="2">
        <v>2086.5300000000002</v>
      </c>
      <c r="U3935" s="2">
        <v>0</v>
      </c>
      <c r="V3935" s="2">
        <v>0.01</v>
      </c>
      <c r="W3935" s="2">
        <v>0</v>
      </c>
    </row>
    <row r="3936" spans="1:23" outlineLevel="2" x14ac:dyDescent="0.2">
      <c r="A3936" t="s">
        <v>1977</v>
      </c>
      <c r="B3936" t="s">
        <v>39</v>
      </c>
      <c r="C3936" t="s">
        <v>58</v>
      </c>
      <c r="D3936" t="s">
        <v>137</v>
      </c>
      <c r="E3936" t="s">
        <v>138</v>
      </c>
      <c r="F3936" t="s">
        <v>837</v>
      </c>
      <c r="G3936" t="s">
        <v>838</v>
      </c>
      <c r="H3936" t="s">
        <v>852</v>
      </c>
      <c r="I3936" t="s">
        <v>853</v>
      </c>
      <c r="J3936" t="s">
        <v>1978</v>
      </c>
      <c r="K3936" t="s">
        <v>1981</v>
      </c>
      <c r="L3936" t="s">
        <v>1984</v>
      </c>
      <c r="M3936" t="s">
        <v>12</v>
      </c>
      <c r="N3936" s="2">
        <v>0</v>
      </c>
      <c r="O3936" s="2">
        <v>50</v>
      </c>
      <c r="P3936" s="2">
        <v>1980.52</v>
      </c>
      <c r="Q3936" s="2">
        <v>2030.52</v>
      </c>
      <c r="R3936" s="2">
        <v>0</v>
      </c>
      <c r="S3936" s="2">
        <v>2030.52</v>
      </c>
      <c r="T3936" s="2">
        <v>0</v>
      </c>
      <c r="U3936" s="2">
        <v>0</v>
      </c>
      <c r="V3936" s="2">
        <v>2030.52</v>
      </c>
      <c r="W3936" s="2">
        <v>0</v>
      </c>
    </row>
  </sheetData>
  <autoFilter ref="A1:W3936"/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"/>
  <sheetViews>
    <sheetView topLeftCell="J1" workbookViewId="0">
      <selection sqref="A1:J1"/>
    </sheetView>
  </sheetViews>
  <sheetFormatPr baseColWidth="10" defaultColWidth="9.140625" defaultRowHeight="12.75" outlineLevelRow="2" x14ac:dyDescent="0.2"/>
  <cols>
    <col min="1" max="1" width="7" bestFit="1" customWidth="1"/>
    <col min="2" max="2" width="12" bestFit="1" customWidth="1"/>
    <col min="3" max="3" width="52" bestFit="1" customWidth="1"/>
    <col min="4" max="4" width="15" bestFit="1" customWidth="1"/>
    <col min="5" max="5" width="42" bestFit="1" customWidth="1"/>
    <col min="6" max="6" width="10" bestFit="1" customWidth="1"/>
    <col min="7" max="7" width="52" bestFit="1" customWidth="1"/>
    <col min="8" max="8" width="16" bestFit="1" customWidth="1"/>
    <col min="9" max="9" width="57" bestFit="1" customWidth="1"/>
    <col min="10" max="10" width="47" bestFit="1" customWidth="1"/>
    <col min="11" max="11" width="52" bestFit="1" customWidth="1"/>
    <col min="12" max="12" width="25" bestFit="1" customWidth="1"/>
    <col min="13" max="13" width="7" bestFit="1" customWidth="1"/>
    <col min="14" max="14" width="20" bestFit="1" customWidth="1"/>
    <col min="15" max="15" width="14" bestFit="1" customWidth="1"/>
    <col min="16" max="16" width="15" bestFit="1" customWidth="1"/>
    <col min="17" max="17" width="14" bestFit="1" customWidth="1"/>
    <col min="18" max="18" width="13" bestFit="1" customWidth="1"/>
    <col min="19" max="20" width="14" bestFit="1" customWidth="1"/>
    <col min="21" max="21" width="23" bestFit="1" customWidth="1"/>
    <col min="22" max="22" width="20" bestFit="1" customWidth="1"/>
    <col min="23" max="23" width="14" bestFit="1" customWidth="1"/>
  </cols>
  <sheetData>
    <row r="1" spans="1:23" x14ac:dyDescent="0.2">
      <c r="A1" s="1" t="s">
        <v>1985</v>
      </c>
      <c r="B1" s="1" t="s">
        <v>1986</v>
      </c>
      <c r="C1" s="1" t="s">
        <v>1987</v>
      </c>
      <c r="D1" s="1" t="s">
        <v>1988</v>
      </c>
      <c r="E1" s="1" t="s">
        <v>1989</v>
      </c>
      <c r="F1" s="1" t="s">
        <v>1990</v>
      </c>
      <c r="G1" s="1" t="s">
        <v>1991</v>
      </c>
      <c r="H1" s="1" t="s">
        <v>1992</v>
      </c>
      <c r="I1" s="1" t="s">
        <v>1993</v>
      </c>
      <c r="J1" s="1" t="s">
        <v>1994</v>
      </c>
      <c r="K1" s="1" t="s">
        <v>1995</v>
      </c>
      <c r="L1" s="1" t="s">
        <v>1996</v>
      </c>
      <c r="M1" s="1" t="s">
        <v>1997</v>
      </c>
      <c r="N1" s="1" t="s">
        <v>1998</v>
      </c>
      <c r="O1" s="1" t="s">
        <v>1999</v>
      </c>
      <c r="P1" s="1" t="s">
        <v>2000</v>
      </c>
      <c r="Q1" s="1" t="s">
        <v>2001</v>
      </c>
      <c r="R1" s="1" t="s">
        <v>2002</v>
      </c>
      <c r="S1" s="1" t="s">
        <v>2003</v>
      </c>
      <c r="T1" s="1" t="s">
        <v>2004</v>
      </c>
      <c r="U1" s="1" t="s">
        <v>2005</v>
      </c>
      <c r="V1" s="1" t="s">
        <v>2006</v>
      </c>
      <c r="W1" s="1" t="s">
        <v>2007</v>
      </c>
    </row>
    <row r="2" spans="1:23" s="56" customFormat="1" outlineLevel="2" x14ac:dyDescent="0.2">
      <c r="A2" s="56" t="s">
        <v>999</v>
      </c>
      <c r="B2" s="56" t="s">
        <v>39</v>
      </c>
      <c r="C2" s="56" t="s">
        <v>40</v>
      </c>
      <c r="D2" s="56" t="s">
        <v>41</v>
      </c>
      <c r="E2" s="56" t="s">
        <v>42</v>
      </c>
      <c r="F2" s="56" t="s">
        <v>1422</v>
      </c>
      <c r="G2" s="56" t="s">
        <v>1423</v>
      </c>
      <c r="H2" s="56" t="s">
        <v>1430</v>
      </c>
      <c r="I2" s="56" t="s">
        <v>1431</v>
      </c>
      <c r="J2" s="56" t="s">
        <v>1000</v>
      </c>
      <c r="K2" s="56" t="s">
        <v>1013</v>
      </c>
      <c r="L2" s="56" t="s">
        <v>1427</v>
      </c>
      <c r="M2" s="56" t="s">
        <v>12</v>
      </c>
      <c r="N2" s="57">
        <v>3331491.39</v>
      </c>
      <c r="O2" s="57">
        <v>287076.19</v>
      </c>
      <c r="P2" s="57">
        <v>-481964.56</v>
      </c>
      <c r="Q2" s="57">
        <v>3136603.02</v>
      </c>
      <c r="R2" s="57">
        <v>400560</v>
      </c>
      <c r="S2" s="57">
        <v>2133851.9</v>
      </c>
      <c r="T2" s="57">
        <v>1735053.74</v>
      </c>
      <c r="U2" s="57">
        <v>1002751.12</v>
      </c>
      <c r="V2" s="57">
        <v>1401549.28</v>
      </c>
      <c r="W2" s="57">
        <v>602191.12</v>
      </c>
    </row>
    <row r="3" spans="1:23" s="56" customFormat="1" outlineLevel="2" x14ac:dyDescent="0.2">
      <c r="A3" s="56" t="s">
        <v>999</v>
      </c>
      <c r="B3" s="56" t="s">
        <v>39</v>
      </c>
      <c r="C3" s="56" t="s">
        <v>40</v>
      </c>
      <c r="D3" s="56" t="s">
        <v>41</v>
      </c>
      <c r="E3" s="56" t="s">
        <v>42</v>
      </c>
      <c r="F3" s="56" t="s">
        <v>1422</v>
      </c>
      <c r="G3" s="56" t="s">
        <v>1423</v>
      </c>
      <c r="H3" s="56" t="s">
        <v>1430</v>
      </c>
      <c r="I3" s="56" t="s">
        <v>1431</v>
      </c>
      <c r="J3" s="56" t="s">
        <v>1000</v>
      </c>
      <c r="K3" s="56" t="s">
        <v>1013</v>
      </c>
      <c r="L3" s="56" t="s">
        <v>1427</v>
      </c>
      <c r="M3" s="56" t="s">
        <v>1432</v>
      </c>
      <c r="N3" s="57">
        <v>22669197.949999999</v>
      </c>
      <c r="O3" s="57">
        <v>2392301.5699999998</v>
      </c>
      <c r="P3" s="57">
        <v>-4016371.31</v>
      </c>
      <c r="Q3" s="57">
        <v>21045128.210000001</v>
      </c>
      <c r="R3" s="57">
        <v>3338000</v>
      </c>
      <c r="S3" s="57">
        <v>12688868.84</v>
      </c>
      <c r="T3" s="57">
        <v>9365550.9600000009</v>
      </c>
      <c r="U3" s="57">
        <v>8356259.3700000001</v>
      </c>
      <c r="V3" s="57">
        <v>11679577.25</v>
      </c>
      <c r="W3" s="57">
        <v>5018259.37</v>
      </c>
    </row>
    <row r="4" spans="1:23" s="56" customFormat="1" outlineLevel="2" x14ac:dyDescent="0.2">
      <c r="A4" s="56" t="s">
        <v>999</v>
      </c>
      <c r="B4" s="56" t="s">
        <v>39</v>
      </c>
      <c r="C4" s="56" t="s">
        <v>40</v>
      </c>
      <c r="D4" s="56" t="s">
        <v>41</v>
      </c>
      <c r="E4" s="56" t="s">
        <v>42</v>
      </c>
      <c r="F4" s="56" t="s">
        <v>1422</v>
      </c>
      <c r="G4" s="56" t="s">
        <v>1423</v>
      </c>
      <c r="H4" s="56" t="s">
        <v>1430</v>
      </c>
      <c r="I4" s="56" t="s">
        <v>1431</v>
      </c>
      <c r="J4" s="56" t="s">
        <v>1000</v>
      </c>
      <c r="K4" s="56" t="s">
        <v>1013</v>
      </c>
      <c r="L4" s="56" t="s">
        <v>1427</v>
      </c>
      <c r="M4" s="56" t="s">
        <v>15</v>
      </c>
      <c r="N4" s="57">
        <v>1593254.87</v>
      </c>
      <c r="O4" s="57">
        <v>0</v>
      </c>
      <c r="P4" s="57">
        <v>0</v>
      </c>
      <c r="Q4" s="57">
        <v>1593254.87</v>
      </c>
      <c r="R4" s="57">
        <v>0</v>
      </c>
      <c r="S4" s="57">
        <v>1593254.87</v>
      </c>
      <c r="T4" s="57">
        <v>1593254.84</v>
      </c>
      <c r="U4" s="57">
        <v>0</v>
      </c>
      <c r="V4" s="57">
        <v>0.03</v>
      </c>
      <c r="W4" s="57">
        <v>0</v>
      </c>
    </row>
    <row r="5" spans="1:23" s="56" customFormat="1" outlineLevel="2" x14ac:dyDescent="0.2">
      <c r="A5" s="56" t="s">
        <v>1742</v>
      </c>
      <c r="B5" s="56" t="s">
        <v>39</v>
      </c>
      <c r="C5" s="56" t="s">
        <v>40</v>
      </c>
      <c r="D5" s="56" t="s">
        <v>41</v>
      </c>
      <c r="E5" s="56" t="s">
        <v>42</v>
      </c>
      <c r="F5" s="56" t="s">
        <v>1422</v>
      </c>
      <c r="G5" s="56" t="s">
        <v>1423</v>
      </c>
      <c r="H5" s="56" t="s">
        <v>1430</v>
      </c>
      <c r="I5" s="56" t="s">
        <v>1431</v>
      </c>
      <c r="J5" s="56" t="s">
        <v>1743</v>
      </c>
      <c r="K5" s="56" t="s">
        <v>1748</v>
      </c>
      <c r="L5" s="56" t="s">
        <v>1763</v>
      </c>
      <c r="M5" s="56" t="s">
        <v>1432</v>
      </c>
      <c r="N5" s="57">
        <v>203865868.09999999</v>
      </c>
      <c r="O5" s="57">
        <v>-2392301.5699999998</v>
      </c>
      <c r="P5" s="57">
        <v>-86002929.489999995</v>
      </c>
      <c r="Q5" s="57">
        <v>115470637.04000001</v>
      </c>
      <c r="R5" s="57">
        <v>0</v>
      </c>
      <c r="S5" s="57">
        <v>115470637.04000001</v>
      </c>
      <c r="T5" s="57">
        <v>82982812.25</v>
      </c>
      <c r="U5" s="57">
        <v>0</v>
      </c>
      <c r="V5" s="57">
        <v>32487824.789999999</v>
      </c>
      <c r="W5" s="57">
        <v>0</v>
      </c>
    </row>
    <row r="6" spans="1:23" s="56" customFormat="1" outlineLevel="2" x14ac:dyDescent="0.2">
      <c r="A6" s="56" t="s">
        <v>1742</v>
      </c>
      <c r="B6" s="56" t="s">
        <v>39</v>
      </c>
      <c r="C6" s="56" t="s">
        <v>40</v>
      </c>
      <c r="D6" s="56" t="s">
        <v>41</v>
      </c>
      <c r="E6" s="56" t="s">
        <v>42</v>
      </c>
      <c r="F6" s="56" t="s">
        <v>1422</v>
      </c>
      <c r="G6" s="56" t="s">
        <v>1423</v>
      </c>
      <c r="H6" s="56" t="s">
        <v>1430</v>
      </c>
      <c r="I6" s="56" t="s">
        <v>1431</v>
      </c>
      <c r="J6" s="56" t="s">
        <v>1743</v>
      </c>
      <c r="K6" s="56" t="s">
        <v>1748</v>
      </c>
      <c r="L6" s="56" t="s">
        <v>1763</v>
      </c>
      <c r="M6" s="56" t="s">
        <v>12</v>
      </c>
      <c r="N6" s="57">
        <v>52044283.729999997</v>
      </c>
      <c r="O6" s="57">
        <v>-287076.19</v>
      </c>
      <c r="P6" s="57">
        <v>-10565801.83</v>
      </c>
      <c r="Q6" s="57">
        <v>41191405.710000001</v>
      </c>
      <c r="R6" s="57">
        <v>0</v>
      </c>
      <c r="S6" s="57">
        <v>41191405.710000001</v>
      </c>
      <c r="T6" s="57">
        <v>8925349.8699999992</v>
      </c>
      <c r="U6" s="57">
        <v>0</v>
      </c>
      <c r="V6" s="57">
        <v>32266055.84</v>
      </c>
      <c r="W6" s="57">
        <v>0</v>
      </c>
    </row>
    <row r="7" spans="1:23" s="56" customFormat="1" outlineLevel="2" x14ac:dyDescent="0.2">
      <c r="A7" s="56" t="s">
        <v>1882</v>
      </c>
      <c r="B7" s="56" t="s">
        <v>39</v>
      </c>
      <c r="C7" s="56" t="s">
        <v>40</v>
      </c>
      <c r="D7" s="56" t="s">
        <v>41</v>
      </c>
      <c r="E7" s="56" t="s">
        <v>42</v>
      </c>
      <c r="F7" s="56" t="s">
        <v>1422</v>
      </c>
      <c r="G7" s="56" t="s">
        <v>1423</v>
      </c>
      <c r="H7" s="56" t="s">
        <v>1430</v>
      </c>
      <c r="I7" s="56" t="s">
        <v>1431</v>
      </c>
      <c r="J7" s="56" t="s">
        <v>1883</v>
      </c>
      <c r="K7" s="56" t="s">
        <v>1925</v>
      </c>
      <c r="L7" s="56" t="s">
        <v>1926</v>
      </c>
      <c r="M7" s="56" t="s">
        <v>1432</v>
      </c>
      <c r="N7" s="57">
        <v>34618258.969999999</v>
      </c>
      <c r="O7" s="57">
        <v>0</v>
      </c>
      <c r="P7" s="57">
        <v>0</v>
      </c>
      <c r="Q7" s="57">
        <v>34618258.969999999</v>
      </c>
      <c r="R7" s="57">
        <v>0</v>
      </c>
      <c r="S7" s="57">
        <v>0</v>
      </c>
      <c r="T7" s="57">
        <v>0</v>
      </c>
      <c r="U7" s="57">
        <v>34618258.969999999</v>
      </c>
      <c r="V7" s="57">
        <v>34618258.969999999</v>
      </c>
      <c r="W7" s="57">
        <v>34618258.969999999</v>
      </c>
    </row>
    <row r="8" spans="1:23" s="56" customFormat="1" outlineLevel="2" x14ac:dyDescent="0.2">
      <c r="A8" s="56" t="s">
        <v>1882</v>
      </c>
      <c r="B8" s="56" t="s">
        <v>39</v>
      </c>
      <c r="C8" s="56" t="s">
        <v>40</v>
      </c>
      <c r="D8" s="56" t="s">
        <v>41</v>
      </c>
      <c r="E8" s="56" t="s">
        <v>42</v>
      </c>
      <c r="F8" s="56" t="s">
        <v>1422</v>
      </c>
      <c r="G8" s="56" t="s">
        <v>1423</v>
      </c>
      <c r="H8" s="56" t="s">
        <v>1430</v>
      </c>
      <c r="I8" s="56" t="s">
        <v>1431</v>
      </c>
      <c r="J8" s="56" t="s">
        <v>1883</v>
      </c>
      <c r="K8" s="56" t="s">
        <v>1925</v>
      </c>
      <c r="L8" s="56" t="s">
        <v>1926</v>
      </c>
      <c r="M8" s="56" t="s">
        <v>12</v>
      </c>
      <c r="N8" s="57">
        <v>1101557.99</v>
      </c>
      <c r="O8" s="57">
        <v>0</v>
      </c>
      <c r="P8" s="57">
        <v>0</v>
      </c>
      <c r="Q8" s="57">
        <v>1101557.99</v>
      </c>
      <c r="R8" s="57">
        <v>0</v>
      </c>
      <c r="S8" s="57">
        <v>0</v>
      </c>
      <c r="T8" s="57">
        <v>0</v>
      </c>
      <c r="U8" s="57">
        <v>1101557.99</v>
      </c>
      <c r="V8" s="57">
        <v>1101557.99</v>
      </c>
      <c r="W8" s="57">
        <v>1101557.99</v>
      </c>
    </row>
    <row r="9" spans="1:23" s="56" customFormat="1" outlineLevel="2" x14ac:dyDescent="0.2">
      <c r="A9" s="56" t="s">
        <v>1882</v>
      </c>
      <c r="B9" s="56" t="s">
        <v>39</v>
      </c>
      <c r="C9" s="56" t="s">
        <v>40</v>
      </c>
      <c r="D9" s="56" t="s">
        <v>41</v>
      </c>
      <c r="E9" s="56" t="s">
        <v>42</v>
      </c>
      <c r="F9" s="56" t="s">
        <v>1422</v>
      </c>
      <c r="G9" s="56" t="s">
        <v>1423</v>
      </c>
      <c r="H9" s="56" t="s">
        <v>1430</v>
      </c>
      <c r="I9" s="56" t="s">
        <v>1431</v>
      </c>
      <c r="J9" s="56" t="s">
        <v>1883</v>
      </c>
      <c r="K9" s="56" t="s">
        <v>1927</v>
      </c>
      <c r="L9" s="56" t="s">
        <v>1928</v>
      </c>
      <c r="M9" s="56" t="s">
        <v>1432</v>
      </c>
      <c r="N9" s="57">
        <v>1150000</v>
      </c>
      <c r="O9" s="57">
        <v>0</v>
      </c>
      <c r="P9" s="57">
        <v>-850000</v>
      </c>
      <c r="Q9" s="57">
        <v>300000</v>
      </c>
      <c r="R9" s="57">
        <v>0</v>
      </c>
      <c r="S9" s="57">
        <v>0</v>
      </c>
      <c r="T9" s="57">
        <v>0</v>
      </c>
      <c r="U9" s="57">
        <v>300000</v>
      </c>
      <c r="V9" s="57">
        <v>300000</v>
      </c>
      <c r="W9" s="57">
        <v>300000</v>
      </c>
    </row>
  </sheetData>
  <autoFilter ref="A1:W9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98"/>
  <sheetViews>
    <sheetView topLeftCell="A3087" workbookViewId="0">
      <selection sqref="A1:J1"/>
    </sheetView>
  </sheetViews>
  <sheetFormatPr baseColWidth="10" defaultColWidth="9.140625" defaultRowHeight="12.75" outlineLevelRow="2" x14ac:dyDescent="0.2"/>
  <cols>
    <col min="1" max="1" width="7" style="21" bestFit="1" customWidth="1"/>
    <col min="2" max="2" width="12" style="21" bestFit="1" customWidth="1"/>
    <col min="3" max="3" width="62.28515625" style="21" customWidth="1"/>
    <col min="4" max="4" width="20.140625" style="21" bestFit="1" customWidth="1"/>
    <col min="5" max="5" width="42" style="21" bestFit="1" customWidth="1"/>
    <col min="6" max="6" width="10" style="21" bestFit="1" customWidth="1"/>
    <col min="7" max="7" width="52" style="21" bestFit="1" customWidth="1"/>
    <col min="8" max="8" width="16" style="21" bestFit="1" customWidth="1"/>
    <col min="9" max="9" width="57" style="21" bestFit="1" customWidth="1"/>
    <col min="10" max="10" width="47" style="21" bestFit="1" customWidth="1"/>
    <col min="11" max="11" width="52" style="21" bestFit="1" customWidth="1"/>
    <col min="12" max="12" width="25" style="21" bestFit="1" customWidth="1"/>
    <col min="13" max="13" width="7" style="21" bestFit="1" customWidth="1"/>
    <col min="14" max="14" width="20" style="21" bestFit="1" customWidth="1"/>
    <col min="15" max="15" width="14" style="21" bestFit="1" customWidth="1"/>
    <col min="16" max="16" width="10" style="21" bestFit="1" customWidth="1"/>
    <col min="17" max="17" width="15" style="21" bestFit="1" customWidth="1"/>
    <col min="18" max="18" width="13" style="21" bestFit="1" customWidth="1"/>
    <col min="19" max="20" width="14" style="21" bestFit="1" customWidth="1"/>
    <col min="21" max="21" width="23" style="21" bestFit="1" customWidth="1"/>
    <col min="22" max="22" width="20" style="21" bestFit="1" customWidth="1"/>
    <col min="23" max="23" width="14" style="21" bestFit="1" customWidth="1"/>
    <col min="24" max="16384" width="9.140625" style="21"/>
  </cols>
  <sheetData>
    <row r="1" spans="1:23" x14ac:dyDescent="0.2">
      <c r="A1" s="53" t="s">
        <v>1985</v>
      </c>
      <c r="B1" s="53" t="s">
        <v>1986</v>
      </c>
      <c r="C1" s="53" t="s">
        <v>1987</v>
      </c>
      <c r="D1" s="53" t="s">
        <v>1988</v>
      </c>
      <c r="E1" s="53" t="s">
        <v>1989</v>
      </c>
      <c r="F1" s="53" t="s">
        <v>1990</v>
      </c>
      <c r="G1" s="53" t="s">
        <v>1991</v>
      </c>
      <c r="H1" s="53" t="s">
        <v>1992</v>
      </c>
      <c r="I1" s="53" t="s">
        <v>1993</v>
      </c>
      <c r="J1" s="53" t="s">
        <v>1994</v>
      </c>
      <c r="K1" s="53" t="s">
        <v>1995</v>
      </c>
      <c r="L1" s="53" t="s">
        <v>1996</v>
      </c>
      <c r="M1" s="53" t="s">
        <v>1997</v>
      </c>
      <c r="N1" s="53" t="s">
        <v>1998</v>
      </c>
      <c r="O1" s="53" t="s">
        <v>1999</v>
      </c>
      <c r="P1" s="53" t="s">
        <v>2000</v>
      </c>
      <c r="Q1" s="53" t="s">
        <v>2001</v>
      </c>
      <c r="R1" s="53" t="s">
        <v>2002</v>
      </c>
      <c r="S1" s="53" t="s">
        <v>2003</v>
      </c>
      <c r="T1" s="53" t="s">
        <v>2004</v>
      </c>
      <c r="U1" s="53" t="s">
        <v>2005</v>
      </c>
      <c r="V1" s="53" t="s">
        <v>2006</v>
      </c>
      <c r="W1" s="53" t="s">
        <v>2007</v>
      </c>
    </row>
    <row r="2" spans="1:23" outlineLevel="2" x14ac:dyDescent="0.2">
      <c r="A2" s="21" t="s">
        <v>0</v>
      </c>
      <c r="B2" s="21" t="s">
        <v>1</v>
      </c>
      <c r="C2" s="21" t="s">
        <v>2</v>
      </c>
      <c r="D2" s="21" t="s">
        <v>13</v>
      </c>
      <c r="E2" s="21" t="s">
        <v>14</v>
      </c>
      <c r="F2" s="21" t="s">
        <v>5</v>
      </c>
      <c r="G2" s="21" t="s">
        <v>6</v>
      </c>
      <c r="H2" s="21" t="s">
        <v>7</v>
      </c>
      <c r="I2" s="21" t="s">
        <v>8</v>
      </c>
      <c r="J2" s="21" t="s">
        <v>9</v>
      </c>
      <c r="K2" s="21" t="s">
        <v>10</v>
      </c>
      <c r="L2" s="21" t="s">
        <v>11</v>
      </c>
      <c r="M2" s="21" t="s">
        <v>15</v>
      </c>
      <c r="N2" s="54">
        <v>54670</v>
      </c>
      <c r="O2" s="54">
        <v>0</v>
      </c>
      <c r="P2" s="54">
        <v>0</v>
      </c>
      <c r="Q2" s="54">
        <v>54670</v>
      </c>
      <c r="R2" s="54">
        <v>0.09</v>
      </c>
      <c r="S2" s="54">
        <v>10450.49</v>
      </c>
      <c r="T2" s="54">
        <v>3677.24</v>
      </c>
      <c r="U2" s="54">
        <v>44219.51</v>
      </c>
      <c r="V2" s="54">
        <v>50992.76</v>
      </c>
      <c r="W2" s="54">
        <v>44219.42</v>
      </c>
    </row>
    <row r="3" spans="1:23" outlineLevel="2" x14ac:dyDescent="0.2">
      <c r="A3" s="21" t="s">
        <v>0</v>
      </c>
      <c r="B3" s="21" t="s">
        <v>1</v>
      </c>
      <c r="C3" s="21" t="s">
        <v>2</v>
      </c>
      <c r="D3" s="21" t="s">
        <v>20</v>
      </c>
      <c r="E3" s="21" t="s">
        <v>21</v>
      </c>
      <c r="F3" s="21" t="s">
        <v>5</v>
      </c>
      <c r="G3" s="21" t="s">
        <v>6</v>
      </c>
      <c r="H3" s="21" t="s">
        <v>7</v>
      </c>
      <c r="I3" s="21" t="s">
        <v>8</v>
      </c>
      <c r="J3" s="21" t="s">
        <v>9</v>
      </c>
      <c r="K3" s="21" t="s">
        <v>10</v>
      </c>
      <c r="L3" s="21" t="s">
        <v>11</v>
      </c>
      <c r="M3" s="21" t="s">
        <v>15</v>
      </c>
      <c r="N3" s="54">
        <v>42500</v>
      </c>
      <c r="O3" s="54">
        <v>32000</v>
      </c>
      <c r="P3" s="54">
        <v>0</v>
      </c>
      <c r="Q3" s="54">
        <v>74500</v>
      </c>
      <c r="R3" s="54">
        <v>55780.38</v>
      </c>
      <c r="S3" s="54">
        <v>18719.62</v>
      </c>
      <c r="T3" s="54">
        <v>5253.2</v>
      </c>
      <c r="U3" s="54">
        <v>55780.38</v>
      </c>
      <c r="V3" s="54">
        <v>69246.8</v>
      </c>
      <c r="W3" s="54">
        <v>0</v>
      </c>
    </row>
    <row r="4" spans="1:23" outlineLevel="2" x14ac:dyDescent="0.2">
      <c r="A4" s="21" t="s">
        <v>0</v>
      </c>
      <c r="B4" s="21" t="s">
        <v>1</v>
      </c>
      <c r="C4" s="21" t="s">
        <v>2</v>
      </c>
      <c r="D4" s="21" t="s">
        <v>3</v>
      </c>
      <c r="E4" s="21" t="s">
        <v>4</v>
      </c>
      <c r="F4" s="21" t="s">
        <v>5</v>
      </c>
      <c r="G4" s="21" t="s">
        <v>6</v>
      </c>
      <c r="H4" s="21" t="s">
        <v>7</v>
      </c>
      <c r="I4" s="21" t="s">
        <v>8</v>
      </c>
      <c r="J4" s="21" t="s">
        <v>9</v>
      </c>
      <c r="K4" s="21" t="s">
        <v>10</v>
      </c>
      <c r="L4" s="21" t="s">
        <v>11</v>
      </c>
      <c r="M4" s="21" t="s">
        <v>15</v>
      </c>
      <c r="N4" s="54">
        <v>142372.19</v>
      </c>
      <c r="O4" s="54">
        <v>-136168.19</v>
      </c>
      <c r="P4" s="54">
        <v>0</v>
      </c>
      <c r="Q4" s="54">
        <v>6204</v>
      </c>
      <c r="R4" s="54">
        <v>0</v>
      </c>
      <c r="S4" s="54">
        <v>3292.8</v>
      </c>
      <c r="T4" s="54">
        <v>3292.8</v>
      </c>
      <c r="U4" s="54">
        <v>2911.2</v>
      </c>
      <c r="V4" s="54">
        <v>2911.2</v>
      </c>
      <c r="W4" s="54">
        <v>2911.2</v>
      </c>
    </row>
    <row r="5" spans="1:23" outlineLevel="2" x14ac:dyDescent="0.2">
      <c r="A5" s="21" t="s">
        <v>0</v>
      </c>
      <c r="B5" s="21" t="s">
        <v>1</v>
      </c>
      <c r="C5" s="21" t="s">
        <v>16</v>
      </c>
      <c r="D5" s="21" t="s">
        <v>17</v>
      </c>
      <c r="E5" s="21" t="s">
        <v>18</v>
      </c>
      <c r="F5" s="21" t="s">
        <v>5</v>
      </c>
      <c r="G5" s="21" t="s">
        <v>6</v>
      </c>
      <c r="H5" s="21" t="s">
        <v>7</v>
      </c>
      <c r="I5" s="21" t="s">
        <v>8</v>
      </c>
      <c r="J5" s="21" t="s">
        <v>9</v>
      </c>
      <c r="K5" s="21" t="s">
        <v>10</v>
      </c>
      <c r="L5" s="21" t="s">
        <v>19</v>
      </c>
      <c r="M5" s="21" t="s">
        <v>15</v>
      </c>
      <c r="N5" s="54">
        <v>8366.48</v>
      </c>
      <c r="O5" s="54">
        <v>0</v>
      </c>
      <c r="P5" s="54">
        <v>0</v>
      </c>
      <c r="Q5" s="54">
        <v>8366.48</v>
      </c>
      <c r="R5" s="54">
        <v>0</v>
      </c>
      <c r="S5" s="54">
        <v>525.32000000000005</v>
      </c>
      <c r="T5" s="54">
        <v>525.32000000000005</v>
      </c>
      <c r="U5" s="54">
        <v>7841.16</v>
      </c>
      <c r="V5" s="54">
        <v>7841.16</v>
      </c>
      <c r="W5" s="54">
        <v>7841.16</v>
      </c>
    </row>
    <row r="6" spans="1:23" outlineLevel="2" x14ac:dyDescent="0.2">
      <c r="A6" s="21" t="s">
        <v>0</v>
      </c>
      <c r="B6" s="21" t="s">
        <v>1</v>
      </c>
      <c r="C6" s="21" t="s">
        <v>16</v>
      </c>
      <c r="D6" s="21" t="s">
        <v>17</v>
      </c>
      <c r="E6" s="21" t="s">
        <v>18</v>
      </c>
      <c r="F6" s="21" t="s">
        <v>5</v>
      </c>
      <c r="G6" s="21" t="s">
        <v>6</v>
      </c>
      <c r="H6" s="21" t="s">
        <v>7</v>
      </c>
      <c r="I6" s="21" t="s">
        <v>8</v>
      </c>
      <c r="J6" s="21" t="s">
        <v>9</v>
      </c>
      <c r="K6" s="21" t="s">
        <v>22</v>
      </c>
      <c r="L6" s="21" t="s">
        <v>24</v>
      </c>
      <c r="M6" s="21" t="s">
        <v>15</v>
      </c>
      <c r="N6" s="54">
        <v>4443.5200000000004</v>
      </c>
      <c r="O6" s="54">
        <v>0</v>
      </c>
      <c r="P6" s="54">
        <v>0</v>
      </c>
      <c r="Q6" s="54">
        <v>4443.5200000000004</v>
      </c>
      <c r="R6" s="54">
        <v>0</v>
      </c>
      <c r="S6" s="54">
        <v>277.36</v>
      </c>
      <c r="T6" s="54">
        <v>277.36</v>
      </c>
      <c r="U6" s="54">
        <v>4166.16</v>
      </c>
      <c r="V6" s="54">
        <v>4166.16</v>
      </c>
      <c r="W6" s="54">
        <v>4166.16</v>
      </c>
    </row>
    <row r="7" spans="1:23" outlineLevel="2" x14ac:dyDescent="0.2">
      <c r="A7" s="21" t="s">
        <v>0</v>
      </c>
      <c r="B7" s="21" t="s">
        <v>1</v>
      </c>
      <c r="C7" s="21" t="s">
        <v>2</v>
      </c>
      <c r="D7" s="21" t="s">
        <v>20</v>
      </c>
      <c r="E7" s="21" t="s">
        <v>21</v>
      </c>
      <c r="F7" s="21" t="s">
        <v>5</v>
      </c>
      <c r="G7" s="21" t="s">
        <v>6</v>
      </c>
      <c r="H7" s="21" t="s">
        <v>7</v>
      </c>
      <c r="I7" s="21" t="s">
        <v>8</v>
      </c>
      <c r="J7" s="21" t="s">
        <v>9</v>
      </c>
      <c r="K7" s="21" t="s">
        <v>22</v>
      </c>
      <c r="L7" s="21" t="s">
        <v>23</v>
      </c>
      <c r="M7" s="21" t="s">
        <v>15</v>
      </c>
      <c r="N7" s="54">
        <v>22200</v>
      </c>
      <c r="O7" s="54">
        <v>16896</v>
      </c>
      <c r="P7" s="54">
        <v>0</v>
      </c>
      <c r="Q7" s="54">
        <v>39096</v>
      </c>
      <c r="R7" s="54">
        <v>29212</v>
      </c>
      <c r="S7" s="54">
        <v>9884</v>
      </c>
      <c r="T7" s="54">
        <v>2773.6</v>
      </c>
      <c r="U7" s="54">
        <v>29212</v>
      </c>
      <c r="V7" s="54">
        <v>36322.400000000001</v>
      </c>
      <c r="W7" s="54">
        <v>0</v>
      </c>
    </row>
    <row r="8" spans="1:23" outlineLevel="2" x14ac:dyDescent="0.2">
      <c r="A8" s="21" t="s">
        <v>0</v>
      </c>
      <c r="B8" s="21" t="s">
        <v>1</v>
      </c>
      <c r="C8" s="21" t="s">
        <v>2</v>
      </c>
      <c r="D8" s="21" t="s">
        <v>13</v>
      </c>
      <c r="E8" s="21" t="s">
        <v>14</v>
      </c>
      <c r="F8" s="21" t="s">
        <v>5</v>
      </c>
      <c r="G8" s="21" t="s">
        <v>6</v>
      </c>
      <c r="H8" s="21" t="s">
        <v>7</v>
      </c>
      <c r="I8" s="21" t="s">
        <v>8</v>
      </c>
      <c r="J8" s="21" t="s">
        <v>9</v>
      </c>
      <c r="K8" s="21" t="s">
        <v>22</v>
      </c>
      <c r="L8" s="21" t="s">
        <v>23</v>
      </c>
      <c r="M8" s="21" t="s">
        <v>15</v>
      </c>
      <c r="N8" s="54">
        <v>28806.080000000002</v>
      </c>
      <c r="O8" s="54">
        <v>0</v>
      </c>
      <c r="P8" s="54">
        <v>0</v>
      </c>
      <c r="Q8" s="54">
        <v>28806.080000000002</v>
      </c>
      <c r="R8" s="54">
        <v>0.11</v>
      </c>
      <c r="S8" s="54">
        <v>5517.72</v>
      </c>
      <c r="T8" s="54">
        <v>1941.52</v>
      </c>
      <c r="U8" s="54">
        <v>23288.36</v>
      </c>
      <c r="V8" s="54">
        <v>26864.560000000001</v>
      </c>
      <c r="W8" s="54">
        <v>23288.25</v>
      </c>
    </row>
    <row r="9" spans="1:23" outlineLevel="2" x14ac:dyDescent="0.2">
      <c r="A9" s="21" t="s">
        <v>0</v>
      </c>
      <c r="B9" s="21" t="s">
        <v>1</v>
      </c>
      <c r="C9" s="21" t="s">
        <v>2</v>
      </c>
      <c r="D9" s="21" t="s">
        <v>25</v>
      </c>
      <c r="E9" s="21" t="s">
        <v>26</v>
      </c>
      <c r="F9" s="21" t="s">
        <v>5</v>
      </c>
      <c r="G9" s="21" t="s">
        <v>6</v>
      </c>
      <c r="H9" s="21" t="s">
        <v>7</v>
      </c>
      <c r="I9" s="21" t="s">
        <v>8</v>
      </c>
      <c r="J9" s="21" t="s">
        <v>9</v>
      </c>
      <c r="K9" s="21" t="s">
        <v>27</v>
      </c>
      <c r="L9" s="21" t="s">
        <v>28</v>
      </c>
      <c r="M9" s="21" t="s">
        <v>15</v>
      </c>
      <c r="N9" s="54">
        <v>3483000</v>
      </c>
      <c r="O9" s="54">
        <v>247000</v>
      </c>
      <c r="P9" s="54">
        <v>0</v>
      </c>
      <c r="Q9" s="54">
        <v>3730000</v>
      </c>
      <c r="R9" s="54">
        <v>0</v>
      </c>
      <c r="S9" s="54">
        <v>3729535.64</v>
      </c>
      <c r="T9" s="54">
        <v>2610629.4700000002</v>
      </c>
      <c r="U9" s="54">
        <v>464.36</v>
      </c>
      <c r="V9" s="54">
        <v>1119370.53</v>
      </c>
      <c r="W9" s="54">
        <v>464.36</v>
      </c>
    </row>
    <row r="10" spans="1:23" outlineLevel="2" x14ac:dyDescent="0.2">
      <c r="A10" s="21" t="s">
        <v>0</v>
      </c>
      <c r="B10" s="21" t="s">
        <v>1</v>
      </c>
      <c r="C10" s="21" t="s">
        <v>2</v>
      </c>
      <c r="D10" s="21" t="s">
        <v>25</v>
      </c>
      <c r="E10" s="21" t="s">
        <v>26</v>
      </c>
      <c r="F10" s="21" t="s">
        <v>5</v>
      </c>
      <c r="G10" s="21" t="s">
        <v>6</v>
      </c>
      <c r="H10" s="21" t="s">
        <v>7</v>
      </c>
      <c r="I10" s="21" t="s">
        <v>8</v>
      </c>
      <c r="J10" s="21" t="s">
        <v>9</v>
      </c>
      <c r="K10" s="21" t="s">
        <v>29</v>
      </c>
      <c r="L10" s="21" t="s">
        <v>30</v>
      </c>
      <c r="M10" s="21" t="s">
        <v>15</v>
      </c>
      <c r="N10" s="54">
        <v>5000000</v>
      </c>
      <c r="O10" s="54">
        <v>0</v>
      </c>
      <c r="P10" s="54">
        <v>0</v>
      </c>
      <c r="Q10" s="54">
        <v>5000000</v>
      </c>
      <c r="R10" s="54">
        <v>0</v>
      </c>
      <c r="S10" s="54">
        <v>4721770</v>
      </c>
      <c r="T10" s="54">
        <v>3524719.17</v>
      </c>
      <c r="U10" s="54">
        <v>278230</v>
      </c>
      <c r="V10" s="54">
        <v>1475280.83</v>
      </c>
      <c r="W10" s="54">
        <v>278230</v>
      </c>
    </row>
    <row r="11" spans="1:23" outlineLevel="2" x14ac:dyDescent="0.2">
      <c r="A11" s="21" t="s">
        <v>0</v>
      </c>
      <c r="B11" s="21" t="s">
        <v>31</v>
      </c>
      <c r="C11" s="21" t="s">
        <v>79</v>
      </c>
      <c r="D11" s="21" t="s">
        <v>83</v>
      </c>
      <c r="E11" s="21" t="s">
        <v>84</v>
      </c>
      <c r="F11" s="21" t="s">
        <v>5</v>
      </c>
      <c r="G11" s="21" t="s">
        <v>6</v>
      </c>
      <c r="H11" s="21" t="s">
        <v>35</v>
      </c>
      <c r="I11" s="21" t="s">
        <v>36</v>
      </c>
      <c r="J11" s="21" t="s">
        <v>9</v>
      </c>
      <c r="K11" s="21" t="s">
        <v>37</v>
      </c>
      <c r="L11" s="21" t="s">
        <v>82</v>
      </c>
      <c r="M11" s="21" t="s">
        <v>15</v>
      </c>
      <c r="N11" s="54">
        <v>1203444</v>
      </c>
      <c r="O11" s="54">
        <v>-21399.33</v>
      </c>
      <c r="P11" s="54">
        <v>0</v>
      </c>
      <c r="Q11" s="54">
        <v>1182044.67</v>
      </c>
      <c r="R11" s="54">
        <v>0</v>
      </c>
      <c r="S11" s="54">
        <v>837957.12</v>
      </c>
      <c r="T11" s="54">
        <v>837957.12</v>
      </c>
      <c r="U11" s="54">
        <v>344087.55</v>
      </c>
      <c r="V11" s="54">
        <v>344087.55</v>
      </c>
      <c r="W11" s="54">
        <v>344087.55</v>
      </c>
    </row>
    <row r="12" spans="1:23" outlineLevel="2" x14ac:dyDescent="0.2">
      <c r="A12" s="21" t="s">
        <v>0</v>
      </c>
      <c r="B12" s="21" t="s">
        <v>31</v>
      </c>
      <c r="C12" s="21" t="s">
        <v>32</v>
      </c>
      <c r="D12" s="21" t="s">
        <v>141</v>
      </c>
      <c r="E12" s="21" t="s">
        <v>142</v>
      </c>
      <c r="F12" s="21" t="s">
        <v>5</v>
      </c>
      <c r="G12" s="21" t="s">
        <v>6</v>
      </c>
      <c r="H12" s="21" t="s">
        <v>35</v>
      </c>
      <c r="I12" s="21" t="s">
        <v>36</v>
      </c>
      <c r="J12" s="21" t="s">
        <v>9</v>
      </c>
      <c r="K12" s="21" t="s">
        <v>37</v>
      </c>
      <c r="L12" s="21" t="s">
        <v>38</v>
      </c>
      <c r="M12" s="21" t="s">
        <v>15</v>
      </c>
      <c r="N12" s="54">
        <v>766215.36</v>
      </c>
      <c r="O12" s="54">
        <v>-26253.54</v>
      </c>
      <c r="P12" s="54">
        <v>0</v>
      </c>
      <c r="Q12" s="54">
        <v>739961.82</v>
      </c>
      <c r="R12" s="54">
        <v>0</v>
      </c>
      <c r="S12" s="54">
        <v>568025.18000000005</v>
      </c>
      <c r="T12" s="54">
        <v>568025.18000000005</v>
      </c>
      <c r="U12" s="54">
        <v>171936.64000000001</v>
      </c>
      <c r="V12" s="54">
        <v>171936.64000000001</v>
      </c>
      <c r="W12" s="54">
        <v>171936.64000000001</v>
      </c>
    </row>
    <row r="13" spans="1:23" outlineLevel="2" x14ac:dyDescent="0.2">
      <c r="A13" s="21" t="s">
        <v>0</v>
      </c>
      <c r="B13" s="21" t="s">
        <v>31</v>
      </c>
      <c r="C13" s="21" t="s">
        <v>32</v>
      </c>
      <c r="D13" s="21" t="s">
        <v>123</v>
      </c>
      <c r="E13" s="21" t="s">
        <v>124</v>
      </c>
      <c r="F13" s="21" t="s">
        <v>5</v>
      </c>
      <c r="G13" s="21" t="s">
        <v>6</v>
      </c>
      <c r="H13" s="21" t="s">
        <v>35</v>
      </c>
      <c r="I13" s="21" t="s">
        <v>36</v>
      </c>
      <c r="J13" s="21" t="s">
        <v>9</v>
      </c>
      <c r="K13" s="21" t="s">
        <v>37</v>
      </c>
      <c r="L13" s="21" t="s">
        <v>38</v>
      </c>
      <c r="M13" s="21" t="s">
        <v>15</v>
      </c>
      <c r="N13" s="54">
        <v>1556724</v>
      </c>
      <c r="O13" s="54">
        <v>-405897</v>
      </c>
      <c r="P13" s="54">
        <v>0</v>
      </c>
      <c r="Q13" s="54">
        <v>1150827</v>
      </c>
      <c r="R13" s="54">
        <v>0</v>
      </c>
      <c r="S13" s="54">
        <v>1066147.67</v>
      </c>
      <c r="T13" s="54">
        <v>1066147.67</v>
      </c>
      <c r="U13" s="54">
        <v>84679.33</v>
      </c>
      <c r="V13" s="54">
        <v>84679.33</v>
      </c>
      <c r="W13" s="54">
        <v>84679.33</v>
      </c>
    </row>
    <row r="14" spans="1:23" outlineLevel="2" x14ac:dyDescent="0.2">
      <c r="A14" s="21" t="s">
        <v>0</v>
      </c>
      <c r="B14" s="21" t="s">
        <v>31</v>
      </c>
      <c r="C14" s="21" t="s">
        <v>32</v>
      </c>
      <c r="D14" s="21" t="s">
        <v>33</v>
      </c>
      <c r="E14" s="21" t="s">
        <v>34</v>
      </c>
      <c r="F14" s="21" t="s">
        <v>5</v>
      </c>
      <c r="G14" s="21" t="s">
        <v>6</v>
      </c>
      <c r="H14" s="21" t="s">
        <v>35</v>
      </c>
      <c r="I14" s="21" t="s">
        <v>36</v>
      </c>
      <c r="J14" s="21" t="s">
        <v>9</v>
      </c>
      <c r="K14" s="21" t="s">
        <v>37</v>
      </c>
      <c r="L14" s="21" t="s">
        <v>38</v>
      </c>
      <c r="M14" s="21" t="s">
        <v>15</v>
      </c>
      <c r="N14" s="54">
        <v>3409428</v>
      </c>
      <c r="O14" s="54">
        <v>-350944.39</v>
      </c>
      <c r="P14" s="54">
        <v>0</v>
      </c>
      <c r="Q14" s="54">
        <v>3058483.61</v>
      </c>
      <c r="R14" s="54">
        <v>0</v>
      </c>
      <c r="S14" s="54">
        <v>2215783.0299999998</v>
      </c>
      <c r="T14" s="54">
        <v>2215783.0299999998</v>
      </c>
      <c r="U14" s="54">
        <v>842700.58</v>
      </c>
      <c r="V14" s="54">
        <v>842700.58</v>
      </c>
      <c r="W14" s="54">
        <v>842700.58</v>
      </c>
    </row>
    <row r="15" spans="1:23" outlineLevel="2" x14ac:dyDescent="0.2">
      <c r="A15" s="21" t="s">
        <v>0</v>
      </c>
      <c r="B15" s="21" t="s">
        <v>31</v>
      </c>
      <c r="C15" s="21" t="s">
        <v>49</v>
      </c>
      <c r="D15" s="21" t="s">
        <v>50</v>
      </c>
      <c r="E15" s="21" t="s">
        <v>51</v>
      </c>
      <c r="F15" s="21" t="s">
        <v>5</v>
      </c>
      <c r="G15" s="21" t="s">
        <v>6</v>
      </c>
      <c r="H15" s="21" t="s">
        <v>35</v>
      </c>
      <c r="I15" s="21" t="s">
        <v>36</v>
      </c>
      <c r="J15" s="21" t="s">
        <v>9</v>
      </c>
      <c r="K15" s="21" t="s">
        <v>37</v>
      </c>
      <c r="L15" s="21" t="s">
        <v>52</v>
      </c>
      <c r="M15" s="21" t="s">
        <v>15</v>
      </c>
      <c r="N15" s="54">
        <v>656868</v>
      </c>
      <c r="O15" s="54">
        <v>234186.67</v>
      </c>
      <c r="P15" s="54">
        <v>0</v>
      </c>
      <c r="Q15" s="54">
        <v>891054.67</v>
      </c>
      <c r="R15" s="54">
        <v>0</v>
      </c>
      <c r="S15" s="54">
        <v>521555.73</v>
      </c>
      <c r="T15" s="54">
        <v>521555.73</v>
      </c>
      <c r="U15" s="54">
        <v>369498.94</v>
      </c>
      <c r="V15" s="54">
        <v>369498.94</v>
      </c>
      <c r="W15" s="54">
        <v>369498.94</v>
      </c>
    </row>
    <row r="16" spans="1:23" outlineLevel="2" x14ac:dyDescent="0.2">
      <c r="A16" s="21" t="s">
        <v>0</v>
      </c>
      <c r="B16" s="21" t="s">
        <v>39</v>
      </c>
      <c r="C16" s="21" t="s">
        <v>70</v>
      </c>
      <c r="D16" s="21" t="s">
        <v>71</v>
      </c>
      <c r="E16" s="21" t="s">
        <v>72</v>
      </c>
      <c r="F16" s="21" t="s">
        <v>5</v>
      </c>
      <c r="G16" s="21" t="s">
        <v>6</v>
      </c>
      <c r="H16" s="21" t="s">
        <v>35</v>
      </c>
      <c r="I16" s="21" t="s">
        <v>36</v>
      </c>
      <c r="J16" s="21" t="s">
        <v>9</v>
      </c>
      <c r="K16" s="21" t="s">
        <v>37</v>
      </c>
      <c r="L16" s="21" t="s">
        <v>73</v>
      </c>
      <c r="M16" s="21" t="s">
        <v>15</v>
      </c>
      <c r="N16" s="54">
        <v>2870136</v>
      </c>
      <c r="O16" s="54">
        <v>-263874</v>
      </c>
      <c r="P16" s="54">
        <v>0</v>
      </c>
      <c r="Q16" s="54">
        <v>2606262</v>
      </c>
      <c r="R16" s="54">
        <v>0</v>
      </c>
      <c r="S16" s="54">
        <v>2086761.53</v>
      </c>
      <c r="T16" s="54">
        <v>2086761.53</v>
      </c>
      <c r="U16" s="54">
        <v>519500.47</v>
      </c>
      <c r="V16" s="54">
        <v>519500.47</v>
      </c>
      <c r="W16" s="54">
        <v>519500.47</v>
      </c>
    </row>
    <row r="17" spans="1:23" outlineLevel="2" x14ac:dyDescent="0.2">
      <c r="A17" s="21" t="s">
        <v>0</v>
      </c>
      <c r="B17" s="21" t="s">
        <v>31</v>
      </c>
      <c r="C17" s="21" t="s">
        <v>32</v>
      </c>
      <c r="D17" s="21" t="s">
        <v>75</v>
      </c>
      <c r="E17" s="21" t="s">
        <v>76</v>
      </c>
      <c r="F17" s="21" t="s">
        <v>5</v>
      </c>
      <c r="G17" s="21" t="s">
        <v>6</v>
      </c>
      <c r="H17" s="21" t="s">
        <v>35</v>
      </c>
      <c r="I17" s="21" t="s">
        <v>36</v>
      </c>
      <c r="J17" s="21" t="s">
        <v>9</v>
      </c>
      <c r="K17" s="21" t="s">
        <v>37</v>
      </c>
      <c r="L17" s="21" t="s">
        <v>38</v>
      </c>
      <c r="M17" s="21" t="s">
        <v>15</v>
      </c>
      <c r="N17" s="54">
        <v>2298072</v>
      </c>
      <c r="O17" s="54">
        <v>-419692.09</v>
      </c>
      <c r="P17" s="54">
        <v>0</v>
      </c>
      <c r="Q17" s="54">
        <v>1878379.91</v>
      </c>
      <c r="R17" s="54">
        <v>0</v>
      </c>
      <c r="S17" s="54">
        <v>1353460.64</v>
      </c>
      <c r="T17" s="54">
        <v>1352801.71</v>
      </c>
      <c r="U17" s="54">
        <v>524919.27</v>
      </c>
      <c r="V17" s="54">
        <v>525578.19999999995</v>
      </c>
      <c r="W17" s="54">
        <v>524919.27</v>
      </c>
    </row>
    <row r="18" spans="1:23" outlineLevel="2" x14ac:dyDescent="0.2">
      <c r="A18" s="21" t="s">
        <v>0</v>
      </c>
      <c r="B18" s="21" t="s">
        <v>31</v>
      </c>
      <c r="C18" s="21" t="s">
        <v>79</v>
      </c>
      <c r="D18" s="21" t="s">
        <v>111</v>
      </c>
      <c r="E18" s="21" t="s">
        <v>112</v>
      </c>
      <c r="F18" s="21" t="s">
        <v>5</v>
      </c>
      <c r="G18" s="21" t="s">
        <v>6</v>
      </c>
      <c r="H18" s="21" t="s">
        <v>35</v>
      </c>
      <c r="I18" s="21" t="s">
        <v>36</v>
      </c>
      <c r="J18" s="21" t="s">
        <v>9</v>
      </c>
      <c r="K18" s="21" t="s">
        <v>37</v>
      </c>
      <c r="L18" s="21" t="s">
        <v>82</v>
      </c>
      <c r="M18" s="21" t="s">
        <v>15</v>
      </c>
      <c r="N18" s="54">
        <v>70368</v>
      </c>
      <c r="O18" s="54">
        <v>-609.38</v>
      </c>
      <c r="P18" s="54">
        <v>0</v>
      </c>
      <c r="Q18" s="54">
        <v>69758.62</v>
      </c>
      <c r="R18" s="54">
        <v>0</v>
      </c>
      <c r="S18" s="54">
        <v>69590</v>
      </c>
      <c r="T18" s="54">
        <v>69590</v>
      </c>
      <c r="U18" s="54">
        <v>168.62</v>
      </c>
      <c r="V18" s="54">
        <v>168.62</v>
      </c>
      <c r="W18" s="54">
        <v>168.62</v>
      </c>
    </row>
    <row r="19" spans="1:23" outlineLevel="2" x14ac:dyDescent="0.2">
      <c r="A19" s="21" t="s">
        <v>0</v>
      </c>
      <c r="B19" s="21" t="s">
        <v>39</v>
      </c>
      <c r="C19" s="21" t="s">
        <v>40</v>
      </c>
      <c r="D19" s="21" t="s">
        <v>77</v>
      </c>
      <c r="E19" s="21" t="s">
        <v>78</v>
      </c>
      <c r="F19" s="21" t="s">
        <v>5</v>
      </c>
      <c r="G19" s="21" t="s">
        <v>6</v>
      </c>
      <c r="H19" s="21" t="s">
        <v>35</v>
      </c>
      <c r="I19" s="21" t="s">
        <v>36</v>
      </c>
      <c r="J19" s="21" t="s">
        <v>9</v>
      </c>
      <c r="K19" s="21" t="s">
        <v>37</v>
      </c>
      <c r="L19" s="21" t="s">
        <v>43</v>
      </c>
      <c r="M19" s="21" t="s">
        <v>15</v>
      </c>
      <c r="N19" s="54">
        <v>27593136</v>
      </c>
      <c r="O19" s="54">
        <v>0</v>
      </c>
      <c r="P19" s="54">
        <v>0</v>
      </c>
      <c r="Q19" s="54">
        <v>27593136</v>
      </c>
      <c r="R19" s="54">
        <v>0</v>
      </c>
      <c r="S19" s="54">
        <v>22346255.149999999</v>
      </c>
      <c r="T19" s="54">
        <v>22346255.149999999</v>
      </c>
      <c r="U19" s="54">
        <v>5246880.8499999996</v>
      </c>
      <c r="V19" s="54">
        <v>5246880.8499999996</v>
      </c>
      <c r="W19" s="54">
        <v>5246880.8499999996</v>
      </c>
    </row>
    <row r="20" spans="1:23" outlineLevel="2" x14ac:dyDescent="0.2">
      <c r="A20" s="21" t="s">
        <v>0</v>
      </c>
      <c r="B20" s="21" t="s">
        <v>1</v>
      </c>
      <c r="C20" s="21" t="s">
        <v>44</v>
      </c>
      <c r="D20" s="21" t="s">
        <v>45</v>
      </c>
      <c r="E20" s="21" t="s">
        <v>46</v>
      </c>
      <c r="F20" s="21" t="s">
        <v>5</v>
      </c>
      <c r="G20" s="21" t="s">
        <v>6</v>
      </c>
      <c r="H20" s="21" t="s">
        <v>35</v>
      </c>
      <c r="I20" s="21" t="s">
        <v>36</v>
      </c>
      <c r="J20" s="21" t="s">
        <v>9</v>
      </c>
      <c r="K20" s="21" t="s">
        <v>37</v>
      </c>
      <c r="L20" s="21" t="s">
        <v>47</v>
      </c>
      <c r="M20" s="21" t="s">
        <v>15</v>
      </c>
      <c r="N20" s="54">
        <v>590712</v>
      </c>
      <c r="O20" s="54">
        <v>45782.09</v>
      </c>
      <c r="P20" s="54">
        <v>0</v>
      </c>
      <c r="Q20" s="54">
        <v>636494.09</v>
      </c>
      <c r="R20" s="54">
        <v>0</v>
      </c>
      <c r="S20" s="54">
        <v>486262</v>
      </c>
      <c r="T20" s="54">
        <v>486262</v>
      </c>
      <c r="U20" s="54">
        <v>150232.09</v>
      </c>
      <c r="V20" s="54">
        <v>150232.09</v>
      </c>
      <c r="W20" s="54">
        <v>150232.09</v>
      </c>
    </row>
    <row r="21" spans="1:23" outlineLevel="2" x14ac:dyDescent="0.2">
      <c r="A21" s="21" t="s">
        <v>0</v>
      </c>
      <c r="B21" s="21" t="s">
        <v>1</v>
      </c>
      <c r="C21" s="21" t="s">
        <v>2</v>
      </c>
      <c r="D21" s="21" t="s">
        <v>3</v>
      </c>
      <c r="E21" s="21" t="s">
        <v>4</v>
      </c>
      <c r="F21" s="21" t="s">
        <v>5</v>
      </c>
      <c r="G21" s="21" t="s">
        <v>6</v>
      </c>
      <c r="H21" s="21" t="s">
        <v>35</v>
      </c>
      <c r="I21" s="21" t="s">
        <v>36</v>
      </c>
      <c r="J21" s="21" t="s">
        <v>9</v>
      </c>
      <c r="K21" s="21" t="s">
        <v>37</v>
      </c>
      <c r="L21" s="21" t="s">
        <v>74</v>
      </c>
      <c r="M21" s="21" t="s">
        <v>15</v>
      </c>
      <c r="N21" s="54">
        <v>3287178.36</v>
      </c>
      <c r="O21" s="54">
        <v>-40098</v>
      </c>
      <c r="P21" s="54">
        <v>0</v>
      </c>
      <c r="Q21" s="54">
        <v>3247080.36</v>
      </c>
      <c r="R21" s="54">
        <v>0</v>
      </c>
      <c r="S21" s="54">
        <v>2599331.69</v>
      </c>
      <c r="T21" s="54">
        <v>2598809.69</v>
      </c>
      <c r="U21" s="54">
        <v>647748.67000000004</v>
      </c>
      <c r="V21" s="54">
        <v>648270.67000000004</v>
      </c>
      <c r="W21" s="54">
        <v>647748.67000000004</v>
      </c>
    </row>
    <row r="22" spans="1:23" outlineLevel="2" x14ac:dyDescent="0.2">
      <c r="A22" s="21" t="s">
        <v>0</v>
      </c>
      <c r="B22" s="21" t="s">
        <v>39</v>
      </c>
      <c r="C22" s="21" t="s">
        <v>66</v>
      </c>
      <c r="D22" s="21" t="s">
        <v>121</v>
      </c>
      <c r="E22" s="21" t="s">
        <v>122</v>
      </c>
      <c r="F22" s="21" t="s">
        <v>5</v>
      </c>
      <c r="G22" s="21" t="s">
        <v>6</v>
      </c>
      <c r="H22" s="21" t="s">
        <v>35</v>
      </c>
      <c r="I22" s="21" t="s">
        <v>36</v>
      </c>
      <c r="J22" s="21" t="s">
        <v>9</v>
      </c>
      <c r="K22" s="21" t="s">
        <v>37</v>
      </c>
      <c r="L22" s="21" t="s">
        <v>69</v>
      </c>
      <c r="M22" s="21" t="s">
        <v>15</v>
      </c>
      <c r="N22" s="54">
        <v>1226304</v>
      </c>
      <c r="O22" s="54">
        <v>-4386.53</v>
      </c>
      <c r="P22" s="54">
        <v>0</v>
      </c>
      <c r="Q22" s="54">
        <v>1221917.47</v>
      </c>
      <c r="R22" s="54">
        <v>0</v>
      </c>
      <c r="S22" s="54">
        <v>963750.12</v>
      </c>
      <c r="T22" s="54">
        <v>963750.12</v>
      </c>
      <c r="U22" s="54">
        <v>258167.35</v>
      </c>
      <c r="V22" s="54">
        <v>258167.35</v>
      </c>
      <c r="W22" s="54">
        <v>258167.35</v>
      </c>
    </row>
    <row r="23" spans="1:23" outlineLevel="2" x14ac:dyDescent="0.2">
      <c r="A23" s="21" t="s">
        <v>0</v>
      </c>
      <c r="B23" s="21" t="s">
        <v>31</v>
      </c>
      <c r="C23" s="21" t="s">
        <v>79</v>
      </c>
      <c r="D23" s="21" t="s">
        <v>117</v>
      </c>
      <c r="E23" s="21" t="s">
        <v>118</v>
      </c>
      <c r="F23" s="21" t="s">
        <v>5</v>
      </c>
      <c r="G23" s="21" t="s">
        <v>6</v>
      </c>
      <c r="H23" s="21" t="s">
        <v>35</v>
      </c>
      <c r="I23" s="21" t="s">
        <v>36</v>
      </c>
      <c r="J23" s="21" t="s">
        <v>9</v>
      </c>
      <c r="K23" s="21" t="s">
        <v>37</v>
      </c>
      <c r="L23" s="21" t="s">
        <v>82</v>
      </c>
      <c r="M23" s="21" t="s">
        <v>15</v>
      </c>
      <c r="N23" s="54">
        <v>168360</v>
      </c>
      <c r="O23" s="54">
        <v>0</v>
      </c>
      <c r="P23" s="54">
        <v>0</v>
      </c>
      <c r="Q23" s="54">
        <v>168360</v>
      </c>
      <c r="R23" s="54">
        <v>0</v>
      </c>
      <c r="S23" s="54">
        <v>115868.69</v>
      </c>
      <c r="T23" s="54">
        <v>115868.69</v>
      </c>
      <c r="U23" s="54">
        <v>52491.31</v>
      </c>
      <c r="V23" s="54">
        <v>52491.31</v>
      </c>
      <c r="W23" s="54">
        <v>52491.31</v>
      </c>
    </row>
    <row r="24" spans="1:23" outlineLevel="2" x14ac:dyDescent="0.2">
      <c r="A24" s="21" t="s">
        <v>0</v>
      </c>
      <c r="B24" s="21" t="s">
        <v>39</v>
      </c>
      <c r="C24" s="21" t="s">
        <v>40</v>
      </c>
      <c r="D24" s="21" t="s">
        <v>41</v>
      </c>
      <c r="E24" s="21" t="s">
        <v>42</v>
      </c>
      <c r="F24" s="21" t="s">
        <v>5</v>
      </c>
      <c r="G24" s="21" t="s">
        <v>6</v>
      </c>
      <c r="H24" s="21" t="s">
        <v>35</v>
      </c>
      <c r="I24" s="21" t="s">
        <v>36</v>
      </c>
      <c r="J24" s="21" t="s">
        <v>9</v>
      </c>
      <c r="K24" s="21" t="s">
        <v>37</v>
      </c>
      <c r="L24" s="21" t="s">
        <v>43</v>
      </c>
      <c r="M24" s="21" t="s">
        <v>15</v>
      </c>
      <c r="N24" s="54">
        <v>1279057.44</v>
      </c>
      <c r="O24" s="54">
        <v>-1108.54</v>
      </c>
      <c r="P24" s="54">
        <v>0</v>
      </c>
      <c r="Q24" s="54">
        <v>1277948.8999999999</v>
      </c>
      <c r="R24" s="54">
        <v>0</v>
      </c>
      <c r="S24" s="54">
        <v>986131.33</v>
      </c>
      <c r="T24" s="54">
        <v>985448</v>
      </c>
      <c r="U24" s="54">
        <v>291817.57</v>
      </c>
      <c r="V24" s="54">
        <v>292500.90000000002</v>
      </c>
      <c r="W24" s="54">
        <v>291817.57</v>
      </c>
    </row>
    <row r="25" spans="1:23" outlineLevel="2" x14ac:dyDescent="0.2">
      <c r="A25" s="21" t="s">
        <v>0</v>
      </c>
      <c r="B25" s="21" t="s">
        <v>1</v>
      </c>
      <c r="C25" s="21" t="s">
        <v>99</v>
      </c>
      <c r="D25" s="21" t="s">
        <v>100</v>
      </c>
      <c r="E25" s="21" t="s">
        <v>101</v>
      </c>
      <c r="F25" s="21" t="s">
        <v>5</v>
      </c>
      <c r="G25" s="21" t="s">
        <v>6</v>
      </c>
      <c r="H25" s="21" t="s">
        <v>35</v>
      </c>
      <c r="I25" s="21" t="s">
        <v>36</v>
      </c>
      <c r="J25" s="21" t="s">
        <v>9</v>
      </c>
      <c r="K25" s="21" t="s">
        <v>37</v>
      </c>
      <c r="L25" s="21" t="s">
        <v>102</v>
      </c>
      <c r="M25" s="21" t="s">
        <v>15</v>
      </c>
      <c r="N25" s="54">
        <v>777108</v>
      </c>
      <c r="O25" s="54">
        <v>-35698.1</v>
      </c>
      <c r="P25" s="54">
        <v>0</v>
      </c>
      <c r="Q25" s="54">
        <v>741409.9</v>
      </c>
      <c r="R25" s="54">
        <v>0</v>
      </c>
      <c r="S25" s="54">
        <v>601655.35</v>
      </c>
      <c r="T25" s="54">
        <v>601655.35</v>
      </c>
      <c r="U25" s="54">
        <v>139754.54999999999</v>
      </c>
      <c r="V25" s="54">
        <v>139754.54999999999</v>
      </c>
      <c r="W25" s="54">
        <v>139754.54999999999</v>
      </c>
    </row>
    <row r="26" spans="1:23" outlineLevel="2" x14ac:dyDescent="0.2">
      <c r="A26" s="21" t="s">
        <v>0</v>
      </c>
      <c r="B26" s="21" t="s">
        <v>1</v>
      </c>
      <c r="C26" s="21" t="s">
        <v>16</v>
      </c>
      <c r="D26" s="21" t="s">
        <v>17</v>
      </c>
      <c r="E26" s="21" t="s">
        <v>18</v>
      </c>
      <c r="F26" s="21" t="s">
        <v>5</v>
      </c>
      <c r="G26" s="21" t="s">
        <v>6</v>
      </c>
      <c r="H26" s="21" t="s">
        <v>35</v>
      </c>
      <c r="I26" s="21" t="s">
        <v>36</v>
      </c>
      <c r="J26" s="21" t="s">
        <v>9</v>
      </c>
      <c r="K26" s="21" t="s">
        <v>37</v>
      </c>
      <c r="L26" s="21" t="s">
        <v>48</v>
      </c>
      <c r="M26" s="21" t="s">
        <v>15</v>
      </c>
      <c r="N26" s="54">
        <v>2811067.68</v>
      </c>
      <c r="O26" s="54">
        <v>-13702.76</v>
      </c>
      <c r="P26" s="54">
        <v>0</v>
      </c>
      <c r="Q26" s="54">
        <v>2797364.92</v>
      </c>
      <c r="R26" s="54">
        <v>0</v>
      </c>
      <c r="S26" s="54">
        <v>2204396.5699999998</v>
      </c>
      <c r="T26" s="54">
        <v>2202563.2400000002</v>
      </c>
      <c r="U26" s="54">
        <v>592968.35</v>
      </c>
      <c r="V26" s="54">
        <v>594801.68000000005</v>
      </c>
      <c r="W26" s="54">
        <v>592968.35</v>
      </c>
    </row>
    <row r="27" spans="1:23" outlineLevel="2" x14ac:dyDescent="0.2">
      <c r="A27" s="21" t="s">
        <v>0</v>
      </c>
      <c r="B27" s="21" t="s">
        <v>1</v>
      </c>
      <c r="C27" s="21" t="s">
        <v>16</v>
      </c>
      <c r="D27" s="21" t="s">
        <v>103</v>
      </c>
      <c r="E27" s="21" t="s">
        <v>104</v>
      </c>
      <c r="F27" s="21" t="s">
        <v>5</v>
      </c>
      <c r="G27" s="21" t="s">
        <v>6</v>
      </c>
      <c r="H27" s="21" t="s">
        <v>35</v>
      </c>
      <c r="I27" s="21" t="s">
        <v>36</v>
      </c>
      <c r="J27" s="21" t="s">
        <v>9</v>
      </c>
      <c r="K27" s="21" t="s">
        <v>37</v>
      </c>
      <c r="L27" s="21" t="s">
        <v>48</v>
      </c>
      <c r="M27" s="21" t="s">
        <v>15</v>
      </c>
      <c r="N27" s="54">
        <v>2126172</v>
      </c>
      <c r="O27" s="54">
        <v>44268</v>
      </c>
      <c r="P27" s="54">
        <v>0</v>
      </c>
      <c r="Q27" s="54">
        <v>2170440</v>
      </c>
      <c r="R27" s="54">
        <v>0</v>
      </c>
      <c r="S27" s="54">
        <v>1632732.7</v>
      </c>
      <c r="T27" s="54">
        <v>1632732.7</v>
      </c>
      <c r="U27" s="54">
        <v>537707.30000000005</v>
      </c>
      <c r="V27" s="54">
        <v>537707.30000000005</v>
      </c>
      <c r="W27" s="54">
        <v>537707.30000000005</v>
      </c>
    </row>
    <row r="28" spans="1:23" outlineLevel="2" x14ac:dyDescent="0.2">
      <c r="A28" s="21" t="s">
        <v>0</v>
      </c>
      <c r="B28" s="21" t="s">
        <v>31</v>
      </c>
      <c r="C28" s="21" t="s">
        <v>79</v>
      </c>
      <c r="D28" s="21" t="s">
        <v>127</v>
      </c>
      <c r="E28" s="21" t="s">
        <v>128</v>
      </c>
      <c r="F28" s="21" t="s">
        <v>5</v>
      </c>
      <c r="G28" s="21" t="s">
        <v>6</v>
      </c>
      <c r="H28" s="21" t="s">
        <v>35</v>
      </c>
      <c r="I28" s="21" t="s">
        <v>36</v>
      </c>
      <c r="J28" s="21" t="s">
        <v>9</v>
      </c>
      <c r="K28" s="21" t="s">
        <v>37</v>
      </c>
      <c r="L28" s="21" t="s">
        <v>82</v>
      </c>
      <c r="M28" s="21" t="s">
        <v>15</v>
      </c>
      <c r="N28" s="54">
        <v>206208</v>
      </c>
      <c r="O28" s="54">
        <v>-9836.7999999999993</v>
      </c>
      <c r="P28" s="54">
        <v>0</v>
      </c>
      <c r="Q28" s="54">
        <v>196371.20000000001</v>
      </c>
      <c r="R28" s="54">
        <v>0</v>
      </c>
      <c r="S28" s="54">
        <v>147840</v>
      </c>
      <c r="T28" s="54">
        <v>147840</v>
      </c>
      <c r="U28" s="54">
        <v>48531.199999999997</v>
      </c>
      <c r="V28" s="54">
        <v>48531.199999999997</v>
      </c>
      <c r="W28" s="54">
        <v>48531.199999999997</v>
      </c>
    </row>
    <row r="29" spans="1:23" outlineLevel="2" x14ac:dyDescent="0.2">
      <c r="A29" s="21" t="s">
        <v>0</v>
      </c>
      <c r="B29" s="21" t="s">
        <v>31</v>
      </c>
      <c r="C29" s="21" t="s">
        <v>79</v>
      </c>
      <c r="D29" s="21" t="s">
        <v>131</v>
      </c>
      <c r="E29" s="21" t="s">
        <v>132</v>
      </c>
      <c r="F29" s="21" t="s">
        <v>5</v>
      </c>
      <c r="G29" s="21" t="s">
        <v>6</v>
      </c>
      <c r="H29" s="21" t="s">
        <v>35</v>
      </c>
      <c r="I29" s="21" t="s">
        <v>36</v>
      </c>
      <c r="J29" s="21" t="s">
        <v>9</v>
      </c>
      <c r="K29" s="21" t="s">
        <v>37</v>
      </c>
      <c r="L29" s="21" t="s">
        <v>82</v>
      </c>
      <c r="M29" s="21" t="s">
        <v>15</v>
      </c>
      <c r="N29" s="54">
        <v>174228</v>
      </c>
      <c r="O29" s="54">
        <v>-4886</v>
      </c>
      <c r="P29" s="54">
        <v>0</v>
      </c>
      <c r="Q29" s="54">
        <v>169342</v>
      </c>
      <c r="R29" s="54">
        <v>0</v>
      </c>
      <c r="S29" s="54">
        <v>132519.03</v>
      </c>
      <c r="T29" s="54">
        <v>132519.03</v>
      </c>
      <c r="U29" s="54">
        <v>36822.97</v>
      </c>
      <c r="V29" s="54">
        <v>36822.97</v>
      </c>
      <c r="W29" s="54">
        <v>36822.97</v>
      </c>
    </row>
    <row r="30" spans="1:23" outlineLevel="2" x14ac:dyDescent="0.2">
      <c r="A30" s="21" t="s">
        <v>0</v>
      </c>
      <c r="B30" s="21" t="s">
        <v>31</v>
      </c>
      <c r="C30" s="21" t="s">
        <v>79</v>
      </c>
      <c r="D30" s="21" t="s">
        <v>133</v>
      </c>
      <c r="E30" s="21" t="s">
        <v>134</v>
      </c>
      <c r="F30" s="21" t="s">
        <v>5</v>
      </c>
      <c r="G30" s="21" t="s">
        <v>6</v>
      </c>
      <c r="H30" s="21" t="s">
        <v>35</v>
      </c>
      <c r="I30" s="21" t="s">
        <v>36</v>
      </c>
      <c r="J30" s="21" t="s">
        <v>9</v>
      </c>
      <c r="K30" s="21" t="s">
        <v>37</v>
      </c>
      <c r="L30" s="21" t="s">
        <v>82</v>
      </c>
      <c r="M30" s="21" t="s">
        <v>15</v>
      </c>
      <c r="N30" s="54">
        <v>240336</v>
      </c>
      <c r="O30" s="54">
        <v>-16</v>
      </c>
      <c r="P30" s="54">
        <v>0</v>
      </c>
      <c r="Q30" s="54">
        <v>240320</v>
      </c>
      <c r="R30" s="54">
        <v>0</v>
      </c>
      <c r="S30" s="54">
        <v>200497.87</v>
      </c>
      <c r="T30" s="54">
        <v>200497.87</v>
      </c>
      <c r="U30" s="54">
        <v>39822.129999999997</v>
      </c>
      <c r="V30" s="54">
        <v>39822.129999999997</v>
      </c>
      <c r="W30" s="54">
        <v>39822.129999999997</v>
      </c>
    </row>
    <row r="31" spans="1:23" outlineLevel="2" x14ac:dyDescent="0.2">
      <c r="A31" s="21" t="s">
        <v>0</v>
      </c>
      <c r="B31" s="21" t="s">
        <v>31</v>
      </c>
      <c r="C31" s="21" t="s">
        <v>79</v>
      </c>
      <c r="D31" s="21" t="s">
        <v>80</v>
      </c>
      <c r="E31" s="21" t="s">
        <v>81</v>
      </c>
      <c r="F31" s="21" t="s">
        <v>5</v>
      </c>
      <c r="G31" s="21" t="s">
        <v>6</v>
      </c>
      <c r="H31" s="21" t="s">
        <v>35</v>
      </c>
      <c r="I31" s="21" t="s">
        <v>36</v>
      </c>
      <c r="J31" s="21" t="s">
        <v>9</v>
      </c>
      <c r="K31" s="21" t="s">
        <v>37</v>
      </c>
      <c r="L31" s="21" t="s">
        <v>82</v>
      </c>
      <c r="M31" s="21" t="s">
        <v>15</v>
      </c>
      <c r="N31" s="54">
        <v>211656</v>
      </c>
      <c r="O31" s="54">
        <v>-175</v>
      </c>
      <c r="P31" s="54">
        <v>0</v>
      </c>
      <c r="Q31" s="54">
        <v>211481</v>
      </c>
      <c r="R31" s="54">
        <v>0</v>
      </c>
      <c r="S31" s="54">
        <v>151356.99</v>
      </c>
      <c r="T31" s="54">
        <v>151356.99</v>
      </c>
      <c r="U31" s="54">
        <v>60124.01</v>
      </c>
      <c r="V31" s="54">
        <v>60124.01</v>
      </c>
      <c r="W31" s="54">
        <v>60124.01</v>
      </c>
    </row>
    <row r="32" spans="1:23" outlineLevel="2" x14ac:dyDescent="0.2">
      <c r="A32" s="21" t="s">
        <v>0</v>
      </c>
      <c r="B32" s="21" t="s">
        <v>39</v>
      </c>
      <c r="C32" s="21" t="s">
        <v>95</v>
      </c>
      <c r="D32" s="21" t="s">
        <v>96</v>
      </c>
      <c r="E32" s="21" t="s">
        <v>97</v>
      </c>
      <c r="F32" s="21" t="s">
        <v>5</v>
      </c>
      <c r="G32" s="21" t="s">
        <v>6</v>
      </c>
      <c r="H32" s="21" t="s">
        <v>35</v>
      </c>
      <c r="I32" s="21" t="s">
        <v>36</v>
      </c>
      <c r="J32" s="21" t="s">
        <v>9</v>
      </c>
      <c r="K32" s="21" t="s">
        <v>37</v>
      </c>
      <c r="L32" s="21" t="s">
        <v>98</v>
      </c>
      <c r="M32" s="21" t="s">
        <v>15</v>
      </c>
      <c r="N32" s="54">
        <v>1238064</v>
      </c>
      <c r="O32" s="54">
        <v>-10848</v>
      </c>
      <c r="P32" s="54">
        <v>0</v>
      </c>
      <c r="Q32" s="54">
        <v>1227216</v>
      </c>
      <c r="R32" s="54">
        <v>0</v>
      </c>
      <c r="S32" s="54">
        <v>950470.12</v>
      </c>
      <c r="T32" s="54">
        <v>950470.12</v>
      </c>
      <c r="U32" s="54">
        <v>276745.88</v>
      </c>
      <c r="V32" s="54">
        <v>276745.88</v>
      </c>
      <c r="W32" s="54">
        <v>276745.88</v>
      </c>
    </row>
    <row r="33" spans="1:23" outlineLevel="2" x14ac:dyDescent="0.2">
      <c r="A33" s="21" t="s">
        <v>0</v>
      </c>
      <c r="B33" s="21" t="s">
        <v>39</v>
      </c>
      <c r="C33" s="21" t="s">
        <v>58</v>
      </c>
      <c r="D33" s="21" t="s">
        <v>137</v>
      </c>
      <c r="E33" s="21" t="s">
        <v>138</v>
      </c>
      <c r="F33" s="21" t="s">
        <v>5</v>
      </c>
      <c r="G33" s="21" t="s">
        <v>6</v>
      </c>
      <c r="H33" s="21" t="s">
        <v>35</v>
      </c>
      <c r="I33" s="21" t="s">
        <v>36</v>
      </c>
      <c r="J33" s="21" t="s">
        <v>9</v>
      </c>
      <c r="K33" s="21" t="s">
        <v>37</v>
      </c>
      <c r="L33" s="21" t="s">
        <v>61</v>
      </c>
      <c r="M33" s="21" t="s">
        <v>15</v>
      </c>
      <c r="N33" s="54">
        <v>1051848</v>
      </c>
      <c r="O33" s="54">
        <v>-17587.82</v>
      </c>
      <c r="P33" s="54">
        <v>0</v>
      </c>
      <c r="Q33" s="54">
        <v>1034260.18</v>
      </c>
      <c r="R33" s="54">
        <v>0</v>
      </c>
      <c r="S33" s="54">
        <v>742397.07</v>
      </c>
      <c r="T33" s="54">
        <v>742397.07</v>
      </c>
      <c r="U33" s="54">
        <v>291863.11</v>
      </c>
      <c r="V33" s="54">
        <v>291863.11</v>
      </c>
      <c r="W33" s="54">
        <v>291863.11</v>
      </c>
    </row>
    <row r="34" spans="1:23" outlineLevel="2" x14ac:dyDescent="0.2">
      <c r="A34" s="21" t="s">
        <v>0</v>
      </c>
      <c r="B34" s="21" t="s">
        <v>31</v>
      </c>
      <c r="C34" s="21" t="s">
        <v>79</v>
      </c>
      <c r="D34" s="21" t="s">
        <v>113</v>
      </c>
      <c r="E34" s="21" t="s">
        <v>114</v>
      </c>
      <c r="F34" s="21" t="s">
        <v>5</v>
      </c>
      <c r="G34" s="21" t="s">
        <v>6</v>
      </c>
      <c r="H34" s="21" t="s">
        <v>35</v>
      </c>
      <c r="I34" s="21" t="s">
        <v>36</v>
      </c>
      <c r="J34" s="21" t="s">
        <v>9</v>
      </c>
      <c r="K34" s="21" t="s">
        <v>37</v>
      </c>
      <c r="L34" s="21" t="s">
        <v>82</v>
      </c>
      <c r="M34" s="21" t="s">
        <v>15</v>
      </c>
      <c r="N34" s="54">
        <v>120984</v>
      </c>
      <c r="O34" s="54">
        <v>-2451</v>
      </c>
      <c r="P34" s="54">
        <v>0</v>
      </c>
      <c r="Q34" s="54">
        <v>118533</v>
      </c>
      <c r="R34" s="54">
        <v>0</v>
      </c>
      <c r="S34" s="54">
        <v>86674</v>
      </c>
      <c r="T34" s="54">
        <v>86674</v>
      </c>
      <c r="U34" s="54">
        <v>31859</v>
      </c>
      <c r="V34" s="54">
        <v>31859</v>
      </c>
      <c r="W34" s="54">
        <v>31859</v>
      </c>
    </row>
    <row r="35" spans="1:23" outlineLevel="2" x14ac:dyDescent="0.2">
      <c r="A35" s="21" t="s">
        <v>0</v>
      </c>
      <c r="B35" s="21" t="s">
        <v>39</v>
      </c>
      <c r="C35" s="21" t="s">
        <v>70</v>
      </c>
      <c r="D35" s="21" t="s">
        <v>89</v>
      </c>
      <c r="E35" s="21" t="s">
        <v>90</v>
      </c>
      <c r="F35" s="21" t="s">
        <v>5</v>
      </c>
      <c r="G35" s="21" t="s">
        <v>6</v>
      </c>
      <c r="H35" s="21" t="s">
        <v>35</v>
      </c>
      <c r="I35" s="21" t="s">
        <v>36</v>
      </c>
      <c r="J35" s="21" t="s">
        <v>9</v>
      </c>
      <c r="K35" s="21" t="s">
        <v>37</v>
      </c>
      <c r="L35" s="21" t="s">
        <v>73</v>
      </c>
      <c r="M35" s="21" t="s">
        <v>15</v>
      </c>
      <c r="N35" s="54">
        <v>13706160</v>
      </c>
      <c r="O35" s="54">
        <v>-375</v>
      </c>
      <c r="P35" s="54">
        <v>0</v>
      </c>
      <c r="Q35" s="54">
        <v>13705785</v>
      </c>
      <c r="R35" s="54">
        <v>0</v>
      </c>
      <c r="S35" s="54">
        <v>10923256.130000001</v>
      </c>
      <c r="T35" s="54">
        <v>10923256.130000001</v>
      </c>
      <c r="U35" s="54">
        <v>2782528.87</v>
      </c>
      <c r="V35" s="54">
        <v>2782528.87</v>
      </c>
      <c r="W35" s="54">
        <v>2782528.87</v>
      </c>
    </row>
    <row r="36" spans="1:23" outlineLevel="2" x14ac:dyDescent="0.2">
      <c r="A36" s="21" t="s">
        <v>0</v>
      </c>
      <c r="B36" s="21" t="s">
        <v>1</v>
      </c>
      <c r="C36" s="21" t="s">
        <v>91</v>
      </c>
      <c r="D36" s="21" t="s">
        <v>92</v>
      </c>
      <c r="E36" s="21" t="s">
        <v>93</v>
      </c>
      <c r="F36" s="21" t="s">
        <v>5</v>
      </c>
      <c r="G36" s="21" t="s">
        <v>6</v>
      </c>
      <c r="H36" s="21" t="s">
        <v>35</v>
      </c>
      <c r="I36" s="21" t="s">
        <v>36</v>
      </c>
      <c r="J36" s="21" t="s">
        <v>9</v>
      </c>
      <c r="K36" s="21" t="s">
        <v>37</v>
      </c>
      <c r="L36" s="21" t="s">
        <v>94</v>
      </c>
      <c r="M36" s="21" t="s">
        <v>15</v>
      </c>
      <c r="N36" s="54">
        <v>2368584</v>
      </c>
      <c r="O36" s="54">
        <v>-140822.99</v>
      </c>
      <c r="P36" s="54">
        <v>0</v>
      </c>
      <c r="Q36" s="54">
        <v>2227761.0099999998</v>
      </c>
      <c r="R36" s="54">
        <v>0</v>
      </c>
      <c r="S36" s="54">
        <v>1777260.9</v>
      </c>
      <c r="T36" s="54">
        <v>1777260.9</v>
      </c>
      <c r="U36" s="54">
        <v>450500.11</v>
      </c>
      <c r="V36" s="54">
        <v>450500.11</v>
      </c>
      <c r="W36" s="54">
        <v>450500.11</v>
      </c>
    </row>
    <row r="37" spans="1:23" outlineLevel="2" x14ac:dyDescent="0.2">
      <c r="A37" s="21" t="s">
        <v>0</v>
      </c>
      <c r="B37" s="21" t="s">
        <v>31</v>
      </c>
      <c r="C37" s="21" t="s">
        <v>107</v>
      </c>
      <c r="D37" s="21" t="s">
        <v>108</v>
      </c>
      <c r="E37" s="21" t="s">
        <v>109</v>
      </c>
      <c r="F37" s="21" t="s">
        <v>5</v>
      </c>
      <c r="G37" s="21" t="s">
        <v>6</v>
      </c>
      <c r="H37" s="21" t="s">
        <v>35</v>
      </c>
      <c r="I37" s="21" t="s">
        <v>36</v>
      </c>
      <c r="J37" s="21" t="s">
        <v>9</v>
      </c>
      <c r="K37" s="21" t="s">
        <v>37</v>
      </c>
      <c r="L37" s="21" t="s">
        <v>110</v>
      </c>
      <c r="M37" s="21" t="s">
        <v>15</v>
      </c>
      <c r="N37" s="54">
        <v>2492376</v>
      </c>
      <c r="O37" s="54">
        <v>-13747.43</v>
      </c>
      <c r="P37" s="54">
        <v>0</v>
      </c>
      <c r="Q37" s="54">
        <v>2478628.5699999998</v>
      </c>
      <c r="R37" s="54">
        <v>0</v>
      </c>
      <c r="S37" s="54">
        <v>1876840.91</v>
      </c>
      <c r="T37" s="54">
        <v>1876840.91</v>
      </c>
      <c r="U37" s="54">
        <v>601787.66</v>
      </c>
      <c r="V37" s="54">
        <v>601787.66</v>
      </c>
      <c r="W37" s="54">
        <v>601787.66</v>
      </c>
    </row>
    <row r="38" spans="1:23" outlineLevel="2" x14ac:dyDescent="0.2">
      <c r="A38" s="21" t="s">
        <v>0</v>
      </c>
      <c r="B38" s="21" t="s">
        <v>53</v>
      </c>
      <c r="C38" s="21" t="s">
        <v>85</v>
      </c>
      <c r="D38" s="21" t="s">
        <v>86</v>
      </c>
      <c r="E38" s="21" t="s">
        <v>87</v>
      </c>
      <c r="F38" s="21" t="s">
        <v>5</v>
      </c>
      <c r="G38" s="21" t="s">
        <v>6</v>
      </c>
      <c r="H38" s="21" t="s">
        <v>35</v>
      </c>
      <c r="I38" s="21" t="s">
        <v>36</v>
      </c>
      <c r="J38" s="21" t="s">
        <v>9</v>
      </c>
      <c r="K38" s="21" t="s">
        <v>37</v>
      </c>
      <c r="L38" s="21" t="s">
        <v>88</v>
      </c>
      <c r="M38" s="21" t="s">
        <v>15</v>
      </c>
      <c r="N38" s="54">
        <v>413436</v>
      </c>
      <c r="O38" s="54">
        <v>-30675</v>
      </c>
      <c r="P38" s="54">
        <v>0</v>
      </c>
      <c r="Q38" s="54">
        <v>382761</v>
      </c>
      <c r="R38" s="54">
        <v>0</v>
      </c>
      <c r="S38" s="54">
        <v>296988.33</v>
      </c>
      <c r="T38" s="54">
        <v>296988.33</v>
      </c>
      <c r="U38" s="54">
        <v>85772.67</v>
      </c>
      <c r="V38" s="54">
        <v>85772.67</v>
      </c>
      <c r="W38" s="54">
        <v>85772.67</v>
      </c>
    </row>
    <row r="39" spans="1:23" outlineLevel="2" x14ac:dyDescent="0.2">
      <c r="A39" s="21" t="s">
        <v>0</v>
      </c>
      <c r="B39" s="21" t="s">
        <v>39</v>
      </c>
      <c r="C39" s="21" t="s">
        <v>58</v>
      </c>
      <c r="D39" s="21" t="s">
        <v>105</v>
      </c>
      <c r="E39" s="21" t="s">
        <v>106</v>
      </c>
      <c r="F39" s="21" t="s">
        <v>5</v>
      </c>
      <c r="G39" s="21" t="s">
        <v>6</v>
      </c>
      <c r="H39" s="21" t="s">
        <v>35</v>
      </c>
      <c r="I39" s="21" t="s">
        <v>36</v>
      </c>
      <c r="J39" s="21" t="s">
        <v>9</v>
      </c>
      <c r="K39" s="21" t="s">
        <v>37</v>
      </c>
      <c r="L39" s="21" t="s">
        <v>61</v>
      </c>
      <c r="M39" s="21" t="s">
        <v>15</v>
      </c>
      <c r="N39" s="54">
        <v>485220</v>
      </c>
      <c r="O39" s="54">
        <v>-14939.24</v>
      </c>
      <c r="P39" s="54">
        <v>0</v>
      </c>
      <c r="Q39" s="54">
        <v>470280.76</v>
      </c>
      <c r="R39" s="54">
        <v>0</v>
      </c>
      <c r="S39" s="54">
        <v>326639.12</v>
      </c>
      <c r="T39" s="54">
        <v>326639.12</v>
      </c>
      <c r="U39" s="54">
        <v>143641.64000000001</v>
      </c>
      <c r="V39" s="54">
        <v>143641.64000000001</v>
      </c>
      <c r="W39" s="54">
        <v>143641.64000000001</v>
      </c>
    </row>
    <row r="40" spans="1:23" outlineLevel="2" x14ac:dyDescent="0.2">
      <c r="A40" s="21" t="s">
        <v>0</v>
      </c>
      <c r="B40" s="21" t="s">
        <v>53</v>
      </c>
      <c r="C40" s="21" t="s">
        <v>54</v>
      </c>
      <c r="D40" s="21" t="s">
        <v>55</v>
      </c>
      <c r="E40" s="21" t="s">
        <v>56</v>
      </c>
      <c r="F40" s="21" t="s">
        <v>5</v>
      </c>
      <c r="G40" s="21" t="s">
        <v>6</v>
      </c>
      <c r="H40" s="21" t="s">
        <v>35</v>
      </c>
      <c r="I40" s="21" t="s">
        <v>36</v>
      </c>
      <c r="J40" s="21" t="s">
        <v>9</v>
      </c>
      <c r="K40" s="21" t="s">
        <v>37</v>
      </c>
      <c r="L40" s="21" t="s">
        <v>57</v>
      </c>
      <c r="M40" s="21" t="s">
        <v>15</v>
      </c>
      <c r="N40" s="54">
        <v>1290288</v>
      </c>
      <c r="O40" s="54">
        <v>-140355.54</v>
      </c>
      <c r="P40" s="54">
        <v>0</v>
      </c>
      <c r="Q40" s="54">
        <v>1149932.46</v>
      </c>
      <c r="R40" s="54">
        <v>0</v>
      </c>
      <c r="S40" s="54">
        <v>945122.46</v>
      </c>
      <c r="T40" s="54">
        <v>945122.46</v>
      </c>
      <c r="U40" s="54">
        <v>204810</v>
      </c>
      <c r="V40" s="54">
        <v>204810</v>
      </c>
      <c r="W40" s="54">
        <v>204810</v>
      </c>
    </row>
    <row r="41" spans="1:23" outlineLevel="2" x14ac:dyDescent="0.2">
      <c r="A41" s="21" t="s">
        <v>0</v>
      </c>
      <c r="B41" s="21" t="s">
        <v>39</v>
      </c>
      <c r="C41" s="21" t="s">
        <v>58</v>
      </c>
      <c r="D41" s="21" t="s">
        <v>119</v>
      </c>
      <c r="E41" s="21" t="s">
        <v>120</v>
      </c>
      <c r="F41" s="21" t="s">
        <v>5</v>
      </c>
      <c r="G41" s="21" t="s">
        <v>6</v>
      </c>
      <c r="H41" s="21" t="s">
        <v>35</v>
      </c>
      <c r="I41" s="21" t="s">
        <v>36</v>
      </c>
      <c r="J41" s="21" t="s">
        <v>9</v>
      </c>
      <c r="K41" s="21" t="s">
        <v>37</v>
      </c>
      <c r="L41" s="21" t="s">
        <v>61</v>
      </c>
      <c r="M41" s="21" t="s">
        <v>15</v>
      </c>
      <c r="N41" s="54">
        <v>438156</v>
      </c>
      <c r="O41" s="54">
        <v>-5716.13</v>
      </c>
      <c r="P41" s="54">
        <v>0</v>
      </c>
      <c r="Q41" s="54">
        <v>432439.87</v>
      </c>
      <c r="R41" s="54">
        <v>0</v>
      </c>
      <c r="S41" s="54">
        <v>349344.2</v>
      </c>
      <c r="T41" s="54">
        <v>349344.2</v>
      </c>
      <c r="U41" s="54">
        <v>83095.67</v>
      </c>
      <c r="V41" s="54">
        <v>83095.67</v>
      </c>
      <c r="W41" s="54">
        <v>83095.67</v>
      </c>
    </row>
    <row r="42" spans="1:23" outlineLevel="2" x14ac:dyDescent="0.2">
      <c r="A42" s="21" t="s">
        <v>0</v>
      </c>
      <c r="B42" s="21" t="s">
        <v>39</v>
      </c>
      <c r="C42" s="21" t="s">
        <v>58</v>
      </c>
      <c r="D42" s="21" t="s">
        <v>129</v>
      </c>
      <c r="E42" s="21" t="s">
        <v>130</v>
      </c>
      <c r="F42" s="21" t="s">
        <v>5</v>
      </c>
      <c r="G42" s="21" t="s">
        <v>6</v>
      </c>
      <c r="H42" s="21" t="s">
        <v>35</v>
      </c>
      <c r="I42" s="21" t="s">
        <v>36</v>
      </c>
      <c r="J42" s="21" t="s">
        <v>9</v>
      </c>
      <c r="K42" s="21" t="s">
        <v>37</v>
      </c>
      <c r="L42" s="21" t="s">
        <v>61</v>
      </c>
      <c r="M42" s="21" t="s">
        <v>15</v>
      </c>
      <c r="N42" s="54">
        <v>487680</v>
      </c>
      <c r="O42" s="54">
        <v>3879</v>
      </c>
      <c r="P42" s="54">
        <v>0</v>
      </c>
      <c r="Q42" s="54">
        <v>491559</v>
      </c>
      <c r="R42" s="54">
        <v>0</v>
      </c>
      <c r="S42" s="54">
        <v>339736.33</v>
      </c>
      <c r="T42" s="54">
        <v>339736.33</v>
      </c>
      <c r="U42" s="54">
        <v>151822.67000000001</v>
      </c>
      <c r="V42" s="54">
        <v>151822.67000000001</v>
      </c>
      <c r="W42" s="54">
        <v>151822.67000000001</v>
      </c>
    </row>
    <row r="43" spans="1:23" outlineLevel="2" x14ac:dyDescent="0.2">
      <c r="A43" s="21" t="s">
        <v>0</v>
      </c>
      <c r="B43" s="21" t="s">
        <v>31</v>
      </c>
      <c r="C43" s="21" t="s">
        <v>79</v>
      </c>
      <c r="D43" s="21" t="s">
        <v>125</v>
      </c>
      <c r="E43" s="21" t="s">
        <v>126</v>
      </c>
      <c r="F43" s="21" t="s">
        <v>5</v>
      </c>
      <c r="G43" s="21" t="s">
        <v>6</v>
      </c>
      <c r="H43" s="21" t="s">
        <v>35</v>
      </c>
      <c r="I43" s="21" t="s">
        <v>36</v>
      </c>
      <c r="J43" s="21" t="s">
        <v>9</v>
      </c>
      <c r="K43" s="21" t="s">
        <v>37</v>
      </c>
      <c r="L43" s="21" t="s">
        <v>82</v>
      </c>
      <c r="M43" s="21" t="s">
        <v>15</v>
      </c>
      <c r="N43" s="54">
        <v>75084</v>
      </c>
      <c r="O43" s="54">
        <v>-2734.4</v>
      </c>
      <c r="P43" s="54">
        <v>0</v>
      </c>
      <c r="Q43" s="54">
        <v>72349.600000000006</v>
      </c>
      <c r="R43" s="54">
        <v>0</v>
      </c>
      <c r="S43" s="54">
        <v>62570</v>
      </c>
      <c r="T43" s="54">
        <v>62570</v>
      </c>
      <c r="U43" s="54">
        <v>9779.6</v>
      </c>
      <c r="V43" s="54">
        <v>9779.6</v>
      </c>
      <c r="W43" s="54">
        <v>9779.6</v>
      </c>
    </row>
    <row r="44" spans="1:23" outlineLevel="2" x14ac:dyDescent="0.2">
      <c r="A44" s="21" t="s">
        <v>0</v>
      </c>
      <c r="B44" s="21" t="s">
        <v>39</v>
      </c>
      <c r="C44" s="21" t="s">
        <v>66</v>
      </c>
      <c r="D44" s="21" t="s">
        <v>67</v>
      </c>
      <c r="E44" s="21" t="s">
        <v>68</v>
      </c>
      <c r="F44" s="21" t="s">
        <v>5</v>
      </c>
      <c r="G44" s="21" t="s">
        <v>6</v>
      </c>
      <c r="H44" s="21" t="s">
        <v>35</v>
      </c>
      <c r="I44" s="21" t="s">
        <v>36</v>
      </c>
      <c r="J44" s="21" t="s">
        <v>9</v>
      </c>
      <c r="K44" s="21" t="s">
        <v>37</v>
      </c>
      <c r="L44" s="21" t="s">
        <v>69</v>
      </c>
      <c r="M44" s="21" t="s">
        <v>15</v>
      </c>
      <c r="N44" s="54">
        <v>2051604</v>
      </c>
      <c r="O44" s="54">
        <v>9500</v>
      </c>
      <c r="P44" s="54">
        <v>0</v>
      </c>
      <c r="Q44" s="54">
        <v>2061104</v>
      </c>
      <c r="R44" s="54">
        <v>0</v>
      </c>
      <c r="S44" s="54">
        <v>1614654</v>
      </c>
      <c r="T44" s="54">
        <v>1614654</v>
      </c>
      <c r="U44" s="54">
        <v>446450</v>
      </c>
      <c r="V44" s="54">
        <v>446450</v>
      </c>
      <c r="W44" s="54">
        <v>446450</v>
      </c>
    </row>
    <row r="45" spans="1:23" outlineLevel="2" x14ac:dyDescent="0.2">
      <c r="A45" s="21" t="s">
        <v>0</v>
      </c>
      <c r="B45" s="21" t="s">
        <v>39</v>
      </c>
      <c r="C45" s="21" t="s">
        <v>58</v>
      </c>
      <c r="D45" s="21" t="s">
        <v>135</v>
      </c>
      <c r="E45" s="21" t="s">
        <v>136</v>
      </c>
      <c r="F45" s="21" t="s">
        <v>5</v>
      </c>
      <c r="G45" s="21" t="s">
        <v>6</v>
      </c>
      <c r="H45" s="21" t="s">
        <v>35</v>
      </c>
      <c r="I45" s="21" t="s">
        <v>36</v>
      </c>
      <c r="J45" s="21" t="s">
        <v>9</v>
      </c>
      <c r="K45" s="21" t="s">
        <v>37</v>
      </c>
      <c r="L45" s="21" t="s">
        <v>61</v>
      </c>
      <c r="M45" s="21" t="s">
        <v>15</v>
      </c>
      <c r="N45" s="54">
        <v>1253772</v>
      </c>
      <c r="O45" s="54">
        <v>12305</v>
      </c>
      <c r="P45" s="54">
        <v>0</v>
      </c>
      <c r="Q45" s="54">
        <v>1266077</v>
      </c>
      <c r="R45" s="54">
        <v>0</v>
      </c>
      <c r="S45" s="54">
        <v>903533.5</v>
      </c>
      <c r="T45" s="54">
        <v>903533.49</v>
      </c>
      <c r="U45" s="54">
        <v>362543.5</v>
      </c>
      <c r="V45" s="54">
        <v>362543.51</v>
      </c>
      <c r="W45" s="54">
        <v>362543.5</v>
      </c>
    </row>
    <row r="46" spans="1:23" outlineLevel="2" x14ac:dyDescent="0.2">
      <c r="A46" s="21" t="s">
        <v>0</v>
      </c>
      <c r="B46" s="21" t="s">
        <v>39</v>
      </c>
      <c r="C46" s="21" t="s">
        <v>58</v>
      </c>
      <c r="D46" s="21" t="s">
        <v>147</v>
      </c>
      <c r="E46" s="21" t="s">
        <v>148</v>
      </c>
      <c r="F46" s="21" t="s">
        <v>5</v>
      </c>
      <c r="G46" s="21" t="s">
        <v>6</v>
      </c>
      <c r="H46" s="21" t="s">
        <v>35</v>
      </c>
      <c r="I46" s="21" t="s">
        <v>36</v>
      </c>
      <c r="J46" s="21" t="s">
        <v>9</v>
      </c>
      <c r="K46" s="21" t="s">
        <v>37</v>
      </c>
      <c r="L46" s="21" t="s">
        <v>61</v>
      </c>
      <c r="M46" s="21" t="s">
        <v>15</v>
      </c>
      <c r="N46" s="54">
        <v>1192392</v>
      </c>
      <c r="O46" s="54">
        <v>-7203</v>
      </c>
      <c r="P46" s="54">
        <v>0</v>
      </c>
      <c r="Q46" s="54">
        <v>1185189</v>
      </c>
      <c r="R46" s="54">
        <v>0</v>
      </c>
      <c r="S46" s="54">
        <v>946047.78</v>
      </c>
      <c r="T46" s="54">
        <v>946047.78</v>
      </c>
      <c r="U46" s="54">
        <v>239141.22</v>
      </c>
      <c r="V46" s="54">
        <v>239141.22</v>
      </c>
      <c r="W46" s="54">
        <v>239141.22</v>
      </c>
    </row>
    <row r="47" spans="1:23" outlineLevel="2" x14ac:dyDescent="0.2">
      <c r="A47" s="21" t="s">
        <v>0</v>
      </c>
      <c r="B47" s="21" t="s">
        <v>39</v>
      </c>
      <c r="C47" s="21" t="s">
        <v>58</v>
      </c>
      <c r="D47" s="21" t="s">
        <v>145</v>
      </c>
      <c r="E47" s="21" t="s">
        <v>146</v>
      </c>
      <c r="F47" s="21" t="s">
        <v>5</v>
      </c>
      <c r="G47" s="21" t="s">
        <v>6</v>
      </c>
      <c r="H47" s="21" t="s">
        <v>35</v>
      </c>
      <c r="I47" s="21" t="s">
        <v>36</v>
      </c>
      <c r="J47" s="21" t="s">
        <v>9</v>
      </c>
      <c r="K47" s="21" t="s">
        <v>37</v>
      </c>
      <c r="L47" s="21" t="s">
        <v>61</v>
      </c>
      <c r="M47" s="21" t="s">
        <v>15</v>
      </c>
      <c r="N47" s="54">
        <v>1014468</v>
      </c>
      <c r="O47" s="54">
        <v>5074.67</v>
      </c>
      <c r="P47" s="54">
        <v>0</v>
      </c>
      <c r="Q47" s="54">
        <v>1019542.67</v>
      </c>
      <c r="R47" s="54">
        <v>0</v>
      </c>
      <c r="S47" s="54">
        <v>775753.56</v>
      </c>
      <c r="T47" s="54">
        <v>775753.56</v>
      </c>
      <c r="U47" s="54">
        <v>243789.11</v>
      </c>
      <c r="V47" s="54">
        <v>243789.11</v>
      </c>
      <c r="W47" s="54">
        <v>243789.11</v>
      </c>
    </row>
    <row r="48" spans="1:23" outlineLevel="2" x14ac:dyDescent="0.2">
      <c r="A48" s="21" t="s">
        <v>0</v>
      </c>
      <c r="B48" s="21" t="s">
        <v>39</v>
      </c>
      <c r="C48" s="21" t="s">
        <v>58</v>
      </c>
      <c r="D48" s="21" t="s">
        <v>149</v>
      </c>
      <c r="E48" s="21" t="s">
        <v>150</v>
      </c>
      <c r="F48" s="21" t="s">
        <v>5</v>
      </c>
      <c r="G48" s="21" t="s">
        <v>6</v>
      </c>
      <c r="H48" s="21" t="s">
        <v>35</v>
      </c>
      <c r="I48" s="21" t="s">
        <v>36</v>
      </c>
      <c r="J48" s="21" t="s">
        <v>9</v>
      </c>
      <c r="K48" s="21" t="s">
        <v>37</v>
      </c>
      <c r="L48" s="21" t="s">
        <v>61</v>
      </c>
      <c r="M48" s="21" t="s">
        <v>15</v>
      </c>
      <c r="N48" s="54">
        <v>1537008</v>
      </c>
      <c r="O48" s="54">
        <v>-35122.17</v>
      </c>
      <c r="P48" s="54">
        <v>0</v>
      </c>
      <c r="Q48" s="54">
        <v>1501885.83</v>
      </c>
      <c r="R48" s="54">
        <v>0</v>
      </c>
      <c r="S48" s="54">
        <v>1080195.6200000001</v>
      </c>
      <c r="T48" s="54">
        <v>1080195.6200000001</v>
      </c>
      <c r="U48" s="54">
        <v>421690.21</v>
      </c>
      <c r="V48" s="54">
        <v>421690.21</v>
      </c>
      <c r="W48" s="54">
        <v>421690.21</v>
      </c>
    </row>
    <row r="49" spans="1:23" outlineLevel="2" x14ac:dyDescent="0.2">
      <c r="A49" s="21" t="s">
        <v>0</v>
      </c>
      <c r="B49" s="21" t="s">
        <v>39</v>
      </c>
      <c r="C49" s="21" t="s">
        <v>58</v>
      </c>
      <c r="D49" s="21" t="s">
        <v>139</v>
      </c>
      <c r="E49" s="21" t="s">
        <v>140</v>
      </c>
      <c r="F49" s="21" t="s">
        <v>5</v>
      </c>
      <c r="G49" s="21" t="s">
        <v>6</v>
      </c>
      <c r="H49" s="21" t="s">
        <v>35</v>
      </c>
      <c r="I49" s="21" t="s">
        <v>36</v>
      </c>
      <c r="J49" s="21" t="s">
        <v>9</v>
      </c>
      <c r="K49" s="21" t="s">
        <v>37</v>
      </c>
      <c r="L49" s="21" t="s">
        <v>61</v>
      </c>
      <c r="M49" s="21" t="s">
        <v>15</v>
      </c>
      <c r="N49" s="54">
        <v>1345260</v>
      </c>
      <c r="O49" s="54">
        <v>-11505</v>
      </c>
      <c r="P49" s="54">
        <v>0</v>
      </c>
      <c r="Q49" s="54">
        <v>1333755</v>
      </c>
      <c r="R49" s="54">
        <v>0</v>
      </c>
      <c r="S49" s="54">
        <v>1029890.82</v>
      </c>
      <c r="T49" s="54">
        <v>1029890.82</v>
      </c>
      <c r="U49" s="54">
        <v>303864.18</v>
      </c>
      <c r="V49" s="54">
        <v>303864.18</v>
      </c>
      <c r="W49" s="54">
        <v>303864.18</v>
      </c>
    </row>
    <row r="50" spans="1:23" outlineLevel="2" x14ac:dyDescent="0.2">
      <c r="A50" s="21" t="s">
        <v>0</v>
      </c>
      <c r="B50" s="21" t="s">
        <v>31</v>
      </c>
      <c r="C50" s="21" t="s">
        <v>79</v>
      </c>
      <c r="D50" s="21" t="s">
        <v>115</v>
      </c>
      <c r="E50" s="21" t="s">
        <v>116</v>
      </c>
      <c r="F50" s="21" t="s">
        <v>5</v>
      </c>
      <c r="G50" s="21" t="s">
        <v>6</v>
      </c>
      <c r="H50" s="21" t="s">
        <v>35</v>
      </c>
      <c r="I50" s="21" t="s">
        <v>36</v>
      </c>
      <c r="J50" s="21" t="s">
        <v>9</v>
      </c>
      <c r="K50" s="21" t="s">
        <v>37</v>
      </c>
      <c r="L50" s="21" t="s">
        <v>82</v>
      </c>
      <c r="M50" s="21" t="s">
        <v>15</v>
      </c>
      <c r="N50" s="54">
        <v>118740</v>
      </c>
      <c r="O50" s="54">
        <v>-8617.3799999999992</v>
      </c>
      <c r="P50" s="54">
        <v>0</v>
      </c>
      <c r="Q50" s="54">
        <v>110122.62</v>
      </c>
      <c r="R50" s="54">
        <v>0</v>
      </c>
      <c r="S50" s="54">
        <v>91260</v>
      </c>
      <c r="T50" s="54">
        <v>91260</v>
      </c>
      <c r="U50" s="54">
        <v>18862.62</v>
      </c>
      <c r="V50" s="54">
        <v>18862.62</v>
      </c>
      <c r="W50" s="54">
        <v>18862.62</v>
      </c>
    </row>
    <row r="51" spans="1:23" outlineLevel="2" x14ac:dyDescent="0.2">
      <c r="A51" s="21" t="s">
        <v>0</v>
      </c>
      <c r="B51" s="21" t="s">
        <v>39</v>
      </c>
      <c r="C51" s="21" t="s">
        <v>58</v>
      </c>
      <c r="D51" s="21" t="s">
        <v>143</v>
      </c>
      <c r="E51" s="21" t="s">
        <v>144</v>
      </c>
      <c r="F51" s="21" t="s">
        <v>5</v>
      </c>
      <c r="G51" s="21" t="s">
        <v>6</v>
      </c>
      <c r="H51" s="21" t="s">
        <v>35</v>
      </c>
      <c r="I51" s="21" t="s">
        <v>36</v>
      </c>
      <c r="J51" s="21" t="s">
        <v>9</v>
      </c>
      <c r="K51" s="21" t="s">
        <v>37</v>
      </c>
      <c r="L51" s="21" t="s">
        <v>61</v>
      </c>
      <c r="M51" s="21" t="s">
        <v>15</v>
      </c>
      <c r="N51" s="54">
        <v>1394112</v>
      </c>
      <c r="O51" s="54">
        <v>-22736.2</v>
      </c>
      <c r="P51" s="54">
        <v>0</v>
      </c>
      <c r="Q51" s="54">
        <v>1371375.8</v>
      </c>
      <c r="R51" s="54">
        <v>0</v>
      </c>
      <c r="S51" s="54">
        <v>1061085.1000000001</v>
      </c>
      <c r="T51" s="54">
        <v>1061085.1000000001</v>
      </c>
      <c r="U51" s="54">
        <v>310290.7</v>
      </c>
      <c r="V51" s="54">
        <v>310290.7</v>
      </c>
      <c r="W51" s="54">
        <v>310290.7</v>
      </c>
    </row>
    <row r="52" spans="1:23" outlineLevel="2" x14ac:dyDescent="0.2">
      <c r="A52" s="21" t="s">
        <v>0</v>
      </c>
      <c r="B52" s="21" t="s">
        <v>39</v>
      </c>
      <c r="C52" s="21" t="s">
        <v>58</v>
      </c>
      <c r="D52" s="21" t="s">
        <v>59</v>
      </c>
      <c r="E52" s="21" t="s">
        <v>60</v>
      </c>
      <c r="F52" s="21" t="s">
        <v>5</v>
      </c>
      <c r="G52" s="21" t="s">
        <v>6</v>
      </c>
      <c r="H52" s="21" t="s">
        <v>35</v>
      </c>
      <c r="I52" s="21" t="s">
        <v>36</v>
      </c>
      <c r="J52" s="21" t="s">
        <v>9</v>
      </c>
      <c r="K52" s="21" t="s">
        <v>37</v>
      </c>
      <c r="L52" s="21" t="s">
        <v>61</v>
      </c>
      <c r="M52" s="21" t="s">
        <v>15</v>
      </c>
      <c r="N52" s="54">
        <v>838284</v>
      </c>
      <c r="O52" s="54">
        <v>-13902.74</v>
      </c>
      <c r="P52" s="54">
        <v>0</v>
      </c>
      <c r="Q52" s="54">
        <v>824381.26</v>
      </c>
      <c r="R52" s="54">
        <v>0</v>
      </c>
      <c r="S52" s="54">
        <v>618849.76</v>
      </c>
      <c r="T52" s="54">
        <v>618249.76</v>
      </c>
      <c r="U52" s="54">
        <v>205531.5</v>
      </c>
      <c r="V52" s="54">
        <v>206131.5</v>
      </c>
      <c r="W52" s="54">
        <v>205531.5</v>
      </c>
    </row>
    <row r="53" spans="1:23" outlineLevel="2" x14ac:dyDescent="0.2">
      <c r="A53" s="21" t="s">
        <v>0</v>
      </c>
      <c r="B53" s="21" t="s">
        <v>1</v>
      </c>
      <c r="C53" s="21" t="s">
        <v>2</v>
      </c>
      <c r="D53" s="21" t="s">
        <v>20</v>
      </c>
      <c r="E53" s="21" t="s">
        <v>21</v>
      </c>
      <c r="F53" s="21" t="s">
        <v>5</v>
      </c>
      <c r="G53" s="21" t="s">
        <v>6</v>
      </c>
      <c r="H53" s="21" t="s">
        <v>35</v>
      </c>
      <c r="I53" s="21" t="s">
        <v>36</v>
      </c>
      <c r="J53" s="21" t="s">
        <v>9</v>
      </c>
      <c r="K53" s="21" t="s">
        <v>37</v>
      </c>
      <c r="L53" s="21" t="s">
        <v>74</v>
      </c>
      <c r="M53" s="21" t="s">
        <v>15</v>
      </c>
      <c r="N53" s="54">
        <v>8669544</v>
      </c>
      <c r="O53" s="54">
        <v>-58849.73</v>
      </c>
      <c r="P53" s="54">
        <v>0</v>
      </c>
      <c r="Q53" s="54">
        <v>8610694.2699999996</v>
      </c>
      <c r="R53" s="54">
        <v>0</v>
      </c>
      <c r="S53" s="54">
        <v>6217170.0899999999</v>
      </c>
      <c r="T53" s="54">
        <v>6217170.0899999999</v>
      </c>
      <c r="U53" s="54">
        <v>2393524.1800000002</v>
      </c>
      <c r="V53" s="54">
        <v>2393524.1800000002</v>
      </c>
      <c r="W53" s="54">
        <v>2393524.1800000002</v>
      </c>
    </row>
    <row r="54" spans="1:23" outlineLevel="2" x14ac:dyDescent="0.2">
      <c r="A54" s="21" t="s">
        <v>0</v>
      </c>
      <c r="B54" s="21" t="s">
        <v>1</v>
      </c>
      <c r="C54" s="21" t="s">
        <v>16</v>
      </c>
      <c r="D54" s="21" t="s">
        <v>64</v>
      </c>
      <c r="E54" s="21" t="s">
        <v>65</v>
      </c>
      <c r="F54" s="21" t="s">
        <v>5</v>
      </c>
      <c r="G54" s="21" t="s">
        <v>6</v>
      </c>
      <c r="H54" s="21" t="s">
        <v>35</v>
      </c>
      <c r="I54" s="21" t="s">
        <v>36</v>
      </c>
      <c r="J54" s="21" t="s">
        <v>9</v>
      </c>
      <c r="K54" s="21" t="s">
        <v>37</v>
      </c>
      <c r="L54" s="21" t="s">
        <v>48</v>
      </c>
      <c r="M54" s="21" t="s">
        <v>15</v>
      </c>
      <c r="N54" s="54">
        <v>381984</v>
      </c>
      <c r="O54" s="54">
        <v>-4505</v>
      </c>
      <c r="P54" s="54">
        <v>0</v>
      </c>
      <c r="Q54" s="54">
        <v>377479</v>
      </c>
      <c r="R54" s="54">
        <v>0</v>
      </c>
      <c r="S54" s="54">
        <v>175202</v>
      </c>
      <c r="T54" s="54">
        <v>175202</v>
      </c>
      <c r="U54" s="54">
        <v>202277</v>
      </c>
      <c r="V54" s="54">
        <v>202277</v>
      </c>
      <c r="W54" s="54">
        <v>202277</v>
      </c>
    </row>
    <row r="55" spans="1:23" outlineLevel="2" x14ac:dyDescent="0.2">
      <c r="A55" s="21" t="s">
        <v>0</v>
      </c>
      <c r="B55" s="21" t="s">
        <v>1</v>
      </c>
      <c r="C55" s="21" t="s">
        <v>16</v>
      </c>
      <c r="D55" s="21" t="s">
        <v>62</v>
      </c>
      <c r="E55" s="21" t="s">
        <v>63</v>
      </c>
      <c r="F55" s="21" t="s">
        <v>5</v>
      </c>
      <c r="G55" s="21" t="s">
        <v>6</v>
      </c>
      <c r="H55" s="21" t="s">
        <v>35</v>
      </c>
      <c r="I55" s="21" t="s">
        <v>36</v>
      </c>
      <c r="J55" s="21" t="s">
        <v>9</v>
      </c>
      <c r="K55" s="21" t="s">
        <v>37</v>
      </c>
      <c r="L55" s="21" t="s">
        <v>48</v>
      </c>
      <c r="M55" s="21" t="s">
        <v>15</v>
      </c>
      <c r="N55" s="54">
        <v>90924</v>
      </c>
      <c r="O55" s="54">
        <v>-428.8</v>
      </c>
      <c r="P55" s="54">
        <v>0</v>
      </c>
      <c r="Q55" s="54">
        <v>90495.2</v>
      </c>
      <c r="R55" s="54">
        <v>0</v>
      </c>
      <c r="S55" s="54">
        <v>85830</v>
      </c>
      <c r="T55" s="54">
        <v>85830</v>
      </c>
      <c r="U55" s="54">
        <v>4665.2</v>
      </c>
      <c r="V55" s="54">
        <v>4665.2</v>
      </c>
      <c r="W55" s="54">
        <v>4665.2</v>
      </c>
    </row>
    <row r="56" spans="1:23" outlineLevel="2" x14ac:dyDescent="0.2">
      <c r="A56" s="21" t="s">
        <v>0</v>
      </c>
      <c r="B56" s="21" t="s">
        <v>1</v>
      </c>
      <c r="C56" s="21" t="s">
        <v>2</v>
      </c>
      <c r="D56" s="21" t="s">
        <v>20</v>
      </c>
      <c r="E56" s="21" t="s">
        <v>21</v>
      </c>
      <c r="F56" s="21" t="s">
        <v>5</v>
      </c>
      <c r="G56" s="21" t="s">
        <v>6</v>
      </c>
      <c r="H56" s="21" t="s">
        <v>35</v>
      </c>
      <c r="I56" s="21" t="s">
        <v>36</v>
      </c>
      <c r="J56" s="21" t="s">
        <v>9</v>
      </c>
      <c r="K56" s="21" t="s">
        <v>151</v>
      </c>
      <c r="L56" s="21" t="s">
        <v>161</v>
      </c>
      <c r="M56" s="21" t="s">
        <v>15</v>
      </c>
      <c r="N56" s="54">
        <v>762350.88</v>
      </c>
      <c r="O56" s="54">
        <v>2436.52</v>
      </c>
      <c r="P56" s="54">
        <v>0</v>
      </c>
      <c r="Q56" s="54">
        <v>764787.4</v>
      </c>
      <c r="R56" s="54">
        <v>0</v>
      </c>
      <c r="S56" s="54">
        <v>653647.73</v>
      </c>
      <c r="T56" s="54">
        <v>653647.73</v>
      </c>
      <c r="U56" s="54">
        <v>111139.67</v>
      </c>
      <c r="V56" s="54">
        <v>111139.67</v>
      </c>
      <c r="W56" s="54">
        <v>111139.67</v>
      </c>
    </row>
    <row r="57" spans="1:23" outlineLevel="2" x14ac:dyDescent="0.2">
      <c r="A57" s="21" t="s">
        <v>0</v>
      </c>
      <c r="B57" s="21" t="s">
        <v>31</v>
      </c>
      <c r="C57" s="21" t="s">
        <v>79</v>
      </c>
      <c r="D57" s="21" t="s">
        <v>113</v>
      </c>
      <c r="E57" s="21" t="s">
        <v>114</v>
      </c>
      <c r="F57" s="21" t="s">
        <v>5</v>
      </c>
      <c r="G57" s="21" t="s">
        <v>6</v>
      </c>
      <c r="H57" s="21" t="s">
        <v>35</v>
      </c>
      <c r="I57" s="21" t="s">
        <v>36</v>
      </c>
      <c r="J57" s="21" t="s">
        <v>9</v>
      </c>
      <c r="K57" s="21" t="s">
        <v>151</v>
      </c>
      <c r="L57" s="21" t="s">
        <v>155</v>
      </c>
      <c r="M57" s="21" t="s">
        <v>15</v>
      </c>
      <c r="N57" s="54">
        <v>32457.72</v>
      </c>
      <c r="O57" s="54">
        <v>0</v>
      </c>
      <c r="P57" s="54">
        <v>0</v>
      </c>
      <c r="Q57" s="54">
        <v>32457.72</v>
      </c>
      <c r="R57" s="54">
        <v>0</v>
      </c>
      <c r="S57" s="54">
        <v>27048.1</v>
      </c>
      <c r="T57" s="54">
        <v>27048.1</v>
      </c>
      <c r="U57" s="54">
        <v>5409.62</v>
      </c>
      <c r="V57" s="54">
        <v>5409.62</v>
      </c>
      <c r="W57" s="54">
        <v>5409.62</v>
      </c>
    </row>
    <row r="58" spans="1:23" outlineLevel="2" x14ac:dyDescent="0.2">
      <c r="A58" s="21" t="s">
        <v>0</v>
      </c>
      <c r="B58" s="21" t="s">
        <v>39</v>
      </c>
      <c r="C58" s="21" t="s">
        <v>58</v>
      </c>
      <c r="D58" s="21" t="s">
        <v>143</v>
      </c>
      <c r="E58" s="21" t="s">
        <v>144</v>
      </c>
      <c r="F58" s="21" t="s">
        <v>5</v>
      </c>
      <c r="G58" s="21" t="s">
        <v>6</v>
      </c>
      <c r="H58" s="21" t="s">
        <v>35</v>
      </c>
      <c r="I58" s="21" t="s">
        <v>36</v>
      </c>
      <c r="J58" s="21" t="s">
        <v>9</v>
      </c>
      <c r="K58" s="21" t="s">
        <v>151</v>
      </c>
      <c r="L58" s="21" t="s">
        <v>154</v>
      </c>
      <c r="M58" s="21" t="s">
        <v>15</v>
      </c>
      <c r="N58" s="54">
        <v>81483.72</v>
      </c>
      <c r="O58" s="54">
        <v>0</v>
      </c>
      <c r="P58" s="54">
        <v>0</v>
      </c>
      <c r="Q58" s="54">
        <v>81483.72</v>
      </c>
      <c r="R58" s="54">
        <v>0</v>
      </c>
      <c r="S58" s="54">
        <v>61843.4</v>
      </c>
      <c r="T58" s="54">
        <v>61843.4</v>
      </c>
      <c r="U58" s="54">
        <v>19640.32</v>
      </c>
      <c r="V58" s="54">
        <v>19640.32</v>
      </c>
      <c r="W58" s="54">
        <v>19640.32</v>
      </c>
    </row>
    <row r="59" spans="1:23" outlineLevel="2" x14ac:dyDescent="0.2">
      <c r="A59" s="21" t="s">
        <v>0</v>
      </c>
      <c r="B59" s="21" t="s">
        <v>31</v>
      </c>
      <c r="C59" s="21" t="s">
        <v>79</v>
      </c>
      <c r="D59" s="21" t="s">
        <v>115</v>
      </c>
      <c r="E59" s="21" t="s">
        <v>116</v>
      </c>
      <c r="F59" s="21" t="s">
        <v>5</v>
      </c>
      <c r="G59" s="21" t="s">
        <v>6</v>
      </c>
      <c r="H59" s="21" t="s">
        <v>35</v>
      </c>
      <c r="I59" s="21" t="s">
        <v>36</v>
      </c>
      <c r="J59" s="21" t="s">
        <v>9</v>
      </c>
      <c r="K59" s="21" t="s">
        <v>151</v>
      </c>
      <c r="L59" s="21" t="s">
        <v>155</v>
      </c>
      <c r="M59" s="21" t="s">
        <v>15</v>
      </c>
      <c r="N59" s="54">
        <v>13618.32</v>
      </c>
      <c r="O59" s="54">
        <v>0</v>
      </c>
      <c r="P59" s="54">
        <v>0</v>
      </c>
      <c r="Q59" s="54">
        <v>13618.32</v>
      </c>
      <c r="R59" s="54">
        <v>0</v>
      </c>
      <c r="S59" s="54">
        <v>11348.6</v>
      </c>
      <c r="T59" s="54">
        <v>11348.6</v>
      </c>
      <c r="U59" s="54">
        <v>2269.7199999999998</v>
      </c>
      <c r="V59" s="54">
        <v>2269.7199999999998</v>
      </c>
      <c r="W59" s="54">
        <v>2269.7199999999998</v>
      </c>
    </row>
    <row r="60" spans="1:23" outlineLevel="2" x14ac:dyDescent="0.2">
      <c r="A60" s="21" t="s">
        <v>0</v>
      </c>
      <c r="B60" s="21" t="s">
        <v>39</v>
      </c>
      <c r="C60" s="21" t="s">
        <v>58</v>
      </c>
      <c r="D60" s="21" t="s">
        <v>59</v>
      </c>
      <c r="E60" s="21" t="s">
        <v>60</v>
      </c>
      <c r="F60" s="21" t="s">
        <v>5</v>
      </c>
      <c r="G60" s="21" t="s">
        <v>6</v>
      </c>
      <c r="H60" s="21" t="s">
        <v>35</v>
      </c>
      <c r="I60" s="21" t="s">
        <v>36</v>
      </c>
      <c r="J60" s="21" t="s">
        <v>9</v>
      </c>
      <c r="K60" s="21" t="s">
        <v>151</v>
      </c>
      <c r="L60" s="21" t="s">
        <v>154</v>
      </c>
      <c r="M60" s="21" t="s">
        <v>15</v>
      </c>
      <c r="N60" s="54">
        <v>61002</v>
      </c>
      <c r="O60" s="54">
        <v>0</v>
      </c>
      <c r="P60" s="54">
        <v>0</v>
      </c>
      <c r="Q60" s="54">
        <v>61002</v>
      </c>
      <c r="R60" s="54">
        <v>0</v>
      </c>
      <c r="S60" s="54">
        <v>50835</v>
      </c>
      <c r="T60" s="54">
        <v>50835</v>
      </c>
      <c r="U60" s="54">
        <v>10167</v>
      </c>
      <c r="V60" s="54">
        <v>10167</v>
      </c>
      <c r="W60" s="54">
        <v>10167</v>
      </c>
    </row>
    <row r="61" spans="1:23" outlineLevel="2" x14ac:dyDescent="0.2">
      <c r="A61" s="21" t="s">
        <v>0</v>
      </c>
      <c r="B61" s="21" t="s">
        <v>39</v>
      </c>
      <c r="C61" s="21" t="s">
        <v>70</v>
      </c>
      <c r="D61" s="21" t="s">
        <v>89</v>
      </c>
      <c r="E61" s="21" t="s">
        <v>90</v>
      </c>
      <c r="F61" s="21" t="s">
        <v>5</v>
      </c>
      <c r="G61" s="21" t="s">
        <v>6</v>
      </c>
      <c r="H61" s="21" t="s">
        <v>35</v>
      </c>
      <c r="I61" s="21" t="s">
        <v>36</v>
      </c>
      <c r="J61" s="21" t="s">
        <v>9</v>
      </c>
      <c r="K61" s="21" t="s">
        <v>151</v>
      </c>
      <c r="L61" s="21" t="s">
        <v>159</v>
      </c>
      <c r="M61" s="21" t="s">
        <v>15</v>
      </c>
      <c r="N61" s="54">
        <v>37255.919999999998</v>
      </c>
      <c r="O61" s="54">
        <v>0</v>
      </c>
      <c r="P61" s="54">
        <v>0</v>
      </c>
      <c r="Q61" s="54">
        <v>37255.919999999998</v>
      </c>
      <c r="R61" s="54">
        <v>0</v>
      </c>
      <c r="S61" s="54">
        <v>31046.6</v>
      </c>
      <c r="T61" s="54">
        <v>31046.6</v>
      </c>
      <c r="U61" s="54">
        <v>6209.32</v>
      </c>
      <c r="V61" s="54">
        <v>6209.32</v>
      </c>
      <c r="W61" s="54">
        <v>6209.32</v>
      </c>
    </row>
    <row r="62" spans="1:23" outlineLevel="2" x14ac:dyDescent="0.2">
      <c r="A62" s="21" t="s">
        <v>0</v>
      </c>
      <c r="B62" s="21" t="s">
        <v>31</v>
      </c>
      <c r="C62" s="21" t="s">
        <v>107</v>
      </c>
      <c r="D62" s="21" t="s">
        <v>108</v>
      </c>
      <c r="E62" s="21" t="s">
        <v>109</v>
      </c>
      <c r="F62" s="21" t="s">
        <v>5</v>
      </c>
      <c r="G62" s="21" t="s">
        <v>6</v>
      </c>
      <c r="H62" s="21" t="s">
        <v>35</v>
      </c>
      <c r="I62" s="21" t="s">
        <v>36</v>
      </c>
      <c r="J62" s="21" t="s">
        <v>9</v>
      </c>
      <c r="K62" s="21" t="s">
        <v>151</v>
      </c>
      <c r="L62" s="21" t="s">
        <v>156</v>
      </c>
      <c r="M62" s="21" t="s">
        <v>15</v>
      </c>
      <c r="N62" s="54">
        <v>96068.160000000003</v>
      </c>
      <c r="O62" s="54">
        <v>0</v>
      </c>
      <c r="P62" s="54">
        <v>0</v>
      </c>
      <c r="Q62" s="54">
        <v>96068.160000000003</v>
      </c>
      <c r="R62" s="54">
        <v>0</v>
      </c>
      <c r="S62" s="54">
        <v>76093.38</v>
      </c>
      <c r="T62" s="54">
        <v>76093.38</v>
      </c>
      <c r="U62" s="54">
        <v>19974.78</v>
      </c>
      <c r="V62" s="54">
        <v>19974.78</v>
      </c>
      <c r="W62" s="54">
        <v>19974.78</v>
      </c>
    </row>
    <row r="63" spans="1:23" outlineLevel="2" x14ac:dyDescent="0.2">
      <c r="A63" s="21" t="s">
        <v>0</v>
      </c>
      <c r="B63" s="21" t="s">
        <v>1</v>
      </c>
      <c r="C63" s="21" t="s">
        <v>44</v>
      </c>
      <c r="D63" s="21" t="s">
        <v>45</v>
      </c>
      <c r="E63" s="21" t="s">
        <v>46</v>
      </c>
      <c r="F63" s="21" t="s">
        <v>5</v>
      </c>
      <c r="G63" s="21" t="s">
        <v>6</v>
      </c>
      <c r="H63" s="21" t="s">
        <v>35</v>
      </c>
      <c r="I63" s="21" t="s">
        <v>36</v>
      </c>
      <c r="J63" s="21" t="s">
        <v>9</v>
      </c>
      <c r="K63" s="21" t="s">
        <v>151</v>
      </c>
      <c r="L63" s="21" t="s">
        <v>157</v>
      </c>
      <c r="M63" s="21" t="s">
        <v>15</v>
      </c>
      <c r="N63" s="54">
        <v>22068.36</v>
      </c>
      <c r="O63" s="54">
        <v>0</v>
      </c>
      <c r="P63" s="54">
        <v>0</v>
      </c>
      <c r="Q63" s="54">
        <v>22068.36</v>
      </c>
      <c r="R63" s="54">
        <v>0</v>
      </c>
      <c r="S63" s="54">
        <v>15314.84</v>
      </c>
      <c r="T63" s="54">
        <v>15314.84</v>
      </c>
      <c r="U63" s="54">
        <v>6753.52</v>
      </c>
      <c r="V63" s="54">
        <v>6753.52</v>
      </c>
      <c r="W63" s="54">
        <v>6753.52</v>
      </c>
    </row>
    <row r="64" spans="1:23" outlineLevel="2" x14ac:dyDescent="0.2">
      <c r="A64" s="21" t="s">
        <v>0</v>
      </c>
      <c r="B64" s="21" t="s">
        <v>39</v>
      </c>
      <c r="C64" s="21" t="s">
        <v>40</v>
      </c>
      <c r="D64" s="21" t="s">
        <v>77</v>
      </c>
      <c r="E64" s="21" t="s">
        <v>78</v>
      </c>
      <c r="F64" s="21" t="s">
        <v>5</v>
      </c>
      <c r="G64" s="21" t="s">
        <v>6</v>
      </c>
      <c r="H64" s="21" t="s">
        <v>35</v>
      </c>
      <c r="I64" s="21" t="s">
        <v>36</v>
      </c>
      <c r="J64" s="21" t="s">
        <v>9</v>
      </c>
      <c r="K64" s="21" t="s">
        <v>151</v>
      </c>
      <c r="L64" s="21" t="s">
        <v>152</v>
      </c>
      <c r="M64" s="21" t="s">
        <v>15</v>
      </c>
      <c r="N64" s="54">
        <v>14515.92</v>
      </c>
      <c r="O64" s="54">
        <v>0</v>
      </c>
      <c r="P64" s="54">
        <v>0</v>
      </c>
      <c r="Q64" s="54">
        <v>14515.92</v>
      </c>
      <c r="R64" s="54">
        <v>0</v>
      </c>
      <c r="S64" s="54">
        <v>12096.6</v>
      </c>
      <c r="T64" s="54">
        <v>12096.6</v>
      </c>
      <c r="U64" s="54">
        <v>2419.3200000000002</v>
      </c>
      <c r="V64" s="54">
        <v>2419.3200000000002</v>
      </c>
      <c r="W64" s="54">
        <v>2419.3200000000002</v>
      </c>
    </row>
    <row r="65" spans="1:23" outlineLevel="2" x14ac:dyDescent="0.2">
      <c r="A65" s="21" t="s">
        <v>0</v>
      </c>
      <c r="B65" s="21" t="s">
        <v>31</v>
      </c>
      <c r="C65" s="21" t="s">
        <v>79</v>
      </c>
      <c r="D65" s="21" t="s">
        <v>125</v>
      </c>
      <c r="E65" s="21" t="s">
        <v>126</v>
      </c>
      <c r="F65" s="21" t="s">
        <v>5</v>
      </c>
      <c r="G65" s="21" t="s">
        <v>6</v>
      </c>
      <c r="H65" s="21" t="s">
        <v>35</v>
      </c>
      <c r="I65" s="21" t="s">
        <v>36</v>
      </c>
      <c r="J65" s="21" t="s">
        <v>9</v>
      </c>
      <c r="K65" s="21" t="s">
        <v>151</v>
      </c>
      <c r="L65" s="21" t="s">
        <v>155</v>
      </c>
      <c r="M65" s="21" t="s">
        <v>15</v>
      </c>
      <c r="N65" s="54">
        <v>22239.599999999999</v>
      </c>
      <c r="O65" s="54">
        <v>0</v>
      </c>
      <c r="P65" s="54">
        <v>0</v>
      </c>
      <c r="Q65" s="54">
        <v>22239.599999999999</v>
      </c>
      <c r="R65" s="54">
        <v>0</v>
      </c>
      <c r="S65" s="54">
        <v>18533</v>
      </c>
      <c r="T65" s="54">
        <v>18533</v>
      </c>
      <c r="U65" s="54">
        <v>3706.6</v>
      </c>
      <c r="V65" s="54">
        <v>3706.6</v>
      </c>
      <c r="W65" s="54">
        <v>3706.6</v>
      </c>
    </row>
    <row r="66" spans="1:23" outlineLevel="2" x14ac:dyDescent="0.2">
      <c r="A66" s="21" t="s">
        <v>0</v>
      </c>
      <c r="B66" s="21" t="s">
        <v>31</v>
      </c>
      <c r="C66" s="21" t="s">
        <v>32</v>
      </c>
      <c r="D66" s="21" t="s">
        <v>33</v>
      </c>
      <c r="E66" s="21" t="s">
        <v>34</v>
      </c>
      <c r="F66" s="21" t="s">
        <v>5</v>
      </c>
      <c r="G66" s="21" t="s">
        <v>6</v>
      </c>
      <c r="H66" s="21" t="s">
        <v>35</v>
      </c>
      <c r="I66" s="21" t="s">
        <v>36</v>
      </c>
      <c r="J66" s="21" t="s">
        <v>9</v>
      </c>
      <c r="K66" s="21" t="s">
        <v>151</v>
      </c>
      <c r="L66" s="21" t="s">
        <v>162</v>
      </c>
      <c r="M66" s="21" t="s">
        <v>15</v>
      </c>
      <c r="N66" s="54">
        <v>158226.23999999999</v>
      </c>
      <c r="O66" s="54">
        <v>10174.959999999999</v>
      </c>
      <c r="P66" s="54">
        <v>0</v>
      </c>
      <c r="Q66" s="54">
        <v>168401.2</v>
      </c>
      <c r="R66" s="54">
        <v>0</v>
      </c>
      <c r="S66" s="54">
        <v>139315.96</v>
      </c>
      <c r="T66" s="54">
        <v>139315.96</v>
      </c>
      <c r="U66" s="54">
        <v>29085.24</v>
      </c>
      <c r="V66" s="54">
        <v>29085.24</v>
      </c>
      <c r="W66" s="54">
        <v>29085.24</v>
      </c>
    </row>
    <row r="67" spans="1:23" outlineLevel="2" x14ac:dyDescent="0.2">
      <c r="A67" s="21" t="s">
        <v>0</v>
      </c>
      <c r="B67" s="21" t="s">
        <v>31</v>
      </c>
      <c r="C67" s="21" t="s">
        <v>32</v>
      </c>
      <c r="D67" s="21" t="s">
        <v>75</v>
      </c>
      <c r="E67" s="21" t="s">
        <v>76</v>
      </c>
      <c r="F67" s="21" t="s">
        <v>5</v>
      </c>
      <c r="G67" s="21" t="s">
        <v>6</v>
      </c>
      <c r="H67" s="21" t="s">
        <v>35</v>
      </c>
      <c r="I67" s="21" t="s">
        <v>36</v>
      </c>
      <c r="J67" s="21" t="s">
        <v>9</v>
      </c>
      <c r="K67" s="21" t="s">
        <v>151</v>
      </c>
      <c r="L67" s="21" t="s">
        <v>162</v>
      </c>
      <c r="M67" s="21" t="s">
        <v>15</v>
      </c>
      <c r="N67" s="54">
        <v>151835.4</v>
      </c>
      <c r="O67" s="54">
        <v>15274.64</v>
      </c>
      <c r="P67" s="54">
        <v>0</v>
      </c>
      <c r="Q67" s="54">
        <v>167110.04</v>
      </c>
      <c r="R67" s="54">
        <v>0</v>
      </c>
      <c r="S67" s="54">
        <v>137143.76999999999</v>
      </c>
      <c r="T67" s="54">
        <v>137143.76999999999</v>
      </c>
      <c r="U67" s="54">
        <v>29966.27</v>
      </c>
      <c r="V67" s="54">
        <v>29966.27</v>
      </c>
      <c r="W67" s="54">
        <v>29966.27</v>
      </c>
    </row>
    <row r="68" spans="1:23" outlineLevel="2" x14ac:dyDescent="0.2">
      <c r="A68" s="21" t="s">
        <v>0</v>
      </c>
      <c r="B68" s="21" t="s">
        <v>31</v>
      </c>
      <c r="C68" s="21" t="s">
        <v>32</v>
      </c>
      <c r="D68" s="21" t="s">
        <v>123</v>
      </c>
      <c r="E68" s="21" t="s">
        <v>124</v>
      </c>
      <c r="F68" s="21" t="s">
        <v>5</v>
      </c>
      <c r="G68" s="21" t="s">
        <v>6</v>
      </c>
      <c r="H68" s="21" t="s">
        <v>35</v>
      </c>
      <c r="I68" s="21" t="s">
        <v>36</v>
      </c>
      <c r="J68" s="21" t="s">
        <v>9</v>
      </c>
      <c r="K68" s="21" t="s">
        <v>151</v>
      </c>
      <c r="L68" s="21" t="s">
        <v>162</v>
      </c>
      <c r="M68" s="21" t="s">
        <v>15</v>
      </c>
      <c r="N68" s="54">
        <v>114411</v>
      </c>
      <c r="O68" s="54">
        <v>5670.96</v>
      </c>
      <c r="P68" s="54">
        <v>0</v>
      </c>
      <c r="Q68" s="54">
        <v>120081.96</v>
      </c>
      <c r="R68" s="54">
        <v>0</v>
      </c>
      <c r="S68" s="54">
        <v>94104.71</v>
      </c>
      <c r="T68" s="54">
        <v>94104.71</v>
      </c>
      <c r="U68" s="54">
        <v>25977.25</v>
      </c>
      <c r="V68" s="54">
        <v>25977.25</v>
      </c>
      <c r="W68" s="54">
        <v>25977.25</v>
      </c>
    </row>
    <row r="69" spans="1:23" outlineLevel="2" x14ac:dyDescent="0.2">
      <c r="A69" s="21" t="s">
        <v>0</v>
      </c>
      <c r="B69" s="21" t="s">
        <v>39</v>
      </c>
      <c r="C69" s="21" t="s">
        <v>58</v>
      </c>
      <c r="D69" s="21" t="s">
        <v>147</v>
      </c>
      <c r="E69" s="21" t="s">
        <v>148</v>
      </c>
      <c r="F69" s="21" t="s">
        <v>5</v>
      </c>
      <c r="G69" s="21" t="s">
        <v>6</v>
      </c>
      <c r="H69" s="21" t="s">
        <v>35</v>
      </c>
      <c r="I69" s="21" t="s">
        <v>36</v>
      </c>
      <c r="J69" s="21" t="s">
        <v>9</v>
      </c>
      <c r="K69" s="21" t="s">
        <v>151</v>
      </c>
      <c r="L69" s="21" t="s">
        <v>154</v>
      </c>
      <c r="M69" s="21" t="s">
        <v>15</v>
      </c>
      <c r="N69" s="54">
        <v>174833.64</v>
      </c>
      <c r="O69" s="54">
        <v>0</v>
      </c>
      <c r="P69" s="54">
        <v>0</v>
      </c>
      <c r="Q69" s="54">
        <v>174833.64</v>
      </c>
      <c r="R69" s="54">
        <v>0</v>
      </c>
      <c r="S69" s="54">
        <v>139513.4</v>
      </c>
      <c r="T69" s="54">
        <v>139513.4</v>
      </c>
      <c r="U69" s="54">
        <v>35320.239999999998</v>
      </c>
      <c r="V69" s="54">
        <v>35320.239999999998</v>
      </c>
      <c r="W69" s="54">
        <v>35320.239999999998</v>
      </c>
    </row>
    <row r="70" spans="1:23" outlineLevel="2" x14ac:dyDescent="0.2">
      <c r="A70" s="21" t="s">
        <v>0</v>
      </c>
      <c r="B70" s="21" t="s">
        <v>39</v>
      </c>
      <c r="C70" s="21" t="s">
        <v>58</v>
      </c>
      <c r="D70" s="21" t="s">
        <v>137</v>
      </c>
      <c r="E70" s="21" t="s">
        <v>138</v>
      </c>
      <c r="F70" s="21" t="s">
        <v>5</v>
      </c>
      <c r="G70" s="21" t="s">
        <v>6</v>
      </c>
      <c r="H70" s="21" t="s">
        <v>35</v>
      </c>
      <c r="I70" s="21" t="s">
        <v>36</v>
      </c>
      <c r="J70" s="21" t="s">
        <v>9</v>
      </c>
      <c r="K70" s="21" t="s">
        <v>151</v>
      </c>
      <c r="L70" s="21" t="s">
        <v>154</v>
      </c>
      <c r="M70" s="21" t="s">
        <v>15</v>
      </c>
      <c r="N70" s="54">
        <v>177309.12</v>
      </c>
      <c r="O70" s="54">
        <v>0</v>
      </c>
      <c r="P70" s="54">
        <v>0</v>
      </c>
      <c r="Q70" s="54">
        <v>177309.12</v>
      </c>
      <c r="R70" s="54">
        <v>0</v>
      </c>
      <c r="S70" s="54">
        <v>125962.11</v>
      </c>
      <c r="T70" s="54">
        <v>125962.11</v>
      </c>
      <c r="U70" s="54">
        <v>51347.01</v>
      </c>
      <c r="V70" s="54">
        <v>51347.01</v>
      </c>
      <c r="W70" s="54">
        <v>51347.01</v>
      </c>
    </row>
    <row r="71" spans="1:23" outlineLevel="2" x14ac:dyDescent="0.2">
      <c r="A71" s="21" t="s">
        <v>0</v>
      </c>
      <c r="B71" s="21" t="s">
        <v>1</v>
      </c>
      <c r="C71" s="21" t="s">
        <v>16</v>
      </c>
      <c r="D71" s="21" t="s">
        <v>62</v>
      </c>
      <c r="E71" s="21" t="s">
        <v>63</v>
      </c>
      <c r="F71" s="21" t="s">
        <v>5</v>
      </c>
      <c r="G71" s="21" t="s">
        <v>6</v>
      </c>
      <c r="H71" s="21" t="s">
        <v>35</v>
      </c>
      <c r="I71" s="21" t="s">
        <v>36</v>
      </c>
      <c r="J71" s="21" t="s">
        <v>9</v>
      </c>
      <c r="K71" s="21" t="s">
        <v>151</v>
      </c>
      <c r="L71" s="21" t="s">
        <v>153</v>
      </c>
      <c r="M71" s="21" t="s">
        <v>15</v>
      </c>
      <c r="N71" s="54">
        <v>7566.36</v>
      </c>
      <c r="O71" s="54">
        <v>0</v>
      </c>
      <c r="P71" s="54">
        <v>0</v>
      </c>
      <c r="Q71" s="54">
        <v>7566.36</v>
      </c>
      <c r="R71" s="54">
        <v>0</v>
      </c>
      <c r="S71" s="54">
        <v>6305.3</v>
      </c>
      <c r="T71" s="54">
        <v>6305.3</v>
      </c>
      <c r="U71" s="54">
        <v>1261.06</v>
      </c>
      <c r="V71" s="54">
        <v>1261.06</v>
      </c>
      <c r="W71" s="54">
        <v>1261.06</v>
      </c>
    </row>
    <row r="72" spans="1:23" outlineLevel="2" x14ac:dyDescent="0.2">
      <c r="A72" s="21" t="s">
        <v>0</v>
      </c>
      <c r="B72" s="21" t="s">
        <v>39</v>
      </c>
      <c r="C72" s="21" t="s">
        <v>58</v>
      </c>
      <c r="D72" s="21" t="s">
        <v>135</v>
      </c>
      <c r="E72" s="21" t="s">
        <v>136</v>
      </c>
      <c r="F72" s="21" t="s">
        <v>5</v>
      </c>
      <c r="G72" s="21" t="s">
        <v>6</v>
      </c>
      <c r="H72" s="21" t="s">
        <v>35</v>
      </c>
      <c r="I72" s="21" t="s">
        <v>36</v>
      </c>
      <c r="J72" s="21" t="s">
        <v>9</v>
      </c>
      <c r="K72" s="21" t="s">
        <v>151</v>
      </c>
      <c r="L72" s="21" t="s">
        <v>154</v>
      </c>
      <c r="M72" s="21" t="s">
        <v>15</v>
      </c>
      <c r="N72" s="54">
        <v>94303.2</v>
      </c>
      <c r="O72" s="54">
        <v>0</v>
      </c>
      <c r="P72" s="54">
        <v>0</v>
      </c>
      <c r="Q72" s="54">
        <v>94303.2</v>
      </c>
      <c r="R72" s="54">
        <v>0</v>
      </c>
      <c r="S72" s="54">
        <v>69314.17</v>
      </c>
      <c r="T72" s="54">
        <v>69314.17</v>
      </c>
      <c r="U72" s="54">
        <v>24989.03</v>
      </c>
      <c r="V72" s="54">
        <v>24989.03</v>
      </c>
      <c r="W72" s="54">
        <v>24989.03</v>
      </c>
    </row>
    <row r="73" spans="1:23" outlineLevel="2" x14ac:dyDescent="0.2">
      <c r="A73" s="21" t="s">
        <v>0</v>
      </c>
      <c r="B73" s="21" t="s">
        <v>39</v>
      </c>
      <c r="C73" s="21" t="s">
        <v>58</v>
      </c>
      <c r="D73" s="21" t="s">
        <v>145</v>
      </c>
      <c r="E73" s="21" t="s">
        <v>146</v>
      </c>
      <c r="F73" s="21" t="s">
        <v>5</v>
      </c>
      <c r="G73" s="21" t="s">
        <v>6</v>
      </c>
      <c r="H73" s="21" t="s">
        <v>35</v>
      </c>
      <c r="I73" s="21" t="s">
        <v>36</v>
      </c>
      <c r="J73" s="21" t="s">
        <v>9</v>
      </c>
      <c r="K73" s="21" t="s">
        <v>151</v>
      </c>
      <c r="L73" s="21" t="s">
        <v>154</v>
      </c>
      <c r="M73" s="21" t="s">
        <v>15</v>
      </c>
      <c r="N73" s="54">
        <v>84454.8</v>
      </c>
      <c r="O73" s="54">
        <v>0</v>
      </c>
      <c r="P73" s="54">
        <v>0</v>
      </c>
      <c r="Q73" s="54">
        <v>84454.8</v>
      </c>
      <c r="R73" s="54">
        <v>0</v>
      </c>
      <c r="S73" s="54">
        <v>65824.960000000006</v>
      </c>
      <c r="T73" s="54">
        <v>65824.960000000006</v>
      </c>
      <c r="U73" s="54">
        <v>18629.84</v>
      </c>
      <c r="V73" s="54">
        <v>18629.84</v>
      </c>
      <c r="W73" s="54">
        <v>18629.84</v>
      </c>
    </row>
    <row r="74" spans="1:23" outlineLevel="2" x14ac:dyDescent="0.2">
      <c r="A74" s="21" t="s">
        <v>0</v>
      </c>
      <c r="B74" s="21" t="s">
        <v>1</v>
      </c>
      <c r="C74" s="21" t="s">
        <v>16</v>
      </c>
      <c r="D74" s="21" t="s">
        <v>17</v>
      </c>
      <c r="E74" s="21" t="s">
        <v>18</v>
      </c>
      <c r="F74" s="21" t="s">
        <v>5</v>
      </c>
      <c r="G74" s="21" t="s">
        <v>6</v>
      </c>
      <c r="H74" s="21" t="s">
        <v>35</v>
      </c>
      <c r="I74" s="21" t="s">
        <v>36</v>
      </c>
      <c r="J74" s="21" t="s">
        <v>9</v>
      </c>
      <c r="K74" s="21" t="s">
        <v>151</v>
      </c>
      <c r="L74" s="21" t="s">
        <v>153</v>
      </c>
      <c r="M74" s="21" t="s">
        <v>15</v>
      </c>
      <c r="N74" s="54">
        <v>169828.8</v>
      </c>
      <c r="O74" s="54">
        <v>0</v>
      </c>
      <c r="P74" s="54">
        <v>0</v>
      </c>
      <c r="Q74" s="54">
        <v>169828.8</v>
      </c>
      <c r="R74" s="54">
        <v>0</v>
      </c>
      <c r="S74" s="54">
        <v>112634.5</v>
      </c>
      <c r="T74" s="54">
        <v>112634.5</v>
      </c>
      <c r="U74" s="54">
        <v>57194.3</v>
      </c>
      <c r="V74" s="54">
        <v>57194.3</v>
      </c>
      <c r="W74" s="54">
        <v>57194.3</v>
      </c>
    </row>
    <row r="75" spans="1:23" outlineLevel="2" x14ac:dyDescent="0.2">
      <c r="A75" s="21" t="s">
        <v>0</v>
      </c>
      <c r="B75" s="21" t="s">
        <v>39</v>
      </c>
      <c r="C75" s="21" t="s">
        <v>95</v>
      </c>
      <c r="D75" s="21" t="s">
        <v>96</v>
      </c>
      <c r="E75" s="21" t="s">
        <v>97</v>
      </c>
      <c r="F75" s="21" t="s">
        <v>5</v>
      </c>
      <c r="G75" s="21" t="s">
        <v>6</v>
      </c>
      <c r="H75" s="21" t="s">
        <v>35</v>
      </c>
      <c r="I75" s="21" t="s">
        <v>36</v>
      </c>
      <c r="J75" s="21" t="s">
        <v>9</v>
      </c>
      <c r="K75" s="21" t="s">
        <v>151</v>
      </c>
      <c r="L75" s="21" t="s">
        <v>158</v>
      </c>
      <c r="M75" s="21" t="s">
        <v>15</v>
      </c>
      <c r="N75" s="54">
        <v>28381.200000000001</v>
      </c>
      <c r="O75" s="54">
        <v>0</v>
      </c>
      <c r="P75" s="54">
        <v>0</v>
      </c>
      <c r="Q75" s="54">
        <v>28381.200000000001</v>
      </c>
      <c r="R75" s="54">
        <v>0</v>
      </c>
      <c r="S75" s="54">
        <v>17312.3</v>
      </c>
      <c r="T75" s="54">
        <v>17312.3</v>
      </c>
      <c r="U75" s="54">
        <v>11068.9</v>
      </c>
      <c r="V75" s="54">
        <v>11068.9</v>
      </c>
      <c r="W75" s="54">
        <v>11068.9</v>
      </c>
    </row>
    <row r="76" spans="1:23" outlineLevel="2" x14ac:dyDescent="0.2">
      <c r="A76" s="21" t="s">
        <v>0</v>
      </c>
      <c r="B76" s="21" t="s">
        <v>1</v>
      </c>
      <c r="C76" s="21" t="s">
        <v>16</v>
      </c>
      <c r="D76" s="21" t="s">
        <v>103</v>
      </c>
      <c r="E76" s="21" t="s">
        <v>104</v>
      </c>
      <c r="F76" s="21" t="s">
        <v>5</v>
      </c>
      <c r="G76" s="21" t="s">
        <v>6</v>
      </c>
      <c r="H76" s="21" t="s">
        <v>35</v>
      </c>
      <c r="I76" s="21" t="s">
        <v>36</v>
      </c>
      <c r="J76" s="21" t="s">
        <v>9</v>
      </c>
      <c r="K76" s="21" t="s">
        <v>151</v>
      </c>
      <c r="L76" s="21" t="s">
        <v>153</v>
      </c>
      <c r="M76" s="21" t="s">
        <v>15</v>
      </c>
      <c r="N76" s="54">
        <v>102586.32</v>
      </c>
      <c r="O76" s="54">
        <v>-2436.52</v>
      </c>
      <c r="P76" s="54">
        <v>0</v>
      </c>
      <c r="Q76" s="54">
        <v>100149.8</v>
      </c>
      <c r="R76" s="54">
        <v>0</v>
      </c>
      <c r="S76" s="54">
        <v>59943.29</v>
      </c>
      <c r="T76" s="54">
        <v>59943.29</v>
      </c>
      <c r="U76" s="54">
        <v>40206.51</v>
      </c>
      <c r="V76" s="54">
        <v>40206.51</v>
      </c>
      <c r="W76" s="54">
        <v>40206.51</v>
      </c>
    </row>
    <row r="77" spans="1:23" outlineLevel="2" x14ac:dyDescent="0.2">
      <c r="A77" s="21" t="s">
        <v>0</v>
      </c>
      <c r="B77" s="21" t="s">
        <v>53</v>
      </c>
      <c r="C77" s="21" t="s">
        <v>54</v>
      </c>
      <c r="D77" s="21" t="s">
        <v>55</v>
      </c>
      <c r="E77" s="21" t="s">
        <v>56</v>
      </c>
      <c r="F77" s="21" t="s">
        <v>5</v>
      </c>
      <c r="G77" s="21" t="s">
        <v>6</v>
      </c>
      <c r="H77" s="21" t="s">
        <v>35</v>
      </c>
      <c r="I77" s="21" t="s">
        <v>36</v>
      </c>
      <c r="J77" s="21" t="s">
        <v>9</v>
      </c>
      <c r="K77" s="21" t="s">
        <v>151</v>
      </c>
      <c r="L77" s="21" t="s">
        <v>166</v>
      </c>
      <c r="M77" s="21" t="s">
        <v>15</v>
      </c>
      <c r="N77" s="54">
        <v>254801.88</v>
      </c>
      <c r="O77" s="54">
        <v>-43382.68</v>
      </c>
      <c r="P77" s="54">
        <v>0</v>
      </c>
      <c r="Q77" s="54">
        <v>211419.2</v>
      </c>
      <c r="R77" s="54">
        <v>0</v>
      </c>
      <c r="S77" s="54">
        <v>176842.34</v>
      </c>
      <c r="T77" s="54">
        <v>176842.34</v>
      </c>
      <c r="U77" s="54">
        <v>34576.86</v>
      </c>
      <c r="V77" s="54">
        <v>34576.86</v>
      </c>
      <c r="W77" s="54">
        <v>34576.86</v>
      </c>
    </row>
    <row r="78" spans="1:23" outlineLevel="2" x14ac:dyDescent="0.2">
      <c r="A78" s="21" t="s">
        <v>0</v>
      </c>
      <c r="B78" s="21" t="s">
        <v>31</v>
      </c>
      <c r="C78" s="21" t="s">
        <v>79</v>
      </c>
      <c r="D78" s="21" t="s">
        <v>80</v>
      </c>
      <c r="E78" s="21" t="s">
        <v>81</v>
      </c>
      <c r="F78" s="21" t="s">
        <v>5</v>
      </c>
      <c r="G78" s="21" t="s">
        <v>6</v>
      </c>
      <c r="H78" s="21" t="s">
        <v>35</v>
      </c>
      <c r="I78" s="21" t="s">
        <v>36</v>
      </c>
      <c r="J78" s="21" t="s">
        <v>9</v>
      </c>
      <c r="K78" s="21" t="s">
        <v>151</v>
      </c>
      <c r="L78" s="21" t="s">
        <v>155</v>
      </c>
      <c r="M78" s="21" t="s">
        <v>15</v>
      </c>
      <c r="N78" s="54">
        <v>16747.2</v>
      </c>
      <c r="O78" s="54">
        <v>0</v>
      </c>
      <c r="P78" s="54">
        <v>0</v>
      </c>
      <c r="Q78" s="54">
        <v>16747.2</v>
      </c>
      <c r="R78" s="54">
        <v>0</v>
      </c>
      <c r="S78" s="54">
        <v>13956</v>
      </c>
      <c r="T78" s="54">
        <v>13956</v>
      </c>
      <c r="U78" s="54">
        <v>2791.2</v>
      </c>
      <c r="V78" s="54">
        <v>2791.2</v>
      </c>
      <c r="W78" s="54">
        <v>2791.2</v>
      </c>
    </row>
    <row r="79" spans="1:23" outlineLevel="2" x14ac:dyDescent="0.2">
      <c r="A79" s="21" t="s">
        <v>0</v>
      </c>
      <c r="B79" s="21" t="s">
        <v>31</v>
      </c>
      <c r="C79" s="21" t="s">
        <v>79</v>
      </c>
      <c r="D79" s="21" t="s">
        <v>133</v>
      </c>
      <c r="E79" s="21" t="s">
        <v>134</v>
      </c>
      <c r="F79" s="21" t="s">
        <v>5</v>
      </c>
      <c r="G79" s="21" t="s">
        <v>6</v>
      </c>
      <c r="H79" s="21" t="s">
        <v>35</v>
      </c>
      <c r="I79" s="21" t="s">
        <v>36</v>
      </c>
      <c r="J79" s="21" t="s">
        <v>9</v>
      </c>
      <c r="K79" s="21" t="s">
        <v>151</v>
      </c>
      <c r="L79" s="21" t="s">
        <v>155</v>
      </c>
      <c r="M79" s="21" t="s">
        <v>15</v>
      </c>
      <c r="N79" s="54">
        <v>58459.92</v>
      </c>
      <c r="O79" s="54">
        <v>0</v>
      </c>
      <c r="P79" s="54">
        <v>0</v>
      </c>
      <c r="Q79" s="54">
        <v>58459.92</v>
      </c>
      <c r="R79" s="54">
        <v>0</v>
      </c>
      <c r="S79" s="54">
        <v>48716.6</v>
      </c>
      <c r="T79" s="54">
        <v>48716.6</v>
      </c>
      <c r="U79" s="54">
        <v>9743.32</v>
      </c>
      <c r="V79" s="54">
        <v>9743.32</v>
      </c>
      <c r="W79" s="54">
        <v>9743.32</v>
      </c>
    </row>
    <row r="80" spans="1:23" outlineLevel="2" x14ac:dyDescent="0.2">
      <c r="A80" s="21" t="s">
        <v>0</v>
      </c>
      <c r="B80" s="21" t="s">
        <v>31</v>
      </c>
      <c r="C80" s="21" t="s">
        <v>79</v>
      </c>
      <c r="D80" s="21" t="s">
        <v>131</v>
      </c>
      <c r="E80" s="21" t="s">
        <v>132</v>
      </c>
      <c r="F80" s="21" t="s">
        <v>5</v>
      </c>
      <c r="G80" s="21" t="s">
        <v>6</v>
      </c>
      <c r="H80" s="21" t="s">
        <v>35</v>
      </c>
      <c r="I80" s="21" t="s">
        <v>36</v>
      </c>
      <c r="J80" s="21" t="s">
        <v>9</v>
      </c>
      <c r="K80" s="21" t="s">
        <v>151</v>
      </c>
      <c r="L80" s="21" t="s">
        <v>155</v>
      </c>
      <c r="M80" s="21" t="s">
        <v>15</v>
      </c>
      <c r="N80" s="54">
        <v>29502.6</v>
      </c>
      <c r="O80" s="54">
        <v>0</v>
      </c>
      <c r="P80" s="54">
        <v>0</v>
      </c>
      <c r="Q80" s="54">
        <v>29502.6</v>
      </c>
      <c r="R80" s="54">
        <v>0</v>
      </c>
      <c r="S80" s="54">
        <v>24585.5</v>
      </c>
      <c r="T80" s="54">
        <v>24585.5</v>
      </c>
      <c r="U80" s="54">
        <v>4917.1000000000004</v>
      </c>
      <c r="V80" s="54">
        <v>4917.1000000000004</v>
      </c>
      <c r="W80" s="54">
        <v>4917.1000000000004</v>
      </c>
    </row>
    <row r="81" spans="1:23" outlineLevel="2" x14ac:dyDescent="0.2">
      <c r="A81" s="21" t="s">
        <v>0</v>
      </c>
      <c r="B81" s="21" t="s">
        <v>31</v>
      </c>
      <c r="C81" s="21" t="s">
        <v>79</v>
      </c>
      <c r="D81" s="21" t="s">
        <v>127</v>
      </c>
      <c r="E81" s="21" t="s">
        <v>128</v>
      </c>
      <c r="F81" s="21" t="s">
        <v>5</v>
      </c>
      <c r="G81" s="21" t="s">
        <v>6</v>
      </c>
      <c r="H81" s="21" t="s">
        <v>35</v>
      </c>
      <c r="I81" s="21" t="s">
        <v>36</v>
      </c>
      <c r="J81" s="21" t="s">
        <v>9</v>
      </c>
      <c r="K81" s="21" t="s">
        <v>151</v>
      </c>
      <c r="L81" s="21" t="s">
        <v>155</v>
      </c>
      <c r="M81" s="21" t="s">
        <v>15</v>
      </c>
      <c r="N81" s="54">
        <v>34477.199999999997</v>
      </c>
      <c r="O81" s="54">
        <v>0</v>
      </c>
      <c r="P81" s="54">
        <v>0</v>
      </c>
      <c r="Q81" s="54">
        <v>34477.199999999997</v>
      </c>
      <c r="R81" s="54">
        <v>0</v>
      </c>
      <c r="S81" s="54">
        <v>28731</v>
      </c>
      <c r="T81" s="54">
        <v>28731</v>
      </c>
      <c r="U81" s="54">
        <v>5746.2</v>
      </c>
      <c r="V81" s="54">
        <v>5746.2</v>
      </c>
      <c r="W81" s="54">
        <v>5746.2</v>
      </c>
    </row>
    <row r="82" spans="1:23" outlineLevel="2" x14ac:dyDescent="0.2">
      <c r="A82" s="21" t="s">
        <v>0</v>
      </c>
      <c r="B82" s="21" t="s">
        <v>39</v>
      </c>
      <c r="C82" s="21" t="s">
        <v>58</v>
      </c>
      <c r="D82" s="21" t="s">
        <v>149</v>
      </c>
      <c r="E82" s="21" t="s">
        <v>150</v>
      </c>
      <c r="F82" s="21" t="s">
        <v>5</v>
      </c>
      <c r="G82" s="21" t="s">
        <v>6</v>
      </c>
      <c r="H82" s="21" t="s">
        <v>35</v>
      </c>
      <c r="I82" s="21" t="s">
        <v>36</v>
      </c>
      <c r="J82" s="21" t="s">
        <v>9</v>
      </c>
      <c r="K82" s="21" t="s">
        <v>151</v>
      </c>
      <c r="L82" s="21" t="s">
        <v>154</v>
      </c>
      <c r="M82" s="21" t="s">
        <v>15</v>
      </c>
      <c r="N82" s="54">
        <v>382757.04</v>
      </c>
      <c r="O82" s="54">
        <v>0</v>
      </c>
      <c r="P82" s="54">
        <v>0</v>
      </c>
      <c r="Q82" s="54">
        <v>382757.04</v>
      </c>
      <c r="R82" s="54">
        <v>0</v>
      </c>
      <c r="S82" s="54">
        <v>315571.24</v>
      </c>
      <c r="T82" s="54">
        <v>315571.24</v>
      </c>
      <c r="U82" s="54">
        <v>67185.8</v>
      </c>
      <c r="V82" s="54">
        <v>67185.8</v>
      </c>
      <c r="W82" s="54">
        <v>67185.8</v>
      </c>
    </row>
    <row r="83" spans="1:23" outlineLevel="2" x14ac:dyDescent="0.2">
      <c r="A83" s="21" t="s">
        <v>0</v>
      </c>
      <c r="B83" s="21" t="s">
        <v>31</v>
      </c>
      <c r="C83" s="21" t="s">
        <v>79</v>
      </c>
      <c r="D83" s="21" t="s">
        <v>117</v>
      </c>
      <c r="E83" s="21" t="s">
        <v>118</v>
      </c>
      <c r="F83" s="21" t="s">
        <v>5</v>
      </c>
      <c r="G83" s="21" t="s">
        <v>6</v>
      </c>
      <c r="H83" s="21" t="s">
        <v>35</v>
      </c>
      <c r="I83" s="21" t="s">
        <v>36</v>
      </c>
      <c r="J83" s="21" t="s">
        <v>9</v>
      </c>
      <c r="K83" s="21" t="s">
        <v>151</v>
      </c>
      <c r="L83" s="21" t="s">
        <v>155</v>
      </c>
      <c r="M83" s="21" t="s">
        <v>15</v>
      </c>
      <c r="N83" s="54">
        <v>122313.36</v>
      </c>
      <c r="O83" s="54">
        <v>0</v>
      </c>
      <c r="P83" s="54">
        <v>0</v>
      </c>
      <c r="Q83" s="54">
        <v>122313.36</v>
      </c>
      <c r="R83" s="54">
        <v>0</v>
      </c>
      <c r="S83" s="54">
        <v>79008.850000000006</v>
      </c>
      <c r="T83" s="54">
        <v>79008.850000000006</v>
      </c>
      <c r="U83" s="54">
        <v>43304.51</v>
      </c>
      <c r="V83" s="54">
        <v>43304.51</v>
      </c>
      <c r="W83" s="54">
        <v>43304.51</v>
      </c>
    </row>
    <row r="84" spans="1:23" outlineLevel="2" x14ac:dyDescent="0.2">
      <c r="A84" s="21" t="s">
        <v>0</v>
      </c>
      <c r="B84" s="21" t="s">
        <v>1</v>
      </c>
      <c r="C84" s="21" t="s">
        <v>99</v>
      </c>
      <c r="D84" s="21" t="s">
        <v>100</v>
      </c>
      <c r="E84" s="21" t="s">
        <v>101</v>
      </c>
      <c r="F84" s="21" t="s">
        <v>5</v>
      </c>
      <c r="G84" s="21" t="s">
        <v>6</v>
      </c>
      <c r="H84" s="21" t="s">
        <v>35</v>
      </c>
      <c r="I84" s="21" t="s">
        <v>36</v>
      </c>
      <c r="J84" s="21" t="s">
        <v>9</v>
      </c>
      <c r="K84" s="21" t="s">
        <v>151</v>
      </c>
      <c r="L84" s="21" t="s">
        <v>160</v>
      </c>
      <c r="M84" s="21" t="s">
        <v>15</v>
      </c>
      <c r="N84" s="54">
        <v>67482.12</v>
      </c>
      <c r="O84" s="54">
        <v>0</v>
      </c>
      <c r="P84" s="54">
        <v>0</v>
      </c>
      <c r="Q84" s="54">
        <v>67482.12</v>
      </c>
      <c r="R84" s="54">
        <v>0</v>
      </c>
      <c r="S84" s="54">
        <v>50130.8</v>
      </c>
      <c r="T84" s="54">
        <v>50130.8</v>
      </c>
      <c r="U84" s="54">
        <v>17351.32</v>
      </c>
      <c r="V84" s="54">
        <v>17351.32</v>
      </c>
      <c r="W84" s="54">
        <v>17351.32</v>
      </c>
    </row>
    <row r="85" spans="1:23" outlineLevel="2" x14ac:dyDescent="0.2">
      <c r="A85" s="21" t="s">
        <v>0</v>
      </c>
      <c r="B85" s="21" t="s">
        <v>39</v>
      </c>
      <c r="C85" s="21" t="s">
        <v>58</v>
      </c>
      <c r="D85" s="21" t="s">
        <v>139</v>
      </c>
      <c r="E85" s="21" t="s">
        <v>140</v>
      </c>
      <c r="F85" s="21" t="s">
        <v>5</v>
      </c>
      <c r="G85" s="21" t="s">
        <v>6</v>
      </c>
      <c r="H85" s="21" t="s">
        <v>35</v>
      </c>
      <c r="I85" s="21" t="s">
        <v>36</v>
      </c>
      <c r="J85" s="21" t="s">
        <v>9</v>
      </c>
      <c r="K85" s="21" t="s">
        <v>151</v>
      </c>
      <c r="L85" s="21" t="s">
        <v>154</v>
      </c>
      <c r="M85" s="21" t="s">
        <v>15</v>
      </c>
      <c r="N85" s="54">
        <v>127767.24</v>
      </c>
      <c r="O85" s="54">
        <v>0</v>
      </c>
      <c r="P85" s="54">
        <v>0</v>
      </c>
      <c r="Q85" s="54">
        <v>127767.24</v>
      </c>
      <c r="R85" s="54">
        <v>0</v>
      </c>
      <c r="S85" s="54">
        <v>100035.3</v>
      </c>
      <c r="T85" s="54">
        <v>100035.3</v>
      </c>
      <c r="U85" s="54">
        <v>27731.94</v>
      </c>
      <c r="V85" s="54">
        <v>27731.94</v>
      </c>
      <c r="W85" s="54">
        <v>27731.94</v>
      </c>
    </row>
    <row r="86" spans="1:23" outlineLevel="2" x14ac:dyDescent="0.2">
      <c r="A86" s="21" t="s">
        <v>0</v>
      </c>
      <c r="B86" s="21" t="s">
        <v>31</v>
      </c>
      <c r="C86" s="21" t="s">
        <v>79</v>
      </c>
      <c r="D86" s="21" t="s">
        <v>111</v>
      </c>
      <c r="E86" s="21" t="s">
        <v>112</v>
      </c>
      <c r="F86" s="21" t="s">
        <v>5</v>
      </c>
      <c r="G86" s="21" t="s">
        <v>6</v>
      </c>
      <c r="H86" s="21" t="s">
        <v>35</v>
      </c>
      <c r="I86" s="21" t="s">
        <v>36</v>
      </c>
      <c r="J86" s="21" t="s">
        <v>9</v>
      </c>
      <c r="K86" s="21" t="s">
        <v>151</v>
      </c>
      <c r="L86" s="21" t="s">
        <v>155</v>
      </c>
      <c r="M86" s="21" t="s">
        <v>15</v>
      </c>
      <c r="N86" s="54">
        <v>6809.16</v>
      </c>
      <c r="O86" s="54">
        <v>0</v>
      </c>
      <c r="P86" s="54">
        <v>0</v>
      </c>
      <c r="Q86" s="54">
        <v>6809.16</v>
      </c>
      <c r="R86" s="54">
        <v>0</v>
      </c>
      <c r="S86" s="54">
        <v>5674.3</v>
      </c>
      <c r="T86" s="54">
        <v>5674.3</v>
      </c>
      <c r="U86" s="54">
        <v>1134.8599999999999</v>
      </c>
      <c r="V86" s="54">
        <v>1134.8599999999999</v>
      </c>
      <c r="W86" s="54">
        <v>1134.8599999999999</v>
      </c>
    </row>
    <row r="87" spans="1:23" outlineLevel="2" x14ac:dyDescent="0.2">
      <c r="A87" s="21" t="s">
        <v>0</v>
      </c>
      <c r="B87" s="21" t="s">
        <v>31</v>
      </c>
      <c r="C87" s="21" t="s">
        <v>79</v>
      </c>
      <c r="D87" s="21" t="s">
        <v>83</v>
      </c>
      <c r="E87" s="21" t="s">
        <v>84</v>
      </c>
      <c r="F87" s="21" t="s">
        <v>5</v>
      </c>
      <c r="G87" s="21" t="s">
        <v>6</v>
      </c>
      <c r="H87" s="21" t="s">
        <v>35</v>
      </c>
      <c r="I87" s="21" t="s">
        <v>36</v>
      </c>
      <c r="J87" s="21" t="s">
        <v>9</v>
      </c>
      <c r="K87" s="21" t="s">
        <v>151</v>
      </c>
      <c r="L87" s="21" t="s">
        <v>155</v>
      </c>
      <c r="M87" s="21" t="s">
        <v>15</v>
      </c>
      <c r="N87" s="54">
        <v>216840.24</v>
      </c>
      <c r="O87" s="54">
        <v>0</v>
      </c>
      <c r="P87" s="54">
        <v>0</v>
      </c>
      <c r="Q87" s="54">
        <v>216840.24</v>
      </c>
      <c r="R87" s="54">
        <v>0</v>
      </c>
      <c r="S87" s="54">
        <v>170037.97</v>
      </c>
      <c r="T87" s="54">
        <v>170037.97</v>
      </c>
      <c r="U87" s="54">
        <v>46802.27</v>
      </c>
      <c r="V87" s="54">
        <v>46802.27</v>
      </c>
      <c r="W87" s="54">
        <v>46802.27</v>
      </c>
    </row>
    <row r="88" spans="1:23" outlineLevel="2" x14ac:dyDescent="0.2">
      <c r="A88" s="21" t="s">
        <v>0</v>
      </c>
      <c r="B88" s="21" t="s">
        <v>39</v>
      </c>
      <c r="C88" s="21" t="s">
        <v>40</v>
      </c>
      <c r="D88" s="21" t="s">
        <v>41</v>
      </c>
      <c r="E88" s="21" t="s">
        <v>42</v>
      </c>
      <c r="F88" s="21" t="s">
        <v>5</v>
      </c>
      <c r="G88" s="21" t="s">
        <v>6</v>
      </c>
      <c r="H88" s="21" t="s">
        <v>35</v>
      </c>
      <c r="I88" s="21" t="s">
        <v>36</v>
      </c>
      <c r="J88" s="21" t="s">
        <v>9</v>
      </c>
      <c r="K88" s="21" t="s">
        <v>151</v>
      </c>
      <c r="L88" s="21" t="s">
        <v>152</v>
      </c>
      <c r="M88" s="21" t="s">
        <v>15</v>
      </c>
      <c r="N88" s="54">
        <v>51510.12</v>
      </c>
      <c r="O88" s="54">
        <v>0</v>
      </c>
      <c r="P88" s="54">
        <v>0</v>
      </c>
      <c r="Q88" s="54">
        <v>51510.12</v>
      </c>
      <c r="R88" s="54">
        <v>0</v>
      </c>
      <c r="S88" s="54">
        <v>37319.18</v>
      </c>
      <c r="T88" s="54">
        <v>37319.18</v>
      </c>
      <c r="U88" s="54">
        <v>14190.94</v>
      </c>
      <c r="V88" s="54">
        <v>14190.94</v>
      </c>
      <c r="W88" s="54">
        <v>14190.94</v>
      </c>
    </row>
    <row r="89" spans="1:23" outlineLevel="2" x14ac:dyDescent="0.2">
      <c r="A89" s="21" t="s">
        <v>0</v>
      </c>
      <c r="B89" s="21" t="s">
        <v>31</v>
      </c>
      <c r="C89" s="21" t="s">
        <v>32</v>
      </c>
      <c r="D89" s="21" t="s">
        <v>141</v>
      </c>
      <c r="E89" s="21" t="s">
        <v>142</v>
      </c>
      <c r="F89" s="21" t="s">
        <v>5</v>
      </c>
      <c r="G89" s="21" t="s">
        <v>6</v>
      </c>
      <c r="H89" s="21" t="s">
        <v>35</v>
      </c>
      <c r="I89" s="21" t="s">
        <v>36</v>
      </c>
      <c r="J89" s="21" t="s">
        <v>9</v>
      </c>
      <c r="K89" s="21" t="s">
        <v>151</v>
      </c>
      <c r="L89" s="21" t="s">
        <v>162</v>
      </c>
      <c r="M89" s="21" t="s">
        <v>15</v>
      </c>
      <c r="N89" s="54">
        <v>44890.2</v>
      </c>
      <c r="O89" s="54">
        <v>0</v>
      </c>
      <c r="P89" s="54">
        <v>0</v>
      </c>
      <c r="Q89" s="54">
        <v>44890.2</v>
      </c>
      <c r="R89" s="54">
        <v>0</v>
      </c>
      <c r="S89" s="54">
        <v>37456.94</v>
      </c>
      <c r="T89" s="54">
        <v>37456.94</v>
      </c>
      <c r="U89" s="54">
        <v>7433.26</v>
      </c>
      <c r="V89" s="54">
        <v>7433.26</v>
      </c>
      <c r="W89" s="54">
        <v>7433.26</v>
      </c>
    </row>
    <row r="90" spans="1:23" outlineLevel="2" x14ac:dyDescent="0.2">
      <c r="A90" s="21" t="s">
        <v>0</v>
      </c>
      <c r="B90" s="21" t="s">
        <v>39</v>
      </c>
      <c r="C90" s="21" t="s">
        <v>66</v>
      </c>
      <c r="D90" s="21" t="s">
        <v>121</v>
      </c>
      <c r="E90" s="21" t="s">
        <v>122</v>
      </c>
      <c r="F90" s="21" t="s">
        <v>5</v>
      </c>
      <c r="G90" s="21" t="s">
        <v>6</v>
      </c>
      <c r="H90" s="21" t="s">
        <v>35</v>
      </c>
      <c r="I90" s="21" t="s">
        <v>36</v>
      </c>
      <c r="J90" s="21" t="s">
        <v>9</v>
      </c>
      <c r="K90" s="21" t="s">
        <v>151</v>
      </c>
      <c r="L90" s="21" t="s">
        <v>164</v>
      </c>
      <c r="M90" s="21" t="s">
        <v>15</v>
      </c>
      <c r="N90" s="54">
        <v>7232.52</v>
      </c>
      <c r="O90" s="54">
        <v>0</v>
      </c>
      <c r="P90" s="54">
        <v>0</v>
      </c>
      <c r="Q90" s="54">
        <v>7232.52</v>
      </c>
      <c r="R90" s="54">
        <v>0</v>
      </c>
      <c r="S90" s="54">
        <v>6027.1</v>
      </c>
      <c r="T90" s="54">
        <v>6027.1</v>
      </c>
      <c r="U90" s="54">
        <v>1205.42</v>
      </c>
      <c r="V90" s="54">
        <v>1205.42</v>
      </c>
      <c r="W90" s="54">
        <v>1205.42</v>
      </c>
    </row>
    <row r="91" spans="1:23" outlineLevel="2" x14ac:dyDescent="0.2">
      <c r="A91" s="21" t="s">
        <v>0</v>
      </c>
      <c r="B91" s="21" t="s">
        <v>1</v>
      </c>
      <c r="C91" s="21" t="s">
        <v>91</v>
      </c>
      <c r="D91" s="21" t="s">
        <v>92</v>
      </c>
      <c r="E91" s="21" t="s">
        <v>93</v>
      </c>
      <c r="F91" s="21" t="s">
        <v>5</v>
      </c>
      <c r="G91" s="21" t="s">
        <v>6</v>
      </c>
      <c r="H91" s="21" t="s">
        <v>35</v>
      </c>
      <c r="I91" s="21" t="s">
        <v>36</v>
      </c>
      <c r="J91" s="21" t="s">
        <v>9</v>
      </c>
      <c r="K91" s="21" t="s">
        <v>151</v>
      </c>
      <c r="L91" s="21" t="s">
        <v>163</v>
      </c>
      <c r="M91" s="21" t="s">
        <v>15</v>
      </c>
      <c r="N91" s="54">
        <v>36946.32</v>
      </c>
      <c r="O91" s="54">
        <v>0</v>
      </c>
      <c r="P91" s="54">
        <v>0</v>
      </c>
      <c r="Q91" s="54">
        <v>36946.32</v>
      </c>
      <c r="R91" s="54">
        <v>0</v>
      </c>
      <c r="S91" s="54">
        <v>30788.6</v>
      </c>
      <c r="T91" s="54">
        <v>30788.6</v>
      </c>
      <c r="U91" s="54">
        <v>6157.72</v>
      </c>
      <c r="V91" s="54">
        <v>6157.72</v>
      </c>
      <c r="W91" s="54">
        <v>6157.72</v>
      </c>
    </row>
    <row r="92" spans="1:23" outlineLevel="2" x14ac:dyDescent="0.2">
      <c r="A92" s="21" t="s">
        <v>0</v>
      </c>
      <c r="B92" s="21" t="s">
        <v>53</v>
      </c>
      <c r="C92" s="21" t="s">
        <v>85</v>
      </c>
      <c r="D92" s="21" t="s">
        <v>86</v>
      </c>
      <c r="E92" s="21" t="s">
        <v>87</v>
      </c>
      <c r="F92" s="21" t="s">
        <v>5</v>
      </c>
      <c r="G92" s="21" t="s">
        <v>6</v>
      </c>
      <c r="H92" s="21" t="s">
        <v>35</v>
      </c>
      <c r="I92" s="21" t="s">
        <v>36</v>
      </c>
      <c r="J92" s="21" t="s">
        <v>9</v>
      </c>
      <c r="K92" s="21" t="s">
        <v>151</v>
      </c>
      <c r="L92" s="21" t="s">
        <v>165</v>
      </c>
      <c r="M92" s="21" t="s">
        <v>15</v>
      </c>
      <c r="N92" s="54">
        <v>15016.08</v>
      </c>
      <c r="O92" s="54">
        <v>-15016.08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</row>
    <row r="93" spans="1:23" outlineLevel="2" x14ac:dyDescent="0.2">
      <c r="A93" s="21" t="s">
        <v>0</v>
      </c>
      <c r="B93" s="21" t="s">
        <v>39</v>
      </c>
      <c r="C93" s="21" t="s">
        <v>70</v>
      </c>
      <c r="D93" s="21" t="s">
        <v>71</v>
      </c>
      <c r="E93" s="21" t="s">
        <v>72</v>
      </c>
      <c r="F93" s="21" t="s">
        <v>5</v>
      </c>
      <c r="G93" s="21" t="s">
        <v>6</v>
      </c>
      <c r="H93" s="21" t="s">
        <v>35</v>
      </c>
      <c r="I93" s="21" t="s">
        <v>36</v>
      </c>
      <c r="J93" s="21" t="s">
        <v>9</v>
      </c>
      <c r="K93" s="21" t="s">
        <v>151</v>
      </c>
      <c r="L93" s="21" t="s">
        <v>159</v>
      </c>
      <c r="M93" s="21" t="s">
        <v>15</v>
      </c>
      <c r="N93" s="54">
        <v>121074.48</v>
      </c>
      <c r="O93" s="54">
        <v>0</v>
      </c>
      <c r="P93" s="54">
        <v>0</v>
      </c>
      <c r="Q93" s="54">
        <v>121074.48</v>
      </c>
      <c r="R93" s="54">
        <v>0</v>
      </c>
      <c r="S93" s="54">
        <v>100973.71</v>
      </c>
      <c r="T93" s="54">
        <v>100973.71</v>
      </c>
      <c r="U93" s="54">
        <v>20100.77</v>
      </c>
      <c r="V93" s="54">
        <v>20100.77</v>
      </c>
      <c r="W93" s="54">
        <v>20100.77</v>
      </c>
    </row>
    <row r="94" spans="1:23" outlineLevel="2" x14ac:dyDescent="0.2">
      <c r="A94" s="21" t="s">
        <v>0</v>
      </c>
      <c r="B94" s="21" t="s">
        <v>31</v>
      </c>
      <c r="C94" s="21" t="s">
        <v>79</v>
      </c>
      <c r="D94" s="21" t="s">
        <v>80</v>
      </c>
      <c r="E94" s="21" t="s">
        <v>81</v>
      </c>
      <c r="F94" s="21" t="s">
        <v>5</v>
      </c>
      <c r="G94" s="21" t="s">
        <v>6</v>
      </c>
      <c r="H94" s="21" t="s">
        <v>35</v>
      </c>
      <c r="I94" s="21" t="s">
        <v>36</v>
      </c>
      <c r="J94" s="21" t="s">
        <v>9</v>
      </c>
      <c r="K94" s="21" t="s">
        <v>167</v>
      </c>
      <c r="L94" s="21" t="s">
        <v>168</v>
      </c>
      <c r="M94" s="21" t="s">
        <v>15</v>
      </c>
      <c r="N94" s="54">
        <v>943105.56</v>
      </c>
      <c r="O94" s="54">
        <v>-9613.25</v>
      </c>
      <c r="P94" s="54">
        <v>0</v>
      </c>
      <c r="Q94" s="54">
        <v>933492.31</v>
      </c>
      <c r="R94" s="54">
        <v>0</v>
      </c>
      <c r="S94" s="54">
        <v>745839.9</v>
      </c>
      <c r="T94" s="54">
        <v>745839.9</v>
      </c>
      <c r="U94" s="54">
        <v>187652.41</v>
      </c>
      <c r="V94" s="54">
        <v>187652.41</v>
      </c>
      <c r="W94" s="54">
        <v>187652.41</v>
      </c>
    </row>
    <row r="95" spans="1:23" outlineLevel="2" x14ac:dyDescent="0.2">
      <c r="A95" s="21" t="s">
        <v>0</v>
      </c>
      <c r="B95" s="21" t="s">
        <v>31</v>
      </c>
      <c r="C95" s="21" t="s">
        <v>79</v>
      </c>
      <c r="D95" s="21" t="s">
        <v>131</v>
      </c>
      <c r="E95" s="21" t="s">
        <v>132</v>
      </c>
      <c r="F95" s="21" t="s">
        <v>5</v>
      </c>
      <c r="G95" s="21" t="s">
        <v>6</v>
      </c>
      <c r="H95" s="21" t="s">
        <v>35</v>
      </c>
      <c r="I95" s="21" t="s">
        <v>36</v>
      </c>
      <c r="J95" s="21" t="s">
        <v>9</v>
      </c>
      <c r="K95" s="21" t="s">
        <v>167</v>
      </c>
      <c r="L95" s="21" t="s">
        <v>168</v>
      </c>
      <c r="M95" s="21" t="s">
        <v>15</v>
      </c>
      <c r="N95" s="54">
        <v>1646892</v>
      </c>
      <c r="O95" s="54">
        <v>-9609.42</v>
      </c>
      <c r="P95" s="54">
        <v>0</v>
      </c>
      <c r="Q95" s="54">
        <v>1637282.58</v>
      </c>
      <c r="R95" s="54">
        <v>0</v>
      </c>
      <c r="S95" s="54">
        <v>1300382</v>
      </c>
      <c r="T95" s="54">
        <v>1300382</v>
      </c>
      <c r="U95" s="54">
        <v>336900.58</v>
      </c>
      <c r="V95" s="54">
        <v>336900.58</v>
      </c>
      <c r="W95" s="54">
        <v>336900.58</v>
      </c>
    </row>
    <row r="96" spans="1:23" outlineLevel="2" x14ac:dyDescent="0.2">
      <c r="A96" s="21" t="s">
        <v>0</v>
      </c>
      <c r="B96" s="21" t="s">
        <v>31</v>
      </c>
      <c r="C96" s="21" t="s">
        <v>79</v>
      </c>
      <c r="D96" s="21" t="s">
        <v>111</v>
      </c>
      <c r="E96" s="21" t="s">
        <v>112</v>
      </c>
      <c r="F96" s="21" t="s">
        <v>5</v>
      </c>
      <c r="G96" s="21" t="s">
        <v>6</v>
      </c>
      <c r="H96" s="21" t="s">
        <v>35</v>
      </c>
      <c r="I96" s="21" t="s">
        <v>36</v>
      </c>
      <c r="J96" s="21" t="s">
        <v>9</v>
      </c>
      <c r="K96" s="21" t="s">
        <v>167</v>
      </c>
      <c r="L96" s="21" t="s">
        <v>168</v>
      </c>
      <c r="M96" s="21" t="s">
        <v>15</v>
      </c>
      <c r="N96" s="54">
        <v>765312</v>
      </c>
      <c r="O96" s="54">
        <v>-2100</v>
      </c>
      <c r="P96" s="54">
        <v>0</v>
      </c>
      <c r="Q96" s="54">
        <v>763212</v>
      </c>
      <c r="R96" s="54">
        <v>0</v>
      </c>
      <c r="S96" s="54">
        <v>724911.57</v>
      </c>
      <c r="T96" s="54">
        <v>724911.57</v>
      </c>
      <c r="U96" s="54">
        <v>38300.43</v>
      </c>
      <c r="V96" s="54">
        <v>38300.43</v>
      </c>
      <c r="W96" s="54">
        <v>38300.43</v>
      </c>
    </row>
    <row r="97" spans="1:23" outlineLevel="2" x14ac:dyDescent="0.2">
      <c r="A97" s="21" t="s">
        <v>0</v>
      </c>
      <c r="B97" s="21" t="s">
        <v>31</v>
      </c>
      <c r="C97" s="21" t="s">
        <v>79</v>
      </c>
      <c r="D97" s="21" t="s">
        <v>113</v>
      </c>
      <c r="E97" s="21" t="s">
        <v>114</v>
      </c>
      <c r="F97" s="21" t="s">
        <v>5</v>
      </c>
      <c r="G97" s="21" t="s">
        <v>6</v>
      </c>
      <c r="H97" s="21" t="s">
        <v>35</v>
      </c>
      <c r="I97" s="21" t="s">
        <v>36</v>
      </c>
      <c r="J97" s="21" t="s">
        <v>9</v>
      </c>
      <c r="K97" s="21" t="s">
        <v>167</v>
      </c>
      <c r="L97" s="21" t="s">
        <v>168</v>
      </c>
      <c r="M97" s="21" t="s">
        <v>15</v>
      </c>
      <c r="N97" s="54">
        <v>1003428</v>
      </c>
      <c r="O97" s="54">
        <v>-7503.97</v>
      </c>
      <c r="P97" s="54">
        <v>0</v>
      </c>
      <c r="Q97" s="54">
        <v>995924.03</v>
      </c>
      <c r="R97" s="54">
        <v>0</v>
      </c>
      <c r="S97" s="54">
        <v>830868.06</v>
      </c>
      <c r="T97" s="54">
        <v>830868.06</v>
      </c>
      <c r="U97" s="54">
        <v>165055.97</v>
      </c>
      <c r="V97" s="54">
        <v>165055.97</v>
      </c>
      <c r="W97" s="54">
        <v>165055.97</v>
      </c>
    </row>
    <row r="98" spans="1:23" outlineLevel="2" x14ac:dyDescent="0.2">
      <c r="A98" s="21" t="s">
        <v>0</v>
      </c>
      <c r="B98" s="21" t="s">
        <v>31</v>
      </c>
      <c r="C98" s="21" t="s">
        <v>79</v>
      </c>
      <c r="D98" s="21" t="s">
        <v>125</v>
      </c>
      <c r="E98" s="21" t="s">
        <v>126</v>
      </c>
      <c r="F98" s="21" t="s">
        <v>5</v>
      </c>
      <c r="G98" s="21" t="s">
        <v>6</v>
      </c>
      <c r="H98" s="21" t="s">
        <v>35</v>
      </c>
      <c r="I98" s="21" t="s">
        <v>36</v>
      </c>
      <c r="J98" s="21" t="s">
        <v>9</v>
      </c>
      <c r="K98" s="21" t="s">
        <v>167</v>
      </c>
      <c r="L98" s="21" t="s">
        <v>168</v>
      </c>
      <c r="M98" s="21" t="s">
        <v>15</v>
      </c>
      <c r="N98" s="54">
        <v>829608</v>
      </c>
      <c r="O98" s="54">
        <v>0</v>
      </c>
      <c r="P98" s="54">
        <v>0</v>
      </c>
      <c r="Q98" s="54">
        <v>829608</v>
      </c>
      <c r="R98" s="54">
        <v>0</v>
      </c>
      <c r="S98" s="54">
        <v>654608</v>
      </c>
      <c r="T98" s="54">
        <v>654608</v>
      </c>
      <c r="U98" s="54">
        <v>175000</v>
      </c>
      <c r="V98" s="54">
        <v>175000</v>
      </c>
      <c r="W98" s="54">
        <v>175000</v>
      </c>
    </row>
    <row r="99" spans="1:23" outlineLevel="2" x14ac:dyDescent="0.2">
      <c r="A99" s="21" t="s">
        <v>0</v>
      </c>
      <c r="B99" s="21" t="s">
        <v>31</v>
      </c>
      <c r="C99" s="21" t="s">
        <v>79</v>
      </c>
      <c r="D99" s="21" t="s">
        <v>117</v>
      </c>
      <c r="E99" s="21" t="s">
        <v>118</v>
      </c>
      <c r="F99" s="21" t="s">
        <v>5</v>
      </c>
      <c r="G99" s="21" t="s">
        <v>6</v>
      </c>
      <c r="H99" s="21" t="s">
        <v>35</v>
      </c>
      <c r="I99" s="21" t="s">
        <v>36</v>
      </c>
      <c r="J99" s="21" t="s">
        <v>9</v>
      </c>
      <c r="K99" s="21" t="s">
        <v>167</v>
      </c>
      <c r="L99" s="21" t="s">
        <v>168</v>
      </c>
      <c r="M99" s="21" t="s">
        <v>15</v>
      </c>
      <c r="N99" s="54">
        <v>1847772</v>
      </c>
      <c r="O99" s="54">
        <v>-454</v>
      </c>
      <c r="P99" s="54">
        <v>0</v>
      </c>
      <c r="Q99" s="54">
        <v>1847318</v>
      </c>
      <c r="R99" s="54">
        <v>0</v>
      </c>
      <c r="S99" s="54">
        <v>1467443.14</v>
      </c>
      <c r="T99" s="54">
        <v>1467443.14</v>
      </c>
      <c r="U99" s="54">
        <v>379874.86</v>
      </c>
      <c r="V99" s="54">
        <v>379874.86</v>
      </c>
      <c r="W99" s="54">
        <v>379874.86</v>
      </c>
    </row>
    <row r="100" spans="1:23" outlineLevel="2" x14ac:dyDescent="0.2">
      <c r="A100" s="21" t="s">
        <v>0</v>
      </c>
      <c r="B100" s="21" t="s">
        <v>31</v>
      </c>
      <c r="C100" s="21" t="s">
        <v>79</v>
      </c>
      <c r="D100" s="21" t="s">
        <v>83</v>
      </c>
      <c r="E100" s="21" t="s">
        <v>84</v>
      </c>
      <c r="F100" s="21" t="s">
        <v>5</v>
      </c>
      <c r="G100" s="21" t="s">
        <v>6</v>
      </c>
      <c r="H100" s="21" t="s">
        <v>35</v>
      </c>
      <c r="I100" s="21" t="s">
        <v>36</v>
      </c>
      <c r="J100" s="21" t="s">
        <v>9</v>
      </c>
      <c r="K100" s="21" t="s">
        <v>167</v>
      </c>
      <c r="L100" s="21" t="s">
        <v>168</v>
      </c>
      <c r="M100" s="21" t="s">
        <v>15</v>
      </c>
      <c r="N100" s="54">
        <v>4008084</v>
      </c>
      <c r="O100" s="54">
        <v>-1352537.86</v>
      </c>
      <c r="P100" s="54">
        <v>0</v>
      </c>
      <c r="Q100" s="54">
        <v>2655546.14</v>
      </c>
      <c r="R100" s="54">
        <v>0</v>
      </c>
      <c r="S100" s="54">
        <v>1955869.23</v>
      </c>
      <c r="T100" s="54">
        <v>1955869.23</v>
      </c>
      <c r="U100" s="54">
        <v>699676.91</v>
      </c>
      <c r="V100" s="54">
        <v>699676.91</v>
      </c>
      <c r="W100" s="54">
        <v>699676.91</v>
      </c>
    </row>
    <row r="101" spans="1:23" outlineLevel="2" x14ac:dyDescent="0.2">
      <c r="A101" s="21" t="s">
        <v>0</v>
      </c>
      <c r="B101" s="21" t="s">
        <v>31</v>
      </c>
      <c r="C101" s="21" t="s">
        <v>79</v>
      </c>
      <c r="D101" s="21" t="s">
        <v>133</v>
      </c>
      <c r="E101" s="21" t="s">
        <v>134</v>
      </c>
      <c r="F101" s="21" t="s">
        <v>5</v>
      </c>
      <c r="G101" s="21" t="s">
        <v>6</v>
      </c>
      <c r="H101" s="21" t="s">
        <v>35</v>
      </c>
      <c r="I101" s="21" t="s">
        <v>36</v>
      </c>
      <c r="J101" s="21" t="s">
        <v>9</v>
      </c>
      <c r="K101" s="21" t="s">
        <v>167</v>
      </c>
      <c r="L101" s="21" t="s">
        <v>168</v>
      </c>
      <c r="M101" s="21" t="s">
        <v>15</v>
      </c>
      <c r="N101" s="54">
        <v>1008876</v>
      </c>
      <c r="O101" s="54">
        <v>-14261.42</v>
      </c>
      <c r="P101" s="54">
        <v>0</v>
      </c>
      <c r="Q101" s="54">
        <v>994614.58</v>
      </c>
      <c r="R101" s="54">
        <v>0</v>
      </c>
      <c r="S101" s="54">
        <v>785790.77</v>
      </c>
      <c r="T101" s="54">
        <v>785790.77</v>
      </c>
      <c r="U101" s="54">
        <v>208823.81</v>
      </c>
      <c r="V101" s="54">
        <v>208823.81</v>
      </c>
      <c r="W101" s="54">
        <v>208823.81</v>
      </c>
    </row>
    <row r="102" spans="1:23" outlineLevel="2" x14ac:dyDescent="0.2">
      <c r="A102" s="21" t="s">
        <v>0</v>
      </c>
      <c r="B102" s="21" t="s">
        <v>31</v>
      </c>
      <c r="C102" s="21" t="s">
        <v>79</v>
      </c>
      <c r="D102" s="21" t="s">
        <v>115</v>
      </c>
      <c r="E102" s="21" t="s">
        <v>116</v>
      </c>
      <c r="F102" s="21" t="s">
        <v>5</v>
      </c>
      <c r="G102" s="21" t="s">
        <v>6</v>
      </c>
      <c r="H102" s="21" t="s">
        <v>35</v>
      </c>
      <c r="I102" s="21" t="s">
        <v>36</v>
      </c>
      <c r="J102" s="21" t="s">
        <v>9</v>
      </c>
      <c r="K102" s="21" t="s">
        <v>167</v>
      </c>
      <c r="L102" s="21" t="s">
        <v>168</v>
      </c>
      <c r="M102" s="21" t="s">
        <v>15</v>
      </c>
      <c r="N102" s="54">
        <v>662100</v>
      </c>
      <c r="O102" s="54">
        <v>0</v>
      </c>
      <c r="P102" s="54">
        <v>0</v>
      </c>
      <c r="Q102" s="54">
        <v>662100</v>
      </c>
      <c r="R102" s="54">
        <v>0</v>
      </c>
      <c r="S102" s="54">
        <v>539612.87</v>
      </c>
      <c r="T102" s="54">
        <v>539612.87</v>
      </c>
      <c r="U102" s="54">
        <v>122487.13</v>
      </c>
      <c r="V102" s="54">
        <v>122487.13</v>
      </c>
      <c r="W102" s="54">
        <v>122487.13</v>
      </c>
    </row>
    <row r="103" spans="1:23" outlineLevel="2" x14ac:dyDescent="0.2">
      <c r="A103" s="21" t="s">
        <v>0</v>
      </c>
      <c r="B103" s="21" t="s">
        <v>31</v>
      </c>
      <c r="C103" s="21" t="s">
        <v>79</v>
      </c>
      <c r="D103" s="21" t="s">
        <v>127</v>
      </c>
      <c r="E103" s="21" t="s">
        <v>128</v>
      </c>
      <c r="F103" s="21" t="s">
        <v>5</v>
      </c>
      <c r="G103" s="21" t="s">
        <v>6</v>
      </c>
      <c r="H103" s="21" t="s">
        <v>35</v>
      </c>
      <c r="I103" s="21" t="s">
        <v>36</v>
      </c>
      <c r="J103" s="21" t="s">
        <v>9</v>
      </c>
      <c r="K103" s="21" t="s">
        <v>167</v>
      </c>
      <c r="L103" s="21" t="s">
        <v>168</v>
      </c>
      <c r="M103" s="21" t="s">
        <v>15</v>
      </c>
      <c r="N103" s="54">
        <v>957708.48</v>
      </c>
      <c r="O103" s="54">
        <v>0</v>
      </c>
      <c r="P103" s="54">
        <v>0</v>
      </c>
      <c r="Q103" s="54">
        <v>957708.48</v>
      </c>
      <c r="R103" s="54">
        <v>0</v>
      </c>
      <c r="S103" s="54">
        <v>770280.57</v>
      </c>
      <c r="T103" s="54">
        <v>770280.57</v>
      </c>
      <c r="U103" s="54">
        <v>187427.91</v>
      </c>
      <c r="V103" s="54">
        <v>187427.91</v>
      </c>
      <c r="W103" s="54">
        <v>187427.91</v>
      </c>
    </row>
    <row r="104" spans="1:23" outlineLevel="2" x14ac:dyDescent="0.2">
      <c r="A104" s="21" t="s">
        <v>0</v>
      </c>
      <c r="B104" s="21" t="s">
        <v>1</v>
      </c>
      <c r="C104" s="21" t="s">
        <v>99</v>
      </c>
      <c r="D104" s="21" t="s">
        <v>100</v>
      </c>
      <c r="E104" s="21" t="s">
        <v>101</v>
      </c>
      <c r="F104" s="21" t="s">
        <v>5</v>
      </c>
      <c r="G104" s="21" t="s">
        <v>6</v>
      </c>
      <c r="H104" s="21" t="s">
        <v>35</v>
      </c>
      <c r="I104" s="21" t="s">
        <v>36</v>
      </c>
      <c r="J104" s="21" t="s">
        <v>9</v>
      </c>
      <c r="K104" s="21" t="s">
        <v>169</v>
      </c>
      <c r="L104" s="21" t="s">
        <v>180</v>
      </c>
      <c r="M104" s="21" t="s">
        <v>15</v>
      </c>
      <c r="N104" s="54">
        <v>106712.51</v>
      </c>
      <c r="O104" s="54">
        <v>-724.67</v>
      </c>
      <c r="P104" s="54">
        <v>0</v>
      </c>
      <c r="Q104" s="54">
        <v>105987.84</v>
      </c>
      <c r="R104" s="54">
        <v>30617.25</v>
      </c>
      <c r="S104" s="54">
        <v>9155.4500000000007</v>
      </c>
      <c r="T104" s="54">
        <v>9155.4500000000007</v>
      </c>
      <c r="U104" s="54">
        <v>96832.39</v>
      </c>
      <c r="V104" s="54">
        <v>96832.39</v>
      </c>
      <c r="W104" s="54">
        <v>66215.14</v>
      </c>
    </row>
    <row r="105" spans="1:23" outlineLevel="2" x14ac:dyDescent="0.2">
      <c r="A105" s="21" t="s">
        <v>0</v>
      </c>
      <c r="B105" s="21" t="s">
        <v>31</v>
      </c>
      <c r="C105" s="21" t="s">
        <v>32</v>
      </c>
      <c r="D105" s="21" t="s">
        <v>33</v>
      </c>
      <c r="E105" s="21" t="s">
        <v>34</v>
      </c>
      <c r="F105" s="21" t="s">
        <v>5</v>
      </c>
      <c r="G105" s="21" t="s">
        <v>6</v>
      </c>
      <c r="H105" s="21" t="s">
        <v>35</v>
      </c>
      <c r="I105" s="21" t="s">
        <v>36</v>
      </c>
      <c r="J105" s="21" t="s">
        <v>9</v>
      </c>
      <c r="K105" s="21" t="s">
        <v>169</v>
      </c>
      <c r="L105" s="21" t="s">
        <v>177</v>
      </c>
      <c r="M105" s="21" t="s">
        <v>15</v>
      </c>
      <c r="N105" s="54">
        <v>300907.52000000002</v>
      </c>
      <c r="O105" s="54">
        <v>12070.08</v>
      </c>
      <c r="P105" s="54">
        <v>0</v>
      </c>
      <c r="Q105" s="54">
        <v>312977.59999999998</v>
      </c>
      <c r="R105" s="54">
        <v>26124.720000000001</v>
      </c>
      <c r="S105" s="54">
        <v>21262.68</v>
      </c>
      <c r="T105" s="54">
        <v>21262.68</v>
      </c>
      <c r="U105" s="54">
        <v>291714.92</v>
      </c>
      <c r="V105" s="54">
        <v>291714.92</v>
      </c>
      <c r="W105" s="54">
        <v>265590.2</v>
      </c>
    </row>
    <row r="106" spans="1:23" outlineLevel="2" x14ac:dyDescent="0.2">
      <c r="A106" s="21" t="s">
        <v>0</v>
      </c>
      <c r="B106" s="21" t="s">
        <v>39</v>
      </c>
      <c r="C106" s="21" t="s">
        <v>58</v>
      </c>
      <c r="D106" s="21" t="s">
        <v>145</v>
      </c>
      <c r="E106" s="21" t="s">
        <v>146</v>
      </c>
      <c r="F106" s="21" t="s">
        <v>5</v>
      </c>
      <c r="G106" s="21" t="s">
        <v>6</v>
      </c>
      <c r="H106" s="21" t="s">
        <v>35</v>
      </c>
      <c r="I106" s="21" t="s">
        <v>36</v>
      </c>
      <c r="J106" s="21" t="s">
        <v>9</v>
      </c>
      <c r="K106" s="21" t="s">
        <v>169</v>
      </c>
      <c r="L106" s="21" t="s">
        <v>170</v>
      </c>
      <c r="M106" s="21" t="s">
        <v>15</v>
      </c>
      <c r="N106" s="54">
        <v>91576.9</v>
      </c>
      <c r="O106" s="54">
        <v>838.33</v>
      </c>
      <c r="P106" s="54">
        <v>0</v>
      </c>
      <c r="Q106" s="54">
        <v>92415.23</v>
      </c>
      <c r="R106" s="54">
        <v>0</v>
      </c>
      <c r="S106" s="54">
        <v>12008.56</v>
      </c>
      <c r="T106" s="54">
        <v>12008.56</v>
      </c>
      <c r="U106" s="54">
        <v>80406.67</v>
      </c>
      <c r="V106" s="54">
        <v>80406.67</v>
      </c>
      <c r="W106" s="54">
        <v>80406.67</v>
      </c>
    </row>
    <row r="107" spans="1:23" outlineLevel="2" x14ac:dyDescent="0.2">
      <c r="A107" s="21" t="s">
        <v>0</v>
      </c>
      <c r="B107" s="21" t="s">
        <v>1</v>
      </c>
      <c r="C107" s="21" t="s">
        <v>16</v>
      </c>
      <c r="D107" s="21" t="s">
        <v>64</v>
      </c>
      <c r="E107" s="21" t="s">
        <v>65</v>
      </c>
      <c r="F107" s="21" t="s">
        <v>5</v>
      </c>
      <c r="G107" s="21" t="s">
        <v>6</v>
      </c>
      <c r="H107" s="21" t="s">
        <v>35</v>
      </c>
      <c r="I107" s="21" t="s">
        <v>36</v>
      </c>
      <c r="J107" s="21" t="s">
        <v>9</v>
      </c>
      <c r="K107" s="21" t="s">
        <v>169</v>
      </c>
      <c r="L107" s="21" t="s">
        <v>171</v>
      </c>
      <c r="M107" s="21" t="s">
        <v>15</v>
      </c>
      <c r="N107" s="54">
        <v>32506</v>
      </c>
      <c r="O107" s="54">
        <v>0</v>
      </c>
      <c r="P107" s="54">
        <v>0</v>
      </c>
      <c r="Q107" s="54">
        <v>32506</v>
      </c>
      <c r="R107" s="54">
        <v>674</v>
      </c>
      <c r="S107" s="54">
        <v>3857.05</v>
      </c>
      <c r="T107" s="54">
        <v>3857.05</v>
      </c>
      <c r="U107" s="54">
        <v>28648.95</v>
      </c>
      <c r="V107" s="54">
        <v>28648.95</v>
      </c>
      <c r="W107" s="54">
        <v>27974.95</v>
      </c>
    </row>
    <row r="108" spans="1:23" outlineLevel="2" x14ac:dyDescent="0.2">
      <c r="A108" s="21" t="s">
        <v>0</v>
      </c>
      <c r="B108" s="21" t="s">
        <v>31</v>
      </c>
      <c r="C108" s="21" t="s">
        <v>79</v>
      </c>
      <c r="D108" s="21" t="s">
        <v>111</v>
      </c>
      <c r="E108" s="21" t="s">
        <v>112</v>
      </c>
      <c r="F108" s="21" t="s">
        <v>5</v>
      </c>
      <c r="G108" s="21" t="s">
        <v>6</v>
      </c>
      <c r="H108" s="21" t="s">
        <v>35</v>
      </c>
      <c r="I108" s="21" t="s">
        <v>36</v>
      </c>
      <c r="J108" s="21" t="s">
        <v>9</v>
      </c>
      <c r="K108" s="21" t="s">
        <v>169</v>
      </c>
      <c r="L108" s="21" t="s">
        <v>172</v>
      </c>
      <c r="M108" s="21" t="s">
        <v>15</v>
      </c>
      <c r="N108" s="54">
        <v>70207.429999999993</v>
      </c>
      <c r="O108" s="54">
        <v>0</v>
      </c>
      <c r="P108" s="54">
        <v>0</v>
      </c>
      <c r="Q108" s="54">
        <v>70207.429999999993</v>
      </c>
      <c r="R108" s="54">
        <v>0</v>
      </c>
      <c r="S108" s="54">
        <v>7883.82</v>
      </c>
      <c r="T108" s="54">
        <v>7883.82</v>
      </c>
      <c r="U108" s="54">
        <v>62323.61</v>
      </c>
      <c r="V108" s="54">
        <v>62323.61</v>
      </c>
      <c r="W108" s="54">
        <v>62323.61</v>
      </c>
    </row>
    <row r="109" spans="1:23" outlineLevel="2" x14ac:dyDescent="0.2">
      <c r="A109" s="21" t="s">
        <v>0</v>
      </c>
      <c r="B109" s="21" t="s">
        <v>31</v>
      </c>
      <c r="C109" s="21" t="s">
        <v>79</v>
      </c>
      <c r="D109" s="21" t="s">
        <v>83</v>
      </c>
      <c r="E109" s="21" t="s">
        <v>84</v>
      </c>
      <c r="F109" s="21" t="s">
        <v>5</v>
      </c>
      <c r="G109" s="21" t="s">
        <v>6</v>
      </c>
      <c r="H109" s="21" t="s">
        <v>35</v>
      </c>
      <c r="I109" s="21" t="s">
        <v>36</v>
      </c>
      <c r="J109" s="21" t="s">
        <v>9</v>
      </c>
      <c r="K109" s="21" t="s">
        <v>169</v>
      </c>
      <c r="L109" s="21" t="s">
        <v>172</v>
      </c>
      <c r="M109" s="21" t="s">
        <v>12</v>
      </c>
      <c r="N109" s="54">
        <v>0</v>
      </c>
      <c r="O109" s="54">
        <v>7761.5</v>
      </c>
      <c r="P109" s="54">
        <v>0</v>
      </c>
      <c r="Q109" s="54">
        <v>7761.5</v>
      </c>
      <c r="R109" s="54">
        <v>7235.01</v>
      </c>
      <c r="S109" s="54">
        <v>526.49</v>
      </c>
      <c r="T109" s="54">
        <v>526.49</v>
      </c>
      <c r="U109" s="54">
        <v>7235.01</v>
      </c>
      <c r="V109" s="54">
        <v>7235.01</v>
      </c>
      <c r="W109" s="54">
        <v>0</v>
      </c>
    </row>
    <row r="110" spans="1:23" outlineLevel="2" x14ac:dyDescent="0.2">
      <c r="A110" s="21" t="s">
        <v>0</v>
      </c>
      <c r="B110" s="21" t="s">
        <v>39</v>
      </c>
      <c r="C110" s="21" t="s">
        <v>58</v>
      </c>
      <c r="D110" s="21" t="s">
        <v>147</v>
      </c>
      <c r="E110" s="21" t="s">
        <v>148</v>
      </c>
      <c r="F110" s="21" t="s">
        <v>5</v>
      </c>
      <c r="G110" s="21" t="s">
        <v>6</v>
      </c>
      <c r="H110" s="21" t="s">
        <v>35</v>
      </c>
      <c r="I110" s="21" t="s">
        <v>36</v>
      </c>
      <c r="J110" s="21" t="s">
        <v>9</v>
      </c>
      <c r="K110" s="21" t="s">
        <v>169</v>
      </c>
      <c r="L110" s="21" t="s">
        <v>170</v>
      </c>
      <c r="M110" s="21" t="s">
        <v>15</v>
      </c>
      <c r="N110" s="54">
        <v>113935.47</v>
      </c>
      <c r="O110" s="54">
        <v>0</v>
      </c>
      <c r="P110" s="54">
        <v>0</v>
      </c>
      <c r="Q110" s="54">
        <v>113935.47</v>
      </c>
      <c r="R110" s="54">
        <v>435</v>
      </c>
      <c r="S110" s="54">
        <v>10321.25</v>
      </c>
      <c r="T110" s="54">
        <v>10321.25</v>
      </c>
      <c r="U110" s="54">
        <v>103614.22</v>
      </c>
      <c r="V110" s="54">
        <v>103614.22</v>
      </c>
      <c r="W110" s="54">
        <v>103179.22</v>
      </c>
    </row>
    <row r="111" spans="1:23" outlineLevel="2" x14ac:dyDescent="0.2">
      <c r="A111" s="21" t="s">
        <v>0</v>
      </c>
      <c r="B111" s="21" t="s">
        <v>39</v>
      </c>
      <c r="C111" s="21" t="s">
        <v>58</v>
      </c>
      <c r="D111" s="21" t="s">
        <v>119</v>
      </c>
      <c r="E111" s="21" t="s">
        <v>120</v>
      </c>
      <c r="F111" s="21" t="s">
        <v>5</v>
      </c>
      <c r="G111" s="21" t="s">
        <v>6</v>
      </c>
      <c r="H111" s="21" t="s">
        <v>35</v>
      </c>
      <c r="I111" s="21" t="s">
        <v>36</v>
      </c>
      <c r="J111" s="21" t="s">
        <v>9</v>
      </c>
      <c r="K111" s="21" t="s">
        <v>169</v>
      </c>
      <c r="L111" s="21" t="s">
        <v>170</v>
      </c>
      <c r="M111" s="21" t="s">
        <v>15</v>
      </c>
      <c r="N111" s="54">
        <v>39013</v>
      </c>
      <c r="O111" s="54">
        <v>-306</v>
      </c>
      <c r="P111" s="54">
        <v>0</v>
      </c>
      <c r="Q111" s="54">
        <v>38707</v>
      </c>
      <c r="R111" s="54">
        <v>2500</v>
      </c>
      <c r="S111" s="54">
        <v>9019.31</v>
      </c>
      <c r="T111" s="54">
        <v>9019.31</v>
      </c>
      <c r="U111" s="54">
        <v>29687.69</v>
      </c>
      <c r="V111" s="54">
        <v>29687.69</v>
      </c>
      <c r="W111" s="54">
        <v>27187.69</v>
      </c>
    </row>
    <row r="112" spans="1:23" outlineLevel="2" x14ac:dyDescent="0.2">
      <c r="A112" s="21" t="s">
        <v>0</v>
      </c>
      <c r="B112" s="21" t="s">
        <v>31</v>
      </c>
      <c r="C112" s="21" t="s">
        <v>32</v>
      </c>
      <c r="D112" s="21" t="s">
        <v>75</v>
      </c>
      <c r="E112" s="21" t="s">
        <v>76</v>
      </c>
      <c r="F112" s="21" t="s">
        <v>5</v>
      </c>
      <c r="G112" s="21" t="s">
        <v>6</v>
      </c>
      <c r="H112" s="21" t="s">
        <v>35</v>
      </c>
      <c r="I112" s="21" t="s">
        <v>36</v>
      </c>
      <c r="J112" s="21" t="s">
        <v>9</v>
      </c>
      <c r="K112" s="21" t="s">
        <v>169</v>
      </c>
      <c r="L112" s="21" t="s">
        <v>177</v>
      </c>
      <c r="M112" s="21" t="s">
        <v>15</v>
      </c>
      <c r="N112" s="54">
        <v>208670.95</v>
      </c>
      <c r="O112" s="54">
        <v>-4490.1099999999997</v>
      </c>
      <c r="P112" s="54">
        <v>0</v>
      </c>
      <c r="Q112" s="54">
        <v>204180.84</v>
      </c>
      <c r="R112" s="54">
        <v>23566.36</v>
      </c>
      <c r="S112" s="54">
        <v>32697.02</v>
      </c>
      <c r="T112" s="54">
        <v>32171.439999999999</v>
      </c>
      <c r="U112" s="54">
        <v>171483.82</v>
      </c>
      <c r="V112" s="54">
        <v>172009.4</v>
      </c>
      <c r="W112" s="54">
        <v>147917.46</v>
      </c>
    </row>
    <row r="113" spans="1:23" outlineLevel="2" x14ac:dyDescent="0.2">
      <c r="A113" s="21" t="s">
        <v>0</v>
      </c>
      <c r="B113" s="21" t="s">
        <v>1</v>
      </c>
      <c r="C113" s="21" t="s">
        <v>2</v>
      </c>
      <c r="D113" s="21" t="s">
        <v>20</v>
      </c>
      <c r="E113" s="21" t="s">
        <v>21</v>
      </c>
      <c r="F113" s="21" t="s">
        <v>5</v>
      </c>
      <c r="G113" s="21" t="s">
        <v>6</v>
      </c>
      <c r="H113" s="21" t="s">
        <v>35</v>
      </c>
      <c r="I113" s="21" t="s">
        <v>36</v>
      </c>
      <c r="J113" s="21" t="s">
        <v>9</v>
      </c>
      <c r="K113" s="21" t="s">
        <v>169</v>
      </c>
      <c r="L113" s="21" t="s">
        <v>174</v>
      </c>
      <c r="M113" s="21" t="s">
        <v>15</v>
      </c>
      <c r="N113" s="54">
        <v>877696.24</v>
      </c>
      <c r="O113" s="54">
        <v>7234.49</v>
      </c>
      <c r="P113" s="54">
        <v>0</v>
      </c>
      <c r="Q113" s="54">
        <v>884930.73</v>
      </c>
      <c r="R113" s="54">
        <v>68438.78</v>
      </c>
      <c r="S113" s="54">
        <v>122545.53</v>
      </c>
      <c r="T113" s="54">
        <v>122545.53</v>
      </c>
      <c r="U113" s="54">
        <v>762385.2</v>
      </c>
      <c r="V113" s="54">
        <v>762385.2</v>
      </c>
      <c r="W113" s="54">
        <v>693946.42</v>
      </c>
    </row>
    <row r="114" spans="1:23" outlineLevel="2" x14ac:dyDescent="0.2">
      <c r="A114" s="21" t="s">
        <v>0</v>
      </c>
      <c r="B114" s="21" t="s">
        <v>31</v>
      </c>
      <c r="C114" s="21" t="s">
        <v>79</v>
      </c>
      <c r="D114" s="21" t="s">
        <v>115</v>
      </c>
      <c r="E114" s="21" t="s">
        <v>116</v>
      </c>
      <c r="F114" s="21" t="s">
        <v>5</v>
      </c>
      <c r="G114" s="21" t="s">
        <v>6</v>
      </c>
      <c r="H114" s="21" t="s">
        <v>35</v>
      </c>
      <c r="I114" s="21" t="s">
        <v>36</v>
      </c>
      <c r="J114" s="21" t="s">
        <v>9</v>
      </c>
      <c r="K114" s="21" t="s">
        <v>169</v>
      </c>
      <c r="L114" s="21" t="s">
        <v>172</v>
      </c>
      <c r="M114" s="21" t="s">
        <v>15</v>
      </c>
      <c r="N114" s="54">
        <v>66204.86</v>
      </c>
      <c r="O114" s="54">
        <v>-506.89</v>
      </c>
      <c r="P114" s="54">
        <v>0</v>
      </c>
      <c r="Q114" s="54">
        <v>65697.97</v>
      </c>
      <c r="R114" s="54">
        <v>0</v>
      </c>
      <c r="S114" s="54">
        <v>3440.09</v>
      </c>
      <c r="T114" s="54">
        <v>3440.09</v>
      </c>
      <c r="U114" s="54">
        <v>62257.88</v>
      </c>
      <c r="V114" s="54">
        <v>62257.88</v>
      </c>
      <c r="W114" s="54">
        <v>62257.88</v>
      </c>
    </row>
    <row r="115" spans="1:23" outlineLevel="2" x14ac:dyDescent="0.2">
      <c r="A115" s="21" t="s">
        <v>0</v>
      </c>
      <c r="B115" s="21" t="s">
        <v>39</v>
      </c>
      <c r="C115" s="21" t="s">
        <v>58</v>
      </c>
      <c r="D115" s="21" t="s">
        <v>137</v>
      </c>
      <c r="E115" s="21" t="s">
        <v>138</v>
      </c>
      <c r="F115" s="21" t="s">
        <v>5</v>
      </c>
      <c r="G115" s="21" t="s">
        <v>6</v>
      </c>
      <c r="H115" s="21" t="s">
        <v>35</v>
      </c>
      <c r="I115" s="21" t="s">
        <v>36</v>
      </c>
      <c r="J115" s="21" t="s">
        <v>9</v>
      </c>
      <c r="K115" s="21" t="s">
        <v>169</v>
      </c>
      <c r="L115" s="21" t="s">
        <v>170</v>
      </c>
      <c r="M115" s="21" t="s">
        <v>15</v>
      </c>
      <c r="N115" s="54">
        <v>102972.76</v>
      </c>
      <c r="O115" s="54">
        <v>0</v>
      </c>
      <c r="P115" s="54">
        <v>0</v>
      </c>
      <c r="Q115" s="54">
        <v>102972.76</v>
      </c>
      <c r="R115" s="54">
        <v>916</v>
      </c>
      <c r="S115" s="54">
        <v>6964.49</v>
      </c>
      <c r="T115" s="54">
        <v>6964.49</v>
      </c>
      <c r="U115" s="54">
        <v>96008.27</v>
      </c>
      <c r="V115" s="54">
        <v>96008.27</v>
      </c>
      <c r="W115" s="54">
        <v>95092.27</v>
      </c>
    </row>
    <row r="116" spans="1:23" outlineLevel="2" x14ac:dyDescent="0.2">
      <c r="A116" s="21" t="s">
        <v>0</v>
      </c>
      <c r="B116" s="21" t="s">
        <v>39</v>
      </c>
      <c r="C116" s="21" t="s">
        <v>40</v>
      </c>
      <c r="D116" s="21" t="s">
        <v>77</v>
      </c>
      <c r="E116" s="21" t="s">
        <v>78</v>
      </c>
      <c r="F116" s="21" t="s">
        <v>5</v>
      </c>
      <c r="G116" s="21" t="s">
        <v>6</v>
      </c>
      <c r="H116" s="21" t="s">
        <v>35</v>
      </c>
      <c r="I116" s="21" t="s">
        <v>36</v>
      </c>
      <c r="J116" s="21" t="s">
        <v>9</v>
      </c>
      <c r="K116" s="21" t="s">
        <v>169</v>
      </c>
      <c r="L116" s="21" t="s">
        <v>178</v>
      </c>
      <c r="M116" s="21" t="s">
        <v>15</v>
      </c>
      <c r="N116" s="54">
        <v>2342671.66</v>
      </c>
      <c r="O116" s="54">
        <v>-119573.19</v>
      </c>
      <c r="P116" s="54">
        <v>0</v>
      </c>
      <c r="Q116" s="54">
        <v>2223098.4700000002</v>
      </c>
      <c r="R116" s="54">
        <v>11074.24</v>
      </c>
      <c r="S116" s="54">
        <v>194750.16</v>
      </c>
      <c r="T116" s="54">
        <v>194750.16</v>
      </c>
      <c r="U116" s="54">
        <v>2028348.31</v>
      </c>
      <c r="V116" s="54">
        <v>2028348.31</v>
      </c>
      <c r="W116" s="54">
        <v>2017274.07</v>
      </c>
    </row>
    <row r="117" spans="1:23" outlineLevel="2" x14ac:dyDescent="0.2">
      <c r="A117" s="21" t="s">
        <v>0</v>
      </c>
      <c r="B117" s="21" t="s">
        <v>31</v>
      </c>
      <c r="C117" s="21" t="s">
        <v>79</v>
      </c>
      <c r="D117" s="21" t="s">
        <v>83</v>
      </c>
      <c r="E117" s="21" t="s">
        <v>84</v>
      </c>
      <c r="F117" s="21" t="s">
        <v>5</v>
      </c>
      <c r="G117" s="21" t="s">
        <v>6</v>
      </c>
      <c r="H117" s="21" t="s">
        <v>35</v>
      </c>
      <c r="I117" s="21" t="s">
        <v>36</v>
      </c>
      <c r="J117" s="21" t="s">
        <v>9</v>
      </c>
      <c r="K117" s="21" t="s">
        <v>169</v>
      </c>
      <c r="L117" s="21" t="s">
        <v>172</v>
      </c>
      <c r="M117" s="21" t="s">
        <v>15</v>
      </c>
      <c r="N117" s="54">
        <v>488627.02</v>
      </c>
      <c r="O117" s="54">
        <v>-91036.52</v>
      </c>
      <c r="P117" s="54">
        <v>0</v>
      </c>
      <c r="Q117" s="54">
        <v>397590.5</v>
      </c>
      <c r="R117" s="54">
        <v>46682.62</v>
      </c>
      <c r="S117" s="54">
        <v>34766.81</v>
      </c>
      <c r="T117" s="54">
        <v>34766.81</v>
      </c>
      <c r="U117" s="54">
        <v>362823.69</v>
      </c>
      <c r="V117" s="54">
        <v>362823.69</v>
      </c>
      <c r="W117" s="54">
        <v>316141.07</v>
      </c>
    </row>
    <row r="118" spans="1:23" outlineLevel="2" x14ac:dyDescent="0.2">
      <c r="A118" s="21" t="s">
        <v>0</v>
      </c>
      <c r="B118" s="21" t="s">
        <v>39</v>
      </c>
      <c r="C118" s="21" t="s">
        <v>58</v>
      </c>
      <c r="D118" s="21" t="s">
        <v>59</v>
      </c>
      <c r="E118" s="21" t="s">
        <v>60</v>
      </c>
      <c r="F118" s="21" t="s">
        <v>5</v>
      </c>
      <c r="G118" s="21" t="s">
        <v>6</v>
      </c>
      <c r="H118" s="21" t="s">
        <v>35</v>
      </c>
      <c r="I118" s="21" t="s">
        <v>36</v>
      </c>
      <c r="J118" s="21" t="s">
        <v>9</v>
      </c>
      <c r="K118" s="21" t="s">
        <v>169</v>
      </c>
      <c r="L118" s="21" t="s">
        <v>170</v>
      </c>
      <c r="M118" s="21" t="s">
        <v>15</v>
      </c>
      <c r="N118" s="54">
        <v>75757.5</v>
      </c>
      <c r="O118" s="54">
        <v>-153</v>
      </c>
      <c r="P118" s="54">
        <v>0</v>
      </c>
      <c r="Q118" s="54">
        <v>75604.5</v>
      </c>
      <c r="R118" s="54">
        <v>1175.08</v>
      </c>
      <c r="S118" s="54">
        <v>12150.16</v>
      </c>
      <c r="T118" s="54">
        <v>11225.16</v>
      </c>
      <c r="U118" s="54">
        <v>63454.34</v>
      </c>
      <c r="V118" s="54">
        <v>64379.34</v>
      </c>
      <c r="W118" s="54">
        <v>62279.26</v>
      </c>
    </row>
    <row r="119" spans="1:23" outlineLevel="2" x14ac:dyDescent="0.2">
      <c r="A119" s="21" t="s">
        <v>0</v>
      </c>
      <c r="B119" s="21" t="s">
        <v>1</v>
      </c>
      <c r="C119" s="21" t="s">
        <v>16</v>
      </c>
      <c r="D119" s="21" t="s">
        <v>103</v>
      </c>
      <c r="E119" s="21" t="s">
        <v>104</v>
      </c>
      <c r="F119" s="21" t="s">
        <v>5</v>
      </c>
      <c r="G119" s="21" t="s">
        <v>6</v>
      </c>
      <c r="H119" s="21" t="s">
        <v>35</v>
      </c>
      <c r="I119" s="21" t="s">
        <v>36</v>
      </c>
      <c r="J119" s="21" t="s">
        <v>9</v>
      </c>
      <c r="K119" s="21" t="s">
        <v>169</v>
      </c>
      <c r="L119" s="21" t="s">
        <v>171</v>
      </c>
      <c r="M119" s="21" t="s">
        <v>15</v>
      </c>
      <c r="N119" s="54">
        <v>251329.86</v>
      </c>
      <c r="O119" s="54">
        <v>1287.96</v>
      </c>
      <c r="P119" s="54">
        <v>0</v>
      </c>
      <c r="Q119" s="54">
        <v>252617.82</v>
      </c>
      <c r="R119" s="54">
        <v>39937.9</v>
      </c>
      <c r="S119" s="54">
        <v>39763.61</v>
      </c>
      <c r="T119" s="54">
        <v>39763.61</v>
      </c>
      <c r="U119" s="54">
        <v>212854.21</v>
      </c>
      <c r="V119" s="54">
        <v>212854.21</v>
      </c>
      <c r="W119" s="54">
        <v>172916.31</v>
      </c>
    </row>
    <row r="120" spans="1:23" outlineLevel="2" x14ac:dyDescent="0.2">
      <c r="A120" s="21" t="s">
        <v>0</v>
      </c>
      <c r="B120" s="21" t="s">
        <v>1</v>
      </c>
      <c r="C120" s="21" t="s">
        <v>16</v>
      </c>
      <c r="D120" s="21" t="s">
        <v>17</v>
      </c>
      <c r="E120" s="21" t="s">
        <v>18</v>
      </c>
      <c r="F120" s="21" t="s">
        <v>5</v>
      </c>
      <c r="G120" s="21" t="s">
        <v>6</v>
      </c>
      <c r="H120" s="21" t="s">
        <v>35</v>
      </c>
      <c r="I120" s="21" t="s">
        <v>36</v>
      </c>
      <c r="J120" s="21" t="s">
        <v>9</v>
      </c>
      <c r="K120" s="21" t="s">
        <v>169</v>
      </c>
      <c r="L120" s="21" t="s">
        <v>171</v>
      </c>
      <c r="M120" s="21" t="s">
        <v>15</v>
      </c>
      <c r="N120" s="54">
        <v>331608.03999999998</v>
      </c>
      <c r="O120" s="54">
        <v>-112</v>
      </c>
      <c r="P120" s="54">
        <v>0</v>
      </c>
      <c r="Q120" s="54">
        <v>331496.03999999998</v>
      </c>
      <c r="R120" s="54">
        <v>58579.58</v>
      </c>
      <c r="S120" s="54">
        <v>47636.97</v>
      </c>
      <c r="T120" s="54">
        <v>47636.97</v>
      </c>
      <c r="U120" s="54">
        <v>283859.07</v>
      </c>
      <c r="V120" s="54">
        <v>283859.07</v>
      </c>
      <c r="W120" s="54">
        <v>225279.49</v>
      </c>
    </row>
    <row r="121" spans="1:23" outlineLevel="2" x14ac:dyDescent="0.2">
      <c r="A121" s="21" t="s">
        <v>0</v>
      </c>
      <c r="B121" s="21" t="s">
        <v>53</v>
      </c>
      <c r="C121" s="21" t="s">
        <v>54</v>
      </c>
      <c r="D121" s="21" t="s">
        <v>55</v>
      </c>
      <c r="E121" s="21" t="s">
        <v>56</v>
      </c>
      <c r="F121" s="21" t="s">
        <v>5</v>
      </c>
      <c r="G121" s="21" t="s">
        <v>6</v>
      </c>
      <c r="H121" s="21" t="s">
        <v>35</v>
      </c>
      <c r="I121" s="21" t="s">
        <v>36</v>
      </c>
      <c r="J121" s="21" t="s">
        <v>9</v>
      </c>
      <c r="K121" s="21" t="s">
        <v>169</v>
      </c>
      <c r="L121" s="21" t="s">
        <v>179</v>
      </c>
      <c r="M121" s="21" t="s">
        <v>15</v>
      </c>
      <c r="N121" s="54">
        <v>132557.49</v>
      </c>
      <c r="O121" s="54">
        <v>6484.53</v>
      </c>
      <c r="P121" s="54">
        <v>0</v>
      </c>
      <c r="Q121" s="54">
        <v>139042.01999999999</v>
      </c>
      <c r="R121" s="54">
        <v>3617.78</v>
      </c>
      <c r="S121" s="54">
        <v>21003.53</v>
      </c>
      <c r="T121" s="54">
        <v>21003.53</v>
      </c>
      <c r="U121" s="54">
        <v>118038.49</v>
      </c>
      <c r="V121" s="54">
        <v>118038.49</v>
      </c>
      <c r="W121" s="54">
        <v>114420.71</v>
      </c>
    </row>
    <row r="122" spans="1:23" outlineLevel="2" x14ac:dyDescent="0.2">
      <c r="A122" s="21" t="s">
        <v>0</v>
      </c>
      <c r="B122" s="21" t="s">
        <v>39</v>
      </c>
      <c r="C122" s="21" t="s">
        <v>58</v>
      </c>
      <c r="D122" s="21" t="s">
        <v>105</v>
      </c>
      <c r="E122" s="21" t="s">
        <v>106</v>
      </c>
      <c r="F122" s="21" t="s">
        <v>5</v>
      </c>
      <c r="G122" s="21" t="s">
        <v>6</v>
      </c>
      <c r="H122" s="21" t="s">
        <v>35</v>
      </c>
      <c r="I122" s="21" t="s">
        <v>36</v>
      </c>
      <c r="J122" s="21" t="s">
        <v>9</v>
      </c>
      <c r="K122" s="21" t="s">
        <v>169</v>
      </c>
      <c r="L122" s="21" t="s">
        <v>170</v>
      </c>
      <c r="M122" s="21" t="s">
        <v>15</v>
      </c>
      <c r="N122" s="54">
        <v>59379</v>
      </c>
      <c r="O122" s="54">
        <v>306</v>
      </c>
      <c r="P122" s="54">
        <v>0</v>
      </c>
      <c r="Q122" s="54">
        <v>59685</v>
      </c>
      <c r="R122" s="54">
        <v>13825.61</v>
      </c>
      <c r="S122" s="54">
        <v>11340.06</v>
      </c>
      <c r="T122" s="54">
        <v>11340.06</v>
      </c>
      <c r="U122" s="54">
        <v>48344.94</v>
      </c>
      <c r="V122" s="54">
        <v>48344.94</v>
      </c>
      <c r="W122" s="54">
        <v>34519.33</v>
      </c>
    </row>
    <row r="123" spans="1:23" outlineLevel="2" x14ac:dyDescent="0.2">
      <c r="A123" s="21" t="s">
        <v>0</v>
      </c>
      <c r="B123" s="21" t="s">
        <v>31</v>
      </c>
      <c r="C123" s="21" t="s">
        <v>49</v>
      </c>
      <c r="D123" s="21" t="s">
        <v>50</v>
      </c>
      <c r="E123" s="21" t="s">
        <v>51</v>
      </c>
      <c r="F123" s="21" t="s">
        <v>5</v>
      </c>
      <c r="G123" s="21" t="s">
        <v>6</v>
      </c>
      <c r="H123" s="21" t="s">
        <v>35</v>
      </c>
      <c r="I123" s="21" t="s">
        <v>36</v>
      </c>
      <c r="J123" s="21" t="s">
        <v>9</v>
      </c>
      <c r="K123" s="21" t="s">
        <v>169</v>
      </c>
      <c r="L123" s="21" t="s">
        <v>184</v>
      </c>
      <c r="M123" s="21" t="s">
        <v>15</v>
      </c>
      <c r="N123" s="54">
        <v>59289</v>
      </c>
      <c r="O123" s="54">
        <v>22913</v>
      </c>
      <c r="P123" s="54">
        <v>0</v>
      </c>
      <c r="Q123" s="54">
        <v>82202</v>
      </c>
      <c r="R123" s="54">
        <v>6112.5</v>
      </c>
      <c r="S123" s="54">
        <v>10700.79</v>
      </c>
      <c r="T123" s="54">
        <v>10700.79</v>
      </c>
      <c r="U123" s="54">
        <v>71501.210000000006</v>
      </c>
      <c r="V123" s="54">
        <v>71501.210000000006</v>
      </c>
      <c r="W123" s="54">
        <v>65388.71</v>
      </c>
    </row>
    <row r="124" spans="1:23" outlineLevel="2" x14ac:dyDescent="0.2">
      <c r="A124" s="21" t="s">
        <v>0</v>
      </c>
      <c r="B124" s="21" t="s">
        <v>31</v>
      </c>
      <c r="C124" s="21" t="s">
        <v>79</v>
      </c>
      <c r="D124" s="21" t="s">
        <v>80</v>
      </c>
      <c r="E124" s="21" t="s">
        <v>81</v>
      </c>
      <c r="F124" s="21" t="s">
        <v>5</v>
      </c>
      <c r="G124" s="21" t="s">
        <v>6</v>
      </c>
      <c r="H124" s="21" t="s">
        <v>35</v>
      </c>
      <c r="I124" s="21" t="s">
        <v>36</v>
      </c>
      <c r="J124" s="21" t="s">
        <v>9</v>
      </c>
      <c r="K124" s="21" t="s">
        <v>169</v>
      </c>
      <c r="L124" s="21" t="s">
        <v>172</v>
      </c>
      <c r="M124" s="21" t="s">
        <v>15</v>
      </c>
      <c r="N124" s="54">
        <v>97625.73</v>
      </c>
      <c r="O124" s="54">
        <v>-800.78</v>
      </c>
      <c r="P124" s="54">
        <v>0</v>
      </c>
      <c r="Q124" s="54">
        <v>96824.95</v>
      </c>
      <c r="R124" s="54">
        <v>0</v>
      </c>
      <c r="S124" s="54">
        <v>4257.3999999999996</v>
      </c>
      <c r="T124" s="54">
        <v>4257.3999999999996</v>
      </c>
      <c r="U124" s="54">
        <v>92567.55</v>
      </c>
      <c r="V124" s="54">
        <v>92567.55</v>
      </c>
      <c r="W124" s="54">
        <v>92567.55</v>
      </c>
    </row>
    <row r="125" spans="1:23" outlineLevel="2" x14ac:dyDescent="0.2">
      <c r="A125" s="21" t="s">
        <v>0</v>
      </c>
      <c r="B125" s="21" t="s">
        <v>39</v>
      </c>
      <c r="C125" s="21" t="s">
        <v>95</v>
      </c>
      <c r="D125" s="21" t="s">
        <v>96</v>
      </c>
      <c r="E125" s="21" t="s">
        <v>97</v>
      </c>
      <c r="F125" s="21" t="s">
        <v>5</v>
      </c>
      <c r="G125" s="21" t="s">
        <v>6</v>
      </c>
      <c r="H125" s="21" t="s">
        <v>35</v>
      </c>
      <c r="I125" s="21" t="s">
        <v>36</v>
      </c>
      <c r="J125" s="21" t="s">
        <v>9</v>
      </c>
      <c r="K125" s="21" t="s">
        <v>169</v>
      </c>
      <c r="L125" s="21" t="s">
        <v>173</v>
      </c>
      <c r="M125" s="21" t="s">
        <v>15</v>
      </c>
      <c r="N125" s="54">
        <v>105537.1</v>
      </c>
      <c r="O125" s="54">
        <v>-191</v>
      </c>
      <c r="P125" s="54">
        <v>0</v>
      </c>
      <c r="Q125" s="54">
        <v>105346.1</v>
      </c>
      <c r="R125" s="54">
        <v>396.1</v>
      </c>
      <c r="S125" s="54">
        <v>23385.9</v>
      </c>
      <c r="T125" s="54">
        <v>23385.9</v>
      </c>
      <c r="U125" s="54">
        <v>81960.2</v>
      </c>
      <c r="V125" s="54">
        <v>81960.2</v>
      </c>
      <c r="W125" s="54">
        <v>81564.100000000006</v>
      </c>
    </row>
    <row r="126" spans="1:23" outlineLevel="2" x14ac:dyDescent="0.2">
      <c r="A126" s="21" t="s">
        <v>0</v>
      </c>
      <c r="B126" s="21" t="s">
        <v>31</v>
      </c>
      <c r="C126" s="21" t="s">
        <v>107</v>
      </c>
      <c r="D126" s="21" t="s">
        <v>108</v>
      </c>
      <c r="E126" s="21" t="s">
        <v>109</v>
      </c>
      <c r="F126" s="21" t="s">
        <v>5</v>
      </c>
      <c r="G126" s="21" t="s">
        <v>6</v>
      </c>
      <c r="H126" s="21" t="s">
        <v>35</v>
      </c>
      <c r="I126" s="21" t="s">
        <v>36</v>
      </c>
      <c r="J126" s="21" t="s">
        <v>9</v>
      </c>
      <c r="K126" s="21" t="s">
        <v>169</v>
      </c>
      <c r="L126" s="21" t="s">
        <v>185</v>
      </c>
      <c r="M126" s="21" t="s">
        <v>15</v>
      </c>
      <c r="N126" s="54">
        <v>230143.68</v>
      </c>
      <c r="O126" s="54">
        <v>899.83</v>
      </c>
      <c r="P126" s="54">
        <v>0</v>
      </c>
      <c r="Q126" s="54">
        <v>231043.51</v>
      </c>
      <c r="R126" s="54">
        <v>8485.82</v>
      </c>
      <c r="S126" s="54">
        <v>29025.25</v>
      </c>
      <c r="T126" s="54">
        <v>28413.25</v>
      </c>
      <c r="U126" s="54">
        <v>202018.26</v>
      </c>
      <c r="V126" s="54">
        <v>202630.26</v>
      </c>
      <c r="W126" s="54">
        <v>193532.44</v>
      </c>
    </row>
    <row r="127" spans="1:23" outlineLevel="2" x14ac:dyDescent="0.2">
      <c r="A127" s="21" t="s">
        <v>0</v>
      </c>
      <c r="B127" s="21" t="s">
        <v>39</v>
      </c>
      <c r="C127" s="21" t="s">
        <v>66</v>
      </c>
      <c r="D127" s="21" t="s">
        <v>67</v>
      </c>
      <c r="E127" s="21" t="s">
        <v>68</v>
      </c>
      <c r="F127" s="21" t="s">
        <v>5</v>
      </c>
      <c r="G127" s="21" t="s">
        <v>6</v>
      </c>
      <c r="H127" s="21" t="s">
        <v>35</v>
      </c>
      <c r="I127" s="21" t="s">
        <v>36</v>
      </c>
      <c r="J127" s="21" t="s">
        <v>9</v>
      </c>
      <c r="K127" s="21" t="s">
        <v>169</v>
      </c>
      <c r="L127" s="21" t="s">
        <v>182</v>
      </c>
      <c r="M127" s="21" t="s">
        <v>15</v>
      </c>
      <c r="N127" s="54">
        <v>182536</v>
      </c>
      <c r="O127" s="54">
        <v>-5236</v>
      </c>
      <c r="P127" s="54">
        <v>0</v>
      </c>
      <c r="Q127" s="54">
        <v>177300</v>
      </c>
      <c r="R127" s="54">
        <v>3533.04</v>
      </c>
      <c r="S127" s="54">
        <v>46687.69</v>
      </c>
      <c r="T127" s="54">
        <v>46687.69</v>
      </c>
      <c r="U127" s="54">
        <v>130612.31</v>
      </c>
      <c r="V127" s="54">
        <v>130612.31</v>
      </c>
      <c r="W127" s="54">
        <v>127079.27</v>
      </c>
    </row>
    <row r="128" spans="1:23" outlineLevel="2" x14ac:dyDescent="0.2">
      <c r="A128" s="21" t="s">
        <v>0</v>
      </c>
      <c r="B128" s="21" t="s">
        <v>31</v>
      </c>
      <c r="C128" s="21" t="s">
        <v>79</v>
      </c>
      <c r="D128" s="21" t="s">
        <v>133</v>
      </c>
      <c r="E128" s="21" t="s">
        <v>134</v>
      </c>
      <c r="F128" s="21" t="s">
        <v>5</v>
      </c>
      <c r="G128" s="21" t="s">
        <v>6</v>
      </c>
      <c r="H128" s="21" t="s">
        <v>35</v>
      </c>
      <c r="I128" s="21" t="s">
        <v>36</v>
      </c>
      <c r="J128" s="21" t="s">
        <v>9</v>
      </c>
      <c r="K128" s="21" t="s">
        <v>169</v>
      </c>
      <c r="L128" s="21" t="s">
        <v>172</v>
      </c>
      <c r="M128" s="21" t="s">
        <v>15</v>
      </c>
      <c r="N128" s="54">
        <v>108972.66</v>
      </c>
      <c r="O128" s="54">
        <v>-800.78</v>
      </c>
      <c r="P128" s="54">
        <v>0</v>
      </c>
      <c r="Q128" s="54">
        <v>108171.88</v>
      </c>
      <c r="R128" s="54">
        <v>0</v>
      </c>
      <c r="S128" s="54">
        <v>17031.560000000001</v>
      </c>
      <c r="T128" s="54">
        <v>17031.560000000001</v>
      </c>
      <c r="U128" s="54">
        <v>91140.32</v>
      </c>
      <c r="V128" s="54">
        <v>91140.32</v>
      </c>
      <c r="W128" s="54">
        <v>91140.32</v>
      </c>
    </row>
    <row r="129" spans="1:23" outlineLevel="2" x14ac:dyDescent="0.2">
      <c r="A129" s="21" t="s">
        <v>0</v>
      </c>
      <c r="B129" s="21" t="s">
        <v>31</v>
      </c>
      <c r="C129" s="21" t="s">
        <v>32</v>
      </c>
      <c r="D129" s="21" t="s">
        <v>141</v>
      </c>
      <c r="E129" s="21" t="s">
        <v>142</v>
      </c>
      <c r="F129" s="21" t="s">
        <v>5</v>
      </c>
      <c r="G129" s="21" t="s">
        <v>6</v>
      </c>
      <c r="H129" s="21" t="s">
        <v>35</v>
      </c>
      <c r="I129" s="21" t="s">
        <v>36</v>
      </c>
      <c r="J129" s="21" t="s">
        <v>9</v>
      </c>
      <c r="K129" s="21" t="s">
        <v>169</v>
      </c>
      <c r="L129" s="21" t="s">
        <v>177</v>
      </c>
      <c r="M129" s="21" t="s">
        <v>15</v>
      </c>
      <c r="N129" s="54">
        <v>123336.13</v>
      </c>
      <c r="O129" s="54">
        <v>-11117.99</v>
      </c>
      <c r="P129" s="54">
        <v>0</v>
      </c>
      <c r="Q129" s="54">
        <v>112218.14</v>
      </c>
      <c r="R129" s="54">
        <v>36072.54</v>
      </c>
      <c r="S129" s="54">
        <v>18038.18</v>
      </c>
      <c r="T129" s="54">
        <v>18038.18</v>
      </c>
      <c r="U129" s="54">
        <v>94179.96</v>
      </c>
      <c r="V129" s="54">
        <v>94179.96</v>
      </c>
      <c r="W129" s="54">
        <v>58107.42</v>
      </c>
    </row>
    <row r="130" spans="1:23" outlineLevel="2" x14ac:dyDescent="0.2">
      <c r="A130" s="21" t="s">
        <v>0</v>
      </c>
      <c r="B130" s="21" t="s">
        <v>39</v>
      </c>
      <c r="C130" s="21" t="s">
        <v>58</v>
      </c>
      <c r="D130" s="21" t="s">
        <v>143</v>
      </c>
      <c r="E130" s="21" t="s">
        <v>144</v>
      </c>
      <c r="F130" s="21" t="s">
        <v>5</v>
      </c>
      <c r="G130" s="21" t="s">
        <v>6</v>
      </c>
      <c r="H130" s="21" t="s">
        <v>35</v>
      </c>
      <c r="I130" s="21" t="s">
        <v>36</v>
      </c>
      <c r="J130" s="21" t="s">
        <v>9</v>
      </c>
      <c r="K130" s="21" t="s">
        <v>169</v>
      </c>
      <c r="L130" s="21" t="s">
        <v>170</v>
      </c>
      <c r="M130" s="21" t="s">
        <v>15</v>
      </c>
      <c r="N130" s="54">
        <v>122966.31</v>
      </c>
      <c r="O130" s="54">
        <v>-535.5</v>
      </c>
      <c r="P130" s="54">
        <v>0</v>
      </c>
      <c r="Q130" s="54">
        <v>122430.81</v>
      </c>
      <c r="R130" s="54">
        <v>1206.5</v>
      </c>
      <c r="S130" s="54">
        <v>15811.6</v>
      </c>
      <c r="T130" s="54">
        <v>15811.6</v>
      </c>
      <c r="U130" s="54">
        <v>106619.21</v>
      </c>
      <c r="V130" s="54">
        <v>106619.21</v>
      </c>
      <c r="W130" s="54">
        <v>105412.71</v>
      </c>
    </row>
    <row r="131" spans="1:23" outlineLevel="2" x14ac:dyDescent="0.2">
      <c r="A131" s="21" t="s">
        <v>0</v>
      </c>
      <c r="B131" s="21" t="s">
        <v>39</v>
      </c>
      <c r="C131" s="21" t="s">
        <v>70</v>
      </c>
      <c r="D131" s="21" t="s">
        <v>71</v>
      </c>
      <c r="E131" s="21" t="s">
        <v>72</v>
      </c>
      <c r="F131" s="21" t="s">
        <v>5</v>
      </c>
      <c r="G131" s="21" t="s">
        <v>6</v>
      </c>
      <c r="H131" s="21" t="s">
        <v>35</v>
      </c>
      <c r="I131" s="21" t="s">
        <v>36</v>
      </c>
      <c r="J131" s="21" t="s">
        <v>9</v>
      </c>
      <c r="K131" s="21" t="s">
        <v>169</v>
      </c>
      <c r="L131" s="21" t="s">
        <v>183</v>
      </c>
      <c r="M131" s="21" t="s">
        <v>15</v>
      </c>
      <c r="N131" s="54">
        <v>285517.53999999998</v>
      </c>
      <c r="O131" s="54">
        <v>-23110.33</v>
      </c>
      <c r="P131" s="54">
        <v>0</v>
      </c>
      <c r="Q131" s="54">
        <v>262407.21000000002</v>
      </c>
      <c r="R131" s="54">
        <v>24287.599999999999</v>
      </c>
      <c r="S131" s="54">
        <v>41125.370000000003</v>
      </c>
      <c r="T131" s="54">
        <v>41125.370000000003</v>
      </c>
      <c r="U131" s="54">
        <v>221281.84</v>
      </c>
      <c r="V131" s="54">
        <v>221281.84</v>
      </c>
      <c r="W131" s="54">
        <v>196994.24</v>
      </c>
    </row>
    <row r="132" spans="1:23" outlineLevel="2" x14ac:dyDescent="0.2">
      <c r="A132" s="21" t="s">
        <v>0</v>
      </c>
      <c r="B132" s="21" t="s">
        <v>1</v>
      </c>
      <c r="C132" s="21" t="s">
        <v>16</v>
      </c>
      <c r="D132" s="21" t="s">
        <v>62</v>
      </c>
      <c r="E132" s="21" t="s">
        <v>63</v>
      </c>
      <c r="F132" s="21" t="s">
        <v>5</v>
      </c>
      <c r="G132" s="21" t="s">
        <v>6</v>
      </c>
      <c r="H132" s="21" t="s">
        <v>35</v>
      </c>
      <c r="I132" s="21" t="s">
        <v>36</v>
      </c>
      <c r="J132" s="21" t="s">
        <v>9</v>
      </c>
      <c r="K132" s="21" t="s">
        <v>169</v>
      </c>
      <c r="L132" s="21" t="s">
        <v>171</v>
      </c>
      <c r="M132" s="21" t="s">
        <v>15</v>
      </c>
      <c r="N132" s="54">
        <v>11713.53</v>
      </c>
      <c r="O132" s="54">
        <v>2500</v>
      </c>
      <c r="P132" s="54">
        <v>0</v>
      </c>
      <c r="Q132" s="54">
        <v>14213.53</v>
      </c>
      <c r="R132" s="54">
        <v>1048.6199999999999</v>
      </c>
      <c r="S132" s="54">
        <v>7457.38</v>
      </c>
      <c r="T132" s="54">
        <v>7457.38</v>
      </c>
      <c r="U132" s="54">
        <v>6756.15</v>
      </c>
      <c r="V132" s="54">
        <v>6756.15</v>
      </c>
      <c r="W132" s="54">
        <v>5707.53</v>
      </c>
    </row>
    <row r="133" spans="1:23" outlineLevel="2" x14ac:dyDescent="0.2">
      <c r="A133" s="21" t="s">
        <v>0</v>
      </c>
      <c r="B133" s="21" t="s">
        <v>39</v>
      </c>
      <c r="C133" s="21" t="s">
        <v>58</v>
      </c>
      <c r="D133" s="21" t="s">
        <v>139</v>
      </c>
      <c r="E133" s="21" t="s">
        <v>140</v>
      </c>
      <c r="F133" s="21" t="s">
        <v>5</v>
      </c>
      <c r="G133" s="21" t="s">
        <v>6</v>
      </c>
      <c r="H133" s="21" t="s">
        <v>35</v>
      </c>
      <c r="I133" s="21" t="s">
        <v>36</v>
      </c>
      <c r="J133" s="21" t="s">
        <v>9</v>
      </c>
      <c r="K133" s="21" t="s">
        <v>169</v>
      </c>
      <c r="L133" s="21" t="s">
        <v>170</v>
      </c>
      <c r="M133" s="21" t="s">
        <v>15</v>
      </c>
      <c r="N133" s="54">
        <v>124295.27</v>
      </c>
      <c r="O133" s="54">
        <v>0</v>
      </c>
      <c r="P133" s="54">
        <v>0</v>
      </c>
      <c r="Q133" s="54">
        <v>124295.27</v>
      </c>
      <c r="R133" s="54">
        <v>807.31</v>
      </c>
      <c r="S133" s="54">
        <v>14531.35</v>
      </c>
      <c r="T133" s="54">
        <v>14531.35</v>
      </c>
      <c r="U133" s="54">
        <v>109763.92</v>
      </c>
      <c r="V133" s="54">
        <v>109763.92</v>
      </c>
      <c r="W133" s="54">
        <v>108956.61</v>
      </c>
    </row>
    <row r="134" spans="1:23" outlineLevel="2" x14ac:dyDescent="0.2">
      <c r="A134" s="21" t="s">
        <v>0</v>
      </c>
      <c r="B134" s="21" t="s">
        <v>39</v>
      </c>
      <c r="C134" s="21" t="s">
        <v>40</v>
      </c>
      <c r="D134" s="21" t="s">
        <v>41</v>
      </c>
      <c r="E134" s="21" t="s">
        <v>42</v>
      </c>
      <c r="F134" s="21" t="s">
        <v>5</v>
      </c>
      <c r="G134" s="21" t="s">
        <v>6</v>
      </c>
      <c r="H134" s="21" t="s">
        <v>35</v>
      </c>
      <c r="I134" s="21" t="s">
        <v>36</v>
      </c>
      <c r="J134" s="21" t="s">
        <v>9</v>
      </c>
      <c r="K134" s="21" t="s">
        <v>169</v>
      </c>
      <c r="L134" s="21" t="s">
        <v>178</v>
      </c>
      <c r="M134" s="21" t="s">
        <v>15</v>
      </c>
      <c r="N134" s="54">
        <v>124580.63</v>
      </c>
      <c r="O134" s="54">
        <v>0</v>
      </c>
      <c r="P134" s="54">
        <v>0</v>
      </c>
      <c r="Q134" s="54">
        <v>124580.63</v>
      </c>
      <c r="R134" s="54">
        <v>6315.07</v>
      </c>
      <c r="S134" s="54">
        <v>32093.22</v>
      </c>
      <c r="T134" s="54">
        <v>31668.22</v>
      </c>
      <c r="U134" s="54">
        <v>92487.41</v>
      </c>
      <c r="V134" s="54">
        <v>92912.41</v>
      </c>
      <c r="W134" s="54">
        <v>86172.34</v>
      </c>
    </row>
    <row r="135" spans="1:23" outlineLevel="2" x14ac:dyDescent="0.2">
      <c r="A135" s="21" t="s">
        <v>0</v>
      </c>
      <c r="B135" s="21" t="s">
        <v>31</v>
      </c>
      <c r="C135" s="21" t="s">
        <v>79</v>
      </c>
      <c r="D135" s="21" t="s">
        <v>113</v>
      </c>
      <c r="E135" s="21" t="s">
        <v>114</v>
      </c>
      <c r="F135" s="21" t="s">
        <v>5</v>
      </c>
      <c r="G135" s="21" t="s">
        <v>6</v>
      </c>
      <c r="H135" s="21" t="s">
        <v>35</v>
      </c>
      <c r="I135" s="21" t="s">
        <v>36</v>
      </c>
      <c r="J135" s="21" t="s">
        <v>9</v>
      </c>
      <c r="K135" s="21" t="s">
        <v>169</v>
      </c>
      <c r="L135" s="21" t="s">
        <v>172</v>
      </c>
      <c r="M135" s="21" t="s">
        <v>15</v>
      </c>
      <c r="N135" s="54">
        <v>96405.81</v>
      </c>
      <c r="O135" s="54">
        <v>-625.33000000000004</v>
      </c>
      <c r="P135" s="54">
        <v>0</v>
      </c>
      <c r="Q135" s="54">
        <v>95780.479999999996</v>
      </c>
      <c r="R135" s="54">
        <v>0</v>
      </c>
      <c r="S135" s="54">
        <v>11915.96</v>
      </c>
      <c r="T135" s="54">
        <v>11915.96</v>
      </c>
      <c r="U135" s="54">
        <v>83864.52</v>
      </c>
      <c r="V135" s="54">
        <v>83864.52</v>
      </c>
      <c r="W135" s="54">
        <v>83864.52</v>
      </c>
    </row>
    <row r="136" spans="1:23" outlineLevel="2" x14ac:dyDescent="0.2">
      <c r="A136" s="21" t="s">
        <v>0</v>
      </c>
      <c r="B136" s="21" t="s">
        <v>31</v>
      </c>
      <c r="C136" s="21" t="s">
        <v>79</v>
      </c>
      <c r="D136" s="21" t="s">
        <v>111</v>
      </c>
      <c r="E136" s="21" t="s">
        <v>112</v>
      </c>
      <c r="F136" s="21" t="s">
        <v>5</v>
      </c>
      <c r="G136" s="21" t="s">
        <v>6</v>
      </c>
      <c r="H136" s="21" t="s">
        <v>35</v>
      </c>
      <c r="I136" s="21" t="s">
        <v>36</v>
      </c>
      <c r="J136" s="21" t="s">
        <v>9</v>
      </c>
      <c r="K136" s="21" t="s">
        <v>169</v>
      </c>
      <c r="L136" s="21" t="s">
        <v>172</v>
      </c>
      <c r="M136" s="21" t="s">
        <v>12</v>
      </c>
      <c r="N136" s="54">
        <v>0</v>
      </c>
      <c r="O136" s="54">
        <v>817</v>
      </c>
      <c r="P136" s="54">
        <v>0</v>
      </c>
      <c r="Q136" s="54">
        <v>817</v>
      </c>
      <c r="R136" s="54">
        <v>817</v>
      </c>
      <c r="S136" s="54">
        <v>0</v>
      </c>
      <c r="T136" s="54">
        <v>0</v>
      </c>
      <c r="U136" s="54">
        <v>817</v>
      </c>
      <c r="V136" s="54">
        <v>817</v>
      </c>
      <c r="W136" s="54">
        <v>0</v>
      </c>
    </row>
    <row r="137" spans="1:23" outlineLevel="2" x14ac:dyDescent="0.2">
      <c r="A137" s="21" t="s">
        <v>0</v>
      </c>
      <c r="B137" s="21" t="s">
        <v>31</v>
      </c>
      <c r="C137" s="21" t="s">
        <v>79</v>
      </c>
      <c r="D137" s="21" t="s">
        <v>113</v>
      </c>
      <c r="E137" s="21" t="s">
        <v>114</v>
      </c>
      <c r="F137" s="21" t="s">
        <v>5</v>
      </c>
      <c r="G137" s="21" t="s">
        <v>6</v>
      </c>
      <c r="H137" s="21" t="s">
        <v>35</v>
      </c>
      <c r="I137" s="21" t="s">
        <v>36</v>
      </c>
      <c r="J137" s="21" t="s">
        <v>9</v>
      </c>
      <c r="K137" s="21" t="s">
        <v>169</v>
      </c>
      <c r="L137" s="21" t="s">
        <v>172</v>
      </c>
      <c r="M137" s="21" t="s">
        <v>12</v>
      </c>
      <c r="N137" s="54">
        <v>0</v>
      </c>
      <c r="O137" s="54">
        <v>1634</v>
      </c>
      <c r="P137" s="54">
        <v>0</v>
      </c>
      <c r="Q137" s="54">
        <v>1634</v>
      </c>
      <c r="R137" s="54">
        <v>1107.51</v>
      </c>
      <c r="S137" s="54">
        <v>526.49</v>
      </c>
      <c r="T137" s="54">
        <v>526.49</v>
      </c>
      <c r="U137" s="54">
        <v>1107.51</v>
      </c>
      <c r="V137" s="54">
        <v>1107.51</v>
      </c>
      <c r="W137" s="54">
        <v>0</v>
      </c>
    </row>
    <row r="138" spans="1:23" outlineLevel="2" x14ac:dyDescent="0.2">
      <c r="A138" s="21" t="s">
        <v>0</v>
      </c>
      <c r="B138" s="21" t="s">
        <v>31</v>
      </c>
      <c r="C138" s="21" t="s">
        <v>79</v>
      </c>
      <c r="D138" s="21" t="s">
        <v>115</v>
      </c>
      <c r="E138" s="21" t="s">
        <v>116</v>
      </c>
      <c r="F138" s="21" t="s">
        <v>5</v>
      </c>
      <c r="G138" s="21" t="s">
        <v>6</v>
      </c>
      <c r="H138" s="21" t="s">
        <v>35</v>
      </c>
      <c r="I138" s="21" t="s">
        <v>36</v>
      </c>
      <c r="J138" s="21" t="s">
        <v>9</v>
      </c>
      <c r="K138" s="21" t="s">
        <v>169</v>
      </c>
      <c r="L138" s="21" t="s">
        <v>172</v>
      </c>
      <c r="M138" s="21" t="s">
        <v>12</v>
      </c>
      <c r="N138" s="54">
        <v>0</v>
      </c>
      <c r="O138" s="54">
        <v>1634</v>
      </c>
      <c r="P138" s="54">
        <v>0</v>
      </c>
      <c r="Q138" s="54">
        <v>1634</v>
      </c>
      <c r="R138" s="54">
        <v>1634</v>
      </c>
      <c r="S138" s="54">
        <v>0</v>
      </c>
      <c r="T138" s="54">
        <v>0</v>
      </c>
      <c r="U138" s="54">
        <v>1634</v>
      </c>
      <c r="V138" s="54">
        <v>1634</v>
      </c>
      <c r="W138" s="54">
        <v>0</v>
      </c>
    </row>
    <row r="139" spans="1:23" outlineLevel="2" x14ac:dyDescent="0.2">
      <c r="A139" s="21" t="s">
        <v>0</v>
      </c>
      <c r="B139" s="21" t="s">
        <v>39</v>
      </c>
      <c r="C139" s="21" t="s">
        <v>58</v>
      </c>
      <c r="D139" s="21" t="s">
        <v>129</v>
      </c>
      <c r="E139" s="21" t="s">
        <v>130</v>
      </c>
      <c r="F139" s="21" t="s">
        <v>5</v>
      </c>
      <c r="G139" s="21" t="s">
        <v>6</v>
      </c>
      <c r="H139" s="21" t="s">
        <v>35</v>
      </c>
      <c r="I139" s="21" t="s">
        <v>36</v>
      </c>
      <c r="J139" s="21" t="s">
        <v>9</v>
      </c>
      <c r="K139" s="21" t="s">
        <v>169</v>
      </c>
      <c r="L139" s="21" t="s">
        <v>170</v>
      </c>
      <c r="M139" s="21" t="s">
        <v>15</v>
      </c>
      <c r="N139" s="54">
        <v>40640</v>
      </c>
      <c r="O139" s="54">
        <v>385.75</v>
      </c>
      <c r="P139" s="54">
        <v>0</v>
      </c>
      <c r="Q139" s="54">
        <v>41025.75</v>
      </c>
      <c r="R139" s="54">
        <v>0</v>
      </c>
      <c r="S139" s="54">
        <v>4653.53</v>
      </c>
      <c r="T139" s="54">
        <v>4653.53</v>
      </c>
      <c r="U139" s="54">
        <v>36372.22</v>
      </c>
      <c r="V139" s="54">
        <v>36372.22</v>
      </c>
      <c r="W139" s="54">
        <v>36372.22</v>
      </c>
    </row>
    <row r="140" spans="1:23" outlineLevel="2" x14ac:dyDescent="0.2">
      <c r="A140" s="21" t="s">
        <v>0</v>
      </c>
      <c r="B140" s="21" t="s">
        <v>31</v>
      </c>
      <c r="C140" s="21" t="s">
        <v>79</v>
      </c>
      <c r="D140" s="21" t="s">
        <v>131</v>
      </c>
      <c r="E140" s="21" t="s">
        <v>132</v>
      </c>
      <c r="F140" s="21" t="s">
        <v>5</v>
      </c>
      <c r="G140" s="21" t="s">
        <v>6</v>
      </c>
      <c r="H140" s="21" t="s">
        <v>35</v>
      </c>
      <c r="I140" s="21" t="s">
        <v>36</v>
      </c>
      <c r="J140" s="21" t="s">
        <v>9</v>
      </c>
      <c r="K140" s="21" t="s">
        <v>169</v>
      </c>
      <c r="L140" s="21" t="s">
        <v>172</v>
      </c>
      <c r="M140" s="21" t="s">
        <v>12</v>
      </c>
      <c r="N140" s="54">
        <v>0</v>
      </c>
      <c r="O140" s="54">
        <v>1634</v>
      </c>
      <c r="P140" s="54">
        <v>0</v>
      </c>
      <c r="Q140" s="54">
        <v>1634</v>
      </c>
      <c r="R140" s="54">
        <v>1634</v>
      </c>
      <c r="S140" s="54">
        <v>0</v>
      </c>
      <c r="T140" s="54">
        <v>0</v>
      </c>
      <c r="U140" s="54">
        <v>1634</v>
      </c>
      <c r="V140" s="54">
        <v>1634</v>
      </c>
      <c r="W140" s="54">
        <v>0</v>
      </c>
    </row>
    <row r="141" spans="1:23" outlineLevel="2" x14ac:dyDescent="0.2">
      <c r="A141" s="21" t="s">
        <v>0</v>
      </c>
      <c r="B141" s="21" t="s">
        <v>1</v>
      </c>
      <c r="C141" s="21" t="s">
        <v>2</v>
      </c>
      <c r="D141" s="21" t="s">
        <v>3</v>
      </c>
      <c r="E141" s="21" t="s">
        <v>4</v>
      </c>
      <c r="F141" s="21" t="s">
        <v>5</v>
      </c>
      <c r="G141" s="21" t="s">
        <v>6</v>
      </c>
      <c r="H141" s="21" t="s">
        <v>35</v>
      </c>
      <c r="I141" s="21" t="s">
        <v>36</v>
      </c>
      <c r="J141" s="21" t="s">
        <v>9</v>
      </c>
      <c r="K141" s="21" t="s">
        <v>169</v>
      </c>
      <c r="L141" s="21" t="s">
        <v>174</v>
      </c>
      <c r="M141" s="21" t="s">
        <v>15</v>
      </c>
      <c r="N141" s="54">
        <v>293188.53000000003</v>
      </c>
      <c r="O141" s="54">
        <v>-39525.660000000003</v>
      </c>
      <c r="P141" s="54">
        <v>0</v>
      </c>
      <c r="Q141" s="54">
        <v>253662.87</v>
      </c>
      <c r="R141" s="54">
        <v>18122.45</v>
      </c>
      <c r="S141" s="54">
        <v>28169.32</v>
      </c>
      <c r="T141" s="54">
        <v>27835.82</v>
      </c>
      <c r="U141" s="54">
        <v>225493.55</v>
      </c>
      <c r="V141" s="54">
        <v>225827.05</v>
      </c>
      <c r="W141" s="54">
        <v>207371.1</v>
      </c>
    </row>
    <row r="142" spans="1:23" outlineLevel="2" x14ac:dyDescent="0.2">
      <c r="A142" s="21" t="s">
        <v>0</v>
      </c>
      <c r="B142" s="21" t="s">
        <v>31</v>
      </c>
      <c r="C142" s="21" t="s">
        <v>79</v>
      </c>
      <c r="D142" s="21" t="s">
        <v>131</v>
      </c>
      <c r="E142" s="21" t="s">
        <v>132</v>
      </c>
      <c r="F142" s="21" t="s">
        <v>5</v>
      </c>
      <c r="G142" s="21" t="s">
        <v>6</v>
      </c>
      <c r="H142" s="21" t="s">
        <v>35</v>
      </c>
      <c r="I142" s="21" t="s">
        <v>36</v>
      </c>
      <c r="J142" s="21" t="s">
        <v>9</v>
      </c>
      <c r="K142" s="21" t="s">
        <v>169</v>
      </c>
      <c r="L142" s="21" t="s">
        <v>172</v>
      </c>
      <c r="M142" s="21" t="s">
        <v>15</v>
      </c>
      <c r="N142" s="54">
        <v>154218.54999999999</v>
      </c>
      <c r="O142" s="54">
        <v>-800.78</v>
      </c>
      <c r="P142" s="54">
        <v>0</v>
      </c>
      <c r="Q142" s="54">
        <v>153417.76999999999</v>
      </c>
      <c r="R142" s="54">
        <v>0</v>
      </c>
      <c r="S142" s="54">
        <v>14476.07</v>
      </c>
      <c r="T142" s="54">
        <v>14368.45</v>
      </c>
      <c r="U142" s="54">
        <v>138941.70000000001</v>
      </c>
      <c r="V142" s="54">
        <v>139049.32</v>
      </c>
      <c r="W142" s="54">
        <v>138941.70000000001</v>
      </c>
    </row>
    <row r="143" spans="1:23" outlineLevel="2" x14ac:dyDescent="0.2">
      <c r="A143" s="21" t="s">
        <v>0</v>
      </c>
      <c r="B143" s="21" t="s">
        <v>39</v>
      </c>
      <c r="C143" s="21" t="s">
        <v>66</v>
      </c>
      <c r="D143" s="21" t="s">
        <v>121</v>
      </c>
      <c r="E143" s="21" t="s">
        <v>122</v>
      </c>
      <c r="F143" s="21" t="s">
        <v>5</v>
      </c>
      <c r="G143" s="21" t="s">
        <v>6</v>
      </c>
      <c r="H143" s="21" t="s">
        <v>35</v>
      </c>
      <c r="I143" s="21" t="s">
        <v>36</v>
      </c>
      <c r="J143" s="21" t="s">
        <v>9</v>
      </c>
      <c r="K143" s="21" t="s">
        <v>169</v>
      </c>
      <c r="L143" s="21" t="s">
        <v>182</v>
      </c>
      <c r="M143" s="21" t="s">
        <v>15</v>
      </c>
      <c r="N143" s="54">
        <v>103889.71</v>
      </c>
      <c r="O143" s="54">
        <v>0</v>
      </c>
      <c r="P143" s="54">
        <v>0</v>
      </c>
      <c r="Q143" s="54">
        <v>103889.71</v>
      </c>
      <c r="R143" s="54">
        <v>638.75</v>
      </c>
      <c r="S143" s="54">
        <v>26989.93</v>
      </c>
      <c r="T143" s="54">
        <v>26989.93</v>
      </c>
      <c r="U143" s="54">
        <v>76899.78</v>
      </c>
      <c r="V143" s="54">
        <v>76899.78</v>
      </c>
      <c r="W143" s="54">
        <v>76261.03</v>
      </c>
    </row>
    <row r="144" spans="1:23" outlineLevel="2" x14ac:dyDescent="0.2">
      <c r="A144" s="21" t="s">
        <v>0</v>
      </c>
      <c r="B144" s="21" t="s">
        <v>1</v>
      </c>
      <c r="C144" s="21" t="s">
        <v>44</v>
      </c>
      <c r="D144" s="21" t="s">
        <v>45</v>
      </c>
      <c r="E144" s="21" t="s">
        <v>46</v>
      </c>
      <c r="F144" s="21" t="s">
        <v>5</v>
      </c>
      <c r="G144" s="21" t="s">
        <v>6</v>
      </c>
      <c r="H144" s="21" t="s">
        <v>35</v>
      </c>
      <c r="I144" s="21" t="s">
        <v>36</v>
      </c>
      <c r="J144" s="21" t="s">
        <v>9</v>
      </c>
      <c r="K144" s="21" t="s">
        <v>169</v>
      </c>
      <c r="L144" s="21" t="s">
        <v>175</v>
      </c>
      <c r="M144" s="21" t="s">
        <v>15</v>
      </c>
      <c r="N144" s="54">
        <v>72096.03</v>
      </c>
      <c r="O144" s="54">
        <v>6708.5</v>
      </c>
      <c r="P144" s="54">
        <v>0</v>
      </c>
      <c r="Q144" s="54">
        <v>78804.53</v>
      </c>
      <c r="R144" s="54">
        <v>11071.69</v>
      </c>
      <c r="S144" s="54">
        <v>26635.65</v>
      </c>
      <c r="T144" s="54">
        <v>26635.65</v>
      </c>
      <c r="U144" s="54">
        <v>52168.88</v>
      </c>
      <c r="V144" s="54">
        <v>52168.88</v>
      </c>
      <c r="W144" s="54">
        <v>41097.19</v>
      </c>
    </row>
    <row r="145" spans="1:23" outlineLevel="2" x14ac:dyDescent="0.2">
      <c r="A145" s="21" t="s">
        <v>0</v>
      </c>
      <c r="B145" s="21" t="s">
        <v>31</v>
      </c>
      <c r="C145" s="21" t="s">
        <v>79</v>
      </c>
      <c r="D145" s="21" t="s">
        <v>80</v>
      </c>
      <c r="E145" s="21" t="s">
        <v>81</v>
      </c>
      <c r="F145" s="21" t="s">
        <v>5</v>
      </c>
      <c r="G145" s="21" t="s">
        <v>6</v>
      </c>
      <c r="H145" s="21" t="s">
        <v>35</v>
      </c>
      <c r="I145" s="21" t="s">
        <v>36</v>
      </c>
      <c r="J145" s="21" t="s">
        <v>9</v>
      </c>
      <c r="K145" s="21" t="s">
        <v>169</v>
      </c>
      <c r="L145" s="21" t="s">
        <v>172</v>
      </c>
      <c r="M145" s="21" t="s">
        <v>12</v>
      </c>
      <c r="N145" s="54">
        <v>0</v>
      </c>
      <c r="O145" s="54">
        <v>1634</v>
      </c>
      <c r="P145" s="54">
        <v>0</v>
      </c>
      <c r="Q145" s="54">
        <v>1634</v>
      </c>
      <c r="R145" s="54">
        <v>1634</v>
      </c>
      <c r="S145" s="54">
        <v>0</v>
      </c>
      <c r="T145" s="54">
        <v>0</v>
      </c>
      <c r="U145" s="54">
        <v>1634</v>
      </c>
      <c r="V145" s="54">
        <v>1634</v>
      </c>
      <c r="W145" s="54">
        <v>0</v>
      </c>
    </row>
    <row r="146" spans="1:23" outlineLevel="2" x14ac:dyDescent="0.2">
      <c r="A146" s="21" t="s">
        <v>0</v>
      </c>
      <c r="B146" s="21" t="s">
        <v>31</v>
      </c>
      <c r="C146" s="21" t="s">
        <v>79</v>
      </c>
      <c r="D146" s="21" t="s">
        <v>125</v>
      </c>
      <c r="E146" s="21" t="s">
        <v>126</v>
      </c>
      <c r="F146" s="21" t="s">
        <v>5</v>
      </c>
      <c r="G146" s="21" t="s">
        <v>6</v>
      </c>
      <c r="H146" s="21" t="s">
        <v>35</v>
      </c>
      <c r="I146" s="21" t="s">
        <v>36</v>
      </c>
      <c r="J146" s="21" t="s">
        <v>9</v>
      </c>
      <c r="K146" s="21" t="s">
        <v>169</v>
      </c>
      <c r="L146" s="21" t="s">
        <v>172</v>
      </c>
      <c r="M146" s="21" t="s">
        <v>15</v>
      </c>
      <c r="N146" s="54">
        <v>77244.3</v>
      </c>
      <c r="O146" s="54">
        <v>0</v>
      </c>
      <c r="P146" s="54">
        <v>0</v>
      </c>
      <c r="Q146" s="54">
        <v>77244.3</v>
      </c>
      <c r="R146" s="54">
        <v>0</v>
      </c>
      <c r="S146" s="54">
        <v>6560.8</v>
      </c>
      <c r="T146" s="54">
        <v>6560.8</v>
      </c>
      <c r="U146" s="54">
        <v>70683.5</v>
      </c>
      <c r="V146" s="54">
        <v>70683.5</v>
      </c>
      <c r="W146" s="54">
        <v>70683.5</v>
      </c>
    </row>
    <row r="147" spans="1:23" outlineLevel="2" x14ac:dyDescent="0.2">
      <c r="A147" s="21" t="s">
        <v>0</v>
      </c>
      <c r="B147" s="21" t="s">
        <v>39</v>
      </c>
      <c r="C147" s="21" t="s">
        <v>70</v>
      </c>
      <c r="D147" s="21" t="s">
        <v>89</v>
      </c>
      <c r="E147" s="21" t="s">
        <v>90</v>
      </c>
      <c r="F147" s="21" t="s">
        <v>5</v>
      </c>
      <c r="G147" s="21" t="s">
        <v>6</v>
      </c>
      <c r="H147" s="21" t="s">
        <v>35</v>
      </c>
      <c r="I147" s="21" t="s">
        <v>36</v>
      </c>
      <c r="J147" s="21" t="s">
        <v>9</v>
      </c>
      <c r="K147" s="21" t="s">
        <v>169</v>
      </c>
      <c r="L147" s="21" t="s">
        <v>183</v>
      </c>
      <c r="M147" s="21" t="s">
        <v>15</v>
      </c>
      <c r="N147" s="54">
        <v>1300077.6599999999</v>
      </c>
      <c r="O147" s="54">
        <v>0</v>
      </c>
      <c r="P147" s="54">
        <v>0</v>
      </c>
      <c r="Q147" s="54">
        <v>1300077.6599999999</v>
      </c>
      <c r="R147" s="54">
        <v>154793</v>
      </c>
      <c r="S147" s="54">
        <v>109986.69</v>
      </c>
      <c r="T147" s="54">
        <v>109986.65</v>
      </c>
      <c r="U147" s="54">
        <v>1190090.97</v>
      </c>
      <c r="V147" s="54">
        <v>1190091.01</v>
      </c>
      <c r="W147" s="54">
        <v>1035297.97</v>
      </c>
    </row>
    <row r="148" spans="1:23" outlineLevel="2" x14ac:dyDescent="0.2">
      <c r="A148" s="21" t="s">
        <v>0</v>
      </c>
      <c r="B148" s="21" t="s">
        <v>31</v>
      </c>
      <c r="C148" s="21" t="s">
        <v>32</v>
      </c>
      <c r="D148" s="21" t="s">
        <v>123</v>
      </c>
      <c r="E148" s="21" t="s">
        <v>124</v>
      </c>
      <c r="F148" s="21" t="s">
        <v>5</v>
      </c>
      <c r="G148" s="21" t="s">
        <v>6</v>
      </c>
      <c r="H148" s="21" t="s">
        <v>35</v>
      </c>
      <c r="I148" s="21" t="s">
        <v>36</v>
      </c>
      <c r="J148" s="21" t="s">
        <v>9</v>
      </c>
      <c r="K148" s="21" t="s">
        <v>169</v>
      </c>
      <c r="L148" s="21" t="s">
        <v>177</v>
      </c>
      <c r="M148" s="21" t="s">
        <v>15</v>
      </c>
      <c r="N148" s="54">
        <v>239114.25</v>
      </c>
      <c r="O148" s="54">
        <v>-113007.09</v>
      </c>
      <c r="P148" s="54">
        <v>0</v>
      </c>
      <c r="Q148" s="54">
        <v>126107.16</v>
      </c>
      <c r="R148" s="54">
        <v>18045.11</v>
      </c>
      <c r="S148" s="54">
        <v>14674.11</v>
      </c>
      <c r="T148" s="54">
        <v>14674.11</v>
      </c>
      <c r="U148" s="54">
        <v>111433.05</v>
      </c>
      <c r="V148" s="54">
        <v>111433.05</v>
      </c>
      <c r="W148" s="54">
        <v>93387.94</v>
      </c>
    </row>
    <row r="149" spans="1:23" outlineLevel="2" x14ac:dyDescent="0.2">
      <c r="A149" s="21" t="s">
        <v>0</v>
      </c>
      <c r="B149" s="21" t="s">
        <v>31</v>
      </c>
      <c r="C149" s="21" t="s">
        <v>79</v>
      </c>
      <c r="D149" s="21" t="s">
        <v>127</v>
      </c>
      <c r="E149" s="21" t="s">
        <v>128</v>
      </c>
      <c r="F149" s="21" t="s">
        <v>5</v>
      </c>
      <c r="G149" s="21" t="s">
        <v>6</v>
      </c>
      <c r="H149" s="21" t="s">
        <v>35</v>
      </c>
      <c r="I149" s="21" t="s">
        <v>36</v>
      </c>
      <c r="J149" s="21" t="s">
        <v>9</v>
      </c>
      <c r="K149" s="21" t="s">
        <v>169</v>
      </c>
      <c r="L149" s="21" t="s">
        <v>172</v>
      </c>
      <c r="M149" s="21" t="s">
        <v>12</v>
      </c>
      <c r="N149" s="54">
        <v>0</v>
      </c>
      <c r="O149" s="54">
        <v>817</v>
      </c>
      <c r="P149" s="54">
        <v>0</v>
      </c>
      <c r="Q149" s="54">
        <v>817</v>
      </c>
      <c r="R149" s="54">
        <v>817</v>
      </c>
      <c r="S149" s="54">
        <v>0</v>
      </c>
      <c r="T149" s="54">
        <v>0</v>
      </c>
      <c r="U149" s="54">
        <v>817</v>
      </c>
      <c r="V149" s="54">
        <v>817</v>
      </c>
      <c r="W149" s="54">
        <v>0</v>
      </c>
    </row>
    <row r="150" spans="1:23" outlineLevel="2" x14ac:dyDescent="0.2">
      <c r="A150" s="21" t="s">
        <v>0</v>
      </c>
      <c r="B150" s="21" t="s">
        <v>39</v>
      </c>
      <c r="C150" s="21" t="s">
        <v>58</v>
      </c>
      <c r="D150" s="21" t="s">
        <v>135</v>
      </c>
      <c r="E150" s="21" t="s">
        <v>136</v>
      </c>
      <c r="F150" s="21" t="s">
        <v>5</v>
      </c>
      <c r="G150" s="21" t="s">
        <v>6</v>
      </c>
      <c r="H150" s="21" t="s">
        <v>35</v>
      </c>
      <c r="I150" s="21" t="s">
        <v>36</v>
      </c>
      <c r="J150" s="21" t="s">
        <v>9</v>
      </c>
      <c r="K150" s="21" t="s">
        <v>169</v>
      </c>
      <c r="L150" s="21" t="s">
        <v>170</v>
      </c>
      <c r="M150" s="21" t="s">
        <v>15</v>
      </c>
      <c r="N150" s="54">
        <v>113052.6</v>
      </c>
      <c r="O150" s="54">
        <v>620</v>
      </c>
      <c r="P150" s="54">
        <v>0</v>
      </c>
      <c r="Q150" s="54">
        <v>113672.6</v>
      </c>
      <c r="R150" s="54">
        <v>0</v>
      </c>
      <c r="S150" s="54">
        <v>17638.330000000002</v>
      </c>
      <c r="T150" s="54">
        <v>17638.330000000002</v>
      </c>
      <c r="U150" s="54">
        <v>96034.27</v>
      </c>
      <c r="V150" s="54">
        <v>96034.27</v>
      </c>
      <c r="W150" s="54">
        <v>96034.27</v>
      </c>
    </row>
    <row r="151" spans="1:23" outlineLevel="2" x14ac:dyDescent="0.2">
      <c r="A151" s="21" t="s">
        <v>0</v>
      </c>
      <c r="B151" s="21" t="s">
        <v>1</v>
      </c>
      <c r="C151" s="21" t="s">
        <v>91</v>
      </c>
      <c r="D151" s="21" t="s">
        <v>92</v>
      </c>
      <c r="E151" s="21" t="s">
        <v>93</v>
      </c>
      <c r="F151" s="21" t="s">
        <v>5</v>
      </c>
      <c r="G151" s="21" t="s">
        <v>6</v>
      </c>
      <c r="H151" s="21" t="s">
        <v>35</v>
      </c>
      <c r="I151" s="21" t="s">
        <v>36</v>
      </c>
      <c r="J151" s="21" t="s">
        <v>9</v>
      </c>
      <c r="K151" s="21" t="s">
        <v>169</v>
      </c>
      <c r="L151" s="21" t="s">
        <v>181</v>
      </c>
      <c r="M151" s="21" t="s">
        <v>15</v>
      </c>
      <c r="N151" s="54">
        <v>328121.86</v>
      </c>
      <c r="O151" s="54">
        <v>-75278.3</v>
      </c>
      <c r="P151" s="54">
        <v>0</v>
      </c>
      <c r="Q151" s="54">
        <v>252843.56</v>
      </c>
      <c r="R151" s="54">
        <v>0</v>
      </c>
      <c r="S151" s="54">
        <v>76571.009999999995</v>
      </c>
      <c r="T151" s="54">
        <v>76571.009999999995</v>
      </c>
      <c r="U151" s="54">
        <v>176272.55</v>
      </c>
      <c r="V151" s="54">
        <v>176272.55</v>
      </c>
      <c r="W151" s="54">
        <v>176272.55</v>
      </c>
    </row>
    <row r="152" spans="1:23" outlineLevel="2" x14ac:dyDescent="0.2">
      <c r="A152" s="21" t="s">
        <v>0</v>
      </c>
      <c r="B152" s="21" t="s">
        <v>39</v>
      </c>
      <c r="C152" s="21" t="s">
        <v>58</v>
      </c>
      <c r="D152" s="21" t="s">
        <v>149</v>
      </c>
      <c r="E152" s="21" t="s">
        <v>150</v>
      </c>
      <c r="F152" s="21" t="s">
        <v>5</v>
      </c>
      <c r="G152" s="21" t="s">
        <v>6</v>
      </c>
      <c r="H152" s="21" t="s">
        <v>35</v>
      </c>
      <c r="I152" s="21" t="s">
        <v>36</v>
      </c>
      <c r="J152" s="21" t="s">
        <v>9</v>
      </c>
      <c r="K152" s="21" t="s">
        <v>169</v>
      </c>
      <c r="L152" s="21" t="s">
        <v>170</v>
      </c>
      <c r="M152" s="21" t="s">
        <v>15</v>
      </c>
      <c r="N152" s="54">
        <v>159980.42000000001</v>
      </c>
      <c r="O152" s="54">
        <v>153</v>
      </c>
      <c r="P152" s="54">
        <v>0</v>
      </c>
      <c r="Q152" s="54">
        <v>160133.42000000001</v>
      </c>
      <c r="R152" s="54">
        <v>1938.25</v>
      </c>
      <c r="S152" s="54">
        <v>12760.14</v>
      </c>
      <c r="T152" s="54">
        <v>12760.14</v>
      </c>
      <c r="U152" s="54">
        <v>147373.28</v>
      </c>
      <c r="V152" s="54">
        <v>147373.28</v>
      </c>
      <c r="W152" s="54">
        <v>145435.03</v>
      </c>
    </row>
    <row r="153" spans="1:23" outlineLevel="2" x14ac:dyDescent="0.2">
      <c r="A153" s="21" t="s">
        <v>0</v>
      </c>
      <c r="B153" s="21" t="s">
        <v>31</v>
      </c>
      <c r="C153" s="21" t="s">
        <v>79</v>
      </c>
      <c r="D153" s="21" t="s">
        <v>127</v>
      </c>
      <c r="E153" s="21" t="s">
        <v>128</v>
      </c>
      <c r="F153" s="21" t="s">
        <v>5</v>
      </c>
      <c r="G153" s="21" t="s">
        <v>6</v>
      </c>
      <c r="H153" s="21" t="s">
        <v>35</v>
      </c>
      <c r="I153" s="21" t="s">
        <v>36</v>
      </c>
      <c r="J153" s="21" t="s">
        <v>9</v>
      </c>
      <c r="K153" s="21" t="s">
        <v>169</v>
      </c>
      <c r="L153" s="21" t="s">
        <v>172</v>
      </c>
      <c r="M153" s="21" t="s">
        <v>15</v>
      </c>
      <c r="N153" s="54">
        <v>99866.14</v>
      </c>
      <c r="O153" s="54">
        <v>-790.98</v>
      </c>
      <c r="P153" s="54">
        <v>0</v>
      </c>
      <c r="Q153" s="54">
        <v>99075.16</v>
      </c>
      <c r="R153" s="54">
        <v>0</v>
      </c>
      <c r="S153" s="54">
        <v>7692.98</v>
      </c>
      <c r="T153" s="54">
        <v>7692.98</v>
      </c>
      <c r="U153" s="54">
        <v>91382.18</v>
      </c>
      <c r="V153" s="54">
        <v>91382.18</v>
      </c>
      <c r="W153" s="54">
        <v>91382.18</v>
      </c>
    </row>
    <row r="154" spans="1:23" outlineLevel="2" x14ac:dyDescent="0.2">
      <c r="A154" s="21" t="s">
        <v>0</v>
      </c>
      <c r="B154" s="21" t="s">
        <v>31</v>
      </c>
      <c r="C154" s="21" t="s">
        <v>79</v>
      </c>
      <c r="D154" s="21" t="s">
        <v>117</v>
      </c>
      <c r="E154" s="21" t="s">
        <v>118</v>
      </c>
      <c r="F154" s="21" t="s">
        <v>5</v>
      </c>
      <c r="G154" s="21" t="s">
        <v>6</v>
      </c>
      <c r="H154" s="21" t="s">
        <v>35</v>
      </c>
      <c r="I154" s="21" t="s">
        <v>36</v>
      </c>
      <c r="J154" s="21" t="s">
        <v>9</v>
      </c>
      <c r="K154" s="21" t="s">
        <v>169</v>
      </c>
      <c r="L154" s="21" t="s">
        <v>172</v>
      </c>
      <c r="M154" s="21" t="s">
        <v>15</v>
      </c>
      <c r="N154" s="54">
        <v>178203.78</v>
      </c>
      <c r="O154" s="54">
        <v>0</v>
      </c>
      <c r="P154" s="54">
        <v>0</v>
      </c>
      <c r="Q154" s="54">
        <v>178203.78</v>
      </c>
      <c r="R154" s="54">
        <v>0</v>
      </c>
      <c r="S154" s="54">
        <v>11708.11</v>
      </c>
      <c r="T154" s="54">
        <v>11708.11</v>
      </c>
      <c r="U154" s="54">
        <v>166495.67000000001</v>
      </c>
      <c r="V154" s="54">
        <v>166495.67000000001</v>
      </c>
      <c r="W154" s="54">
        <v>166495.67000000001</v>
      </c>
    </row>
    <row r="155" spans="1:23" outlineLevel="2" x14ac:dyDescent="0.2">
      <c r="A155" s="21" t="s">
        <v>0</v>
      </c>
      <c r="B155" s="21" t="s">
        <v>31</v>
      </c>
      <c r="C155" s="21" t="s">
        <v>79</v>
      </c>
      <c r="D155" s="21" t="s">
        <v>133</v>
      </c>
      <c r="E155" s="21" t="s">
        <v>134</v>
      </c>
      <c r="F155" s="21" t="s">
        <v>5</v>
      </c>
      <c r="G155" s="21" t="s">
        <v>6</v>
      </c>
      <c r="H155" s="21" t="s">
        <v>35</v>
      </c>
      <c r="I155" s="21" t="s">
        <v>36</v>
      </c>
      <c r="J155" s="21" t="s">
        <v>9</v>
      </c>
      <c r="K155" s="21" t="s">
        <v>169</v>
      </c>
      <c r="L155" s="21" t="s">
        <v>172</v>
      </c>
      <c r="M155" s="21" t="s">
        <v>12</v>
      </c>
      <c r="N155" s="54">
        <v>0</v>
      </c>
      <c r="O155" s="54">
        <v>817</v>
      </c>
      <c r="P155" s="54">
        <v>0</v>
      </c>
      <c r="Q155" s="54">
        <v>817</v>
      </c>
      <c r="R155" s="54">
        <v>476.6</v>
      </c>
      <c r="S155" s="54">
        <v>340.4</v>
      </c>
      <c r="T155" s="54">
        <v>340.4</v>
      </c>
      <c r="U155" s="54">
        <v>476.6</v>
      </c>
      <c r="V155" s="54">
        <v>476.6</v>
      </c>
      <c r="W155" s="54">
        <v>0</v>
      </c>
    </row>
    <row r="156" spans="1:23" outlineLevel="2" x14ac:dyDescent="0.2">
      <c r="A156" s="21" t="s">
        <v>0</v>
      </c>
      <c r="B156" s="21" t="s">
        <v>53</v>
      </c>
      <c r="C156" s="21" t="s">
        <v>85</v>
      </c>
      <c r="D156" s="21" t="s">
        <v>86</v>
      </c>
      <c r="E156" s="21" t="s">
        <v>87</v>
      </c>
      <c r="F156" s="21" t="s">
        <v>5</v>
      </c>
      <c r="G156" s="21" t="s">
        <v>6</v>
      </c>
      <c r="H156" s="21" t="s">
        <v>35</v>
      </c>
      <c r="I156" s="21" t="s">
        <v>36</v>
      </c>
      <c r="J156" s="21" t="s">
        <v>9</v>
      </c>
      <c r="K156" s="21" t="s">
        <v>169</v>
      </c>
      <c r="L156" s="21" t="s">
        <v>176</v>
      </c>
      <c r="M156" s="21" t="s">
        <v>15</v>
      </c>
      <c r="N156" s="54">
        <v>40754.339999999997</v>
      </c>
      <c r="O156" s="54">
        <v>0</v>
      </c>
      <c r="P156" s="54">
        <v>0</v>
      </c>
      <c r="Q156" s="54">
        <v>40754.339999999997</v>
      </c>
      <c r="R156" s="54">
        <v>3000</v>
      </c>
      <c r="S156" s="54">
        <v>14582.73</v>
      </c>
      <c r="T156" s="54">
        <v>14582.73</v>
      </c>
      <c r="U156" s="54">
        <v>26171.61</v>
      </c>
      <c r="V156" s="54">
        <v>26171.61</v>
      </c>
      <c r="W156" s="54">
        <v>23171.61</v>
      </c>
    </row>
    <row r="157" spans="1:23" outlineLevel="2" x14ac:dyDescent="0.2">
      <c r="A157" s="21" t="s">
        <v>0</v>
      </c>
      <c r="B157" s="21" t="s">
        <v>39</v>
      </c>
      <c r="C157" s="21" t="s">
        <v>58</v>
      </c>
      <c r="D157" s="21" t="s">
        <v>129</v>
      </c>
      <c r="E157" s="21" t="s">
        <v>130</v>
      </c>
      <c r="F157" s="21" t="s">
        <v>5</v>
      </c>
      <c r="G157" s="21" t="s">
        <v>6</v>
      </c>
      <c r="H157" s="21" t="s">
        <v>35</v>
      </c>
      <c r="I157" s="21" t="s">
        <v>36</v>
      </c>
      <c r="J157" s="21" t="s">
        <v>9</v>
      </c>
      <c r="K157" s="21" t="s">
        <v>186</v>
      </c>
      <c r="L157" s="21" t="s">
        <v>188</v>
      </c>
      <c r="M157" s="21" t="s">
        <v>15</v>
      </c>
      <c r="N157" s="54">
        <v>13797.88</v>
      </c>
      <c r="O157" s="54">
        <v>100</v>
      </c>
      <c r="P157" s="54">
        <v>0</v>
      </c>
      <c r="Q157" s="54">
        <v>13897.88</v>
      </c>
      <c r="R157" s="54">
        <v>0</v>
      </c>
      <c r="S157" s="54">
        <v>9874.1</v>
      </c>
      <c r="T157" s="54">
        <v>9874.1</v>
      </c>
      <c r="U157" s="54">
        <v>4023.78</v>
      </c>
      <c r="V157" s="54">
        <v>4023.78</v>
      </c>
      <c r="W157" s="54">
        <v>4023.78</v>
      </c>
    </row>
    <row r="158" spans="1:23" outlineLevel="2" x14ac:dyDescent="0.2">
      <c r="A158" s="21" t="s">
        <v>0</v>
      </c>
      <c r="B158" s="21" t="s">
        <v>39</v>
      </c>
      <c r="C158" s="21" t="s">
        <v>58</v>
      </c>
      <c r="D158" s="21" t="s">
        <v>149</v>
      </c>
      <c r="E158" s="21" t="s">
        <v>150</v>
      </c>
      <c r="F158" s="21" t="s">
        <v>5</v>
      </c>
      <c r="G158" s="21" t="s">
        <v>6</v>
      </c>
      <c r="H158" s="21" t="s">
        <v>35</v>
      </c>
      <c r="I158" s="21" t="s">
        <v>36</v>
      </c>
      <c r="J158" s="21" t="s">
        <v>9</v>
      </c>
      <c r="K158" s="21" t="s">
        <v>186</v>
      </c>
      <c r="L158" s="21" t="s">
        <v>188</v>
      </c>
      <c r="M158" s="21" t="s">
        <v>15</v>
      </c>
      <c r="N158" s="54">
        <v>66960.3</v>
      </c>
      <c r="O158" s="54">
        <v>66.67</v>
      </c>
      <c r="P158" s="54">
        <v>0</v>
      </c>
      <c r="Q158" s="54">
        <v>67026.97</v>
      </c>
      <c r="R158" s="54">
        <v>600</v>
      </c>
      <c r="S158" s="54">
        <v>56587.9</v>
      </c>
      <c r="T158" s="54">
        <v>56587.9</v>
      </c>
      <c r="U158" s="54">
        <v>10439.07</v>
      </c>
      <c r="V158" s="54">
        <v>10439.07</v>
      </c>
      <c r="W158" s="54">
        <v>9839.07</v>
      </c>
    </row>
    <row r="159" spans="1:23" outlineLevel="2" x14ac:dyDescent="0.2">
      <c r="A159" s="21" t="s">
        <v>0</v>
      </c>
      <c r="B159" s="21" t="s">
        <v>31</v>
      </c>
      <c r="C159" s="21" t="s">
        <v>49</v>
      </c>
      <c r="D159" s="21" t="s">
        <v>50</v>
      </c>
      <c r="E159" s="21" t="s">
        <v>51</v>
      </c>
      <c r="F159" s="21" t="s">
        <v>5</v>
      </c>
      <c r="G159" s="21" t="s">
        <v>6</v>
      </c>
      <c r="H159" s="21" t="s">
        <v>35</v>
      </c>
      <c r="I159" s="21" t="s">
        <v>36</v>
      </c>
      <c r="J159" s="21" t="s">
        <v>9</v>
      </c>
      <c r="K159" s="21" t="s">
        <v>186</v>
      </c>
      <c r="L159" s="21" t="s">
        <v>197</v>
      </c>
      <c r="M159" s="21" t="s">
        <v>15</v>
      </c>
      <c r="N159" s="54">
        <v>15421.16</v>
      </c>
      <c r="O159" s="54">
        <v>7300</v>
      </c>
      <c r="P159" s="54">
        <v>0</v>
      </c>
      <c r="Q159" s="54">
        <v>22721.16</v>
      </c>
      <c r="R159" s="54">
        <v>577.78</v>
      </c>
      <c r="S159" s="54">
        <v>13399.76</v>
      </c>
      <c r="T159" s="54">
        <v>13399.76</v>
      </c>
      <c r="U159" s="54">
        <v>9321.4</v>
      </c>
      <c r="V159" s="54">
        <v>9321.4</v>
      </c>
      <c r="W159" s="54">
        <v>8743.6200000000008</v>
      </c>
    </row>
    <row r="160" spans="1:23" outlineLevel="2" x14ac:dyDescent="0.2">
      <c r="A160" s="21" t="s">
        <v>0</v>
      </c>
      <c r="B160" s="21" t="s">
        <v>31</v>
      </c>
      <c r="C160" s="21" t="s">
        <v>79</v>
      </c>
      <c r="D160" s="21" t="s">
        <v>113</v>
      </c>
      <c r="E160" s="21" t="s">
        <v>114</v>
      </c>
      <c r="F160" s="21" t="s">
        <v>5</v>
      </c>
      <c r="G160" s="21" t="s">
        <v>6</v>
      </c>
      <c r="H160" s="21" t="s">
        <v>35</v>
      </c>
      <c r="I160" s="21" t="s">
        <v>36</v>
      </c>
      <c r="J160" s="21" t="s">
        <v>9</v>
      </c>
      <c r="K160" s="21" t="s">
        <v>186</v>
      </c>
      <c r="L160" s="21" t="s">
        <v>196</v>
      </c>
      <c r="M160" s="21" t="s">
        <v>15</v>
      </c>
      <c r="N160" s="54">
        <v>40582</v>
      </c>
      <c r="O160" s="54">
        <v>15.76</v>
      </c>
      <c r="P160" s="54">
        <v>0</v>
      </c>
      <c r="Q160" s="54">
        <v>40597.760000000002</v>
      </c>
      <c r="R160" s="54">
        <v>0</v>
      </c>
      <c r="S160" s="54">
        <v>37251.83</v>
      </c>
      <c r="T160" s="54">
        <v>37251.83</v>
      </c>
      <c r="U160" s="54">
        <v>3345.93</v>
      </c>
      <c r="V160" s="54">
        <v>3345.93</v>
      </c>
      <c r="W160" s="54">
        <v>3345.93</v>
      </c>
    </row>
    <row r="161" spans="1:23" outlineLevel="2" x14ac:dyDescent="0.2">
      <c r="A161" s="21" t="s">
        <v>0</v>
      </c>
      <c r="B161" s="21" t="s">
        <v>31</v>
      </c>
      <c r="C161" s="21" t="s">
        <v>32</v>
      </c>
      <c r="D161" s="21" t="s">
        <v>123</v>
      </c>
      <c r="E161" s="21" t="s">
        <v>124</v>
      </c>
      <c r="F161" s="21" t="s">
        <v>5</v>
      </c>
      <c r="G161" s="21" t="s">
        <v>6</v>
      </c>
      <c r="H161" s="21" t="s">
        <v>35</v>
      </c>
      <c r="I161" s="21" t="s">
        <v>36</v>
      </c>
      <c r="J161" s="21" t="s">
        <v>9</v>
      </c>
      <c r="K161" s="21" t="s">
        <v>186</v>
      </c>
      <c r="L161" s="21" t="s">
        <v>191</v>
      </c>
      <c r="M161" s="21" t="s">
        <v>15</v>
      </c>
      <c r="N161" s="54">
        <v>71018.5</v>
      </c>
      <c r="O161" s="54">
        <v>-31300</v>
      </c>
      <c r="P161" s="54">
        <v>0</v>
      </c>
      <c r="Q161" s="54">
        <v>39718.5</v>
      </c>
      <c r="R161" s="54">
        <v>3279.72</v>
      </c>
      <c r="S161" s="54">
        <v>35535.68</v>
      </c>
      <c r="T161" s="54">
        <v>35535.68</v>
      </c>
      <c r="U161" s="54">
        <v>4182.82</v>
      </c>
      <c r="V161" s="54">
        <v>4182.82</v>
      </c>
      <c r="W161" s="54">
        <v>903.1</v>
      </c>
    </row>
    <row r="162" spans="1:23" outlineLevel="2" x14ac:dyDescent="0.2">
      <c r="A162" s="21" t="s">
        <v>0</v>
      </c>
      <c r="B162" s="21" t="s">
        <v>39</v>
      </c>
      <c r="C162" s="21" t="s">
        <v>66</v>
      </c>
      <c r="D162" s="21" t="s">
        <v>67</v>
      </c>
      <c r="E162" s="21" t="s">
        <v>68</v>
      </c>
      <c r="F162" s="21" t="s">
        <v>5</v>
      </c>
      <c r="G162" s="21" t="s">
        <v>6</v>
      </c>
      <c r="H162" s="21" t="s">
        <v>35</v>
      </c>
      <c r="I162" s="21" t="s">
        <v>36</v>
      </c>
      <c r="J162" s="21" t="s">
        <v>9</v>
      </c>
      <c r="K162" s="21" t="s">
        <v>186</v>
      </c>
      <c r="L162" s="21" t="s">
        <v>187</v>
      </c>
      <c r="M162" s="21" t="s">
        <v>15</v>
      </c>
      <c r="N162" s="54">
        <v>50727.5</v>
      </c>
      <c r="O162" s="54">
        <v>-1600</v>
      </c>
      <c r="P162" s="54">
        <v>0</v>
      </c>
      <c r="Q162" s="54">
        <v>49127.5</v>
      </c>
      <c r="R162" s="54">
        <v>797.5</v>
      </c>
      <c r="S162" s="54">
        <v>41856.39</v>
      </c>
      <c r="T162" s="54">
        <v>41856.39</v>
      </c>
      <c r="U162" s="54">
        <v>7271.11</v>
      </c>
      <c r="V162" s="54">
        <v>7271.11</v>
      </c>
      <c r="W162" s="54">
        <v>6473.61</v>
      </c>
    </row>
    <row r="163" spans="1:23" outlineLevel="2" x14ac:dyDescent="0.2">
      <c r="A163" s="21" t="s">
        <v>0</v>
      </c>
      <c r="B163" s="21" t="s">
        <v>39</v>
      </c>
      <c r="C163" s="21" t="s">
        <v>58</v>
      </c>
      <c r="D163" s="21" t="s">
        <v>105</v>
      </c>
      <c r="E163" s="21" t="s">
        <v>106</v>
      </c>
      <c r="F163" s="21" t="s">
        <v>5</v>
      </c>
      <c r="G163" s="21" t="s">
        <v>6</v>
      </c>
      <c r="H163" s="21" t="s">
        <v>35</v>
      </c>
      <c r="I163" s="21" t="s">
        <v>36</v>
      </c>
      <c r="J163" s="21" t="s">
        <v>9</v>
      </c>
      <c r="K163" s="21" t="s">
        <v>186</v>
      </c>
      <c r="L163" s="21" t="s">
        <v>188</v>
      </c>
      <c r="M163" s="21" t="s">
        <v>15</v>
      </c>
      <c r="N163" s="54">
        <v>12986.24</v>
      </c>
      <c r="O163" s="54">
        <v>133.33000000000001</v>
      </c>
      <c r="P163" s="54">
        <v>0</v>
      </c>
      <c r="Q163" s="54">
        <v>13119.57</v>
      </c>
      <c r="R163" s="54">
        <v>2356.7199999999998</v>
      </c>
      <c r="S163" s="54">
        <v>7663.64</v>
      </c>
      <c r="T163" s="54">
        <v>7663.64</v>
      </c>
      <c r="U163" s="54">
        <v>5455.93</v>
      </c>
      <c r="V163" s="54">
        <v>5455.93</v>
      </c>
      <c r="W163" s="54">
        <v>3099.21</v>
      </c>
    </row>
    <row r="164" spans="1:23" outlineLevel="2" x14ac:dyDescent="0.2">
      <c r="A164" s="21" t="s">
        <v>0</v>
      </c>
      <c r="B164" s="21" t="s">
        <v>31</v>
      </c>
      <c r="C164" s="21" t="s">
        <v>79</v>
      </c>
      <c r="D164" s="21" t="s">
        <v>80</v>
      </c>
      <c r="E164" s="21" t="s">
        <v>81</v>
      </c>
      <c r="F164" s="21" t="s">
        <v>5</v>
      </c>
      <c r="G164" s="21" t="s">
        <v>6</v>
      </c>
      <c r="H164" s="21" t="s">
        <v>35</v>
      </c>
      <c r="I164" s="21" t="s">
        <v>36</v>
      </c>
      <c r="J164" s="21" t="s">
        <v>9</v>
      </c>
      <c r="K164" s="21" t="s">
        <v>186</v>
      </c>
      <c r="L164" s="21" t="s">
        <v>196</v>
      </c>
      <c r="M164" s="21" t="s">
        <v>15</v>
      </c>
      <c r="N164" s="54">
        <v>37741.26</v>
      </c>
      <c r="O164" s="54">
        <v>15.76</v>
      </c>
      <c r="P164" s="54">
        <v>0</v>
      </c>
      <c r="Q164" s="54">
        <v>37757.019999999997</v>
      </c>
      <c r="R164" s="54">
        <v>0</v>
      </c>
      <c r="S164" s="54">
        <v>35202.21</v>
      </c>
      <c r="T164" s="54">
        <v>35202.21</v>
      </c>
      <c r="U164" s="54">
        <v>2554.81</v>
      </c>
      <c r="V164" s="54">
        <v>2554.81</v>
      </c>
      <c r="W164" s="54">
        <v>2554.81</v>
      </c>
    </row>
    <row r="165" spans="1:23" outlineLevel="2" x14ac:dyDescent="0.2">
      <c r="A165" s="21" t="s">
        <v>0</v>
      </c>
      <c r="B165" s="21" t="s">
        <v>31</v>
      </c>
      <c r="C165" s="21" t="s">
        <v>79</v>
      </c>
      <c r="D165" s="21" t="s">
        <v>113</v>
      </c>
      <c r="E165" s="21" t="s">
        <v>114</v>
      </c>
      <c r="F165" s="21" t="s">
        <v>5</v>
      </c>
      <c r="G165" s="21" t="s">
        <v>6</v>
      </c>
      <c r="H165" s="21" t="s">
        <v>35</v>
      </c>
      <c r="I165" s="21" t="s">
        <v>36</v>
      </c>
      <c r="J165" s="21" t="s">
        <v>9</v>
      </c>
      <c r="K165" s="21" t="s">
        <v>186</v>
      </c>
      <c r="L165" s="21" t="s">
        <v>196</v>
      </c>
      <c r="M165" s="21" t="s">
        <v>12</v>
      </c>
      <c r="N165" s="54">
        <v>0</v>
      </c>
      <c r="O165" s="54">
        <v>800</v>
      </c>
      <c r="P165" s="54">
        <v>0</v>
      </c>
      <c r="Q165" s="54">
        <v>800</v>
      </c>
      <c r="R165" s="54">
        <v>475.58</v>
      </c>
      <c r="S165" s="54">
        <v>324.42</v>
      </c>
      <c r="T165" s="54">
        <v>324.42</v>
      </c>
      <c r="U165" s="54">
        <v>475.58</v>
      </c>
      <c r="V165" s="54">
        <v>475.58</v>
      </c>
      <c r="W165" s="54">
        <v>0</v>
      </c>
    </row>
    <row r="166" spans="1:23" outlineLevel="2" x14ac:dyDescent="0.2">
      <c r="A166" s="21" t="s">
        <v>0</v>
      </c>
      <c r="B166" s="21" t="s">
        <v>31</v>
      </c>
      <c r="C166" s="21" t="s">
        <v>107</v>
      </c>
      <c r="D166" s="21" t="s">
        <v>108</v>
      </c>
      <c r="E166" s="21" t="s">
        <v>109</v>
      </c>
      <c r="F166" s="21" t="s">
        <v>5</v>
      </c>
      <c r="G166" s="21" t="s">
        <v>6</v>
      </c>
      <c r="H166" s="21" t="s">
        <v>35</v>
      </c>
      <c r="I166" s="21" t="s">
        <v>36</v>
      </c>
      <c r="J166" s="21" t="s">
        <v>9</v>
      </c>
      <c r="K166" s="21" t="s">
        <v>186</v>
      </c>
      <c r="L166" s="21" t="s">
        <v>193</v>
      </c>
      <c r="M166" s="21" t="s">
        <v>15</v>
      </c>
      <c r="N166" s="54">
        <v>88468.76</v>
      </c>
      <c r="O166" s="54">
        <v>800</v>
      </c>
      <c r="P166" s="54">
        <v>0</v>
      </c>
      <c r="Q166" s="54">
        <v>89268.76</v>
      </c>
      <c r="R166" s="54">
        <v>292.7</v>
      </c>
      <c r="S166" s="54">
        <v>78854.25</v>
      </c>
      <c r="T166" s="54">
        <v>78254.25</v>
      </c>
      <c r="U166" s="54">
        <v>10414.51</v>
      </c>
      <c r="V166" s="54">
        <v>11014.51</v>
      </c>
      <c r="W166" s="54">
        <v>10121.81</v>
      </c>
    </row>
    <row r="167" spans="1:23" outlineLevel="2" x14ac:dyDescent="0.2">
      <c r="A167" s="21" t="s">
        <v>0</v>
      </c>
      <c r="B167" s="21" t="s">
        <v>39</v>
      </c>
      <c r="C167" s="21" t="s">
        <v>58</v>
      </c>
      <c r="D167" s="21" t="s">
        <v>139</v>
      </c>
      <c r="E167" s="21" t="s">
        <v>140</v>
      </c>
      <c r="F167" s="21" t="s">
        <v>5</v>
      </c>
      <c r="G167" s="21" t="s">
        <v>6</v>
      </c>
      <c r="H167" s="21" t="s">
        <v>35</v>
      </c>
      <c r="I167" s="21" t="s">
        <v>36</v>
      </c>
      <c r="J167" s="21" t="s">
        <v>9</v>
      </c>
      <c r="K167" s="21" t="s">
        <v>186</v>
      </c>
      <c r="L167" s="21" t="s">
        <v>188</v>
      </c>
      <c r="M167" s="21" t="s">
        <v>15</v>
      </c>
      <c r="N167" s="54">
        <v>46263.48</v>
      </c>
      <c r="O167" s="54">
        <v>0</v>
      </c>
      <c r="P167" s="54">
        <v>0</v>
      </c>
      <c r="Q167" s="54">
        <v>46263.48</v>
      </c>
      <c r="R167" s="54">
        <v>278.89</v>
      </c>
      <c r="S167" s="54">
        <v>41931.31</v>
      </c>
      <c r="T167" s="54">
        <v>41931.31</v>
      </c>
      <c r="U167" s="54">
        <v>4332.17</v>
      </c>
      <c r="V167" s="54">
        <v>4332.17</v>
      </c>
      <c r="W167" s="54">
        <v>4053.28</v>
      </c>
    </row>
    <row r="168" spans="1:23" outlineLevel="2" x14ac:dyDescent="0.2">
      <c r="A168" s="21" t="s">
        <v>0</v>
      </c>
      <c r="B168" s="21" t="s">
        <v>39</v>
      </c>
      <c r="C168" s="21" t="s">
        <v>95</v>
      </c>
      <c r="D168" s="21" t="s">
        <v>96</v>
      </c>
      <c r="E168" s="21" t="s">
        <v>97</v>
      </c>
      <c r="F168" s="21" t="s">
        <v>5</v>
      </c>
      <c r="G168" s="21" t="s">
        <v>6</v>
      </c>
      <c r="H168" s="21" t="s">
        <v>35</v>
      </c>
      <c r="I168" s="21" t="s">
        <v>36</v>
      </c>
      <c r="J168" s="21" t="s">
        <v>9</v>
      </c>
      <c r="K168" s="21" t="s">
        <v>186</v>
      </c>
      <c r="L168" s="21" t="s">
        <v>202</v>
      </c>
      <c r="M168" s="21" t="s">
        <v>15</v>
      </c>
      <c r="N168" s="54">
        <v>31248.14</v>
      </c>
      <c r="O168" s="54">
        <v>66.67</v>
      </c>
      <c r="P168" s="54">
        <v>0</v>
      </c>
      <c r="Q168" s="54">
        <v>31314.81</v>
      </c>
      <c r="R168" s="54">
        <v>102.25</v>
      </c>
      <c r="S168" s="54">
        <v>26398.29</v>
      </c>
      <c r="T168" s="54">
        <v>26397.82</v>
      </c>
      <c r="U168" s="54">
        <v>4916.5200000000004</v>
      </c>
      <c r="V168" s="54">
        <v>4916.99</v>
      </c>
      <c r="W168" s="54">
        <v>4814.2700000000004</v>
      </c>
    </row>
    <row r="169" spans="1:23" outlineLevel="2" x14ac:dyDescent="0.2">
      <c r="A169" s="21" t="s">
        <v>0</v>
      </c>
      <c r="B169" s="21" t="s">
        <v>31</v>
      </c>
      <c r="C169" s="21" t="s">
        <v>79</v>
      </c>
      <c r="D169" s="21" t="s">
        <v>115</v>
      </c>
      <c r="E169" s="21" t="s">
        <v>116</v>
      </c>
      <c r="F169" s="21" t="s">
        <v>5</v>
      </c>
      <c r="G169" s="21" t="s">
        <v>6</v>
      </c>
      <c r="H169" s="21" t="s">
        <v>35</v>
      </c>
      <c r="I169" s="21" t="s">
        <v>36</v>
      </c>
      <c r="J169" s="21" t="s">
        <v>9</v>
      </c>
      <c r="K169" s="21" t="s">
        <v>186</v>
      </c>
      <c r="L169" s="21" t="s">
        <v>196</v>
      </c>
      <c r="M169" s="21" t="s">
        <v>15</v>
      </c>
      <c r="N169" s="54">
        <v>26784.12</v>
      </c>
      <c r="O169" s="54">
        <v>-263.66000000000003</v>
      </c>
      <c r="P169" s="54">
        <v>0</v>
      </c>
      <c r="Q169" s="54">
        <v>26520.46</v>
      </c>
      <c r="R169" s="54">
        <v>0</v>
      </c>
      <c r="S169" s="54">
        <v>25653.08</v>
      </c>
      <c r="T169" s="54">
        <v>25653.08</v>
      </c>
      <c r="U169" s="54">
        <v>867.38</v>
      </c>
      <c r="V169" s="54">
        <v>867.38</v>
      </c>
      <c r="W169" s="54">
        <v>867.38</v>
      </c>
    </row>
    <row r="170" spans="1:23" outlineLevel="2" x14ac:dyDescent="0.2">
      <c r="A170" s="21" t="s">
        <v>0</v>
      </c>
      <c r="B170" s="21" t="s">
        <v>31</v>
      </c>
      <c r="C170" s="21" t="s">
        <v>79</v>
      </c>
      <c r="D170" s="21" t="s">
        <v>117</v>
      </c>
      <c r="E170" s="21" t="s">
        <v>118</v>
      </c>
      <c r="F170" s="21" t="s">
        <v>5</v>
      </c>
      <c r="G170" s="21" t="s">
        <v>6</v>
      </c>
      <c r="H170" s="21" t="s">
        <v>35</v>
      </c>
      <c r="I170" s="21" t="s">
        <v>36</v>
      </c>
      <c r="J170" s="21" t="s">
        <v>9</v>
      </c>
      <c r="K170" s="21" t="s">
        <v>186</v>
      </c>
      <c r="L170" s="21" t="s">
        <v>196</v>
      </c>
      <c r="M170" s="21" t="s">
        <v>15</v>
      </c>
      <c r="N170" s="54">
        <v>66960.3</v>
      </c>
      <c r="O170" s="54">
        <v>0</v>
      </c>
      <c r="P170" s="54">
        <v>0</v>
      </c>
      <c r="Q170" s="54">
        <v>66960.3</v>
      </c>
      <c r="R170" s="54">
        <v>0</v>
      </c>
      <c r="S170" s="54">
        <v>60758.36</v>
      </c>
      <c r="T170" s="54">
        <v>60758.36</v>
      </c>
      <c r="U170" s="54">
        <v>6201.94</v>
      </c>
      <c r="V170" s="54">
        <v>6201.94</v>
      </c>
      <c r="W170" s="54">
        <v>6201.94</v>
      </c>
    </row>
    <row r="171" spans="1:23" outlineLevel="2" x14ac:dyDescent="0.2">
      <c r="A171" s="21" t="s">
        <v>0</v>
      </c>
      <c r="B171" s="21" t="s">
        <v>1</v>
      </c>
      <c r="C171" s="21" t="s">
        <v>2</v>
      </c>
      <c r="D171" s="21" t="s">
        <v>3</v>
      </c>
      <c r="E171" s="21" t="s">
        <v>4</v>
      </c>
      <c r="F171" s="21" t="s">
        <v>5</v>
      </c>
      <c r="G171" s="21" t="s">
        <v>6</v>
      </c>
      <c r="H171" s="21" t="s">
        <v>35</v>
      </c>
      <c r="I171" s="21" t="s">
        <v>36</v>
      </c>
      <c r="J171" s="21" t="s">
        <v>9</v>
      </c>
      <c r="K171" s="21" t="s">
        <v>186</v>
      </c>
      <c r="L171" s="21" t="s">
        <v>194</v>
      </c>
      <c r="M171" s="21" t="s">
        <v>15</v>
      </c>
      <c r="N171" s="54">
        <v>109571.4</v>
      </c>
      <c r="O171" s="54">
        <v>-400</v>
      </c>
      <c r="P171" s="54">
        <v>0</v>
      </c>
      <c r="Q171" s="54">
        <v>109171.4</v>
      </c>
      <c r="R171" s="54">
        <v>2024.78</v>
      </c>
      <c r="S171" s="54">
        <v>98835.92</v>
      </c>
      <c r="T171" s="54">
        <v>98592.58</v>
      </c>
      <c r="U171" s="54">
        <v>10335.48</v>
      </c>
      <c r="V171" s="54">
        <v>10578.82</v>
      </c>
      <c r="W171" s="54">
        <v>8310.7000000000007</v>
      </c>
    </row>
    <row r="172" spans="1:23" outlineLevel="2" x14ac:dyDescent="0.2">
      <c r="A172" s="21" t="s">
        <v>0</v>
      </c>
      <c r="B172" s="21" t="s">
        <v>31</v>
      </c>
      <c r="C172" s="21" t="s">
        <v>79</v>
      </c>
      <c r="D172" s="21" t="s">
        <v>127</v>
      </c>
      <c r="E172" s="21" t="s">
        <v>128</v>
      </c>
      <c r="F172" s="21" t="s">
        <v>5</v>
      </c>
      <c r="G172" s="21" t="s">
        <v>6</v>
      </c>
      <c r="H172" s="21" t="s">
        <v>35</v>
      </c>
      <c r="I172" s="21" t="s">
        <v>36</v>
      </c>
      <c r="J172" s="21" t="s">
        <v>9</v>
      </c>
      <c r="K172" s="21" t="s">
        <v>186</v>
      </c>
      <c r="L172" s="21" t="s">
        <v>196</v>
      </c>
      <c r="M172" s="21" t="s">
        <v>12</v>
      </c>
      <c r="N172" s="54">
        <v>0</v>
      </c>
      <c r="O172" s="54">
        <v>400</v>
      </c>
      <c r="P172" s="54">
        <v>0</v>
      </c>
      <c r="Q172" s="54">
        <v>400</v>
      </c>
      <c r="R172" s="54">
        <v>250</v>
      </c>
      <c r="S172" s="54">
        <v>150</v>
      </c>
      <c r="T172" s="54">
        <v>150</v>
      </c>
      <c r="U172" s="54">
        <v>250</v>
      </c>
      <c r="V172" s="54">
        <v>250</v>
      </c>
      <c r="W172" s="54">
        <v>0</v>
      </c>
    </row>
    <row r="173" spans="1:23" outlineLevel="2" x14ac:dyDescent="0.2">
      <c r="A173" s="21" t="s">
        <v>0</v>
      </c>
      <c r="B173" s="21" t="s">
        <v>39</v>
      </c>
      <c r="C173" s="21" t="s">
        <v>40</v>
      </c>
      <c r="D173" s="21" t="s">
        <v>77</v>
      </c>
      <c r="E173" s="21" t="s">
        <v>78</v>
      </c>
      <c r="F173" s="21" t="s">
        <v>5</v>
      </c>
      <c r="G173" s="21" t="s">
        <v>6</v>
      </c>
      <c r="H173" s="21" t="s">
        <v>35</v>
      </c>
      <c r="I173" s="21" t="s">
        <v>36</v>
      </c>
      <c r="J173" s="21" t="s">
        <v>9</v>
      </c>
      <c r="K173" s="21" t="s">
        <v>186</v>
      </c>
      <c r="L173" s="21" t="s">
        <v>198</v>
      </c>
      <c r="M173" s="21" t="s">
        <v>15</v>
      </c>
      <c r="N173" s="54">
        <v>1021448.94</v>
      </c>
      <c r="O173" s="54">
        <v>2163.9499999999998</v>
      </c>
      <c r="P173" s="54">
        <v>0</v>
      </c>
      <c r="Q173" s="54">
        <v>1023612.89</v>
      </c>
      <c r="R173" s="54">
        <v>2881.12</v>
      </c>
      <c r="S173" s="54">
        <v>964122.77</v>
      </c>
      <c r="T173" s="54">
        <v>964122.77</v>
      </c>
      <c r="U173" s="54">
        <v>59490.12</v>
      </c>
      <c r="V173" s="54">
        <v>59490.12</v>
      </c>
      <c r="W173" s="54">
        <v>56609</v>
      </c>
    </row>
    <row r="174" spans="1:23" outlineLevel="2" x14ac:dyDescent="0.2">
      <c r="A174" s="21" t="s">
        <v>0</v>
      </c>
      <c r="B174" s="21" t="s">
        <v>31</v>
      </c>
      <c r="C174" s="21" t="s">
        <v>79</v>
      </c>
      <c r="D174" s="21" t="s">
        <v>83</v>
      </c>
      <c r="E174" s="21" t="s">
        <v>84</v>
      </c>
      <c r="F174" s="21" t="s">
        <v>5</v>
      </c>
      <c r="G174" s="21" t="s">
        <v>6</v>
      </c>
      <c r="H174" s="21" t="s">
        <v>35</v>
      </c>
      <c r="I174" s="21" t="s">
        <v>36</v>
      </c>
      <c r="J174" s="21" t="s">
        <v>9</v>
      </c>
      <c r="K174" s="21" t="s">
        <v>186</v>
      </c>
      <c r="L174" s="21" t="s">
        <v>196</v>
      </c>
      <c r="M174" s="21" t="s">
        <v>15</v>
      </c>
      <c r="N174" s="54">
        <v>196822.7</v>
      </c>
      <c r="O174" s="54">
        <v>-42617.58</v>
      </c>
      <c r="P174" s="54">
        <v>0</v>
      </c>
      <c r="Q174" s="54">
        <v>154205.12</v>
      </c>
      <c r="R174" s="54">
        <v>8812.77</v>
      </c>
      <c r="S174" s="54">
        <v>127211.68</v>
      </c>
      <c r="T174" s="54">
        <v>127211.68</v>
      </c>
      <c r="U174" s="54">
        <v>26993.439999999999</v>
      </c>
      <c r="V174" s="54">
        <v>26993.439999999999</v>
      </c>
      <c r="W174" s="54">
        <v>18180.669999999998</v>
      </c>
    </row>
    <row r="175" spans="1:23" outlineLevel="2" x14ac:dyDescent="0.2">
      <c r="A175" s="21" t="s">
        <v>0</v>
      </c>
      <c r="B175" s="21" t="s">
        <v>39</v>
      </c>
      <c r="C175" s="21" t="s">
        <v>70</v>
      </c>
      <c r="D175" s="21" t="s">
        <v>89</v>
      </c>
      <c r="E175" s="21" t="s">
        <v>90</v>
      </c>
      <c r="F175" s="21" t="s">
        <v>5</v>
      </c>
      <c r="G175" s="21" t="s">
        <v>6</v>
      </c>
      <c r="H175" s="21" t="s">
        <v>35</v>
      </c>
      <c r="I175" s="21" t="s">
        <v>36</v>
      </c>
      <c r="J175" s="21" t="s">
        <v>9</v>
      </c>
      <c r="K175" s="21" t="s">
        <v>186</v>
      </c>
      <c r="L175" s="21" t="s">
        <v>190</v>
      </c>
      <c r="M175" s="21" t="s">
        <v>15</v>
      </c>
      <c r="N175" s="54">
        <v>589656.46</v>
      </c>
      <c r="O175" s="54">
        <v>0</v>
      </c>
      <c r="P175" s="54">
        <v>0</v>
      </c>
      <c r="Q175" s="54">
        <v>589656.46</v>
      </c>
      <c r="R175" s="54">
        <v>9600</v>
      </c>
      <c r="S175" s="54">
        <v>544481.02</v>
      </c>
      <c r="T175" s="54">
        <v>544481.02</v>
      </c>
      <c r="U175" s="54">
        <v>45175.44</v>
      </c>
      <c r="V175" s="54">
        <v>45175.44</v>
      </c>
      <c r="W175" s="54">
        <v>35575.440000000002</v>
      </c>
    </row>
    <row r="176" spans="1:23" outlineLevel="2" x14ac:dyDescent="0.2">
      <c r="A176" s="21" t="s">
        <v>0</v>
      </c>
      <c r="B176" s="21" t="s">
        <v>31</v>
      </c>
      <c r="C176" s="21" t="s">
        <v>79</v>
      </c>
      <c r="D176" s="21" t="s">
        <v>127</v>
      </c>
      <c r="E176" s="21" t="s">
        <v>128</v>
      </c>
      <c r="F176" s="21" t="s">
        <v>5</v>
      </c>
      <c r="G176" s="21" t="s">
        <v>6</v>
      </c>
      <c r="H176" s="21" t="s">
        <v>35</v>
      </c>
      <c r="I176" s="21" t="s">
        <v>36</v>
      </c>
      <c r="J176" s="21" t="s">
        <v>9</v>
      </c>
      <c r="K176" s="21" t="s">
        <v>186</v>
      </c>
      <c r="L176" s="21" t="s">
        <v>196</v>
      </c>
      <c r="M176" s="21" t="s">
        <v>15</v>
      </c>
      <c r="N176" s="54">
        <v>35712.160000000003</v>
      </c>
      <c r="O176" s="54">
        <v>-263.66000000000003</v>
      </c>
      <c r="P176" s="54">
        <v>0</v>
      </c>
      <c r="Q176" s="54">
        <v>35448.5</v>
      </c>
      <c r="R176" s="54">
        <v>0</v>
      </c>
      <c r="S176" s="54">
        <v>33318.67</v>
      </c>
      <c r="T176" s="54">
        <v>33318.67</v>
      </c>
      <c r="U176" s="54">
        <v>2129.83</v>
      </c>
      <c r="V176" s="54">
        <v>2129.83</v>
      </c>
      <c r="W176" s="54">
        <v>2129.83</v>
      </c>
    </row>
    <row r="177" spans="1:23" outlineLevel="2" x14ac:dyDescent="0.2">
      <c r="A177" s="21" t="s">
        <v>0</v>
      </c>
      <c r="B177" s="21" t="s">
        <v>39</v>
      </c>
      <c r="C177" s="21" t="s">
        <v>58</v>
      </c>
      <c r="D177" s="21" t="s">
        <v>59</v>
      </c>
      <c r="E177" s="21" t="s">
        <v>60</v>
      </c>
      <c r="F177" s="21" t="s">
        <v>5</v>
      </c>
      <c r="G177" s="21" t="s">
        <v>6</v>
      </c>
      <c r="H177" s="21" t="s">
        <v>35</v>
      </c>
      <c r="I177" s="21" t="s">
        <v>36</v>
      </c>
      <c r="J177" s="21" t="s">
        <v>9</v>
      </c>
      <c r="K177" s="21" t="s">
        <v>186</v>
      </c>
      <c r="L177" s="21" t="s">
        <v>188</v>
      </c>
      <c r="M177" s="21" t="s">
        <v>15</v>
      </c>
      <c r="N177" s="54">
        <v>27595.759999999998</v>
      </c>
      <c r="O177" s="54">
        <v>-66.67</v>
      </c>
      <c r="P177" s="54">
        <v>0</v>
      </c>
      <c r="Q177" s="54">
        <v>27529.09</v>
      </c>
      <c r="R177" s="54">
        <v>148.88</v>
      </c>
      <c r="S177" s="54">
        <v>22591.38</v>
      </c>
      <c r="T177" s="54">
        <v>22578.05</v>
      </c>
      <c r="U177" s="54">
        <v>4937.71</v>
      </c>
      <c r="V177" s="54">
        <v>4951.04</v>
      </c>
      <c r="W177" s="54">
        <v>4788.83</v>
      </c>
    </row>
    <row r="178" spans="1:23" outlineLevel="2" x14ac:dyDescent="0.2">
      <c r="A178" s="21" t="s">
        <v>0</v>
      </c>
      <c r="B178" s="21" t="s">
        <v>31</v>
      </c>
      <c r="C178" s="21" t="s">
        <v>79</v>
      </c>
      <c r="D178" s="21" t="s">
        <v>131</v>
      </c>
      <c r="E178" s="21" t="s">
        <v>132</v>
      </c>
      <c r="F178" s="21" t="s">
        <v>5</v>
      </c>
      <c r="G178" s="21" t="s">
        <v>6</v>
      </c>
      <c r="H178" s="21" t="s">
        <v>35</v>
      </c>
      <c r="I178" s="21" t="s">
        <v>36</v>
      </c>
      <c r="J178" s="21" t="s">
        <v>9</v>
      </c>
      <c r="K178" s="21" t="s">
        <v>186</v>
      </c>
      <c r="L178" s="21" t="s">
        <v>196</v>
      </c>
      <c r="M178" s="21" t="s">
        <v>15</v>
      </c>
      <c r="N178" s="54">
        <v>58032.26</v>
      </c>
      <c r="O178" s="54">
        <v>15.76</v>
      </c>
      <c r="P178" s="54">
        <v>0</v>
      </c>
      <c r="Q178" s="54">
        <v>58048.02</v>
      </c>
      <c r="R178" s="54">
        <v>0</v>
      </c>
      <c r="S178" s="54">
        <v>54051.73</v>
      </c>
      <c r="T178" s="54">
        <v>53730.07</v>
      </c>
      <c r="U178" s="54">
        <v>3996.29</v>
      </c>
      <c r="V178" s="54">
        <v>4317.95</v>
      </c>
      <c r="W178" s="54">
        <v>3996.29</v>
      </c>
    </row>
    <row r="179" spans="1:23" outlineLevel="2" x14ac:dyDescent="0.2">
      <c r="A179" s="21" t="s">
        <v>0</v>
      </c>
      <c r="B179" s="21" t="s">
        <v>1</v>
      </c>
      <c r="C179" s="21" t="s">
        <v>16</v>
      </c>
      <c r="D179" s="21" t="s">
        <v>103</v>
      </c>
      <c r="E179" s="21" t="s">
        <v>104</v>
      </c>
      <c r="F179" s="21" t="s">
        <v>5</v>
      </c>
      <c r="G179" s="21" t="s">
        <v>6</v>
      </c>
      <c r="H179" s="21" t="s">
        <v>35</v>
      </c>
      <c r="I179" s="21" t="s">
        <v>36</v>
      </c>
      <c r="J179" s="21" t="s">
        <v>9</v>
      </c>
      <c r="K179" s="21" t="s">
        <v>186</v>
      </c>
      <c r="L179" s="21" t="s">
        <v>200</v>
      </c>
      <c r="M179" s="21" t="s">
        <v>15</v>
      </c>
      <c r="N179" s="54">
        <v>58438.080000000002</v>
      </c>
      <c r="O179" s="54">
        <v>666.67</v>
      </c>
      <c r="P179" s="54">
        <v>0</v>
      </c>
      <c r="Q179" s="54">
        <v>59104.75</v>
      </c>
      <c r="R179" s="54">
        <v>4237.84</v>
      </c>
      <c r="S179" s="54">
        <v>44173.04</v>
      </c>
      <c r="T179" s="54">
        <v>44173.04</v>
      </c>
      <c r="U179" s="54">
        <v>14931.71</v>
      </c>
      <c r="V179" s="54">
        <v>14931.71</v>
      </c>
      <c r="W179" s="54">
        <v>10693.87</v>
      </c>
    </row>
    <row r="180" spans="1:23" outlineLevel="2" x14ac:dyDescent="0.2">
      <c r="A180" s="21" t="s">
        <v>0</v>
      </c>
      <c r="B180" s="21" t="s">
        <v>31</v>
      </c>
      <c r="C180" s="21" t="s">
        <v>79</v>
      </c>
      <c r="D180" s="21" t="s">
        <v>133</v>
      </c>
      <c r="E180" s="21" t="s">
        <v>134</v>
      </c>
      <c r="F180" s="21" t="s">
        <v>5</v>
      </c>
      <c r="G180" s="21" t="s">
        <v>6</v>
      </c>
      <c r="H180" s="21" t="s">
        <v>35</v>
      </c>
      <c r="I180" s="21" t="s">
        <v>36</v>
      </c>
      <c r="J180" s="21" t="s">
        <v>9</v>
      </c>
      <c r="K180" s="21" t="s">
        <v>186</v>
      </c>
      <c r="L180" s="21" t="s">
        <v>196</v>
      </c>
      <c r="M180" s="21" t="s">
        <v>15</v>
      </c>
      <c r="N180" s="54">
        <v>41393.64</v>
      </c>
      <c r="O180" s="54">
        <v>15.76</v>
      </c>
      <c r="P180" s="54">
        <v>0</v>
      </c>
      <c r="Q180" s="54">
        <v>41409.4</v>
      </c>
      <c r="R180" s="54">
        <v>0</v>
      </c>
      <c r="S180" s="54">
        <v>39089.49</v>
      </c>
      <c r="T180" s="54">
        <v>39089.49</v>
      </c>
      <c r="U180" s="54">
        <v>2319.91</v>
      </c>
      <c r="V180" s="54">
        <v>2319.91</v>
      </c>
      <c r="W180" s="54">
        <v>2319.91</v>
      </c>
    </row>
    <row r="181" spans="1:23" outlineLevel="2" x14ac:dyDescent="0.2">
      <c r="A181" s="21" t="s">
        <v>0</v>
      </c>
      <c r="B181" s="21" t="s">
        <v>53</v>
      </c>
      <c r="C181" s="21" t="s">
        <v>54</v>
      </c>
      <c r="D181" s="21" t="s">
        <v>55</v>
      </c>
      <c r="E181" s="21" t="s">
        <v>56</v>
      </c>
      <c r="F181" s="21" t="s">
        <v>5</v>
      </c>
      <c r="G181" s="21" t="s">
        <v>6</v>
      </c>
      <c r="H181" s="21" t="s">
        <v>35</v>
      </c>
      <c r="I181" s="21" t="s">
        <v>36</v>
      </c>
      <c r="J181" s="21" t="s">
        <v>9</v>
      </c>
      <c r="K181" s="21" t="s">
        <v>186</v>
      </c>
      <c r="L181" s="21" t="s">
        <v>201</v>
      </c>
      <c r="M181" s="21" t="s">
        <v>15</v>
      </c>
      <c r="N181" s="54">
        <v>47886.76</v>
      </c>
      <c r="O181" s="54">
        <v>11356.43</v>
      </c>
      <c r="P181" s="54">
        <v>0</v>
      </c>
      <c r="Q181" s="54">
        <v>59243.19</v>
      </c>
      <c r="R181" s="54">
        <v>372.21</v>
      </c>
      <c r="S181" s="54">
        <v>38510.61</v>
      </c>
      <c r="T181" s="54">
        <v>38510.61</v>
      </c>
      <c r="U181" s="54">
        <v>20732.580000000002</v>
      </c>
      <c r="V181" s="54">
        <v>20732.580000000002</v>
      </c>
      <c r="W181" s="54">
        <v>20360.37</v>
      </c>
    </row>
    <row r="182" spans="1:23" outlineLevel="2" x14ac:dyDescent="0.2">
      <c r="A182" s="21" t="s">
        <v>0</v>
      </c>
      <c r="B182" s="21" t="s">
        <v>31</v>
      </c>
      <c r="C182" s="21" t="s">
        <v>32</v>
      </c>
      <c r="D182" s="21" t="s">
        <v>33</v>
      </c>
      <c r="E182" s="21" t="s">
        <v>34</v>
      </c>
      <c r="F182" s="21" t="s">
        <v>5</v>
      </c>
      <c r="G182" s="21" t="s">
        <v>6</v>
      </c>
      <c r="H182" s="21" t="s">
        <v>35</v>
      </c>
      <c r="I182" s="21" t="s">
        <v>36</v>
      </c>
      <c r="J182" s="21" t="s">
        <v>9</v>
      </c>
      <c r="K182" s="21" t="s">
        <v>186</v>
      </c>
      <c r="L182" s="21" t="s">
        <v>191</v>
      </c>
      <c r="M182" s="21" t="s">
        <v>15</v>
      </c>
      <c r="N182" s="54">
        <v>83193.100000000006</v>
      </c>
      <c r="O182" s="54">
        <v>3733.33</v>
      </c>
      <c r="P182" s="54">
        <v>0</v>
      </c>
      <c r="Q182" s="54">
        <v>86926.43</v>
      </c>
      <c r="R182" s="54">
        <v>4778.57</v>
      </c>
      <c r="S182" s="54">
        <v>68353.289999999994</v>
      </c>
      <c r="T182" s="54">
        <v>68353.289999999994</v>
      </c>
      <c r="U182" s="54">
        <v>18573.14</v>
      </c>
      <c r="V182" s="54">
        <v>18573.14</v>
      </c>
      <c r="W182" s="54">
        <v>13794.57</v>
      </c>
    </row>
    <row r="183" spans="1:23" outlineLevel="2" x14ac:dyDescent="0.2">
      <c r="A183" s="21" t="s">
        <v>0</v>
      </c>
      <c r="B183" s="21" t="s">
        <v>1</v>
      </c>
      <c r="C183" s="21" t="s">
        <v>16</v>
      </c>
      <c r="D183" s="21" t="s">
        <v>64</v>
      </c>
      <c r="E183" s="21" t="s">
        <v>65</v>
      </c>
      <c r="F183" s="21" t="s">
        <v>5</v>
      </c>
      <c r="G183" s="21" t="s">
        <v>6</v>
      </c>
      <c r="H183" s="21" t="s">
        <v>35</v>
      </c>
      <c r="I183" s="21" t="s">
        <v>36</v>
      </c>
      <c r="J183" s="21" t="s">
        <v>9</v>
      </c>
      <c r="K183" s="21" t="s">
        <v>186</v>
      </c>
      <c r="L183" s="21" t="s">
        <v>200</v>
      </c>
      <c r="M183" s="21" t="s">
        <v>15</v>
      </c>
      <c r="N183" s="54">
        <v>6898.94</v>
      </c>
      <c r="O183" s="54">
        <v>0</v>
      </c>
      <c r="P183" s="54">
        <v>0</v>
      </c>
      <c r="Q183" s="54">
        <v>6898.94</v>
      </c>
      <c r="R183" s="54">
        <v>66.349999999999994</v>
      </c>
      <c r="S183" s="54">
        <v>2799.16</v>
      </c>
      <c r="T183" s="54">
        <v>2799.16</v>
      </c>
      <c r="U183" s="54">
        <v>4099.78</v>
      </c>
      <c r="V183" s="54">
        <v>4099.78</v>
      </c>
      <c r="W183" s="54">
        <v>4033.43</v>
      </c>
    </row>
    <row r="184" spans="1:23" outlineLevel="2" x14ac:dyDescent="0.2">
      <c r="A184" s="21" t="s">
        <v>0</v>
      </c>
      <c r="B184" s="21" t="s">
        <v>31</v>
      </c>
      <c r="C184" s="21" t="s">
        <v>79</v>
      </c>
      <c r="D184" s="21" t="s">
        <v>111</v>
      </c>
      <c r="E184" s="21" t="s">
        <v>112</v>
      </c>
      <c r="F184" s="21" t="s">
        <v>5</v>
      </c>
      <c r="G184" s="21" t="s">
        <v>6</v>
      </c>
      <c r="H184" s="21" t="s">
        <v>35</v>
      </c>
      <c r="I184" s="21" t="s">
        <v>36</v>
      </c>
      <c r="J184" s="21" t="s">
        <v>9</v>
      </c>
      <c r="K184" s="21" t="s">
        <v>186</v>
      </c>
      <c r="L184" s="21" t="s">
        <v>196</v>
      </c>
      <c r="M184" s="21" t="s">
        <v>12</v>
      </c>
      <c r="N184" s="54">
        <v>0</v>
      </c>
      <c r="O184" s="54">
        <v>400</v>
      </c>
      <c r="P184" s="54">
        <v>0</v>
      </c>
      <c r="Q184" s="54">
        <v>400</v>
      </c>
      <c r="R184" s="54">
        <v>242.22</v>
      </c>
      <c r="S184" s="54">
        <v>157.78</v>
      </c>
      <c r="T184" s="54">
        <v>157.78</v>
      </c>
      <c r="U184" s="54">
        <v>242.22</v>
      </c>
      <c r="V184" s="54">
        <v>242.22</v>
      </c>
      <c r="W184" s="54">
        <v>0</v>
      </c>
    </row>
    <row r="185" spans="1:23" outlineLevel="2" x14ac:dyDescent="0.2">
      <c r="A185" s="21" t="s">
        <v>0</v>
      </c>
      <c r="B185" s="21" t="s">
        <v>31</v>
      </c>
      <c r="C185" s="21" t="s">
        <v>79</v>
      </c>
      <c r="D185" s="21" t="s">
        <v>111</v>
      </c>
      <c r="E185" s="21" t="s">
        <v>112</v>
      </c>
      <c r="F185" s="21" t="s">
        <v>5</v>
      </c>
      <c r="G185" s="21" t="s">
        <v>6</v>
      </c>
      <c r="H185" s="21" t="s">
        <v>35</v>
      </c>
      <c r="I185" s="21" t="s">
        <v>36</v>
      </c>
      <c r="J185" s="21" t="s">
        <v>9</v>
      </c>
      <c r="K185" s="21" t="s">
        <v>186</v>
      </c>
      <c r="L185" s="21" t="s">
        <v>196</v>
      </c>
      <c r="M185" s="21" t="s">
        <v>15</v>
      </c>
      <c r="N185" s="54">
        <v>27595.759999999998</v>
      </c>
      <c r="O185" s="54">
        <v>2709.38</v>
      </c>
      <c r="P185" s="54">
        <v>0</v>
      </c>
      <c r="Q185" s="54">
        <v>30305.14</v>
      </c>
      <c r="R185" s="54">
        <v>0</v>
      </c>
      <c r="S185" s="54">
        <v>29905.1</v>
      </c>
      <c r="T185" s="54">
        <v>29905.1</v>
      </c>
      <c r="U185" s="54">
        <v>400.04</v>
      </c>
      <c r="V185" s="54">
        <v>400.04</v>
      </c>
      <c r="W185" s="54">
        <v>400.04</v>
      </c>
    </row>
    <row r="186" spans="1:23" outlineLevel="2" x14ac:dyDescent="0.2">
      <c r="A186" s="21" t="s">
        <v>0</v>
      </c>
      <c r="B186" s="21" t="s">
        <v>39</v>
      </c>
      <c r="C186" s="21" t="s">
        <v>58</v>
      </c>
      <c r="D186" s="21" t="s">
        <v>143</v>
      </c>
      <c r="E186" s="21" t="s">
        <v>144</v>
      </c>
      <c r="F186" s="21" t="s">
        <v>5</v>
      </c>
      <c r="G186" s="21" t="s">
        <v>6</v>
      </c>
      <c r="H186" s="21" t="s">
        <v>35</v>
      </c>
      <c r="I186" s="21" t="s">
        <v>36</v>
      </c>
      <c r="J186" s="21" t="s">
        <v>9</v>
      </c>
      <c r="K186" s="21" t="s">
        <v>186</v>
      </c>
      <c r="L186" s="21" t="s">
        <v>188</v>
      </c>
      <c r="M186" s="21" t="s">
        <v>15</v>
      </c>
      <c r="N186" s="54">
        <v>43422.74</v>
      </c>
      <c r="O186" s="54">
        <v>-233.33</v>
      </c>
      <c r="P186" s="54">
        <v>0</v>
      </c>
      <c r="Q186" s="54">
        <v>43189.41</v>
      </c>
      <c r="R186" s="54">
        <v>300</v>
      </c>
      <c r="S186" s="54">
        <v>38087.42</v>
      </c>
      <c r="T186" s="54">
        <v>38087.42</v>
      </c>
      <c r="U186" s="54">
        <v>5101.99</v>
      </c>
      <c r="V186" s="54">
        <v>5101.99</v>
      </c>
      <c r="W186" s="54">
        <v>4801.99</v>
      </c>
    </row>
    <row r="187" spans="1:23" outlineLevel="2" x14ac:dyDescent="0.2">
      <c r="A187" s="21" t="s">
        <v>0</v>
      </c>
      <c r="B187" s="21" t="s">
        <v>31</v>
      </c>
      <c r="C187" s="21" t="s">
        <v>79</v>
      </c>
      <c r="D187" s="21" t="s">
        <v>131</v>
      </c>
      <c r="E187" s="21" t="s">
        <v>132</v>
      </c>
      <c r="F187" s="21" t="s">
        <v>5</v>
      </c>
      <c r="G187" s="21" t="s">
        <v>6</v>
      </c>
      <c r="H187" s="21" t="s">
        <v>35</v>
      </c>
      <c r="I187" s="21" t="s">
        <v>36</v>
      </c>
      <c r="J187" s="21" t="s">
        <v>9</v>
      </c>
      <c r="K187" s="21" t="s">
        <v>186</v>
      </c>
      <c r="L187" s="21" t="s">
        <v>196</v>
      </c>
      <c r="M187" s="21" t="s">
        <v>12</v>
      </c>
      <c r="N187" s="54">
        <v>0</v>
      </c>
      <c r="O187" s="54">
        <v>800</v>
      </c>
      <c r="P187" s="54">
        <v>0</v>
      </c>
      <c r="Q187" s="54">
        <v>800</v>
      </c>
      <c r="R187" s="54">
        <v>575.54999999999995</v>
      </c>
      <c r="S187" s="54">
        <v>224.45</v>
      </c>
      <c r="T187" s="54">
        <v>224.45</v>
      </c>
      <c r="U187" s="54">
        <v>575.54999999999995</v>
      </c>
      <c r="V187" s="54">
        <v>575.54999999999995</v>
      </c>
      <c r="W187" s="54">
        <v>0</v>
      </c>
    </row>
    <row r="188" spans="1:23" outlineLevel="2" x14ac:dyDescent="0.2">
      <c r="A188" s="21" t="s">
        <v>0</v>
      </c>
      <c r="B188" s="21" t="s">
        <v>39</v>
      </c>
      <c r="C188" s="21" t="s">
        <v>66</v>
      </c>
      <c r="D188" s="21" t="s">
        <v>121</v>
      </c>
      <c r="E188" s="21" t="s">
        <v>122</v>
      </c>
      <c r="F188" s="21" t="s">
        <v>5</v>
      </c>
      <c r="G188" s="21" t="s">
        <v>6</v>
      </c>
      <c r="H188" s="21" t="s">
        <v>35</v>
      </c>
      <c r="I188" s="21" t="s">
        <v>36</v>
      </c>
      <c r="J188" s="21" t="s">
        <v>9</v>
      </c>
      <c r="K188" s="21" t="s">
        <v>186</v>
      </c>
      <c r="L188" s="21" t="s">
        <v>187</v>
      </c>
      <c r="M188" s="21" t="s">
        <v>15</v>
      </c>
      <c r="N188" s="54">
        <v>26784.12</v>
      </c>
      <c r="O188" s="54">
        <v>0</v>
      </c>
      <c r="P188" s="54">
        <v>0</v>
      </c>
      <c r="Q188" s="54">
        <v>26784.12</v>
      </c>
      <c r="R188" s="54">
        <v>242.22</v>
      </c>
      <c r="S188" s="54">
        <v>23240.26</v>
      </c>
      <c r="T188" s="54">
        <v>23240.26</v>
      </c>
      <c r="U188" s="54">
        <v>3543.86</v>
      </c>
      <c r="V188" s="54">
        <v>3543.86</v>
      </c>
      <c r="W188" s="54">
        <v>3301.64</v>
      </c>
    </row>
    <row r="189" spans="1:23" outlineLevel="2" x14ac:dyDescent="0.2">
      <c r="A189" s="21" t="s">
        <v>0</v>
      </c>
      <c r="B189" s="21" t="s">
        <v>31</v>
      </c>
      <c r="C189" s="21" t="s">
        <v>79</v>
      </c>
      <c r="D189" s="21" t="s">
        <v>83</v>
      </c>
      <c r="E189" s="21" t="s">
        <v>84</v>
      </c>
      <c r="F189" s="21" t="s">
        <v>5</v>
      </c>
      <c r="G189" s="21" t="s">
        <v>6</v>
      </c>
      <c r="H189" s="21" t="s">
        <v>35</v>
      </c>
      <c r="I189" s="21" t="s">
        <v>36</v>
      </c>
      <c r="J189" s="21" t="s">
        <v>9</v>
      </c>
      <c r="K189" s="21" t="s">
        <v>186</v>
      </c>
      <c r="L189" s="21" t="s">
        <v>196</v>
      </c>
      <c r="M189" s="21" t="s">
        <v>12</v>
      </c>
      <c r="N189" s="54">
        <v>0</v>
      </c>
      <c r="O189" s="54">
        <v>3800</v>
      </c>
      <c r="P189" s="54">
        <v>0</v>
      </c>
      <c r="Q189" s="54">
        <v>3800</v>
      </c>
      <c r="R189" s="54">
        <v>3408.92</v>
      </c>
      <c r="S189" s="54">
        <v>257.75</v>
      </c>
      <c r="T189" s="54">
        <v>257.75</v>
      </c>
      <c r="U189" s="54">
        <v>3542.25</v>
      </c>
      <c r="V189" s="54">
        <v>3542.25</v>
      </c>
      <c r="W189" s="54">
        <v>133.33000000000001</v>
      </c>
    </row>
    <row r="190" spans="1:23" outlineLevel="2" x14ac:dyDescent="0.2">
      <c r="A190" s="21" t="s">
        <v>0</v>
      </c>
      <c r="B190" s="21" t="s">
        <v>39</v>
      </c>
      <c r="C190" s="21" t="s">
        <v>58</v>
      </c>
      <c r="D190" s="21" t="s">
        <v>147</v>
      </c>
      <c r="E190" s="21" t="s">
        <v>148</v>
      </c>
      <c r="F190" s="21" t="s">
        <v>5</v>
      </c>
      <c r="G190" s="21" t="s">
        <v>6</v>
      </c>
      <c r="H190" s="21" t="s">
        <v>35</v>
      </c>
      <c r="I190" s="21" t="s">
        <v>36</v>
      </c>
      <c r="J190" s="21" t="s">
        <v>9</v>
      </c>
      <c r="K190" s="21" t="s">
        <v>186</v>
      </c>
      <c r="L190" s="21" t="s">
        <v>188</v>
      </c>
      <c r="M190" s="21" t="s">
        <v>15</v>
      </c>
      <c r="N190" s="54">
        <v>42205.279999999999</v>
      </c>
      <c r="O190" s="54">
        <v>0</v>
      </c>
      <c r="P190" s="54">
        <v>0</v>
      </c>
      <c r="Q190" s="54">
        <v>42205.279999999999</v>
      </c>
      <c r="R190" s="54">
        <v>100</v>
      </c>
      <c r="S190" s="54">
        <v>37864.959999999999</v>
      </c>
      <c r="T190" s="54">
        <v>37864.959999999999</v>
      </c>
      <c r="U190" s="54">
        <v>4340.32</v>
      </c>
      <c r="V190" s="54">
        <v>4340.32</v>
      </c>
      <c r="W190" s="54">
        <v>4240.32</v>
      </c>
    </row>
    <row r="191" spans="1:23" outlineLevel="2" x14ac:dyDescent="0.2">
      <c r="A191" s="21" t="s">
        <v>0</v>
      </c>
      <c r="B191" s="21" t="s">
        <v>1</v>
      </c>
      <c r="C191" s="21" t="s">
        <v>91</v>
      </c>
      <c r="D191" s="21" t="s">
        <v>92</v>
      </c>
      <c r="E191" s="21" t="s">
        <v>93</v>
      </c>
      <c r="F191" s="21" t="s">
        <v>5</v>
      </c>
      <c r="G191" s="21" t="s">
        <v>6</v>
      </c>
      <c r="H191" s="21" t="s">
        <v>35</v>
      </c>
      <c r="I191" s="21" t="s">
        <v>36</v>
      </c>
      <c r="J191" s="21" t="s">
        <v>9</v>
      </c>
      <c r="K191" s="21" t="s">
        <v>186</v>
      </c>
      <c r="L191" s="21" t="s">
        <v>189</v>
      </c>
      <c r="M191" s="21" t="s">
        <v>15</v>
      </c>
      <c r="N191" s="54">
        <v>103078.28</v>
      </c>
      <c r="O191" s="54">
        <v>-30441.94</v>
      </c>
      <c r="P191" s="54">
        <v>0</v>
      </c>
      <c r="Q191" s="54">
        <v>72636.34</v>
      </c>
      <c r="R191" s="54">
        <v>0</v>
      </c>
      <c r="S191" s="54">
        <v>61771.88</v>
      </c>
      <c r="T191" s="54">
        <v>61771.88</v>
      </c>
      <c r="U191" s="54">
        <v>10864.46</v>
      </c>
      <c r="V191" s="54">
        <v>10864.46</v>
      </c>
      <c r="W191" s="54">
        <v>10864.46</v>
      </c>
    </row>
    <row r="192" spans="1:23" outlineLevel="2" x14ac:dyDescent="0.2">
      <c r="A192" s="21" t="s">
        <v>0</v>
      </c>
      <c r="B192" s="21" t="s">
        <v>1</v>
      </c>
      <c r="C192" s="21" t="s">
        <v>99</v>
      </c>
      <c r="D192" s="21" t="s">
        <v>100</v>
      </c>
      <c r="E192" s="21" t="s">
        <v>101</v>
      </c>
      <c r="F192" s="21" t="s">
        <v>5</v>
      </c>
      <c r="G192" s="21" t="s">
        <v>6</v>
      </c>
      <c r="H192" s="21" t="s">
        <v>35</v>
      </c>
      <c r="I192" s="21" t="s">
        <v>36</v>
      </c>
      <c r="J192" s="21" t="s">
        <v>9</v>
      </c>
      <c r="K192" s="21" t="s">
        <v>186</v>
      </c>
      <c r="L192" s="21" t="s">
        <v>199</v>
      </c>
      <c r="M192" s="21" t="s">
        <v>15</v>
      </c>
      <c r="N192" s="54">
        <v>32465.599999999999</v>
      </c>
      <c r="O192" s="54">
        <v>-300</v>
      </c>
      <c r="P192" s="54">
        <v>0</v>
      </c>
      <c r="Q192" s="54">
        <v>32165.599999999999</v>
      </c>
      <c r="R192" s="54">
        <v>2333.44</v>
      </c>
      <c r="S192" s="54">
        <v>27812.81</v>
      </c>
      <c r="T192" s="54">
        <v>27812.81</v>
      </c>
      <c r="U192" s="54">
        <v>4352.79</v>
      </c>
      <c r="V192" s="54">
        <v>4352.79</v>
      </c>
      <c r="W192" s="54">
        <v>2019.35</v>
      </c>
    </row>
    <row r="193" spans="1:23" outlineLevel="2" x14ac:dyDescent="0.2">
      <c r="A193" s="21" t="s">
        <v>0</v>
      </c>
      <c r="B193" s="21" t="s">
        <v>31</v>
      </c>
      <c r="C193" s="21" t="s">
        <v>79</v>
      </c>
      <c r="D193" s="21" t="s">
        <v>125</v>
      </c>
      <c r="E193" s="21" t="s">
        <v>126</v>
      </c>
      <c r="F193" s="21" t="s">
        <v>5</v>
      </c>
      <c r="G193" s="21" t="s">
        <v>6</v>
      </c>
      <c r="H193" s="21" t="s">
        <v>35</v>
      </c>
      <c r="I193" s="21" t="s">
        <v>36</v>
      </c>
      <c r="J193" s="21" t="s">
        <v>9</v>
      </c>
      <c r="K193" s="21" t="s">
        <v>186</v>
      </c>
      <c r="L193" s="21" t="s">
        <v>196</v>
      </c>
      <c r="M193" s="21" t="s">
        <v>15</v>
      </c>
      <c r="N193" s="54">
        <v>30436.5</v>
      </c>
      <c r="O193" s="54">
        <v>0</v>
      </c>
      <c r="P193" s="54">
        <v>0</v>
      </c>
      <c r="Q193" s="54">
        <v>30436.5</v>
      </c>
      <c r="R193" s="54">
        <v>0</v>
      </c>
      <c r="S193" s="54">
        <v>28138.66</v>
      </c>
      <c r="T193" s="54">
        <v>28138.66</v>
      </c>
      <c r="U193" s="54">
        <v>2297.84</v>
      </c>
      <c r="V193" s="54">
        <v>2297.84</v>
      </c>
      <c r="W193" s="54">
        <v>2297.84</v>
      </c>
    </row>
    <row r="194" spans="1:23" outlineLevel="2" x14ac:dyDescent="0.2">
      <c r="A194" s="21" t="s">
        <v>0</v>
      </c>
      <c r="B194" s="21" t="s">
        <v>1</v>
      </c>
      <c r="C194" s="21" t="s">
        <v>2</v>
      </c>
      <c r="D194" s="21" t="s">
        <v>20</v>
      </c>
      <c r="E194" s="21" t="s">
        <v>21</v>
      </c>
      <c r="F194" s="21" t="s">
        <v>5</v>
      </c>
      <c r="G194" s="21" t="s">
        <v>6</v>
      </c>
      <c r="H194" s="21" t="s">
        <v>35</v>
      </c>
      <c r="I194" s="21" t="s">
        <v>36</v>
      </c>
      <c r="J194" s="21" t="s">
        <v>9</v>
      </c>
      <c r="K194" s="21" t="s">
        <v>186</v>
      </c>
      <c r="L194" s="21" t="s">
        <v>194</v>
      </c>
      <c r="M194" s="21" t="s">
        <v>15</v>
      </c>
      <c r="N194" s="54">
        <v>316133.78000000003</v>
      </c>
      <c r="O194" s="54">
        <v>1728.64</v>
      </c>
      <c r="P194" s="54">
        <v>0</v>
      </c>
      <c r="Q194" s="54">
        <v>317862.42</v>
      </c>
      <c r="R194" s="54">
        <v>10826.75</v>
      </c>
      <c r="S194" s="54">
        <v>259941.27</v>
      </c>
      <c r="T194" s="54">
        <v>259939.77</v>
      </c>
      <c r="U194" s="54">
        <v>57921.15</v>
      </c>
      <c r="V194" s="54">
        <v>57922.65</v>
      </c>
      <c r="W194" s="54">
        <v>47094.400000000001</v>
      </c>
    </row>
    <row r="195" spans="1:23" outlineLevel="2" x14ac:dyDescent="0.2">
      <c r="A195" s="21" t="s">
        <v>0</v>
      </c>
      <c r="B195" s="21" t="s">
        <v>31</v>
      </c>
      <c r="C195" s="21" t="s">
        <v>79</v>
      </c>
      <c r="D195" s="21" t="s">
        <v>80</v>
      </c>
      <c r="E195" s="21" t="s">
        <v>81</v>
      </c>
      <c r="F195" s="21" t="s">
        <v>5</v>
      </c>
      <c r="G195" s="21" t="s">
        <v>6</v>
      </c>
      <c r="H195" s="21" t="s">
        <v>35</v>
      </c>
      <c r="I195" s="21" t="s">
        <v>36</v>
      </c>
      <c r="J195" s="21" t="s">
        <v>9</v>
      </c>
      <c r="K195" s="21" t="s">
        <v>186</v>
      </c>
      <c r="L195" s="21" t="s">
        <v>196</v>
      </c>
      <c r="M195" s="21" t="s">
        <v>12</v>
      </c>
      <c r="N195" s="54">
        <v>0</v>
      </c>
      <c r="O195" s="54">
        <v>800</v>
      </c>
      <c r="P195" s="54">
        <v>0</v>
      </c>
      <c r="Q195" s="54">
        <v>800</v>
      </c>
      <c r="R195" s="54">
        <v>642.22</v>
      </c>
      <c r="S195" s="54">
        <v>157.78</v>
      </c>
      <c r="T195" s="54">
        <v>157.78</v>
      </c>
      <c r="U195" s="54">
        <v>642.22</v>
      </c>
      <c r="V195" s="54">
        <v>642.22</v>
      </c>
      <c r="W195" s="54">
        <v>0</v>
      </c>
    </row>
    <row r="196" spans="1:23" outlineLevel="2" x14ac:dyDescent="0.2">
      <c r="A196" s="21" t="s">
        <v>0</v>
      </c>
      <c r="B196" s="21" t="s">
        <v>31</v>
      </c>
      <c r="C196" s="21" t="s">
        <v>32</v>
      </c>
      <c r="D196" s="21" t="s">
        <v>75</v>
      </c>
      <c r="E196" s="21" t="s">
        <v>76</v>
      </c>
      <c r="F196" s="21" t="s">
        <v>5</v>
      </c>
      <c r="G196" s="21" t="s">
        <v>6</v>
      </c>
      <c r="H196" s="21" t="s">
        <v>35</v>
      </c>
      <c r="I196" s="21" t="s">
        <v>36</v>
      </c>
      <c r="J196" s="21" t="s">
        <v>9</v>
      </c>
      <c r="K196" s="21" t="s">
        <v>186</v>
      </c>
      <c r="L196" s="21" t="s">
        <v>191</v>
      </c>
      <c r="M196" s="21" t="s">
        <v>15</v>
      </c>
      <c r="N196" s="54">
        <v>55597.34</v>
      </c>
      <c r="O196" s="54">
        <v>800</v>
      </c>
      <c r="P196" s="54">
        <v>0</v>
      </c>
      <c r="Q196" s="54">
        <v>56397.34</v>
      </c>
      <c r="R196" s="54">
        <v>2515.67</v>
      </c>
      <c r="S196" s="54">
        <v>46638.2</v>
      </c>
      <c r="T196" s="54">
        <v>46322.64</v>
      </c>
      <c r="U196" s="54">
        <v>9759.14</v>
      </c>
      <c r="V196" s="54">
        <v>10074.700000000001</v>
      </c>
      <c r="W196" s="54">
        <v>7243.47</v>
      </c>
    </row>
    <row r="197" spans="1:23" outlineLevel="2" x14ac:dyDescent="0.2">
      <c r="A197" s="21" t="s">
        <v>0</v>
      </c>
      <c r="B197" s="21" t="s">
        <v>39</v>
      </c>
      <c r="C197" s="21" t="s">
        <v>58</v>
      </c>
      <c r="D197" s="21" t="s">
        <v>135</v>
      </c>
      <c r="E197" s="21" t="s">
        <v>136</v>
      </c>
      <c r="F197" s="21" t="s">
        <v>5</v>
      </c>
      <c r="G197" s="21" t="s">
        <v>6</v>
      </c>
      <c r="H197" s="21" t="s">
        <v>35</v>
      </c>
      <c r="I197" s="21" t="s">
        <v>36</v>
      </c>
      <c r="J197" s="21" t="s">
        <v>9</v>
      </c>
      <c r="K197" s="21" t="s">
        <v>186</v>
      </c>
      <c r="L197" s="21" t="s">
        <v>188</v>
      </c>
      <c r="M197" s="21" t="s">
        <v>15</v>
      </c>
      <c r="N197" s="54">
        <v>40987.82</v>
      </c>
      <c r="O197" s="54">
        <v>0</v>
      </c>
      <c r="P197" s="54">
        <v>0</v>
      </c>
      <c r="Q197" s="54">
        <v>40987.82</v>
      </c>
      <c r="R197" s="54">
        <v>0</v>
      </c>
      <c r="S197" s="54">
        <v>31361.19</v>
      </c>
      <c r="T197" s="54">
        <v>31361.19</v>
      </c>
      <c r="U197" s="54">
        <v>9626.6299999999992</v>
      </c>
      <c r="V197" s="54">
        <v>9626.6299999999992</v>
      </c>
      <c r="W197" s="54">
        <v>9626.6299999999992</v>
      </c>
    </row>
    <row r="198" spans="1:23" outlineLevel="2" x14ac:dyDescent="0.2">
      <c r="A198" s="21" t="s">
        <v>0</v>
      </c>
      <c r="B198" s="21" t="s">
        <v>31</v>
      </c>
      <c r="C198" s="21" t="s">
        <v>79</v>
      </c>
      <c r="D198" s="21" t="s">
        <v>115</v>
      </c>
      <c r="E198" s="21" t="s">
        <v>116</v>
      </c>
      <c r="F198" s="21" t="s">
        <v>5</v>
      </c>
      <c r="G198" s="21" t="s">
        <v>6</v>
      </c>
      <c r="H198" s="21" t="s">
        <v>35</v>
      </c>
      <c r="I198" s="21" t="s">
        <v>36</v>
      </c>
      <c r="J198" s="21" t="s">
        <v>9</v>
      </c>
      <c r="K198" s="21" t="s">
        <v>186</v>
      </c>
      <c r="L198" s="21" t="s">
        <v>196</v>
      </c>
      <c r="M198" s="21" t="s">
        <v>12</v>
      </c>
      <c r="N198" s="54">
        <v>0</v>
      </c>
      <c r="O198" s="54">
        <v>800</v>
      </c>
      <c r="P198" s="54">
        <v>0</v>
      </c>
      <c r="Q198" s="54">
        <v>800</v>
      </c>
      <c r="R198" s="54">
        <v>733.33</v>
      </c>
      <c r="S198" s="54">
        <v>66.67</v>
      </c>
      <c r="T198" s="54">
        <v>66.67</v>
      </c>
      <c r="U198" s="54">
        <v>733.33</v>
      </c>
      <c r="V198" s="54">
        <v>733.33</v>
      </c>
      <c r="W198" s="54">
        <v>0</v>
      </c>
    </row>
    <row r="199" spans="1:23" outlineLevel="2" x14ac:dyDescent="0.2">
      <c r="A199" s="21" t="s">
        <v>0</v>
      </c>
      <c r="B199" s="21" t="s">
        <v>39</v>
      </c>
      <c r="C199" s="21" t="s">
        <v>58</v>
      </c>
      <c r="D199" s="21" t="s">
        <v>119</v>
      </c>
      <c r="E199" s="21" t="s">
        <v>120</v>
      </c>
      <c r="F199" s="21" t="s">
        <v>5</v>
      </c>
      <c r="G199" s="21" t="s">
        <v>6</v>
      </c>
      <c r="H199" s="21" t="s">
        <v>35</v>
      </c>
      <c r="I199" s="21" t="s">
        <v>36</v>
      </c>
      <c r="J199" s="21" t="s">
        <v>9</v>
      </c>
      <c r="K199" s="21" t="s">
        <v>186</v>
      </c>
      <c r="L199" s="21" t="s">
        <v>188</v>
      </c>
      <c r="M199" s="21" t="s">
        <v>15</v>
      </c>
      <c r="N199" s="54">
        <v>8522.2199999999993</v>
      </c>
      <c r="O199" s="54">
        <v>-133.33000000000001</v>
      </c>
      <c r="P199" s="54">
        <v>0</v>
      </c>
      <c r="Q199" s="54">
        <v>8388.89</v>
      </c>
      <c r="R199" s="54">
        <v>0</v>
      </c>
      <c r="S199" s="54">
        <v>7578.93</v>
      </c>
      <c r="T199" s="54">
        <v>7578.93</v>
      </c>
      <c r="U199" s="54">
        <v>809.96</v>
      </c>
      <c r="V199" s="54">
        <v>809.96</v>
      </c>
      <c r="W199" s="54">
        <v>809.96</v>
      </c>
    </row>
    <row r="200" spans="1:23" outlineLevel="2" x14ac:dyDescent="0.2">
      <c r="A200" s="21" t="s">
        <v>0</v>
      </c>
      <c r="B200" s="21" t="s">
        <v>31</v>
      </c>
      <c r="C200" s="21" t="s">
        <v>79</v>
      </c>
      <c r="D200" s="21" t="s">
        <v>133</v>
      </c>
      <c r="E200" s="21" t="s">
        <v>134</v>
      </c>
      <c r="F200" s="21" t="s">
        <v>5</v>
      </c>
      <c r="G200" s="21" t="s">
        <v>6</v>
      </c>
      <c r="H200" s="21" t="s">
        <v>35</v>
      </c>
      <c r="I200" s="21" t="s">
        <v>36</v>
      </c>
      <c r="J200" s="21" t="s">
        <v>9</v>
      </c>
      <c r="K200" s="21" t="s">
        <v>186</v>
      </c>
      <c r="L200" s="21" t="s">
        <v>196</v>
      </c>
      <c r="M200" s="21" t="s">
        <v>12</v>
      </c>
      <c r="N200" s="54">
        <v>0</v>
      </c>
      <c r="O200" s="54">
        <v>400</v>
      </c>
      <c r="P200" s="54">
        <v>0</v>
      </c>
      <c r="Q200" s="54">
        <v>400</v>
      </c>
      <c r="R200" s="54">
        <v>233.35</v>
      </c>
      <c r="S200" s="54">
        <v>166.65</v>
      </c>
      <c r="T200" s="54">
        <v>166.65</v>
      </c>
      <c r="U200" s="54">
        <v>233.35</v>
      </c>
      <c r="V200" s="54">
        <v>233.35</v>
      </c>
      <c r="W200" s="54">
        <v>0</v>
      </c>
    </row>
    <row r="201" spans="1:23" outlineLevel="2" x14ac:dyDescent="0.2">
      <c r="A201" s="21" t="s">
        <v>0</v>
      </c>
      <c r="B201" s="21" t="s">
        <v>39</v>
      </c>
      <c r="C201" s="21" t="s">
        <v>58</v>
      </c>
      <c r="D201" s="21" t="s">
        <v>145</v>
      </c>
      <c r="E201" s="21" t="s">
        <v>146</v>
      </c>
      <c r="F201" s="21" t="s">
        <v>5</v>
      </c>
      <c r="G201" s="21" t="s">
        <v>6</v>
      </c>
      <c r="H201" s="21" t="s">
        <v>35</v>
      </c>
      <c r="I201" s="21" t="s">
        <v>36</v>
      </c>
      <c r="J201" s="21" t="s">
        <v>9</v>
      </c>
      <c r="K201" s="21" t="s">
        <v>186</v>
      </c>
      <c r="L201" s="21" t="s">
        <v>188</v>
      </c>
      <c r="M201" s="21" t="s">
        <v>15</v>
      </c>
      <c r="N201" s="54">
        <v>34494.699999999997</v>
      </c>
      <c r="O201" s="54">
        <v>333.33</v>
      </c>
      <c r="P201" s="54">
        <v>0</v>
      </c>
      <c r="Q201" s="54">
        <v>34828.03</v>
      </c>
      <c r="R201" s="54">
        <v>0</v>
      </c>
      <c r="S201" s="54">
        <v>29365.47</v>
      </c>
      <c r="T201" s="54">
        <v>29365.47</v>
      </c>
      <c r="U201" s="54">
        <v>5462.56</v>
      </c>
      <c r="V201" s="54">
        <v>5462.56</v>
      </c>
      <c r="W201" s="54">
        <v>5462.56</v>
      </c>
    </row>
    <row r="202" spans="1:23" outlineLevel="2" x14ac:dyDescent="0.2">
      <c r="A202" s="21" t="s">
        <v>0</v>
      </c>
      <c r="B202" s="21" t="s">
        <v>1</v>
      </c>
      <c r="C202" s="21" t="s">
        <v>16</v>
      </c>
      <c r="D202" s="21" t="s">
        <v>17</v>
      </c>
      <c r="E202" s="21" t="s">
        <v>18</v>
      </c>
      <c r="F202" s="21" t="s">
        <v>5</v>
      </c>
      <c r="G202" s="21" t="s">
        <v>6</v>
      </c>
      <c r="H202" s="21" t="s">
        <v>35</v>
      </c>
      <c r="I202" s="21" t="s">
        <v>36</v>
      </c>
      <c r="J202" s="21" t="s">
        <v>9</v>
      </c>
      <c r="K202" s="21" t="s">
        <v>186</v>
      </c>
      <c r="L202" s="21" t="s">
        <v>200</v>
      </c>
      <c r="M202" s="21" t="s">
        <v>15</v>
      </c>
      <c r="N202" s="54">
        <v>77511.62</v>
      </c>
      <c r="O202" s="54">
        <v>-99.99</v>
      </c>
      <c r="P202" s="54">
        <v>0</v>
      </c>
      <c r="Q202" s="54">
        <v>77411.63</v>
      </c>
      <c r="R202" s="54">
        <v>2226.6799999999998</v>
      </c>
      <c r="S202" s="54">
        <v>66191.64</v>
      </c>
      <c r="T202" s="54">
        <v>66191.64</v>
      </c>
      <c r="U202" s="54">
        <v>11219.99</v>
      </c>
      <c r="V202" s="54">
        <v>11219.99</v>
      </c>
      <c r="W202" s="54">
        <v>8993.31</v>
      </c>
    </row>
    <row r="203" spans="1:23" outlineLevel="2" x14ac:dyDescent="0.2">
      <c r="A203" s="21" t="s">
        <v>0</v>
      </c>
      <c r="B203" s="21" t="s">
        <v>53</v>
      </c>
      <c r="C203" s="21" t="s">
        <v>85</v>
      </c>
      <c r="D203" s="21" t="s">
        <v>86</v>
      </c>
      <c r="E203" s="21" t="s">
        <v>87</v>
      </c>
      <c r="F203" s="21" t="s">
        <v>5</v>
      </c>
      <c r="G203" s="21" t="s">
        <v>6</v>
      </c>
      <c r="H203" s="21" t="s">
        <v>35</v>
      </c>
      <c r="I203" s="21" t="s">
        <v>36</v>
      </c>
      <c r="J203" s="21" t="s">
        <v>9</v>
      </c>
      <c r="K203" s="21" t="s">
        <v>186</v>
      </c>
      <c r="L203" s="21" t="s">
        <v>195</v>
      </c>
      <c r="M203" s="21" t="s">
        <v>15</v>
      </c>
      <c r="N203" s="54">
        <v>7710.58</v>
      </c>
      <c r="O203" s="54">
        <v>0</v>
      </c>
      <c r="P203" s="54">
        <v>0</v>
      </c>
      <c r="Q203" s="54">
        <v>7710.58</v>
      </c>
      <c r="R203" s="54">
        <v>0</v>
      </c>
      <c r="S203" s="54">
        <v>5630.36</v>
      </c>
      <c r="T203" s="54">
        <v>5630.36</v>
      </c>
      <c r="U203" s="54">
        <v>2080.2199999999998</v>
      </c>
      <c r="V203" s="54">
        <v>2080.2199999999998</v>
      </c>
      <c r="W203" s="54">
        <v>2080.2199999999998</v>
      </c>
    </row>
    <row r="204" spans="1:23" outlineLevel="2" x14ac:dyDescent="0.2">
      <c r="A204" s="21" t="s">
        <v>0</v>
      </c>
      <c r="B204" s="21" t="s">
        <v>31</v>
      </c>
      <c r="C204" s="21" t="s">
        <v>32</v>
      </c>
      <c r="D204" s="21" t="s">
        <v>141</v>
      </c>
      <c r="E204" s="21" t="s">
        <v>142</v>
      </c>
      <c r="F204" s="21" t="s">
        <v>5</v>
      </c>
      <c r="G204" s="21" t="s">
        <v>6</v>
      </c>
      <c r="H204" s="21" t="s">
        <v>35</v>
      </c>
      <c r="I204" s="21" t="s">
        <v>36</v>
      </c>
      <c r="J204" s="21" t="s">
        <v>9</v>
      </c>
      <c r="K204" s="21" t="s">
        <v>186</v>
      </c>
      <c r="L204" s="21" t="s">
        <v>191</v>
      </c>
      <c r="M204" s="21" t="s">
        <v>15</v>
      </c>
      <c r="N204" s="54">
        <v>29624.86</v>
      </c>
      <c r="O204" s="54">
        <v>-3333.33</v>
      </c>
      <c r="P204" s="54">
        <v>0</v>
      </c>
      <c r="Q204" s="54">
        <v>26291.53</v>
      </c>
      <c r="R204" s="54">
        <v>7800.77</v>
      </c>
      <c r="S204" s="54">
        <v>17053.63</v>
      </c>
      <c r="T204" s="54">
        <v>17053.63</v>
      </c>
      <c r="U204" s="54">
        <v>9237.9</v>
      </c>
      <c r="V204" s="54">
        <v>9237.9</v>
      </c>
      <c r="W204" s="54">
        <v>1437.13</v>
      </c>
    </row>
    <row r="205" spans="1:23" outlineLevel="2" x14ac:dyDescent="0.2">
      <c r="A205" s="21" t="s">
        <v>0</v>
      </c>
      <c r="B205" s="21" t="s">
        <v>39</v>
      </c>
      <c r="C205" s="21" t="s">
        <v>58</v>
      </c>
      <c r="D205" s="21" t="s">
        <v>137</v>
      </c>
      <c r="E205" s="21" t="s">
        <v>138</v>
      </c>
      <c r="F205" s="21" t="s">
        <v>5</v>
      </c>
      <c r="G205" s="21" t="s">
        <v>6</v>
      </c>
      <c r="H205" s="21" t="s">
        <v>35</v>
      </c>
      <c r="I205" s="21" t="s">
        <v>36</v>
      </c>
      <c r="J205" s="21" t="s">
        <v>9</v>
      </c>
      <c r="K205" s="21" t="s">
        <v>186</v>
      </c>
      <c r="L205" s="21" t="s">
        <v>188</v>
      </c>
      <c r="M205" s="21" t="s">
        <v>15</v>
      </c>
      <c r="N205" s="54">
        <v>40582</v>
      </c>
      <c r="O205" s="54">
        <v>0</v>
      </c>
      <c r="P205" s="54">
        <v>0</v>
      </c>
      <c r="Q205" s="54">
        <v>40582</v>
      </c>
      <c r="R205" s="54">
        <v>300</v>
      </c>
      <c r="S205" s="54">
        <v>31675.13</v>
      </c>
      <c r="T205" s="54">
        <v>31675.13</v>
      </c>
      <c r="U205" s="54">
        <v>8906.8700000000008</v>
      </c>
      <c r="V205" s="54">
        <v>8906.8700000000008</v>
      </c>
      <c r="W205" s="54">
        <v>8606.8700000000008</v>
      </c>
    </row>
    <row r="206" spans="1:23" outlineLevel="2" x14ac:dyDescent="0.2">
      <c r="A206" s="21" t="s">
        <v>0</v>
      </c>
      <c r="B206" s="21" t="s">
        <v>1</v>
      </c>
      <c r="C206" s="21" t="s">
        <v>16</v>
      </c>
      <c r="D206" s="21" t="s">
        <v>62</v>
      </c>
      <c r="E206" s="21" t="s">
        <v>63</v>
      </c>
      <c r="F206" s="21" t="s">
        <v>5</v>
      </c>
      <c r="G206" s="21" t="s">
        <v>6</v>
      </c>
      <c r="H206" s="21" t="s">
        <v>35</v>
      </c>
      <c r="I206" s="21" t="s">
        <v>36</v>
      </c>
      <c r="J206" s="21" t="s">
        <v>9</v>
      </c>
      <c r="K206" s="21" t="s">
        <v>186</v>
      </c>
      <c r="L206" s="21" t="s">
        <v>200</v>
      </c>
      <c r="M206" s="21" t="s">
        <v>15</v>
      </c>
      <c r="N206" s="54">
        <v>3652.38</v>
      </c>
      <c r="O206" s="54">
        <v>750.8</v>
      </c>
      <c r="P206" s="54">
        <v>0</v>
      </c>
      <c r="Q206" s="54">
        <v>4403.18</v>
      </c>
      <c r="R206" s="54">
        <v>215.02</v>
      </c>
      <c r="S206" s="54">
        <v>4120.82</v>
      </c>
      <c r="T206" s="54">
        <v>4120.82</v>
      </c>
      <c r="U206" s="54">
        <v>282.36</v>
      </c>
      <c r="V206" s="54">
        <v>282.36</v>
      </c>
      <c r="W206" s="54">
        <v>67.34</v>
      </c>
    </row>
    <row r="207" spans="1:23" outlineLevel="2" x14ac:dyDescent="0.2">
      <c r="A207" s="21" t="s">
        <v>0</v>
      </c>
      <c r="B207" s="21" t="s">
        <v>1</v>
      </c>
      <c r="C207" s="21" t="s">
        <v>44</v>
      </c>
      <c r="D207" s="21" t="s">
        <v>45</v>
      </c>
      <c r="E207" s="21" t="s">
        <v>46</v>
      </c>
      <c r="F207" s="21" t="s">
        <v>5</v>
      </c>
      <c r="G207" s="21" t="s">
        <v>6</v>
      </c>
      <c r="H207" s="21" t="s">
        <v>35</v>
      </c>
      <c r="I207" s="21" t="s">
        <v>36</v>
      </c>
      <c r="J207" s="21" t="s">
        <v>9</v>
      </c>
      <c r="K207" s="21" t="s">
        <v>186</v>
      </c>
      <c r="L207" s="21" t="s">
        <v>192</v>
      </c>
      <c r="M207" s="21" t="s">
        <v>15</v>
      </c>
      <c r="N207" s="54">
        <v>16638.62</v>
      </c>
      <c r="O207" s="54">
        <v>2200</v>
      </c>
      <c r="P207" s="54">
        <v>0</v>
      </c>
      <c r="Q207" s="54">
        <v>18838.62</v>
      </c>
      <c r="R207" s="54">
        <v>550.08000000000004</v>
      </c>
      <c r="S207" s="54">
        <v>15427.45</v>
      </c>
      <c r="T207" s="54">
        <v>15427.45</v>
      </c>
      <c r="U207" s="54">
        <v>3411.17</v>
      </c>
      <c r="V207" s="54">
        <v>3411.17</v>
      </c>
      <c r="W207" s="54">
        <v>2861.09</v>
      </c>
    </row>
    <row r="208" spans="1:23" outlineLevel="2" x14ac:dyDescent="0.2">
      <c r="A208" s="21" t="s">
        <v>0</v>
      </c>
      <c r="B208" s="21" t="s">
        <v>39</v>
      </c>
      <c r="C208" s="21" t="s">
        <v>70</v>
      </c>
      <c r="D208" s="21" t="s">
        <v>71</v>
      </c>
      <c r="E208" s="21" t="s">
        <v>72</v>
      </c>
      <c r="F208" s="21" t="s">
        <v>5</v>
      </c>
      <c r="G208" s="21" t="s">
        <v>6</v>
      </c>
      <c r="H208" s="21" t="s">
        <v>35</v>
      </c>
      <c r="I208" s="21" t="s">
        <v>36</v>
      </c>
      <c r="J208" s="21" t="s">
        <v>9</v>
      </c>
      <c r="K208" s="21" t="s">
        <v>186</v>
      </c>
      <c r="L208" s="21" t="s">
        <v>190</v>
      </c>
      <c r="M208" s="21" t="s">
        <v>15</v>
      </c>
      <c r="N208" s="54">
        <v>92526.96</v>
      </c>
      <c r="O208" s="54">
        <v>-7500.01</v>
      </c>
      <c r="P208" s="54">
        <v>0</v>
      </c>
      <c r="Q208" s="54">
        <v>85026.95</v>
      </c>
      <c r="R208" s="54">
        <v>1307.76</v>
      </c>
      <c r="S208" s="54">
        <v>77069.62</v>
      </c>
      <c r="T208" s="54">
        <v>77067.64</v>
      </c>
      <c r="U208" s="54">
        <v>7957.33</v>
      </c>
      <c r="V208" s="54">
        <v>7959.31</v>
      </c>
      <c r="W208" s="54">
        <v>6649.57</v>
      </c>
    </row>
    <row r="209" spans="1:23" outlineLevel="2" x14ac:dyDescent="0.2">
      <c r="A209" s="21" t="s">
        <v>0</v>
      </c>
      <c r="B209" s="21" t="s">
        <v>39</v>
      </c>
      <c r="C209" s="21" t="s">
        <v>40</v>
      </c>
      <c r="D209" s="21" t="s">
        <v>41</v>
      </c>
      <c r="E209" s="21" t="s">
        <v>42</v>
      </c>
      <c r="F209" s="21" t="s">
        <v>5</v>
      </c>
      <c r="G209" s="21" t="s">
        <v>6</v>
      </c>
      <c r="H209" s="21" t="s">
        <v>35</v>
      </c>
      <c r="I209" s="21" t="s">
        <v>36</v>
      </c>
      <c r="J209" s="21" t="s">
        <v>9</v>
      </c>
      <c r="K209" s="21" t="s">
        <v>186</v>
      </c>
      <c r="L209" s="21" t="s">
        <v>198</v>
      </c>
      <c r="M209" s="21" t="s">
        <v>15</v>
      </c>
      <c r="N209" s="54">
        <v>38552.9</v>
      </c>
      <c r="O209" s="54">
        <v>0</v>
      </c>
      <c r="P209" s="54">
        <v>0</v>
      </c>
      <c r="Q209" s="54">
        <v>38552.9</v>
      </c>
      <c r="R209" s="54">
        <v>386.12</v>
      </c>
      <c r="S209" s="54">
        <v>32760.49</v>
      </c>
      <c r="T209" s="54">
        <v>32550.49</v>
      </c>
      <c r="U209" s="54">
        <v>5792.41</v>
      </c>
      <c r="V209" s="54">
        <v>6002.41</v>
      </c>
      <c r="W209" s="54">
        <v>5406.29</v>
      </c>
    </row>
    <row r="210" spans="1:23" outlineLevel="2" x14ac:dyDescent="0.2">
      <c r="A210" s="21" t="s">
        <v>0</v>
      </c>
      <c r="B210" s="21" t="s">
        <v>39</v>
      </c>
      <c r="C210" s="21" t="s">
        <v>58</v>
      </c>
      <c r="D210" s="21" t="s">
        <v>59</v>
      </c>
      <c r="E210" s="21" t="s">
        <v>60</v>
      </c>
      <c r="F210" s="21" t="s">
        <v>5</v>
      </c>
      <c r="G210" s="21" t="s">
        <v>6</v>
      </c>
      <c r="H210" s="21" t="s">
        <v>35</v>
      </c>
      <c r="I210" s="21" t="s">
        <v>36</v>
      </c>
      <c r="J210" s="21" t="s">
        <v>9</v>
      </c>
      <c r="K210" s="21" t="s">
        <v>203</v>
      </c>
      <c r="L210" s="21" t="s">
        <v>210</v>
      </c>
      <c r="M210" s="21" t="s">
        <v>15</v>
      </c>
      <c r="N210" s="54">
        <v>1056</v>
      </c>
      <c r="O210" s="54">
        <v>0</v>
      </c>
      <c r="P210" s="54">
        <v>0</v>
      </c>
      <c r="Q210" s="54">
        <v>1056</v>
      </c>
      <c r="R210" s="54">
        <v>0</v>
      </c>
      <c r="S210" s="54">
        <v>383</v>
      </c>
      <c r="T210" s="54">
        <v>383</v>
      </c>
      <c r="U210" s="54">
        <v>673</v>
      </c>
      <c r="V210" s="54">
        <v>673</v>
      </c>
      <c r="W210" s="54">
        <v>673</v>
      </c>
    </row>
    <row r="211" spans="1:23" outlineLevel="2" x14ac:dyDescent="0.2">
      <c r="A211" s="21" t="s">
        <v>0</v>
      </c>
      <c r="B211" s="21" t="s">
        <v>39</v>
      </c>
      <c r="C211" s="21" t="s">
        <v>40</v>
      </c>
      <c r="D211" s="21" t="s">
        <v>77</v>
      </c>
      <c r="E211" s="21" t="s">
        <v>78</v>
      </c>
      <c r="F211" s="21" t="s">
        <v>5</v>
      </c>
      <c r="G211" s="21" t="s">
        <v>6</v>
      </c>
      <c r="H211" s="21" t="s">
        <v>35</v>
      </c>
      <c r="I211" s="21" t="s">
        <v>36</v>
      </c>
      <c r="J211" s="21" t="s">
        <v>9</v>
      </c>
      <c r="K211" s="21" t="s">
        <v>203</v>
      </c>
      <c r="L211" s="21" t="s">
        <v>206</v>
      </c>
      <c r="M211" s="21" t="s">
        <v>15</v>
      </c>
      <c r="N211" s="54">
        <v>264</v>
      </c>
      <c r="O211" s="54">
        <v>0</v>
      </c>
      <c r="P211" s="54">
        <v>0</v>
      </c>
      <c r="Q211" s="54">
        <v>264</v>
      </c>
      <c r="R211" s="54">
        <v>0</v>
      </c>
      <c r="S211" s="54">
        <v>84</v>
      </c>
      <c r="T211" s="54">
        <v>84</v>
      </c>
      <c r="U211" s="54">
        <v>180</v>
      </c>
      <c r="V211" s="54">
        <v>180</v>
      </c>
      <c r="W211" s="54">
        <v>180</v>
      </c>
    </row>
    <row r="212" spans="1:23" outlineLevel="2" x14ac:dyDescent="0.2">
      <c r="A212" s="21" t="s">
        <v>0</v>
      </c>
      <c r="B212" s="21" t="s">
        <v>1</v>
      </c>
      <c r="C212" s="21" t="s">
        <v>99</v>
      </c>
      <c r="D212" s="21" t="s">
        <v>100</v>
      </c>
      <c r="E212" s="21" t="s">
        <v>101</v>
      </c>
      <c r="F212" s="21" t="s">
        <v>5</v>
      </c>
      <c r="G212" s="21" t="s">
        <v>6</v>
      </c>
      <c r="H212" s="21" t="s">
        <v>35</v>
      </c>
      <c r="I212" s="21" t="s">
        <v>36</v>
      </c>
      <c r="J212" s="21" t="s">
        <v>9</v>
      </c>
      <c r="K212" s="21" t="s">
        <v>203</v>
      </c>
      <c r="L212" s="21" t="s">
        <v>216</v>
      </c>
      <c r="M212" s="21" t="s">
        <v>15</v>
      </c>
      <c r="N212" s="54">
        <v>1188</v>
      </c>
      <c r="O212" s="54">
        <v>0</v>
      </c>
      <c r="P212" s="54">
        <v>0</v>
      </c>
      <c r="Q212" s="54">
        <v>1188</v>
      </c>
      <c r="R212" s="54">
        <v>0</v>
      </c>
      <c r="S212" s="54">
        <v>305.5</v>
      </c>
      <c r="T212" s="54">
        <v>305.5</v>
      </c>
      <c r="U212" s="54">
        <v>882.5</v>
      </c>
      <c r="V212" s="54">
        <v>882.5</v>
      </c>
      <c r="W212" s="54">
        <v>882.5</v>
      </c>
    </row>
    <row r="213" spans="1:23" outlineLevel="2" x14ac:dyDescent="0.2">
      <c r="A213" s="21" t="s">
        <v>0</v>
      </c>
      <c r="B213" s="21" t="s">
        <v>39</v>
      </c>
      <c r="C213" s="21" t="s">
        <v>58</v>
      </c>
      <c r="D213" s="21" t="s">
        <v>139</v>
      </c>
      <c r="E213" s="21" t="s">
        <v>140</v>
      </c>
      <c r="F213" s="21" t="s">
        <v>5</v>
      </c>
      <c r="G213" s="21" t="s">
        <v>6</v>
      </c>
      <c r="H213" s="21" t="s">
        <v>35</v>
      </c>
      <c r="I213" s="21" t="s">
        <v>36</v>
      </c>
      <c r="J213" s="21" t="s">
        <v>9</v>
      </c>
      <c r="K213" s="21" t="s">
        <v>203</v>
      </c>
      <c r="L213" s="21" t="s">
        <v>210</v>
      </c>
      <c r="M213" s="21" t="s">
        <v>15</v>
      </c>
      <c r="N213" s="54">
        <v>2244</v>
      </c>
      <c r="O213" s="54">
        <v>0</v>
      </c>
      <c r="P213" s="54">
        <v>0</v>
      </c>
      <c r="Q213" s="54">
        <v>2244</v>
      </c>
      <c r="R213" s="54">
        <v>0</v>
      </c>
      <c r="S213" s="54">
        <v>435</v>
      </c>
      <c r="T213" s="54">
        <v>435</v>
      </c>
      <c r="U213" s="54">
        <v>1809</v>
      </c>
      <c r="V213" s="54">
        <v>1809</v>
      </c>
      <c r="W213" s="54">
        <v>1809</v>
      </c>
    </row>
    <row r="214" spans="1:23" outlineLevel="2" x14ac:dyDescent="0.2">
      <c r="A214" s="21" t="s">
        <v>0</v>
      </c>
      <c r="B214" s="21" t="s">
        <v>1</v>
      </c>
      <c r="C214" s="21" t="s">
        <v>16</v>
      </c>
      <c r="D214" s="21" t="s">
        <v>17</v>
      </c>
      <c r="E214" s="21" t="s">
        <v>18</v>
      </c>
      <c r="F214" s="21" t="s">
        <v>5</v>
      </c>
      <c r="G214" s="21" t="s">
        <v>6</v>
      </c>
      <c r="H214" s="21" t="s">
        <v>35</v>
      </c>
      <c r="I214" s="21" t="s">
        <v>36</v>
      </c>
      <c r="J214" s="21" t="s">
        <v>9</v>
      </c>
      <c r="K214" s="21" t="s">
        <v>203</v>
      </c>
      <c r="L214" s="21" t="s">
        <v>205</v>
      </c>
      <c r="M214" s="21" t="s">
        <v>15</v>
      </c>
      <c r="N214" s="54">
        <v>3036</v>
      </c>
      <c r="O214" s="54">
        <v>0</v>
      </c>
      <c r="P214" s="54">
        <v>0</v>
      </c>
      <c r="Q214" s="54">
        <v>3036</v>
      </c>
      <c r="R214" s="54">
        <v>0</v>
      </c>
      <c r="S214" s="54">
        <v>667.5</v>
      </c>
      <c r="T214" s="54">
        <v>667.5</v>
      </c>
      <c r="U214" s="54">
        <v>2368.5</v>
      </c>
      <c r="V214" s="54">
        <v>2368.5</v>
      </c>
      <c r="W214" s="54">
        <v>2368.5</v>
      </c>
    </row>
    <row r="215" spans="1:23" outlineLevel="2" x14ac:dyDescent="0.2">
      <c r="A215" s="21" t="s">
        <v>0</v>
      </c>
      <c r="B215" s="21" t="s">
        <v>1</v>
      </c>
      <c r="C215" s="21" t="s">
        <v>16</v>
      </c>
      <c r="D215" s="21" t="s">
        <v>62</v>
      </c>
      <c r="E215" s="21" t="s">
        <v>63</v>
      </c>
      <c r="F215" s="21" t="s">
        <v>5</v>
      </c>
      <c r="G215" s="21" t="s">
        <v>6</v>
      </c>
      <c r="H215" s="21" t="s">
        <v>35</v>
      </c>
      <c r="I215" s="21" t="s">
        <v>36</v>
      </c>
      <c r="J215" s="21" t="s">
        <v>9</v>
      </c>
      <c r="K215" s="21" t="s">
        <v>203</v>
      </c>
      <c r="L215" s="21" t="s">
        <v>205</v>
      </c>
      <c r="M215" s="21" t="s">
        <v>15</v>
      </c>
      <c r="N215" s="54">
        <v>132</v>
      </c>
      <c r="O215" s="54">
        <v>0</v>
      </c>
      <c r="P215" s="54">
        <v>0</v>
      </c>
      <c r="Q215" s="54">
        <v>132</v>
      </c>
      <c r="R215" s="54">
        <v>0</v>
      </c>
      <c r="S215" s="54">
        <v>52</v>
      </c>
      <c r="T215" s="54">
        <v>52</v>
      </c>
      <c r="U215" s="54">
        <v>80</v>
      </c>
      <c r="V215" s="54">
        <v>80</v>
      </c>
      <c r="W215" s="54">
        <v>80</v>
      </c>
    </row>
    <row r="216" spans="1:23" outlineLevel="2" x14ac:dyDescent="0.2">
      <c r="A216" s="21" t="s">
        <v>0</v>
      </c>
      <c r="B216" s="21" t="s">
        <v>39</v>
      </c>
      <c r="C216" s="21" t="s">
        <v>40</v>
      </c>
      <c r="D216" s="21" t="s">
        <v>41</v>
      </c>
      <c r="E216" s="21" t="s">
        <v>42</v>
      </c>
      <c r="F216" s="21" t="s">
        <v>5</v>
      </c>
      <c r="G216" s="21" t="s">
        <v>6</v>
      </c>
      <c r="H216" s="21" t="s">
        <v>35</v>
      </c>
      <c r="I216" s="21" t="s">
        <v>36</v>
      </c>
      <c r="J216" s="21" t="s">
        <v>9</v>
      </c>
      <c r="K216" s="21" t="s">
        <v>203</v>
      </c>
      <c r="L216" s="21" t="s">
        <v>206</v>
      </c>
      <c r="M216" s="21" t="s">
        <v>15</v>
      </c>
      <c r="N216" s="54">
        <v>924</v>
      </c>
      <c r="O216" s="54">
        <v>53</v>
      </c>
      <c r="P216" s="54">
        <v>0</v>
      </c>
      <c r="Q216" s="54">
        <v>977</v>
      </c>
      <c r="R216" s="54">
        <v>0</v>
      </c>
      <c r="S216" s="54">
        <v>172.5</v>
      </c>
      <c r="T216" s="54">
        <v>172.5</v>
      </c>
      <c r="U216" s="54">
        <v>804.5</v>
      </c>
      <c r="V216" s="54">
        <v>804.5</v>
      </c>
      <c r="W216" s="54">
        <v>804.5</v>
      </c>
    </row>
    <row r="217" spans="1:23" outlineLevel="2" x14ac:dyDescent="0.2">
      <c r="A217" s="21" t="s">
        <v>0</v>
      </c>
      <c r="B217" s="21" t="s">
        <v>39</v>
      </c>
      <c r="C217" s="21" t="s">
        <v>58</v>
      </c>
      <c r="D217" s="21" t="s">
        <v>143</v>
      </c>
      <c r="E217" s="21" t="s">
        <v>144</v>
      </c>
      <c r="F217" s="21" t="s">
        <v>5</v>
      </c>
      <c r="G217" s="21" t="s">
        <v>6</v>
      </c>
      <c r="H217" s="21" t="s">
        <v>35</v>
      </c>
      <c r="I217" s="21" t="s">
        <v>36</v>
      </c>
      <c r="J217" s="21" t="s">
        <v>9</v>
      </c>
      <c r="K217" s="21" t="s">
        <v>203</v>
      </c>
      <c r="L217" s="21" t="s">
        <v>210</v>
      </c>
      <c r="M217" s="21" t="s">
        <v>15</v>
      </c>
      <c r="N217" s="54">
        <v>1452</v>
      </c>
      <c r="O217" s="54">
        <v>0</v>
      </c>
      <c r="P217" s="54">
        <v>0</v>
      </c>
      <c r="Q217" s="54">
        <v>1452</v>
      </c>
      <c r="R217" s="54">
        <v>0</v>
      </c>
      <c r="S217" s="54">
        <v>406.5</v>
      </c>
      <c r="T217" s="54">
        <v>406.5</v>
      </c>
      <c r="U217" s="54">
        <v>1045.5</v>
      </c>
      <c r="V217" s="54">
        <v>1045.5</v>
      </c>
      <c r="W217" s="54">
        <v>1045.5</v>
      </c>
    </row>
    <row r="218" spans="1:23" outlineLevel="2" x14ac:dyDescent="0.2">
      <c r="A218" s="21" t="s">
        <v>0</v>
      </c>
      <c r="B218" s="21" t="s">
        <v>39</v>
      </c>
      <c r="C218" s="21" t="s">
        <v>58</v>
      </c>
      <c r="D218" s="21" t="s">
        <v>145</v>
      </c>
      <c r="E218" s="21" t="s">
        <v>146</v>
      </c>
      <c r="F218" s="21" t="s">
        <v>5</v>
      </c>
      <c r="G218" s="21" t="s">
        <v>6</v>
      </c>
      <c r="H218" s="21" t="s">
        <v>35</v>
      </c>
      <c r="I218" s="21" t="s">
        <v>36</v>
      </c>
      <c r="J218" s="21" t="s">
        <v>9</v>
      </c>
      <c r="K218" s="21" t="s">
        <v>203</v>
      </c>
      <c r="L218" s="21" t="s">
        <v>210</v>
      </c>
      <c r="M218" s="21" t="s">
        <v>15</v>
      </c>
      <c r="N218" s="54">
        <v>1452</v>
      </c>
      <c r="O218" s="54">
        <v>0</v>
      </c>
      <c r="P218" s="54">
        <v>0</v>
      </c>
      <c r="Q218" s="54">
        <v>1452</v>
      </c>
      <c r="R218" s="54">
        <v>0</v>
      </c>
      <c r="S218" s="54">
        <v>533</v>
      </c>
      <c r="T218" s="54">
        <v>533</v>
      </c>
      <c r="U218" s="54">
        <v>919</v>
      </c>
      <c r="V218" s="54">
        <v>919</v>
      </c>
      <c r="W218" s="54">
        <v>919</v>
      </c>
    </row>
    <row r="219" spans="1:23" outlineLevel="2" x14ac:dyDescent="0.2">
      <c r="A219" s="21" t="s">
        <v>0</v>
      </c>
      <c r="B219" s="21" t="s">
        <v>39</v>
      </c>
      <c r="C219" s="21" t="s">
        <v>66</v>
      </c>
      <c r="D219" s="21" t="s">
        <v>121</v>
      </c>
      <c r="E219" s="21" t="s">
        <v>122</v>
      </c>
      <c r="F219" s="21" t="s">
        <v>5</v>
      </c>
      <c r="G219" s="21" t="s">
        <v>6</v>
      </c>
      <c r="H219" s="21" t="s">
        <v>35</v>
      </c>
      <c r="I219" s="21" t="s">
        <v>36</v>
      </c>
      <c r="J219" s="21" t="s">
        <v>9</v>
      </c>
      <c r="K219" s="21" t="s">
        <v>203</v>
      </c>
      <c r="L219" s="21" t="s">
        <v>214</v>
      </c>
      <c r="M219" s="21" t="s">
        <v>15</v>
      </c>
      <c r="N219" s="54">
        <v>132</v>
      </c>
      <c r="O219" s="54">
        <v>0</v>
      </c>
      <c r="P219" s="54">
        <v>0</v>
      </c>
      <c r="Q219" s="54">
        <v>132</v>
      </c>
      <c r="R219" s="54">
        <v>0</v>
      </c>
      <c r="S219" s="54">
        <v>52</v>
      </c>
      <c r="T219" s="54">
        <v>52</v>
      </c>
      <c r="U219" s="54">
        <v>80</v>
      </c>
      <c r="V219" s="54">
        <v>80</v>
      </c>
      <c r="W219" s="54">
        <v>80</v>
      </c>
    </row>
    <row r="220" spans="1:23" outlineLevel="2" x14ac:dyDescent="0.2">
      <c r="A220" s="21" t="s">
        <v>0</v>
      </c>
      <c r="B220" s="21" t="s">
        <v>39</v>
      </c>
      <c r="C220" s="21" t="s">
        <v>58</v>
      </c>
      <c r="D220" s="21" t="s">
        <v>149</v>
      </c>
      <c r="E220" s="21" t="s">
        <v>150</v>
      </c>
      <c r="F220" s="21" t="s">
        <v>5</v>
      </c>
      <c r="G220" s="21" t="s">
        <v>6</v>
      </c>
      <c r="H220" s="21" t="s">
        <v>35</v>
      </c>
      <c r="I220" s="21" t="s">
        <v>36</v>
      </c>
      <c r="J220" s="21" t="s">
        <v>9</v>
      </c>
      <c r="K220" s="21" t="s">
        <v>203</v>
      </c>
      <c r="L220" s="21" t="s">
        <v>210</v>
      </c>
      <c r="M220" s="21" t="s">
        <v>15</v>
      </c>
      <c r="N220" s="54">
        <v>7260</v>
      </c>
      <c r="O220" s="54">
        <v>2150</v>
      </c>
      <c r="P220" s="54">
        <v>0</v>
      </c>
      <c r="Q220" s="54">
        <v>9410</v>
      </c>
      <c r="R220" s="54">
        <v>0</v>
      </c>
      <c r="S220" s="54">
        <v>3634</v>
      </c>
      <c r="T220" s="54">
        <v>3634</v>
      </c>
      <c r="U220" s="54">
        <v>5776</v>
      </c>
      <c r="V220" s="54">
        <v>5776</v>
      </c>
      <c r="W220" s="54">
        <v>5776</v>
      </c>
    </row>
    <row r="221" spans="1:23" outlineLevel="2" x14ac:dyDescent="0.2">
      <c r="A221" s="21" t="s">
        <v>0</v>
      </c>
      <c r="B221" s="21" t="s">
        <v>1</v>
      </c>
      <c r="C221" s="21" t="s">
        <v>2</v>
      </c>
      <c r="D221" s="21" t="s">
        <v>20</v>
      </c>
      <c r="E221" s="21" t="s">
        <v>21</v>
      </c>
      <c r="F221" s="21" t="s">
        <v>5</v>
      </c>
      <c r="G221" s="21" t="s">
        <v>6</v>
      </c>
      <c r="H221" s="21" t="s">
        <v>35</v>
      </c>
      <c r="I221" s="21" t="s">
        <v>36</v>
      </c>
      <c r="J221" s="21" t="s">
        <v>9</v>
      </c>
      <c r="K221" s="21" t="s">
        <v>203</v>
      </c>
      <c r="L221" s="21" t="s">
        <v>209</v>
      </c>
      <c r="M221" s="21" t="s">
        <v>15</v>
      </c>
      <c r="N221" s="54">
        <v>13464</v>
      </c>
      <c r="O221" s="54">
        <v>0</v>
      </c>
      <c r="P221" s="54">
        <v>0</v>
      </c>
      <c r="Q221" s="54">
        <v>13464</v>
      </c>
      <c r="R221" s="54">
        <v>0</v>
      </c>
      <c r="S221" s="54">
        <v>5795</v>
      </c>
      <c r="T221" s="54">
        <v>5795</v>
      </c>
      <c r="U221" s="54">
        <v>7669</v>
      </c>
      <c r="V221" s="54">
        <v>7669</v>
      </c>
      <c r="W221" s="54">
        <v>7669</v>
      </c>
    </row>
    <row r="222" spans="1:23" outlineLevel="2" x14ac:dyDescent="0.2">
      <c r="A222" s="21" t="s">
        <v>0</v>
      </c>
      <c r="B222" s="21" t="s">
        <v>1</v>
      </c>
      <c r="C222" s="21" t="s">
        <v>16</v>
      </c>
      <c r="D222" s="21" t="s">
        <v>103</v>
      </c>
      <c r="E222" s="21" t="s">
        <v>104</v>
      </c>
      <c r="F222" s="21" t="s">
        <v>5</v>
      </c>
      <c r="G222" s="21" t="s">
        <v>6</v>
      </c>
      <c r="H222" s="21" t="s">
        <v>35</v>
      </c>
      <c r="I222" s="21" t="s">
        <v>36</v>
      </c>
      <c r="J222" s="21" t="s">
        <v>9</v>
      </c>
      <c r="K222" s="21" t="s">
        <v>203</v>
      </c>
      <c r="L222" s="21" t="s">
        <v>205</v>
      </c>
      <c r="M222" s="21" t="s">
        <v>15</v>
      </c>
      <c r="N222" s="54">
        <v>1848</v>
      </c>
      <c r="O222" s="54">
        <v>0</v>
      </c>
      <c r="P222" s="54">
        <v>0</v>
      </c>
      <c r="Q222" s="54">
        <v>1848</v>
      </c>
      <c r="R222" s="54">
        <v>0</v>
      </c>
      <c r="S222" s="54">
        <v>152</v>
      </c>
      <c r="T222" s="54">
        <v>152</v>
      </c>
      <c r="U222" s="54">
        <v>1696</v>
      </c>
      <c r="V222" s="54">
        <v>1696</v>
      </c>
      <c r="W222" s="54">
        <v>1696</v>
      </c>
    </row>
    <row r="223" spans="1:23" outlineLevel="2" x14ac:dyDescent="0.2">
      <c r="A223" s="21" t="s">
        <v>0</v>
      </c>
      <c r="B223" s="21" t="s">
        <v>1</v>
      </c>
      <c r="C223" s="21" t="s">
        <v>44</v>
      </c>
      <c r="D223" s="21" t="s">
        <v>45</v>
      </c>
      <c r="E223" s="21" t="s">
        <v>46</v>
      </c>
      <c r="F223" s="21" t="s">
        <v>5</v>
      </c>
      <c r="G223" s="21" t="s">
        <v>6</v>
      </c>
      <c r="H223" s="21" t="s">
        <v>35</v>
      </c>
      <c r="I223" s="21" t="s">
        <v>36</v>
      </c>
      <c r="J223" s="21" t="s">
        <v>9</v>
      </c>
      <c r="K223" s="21" t="s">
        <v>203</v>
      </c>
      <c r="L223" s="21" t="s">
        <v>213</v>
      </c>
      <c r="M223" s="21" t="s">
        <v>15</v>
      </c>
      <c r="N223" s="54">
        <v>396</v>
      </c>
      <c r="O223" s="54">
        <v>0</v>
      </c>
      <c r="P223" s="54">
        <v>0</v>
      </c>
      <c r="Q223" s="54">
        <v>396</v>
      </c>
      <c r="R223" s="54">
        <v>0</v>
      </c>
      <c r="S223" s="54">
        <v>62.5</v>
      </c>
      <c r="T223" s="54">
        <v>62.5</v>
      </c>
      <c r="U223" s="54">
        <v>333.5</v>
      </c>
      <c r="V223" s="54">
        <v>333.5</v>
      </c>
      <c r="W223" s="54">
        <v>333.5</v>
      </c>
    </row>
    <row r="224" spans="1:23" outlineLevel="2" x14ac:dyDescent="0.2">
      <c r="A224" s="21" t="s">
        <v>0</v>
      </c>
      <c r="B224" s="21" t="s">
        <v>1</v>
      </c>
      <c r="C224" s="21" t="s">
        <v>91</v>
      </c>
      <c r="D224" s="21" t="s">
        <v>92</v>
      </c>
      <c r="E224" s="21" t="s">
        <v>93</v>
      </c>
      <c r="F224" s="21" t="s">
        <v>5</v>
      </c>
      <c r="G224" s="21" t="s">
        <v>6</v>
      </c>
      <c r="H224" s="21" t="s">
        <v>35</v>
      </c>
      <c r="I224" s="21" t="s">
        <v>36</v>
      </c>
      <c r="J224" s="21" t="s">
        <v>9</v>
      </c>
      <c r="K224" s="21" t="s">
        <v>203</v>
      </c>
      <c r="L224" s="21" t="s">
        <v>215</v>
      </c>
      <c r="M224" s="21" t="s">
        <v>15</v>
      </c>
      <c r="N224" s="54">
        <v>660</v>
      </c>
      <c r="O224" s="54">
        <v>0</v>
      </c>
      <c r="P224" s="54">
        <v>0</v>
      </c>
      <c r="Q224" s="54">
        <v>660</v>
      </c>
      <c r="R224" s="54">
        <v>0</v>
      </c>
      <c r="S224" s="54">
        <v>288</v>
      </c>
      <c r="T224" s="54">
        <v>288</v>
      </c>
      <c r="U224" s="54">
        <v>372</v>
      </c>
      <c r="V224" s="54">
        <v>372</v>
      </c>
      <c r="W224" s="54">
        <v>372</v>
      </c>
    </row>
    <row r="225" spans="1:23" outlineLevel="2" x14ac:dyDescent="0.2">
      <c r="A225" s="21" t="s">
        <v>0</v>
      </c>
      <c r="B225" s="21" t="s">
        <v>31</v>
      </c>
      <c r="C225" s="21" t="s">
        <v>32</v>
      </c>
      <c r="D225" s="21" t="s">
        <v>75</v>
      </c>
      <c r="E225" s="21" t="s">
        <v>76</v>
      </c>
      <c r="F225" s="21" t="s">
        <v>5</v>
      </c>
      <c r="G225" s="21" t="s">
        <v>6</v>
      </c>
      <c r="H225" s="21" t="s">
        <v>35</v>
      </c>
      <c r="I225" s="21" t="s">
        <v>36</v>
      </c>
      <c r="J225" s="21" t="s">
        <v>9</v>
      </c>
      <c r="K225" s="21" t="s">
        <v>203</v>
      </c>
      <c r="L225" s="21" t="s">
        <v>208</v>
      </c>
      <c r="M225" s="21" t="s">
        <v>15</v>
      </c>
      <c r="N225" s="54">
        <v>2376</v>
      </c>
      <c r="O225" s="54">
        <v>320</v>
      </c>
      <c r="P225" s="54">
        <v>0</v>
      </c>
      <c r="Q225" s="54">
        <v>2696</v>
      </c>
      <c r="R225" s="54">
        <v>0</v>
      </c>
      <c r="S225" s="54">
        <v>886.5</v>
      </c>
      <c r="T225" s="54">
        <v>886.5</v>
      </c>
      <c r="U225" s="54">
        <v>1809.5</v>
      </c>
      <c r="V225" s="54">
        <v>1809.5</v>
      </c>
      <c r="W225" s="54">
        <v>1809.5</v>
      </c>
    </row>
    <row r="226" spans="1:23" outlineLevel="2" x14ac:dyDescent="0.2">
      <c r="A226" s="21" t="s">
        <v>0</v>
      </c>
      <c r="B226" s="21" t="s">
        <v>31</v>
      </c>
      <c r="C226" s="21" t="s">
        <v>79</v>
      </c>
      <c r="D226" s="21" t="s">
        <v>111</v>
      </c>
      <c r="E226" s="21" t="s">
        <v>112</v>
      </c>
      <c r="F226" s="21" t="s">
        <v>5</v>
      </c>
      <c r="G226" s="21" t="s">
        <v>6</v>
      </c>
      <c r="H226" s="21" t="s">
        <v>35</v>
      </c>
      <c r="I226" s="21" t="s">
        <v>36</v>
      </c>
      <c r="J226" s="21" t="s">
        <v>9</v>
      </c>
      <c r="K226" s="21" t="s">
        <v>203</v>
      </c>
      <c r="L226" s="21" t="s">
        <v>204</v>
      </c>
      <c r="M226" s="21" t="s">
        <v>15</v>
      </c>
      <c r="N226" s="54">
        <v>132</v>
      </c>
      <c r="O226" s="54">
        <v>0</v>
      </c>
      <c r="P226" s="54">
        <v>0</v>
      </c>
      <c r="Q226" s="54">
        <v>132</v>
      </c>
      <c r="R226" s="54">
        <v>0</v>
      </c>
      <c r="S226" s="54">
        <v>52</v>
      </c>
      <c r="T226" s="54">
        <v>52</v>
      </c>
      <c r="U226" s="54">
        <v>80</v>
      </c>
      <c r="V226" s="54">
        <v>80</v>
      </c>
      <c r="W226" s="54">
        <v>80</v>
      </c>
    </row>
    <row r="227" spans="1:23" outlineLevel="2" x14ac:dyDescent="0.2">
      <c r="A227" s="21" t="s">
        <v>0</v>
      </c>
      <c r="B227" s="21" t="s">
        <v>53</v>
      </c>
      <c r="C227" s="21" t="s">
        <v>85</v>
      </c>
      <c r="D227" s="21" t="s">
        <v>86</v>
      </c>
      <c r="E227" s="21" t="s">
        <v>87</v>
      </c>
      <c r="F227" s="21" t="s">
        <v>5</v>
      </c>
      <c r="G227" s="21" t="s">
        <v>6</v>
      </c>
      <c r="H227" s="21" t="s">
        <v>35</v>
      </c>
      <c r="I227" s="21" t="s">
        <v>36</v>
      </c>
      <c r="J227" s="21" t="s">
        <v>9</v>
      </c>
      <c r="K227" s="21" t="s">
        <v>203</v>
      </c>
      <c r="L227" s="21" t="s">
        <v>217</v>
      </c>
      <c r="M227" s="21" t="s">
        <v>15</v>
      </c>
      <c r="N227" s="54">
        <v>264</v>
      </c>
      <c r="O227" s="54">
        <v>-264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</row>
    <row r="228" spans="1:23" outlineLevel="2" x14ac:dyDescent="0.2">
      <c r="A228" s="21" t="s">
        <v>0</v>
      </c>
      <c r="B228" s="21" t="s">
        <v>53</v>
      </c>
      <c r="C228" s="21" t="s">
        <v>54</v>
      </c>
      <c r="D228" s="21" t="s">
        <v>55</v>
      </c>
      <c r="E228" s="21" t="s">
        <v>56</v>
      </c>
      <c r="F228" s="21" t="s">
        <v>5</v>
      </c>
      <c r="G228" s="21" t="s">
        <v>6</v>
      </c>
      <c r="H228" s="21" t="s">
        <v>35</v>
      </c>
      <c r="I228" s="21" t="s">
        <v>36</v>
      </c>
      <c r="J228" s="21" t="s">
        <v>9</v>
      </c>
      <c r="K228" s="21" t="s">
        <v>203</v>
      </c>
      <c r="L228" s="21" t="s">
        <v>211</v>
      </c>
      <c r="M228" s="21" t="s">
        <v>15</v>
      </c>
      <c r="N228" s="54">
        <v>4224</v>
      </c>
      <c r="O228" s="54">
        <v>-1300</v>
      </c>
      <c r="P228" s="54">
        <v>0</v>
      </c>
      <c r="Q228" s="54">
        <v>2924</v>
      </c>
      <c r="R228" s="54">
        <v>0</v>
      </c>
      <c r="S228" s="54">
        <v>2091.5</v>
      </c>
      <c r="T228" s="54">
        <v>2091.5</v>
      </c>
      <c r="U228" s="54">
        <v>832.5</v>
      </c>
      <c r="V228" s="54">
        <v>832.5</v>
      </c>
      <c r="W228" s="54">
        <v>832.5</v>
      </c>
    </row>
    <row r="229" spans="1:23" outlineLevel="2" x14ac:dyDescent="0.2">
      <c r="A229" s="21" t="s">
        <v>0</v>
      </c>
      <c r="B229" s="21" t="s">
        <v>31</v>
      </c>
      <c r="C229" s="21" t="s">
        <v>79</v>
      </c>
      <c r="D229" s="21" t="s">
        <v>125</v>
      </c>
      <c r="E229" s="21" t="s">
        <v>126</v>
      </c>
      <c r="F229" s="21" t="s">
        <v>5</v>
      </c>
      <c r="G229" s="21" t="s">
        <v>6</v>
      </c>
      <c r="H229" s="21" t="s">
        <v>35</v>
      </c>
      <c r="I229" s="21" t="s">
        <v>36</v>
      </c>
      <c r="J229" s="21" t="s">
        <v>9</v>
      </c>
      <c r="K229" s="21" t="s">
        <v>203</v>
      </c>
      <c r="L229" s="21" t="s">
        <v>204</v>
      </c>
      <c r="M229" s="21" t="s">
        <v>15</v>
      </c>
      <c r="N229" s="54">
        <v>396</v>
      </c>
      <c r="O229" s="54">
        <v>45</v>
      </c>
      <c r="P229" s="54">
        <v>0</v>
      </c>
      <c r="Q229" s="54">
        <v>441</v>
      </c>
      <c r="R229" s="54">
        <v>0</v>
      </c>
      <c r="S229" s="54">
        <v>146</v>
      </c>
      <c r="T229" s="54">
        <v>146</v>
      </c>
      <c r="U229" s="54">
        <v>295</v>
      </c>
      <c r="V229" s="54">
        <v>295</v>
      </c>
      <c r="W229" s="54">
        <v>295</v>
      </c>
    </row>
    <row r="230" spans="1:23" outlineLevel="2" x14ac:dyDescent="0.2">
      <c r="A230" s="21" t="s">
        <v>0</v>
      </c>
      <c r="B230" s="21" t="s">
        <v>31</v>
      </c>
      <c r="C230" s="21" t="s">
        <v>79</v>
      </c>
      <c r="D230" s="21" t="s">
        <v>117</v>
      </c>
      <c r="E230" s="21" t="s">
        <v>118</v>
      </c>
      <c r="F230" s="21" t="s">
        <v>5</v>
      </c>
      <c r="G230" s="21" t="s">
        <v>6</v>
      </c>
      <c r="H230" s="21" t="s">
        <v>35</v>
      </c>
      <c r="I230" s="21" t="s">
        <v>36</v>
      </c>
      <c r="J230" s="21" t="s">
        <v>9</v>
      </c>
      <c r="K230" s="21" t="s">
        <v>203</v>
      </c>
      <c r="L230" s="21" t="s">
        <v>204</v>
      </c>
      <c r="M230" s="21" t="s">
        <v>15</v>
      </c>
      <c r="N230" s="54">
        <v>1848</v>
      </c>
      <c r="O230" s="54">
        <v>454</v>
      </c>
      <c r="P230" s="54">
        <v>0</v>
      </c>
      <c r="Q230" s="54">
        <v>2302</v>
      </c>
      <c r="R230" s="54">
        <v>0</v>
      </c>
      <c r="S230" s="54">
        <v>585</v>
      </c>
      <c r="T230" s="54">
        <v>585</v>
      </c>
      <c r="U230" s="54">
        <v>1717</v>
      </c>
      <c r="V230" s="54">
        <v>1717</v>
      </c>
      <c r="W230" s="54">
        <v>1717</v>
      </c>
    </row>
    <row r="231" spans="1:23" outlineLevel="2" x14ac:dyDescent="0.2">
      <c r="A231" s="21" t="s">
        <v>0</v>
      </c>
      <c r="B231" s="21" t="s">
        <v>31</v>
      </c>
      <c r="C231" s="21" t="s">
        <v>79</v>
      </c>
      <c r="D231" s="21" t="s">
        <v>80</v>
      </c>
      <c r="E231" s="21" t="s">
        <v>81</v>
      </c>
      <c r="F231" s="21" t="s">
        <v>5</v>
      </c>
      <c r="G231" s="21" t="s">
        <v>6</v>
      </c>
      <c r="H231" s="21" t="s">
        <v>35</v>
      </c>
      <c r="I231" s="21" t="s">
        <v>36</v>
      </c>
      <c r="J231" s="21" t="s">
        <v>9</v>
      </c>
      <c r="K231" s="21" t="s">
        <v>203</v>
      </c>
      <c r="L231" s="21" t="s">
        <v>204</v>
      </c>
      <c r="M231" s="21" t="s">
        <v>15</v>
      </c>
      <c r="N231" s="54">
        <v>264</v>
      </c>
      <c r="O231" s="54">
        <v>0</v>
      </c>
      <c r="P231" s="54">
        <v>0</v>
      </c>
      <c r="Q231" s="54">
        <v>264</v>
      </c>
      <c r="R231" s="54">
        <v>0</v>
      </c>
      <c r="S231" s="54">
        <v>104</v>
      </c>
      <c r="T231" s="54">
        <v>104</v>
      </c>
      <c r="U231" s="54">
        <v>160</v>
      </c>
      <c r="V231" s="54">
        <v>160</v>
      </c>
      <c r="W231" s="54">
        <v>160</v>
      </c>
    </row>
    <row r="232" spans="1:23" outlineLevel="2" x14ac:dyDescent="0.2">
      <c r="A232" s="21" t="s">
        <v>0</v>
      </c>
      <c r="B232" s="21" t="s">
        <v>31</v>
      </c>
      <c r="C232" s="21" t="s">
        <v>32</v>
      </c>
      <c r="D232" s="21" t="s">
        <v>141</v>
      </c>
      <c r="E232" s="21" t="s">
        <v>142</v>
      </c>
      <c r="F232" s="21" t="s">
        <v>5</v>
      </c>
      <c r="G232" s="21" t="s">
        <v>6</v>
      </c>
      <c r="H232" s="21" t="s">
        <v>35</v>
      </c>
      <c r="I232" s="21" t="s">
        <v>36</v>
      </c>
      <c r="J232" s="21" t="s">
        <v>9</v>
      </c>
      <c r="K232" s="21" t="s">
        <v>203</v>
      </c>
      <c r="L232" s="21" t="s">
        <v>208</v>
      </c>
      <c r="M232" s="21" t="s">
        <v>15</v>
      </c>
      <c r="N232" s="54">
        <v>792</v>
      </c>
      <c r="O232" s="54">
        <v>0</v>
      </c>
      <c r="P232" s="54">
        <v>0</v>
      </c>
      <c r="Q232" s="54">
        <v>792</v>
      </c>
      <c r="R232" s="54">
        <v>0</v>
      </c>
      <c r="S232" s="54">
        <v>406</v>
      </c>
      <c r="T232" s="54">
        <v>406</v>
      </c>
      <c r="U232" s="54">
        <v>386</v>
      </c>
      <c r="V232" s="54">
        <v>386</v>
      </c>
      <c r="W232" s="54">
        <v>386</v>
      </c>
    </row>
    <row r="233" spans="1:23" outlineLevel="2" x14ac:dyDescent="0.2">
      <c r="A233" s="21" t="s">
        <v>0</v>
      </c>
      <c r="B233" s="21" t="s">
        <v>31</v>
      </c>
      <c r="C233" s="21" t="s">
        <v>79</v>
      </c>
      <c r="D233" s="21" t="s">
        <v>83</v>
      </c>
      <c r="E233" s="21" t="s">
        <v>84</v>
      </c>
      <c r="F233" s="21" t="s">
        <v>5</v>
      </c>
      <c r="G233" s="21" t="s">
        <v>6</v>
      </c>
      <c r="H233" s="21" t="s">
        <v>35</v>
      </c>
      <c r="I233" s="21" t="s">
        <v>36</v>
      </c>
      <c r="J233" s="21" t="s">
        <v>9</v>
      </c>
      <c r="K233" s="21" t="s">
        <v>203</v>
      </c>
      <c r="L233" s="21" t="s">
        <v>204</v>
      </c>
      <c r="M233" s="21" t="s">
        <v>15</v>
      </c>
      <c r="N233" s="54">
        <v>3696</v>
      </c>
      <c r="O233" s="54">
        <v>1150</v>
      </c>
      <c r="P233" s="54">
        <v>0</v>
      </c>
      <c r="Q233" s="54">
        <v>4846</v>
      </c>
      <c r="R233" s="54">
        <v>0</v>
      </c>
      <c r="S233" s="54">
        <v>1608</v>
      </c>
      <c r="T233" s="54">
        <v>1608</v>
      </c>
      <c r="U233" s="54">
        <v>3238</v>
      </c>
      <c r="V233" s="54">
        <v>3238</v>
      </c>
      <c r="W233" s="54">
        <v>3238</v>
      </c>
    </row>
    <row r="234" spans="1:23" outlineLevel="2" x14ac:dyDescent="0.2">
      <c r="A234" s="21" t="s">
        <v>0</v>
      </c>
      <c r="B234" s="21" t="s">
        <v>31</v>
      </c>
      <c r="C234" s="21" t="s">
        <v>79</v>
      </c>
      <c r="D234" s="21" t="s">
        <v>133</v>
      </c>
      <c r="E234" s="21" t="s">
        <v>134</v>
      </c>
      <c r="F234" s="21" t="s">
        <v>5</v>
      </c>
      <c r="G234" s="21" t="s">
        <v>6</v>
      </c>
      <c r="H234" s="21" t="s">
        <v>35</v>
      </c>
      <c r="I234" s="21" t="s">
        <v>36</v>
      </c>
      <c r="J234" s="21" t="s">
        <v>9</v>
      </c>
      <c r="K234" s="21" t="s">
        <v>203</v>
      </c>
      <c r="L234" s="21" t="s">
        <v>204</v>
      </c>
      <c r="M234" s="21" t="s">
        <v>15</v>
      </c>
      <c r="N234" s="54">
        <v>924</v>
      </c>
      <c r="O234" s="54">
        <v>452</v>
      </c>
      <c r="P234" s="54">
        <v>0</v>
      </c>
      <c r="Q234" s="54">
        <v>1376</v>
      </c>
      <c r="R234" s="54">
        <v>0</v>
      </c>
      <c r="S234" s="54">
        <v>511.5</v>
      </c>
      <c r="T234" s="54">
        <v>511.5</v>
      </c>
      <c r="U234" s="54">
        <v>864.5</v>
      </c>
      <c r="V234" s="54">
        <v>864.5</v>
      </c>
      <c r="W234" s="54">
        <v>864.5</v>
      </c>
    </row>
    <row r="235" spans="1:23" outlineLevel="2" x14ac:dyDescent="0.2">
      <c r="A235" s="21" t="s">
        <v>0</v>
      </c>
      <c r="B235" s="21" t="s">
        <v>31</v>
      </c>
      <c r="C235" s="21" t="s">
        <v>79</v>
      </c>
      <c r="D235" s="21" t="s">
        <v>127</v>
      </c>
      <c r="E235" s="21" t="s">
        <v>128</v>
      </c>
      <c r="F235" s="21" t="s">
        <v>5</v>
      </c>
      <c r="G235" s="21" t="s">
        <v>6</v>
      </c>
      <c r="H235" s="21" t="s">
        <v>35</v>
      </c>
      <c r="I235" s="21" t="s">
        <v>36</v>
      </c>
      <c r="J235" s="21" t="s">
        <v>9</v>
      </c>
      <c r="K235" s="21" t="s">
        <v>203</v>
      </c>
      <c r="L235" s="21" t="s">
        <v>204</v>
      </c>
      <c r="M235" s="21" t="s">
        <v>15</v>
      </c>
      <c r="N235" s="54">
        <v>528</v>
      </c>
      <c r="O235" s="54">
        <v>0</v>
      </c>
      <c r="P235" s="54">
        <v>0</v>
      </c>
      <c r="Q235" s="54">
        <v>528</v>
      </c>
      <c r="R235" s="54">
        <v>0</v>
      </c>
      <c r="S235" s="54">
        <v>208</v>
      </c>
      <c r="T235" s="54">
        <v>208</v>
      </c>
      <c r="U235" s="54">
        <v>320</v>
      </c>
      <c r="V235" s="54">
        <v>320</v>
      </c>
      <c r="W235" s="54">
        <v>320</v>
      </c>
    </row>
    <row r="236" spans="1:23" outlineLevel="2" x14ac:dyDescent="0.2">
      <c r="A236" s="21" t="s">
        <v>0</v>
      </c>
      <c r="B236" s="21" t="s">
        <v>31</v>
      </c>
      <c r="C236" s="21" t="s">
        <v>79</v>
      </c>
      <c r="D236" s="21" t="s">
        <v>131</v>
      </c>
      <c r="E236" s="21" t="s">
        <v>132</v>
      </c>
      <c r="F236" s="21" t="s">
        <v>5</v>
      </c>
      <c r="G236" s="21" t="s">
        <v>6</v>
      </c>
      <c r="H236" s="21" t="s">
        <v>35</v>
      </c>
      <c r="I236" s="21" t="s">
        <v>36</v>
      </c>
      <c r="J236" s="21" t="s">
        <v>9</v>
      </c>
      <c r="K236" s="21" t="s">
        <v>203</v>
      </c>
      <c r="L236" s="21" t="s">
        <v>204</v>
      </c>
      <c r="M236" s="21" t="s">
        <v>15</v>
      </c>
      <c r="N236" s="54">
        <v>528</v>
      </c>
      <c r="O236" s="54">
        <v>265</v>
      </c>
      <c r="P236" s="54">
        <v>0</v>
      </c>
      <c r="Q236" s="54">
        <v>793</v>
      </c>
      <c r="R236" s="54">
        <v>0</v>
      </c>
      <c r="S236" s="54">
        <v>293.5</v>
      </c>
      <c r="T236" s="54">
        <v>293.5</v>
      </c>
      <c r="U236" s="54">
        <v>499.5</v>
      </c>
      <c r="V236" s="54">
        <v>499.5</v>
      </c>
      <c r="W236" s="54">
        <v>499.5</v>
      </c>
    </row>
    <row r="237" spans="1:23" outlineLevel="2" x14ac:dyDescent="0.2">
      <c r="A237" s="21" t="s">
        <v>0</v>
      </c>
      <c r="B237" s="21" t="s">
        <v>31</v>
      </c>
      <c r="C237" s="21" t="s">
        <v>32</v>
      </c>
      <c r="D237" s="21" t="s">
        <v>123</v>
      </c>
      <c r="E237" s="21" t="s">
        <v>124</v>
      </c>
      <c r="F237" s="21" t="s">
        <v>5</v>
      </c>
      <c r="G237" s="21" t="s">
        <v>6</v>
      </c>
      <c r="H237" s="21" t="s">
        <v>35</v>
      </c>
      <c r="I237" s="21" t="s">
        <v>36</v>
      </c>
      <c r="J237" s="21" t="s">
        <v>9</v>
      </c>
      <c r="K237" s="21" t="s">
        <v>203</v>
      </c>
      <c r="L237" s="21" t="s">
        <v>208</v>
      </c>
      <c r="M237" s="21" t="s">
        <v>15</v>
      </c>
      <c r="N237" s="54">
        <v>1584</v>
      </c>
      <c r="O237" s="54">
        <v>242</v>
      </c>
      <c r="P237" s="54">
        <v>0</v>
      </c>
      <c r="Q237" s="54">
        <v>1826</v>
      </c>
      <c r="R237" s="54">
        <v>0</v>
      </c>
      <c r="S237" s="54">
        <v>710.5</v>
      </c>
      <c r="T237" s="54">
        <v>710.5</v>
      </c>
      <c r="U237" s="54">
        <v>1115.5</v>
      </c>
      <c r="V237" s="54">
        <v>1115.5</v>
      </c>
      <c r="W237" s="54">
        <v>1115.5</v>
      </c>
    </row>
    <row r="238" spans="1:23" outlineLevel="2" x14ac:dyDescent="0.2">
      <c r="A238" s="21" t="s">
        <v>0</v>
      </c>
      <c r="B238" s="21" t="s">
        <v>39</v>
      </c>
      <c r="C238" s="21" t="s">
        <v>95</v>
      </c>
      <c r="D238" s="21" t="s">
        <v>96</v>
      </c>
      <c r="E238" s="21" t="s">
        <v>97</v>
      </c>
      <c r="F238" s="21" t="s">
        <v>5</v>
      </c>
      <c r="G238" s="21" t="s">
        <v>6</v>
      </c>
      <c r="H238" s="21" t="s">
        <v>35</v>
      </c>
      <c r="I238" s="21" t="s">
        <v>36</v>
      </c>
      <c r="J238" s="21" t="s">
        <v>9</v>
      </c>
      <c r="K238" s="21" t="s">
        <v>203</v>
      </c>
      <c r="L238" s="21" t="s">
        <v>212</v>
      </c>
      <c r="M238" s="21" t="s">
        <v>15</v>
      </c>
      <c r="N238" s="54">
        <v>528</v>
      </c>
      <c r="O238" s="54">
        <v>0</v>
      </c>
      <c r="P238" s="54">
        <v>0</v>
      </c>
      <c r="Q238" s="54">
        <v>528</v>
      </c>
      <c r="R238" s="54">
        <v>0</v>
      </c>
      <c r="S238" s="54">
        <v>102.5</v>
      </c>
      <c r="T238" s="54">
        <v>102.5</v>
      </c>
      <c r="U238" s="54">
        <v>425.5</v>
      </c>
      <c r="V238" s="54">
        <v>425.5</v>
      </c>
      <c r="W238" s="54">
        <v>425.5</v>
      </c>
    </row>
    <row r="239" spans="1:23" outlineLevel="2" x14ac:dyDescent="0.2">
      <c r="A239" s="21" t="s">
        <v>0</v>
      </c>
      <c r="B239" s="21" t="s">
        <v>39</v>
      </c>
      <c r="C239" s="21" t="s">
        <v>58</v>
      </c>
      <c r="D239" s="21" t="s">
        <v>137</v>
      </c>
      <c r="E239" s="21" t="s">
        <v>138</v>
      </c>
      <c r="F239" s="21" t="s">
        <v>5</v>
      </c>
      <c r="G239" s="21" t="s">
        <v>6</v>
      </c>
      <c r="H239" s="21" t="s">
        <v>35</v>
      </c>
      <c r="I239" s="21" t="s">
        <v>36</v>
      </c>
      <c r="J239" s="21" t="s">
        <v>9</v>
      </c>
      <c r="K239" s="21" t="s">
        <v>203</v>
      </c>
      <c r="L239" s="21" t="s">
        <v>210</v>
      </c>
      <c r="M239" s="21" t="s">
        <v>15</v>
      </c>
      <c r="N239" s="54">
        <v>3036</v>
      </c>
      <c r="O239" s="54">
        <v>0</v>
      </c>
      <c r="P239" s="54">
        <v>0</v>
      </c>
      <c r="Q239" s="54">
        <v>3036</v>
      </c>
      <c r="R239" s="54">
        <v>0</v>
      </c>
      <c r="S239" s="54">
        <v>921</v>
      </c>
      <c r="T239" s="54">
        <v>921</v>
      </c>
      <c r="U239" s="54">
        <v>2115</v>
      </c>
      <c r="V239" s="54">
        <v>2115</v>
      </c>
      <c r="W239" s="54">
        <v>2115</v>
      </c>
    </row>
    <row r="240" spans="1:23" outlineLevel="2" x14ac:dyDescent="0.2">
      <c r="A240" s="21" t="s">
        <v>0</v>
      </c>
      <c r="B240" s="21" t="s">
        <v>31</v>
      </c>
      <c r="C240" s="21" t="s">
        <v>32</v>
      </c>
      <c r="D240" s="21" t="s">
        <v>33</v>
      </c>
      <c r="E240" s="21" t="s">
        <v>34</v>
      </c>
      <c r="F240" s="21" t="s">
        <v>5</v>
      </c>
      <c r="G240" s="21" t="s">
        <v>6</v>
      </c>
      <c r="H240" s="21" t="s">
        <v>35</v>
      </c>
      <c r="I240" s="21" t="s">
        <v>36</v>
      </c>
      <c r="J240" s="21" t="s">
        <v>9</v>
      </c>
      <c r="K240" s="21" t="s">
        <v>203</v>
      </c>
      <c r="L240" s="21" t="s">
        <v>208</v>
      </c>
      <c r="M240" s="21" t="s">
        <v>15</v>
      </c>
      <c r="N240" s="54">
        <v>2640</v>
      </c>
      <c r="O240" s="54">
        <v>100</v>
      </c>
      <c r="P240" s="54">
        <v>0</v>
      </c>
      <c r="Q240" s="54">
        <v>2740</v>
      </c>
      <c r="R240" s="54">
        <v>0</v>
      </c>
      <c r="S240" s="54">
        <v>1596</v>
      </c>
      <c r="T240" s="54">
        <v>1596</v>
      </c>
      <c r="U240" s="54">
        <v>1144</v>
      </c>
      <c r="V240" s="54">
        <v>1144</v>
      </c>
      <c r="W240" s="54">
        <v>1144</v>
      </c>
    </row>
    <row r="241" spans="1:23" outlineLevel="2" x14ac:dyDescent="0.2">
      <c r="A241" s="21" t="s">
        <v>0</v>
      </c>
      <c r="B241" s="21" t="s">
        <v>39</v>
      </c>
      <c r="C241" s="21" t="s">
        <v>58</v>
      </c>
      <c r="D241" s="21" t="s">
        <v>135</v>
      </c>
      <c r="E241" s="21" t="s">
        <v>136</v>
      </c>
      <c r="F241" s="21" t="s">
        <v>5</v>
      </c>
      <c r="G241" s="21" t="s">
        <v>6</v>
      </c>
      <c r="H241" s="21" t="s">
        <v>35</v>
      </c>
      <c r="I241" s="21" t="s">
        <v>36</v>
      </c>
      <c r="J241" s="21" t="s">
        <v>9</v>
      </c>
      <c r="K241" s="21" t="s">
        <v>203</v>
      </c>
      <c r="L241" s="21" t="s">
        <v>210</v>
      </c>
      <c r="M241" s="21" t="s">
        <v>15</v>
      </c>
      <c r="N241" s="54">
        <v>1584</v>
      </c>
      <c r="O241" s="54">
        <v>0</v>
      </c>
      <c r="P241" s="54">
        <v>0</v>
      </c>
      <c r="Q241" s="54">
        <v>1584</v>
      </c>
      <c r="R241" s="54">
        <v>0</v>
      </c>
      <c r="S241" s="54">
        <v>247.5</v>
      </c>
      <c r="T241" s="54">
        <v>247.5</v>
      </c>
      <c r="U241" s="54">
        <v>1336.5</v>
      </c>
      <c r="V241" s="54">
        <v>1336.5</v>
      </c>
      <c r="W241" s="54">
        <v>1336.5</v>
      </c>
    </row>
    <row r="242" spans="1:23" outlineLevel="2" x14ac:dyDescent="0.2">
      <c r="A242" s="21" t="s">
        <v>0</v>
      </c>
      <c r="B242" s="21" t="s">
        <v>31</v>
      </c>
      <c r="C242" s="21" t="s">
        <v>79</v>
      </c>
      <c r="D242" s="21" t="s">
        <v>115</v>
      </c>
      <c r="E242" s="21" t="s">
        <v>116</v>
      </c>
      <c r="F242" s="21" t="s">
        <v>5</v>
      </c>
      <c r="G242" s="21" t="s">
        <v>6</v>
      </c>
      <c r="H242" s="21" t="s">
        <v>35</v>
      </c>
      <c r="I242" s="21" t="s">
        <v>36</v>
      </c>
      <c r="J242" s="21" t="s">
        <v>9</v>
      </c>
      <c r="K242" s="21" t="s">
        <v>203</v>
      </c>
      <c r="L242" s="21" t="s">
        <v>204</v>
      </c>
      <c r="M242" s="21" t="s">
        <v>15</v>
      </c>
      <c r="N242" s="54">
        <v>264</v>
      </c>
      <c r="O242" s="54">
        <v>0</v>
      </c>
      <c r="P242" s="54">
        <v>0</v>
      </c>
      <c r="Q242" s="54">
        <v>264</v>
      </c>
      <c r="R242" s="54">
        <v>0</v>
      </c>
      <c r="S242" s="54">
        <v>104</v>
      </c>
      <c r="T242" s="54">
        <v>104</v>
      </c>
      <c r="U242" s="54">
        <v>160</v>
      </c>
      <c r="V242" s="54">
        <v>160</v>
      </c>
      <c r="W242" s="54">
        <v>160</v>
      </c>
    </row>
    <row r="243" spans="1:23" outlineLevel="2" x14ac:dyDescent="0.2">
      <c r="A243" s="21" t="s">
        <v>0</v>
      </c>
      <c r="B243" s="21" t="s">
        <v>39</v>
      </c>
      <c r="C243" s="21" t="s">
        <v>70</v>
      </c>
      <c r="D243" s="21" t="s">
        <v>71</v>
      </c>
      <c r="E243" s="21" t="s">
        <v>72</v>
      </c>
      <c r="F243" s="21" t="s">
        <v>5</v>
      </c>
      <c r="G243" s="21" t="s">
        <v>6</v>
      </c>
      <c r="H243" s="21" t="s">
        <v>35</v>
      </c>
      <c r="I243" s="21" t="s">
        <v>36</v>
      </c>
      <c r="J243" s="21" t="s">
        <v>9</v>
      </c>
      <c r="K243" s="21" t="s">
        <v>203</v>
      </c>
      <c r="L243" s="21" t="s">
        <v>207</v>
      </c>
      <c r="M243" s="21" t="s">
        <v>15</v>
      </c>
      <c r="N243" s="54">
        <v>2244</v>
      </c>
      <c r="O243" s="54">
        <v>0</v>
      </c>
      <c r="P243" s="54">
        <v>0</v>
      </c>
      <c r="Q243" s="54">
        <v>2244</v>
      </c>
      <c r="R243" s="54">
        <v>0</v>
      </c>
      <c r="S243" s="54">
        <v>824.5</v>
      </c>
      <c r="T243" s="54">
        <v>824.5</v>
      </c>
      <c r="U243" s="54">
        <v>1419.5</v>
      </c>
      <c r="V243" s="54">
        <v>1419.5</v>
      </c>
      <c r="W243" s="54">
        <v>1419.5</v>
      </c>
    </row>
    <row r="244" spans="1:23" outlineLevel="2" x14ac:dyDescent="0.2">
      <c r="A244" s="21" t="s">
        <v>0</v>
      </c>
      <c r="B244" s="21" t="s">
        <v>39</v>
      </c>
      <c r="C244" s="21" t="s">
        <v>70</v>
      </c>
      <c r="D244" s="21" t="s">
        <v>89</v>
      </c>
      <c r="E244" s="21" t="s">
        <v>90</v>
      </c>
      <c r="F244" s="21" t="s">
        <v>5</v>
      </c>
      <c r="G244" s="21" t="s">
        <v>6</v>
      </c>
      <c r="H244" s="21" t="s">
        <v>35</v>
      </c>
      <c r="I244" s="21" t="s">
        <v>36</v>
      </c>
      <c r="J244" s="21" t="s">
        <v>9</v>
      </c>
      <c r="K244" s="21" t="s">
        <v>203</v>
      </c>
      <c r="L244" s="21" t="s">
        <v>207</v>
      </c>
      <c r="M244" s="21" t="s">
        <v>15</v>
      </c>
      <c r="N244" s="54">
        <v>660</v>
      </c>
      <c r="O244" s="54">
        <v>0</v>
      </c>
      <c r="P244" s="54">
        <v>0</v>
      </c>
      <c r="Q244" s="54">
        <v>660</v>
      </c>
      <c r="R244" s="54">
        <v>0</v>
      </c>
      <c r="S244" s="54">
        <v>508</v>
      </c>
      <c r="T244" s="54">
        <v>508</v>
      </c>
      <c r="U244" s="54">
        <v>152</v>
      </c>
      <c r="V244" s="54">
        <v>152</v>
      </c>
      <c r="W244" s="54">
        <v>152</v>
      </c>
    </row>
    <row r="245" spans="1:23" outlineLevel="2" x14ac:dyDescent="0.2">
      <c r="A245" s="21" t="s">
        <v>0</v>
      </c>
      <c r="B245" s="21" t="s">
        <v>39</v>
      </c>
      <c r="C245" s="21" t="s">
        <v>58</v>
      </c>
      <c r="D245" s="21" t="s">
        <v>147</v>
      </c>
      <c r="E245" s="21" t="s">
        <v>148</v>
      </c>
      <c r="F245" s="21" t="s">
        <v>5</v>
      </c>
      <c r="G245" s="21" t="s">
        <v>6</v>
      </c>
      <c r="H245" s="21" t="s">
        <v>35</v>
      </c>
      <c r="I245" s="21" t="s">
        <v>36</v>
      </c>
      <c r="J245" s="21" t="s">
        <v>9</v>
      </c>
      <c r="K245" s="21" t="s">
        <v>203</v>
      </c>
      <c r="L245" s="21" t="s">
        <v>210</v>
      </c>
      <c r="M245" s="21" t="s">
        <v>15</v>
      </c>
      <c r="N245" s="54">
        <v>2904</v>
      </c>
      <c r="O245" s="54">
        <v>303</v>
      </c>
      <c r="P245" s="54">
        <v>0</v>
      </c>
      <c r="Q245" s="54">
        <v>3207</v>
      </c>
      <c r="R245" s="54">
        <v>0</v>
      </c>
      <c r="S245" s="54">
        <v>968</v>
      </c>
      <c r="T245" s="54">
        <v>968</v>
      </c>
      <c r="U245" s="54">
        <v>2239</v>
      </c>
      <c r="V245" s="54">
        <v>2239</v>
      </c>
      <c r="W245" s="54">
        <v>2239</v>
      </c>
    </row>
    <row r="246" spans="1:23" outlineLevel="2" x14ac:dyDescent="0.2">
      <c r="A246" s="21" t="s">
        <v>0</v>
      </c>
      <c r="B246" s="21" t="s">
        <v>31</v>
      </c>
      <c r="C246" s="21" t="s">
        <v>107</v>
      </c>
      <c r="D246" s="21" t="s">
        <v>108</v>
      </c>
      <c r="E246" s="21" t="s">
        <v>109</v>
      </c>
      <c r="F246" s="21" t="s">
        <v>5</v>
      </c>
      <c r="G246" s="21" t="s">
        <v>6</v>
      </c>
      <c r="H246" s="21" t="s">
        <v>35</v>
      </c>
      <c r="I246" s="21" t="s">
        <v>36</v>
      </c>
      <c r="J246" s="21" t="s">
        <v>9</v>
      </c>
      <c r="K246" s="21" t="s">
        <v>203</v>
      </c>
      <c r="L246" s="21" t="s">
        <v>218</v>
      </c>
      <c r="M246" s="21" t="s">
        <v>15</v>
      </c>
      <c r="N246" s="54">
        <v>1584</v>
      </c>
      <c r="O246" s="54">
        <v>0</v>
      </c>
      <c r="P246" s="54">
        <v>0</v>
      </c>
      <c r="Q246" s="54">
        <v>1584</v>
      </c>
      <c r="R246" s="54">
        <v>0</v>
      </c>
      <c r="S246" s="54">
        <v>445.5</v>
      </c>
      <c r="T246" s="54">
        <v>445.5</v>
      </c>
      <c r="U246" s="54">
        <v>1138.5</v>
      </c>
      <c r="V246" s="54">
        <v>1138.5</v>
      </c>
      <c r="W246" s="54">
        <v>1138.5</v>
      </c>
    </row>
    <row r="247" spans="1:23" outlineLevel="2" x14ac:dyDescent="0.2">
      <c r="A247" s="21" t="s">
        <v>0</v>
      </c>
      <c r="B247" s="21" t="s">
        <v>31</v>
      </c>
      <c r="C247" s="21" t="s">
        <v>79</v>
      </c>
      <c r="D247" s="21" t="s">
        <v>113</v>
      </c>
      <c r="E247" s="21" t="s">
        <v>114</v>
      </c>
      <c r="F247" s="21" t="s">
        <v>5</v>
      </c>
      <c r="G247" s="21" t="s">
        <v>6</v>
      </c>
      <c r="H247" s="21" t="s">
        <v>35</v>
      </c>
      <c r="I247" s="21" t="s">
        <v>36</v>
      </c>
      <c r="J247" s="21" t="s">
        <v>9</v>
      </c>
      <c r="K247" s="21" t="s">
        <v>203</v>
      </c>
      <c r="L247" s="21" t="s">
        <v>204</v>
      </c>
      <c r="M247" s="21" t="s">
        <v>15</v>
      </c>
      <c r="N247" s="54">
        <v>528</v>
      </c>
      <c r="O247" s="54">
        <v>0</v>
      </c>
      <c r="P247" s="54">
        <v>0</v>
      </c>
      <c r="Q247" s="54">
        <v>528</v>
      </c>
      <c r="R247" s="54">
        <v>0</v>
      </c>
      <c r="S247" s="54">
        <v>262</v>
      </c>
      <c r="T247" s="54">
        <v>262</v>
      </c>
      <c r="U247" s="54">
        <v>266</v>
      </c>
      <c r="V247" s="54">
        <v>266</v>
      </c>
      <c r="W247" s="54">
        <v>266</v>
      </c>
    </row>
    <row r="248" spans="1:23" outlineLevel="2" x14ac:dyDescent="0.2">
      <c r="A248" s="21" t="s">
        <v>0</v>
      </c>
      <c r="B248" s="21" t="s">
        <v>31</v>
      </c>
      <c r="C248" s="21" t="s">
        <v>32</v>
      </c>
      <c r="D248" s="21" t="s">
        <v>123</v>
      </c>
      <c r="E248" s="21" t="s">
        <v>124</v>
      </c>
      <c r="F248" s="21" t="s">
        <v>5</v>
      </c>
      <c r="G248" s="21" t="s">
        <v>6</v>
      </c>
      <c r="H248" s="21" t="s">
        <v>35</v>
      </c>
      <c r="I248" s="21" t="s">
        <v>36</v>
      </c>
      <c r="J248" s="21" t="s">
        <v>9</v>
      </c>
      <c r="K248" s="21" t="s">
        <v>219</v>
      </c>
      <c r="L248" s="21" t="s">
        <v>225</v>
      </c>
      <c r="M248" s="21" t="s">
        <v>15</v>
      </c>
      <c r="N248" s="54">
        <v>12672</v>
      </c>
      <c r="O248" s="54">
        <v>800</v>
      </c>
      <c r="P248" s="54">
        <v>0</v>
      </c>
      <c r="Q248" s="54">
        <v>13472</v>
      </c>
      <c r="R248" s="54">
        <v>0</v>
      </c>
      <c r="S248" s="54">
        <v>7128</v>
      </c>
      <c r="T248" s="54">
        <v>7128</v>
      </c>
      <c r="U248" s="54">
        <v>6344</v>
      </c>
      <c r="V248" s="54">
        <v>6344</v>
      </c>
      <c r="W248" s="54">
        <v>6344</v>
      </c>
    </row>
    <row r="249" spans="1:23" outlineLevel="2" x14ac:dyDescent="0.2">
      <c r="A249" s="21" t="s">
        <v>0</v>
      </c>
      <c r="B249" s="21" t="s">
        <v>31</v>
      </c>
      <c r="C249" s="21" t="s">
        <v>79</v>
      </c>
      <c r="D249" s="21" t="s">
        <v>117</v>
      </c>
      <c r="E249" s="21" t="s">
        <v>118</v>
      </c>
      <c r="F249" s="21" t="s">
        <v>5</v>
      </c>
      <c r="G249" s="21" t="s">
        <v>6</v>
      </c>
      <c r="H249" s="21" t="s">
        <v>35</v>
      </c>
      <c r="I249" s="21" t="s">
        <v>36</v>
      </c>
      <c r="J249" s="21" t="s">
        <v>9</v>
      </c>
      <c r="K249" s="21" t="s">
        <v>219</v>
      </c>
      <c r="L249" s="21" t="s">
        <v>221</v>
      </c>
      <c r="M249" s="21" t="s">
        <v>15</v>
      </c>
      <c r="N249" s="54">
        <v>14784</v>
      </c>
      <c r="O249" s="54">
        <v>0</v>
      </c>
      <c r="P249" s="54">
        <v>0</v>
      </c>
      <c r="Q249" s="54">
        <v>14784</v>
      </c>
      <c r="R249" s="54">
        <v>0</v>
      </c>
      <c r="S249" s="54">
        <v>6148</v>
      </c>
      <c r="T249" s="54">
        <v>6148</v>
      </c>
      <c r="U249" s="54">
        <v>8636</v>
      </c>
      <c r="V249" s="54">
        <v>8636</v>
      </c>
      <c r="W249" s="54">
        <v>8636</v>
      </c>
    </row>
    <row r="250" spans="1:23" outlineLevel="2" x14ac:dyDescent="0.2">
      <c r="A250" s="21" t="s">
        <v>0</v>
      </c>
      <c r="B250" s="21" t="s">
        <v>39</v>
      </c>
      <c r="C250" s="21" t="s">
        <v>58</v>
      </c>
      <c r="D250" s="21" t="s">
        <v>59</v>
      </c>
      <c r="E250" s="21" t="s">
        <v>60</v>
      </c>
      <c r="F250" s="21" t="s">
        <v>5</v>
      </c>
      <c r="G250" s="21" t="s">
        <v>6</v>
      </c>
      <c r="H250" s="21" t="s">
        <v>35</v>
      </c>
      <c r="I250" s="21" t="s">
        <v>36</v>
      </c>
      <c r="J250" s="21" t="s">
        <v>9</v>
      </c>
      <c r="K250" s="21" t="s">
        <v>219</v>
      </c>
      <c r="L250" s="21" t="s">
        <v>223</v>
      </c>
      <c r="M250" s="21" t="s">
        <v>15</v>
      </c>
      <c r="N250" s="54">
        <v>8448</v>
      </c>
      <c r="O250" s="54">
        <v>0</v>
      </c>
      <c r="P250" s="54">
        <v>0</v>
      </c>
      <c r="Q250" s="54">
        <v>8448</v>
      </c>
      <c r="R250" s="54">
        <v>0</v>
      </c>
      <c r="S250" s="54">
        <v>4332</v>
      </c>
      <c r="T250" s="54">
        <v>4332</v>
      </c>
      <c r="U250" s="54">
        <v>4116</v>
      </c>
      <c r="V250" s="54">
        <v>4116</v>
      </c>
      <c r="W250" s="54">
        <v>4116</v>
      </c>
    </row>
    <row r="251" spans="1:23" outlineLevel="2" x14ac:dyDescent="0.2">
      <c r="A251" s="21" t="s">
        <v>0</v>
      </c>
      <c r="B251" s="21" t="s">
        <v>39</v>
      </c>
      <c r="C251" s="21" t="s">
        <v>40</v>
      </c>
      <c r="D251" s="21" t="s">
        <v>41</v>
      </c>
      <c r="E251" s="21" t="s">
        <v>42</v>
      </c>
      <c r="F251" s="21" t="s">
        <v>5</v>
      </c>
      <c r="G251" s="21" t="s">
        <v>6</v>
      </c>
      <c r="H251" s="21" t="s">
        <v>35</v>
      </c>
      <c r="I251" s="21" t="s">
        <v>36</v>
      </c>
      <c r="J251" s="21" t="s">
        <v>9</v>
      </c>
      <c r="K251" s="21" t="s">
        <v>219</v>
      </c>
      <c r="L251" s="21" t="s">
        <v>227</v>
      </c>
      <c r="M251" s="21" t="s">
        <v>15</v>
      </c>
      <c r="N251" s="54">
        <v>7392</v>
      </c>
      <c r="O251" s="54">
        <v>0</v>
      </c>
      <c r="P251" s="54">
        <v>0</v>
      </c>
      <c r="Q251" s="54">
        <v>7392</v>
      </c>
      <c r="R251" s="54">
        <v>0</v>
      </c>
      <c r="S251" s="54">
        <v>3556</v>
      </c>
      <c r="T251" s="54">
        <v>3556</v>
      </c>
      <c r="U251" s="54">
        <v>3836</v>
      </c>
      <c r="V251" s="54">
        <v>3836</v>
      </c>
      <c r="W251" s="54">
        <v>3836</v>
      </c>
    </row>
    <row r="252" spans="1:23" outlineLevel="2" x14ac:dyDescent="0.2">
      <c r="A252" s="21" t="s">
        <v>0</v>
      </c>
      <c r="B252" s="21" t="s">
        <v>39</v>
      </c>
      <c r="C252" s="21" t="s">
        <v>58</v>
      </c>
      <c r="D252" s="21" t="s">
        <v>149</v>
      </c>
      <c r="E252" s="21" t="s">
        <v>150</v>
      </c>
      <c r="F252" s="21" t="s">
        <v>5</v>
      </c>
      <c r="G252" s="21" t="s">
        <v>6</v>
      </c>
      <c r="H252" s="21" t="s">
        <v>35</v>
      </c>
      <c r="I252" s="21" t="s">
        <v>36</v>
      </c>
      <c r="J252" s="21" t="s">
        <v>9</v>
      </c>
      <c r="K252" s="21" t="s">
        <v>219</v>
      </c>
      <c r="L252" s="21" t="s">
        <v>223</v>
      </c>
      <c r="M252" s="21" t="s">
        <v>15</v>
      </c>
      <c r="N252" s="54">
        <v>58080</v>
      </c>
      <c r="O252" s="54">
        <v>500</v>
      </c>
      <c r="P252" s="54">
        <v>0</v>
      </c>
      <c r="Q252" s="54">
        <v>58580</v>
      </c>
      <c r="R252" s="54">
        <v>0</v>
      </c>
      <c r="S252" s="54">
        <v>32024</v>
      </c>
      <c r="T252" s="54">
        <v>32024</v>
      </c>
      <c r="U252" s="54">
        <v>26556</v>
      </c>
      <c r="V252" s="54">
        <v>26556</v>
      </c>
      <c r="W252" s="54">
        <v>26556</v>
      </c>
    </row>
    <row r="253" spans="1:23" outlineLevel="2" x14ac:dyDescent="0.2">
      <c r="A253" s="21" t="s">
        <v>0</v>
      </c>
      <c r="B253" s="21" t="s">
        <v>31</v>
      </c>
      <c r="C253" s="21" t="s">
        <v>79</v>
      </c>
      <c r="D253" s="21" t="s">
        <v>127</v>
      </c>
      <c r="E253" s="21" t="s">
        <v>128</v>
      </c>
      <c r="F253" s="21" t="s">
        <v>5</v>
      </c>
      <c r="G253" s="21" t="s">
        <v>6</v>
      </c>
      <c r="H253" s="21" t="s">
        <v>35</v>
      </c>
      <c r="I253" s="21" t="s">
        <v>36</v>
      </c>
      <c r="J253" s="21" t="s">
        <v>9</v>
      </c>
      <c r="K253" s="21" t="s">
        <v>219</v>
      </c>
      <c r="L253" s="21" t="s">
        <v>221</v>
      </c>
      <c r="M253" s="21" t="s">
        <v>15</v>
      </c>
      <c r="N253" s="54">
        <v>4224</v>
      </c>
      <c r="O253" s="54">
        <v>0</v>
      </c>
      <c r="P253" s="54">
        <v>0</v>
      </c>
      <c r="Q253" s="54">
        <v>4224</v>
      </c>
      <c r="R253" s="54">
        <v>0</v>
      </c>
      <c r="S253" s="54">
        <v>1664</v>
      </c>
      <c r="T253" s="54">
        <v>1664</v>
      </c>
      <c r="U253" s="54">
        <v>2560</v>
      </c>
      <c r="V253" s="54">
        <v>2560</v>
      </c>
      <c r="W253" s="54">
        <v>2560</v>
      </c>
    </row>
    <row r="254" spans="1:23" outlineLevel="2" x14ac:dyDescent="0.2">
      <c r="A254" s="21" t="s">
        <v>0</v>
      </c>
      <c r="B254" s="21" t="s">
        <v>39</v>
      </c>
      <c r="C254" s="21" t="s">
        <v>70</v>
      </c>
      <c r="D254" s="21" t="s">
        <v>89</v>
      </c>
      <c r="E254" s="21" t="s">
        <v>90</v>
      </c>
      <c r="F254" s="21" t="s">
        <v>5</v>
      </c>
      <c r="G254" s="21" t="s">
        <v>6</v>
      </c>
      <c r="H254" s="21" t="s">
        <v>35</v>
      </c>
      <c r="I254" s="21" t="s">
        <v>36</v>
      </c>
      <c r="J254" s="21" t="s">
        <v>9</v>
      </c>
      <c r="K254" s="21" t="s">
        <v>219</v>
      </c>
      <c r="L254" s="21" t="s">
        <v>222</v>
      </c>
      <c r="M254" s="21" t="s">
        <v>15</v>
      </c>
      <c r="N254" s="54">
        <v>5280</v>
      </c>
      <c r="O254" s="54">
        <v>0</v>
      </c>
      <c r="P254" s="54">
        <v>0</v>
      </c>
      <c r="Q254" s="54">
        <v>5280</v>
      </c>
      <c r="R254" s="54">
        <v>0</v>
      </c>
      <c r="S254" s="54">
        <v>4064</v>
      </c>
      <c r="T254" s="54">
        <v>4064</v>
      </c>
      <c r="U254" s="54">
        <v>1216</v>
      </c>
      <c r="V254" s="54">
        <v>1216</v>
      </c>
      <c r="W254" s="54">
        <v>1216</v>
      </c>
    </row>
    <row r="255" spans="1:23" outlineLevel="2" x14ac:dyDescent="0.2">
      <c r="A255" s="21" t="s">
        <v>0</v>
      </c>
      <c r="B255" s="21" t="s">
        <v>53</v>
      </c>
      <c r="C255" s="21" t="s">
        <v>85</v>
      </c>
      <c r="D255" s="21" t="s">
        <v>86</v>
      </c>
      <c r="E255" s="21" t="s">
        <v>87</v>
      </c>
      <c r="F255" s="21" t="s">
        <v>5</v>
      </c>
      <c r="G255" s="21" t="s">
        <v>6</v>
      </c>
      <c r="H255" s="21" t="s">
        <v>35</v>
      </c>
      <c r="I255" s="21" t="s">
        <v>36</v>
      </c>
      <c r="J255" s="21" t="s">
        <v>9</v>
      </c>
      <c r="K255" s="21" t="s">
        <v>219</v>
      </c>
      <c r="L255" s="21" t="s">
        <v>220</v>
      </c>
      <c r="M255" s="21" t="s">
        <v>15</v>
      </c>
      <c r="N255" s="54">
        <v>2112</v>
      </c>
      <c r="O255" s="54">
        <v>-2112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</row>
    <row r="256" spans="1:23" outlineLevel="2" x14ac:dyDescent="0.2">
      <c r="A256" s="21" t="s">
        <v>0</v>
      </c>
      <c r="B256" s="21" t="s">
        <v>31</v>
      </c>
      <c r="C256" s="21" t="s">
        <v>79</v>
      </c>
      <c r="D256" s="21" t="s">
        <v>111</v>
      </c>
      <c r="E256" s="21" t="s">
        <v>112</v>
      </c>
      <c r="F256" s="21" t="s">
        <v>5</v>
      </c>
      <c r="G256" s="21" t="s">
        <v>6</v>
      </c>
      <c r="H256" s="21" t="s">
        <v>35</v>
      </c>
      <c r="I256" s="21" t="s">
        <v>36</v>
      </c>
      <c r="J256" s="21" t="s">
        <v>9</v>
      </c>
      <c r="K256" s="21" t="s">
        <v>219</v>
      </c>
      <c r="L256" s="21" t="s">
        <v>221</v>
      </c>
      <c r="M256" s="21" t="s">
        <v>15</v>
      </c>
      <c r="N256" s="54">
        <v>1056</v>
      </c>
      <c r="O256" s="54">
        <v>0</v>
      </c>
      <c r="P256" s="54">
        <v>0</v>
      </c>
      <c r="Q256" s="54">
        <v>1056</v>
      </c>
      <c r="R256" s="54">
        <v>0</v>
      </c>
      <c r="S256" s="54">
        <v>416</v>
      </c>
      <c r="T256" s="54">
        <v>416</v>
      </c>
      <c r="U256" s="54">
        <v>640</v>
      </c>
      <c r="V256" s="54">
        <v>640</v>
      </c>
      <c r="W256" s="54">
        <v>640</v>
      </c>
    </row>
    <row r="257" spans="1:23" outlineLevel="2" x14ac:dyDescent="0.2">
      <c r="A257" s="21" t="s">
        <v>0</v>
      </c>
      <c r="B257" s="21" t="s">
        <v>39</v>
      </c>
      <c r="C257" s="21" t="s">
        <v>40</v>
      </c>
      <c r="D257" s="21" t="s">
        <v>77</v>
      </c>
      <c r="E257" s="21" t="s">
        <v>78</v>
      </c>
      <c r="F257" s="21" t="s">
        <v>5</v>
      </c>
      <c r="G257" s="21" t="s">
        <v>6</v>
      </c>
      <c r="H257" s="21" t="s">
        <v>35</v>
      </c>
      <c r="I257" s="21" t="s">
        <v>36</v>
      </c>
      <c r="J257" s="21" t="s">
        <v>9</v>
      </c>
      <c r="K257" s="21" t="s">
        <v>219</v>
      </c>
      <c r="L257" s="21" t="s">
        <v>227</v>
      </c>
      <c r="M257" s="21" t="s">
        <v>15</v>
      </c>
      <c r="N257" s="54">
        <v>2112</v>
      </c>
      <c r="O257" s="54">
        <v>0</v>
      </c>
      <c r="P257" s="54">
        <v>0</v>
      </c>
      <c r="Q257" s="54">
        <v>2112</v>
      </c>
      <c r="R257" s="54">
        <v>0</v>
      </c>
      <c r="S257" s="54">
        <v>1660</v>
      </c>
      <c r="T257" s="54">
        <v>1660</v>
      </c>
      <c r="U257" s="54">
        <v>452</v>
      </c>
      <c r="V257" s="54">
        <v>452</v>
      </c>
      <c r="W257" s="54">
        <v>452</v>
      </c>
    </row>
    <row r="258" spans="1:23" outlineLevel="2" x14ac:dyDescent="0.2">
      <c r="A258" s="21" t="s">
        <v>0</v>
      </c>
      <c r="B258" s="21" t="s">
        <v>39</v>
      </c>
      <c r="C258" s="21" t="s">
        <v>70</v>
      </c>
      <c r="D258" s="21" t="s">
        <v>71</v>
      </c>
      <c r="E258" s="21" t="s">
        <v>72</v>
      </c>
      <c r="F258" s="21" t="s">
        <v>5</v>
      </c>
      <c r="G258" s="21" t="s">
        <v>6</v>
      </c>
      <c r="H258" s="21" t="s">
        <v>35</v>
      </c>
      <c r="I258" s="21" t="s">
        <v>36</v>
      </c>
      <c r="J258" s="21" t="s">
        <v>9</v>
      </c>
      <c r="K258" s="21" t="s">
        <v>219</v>
      </c>
      <c r="L258" s="21" t="s">
        <v>222</v>
      </c>
      <c r="M258" s="21" t="s">
        <v>15</v>
      </c>
      <c r="N258" s="54">
        <v>17952</v>
      </c>
      <c r="O258" s="54">
        <v>0</v>
      </c>
      <c r="P258" s="54">
        <v>0</v>
      </c>
      <c r="Q258" s="54">
        <v>17952</v>
      </c>
      <c r="R258" s="54">
        <v>0</v>
      </c>
      <c r="S258" s="54">
        <v>11236</v>
      </c>
      <c r="T258" s="54">
        <v>11236</v>
      </c>
      <c r="U258" s="54">
        <v>6716</v>
      </c>
      <c r="V258" s="54">
        <v>6716</v>
      </c>
      <c r="W258" s="54">
        <v>6716</v>
      </c>
    </row>
    <row r="259" spans="1:23" outlineLevel="2" x14ac:dyDescent="0.2">
      <c r="A259" s="21" t="s">
        <v>0</v>
      </c>
      <c r="B259" s="21" t="s">
        <v>39</v>
      </c>
      <c r="C259" s="21" t="s">
        <v>58</v>
      </c>
      <c r="D259" s="21" t="s">
        <v>143</v>
      </c>
      <c r="E259" s="21" t="s">
        <v>144</v>
      </c>
      <c r="F259" s="21" t="s">
        <v>5</v>
      </c>
      <c r="G259" s="21" t="s">
        <v>6</v>
      </c>
      <c r="H259" s="21" t="s">
        <v>35</v>
      </c>
      <c r="I259" s="21" t="s">
        <v>36</v>
      </c>
      <c r="J259" s="21" t="s">
        <v>9</v>
      </c>
      <c r="K259" s="21" t="s">
        <v>219</v>
      </c>
      <c r="L259" s="21" t="s">
        <v>223</v>
      </c>
      <c r="M259" s="21" t="s">
        <v>15</v>
      </c>
      <c r="N259" s="54">
        <v>11616</v>
      </c>
      <c r="O259" s="54">
        <v>0</v>
      </c>
      <c r="P259" s="54">
        <v>0</v>
      </c>
      <c r="Q259" s="54">
        <v>11616</v>
      </c>
      <c r="R259" s="54">
        <v>0</v>
      </c>
      <c r="S259" s="54">
        <v>4916</v>
      </c>
      <c r="T259" s="54">
        <v>4916</v>
      </c>
      <c r="U259" s="54">
        <v>6700</v>
      </c>
      <c r="V259" s="54">
        <v>6700</v>
      </c>
      <c r="W259" s="54">
        <v>6700</v>
      </c>
    </row>
    <row r="260" spans="1:23" outlineLevel="2" x14ac:dyDescent="0.2">
      <c r="A260" s="21" t="s">
        <v>0</v>
      </c>
      <c r="B260" s="21" t="s">
        <v>31</v>
      </c>
      <c r="C260" s="21" t="s">
        <v>79</v>
      </c>
      <c r="D260" s="21" t="s">
        <v>115</v>
      </c>
      <c r="E260" s="21" t="s">
        <v>116</v>
      </c>
      <c r="F260" s="21" t="s">
        <v>5</v>
      </c>
      <c r="G260" s="21" t="s">
        <v>6</v>
      </c>
      <c r="H260" s="21" t="s">
        <v>35</v>
      </c>
      <c r="I260" s="21" t="s">
        <v>36</v>
      </c>
      <c r="J260" s="21" t="s">
        <v>9</v>
      </c>
      <c r="K260" s="21" t="s">
        <v>219</v>
      </c>
      <c r="L260" s="21" t="s">
        <v>221</v>
      </c>
      <c r="M260" s="21" t="s">
        <v>15</v>
      </c>
      <c r="N260" s="54">
        <v>2112</v>
      </c>
      <c r="O260" s="54">
        <v>0</v>
      </c>
      <c r="P260" s="54">
        <v>0</v>
      </c>
      <c r="Q260" s="54">
        <v>2112</v>
      </c>
      <c r="R260" s="54">
        <v>0</v>
      </c>
      <c r="S260" s="54">
        <v>832</v>
      </c>
      <c r="T260" s="54">
        <v>832</v>
      </c>
      <c r="U260" s="54">
        <v>1280</v>
      </c>
      <c r="V260" s="54">
        <v>1280</v>
      </c>
      <c r="W260" s="54">
        <v>1280</v>
      </c>
    </row>
    <row r="261" spans="1:23" outlineLevel="2" x14ac:dyDescent="0.2">
      <c r="A261" s="21" t="s">
        <v>0</v>
      </c>
      <c r="B261" s="21" t="s">
        <v>39</v>
      </c>
      <c r="C261" s="21" t="s">
        <v>66</v>
      </c>
      <c r="D261" s="21" t="s">
        <v>121</v>
      </c>
      <c r="E261" s="21" t="s">
        <v>122</v>
      </c>
      <c r="F261" s="21" t="s">
        <v>5</v>
      </c>
      <c r="G261" s="21" t="s">
        <v>6</v>
      </c>
      <c r="H261" s="21" t="s">
        <v>35</v>
      </c>
      <c r="I261" s="21" t="s">
        <v>36</v>
      </c>
      <c r="J261" s="21" t="s">
        <v>9</v>
      </c>
      <c r="K261" s="21" t="s">
        <v>219</v>
      </c>
      <c r="L261" s="21" t="s">
        <v>233</v>
      </c>
      <c r="M261" s="21" t="s">
        <v>15</v>
      </c>
      <c r="N261" s="54">
        <v>1056</v>
      </c>
      <c r="O261" s="54">
        <v>1286</v>
      </c>
      <c r="P261" s="54">
        <v>0</v>
      </c>
      <c r="Q261" s="54">
        <v>2342</v>
      </c>
      <c r="R261" s="54">
        <v>0</v>
      </c>
      <c r="S261" s="54">
        <v>840</v>
      </c>
      <c r="T261" s="54">
        <v>840</v>
      </c>
      <c r="U261" s="54">
        <v>1502</v>
      </c>
      <c r="V261" s="54">
        <v>1502</v>
      </c>
      <c r="W261" s="54">
        <v>1502</v>
      </c>
    </row>
    <row r="262" spans="1:23" outlineLevel="2" x14ac:dyDescent="0.2">
      <c r="A262" s="21" t="s">
        <v>0</v>
      </c>
      <c r="B262" s="21" t="s">
        <v>1</v>
      </c>
      <c r="C262" s="21" t="s">
        <v>91</v>
      </c>
      <c r="D262" s="21" t="s">
        <v>92</v>
      </c>
      <c r="E262" s="21" t="s">
        <v>93</v>
      </c>
      <c r="F262" s="21" t="s">
        <v>5</v>
      </c>
      <c r="G262" s="21" t="s">
        <v>6</v>
      </c>
      <c r="H262" s="21" t="s">
        <v>35</v>
      </c>
      <c r="I262" s="21" t="s">
        <v>36</v>
      </c>
      <c r="J262" s="21" t="s">
        <v>9</v>
      </c>
      <c r="K262" s="21" t="s">
        <v>219</v>
      </c>
      <c r="L262" s="21" t="s">
        <v>229</v>
      </c>
      <c r="M262" s="21" t="s">
        <v>15</v>
      </c>
      <c r="N262" s="54">
        <v>5280</v>
      </c>
      <c r="O262" s="54">
        <v>0</v>
      </c>
      <c r="P262" s="54">
        <v>0</v>
      </c>
      <c r="Q262" s="54">
        <v>5280</v>
      </c>
      <c r="R262" s="54">
        <v>0</v>
      </c>
      <c r="S262" s="54">
        <v>3968</v>
      </c>
      <c r="T262" s="54">
        <v>3968</v>
      </c>
      <c r="U262" s="54">
        <v>1312</v>
      </c>
      <c r="V262" s="54">
        <v>1312</v>
      </c>
      <c r="W262" s="54">
        <v>1312</v>
      </c>
    </row>
    <row r="263" spans="1:23" outlineLevel="2" x14ac:dyDescent="0.2">
      <c r="A263" s="21" t="s">
        <v>0</v>
      </c>
      <c r="B263" s="21" t="s">
        <v>39</v>
      </c>
      <c r="C263" s="21" t="s">
        <v>58</v>
      </c>
      <c r="D263" s="21" t="s">
        <v>139</v>
      </c>
      <c r="E263" s="21" t="s">
        <v>140</v>
      </c>
      <c r="F263" s="21" t="s">
        <v>5</v>
      </c>
      <c r="G263" s="21" t="s">
        <v>6</v>
      </c>
      <c r="H263" s="21" t="s">
        <v>35</v>
      </c>
      <c r="I263" s="21" t="s">
        <v>36</v>
      </c>
      <c r="J263" s="21" t="s">
        <v>9</v>
      </c>
      <c r="K263" s="21" t="s">
        <v>219</v>
      </c>
      <c r="L263" s="21" t="s">
        <v>223</v>
      </c>
      <c r="M263" s="21" t="s">
        <v>15</v>
      </c>
      <c r="N263" s="54">
        <v>17952</v>
      </c>
      <c r="O263" s="54">
        <v>0</v>
      </c>
      <c r="P263" s="54">
        <v>0</v>
      </c>
      <c r="Q263" s="54">
        <v>17952</v>
      </c>
      <c r="R263" s="54">
        <v>0</v>
      </c>
      <c r="S263" s="54">
        <v>8624</v>
      </c>
      <c r="T263" s="54">
        <v>8624</v>
      </c>
      <c r="U263" s="54">
        <v>9328</v>
      </c>
      <c r="V263" s="54">
        <v>9328</v>
      </c>
      <c r="W263" s="54">
        <v>9328</v>
      </c>
    </row>
    <row r="264" spans="1:23" outlineLevel="2" x14ac:dyDescent="0.2">
      <c r="A264" s="21" t="s">
        <v>0</v>
      </c>
      <c r="B264" s="21" t="s">
        <v>31</v>
      </c>
      <c r="C264" s="21" t="s">
        <v>79</v>
      </c>
      <c r="D264" s="21" t="s">
        <v>125</v>
      </c>
      <c r="E264" s="21" t="s">
        <v>126</v>
      </c>
      <c r="F264" s="21" t="s">
        <v>5</v>
      </c>
      <c r="G264" s="21" t="s">
        <v>6</v>
      </c>
      <c r="H264" s="21" t="s">
        <v>35</v>
      </c>
      <c r="I264" s="21" t="s">
        <v>36</v>
      </c>
      <c r="J264" s="21" t="s">
        <v>9</v>
      </c>
      <c r="K264" s="21" t="s">
        <v>219</v>
      </c>
      <c r="L264" s="21" t="s">
        <v>221</v>
      </c>
      <c r="M264" s="21" t="s">
        <v>15</v>
      </c>
      <c r="N264" s="54">
        <v>3168</v>
      </c>
      <c r="O264" s="54">
        <v>0</v>
      </c>
      <c r="P264" s="54">
        <v>0</v>
      </c>
      <c r="Q264" s="54">
        <v>3168</v>
      </c>
      <c r="R264" s="54">
        <v>0</v>
      </c>
      <c r="S264" s="54">
        <v>1584</v>
      </c>
      <c r="T264" s="54">
        <v>1584</v>
      </c>
      <c r="U264" s="54">
        <v>1584</v>
      </c>
      <c r="V264" s="54">
        <v>1584</v>
      </c>
      <c r="W264" s="54">
        <v>1584</v>
      </c>
    </row>
    <row r="265" spans="1:23" outlineLevel="2" x14ac:dyDescent="0.2">
      <c r="A265" s="21" t="s">
        <v>0</v>
      </c>
      <c r="B265" s="21" t="s">
        <v>31</v>
      </c>
      <c r="C265" s="21" t="s">
        <v>79</v>
      </c>
      <c r="D265" s="21" t="s">
        <v>113</v>
      </c>
      <c r="E265" s="21" t="s">
        <v>114</v>
      </c>
      <c r="F265" s="21" t="s">
        <v>5</v>
      </c>
      <c r="G265" s="21" t="s">
        <v>6</v>
      </c>
      <c r="H265" s="21" t="s">
        <v>35</v>
      </c>
      <c r="I265" s="21" t="s">
        <v>36</v>
      </c>
      <c r="J265" s="21" t="s">
        <v>9</v>
      </c>
      <c r="K265" s="21" t="s">
        <v>219</v>
      </c>
      <c r="L265" s="21" t="s">
        <v>221</v>
      </c>
      <c r="M265" s="21" t="s">
        <v>15</v>
      </c>
      <c r="N265" s="54">
        <v>4224</v>
      </c>
      <c r="O265" s="54">
        <v>2121</v>
      </c>
      <c r="P265" s="54">
        <v>0</v>
      </c>
      <c r="Q265" s="54">
        <v>6345</v>
      </c>
      <c r="R265" s="54">
        <v>0</v>
      </c>
      <c r="S265" s="54">
        <v>2356</v>
      </c>
      <c r="T265" s="54">
        <v>2356</v>
      </c>
      <c r="U265" s="54">
        <v>3989</v>
      </c>
      <c r="V265" s="54">
        <v>3989</v>
      </c>
      <c r="W265" s="54">
        <v>3989</v>
      </c>
    </row>
    <row r="266" spans="1:23" outlineLevel="2" x14ac:dyDescent="0.2">
      <c r="A266" s="21" t="s">
        <v>0</v>
      </c>
      <c r="B266" s="21" t="s">
        <v>31</v>
      </c>
      <c r="C266" s="21" t="s">
        <v>32</v>
      </c>
      <c r="D266" s="21" t="s">
        <v>141</v>
      </c>
      <c r="E266" s="21" t="s">
        <v>142</v>
      </c>
      <c r="F266" s="21" t="s">
        <v>5</v>
      </c>
      <c r="G266" s="21" t="s">
        <v>6</v>
      </c>
      <c r="H266" s="21" t="s">
        <v>35</v>
      </c>
      <c r="I266" s="21" t="s">
        <v>36</v>
      </c>
      <c r="J266" s="21" t="s">
        <v>9</v>
      </c>
      <c r="K266" s="21" t="s">
        <v>219</v>
      </c>
      <c r="L266" s="21" t="s">
        <v>225</v>
      </c>
      <c r="M266" s="21" t="s">
        <v>15</v>
      </c>
      <c r="N266" s="54">
        <v>6336</v>
      </c>
      <c r="O266" s="54">
        <v>0</v>
      </c>
      <c r="P266" s="54">
        <v>0</v>
      </c>
      <c r="Q266" s="54">
        <v>6336</v>
      </c>
      <c r="R266" s="54">
        <v>0</v>
      </c>
      <c r="S266" s="54">
        <v>4168</v>
      </c>
      <c r="T266" s="54">
        <v>4168</v>
      </c>
      <c r="U266" s="54">
        <v>2168</v>
      </c>
      <c r="V266" s="54">
        <v>2168</v>
      </c>
      <c r="W266" s="54">
        <v>2168</v>
      </c>
    </row>
    <row r="267" spans="1:23" outlineLevel="2" x14ac:dyDescent="0.2">
      <c r="A267" s="21" t="s">
        <v>0</v>
      </c>
      <c r="B267" s="21" t="s">
        <v>1</v>
      </c>
      <c r="C267" s="21" t="s">
        <v>44</v>
      </c>
      <c r="D267" s="21" t="s">
        <v>45</v>
      </c>
      <c r="E267" s="21" t="s">
        <v>46</v>
      </c>
      <c r="F267" s="21" t="s">
        <v>5</v>
      </c>
      <c r="G267" s="21" t="s">
        <v>6</v>
      </c>
      <c r="H267" s="21" t="s">
        <v>35</v>
      </c>
      <c r="I267" s="21" t="s">
        <v>36</v>
      </c>
      <c r="J267" s="21" t="s">
        <v>9</v>
      </c>
      <c r="K267" s="21" t="s">
        <v>219</v>
      </c>
      <c r="L267" s="21" t="s">
        <v>232</v>
      </c>
      <c r="M267" s="21" t="s">
        <v>15</v>
      </c>
      <c r="N267" s="54">
        <v>3168</v>
      </c>
      <c r="O267" s="54">
        <v>0</v>
      </c>
      <c r="P267" s="54">
        <v>0</v>
      </c>
      <c r="Q267" s="54">
        <v>3168</v>
      </c>
      <c r="R267" s="54">
        <v>0</v>
      </c>
      <c r="S267" s="54">
        <v>1196</v>
      </c>
      <c r="T267" s="54">
        <v>1196</v>
      </c>
      <c r="U267" s="54">
        <v>1972</v>
      </c>
      <c r="V267" s="54">
        <v>1972</v>
      </c>
      <c r="W267" s="54">
        <v>1972</v>
      </c>
    </row>
    <row r="268" spans="1:23" outlineLevel="2" x14ac:dyDescent="0.2">
      <c r="A268" s="21" t="s">
        <v>0</v>
      </c>
      <c r="B268" s="21" t="s">
        <v>39</v>
      </c>
      <c r="C268" s="21" t="s">
        <v>95</v>
      </c>
      <c r="D268" s="21" t="s">
        <v>96</v>
      </c>
      <c r="E268" s="21" t="s">
        <v>97</v>
      </c>
      <c r="F268" s="21" t="s">
        <v>5</v>
      </c>
      <c r="G268" s="21" t="s">
        <v>6</v>
      </c>
      <c r="H268" s="21" t="s">
        <v>35</v>
      </c>
      <c r="I268" s="21" t="s">
        <v>36</v>
      </c>
      <c r="J268" s="21" t="s">
        <v>9</v>
      </c>
      <c r="K268" s="21" t="s">
        <v>219</v>
      </c>
      <c r="L268" s="21" t="s">
        <v>231</v>
      </c>
      <c r="M268" s="21" t="s">
        <v>15</v>
      </c>
      <c r="N268" s="54">
        <v>4224</v>
      </c>
      <c r="O268" s="54">
        <v>0</v>
      </c>
      <c r="P268" s="54">
        <v>0</v>
      </c>
      <c r="Q268" s="54">
        <v>4224</v>
      </c>
      <c r="R268" s="54">
        <v>0</v>
      </c>
      <c r="S268" s="54">
        <v>1392</v>
      </c>
      <c r="T268" s="54">
        <v>1392</v>
      </c>
      <c r="U268" s="54">
        <v>2832</v>
      </c>
      <c r="V268" s="54">
        <v>2832</v>
      </c>
      <c r="W268" s="54">
        <v>2832</v>
      </c>
    </row>
    <row r="269" spans="1:23" outlineLevel="2" x14ac:dyDescent="0.2">
      <c r="A269" s="21" t="s">
        <v>0</v>
      </c>
      <c r="B269" s="21" t="s">
        <v>1</v>
      </c>
      <c r="C269" s="21" t="s">
        <v>99</v>
      </c>
      <c r="D269" s="21" t="s">
        <v>100</v>
      </c>
      <c r="E269" s="21" t="s">
        <v>101</v>
      </c>
      <c r="F269" s="21" t="s">
        <v>5</v>
      </c>
      <c r="G269" s="21" t="s">
        <v>6</v>
      </c>
      <c r="H269" s="21" t="s">
        <v>35</v>
      </c>
      <c r="I269" s="21" t="s">
        <v>36</v>
      </c>
      <c r="J269" s="21" t="s">
        <v>9</v>
      </c>
      <c r="K269" s="21" t="s">
        <v>219</v>
      </c>
      <c r="L269" s="21" t="s">
        <v>230</v>
      </c>
      <c r="M269" s="21" t="s">
        <v>15</v>
      </c>
      <c r="N269" s="54">
        <v>9504</v>
      </c>
      <c r="O269" s="54">
        <v>0</v>
      </c>
      <c r="P269" s="54">
        <v>0</v>
      </c>
      <c r="Q269" s="54">
        <v>9504</v>
      </c>
      <c r="R269" s="54">
        <v>0</v>
      </c>
      <c r="S269" s="54">
        <v>4836</v>
      </c>
      <c r="T269" s="54">
        <v>4836</v>
      </c>
      <c r="U269" s="54">
        <v>4668</v>
      </c>
      <c r="V269" s="54">
        <v>4668</v>
      </c>
      <c r="W269" s="54">
        <v>4668</v>
      </c>
    </row>
    <row r="270" spans="1:23" outlineLevel="2" x14ac:dyDescent="0.2">
      <c r="A270" s="21" t="s">
        <v>0</v>
      </c>
      <c r="B270" s="21" t="s">
        <v>39</v>
      </c>
      <c r="C270" s="21" t="s">
        <v>58</v>
      </c>
      <c r="D270" s="21" t="s">
        <v>145</v>
      </c>
      <c r="E270" s="21" t="s">
        <v>146</v>
      </c>
      <c r="F270" s="21" t="s">
        <v>5</v>
      </c>
      <c r="G270" s="21" t="s">
        <v>6</v>
      </c>
      <c r="H270" s="21" t="s">
        <v>35</v>
      </c>
      <c r="I270" s="21" t="s">
        <v>36</v>
      </c>
      <c r="J270" s="21" t="s">
        <v>9</v>
      </c>
      <c r="K270" s="21" t="s">
        <v>219</v>
      </c>
      <c r="L270" s="21" t="s">
        <v>223</v>
      </c>
      <c r="M270" s="21" t="s">
        <v>15</v>
      </c>
      <c r="N270" s="54">
        <v>11616</v>
      </c>
      <c r="O270" s="54">
        <v>0</v>
      </c>
      <c r="P270" s="54">
        <v>0</v>
      </c>
      <c r="Q270" s="54">
        <v>11616</v>
      </c>
      <c r="R270" s="54">
        <v>0</v>
      </c>
      <c r="S270" s="54">
        <v>5596</v>
      </c>
      <c r="T270" s="54">
        <v>5596</v>
      </c>
      <c r="U270" s="54">
        <v>6020</v>
      </c>
      <c r="V270" s="54">
        <v>6020</v>
      </c>
      <c r="W270" s="54">
        <v>6020</v>
      </c>
    </row>
    <row r="271" spans="1:23" outlineLevel="2" x14ac:dyDescent="0.2">
      <c r="A271" s="21" t="s">
        <v>0</v>
      </c>
      <c r="B271" s="21" t="s">
        <v>31</v>
      </c>
      <c r="C271" s="21" t="s">
        <v>32</v>
      </c>
      <c r="D271" s="21" t="s">
        <v>33</v>
      </c>
      <c r="E271" s="21" t="s">
        <v>34</v>
      </c>
      <c r="F271" s="21" t="s">
        <v>5</v>
      </c>
      <c r="G271" s="21" t="s">
        <v>6</v>
      </c>
      <c r="H271" s="21" t="s">
        <v>35</v>
      </c>
      <c r="I271" s="21" t="s">
        <v>36</v>
      </c>
      <c r="J271" s="21" t="s">
        <v>9</v>
      </c>
      <c r="K271" s="21" t="s">
        <v>219</v>
      </c>
      <c r="L271" s="21" t="s">
        <v>225</v>
      </c>
      <c r="M271" s="21" t="s">
        <v>15</v>
      </c>
      <c r="N271" s="54">
        <v>21120</v>
      </c>
      <c r="O271" s="54">
        <v>800</v>
      </c>
      <c r="P271" s="54">
        <v>0</v>
      </c>
      <c r="Q271" s="54">
        <v>21920</v>
      </c>
      <c r="R271" s="54">
        <v>0</v>
      </c>
      <c r="S271" s="54">
        <v>13600</v>
      </c>
      <c r="T271" s="54">
        <v>13600</v>
      </c>
      <c r="U271" s="54">
        <v>8320</v>
      </c>
      <c r="V271" s="54">
        <v>8320</v>
      </c>
      <c r="W271" s="54">
        <v>8320</v>
      </c>
    </row>
    <row r="272" spans="1:23" outlineLevel="2" x14ac:dyDescent="0.2">
      <c r="A272" s="21" t="s">
        <v>0</v>
      </c>
      <c r="B272" s="21" t="s">
        <v>39</v>
      </c>
      <c r="C272" s="21" t="s">
        <v>58</v>
      </c>
      <c r="D272" s="21" t="s">
        <v>135</v>
      </c>
      <c r="E272" s="21" t="s">
        <v>136</v>
      </c>
      <c r="F272" s="21" t="s">
        <v>5</v>
      </c>
      <c r="G272" s="21" t="s">
        <v>6</v>
      </c>
      <c r="H272" s="21" t="s">
        <v>35</v>
      </c>
      <c r="I272" s="21" t="s">
        <v>36</v>
      </c>
      <c r="J272" s="21" t="s">
        <v>9</v>
      </c>
      <c r="K272" s="21" t="s">
        <v>219</v>
      </c>
      <c r="L272" s="21" t="s">
        <v>223</v>
      </c>
      <c r="M272" s="21" t="s">
        <v>15</v>
      </c>
      <c r="N272" s="54">
        <v>12672</v>
      </c>
      <c r="O272" s="54">
        <v>0</v>
      </c>
      <c r="P272" s="54">
        <v>0</v>
      </c>
      <c r="Q272" s="54">
        <v>12672</v>
      </c>
      <c r="R272" s="54">
        <v>0</v>
      </c>
      <c r="S272" s="54">
        <v>5512</v>
      </c>
      <c r="T272" s="54">
        <v>5512</v>
      </c>
      <c r="U272" s="54">
        <v>7160</v>
      </c>
      <c r="V272" s="54">
        <v>7160</v>
      </c>
      <c r="W272" s="54">
        <v>7160</v>
      </c>
    </row>
    <row r="273" spans="1:23" outlineLevel="2" x14ac:dyDescent="0.2">
      <c r="A273" s="21" t="s">
        <v>0</v>
      </c>
      <c r="B273" s="21" t="s">
        <v>31</v>
      </c>
      <c r="C273" s="21" t="s">
        <v>107</v>
      </c>
      <c r="D273" s="21" t="s">
        <v>108</v>
      </c>
      <c r="E273" s="21" t="s">
        <v>109</v>
      </c>
      <c r="F273" s="21" t="s">
        <v>5</v>
      </c>
      <c r="G273" s="21" t="s">
        <v>6</v>
      </c>
      <c r="H273" s="21" t="s">
        <v>35</v>
      </c>
      <c r="I273" s="21" t="s">
        <v>36</v>
      </c>
      <c r="J273" s="21" t="s">
        <v>9</v>
      </c>
      <c r="K273" s="21" t="s">
        <v>219</v>
      </c>
      <c r="L273" s="21" t="s">
        <v>234</v>
      </c>
      <c r="M273" s="21" t="s">
        <v>15</v>
      </c>
      <c r="N273" s="54">
        <v>12672</v>
      </c>
      <c r="O273" s="54">
        <v>0</v>
      </c>
      <c r="P273" s="54">
        <v>0</v>
      </c>
      <c r="Q273" s="54">
        <v>12672</v>
      </c>
      <c r="R273" s="54">
        <v>0</v>
      </c>
      <c r="S273" s="54">
        <v>5476</v>
      </c>
      <c r="T273" s="54">
        <v>5476</v>
      </c>
      <c r="U273" s="54">
        <v>7196</v>
      </c>
      <c r="V273" s="54">
        <v>7196</v>
      </c>
      <c r="W273" s="54">
        <v>7196</v>
      </c>
    </row>
    <row r="274" spans="1:23" outlineLevel="2" x14ac:dyDescent="0.2">
      <c r="A274" s="21" t="s">
        <v>0</v>
      </c>
      <c r="B274" s="21" t="s">
        <v>1</v>
      </c>
      <c r="C274" s="21" t="s">
        <v>2</v>
      </c>
      <c r="D274" s="21" t="s">
        <v>20</v>
      </c>
      <c r="E274" s="21" t="s">
        <v>21</v>
      </c>
      <c r="F274" s="21" t="s">
        <v>5</v>
      </c>
      <c r="G274" s="21" t="s">
        <v>6</v>
      </c>
      <c r="H274" s="21" t="s">
        <v>35</v>
      </c>
      <c r="I274" s="21" t="s">
        <v>36</v>
      </c>
      <c r="J274" s="21" t="s">
        <v>9</v>
      </c>
      <c r="K274" s="21" t="s">
        <v>219</v>
      </c>
      <c r="L274" s="21" t="s">
        <v>224</v>
      </c>
      <c r="M274" s="21" t="s">
        <v>15</v>
      </c>
      <c r="N274" s="54">
        <v>107712</v>
      </c>
      <c r="O274" s="54">
        <v>352</v>
      </c>
      <c r="P274" s="54">
        <v>0</v>
      </c>
      <c r="Q274" s="54">
        <v>108064</v>
      </c>
      <c r="R274" s="54">
        <v>0</v>
      </c>
      <c r="S274" s="54">
        <v>62868</v>
      </c>
      <c r="T274" s="54">
        <v>62868</v>
      </c>
      <c r="U274" s="54">
        <v>45196</v>
      </c>
      <c r="V274" s="54">
        <v>45196</v>
      </c>
      <c r="W274" s="54">
        <v>45196</v>
      </c>
    </row>
    <row r="275" spans="1:23" outlineLevel="2" x14ac:dyDescent="0.2">
      <c r="A275" s="21" t="s">
        <v>0</v>
      </c>
      <c r="B275" s="21" t="s">
        <v>1</v>
      </c>
      <c r="C275" s="21" t="s">
        <v>16</v>
      </c>
      <c r="D275" s="21" t="s">
        <v>103</v>
      </c>
      <c r="E275" s="21" t="s">
        <v>104</v>
      </c>
      <c r="F275" s="21" t="s">
        <v>5</v>
      </c>
      <c r="G275" s="21" t="s">
        <v>6</v>
      </c>
      <c r="H275" s="21" t="s">
        <v>35</v>
      </c>
      <c r="I275" s="21" t="s">
        <v>36</v>
      </c>
      <c r="J275" s="21" t="s">
        <v>9</v>
      </c>
      <c r="K275" s="21" t="s">
        <v>219</v>
      </c>
      <c r="L275" s="21" t="s">
        <v>226</v>
      </c>
      <c r="M275" s="21" t="s">
        <v>15</v>
      </c>
      <c r="N275" s="54">
        <v>14784</v>
      </c>
      <c r="O275" s="54">
        <v>-352</v>
      </c>
      <c r="P275" s="54">
        <v>0</v>
      </c>
      <c r="Q275" s="54">
        <v>14432</v>
      </c>
      <c r="R275" s="54">
        <v>0</v>
      </c>
      <c r="S275" s="54">
        <v>4632</v>
      </c>
      <c r="T275" s="54">
        <v>4632</v>
      </c>
      <c r="U275" s="54">
        <v>9800</v>
      </c>
      <c r="V275" s="54">
        <v>9800</v>
      </c>
      <c r="W275" s="54">
        <v>9800</v>
      </c>
    </row>
    <row r="276" spans="1:23" outlineLevel="2" x14ac:dyDescent="0.2">
      <c r="A276" s="21" t="s">
        <v>0</v>
      </c>
      <c r="B276" s="21" t="s">
        <v>39</v>
      </c>
      <c r="C276" s="21" t="s">
        <v>58</v>
      </c>
      <c r="D276" s="21" t="s">
        <v>137</v>
      </c>
      <c r="E276" s="21" t="s">
        <v>138</v>
      </c>
      <c r="F276" s="21" t="s">
        <v>5</v>
      </c>
      <c r="G276" s="21" t="s">
        <v>6</v>
      </c>
      <c r="H276" s="21" t="s">
        <v>35</v>
      </c>
      <c r="I276" s="21" t="s">
        <v>36</v>
      </c>
      <c r="J276" s="21" t="s">
        <v>9</v>
      </c>
      <c r="K276" s="21" t="s">
        <v>219</v>
      </c>
      <c r="L276" s="21" t="s">
        <v>223</v>
      </c>
      <c r="M276" s="21" t="s">
        <v>15</v>
      </c>
      <c r="N276" s="54">
        <v>24288</v>
      </c>
      <c r="O276" s="54">
        <v>0</v>
      </c>
      <c r="P276" s="54">
        <v>0</v>
      </c>
      <c r="Q276" s="54">
        <v>24288</v>
      </c>
      <c r="R276" s="54">
        <v>0</v>
      </c>
      <c r="S276" s="54">
        <v>9468</v>
      </c>
      <c r="T276" s="54">
        <v>9468</v>
      </c>
      <c r="U276" s="54">
        <v>14820</v>
      </c>
      <c r="V276" s="54">
        <v>14820</v>
      </c>
      <c r="W276" s="54">
        <v>14820</v>
      </c>
    </row>
    <row r="277" spans="1:23" outlineLevel="2" x14ac:dyDescent="0.2">
      <c r="A277" s="21" t="s">
        <v>0</v>
      </c>
      <c r="B277" s="21" t="s">
        <v>1</v>
      </c>
      <c r="C277" s="21" t="s">
        <v>16</v>
      </c>
      <c r="D277" s="21" t="s">
        <v>62</v>
      </c>
      <c r="E277" s="21" t="s">
        <v>63</v>
      </c>
      <c r="F277" s="21" t="s">
        <v>5</v>
      </c>
      <c r="G277" s="21" t="s">
        <v>6</v>
      </c>
      <c r="H277" s="21" t="s">
        <v>35</v>
      </c>
      <c r="I277" s="21" t="s">
        <v>36</v>
      </c>
      <c r="J277" s="21" t="s">
        <v>9</v>
      </c>
      <c r="K277" s="21" t="s">
        <v>219</v>
      </c>
      <c r="L277" s="21" t="s">
        <v>226</v>
      </c>
      <c r="M277" s="21" t="s">
        <v>15</v>
      </c>
      <c r="N277" s="54">
        <v>1056</v>
      </c>
      <c r="O277" s="54">
        <v>0</v>
      </c>
      <c r="P277" s="54">
        <v>0</v>
      </c>
      <c r="Q277" s="54">
        <v>1056</v>
      </c>
      <c r="R277" s="54">
        <v>0</v>
      </c>
      <c r="S277" s="54">
        <v>416</v>
      </c>
      <c r="T277" s="54">
        <v>416</v>
      </c>
      <c r="U277" s="54">
        <v>640</v>
      </c>
      <c r="V277" s="54">
        <v>640</v>
      </c>
      <c r="W277" s="54">
        <v>640</v>
      </c>
    </row>
    <row r="278" spans="1:23" outlineLevel="2" x14ac:dyDescent="0.2">
      <c r="A278" s="21" t="s">
        <v>0</v>
      </c>
      <c r="B278" s="21" t="s">
        <v>1</v>
      </c>
      <c r="C278" s="21" t="s">
        <v>16</v>
      </c>
      <c r="D278" s="21" t="s">
        <v>17</v>
      </c>
      <c r="E278" s="21" t="s">
        <v>18</v>
      </c>
      <c r="F278" s="21" t="s">
        <v>5</v>
      </c>
      <c r="G278" s="21" t="s">
        <v>6</v>
      </c>
      <c r="H278" s="21" t="s">
        <v>35</v>
      </c>
      <c r="I278" s="21" t="s">
        <v>36</v>
      </c>
      <c r="J278" s="21" t="s">
        <v>9</v>
      </c>
      <c r="K278" s="21" t="s">
        <v>219</v>
      </c>
      <c r="L278" s="21" t="s">
        <v>226</v>
      </c>
      <c r="M278" s="21" t="s">
        <v>15</v>
      </c>
      <c r="N278" s="54">
        <v>24288</v>
      </c>
      <c r="O278" s="54">
        <v>0</v>
      </c>
      <c r="P278" s="54">
        <v>0</v>
      </c>
      <c r="Q278" s="54">
        <v>24288</v>
      </c>
      <c r="R278" s="54">
        <v>0</v>
      </c>
      <c r="S278" s="54">
        <v>9788</v>
      </c>
      <c r="T278" s="54">
        <v>9788</v>
      </c>
      <c r="U278" s="54">
        <v>14500</v>
      </c>
      <c r="V278" s="54">
        <v>14500</v>
      </c>
      <c r="W278" s="54">
        <v>14500</v>
      </c>
    </row>
    <row r="279" spans="1:23" outlineLevel="2" x14ac:dyDescent="0.2">
      <c r="A279" s="21" t="s">
        <v>0</v>
      </c>
      <c r="B279" s="21" t="s">
        <v>39</v>
      </c>
      <c r="C279" s="21" t="s">
        <v>58</v>
      </c>
      <c r="D279" s="21" t="s">
        <v>147</v>
      </c>
      <c r="E279" s="21" t="s">
        <v>148</v>
      </c>
      <c r="F279" s="21" t="s">
        <v>5</v>
      </c>
      <c r="G279" s="21" t="s">
        <v>6</v>
      </c>
      <c r="H279" s="21" t="s">
        <v>35</v>
      </c>
      <c r="I279" s="21" t="s">
        <v>36</v>
      </c>
      <c r="J279" s="21" t="s">
        <v>9</v>
      </c>
      <c r="K279" s="21" t="s">
        <v>219</v>
      </c>
      <c r="L279" s="21" t="s">
        <v>223</v>
      </c>
      <c r="M279" s="21" t="s">
        <v>15</v>
      </c>
      <c r="N279" s="54">
        <v>23232</v>
      </c>
      <c r="O279" s="54">
        <v>0</v>
      </c>
      <c r="P279" s="54">
        <v>0</v>
      </c>
      <c r="Q279" s="54">
        <v>23232</v>
      </c>
      <c r="R279" s="54">
        <v>0</v>
      </c>
      <c r="S279" s="54">
        <v>12288</v>
      </c>
      <c r="T279" s="54">
        <v>12288</v>
      </c>
      <c r="U279" s="54">
        <v>10944</v>
      </c>
      <c r="V279" s="54">
        <v>10944</v>
      </c>
      <c r="W279" s="54">
        <v>10944</v>
      </c>
    </row>
    <row r="280" spans="1:23" outlineLevel="2" x14ac:dyDescent="0.2">
      <c r="A280" s="21" t="s">
        <v>0</v>
      </c>
      <c r="B280" s="21" t="s">
        <v>31</v>
      </c>
      <c r="C280" s="21" t="s">
        <v>79</v>
      </c>
      <c r="D280" s="21" t="s">
        <v>133</v>
      </c>
      <c r="E280" s="21" t="s">
        <v>134</v>
      </c>
      <c r="F280" s="21" t="s">
        <v>5</v>
      </c>
      <c r="G280" s="21" t="s">
        <v>6</v>
      </c>
      <c r="H280" s="21" t="s">
        <v>35</v>
      </c>
      <c r="I280" s="21" t="s">
        <v>36</v>
      </c>
      <c r="J280" s="21" t="s">
        <v>9</v>
      </c>
      <c r="K280" s="21" t="s">
        <v>219</v>
      </c>
      <c r="L280" s="21" t="s">
        <v>221</v>
      </c>
      <c r="M280" s="21" t="s">
        <v>15</v>
      </c>
      <c r="N280" s="54">
        <v>7392</v>
      </c>
      <c r="O280" s="54">
        <v>3615</v>
      </c>
      <c r="P280" s="54">
        <v>0</v>
      </c>
      <c r="Q280" s="54">
        <v>11007</v>
      </c>
      <c r="R280" s="54">
        <v>0</v>
      </c>
      <c r="S280" s="54">
        <v>4092</v>
      </c>
      <c r="T280" s="54">
        <v>4092</v>
      </c>
      <c r="U280" s="54">
        <v>6915</v>
      </c>
      <c r="V280" s="54">
        <v>6915</v>
      </c>
      <c r="W280" s="54">
        <v>6915</v>
      </c>
    </row>
    <row r="281" spans="1:23" outlineLevel="2" x14ac:dyDescent="0.2">
      <c r="A281" s="21" t="s">
        <v>0</v>
      </c>
      <c r="B281" s="21" t="s">
        <v>31</v>
      </c>
      <c r="C281" s="21" t="s">
        <v>79</v>
      </c>
      <c r="D281" s="21" t="s">
        <v>131</v>
      </c>
      <c r="E281" s="21" t="s">
        <v>132</v>
      </c>
      <c r="F281" s="21" t="s">
        <v>5</v>
      </c>
      <c r="G281" s="21" t="s">
        <v>6</v>
      </c>
      <c r="H281" s="21" t="s">
        <v>35</v>
      </c>
      <c r="I281" s="21" t="s">
        <v>36</v>
      </c>
      <c r="J281" s="21" t="s">
        <v>9</v>
      </c>
      <c r="K281" s="21" t="s">
        <v>219</v>
      </c>
      <c r="L281" s="21" t="s">
        <v>221</v>
      </c>
      <c r="M281" s="21" t="s">
        <v>15</v>
      </c>
      <c r="N281" s="54">
        <v>4224</v>
      </c>
      <c r="O281" s="54">
        <v>2095</v>
      </c>
      <c r="P281" s="54">
        <v>0</v>
      </c>
      <c r="Q281" s="54">
        <v>6319</v>
      </c>
      <c r="R281" s="54">
        <v>0</v>
      </c>
      <c r="S281" s="54">
        <v>2348</v>
      </c>
      <c r="T281" s="54">
        <v>2348</v>
      </c>
      <c r="U281" s="54">
        <v>3971</v>
      </c>
      <c r="V281" s="54">
        <v>3971</v>
      </c>
      <c r="W281" s="54">
        <v>3971</v>
      </c>
    </row>
    <row r="282" spans="1:23" outlineLevel="2" x14ac:dyDescent="0.2">
      <c r="A282" s="21" t="s">
        <v>0</v>
      </c>
      <c r="B282" s="21" t="s">
        <v>31</v>
      </c>
      <c r="C282" s="21" t="s">
        <v>79</v>
      </c>
      <c r="D282" s="21" t="s">
        <v>80</v>
      </c>
      <c r="E282" s="21" t="s">
        <v>81</v>
      </c>
      <c r="F282" s="21" t="s">
        <v>5</v>
      </c>
      <c r="G282" s="21" t="s">
        <v>6</v>
      </c>
      <c r="H282" s="21" t="s">
        <v>35</v>
      </c>
      <c r="I282" s="21" t="s">
        <v>36</v>
      </c>
      <c r="J282" s="21" t="s">
        <v>9</v>
      </c>
      <c r="K282" s="21" t="s">
        <v>219</v>
      </c>
      <c r="L282" s="21" t="s">
        <v>221</v>
      </c>
      <c r="M282" s="21" t="s">
        <v>15</v>
      </c>
      <c r="N282" s="54">
        <v>2112</v>
      </c>
      <c r="O282" s="54">
        <v>0</v>
      </c>
      <c r="P282" s="54">
        <v>0</v>
      </c>
      <c r="Q282" s="54">
        <v>2112</v>
      </c>
      <c r="R282" s="54">
        <v>0</v>
      </c>
      <c r="S282" s="54">
        <v>832</v>
      </c>
      <c r="T282" s="54">
        <v>832</v>
      </c>
      <c r="U282" s="54">
        <v>1280</v>
      </c>
      <c r="V282" s="54">
        <v>1280</v>
      </c>
      <c r="W282" s="54">
        <v>1280</v>
      </c>
    </row>
    <row r="283" spans="1:23" outlineLevel="2" x14ac:dyDescent="0.2">
      <c r="A283" s="21" t="s">
        <v>0</v>
      </c>
      <c r="B283" s="21" t="s">
        <v>31</v>
      </c>
      <c r="C283" s="21" t="s">
        <v>79</v>
      </c>
      <c r="D283" s="21" t="s">
        <v>83</v>
      </c>
      <c r="E283" s="21" t="s">
        <v>84</v>
      </c>
      <c r="F283" s="21" t="s">
        <v>5</v>
      </c>
      <c r="G283" s="21" t="s">
        <v>6</v>
      </c>
      <c r="H283" s="21" t="s">
        <v>35</v>
      </c>
      <c r="I283" s="21" t="s">
        <v>36</v>
      </c>
      <c r="J283" s="21" t="s">
        <v>9</v>
      </c>
      <c r="K283" s="21" t="s">
        <v>219</v>
      </c>
      <c r="L283" s="21" t="s">
        <v>221</v>
      </c>
      <c r="M283" s="21" t="s">
        <v>15</v>
      </c>
      <c r="N283" s="54">
        <v>29568</v>
      </c>
      <c r="O283" s="54">
        <v>0</v>
      </c>
      <c r="P283" s="54">
        <v>0</v>
      </c>
      <c r="Q283" s="54">
        <v>29568</v>
      </c>
      <c r="R283" s="54">
        <v>0</v>
      </c>
      <c r="S283" s="54">
        <v>15700</v>
      </c>
      <c r="T283" s="54">
        <v>15700</v>
      </c>
      <c r="U283" s="54">
        <v>13868</v>
      </c>
      <c r="V283" s="54">
        <v>13868</v>
      </c>
      <c r="W283" s="54">
        <v>13868</v>
      </c>
    </row>
    <row r="284" spans="1:23" outlineLevel="2" x14ac:dyDescent="0.2">
      <c r="A284" s="21" t="s">
        <v>0</v>
      </c>
      <c r="B284" s="21" t="s">
        <v>53</v>
      </c>
      <c r="C284" s="21" t="s">
        <v>54</v>
      </c>
      <c r="D284" s="21" t="s">
        <v>55</v>
      </c>
      <c r="E284" s="21" t="s">
        <v>56</v>
      </c>
      <c r="F284" s="21" t="s">
        <v>5</v>
      </c>
      <c r="G284" s="21" t="s">
        <v>6</v>
      </c>
      <c r="H284" s="21" t="s">
        <v>35</v>
      </c>
      <c r="I284" s="21" t="s">
        <v>36</v>
      </c>
      <c r="J284" s="21" t="s">
        <v>9</v>
      </c>
      <c r="K284" s="21" t="s">
        <v>219</v>
      </c>
      <c r="L284" s="21" t="s">
        <v>228</v>
      </c>
      <c r="M284" s="21" t="s">
        <v>15</v>
      </c>
      <c r="N284" s="54">
        <v>33792</v>
      </c>
      <c r="O284" s="54">
        <v>-9064</v>
      </c>
      <c r="P284" s="54">
        <v>0</v>
      </c>
      <c r="Q284" s="54">
        <v>24728</v>
      </c>
      <c r="R284" s="54">
        <v>0</v>
      </c>
      <c r="S284" s="54">
        <v>18004</v>
      </c>
      <c r="T284" s="54">
        <v>18004</v>
      </c>
      <c r="U284" s="54">
        <v>6724</v>
      </c>
      <c r="V284" s="54">
        <v>6724</v>
      </c>
      <c r="W284" s="54">
        <v>6724</v>
      </c>
    </row>
    <row r="285" spans="1:23" outlineLevel="2" x14ac:dyDescent="0.2">
      <c r="A285" s="21" t="s">
        <v>0</v>
      </c>
      <c r="B285" s="21" t="s">
        <v>31</v>
      </c>
      <c r="C285" s="21" t="s">
        <v>32</v>
      </c>
      <c r="D285" s="21" t="s">
        <v>75</v>
      </c>
      <c r="E285" s="21" t="s">
        <v>76</v>
      </c>
      <c r="F285" s="21" t="s">
        <v>5</v>
      </c>
      <c r="G285" s="21" t="s">
        <v>6</v>
      </c>
      <c r="H285" s="21" t="s">
        <v>35</v>
      </c>
      <c r="I285" s="21" t="s">
        <v>36</v>
      </c>
      <c r="J285" s="21" t="s">
        <v>9</v>
      </c>
      <c r="K285" s="21" t="s">
        <v>219</v>
      </c>
      <c r="L285" s="21" t="s">
        <v>225</v>
      </c>
      <c r="M285" s="21" t="s">
        <v>15</v>
      </c>
      <c r="N285" s="54">
        <v>19008</v>
      </c>
      <c r="O285" s="54">
        <v>1600</v>
      </c>
      <c r="P285" s="54">
        <v>0</v>
      </c>
      <c r="Q285" s="54">
        <v>20608</v>
      </c>
      <c r="R285" s="54">
        <v>0</v>
      </c>
      <c r="S285" s="54">
        <v>9172</v>
      </c>
      <c r="T285" s="54">
        <v>9172</v>
      </c>
      <c r="U285" s="54">
        <v>11436</v>
      </c>
      <c r="V285" s="54">
        <v>11436</v>
      </c>
      <c r="W285" s="54">
        <v>11436</v>
      </c>
    </row>
    <row r="286" spans="1:23" outlineLevel="2" x14ac:dyDescent="0.2">
      <c r="A286" s="21" t="s">
        <v>0</v>
      </c>
      <c r="B286" s="21" t="s">
        <v>1</v>
      </c>
      <c r="C286" s="21" t="s">
        <v>2</v>
      </c>
      <c r="D286" s="21" t="s">
        <v>20</v>
      </c>
      <c r="E286" s="21" t="s">
        <v>21</v>
      </c>
      <c r="F286" s="21" t="s">
        <v>5</v>
      </c>
      <c r="G286" s="21" t="s">
        <v>6</v>
      </c>
      <c r="H286" s="21" t="s">
        <v>35</v>
      </c>
      <c r="I286" s="21" t="s">
        <v>36</v>
      </c>
      <c r="J286" s="21" t="s">
        <v>9</v>
      </c>
      <c r="K286" s="21" t="s">
        <v>235</v>
      </c>
      <c r="L286" s="21" t="s">
        <v>240</v>
      </c>
      <c r="M286" s="21" t="s">
        <v>15</v>
      </c>
      <c r="N286" s="54">
        <v>3811.75</v>
      </c>
      <c r="O286" s="54">
        <v>0</v>
      </c>
      <c r="P286" s="54">
        <v>0</v>
      </c>
      <c r="Q286" s="54">
        <v>3811.75</v>
      </c>
      <c r="R286" s="54">
        <v>0</v>
      </c>
      <c r="S286" s="54">
        <v>900</v>
      </c>
      <c r="T286" s="54">
        <v>900</v>
      </c>
      <c r="U286" s="54">
        <v>2911.75</v>
      </c>
      <c r="V286" s="54">
        <v>2911.75</v>
      </c>
      <c r="W286" s="54">
        <v>2911.75</v>
      </c>
    </row>
    <row r="287" spans="1:23" outlineLevel="2" x14ac:dyDescent="0.2">
      <c r="A287" s="21" t="s">
        <v>0</v>
      </c>
      <c r="B287" s="21" t="s">
        <v>31</v>
      </c>
      <c r="C287" s="21" t="s">
        <v>79</v>
      </c>
      <c r="D287" s="21" t="s">
        <v>83</v>
      </c>
      <c r="E287" s="21" t="s">
        <v>84</v>
      </c>
      <c r="F287" s="21" t="s">
        <v>5</v>
      </c>
      <c r="G287" s="21" t="s">
        <v>6</v>
      </c>
      <c r="H287" s="21" t="s">
        <v>35</v>
      </c>
      <c r="I287" s="21" t="s">
        <v>36</v>
      </c>
      <c r="J287" s="21" t="s">
        <v>9</v>
      </c>
      <c r="K287" s="21" t="s">
        <v>235</v>
      </c>
      <c r="L287" s="21" t="s">
        <v>245</v>
      </c>
      <c r="M287" s="21" t="s">
        <v>15</v>
      </c>
      <c r="N287" s="54">
        <v>1084.2</v>
      </c>
      <c r="O287" s="54">
        <v>0</v>
      </c>
      <c r="P287" s="54">
        <v>0</v>
      </c>
      <c r="Q287" s="54">
        <v>1084.2</v>
      </c>
      <c r="R287" s="54">
        <v>0</v>
      </c>
      <c r="S287" s="54">
        <v>120</v>
      </c>
      <c r="T287" s="54">
        <v>120</v>
      </c>
      <c r="U287" s="54">
        <v>964.2</v>
      </c>
      <c r="V287" s="54">
        <v>964.2</v>
      </c>
      <c r="W287" s="54">
        <v>964.2</v>
      </c>
    </row>
    <row r="288" spans="1:23" outlineLevel="2" x14ac:dyDescent="0.2">
      <c r="A288" s="21" t="s">
        <v>0</v>
      </c>
      <c r="B288" s="21" t="s">
        <v>39</v>
      </c>
      <c r="C288" s="21" t="s">
        <v>66</v>
      </c>
      <c r="D288" s="21" t="s">
        <v>121</v>
      </c>
      <c r="E288" s="21" t="s">
        <v>122</v>
      </c>
      <c r="F288" s="21" t="s">
        <v>5</v>
      </c>
      <c r="G288" s="21" t="s">
        <v>6</v>
      </c>
      <c r="H288" s="21" t="s">
        <v>35</v>
      </c>
      <c r="I288" s="21" t="s">
        <v>36</v>
      </c>
      <c r="J288" s="21" t="s">
        <v>9</v>
      </c>
      <c r="K288" s="21" t="s">
        <v>235</v>
      </c>
      <c r="L288" s="21" t="s">
        <v>242</v>
      </c>
      <c r="M288" s="21" t="s">
        <v>15</v>
      </c>
      <c r="N288" s="54">
        <v>36.159999999999997</v>
      </c>
      <c r="O288" s="54">
        <v>62.84</v>
      </c>
      <c r="P288" s="54">
        <v>0</v>
      </c>
      <c r="Q288" s="54">
        <v>99</v>
      </c>
      <c r="R288" s="54">
        <v>0</v>
      </c>
      <c r="S288" s="54">
        <v>80</v>
      </c>
      <c r="T288" s="54">
        <v>80</v>
      </c>
      <c r="U288" s="54">
        <v>19</v>
      </c>
      <c r="V288" s="54">
        <v>19</v>
      </c>
      <c r="W288" s="54">
        <v>19</v>
      </c>
    </row>
    <row r="289" spans="1:23" outlineLevel="2" x14ac:dyDescent="0.2">
      <c r="A289" s="21" t="s">
        <v>0</v>
      </c>
      <c r="B289" s="21" t="s">
        <v>31</v>
      </c>
      <c r="C289" s="21" t="s">
        <v>107</v>
      </c>
      <c r="D289" s="21" t="s">
        <v>108</v>
      </c>
      <c r="E289" s="21" t="s">
        <v>109</v>
      </c>
      <c r="F289" s="21" t="s">
        <v>5</v>
      </c>
      <c r="G289" s="21" t="s">
        <v>6</v>
      </c>
      <c r="H289" s="21" t="s">
        <v>35</v>
      </c>
      <c r="I289" s="21" t="s">
        <v>36</v>
      </c>
      <c r="J289" s="21" t="s">
        <v>9</v>
      </c>
      <c r="K289" s="21" t="s">
        <v>235</v>
      </c>
      <c r="L289" s="21" t="s">
        <v>248</v>
      </c>
      <c r="M289" s="21" t="s">
        <v>15</v>
      </c>
      <c r="N289" s="54">
        <v>480.34</v>
      </c>
      <c r="O289" s="54">
        <v>0</v>
      </c>
      <c r="P289" s="54">
        <v>0</v>
      </c>
      <c r="Q289" s="54">
        <v>480.34</v>
      </c>
      <c r="R289" s="54">
        <v>0</v>
      </c>
      <c r="S289" s="54">
        <v>20</v>
      </c>
      <c r="T289" s="54">
        <v>20</v>
      </c>
      <c r="U289" s="54">
        <v>460.34</v>
      </c>
      <c r="V289" s="54">
        <v>460.34</v>
      </c>
      <c r="W289" s="54">
        <v>460.34</v>
      </c>
    </row>
    <row r="290" spans="1:23" outlineLevel="2" x14ac:dyDescent="0.2">
      <c r="A290" s="21" t="s">
        <v>0</v>
      </c>
      <c r="B290" s="21" t="s">
        <v>1</v>
      </c>
      <c r="C290" s="21" t="s">
        <v>16</v>
      </c>
      <c r="D290" s="21" t="s">
        <v>17</v>
      </c>
      <c r="E290" s="21" t="s">
        <v>18</v>
      </c>
      <c r="F290" s="21" t="s">
        <v>5</v>
      </c>
      <c r="G290" s="21" t="s">
        <v>6</v>
      </c>
      <c r="H290" s="21" t="s">
        <v>35</v>
      </c>
      <c r="I290" s="21" t="s">
        <v>36</v>
      </c>
      <c r="J290" s="21" t="s">
        <v>9</v>
      </c>
      <c r="K290" s="21" t="s">
        <v>235</v>
      </c>
      <c r="L290" s="21" t="s">
        <v>241</v>
      </c>
      <c r="M290" s="21" t="s">
        <v>15</v>
      </c>
      <c r="N290" s="54">
        <v>849.14</v>
      </c>
      <c r="O290" s="54">
        <v>0</v>
      </c>
      <c r="P290" s="54">
        <v>0</v>
      </c>
      <c r="Q290" s="54">
        <v>849.14</v>
      </c>
      <c r="R290" s="54">
        <v>0</v>
      </c>
      <c r="S290" s="54">
        <v>328</v>
      </c>
      <c r="T290" s="54">
        <v>328</v>
      </c>
      <c r="U290" s="54">
        <v>521.14</v>
      </c>
      <c r="V290" s="54">
        <v>521.14</v>
      </c>
      <c r="W290" s="54">
        <v>521.14</v>
      </c>
    </row>
    <row r="291" spans="1:23" outlineLevel="2" x14ac:dyDescent="0.2">
      <c r="A291" s="21" t="s">
        <v>0</v>
      </c>
      <c r="B291" s="21" t="s">
        <v>31</v>
      </c>
      <c r="C291" s="21" t="s">
        <v>32</v>
      </c>
      <c r="D291" s="21" t="s">
        <v>141</v>
      </c>
      <c r="E291" s="21" t="s">
        <v>142</v>
      </c>
      <c r="F291" s="21" t="s">
        <v>5</v>
      </c>
      <c r="G291" s="21" t="s">
        <v>6</v>
      </c>
      <c r="H291" s="21" t="s">
        <v>35</v>
      </c>
      <c r="I291" s="21" t="s">
        <v>36</v>
      </c>
      <c r="J291" s="21" t="s">
        <v>9</v>
      </c>
      <c r="K291" s="21" t="s">
        <v>235</v>
      </c>
      <c r="L291" s="21" t="s">
        <v>244</v>
      </c>
      <c r="M291" s="21" t="s">
        <v>15</v>
      </c>
      <c r="N291" s="54">
        <v>224.45</v>
      </c>
      <c r="O291" s="54">
        <v>0</v>
      </c>
      <c r="P291" s="54">
        <v>0</v>
      </c>
      <c r="Q291" s="54">
        <v>224.45</v>
      </c>
      <c r="R291" s="54">
        <v>0</v>
      </c>
      <c r="S291" s="54">
        <v>0</v>
      </c>
      <c r="T291" s="54">
        <v>0</v>
      </c>
      <c r="U291" s="54">
        <v>224.45</v>
      </c>
      <c r="V291" s="54">
        <v>224.45</v>
      </c>
      <c r="W291" s="54">
        <v>224.45</v>
      </c>
    </row>
    <row r="292" spans="1:23" outlineLevel="2" x14ac:dyDescent="0.2">
      <c r="A292" s="21" t="s">
        <v>0</v>
      </c>
      <c r="B292" s="21" t="s">
        <v>1</v>
      </c>
      <c r="C292" s="21" t="s">
        <v>99</v>
      </c>
      <c r="D292" s="21" t="s">
        <v>100</v>
      </c>
      <c r="E292" s="21" t="s">
        <v>101</v>
      </c>
      <c r="F292" s="21" t="s">
        <v>5</v>
      </c>
      <c r="G292" s="21" t="s">
        <v>6</v>
      </c>
      <c r="H292" s="21" t="s">
        <v>35</v>
      </c>
      <c r="I292" s="21" t="s">
        <v>36</v>
      </c>
      <c r="J292" s="21" t="s">
        <v>9</v>
      </c>
      <c r="K292" s="21" t="s">
        <v>235</v>
      </c>
      <c r="L292" s="21" t="s">
        <v>239</v>
      </c>
      <c r="M292" s="21" t="s">
        <v>15</v>
      </c>
      <c r="N292" s="54">
        <v>337.41</v>
      </c>
      <c r="O292" s="54">
        <v>0</v>
      </c>
      <c r="P292" s="54">
        <v>0</v>
      </c>
      <c r="Q292" s="54">
        <v>337.41</v>
      </c>
      <c r="R292" s="54">
        <v>0</v>
      </c>
      <c r="S292" s="54">
        <v>80</v>
      </c>
      <c r="T292" s="54">
        <v>80</v>
      </c>
      <c r="U292" s="54">
        <v>257.41000000000003</v>
      </c>
      <c r="V292" s="54">
        <v>257.41000000000003</v>
      </c>
      <c r="W292" s="54">
        <v>257.41000000000003</v>
      </c>
    </row>
    <row r="293" spans="1:23" outlineLevel="2" x14ac:dyDescent="0.2">
      <c r="A293" s="21" t="s">
        <v>0</v>
      </c>
      <c r="B293" s="21" t="s">
        <v>31</v>
      </c>
      <c r="C293" s="21" t="s">
        <v>79</v>
      </c>
      <c r="D293" s="21" t="s">
        <v>115</v>
      </c>
      <c r="E293" s="21" t="s">
        <v>116</v>
      </c>
      <c r="F293" s="21" t="s">
        <v>5</v>
      </c>
      <c r="G293" s="21" t="s">
        <v>6</v>
      </c>
      <c r="H293" s="21" t="s">
        <v>35</v>
      </c>
      <c r="I293" s="21" t="s">
        <v>36</v>
      </c>
      <c r="J293" s="21" t="s">
        <v>9</v>
      </c>
      <c r="K293" s="21" t="s">
        <v>235</v>
      </c>
      <c r="L293" s="21" t="s">
        <v>245</v>
      </c>
      <c r="M293" s="21" t="s">
        <v>15</v>
      </c>
      <c r="N293" s="54">
        <v>68.09</v>
      </c>
      <c r="O293" s="54">
        <v>0</v>
      </c>
      <c r="P293" s="54">
        <v>0</v>
      </c>
      <c r="Q293" s="54">
        <v>68.09</v>
      </c>
      <c r="R293" s="54">
        <v>0</v>
      </c>
      <c r="S293" s="54">
        <v>0</v>
      </c>
      <c r="T293" s="54">
        <v>0</v>
      </c>
      <c r="U293" s="54">
        <v>68.09</v>
      </c>
      <c r="V293" s="54">
        <v>68.09</v>
      </c>
      <c r="W293" s="54">
        <v>68.09</v>
      </c>
    </row>
    <row r="294" spans="1:23" outlineLevel="2" x14ac:dyDescent="0.2">
      <c r="A294" s="21" t="s">
        <v>0</v>
      </c>
      <c r="B294" s="21" t="s">
        <v>31</v>
      </c>
      <c r="C294" s="21" t="s">
        <v>79</v>
      </c>
      <c r="D294" s="21" t="s">
        <v>113</v>
      </c>
      <c r="E294" s="21" t="s">
        <v>114</v>
      </c>
      <c r="F294" s="21" t="s">
        <v>5</v>
      </c>
      <c r="G294" s="21" t="s">
        <v>6</v>
      </c>
      <c r="H294" s="21" t="s">
        <v>35</v>
      </c>
      <c r="I294" s="21" t="s">
        <v>36</v>
      </c>
      <c r="J294" s="21" t="s">
        <v>9</v>
      </c>
      <c r="K294" s="21" t="s">
        <v>235</v>
      </c>
      <c r="L294" s="21" t="s">
        <v>245</v>
      </c>
      <c r="M294" s="21" t="s">
        <v>15</v>
      </c>
      <c r="N294" s="54">
        <v>162.29</v>
      </c>
      <c r="O294" s="54">
        <v>0</v>
      </c>
      <c r="P294" s="54">
        <v>0</v>
      </c>
      <c r="Q294" s="54">
        <v>162.29</v>
      </c>
      <c r="R294" s="54">
        <v>0</v>
      </c>
      <c r="S294" s="54">
        <v>0</v>
      </c>
      <c r="T294" s="54">
        <v>0</v>
      </c>
      <c r="U294" s="54">
        <v>162.29</v>
      </c>
      <c r="V294" s="54">
        <v>162.29</v>
      </c>
      <c r="W294" s="54">
        <v>162.29</v>
      </c>
    </row>
    <row r="295" spans="1:23" outlineLevel="2" x14ac:dyDescent="0.2">
      <c r="A295" s="21" t="s">
        <v>0</v>
      </c>
      <c r="B295" s="21" t="s">
        <v>31</v>
      </c>
      <c r="C295" s="21" t="s">
        <v>79</v>
      </c>
      <c r="D295" s="21" t="s">
        <v>111</v>
      </c>
      <c r="E295" s="21" t="s">
        <v>112</v>
      </c>
      <c r="F295" s="21" t="s">
        <v>5</v>
      </c>
      <c r="G295" s="21" t="s">
        <v>6</v>
      </c>
      <c r="H295" s="21" t="s">
        <v>35</v>
      </c>
      <c r="I295" s="21" t="s">
        <v>36</v>
      </c>
      <c r="J295" s="21" t="s">
        <v>9</v>
      </c>
      <c r="K295" s="21" t="s">
        <v>235</v>
      </c>
      <c r="L295" s="21" t="s">
        <v>245</v>
      </c>
      <c r="M295" s="21" t="s">
        <v>15</v>
      </c>
      <c r="N295" s="54">
        <v>34.049999999999997</v>
      </c>
      <c r="O295" s="54">
        <v>0</v>
      </c>
      <c r="P295" s="54">
        <v>0</v>
      </c>
      <c r="Q295" s="54">
        <v>34.049999999999997</v>
      </c>
      <c r="R295" s="54">
        <v>0</v>
      </c>
      <c r="S295" s="54">
        <v>0</v>
      </c>
      <c r="T295" s="54">
        <v>0</v>
      </c>
      <c r="U295" s="54">
        <v>34.049999999999997</v>
      </c>
      <c r="V295" s="54">
        <v>34.049999999999997</v>
      </c>
      <c r="W295" s="54">
        <v>34.049999999999997</v>
      </c>
    </row>
    <row r="296" spans="1:23" outlineLevel="2" x14ac:dyDescent="0.2">
      <c r="A296" s="21" t="s">
        <v>0</v>
      </c>
      <c r="B296" s="21" t="s">
        <v>31</v>
      </c>
      <c r="C296" s="21" t="s">
        <v>79</v>
      </c>
      <c r="D296" s="21" t="s">
        <v>127</v>
      </c>
      <c r="E296" s="21" t="s">
        <v>128</v>
      </c>
      <c r="F296" s="21" t="s">
        <v>5</v>
      </c>
      <c r="G296" s="21" t="s">
        <v>6</v>
      </c>
      <c r="H296" s="21" t="s">
        <v>35</v>
      </c>
      <c r="I296" s="21" t="s">
        <v>36</v>
      </c>
      <c r="J296" s="21" t="s">
        <v>9</v>
      </c>
      <c r="K296" s="21" t="s">
        <v>235</v>
      </c>
      <c r="L296" s="21" t="s">
        <v>245</v>
      </c>
      <c r="M296" s="21" t="s">
        <v>15</v>
      </c>
      <c r="N296" s="54">
        <v>172.39</v>
      </c>
      <c r="O296" s="54">
        <v>0</v>
      </c>
      <c r="P296" s="54">
        <v>0</v>
      </c>
      <c r="Q296" s="54">
        <v>172.39</v>
      </c>
      <c r="R296" s="54">
        <v>0</v>
      </c>
      <c r="S296" s="54">
        <v>0</v>
      </c>
      <c r="T296" s="54">
        <v>0</v>
      </c>
      <c r="U296" s="54">
        <v>172.39</v>
      </c>
      <c r="V296" s="54">
        <v>172.39</v>
      </c>
      <c r="W296" s="54">
        <v>172.39</v>
      </c>
    </row>
    <row r="297" spans="1:23" outlineLevel="2" x14ac:dyDescent="0.2">
      <c r="A297" s="21" t="s">
        <v>0</v>
      </c>
      <c r="B297" s="21" t="s">
        <v>39</v>
      </c>
      <c r="C297" s="21" t="s">
        <v>95</v>
      </c>
      <c r="D297" s="21" t="s">
        <v>96</v>
      </c>
      <c r="E297" s="21" t="s">
        <v>97</v>
      </c>
      <c r="F297" s="21" t="s">
        <v>5</v>
      </c>
      <c r="G297" s="21" t="s">
        <v>6</v>
      </c>
      <c r="H297" s="21" t="s">
        <v>35</v>
      </c>
      <c r="I297" s="21" t="s">
        <v>36</v>
      </c>
      <c r="J297" s="21" t="s">
        <v>9</v>
      </c>
      <c r="K297" s="21" t="s">
        <v>235</v>
      </c>
      <c r="L297" s="21" t="s">
        <v>249</v>
      </c>
      <c r="M297" s="21" t="s">
        <v>15</v>
      </c>
      <c r="N297" s="54">
        <v>141.91</v>
      </c>
      <c r="O297" s="54">
        <v>0</v>
      </c>
      <c r="P297" s="54">
        <v>0</v>
      </c>
      <c r="Q297" s="54">
        <v>141.91</v>
      </c>
      <c r="R297" s="54">
        <v>0</v>
      </c>
      <c r="S297" s="54">
        <v>0</v>
      </c>
      <c r="T297" s="54">
        <v>0</v>
      </c>
      <c r="U297" s="54">
        <v>141.91</v>
      </c>
      <c r="V297" s="54">
        <v>141.91</v>
      </c>
      <c r="W297" s="54">
        <v>141.91</v>
      </c>
    </row>
    <row r="298" spans="1:23" outlineLevel="2" x14ac:dyDescent="0.2">
      <c r="A298" s="21" t="s">
        <v>0</v>
      </c>
      <c r="B298" s="21" t="s">
        <v>39</v>
      </c>
      <c r="C298" s="21" t="s">
        <v>58</v>
      </c>
      <c r="D298" s="21" t="s">
        <v>137</v>
      </c>
      <c r="E298" s="21" t="s">
        <v>138</v>
      </c>
      <c r="F298" s="21" t="s">
        <v>5</v>
      </c>
      <c r="G298" s="21" t="s">
        <v>6</v>
      </c>
      <c r="H298" s="21" t="s">
        <v>35</v>
      </c>
      <c r="I298" s="21" t="s">
        <v>36</v>
      </c>
      <c r="J298" s="21" t="s">
        <v>9</v>
      </c>
      <c r="K298" s="21" t="s">
        <v>235</v>
      </c>
      <c r="L298" s="21" t="s">
        <v>237</v>
      </c>
      <c r="M298" s="21" t="s">
        <v>15</v>
      </c>
      <c r="N298" s="54">
        <v>886.55</v>
      </c>
      <c r="O298" s="54">
        <v>0</v>
      </c>
      <c r="P298" s="54">
        <v>0</v>
      </c>
      <c r="Q298" s="54">
        <v>886.55</v>
      </c>
      <c r="R298" s="54">
        <v>0</v>
      </c>
      <c r="S298" s="54">
        <v>0</v>
      </c>
      <c r="T298" s="54">
        <v>0</v>
      </c>
      <c r="U298" s="54">
        <v>886.55</v>
      </c>
      <c r="V298" s="54">
        <v>886.55</v>
      </c>
      <c r="W298" s="54">
        <v>886.55</v>
      </c>
    </row>
    <row r="299" spans="1:23" outlineLevel="2" x14ac:dyDescent="0.2">
      <c r="A299" s="21" t="s">
        <v>0</v>
      </c>
      <c r="B299" s="21" t="s">
        <v>39</v>
      </c>
      <c r="C299" s="21" t="s">
        <v>58</v>
      </c>
      <c r="D299" s="21" t="s">
        <v>143</v>
      </c>
      <c r="E299" s="21" t="s">
        <v>144</v>
      </c>
      <c r="F299" s="21" t="s">
        <v>5</v>
      </c>
      <c r="G299" s="21" t="s">
        <v>6</v>
      </c>
      <c r="H299" s="21" t="s">
        <v>35</v>
      </c>
      <c r="I299" s="21" t="s">
        <v>36</v>
      </c>
      <c r="J299" s="21" t="s">
        <v>9</v>
      </c>
      <c r="K299" s="21" t="s">
        <v>235</v>
      </c>
      <c r="L299" s="21" t="s">
        <v>237</v>
      </c>
      <c r="M299" s="21" t="s">
        <v>15</v>
      </c>
      <c r="N299" s="54">
        <v>407.42</v>
      </c>
      <c r="O299" s="54">
        <v>0</v>
      </c>
      <c r="P299" s="54">
        <v>0</v>
      </c>
      <c r="Q299" s="54">
        <v>407.42</v>
      </c>
      <c r="R299" s="54">
        <v>0</v>
      </c>
      <c r="S299" s="54">
        <v>0</v>
      </c>
      <c r="T299" s="54">
        <v>0</v>
      </c>
      <c r="U299" s="54">
        <v>407.42</v>
      </c>
      <c r="V299" s="54">
        <v>407.42</v>
      </c>
      <c r="W299" s="54">
        <v>407.42</v>
      </c>
    </row>
    <row r="300" spans="1:23" outlineLevel="2" x14ac:dyDescent="0.2">
      <c r="A300" s="21" t="s">
        <v>0</v>
      </c>
      <c r="B300" s="21" t="s">
        <v>39</v>
      </c>
      <c r="C300" s="21" t="s">
        <v>40</v>
      </c>
      <c r="D300" s="21" t="s">
        <v>77</v>
      </c>
      <c r="E300" s="21" t="s">
        <v>78</v>
      </c>
      <c r="F300" s="21" t="s">
        <v>5</v>
      </c>
      <c r="G300" s="21" t="s">
        <v>6</v>
      </c>
      <c r="H300" s="21" t="s">
        <v>35</v>
      </c>
      <c r="I300" s="21" t="s">
        <v>36</v>
      </c>
      <c r="J300" s="21" t="s">
        <v>9</v>
      </c>
      <c r="K300" s="21" t="s">
        <v>235</v>
      </c>
      <c r="L300" s="21" t="s">
        <v>243</v>
      </c>
      <c r="M300" s="21" t="s">
        <v>15</v>
      </c>
      <c r="N300" s="54">
        <v>72.58</v>
      </c>
      <c r="O300" s="54">
        <v>0</v>
      </c>
      <c r="P300" s="54">
        <v>0</v>
      </c>
      <c r="Q300" s="54">
        <v>72.58</v>
      </c>
      <c r="R300" s="54">
        <v>0</v>
      </c>
      <c r="S300" s="54">
        <v>0</v>
      </c>
      <c r="T300" s="54">
        <v>0</v>
      </c>
      <c r="U300" s="54">
        <v>72.58</v>
      </c>
      <c r="V300" s="54">
        <v>72.58</v>
      </c>
      <c r="W300" s="54">
        <v>72.58</v>
      </c>
    </row>
    <row r="301" spans="1:23" outlineLevel="2" x14ac:dyDescent="0.2">
      <c r="A301" s="21" t="s">
        <v>0</v>
      </c>
      <c r="B301" s="21" t="s">
        <v>53</v>
      </c>
      <c r="C301" s="21" t="s">
        <v>85</v>
      </c>
      <c r="D301" s="21" t="s">
        <v>86</v>
      </c>
      <c r="E301" s="21" t="s">
        <v>87</v>
      </c>
      <c r="F301" s="21" t="s">
        <v>5</v>
      </c>
      <c r="G301" s="21" t="s">
        <v>6</v>
      </c>
      <c r="H301" s="21" t="s">
        <v>35</v>
      </c>
      <c r="I301" s="21" t="s">
        <v>36</v>
      </c>
      <c r="J301" s="21" t="s">
        <v>9</v>
      </c>
      <c r="K301" s="21" t="s">
        <v>235</v>
      </c>
      <c r="L301" s="21" t="s">
        <v>247</v>
      </c>
      <c r="M301" s="21" t="s">
        <v>15</v>
      </c>
      <c r="N301" s="54">
        <v>75.08</v>
      </c>
      <c r="O301" s="54">
        <v>-75.08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</row>
    <row r="302" spans="1:23" outlineLevel="2" x14ac:dyDescent="0.2">
      <c r="A302" s="21" t="s">
        <v>0</v>
      </c>
      <c r="B302" s="21" t="s">
        <v>1</v>
      </c>
      <c r="C302" s="21" t="s">
        <v>44</v>
      </c>
      <c r="D302" s="21" t="s">
        <v>45</v>
      </c>
      <c r="E302" s="21" t="s">
        <v>46</v>
      </c>
      <c r="F302" s="21" t="s">
        <v>5</v>
      </c>
      <c r="G302" s="21" t="s">
        <v>6</v>
      </c>
      <c r="H302" s="21" t="s">
        <v>35</v>
      </c>
      <c r="I302" s="21" t="s">
        <v>36</v>
      </c>
      <c r="J302" s="21" t="s">
        <v>9</v>
      </c>
      <c r="K302" s="21" t="s">
        <v>235</v>
      </c>
      <c r="L302" s="21" t="s">
        <v>238</v>
      </c>
      <c r="M302" s="21" t="s">
        <v>15</v>
      </c>
      <c r="N302" s="54">
        <v>110.34</v>
      </c>
      <c r="O302" s="54">
        <v>0</v>
      </c>
      <c r="P302" s="54">
        <v>0</v>
      </c>
      <c r="Q302" s="54">
        <v>110.34</v>
      </c>
      <c r="R302" s="54">
        <v>0</v>
      </c>
      <c r="S302" s="54">
        <v>0</v>
      </c>
      <c r="T302" s="54">
        <v>0</v>
      </c>
      <c r="U302" s="54">
        <v>110.34</v>
      </c>
      <c r="V302" s="54">
        <v>110.34</v>
      </c>
      <c r="W302" s="54">
        <v>110.34</v>
      </c>
    </row>
    <row r="303" spans="1:23" outlineLevel="2" x14ac:dyDescent="0.2">
      <c r="A303" s="21" t="s">
        <v>0</v>
      </c>
      <c r="B303" s="21" t="s">
        <v>1</v>
      </c>
      <c r="C303" s="21" t="s">
        <v>16</v>
      </c>
      <c r="D303" s="21" t="s">
        <v>62</v>
      </c>
      <c r="E303" s="21" t="s">
        <v>63</v>
      </c>
      <c r="F303" s="21" t="s">
        <v>5</v>
      </c>
      <c r="G303" s="21" t="s">
        <v>6</v>
      </c>
      <c r="H303" s="21" t="s">
        <v>35</v>
      </c>
      <c r="I303" s="21" t="s">
        <v>36</v>
      </c>
      <c r="J303" s="21" t="s">
        <v>9</v>
      </c>
      <c r="K303" s="21" t="s">
        <v>235</v>
      </c>
      <c r="L303" s="21" t="s">
        <v>241</v>
      </c>
      <c r="M303" s="21" t="s">
        <v>15</v>
      </c>
      <c r="N303" s="54">
        <v>37.83</v>
      </c>
      <c r="O303" s="54">
        <v>0</v>
      </c>
      <c r="P303" s="54">
        <v>0</v>
      </c>
      <c r="Q303" s="54">
        <v>37.83</v>
      </c>
      <c r="R303" s="54">
        <v>0</v>
      </c>
      <c r="S303" s="54">
        <v>0</v>
      </c>
      <c r="T303" s="54">
        <v>0</v>
      </c>
      <c r="U303" s="54">
        <v>37.83</v>
      </c>
      <c r="V303" s="54">
        <v>37.83</v>
      </c>
      <c r="W303" s="54">
        <v>37.83</v>
      </c>
    </row>
    <row r="304" spans="1:23" outlineLevel="2" x14ac:dyDescent="0.2">
      <c r="A304" s="21" t="s">
        <v>0</v>
      </c>
      <c r="B304" s="21" t="s">
        <v>1</v>
      </c>
      <c r="C304" s="21" t="s">
        <v>16</v>
      </c>
      <c r="D304" s="21" t="s">
        <v>103</v>
      </c>
      <c r="E304" s="21" t="s">
        <v>104</v>
      </c>
      <c r="F304" s="21" t="s">
        <v>5</v>
      </c>
      <c r="G304" s="21" t="s">
        <v>6</v>
      </c>
      <c r="H304" s="21" t="s">
        <v>35</v>
      </c>
      <c r="I304" s="21" t="s">
        <v>36</v>
      </c>
      <c r="J304" s="21" t="s">
        <v>9</v>
      </c>
      <c r="K304" s="21" t="s">
        <v>235</v>
      </c>
      <c r="L304" s="21" t="s">
        <v>241</v>
      </c>
      <c r="M304" s="21" t="s">
        <v>15</v>
      </c>
      <c r="N304" s="54">
        <v>512.92999999999995</v>
      </c>
      <c r="O304" s="54">
        <v>0</v>
      </c>
      <c r="P304" s="54">
        <v>0</v>
      </c>
      <c r="Q304" s="54">
        <v>512.92999999999995</v>
      </c>
      <c r="R304" s="54">
        <v>0</v>
      </c>
      <c r="S304" s="54">
        <v>0</v>
      </c>
      <c r="T304" s="54">
        <v>0</v>
      </c>
      <c r="U304" s="54">
        <v>512.92999999999995</v>
      </c>
      <c r="V304" s="54">
        <v>512.92999999999995</v>
      </c>
      <c r="W304" s="54">
        <v>512.92999999999995</v>
      </c>
    </row>
    <row r="305" spans="1:23" outlineLevel="2" x14ac:dyDescent="0.2">
      <c r="A305" s="21" t="s">
        <v>0</v>
      </c>
      <c r="B305" s="21" t="s">
        <v>1</v>
      </c>
      <c r="C305" s="21" t="s">
        <v>91</v>
      </c>
      <c r="D305" s="21" t="s">
        <v>92</v>
      </c>
      <c r="E305" s="21" t="s">
        <v>93</v>
      </c>
      <c r="F305" s="21" t="s">
        <v>5</v>
      </c>
      <c r="G305" s="21" t="s">
        <v>6</v>
      </c>
      <c r="H305" s="21" t="s">
        <v>35</v>
      </c>
      <c r="I305" s="21" t="s">
        <v>36</v>
      </c>
      <c r="J305" s="21" t="s">
        <v>9</v>
      </c>
      <c r="K305" s="21" t="s">
        <v>235</v>
      </c>
      <c r="L305" s="21" t="s">
        <v>250</v>
      </c>
      <c r="M305" s="21" t="s">
        <v>15</v>
      </c>
      <c r="N305" s="54">
        <v>184.73</v>
      </c>
      <c r="O305" s="54">
        <v>0</v>
      </c>
      <c r="P305" s="54">
        <v>0</v>
      </c>
      <c r="Q305" s="54">
        <v>184.73</v>
      </c>
      <c r="R305" s="54">
        <v>0</v>
      </c>
      <c r="S305" s="54">
        <v>40</v>
      </c>
      <c r="T305" s="54">
        <v>40</v>
      </c>
      <c r="U305" s="54">
        <v>144.72999999999999</v>
      </c>
      <c r="V305" s="54">
        <v>144.72999999999999</v>
      </c>
      <c r="W305" s="54">
        <v>144.72999999999999</v>
      </c>
    </row>
    <row r="306" spans="1:23" outlineLevel="2" x14ac:dyDescent="0.2">
      <c r="A306" s="21" t="s">
        <v>0</v>
      </c>
      <c r="B306" s="21" t="s">
        <v>39</v>
      </c>
      <c r="C306" s="21" t="s">
        <v>40</v>
      </c>
      <c r="D306" s="21" t="s">
        <v>41</v>
      </c>
      <c r="E306" s="21" t="s">
        <v>42</v>
      </c>
      <c r="F306" s="21" t="s">
        <v>5</v>
      </c>
      <c r="G306" s="21" t="s">
        <v>6</v>
      </c>
      <c r="H306" s="21" t="s">
        <v>35</v>
      </c>
      <c r="I306" s="21" t="s">
        <v>36</v>
      </c>
      <c r="J306" s="21" t="s">
        <v>9</v>
      </c>
      <c r="K306" s="21" t="s">
        <v>235</v>
      </c>
      <c r="L306" s="21" t="s">
        <v>243</v>
      </c>
      <c r="M306" s="21" t="s">
        <v>15</v>
      </c>
      <c r="N306" s="54">
        <v>257.55</v>
      </c>
      <c r="O306" s="54">
        <v>0</v>
      </c>
      <c r="P306" s="54">
        <v>0</v>
      </c>
      <c r="Q306" s="54">
        <v>257.55</v>
      </c>
      <c r="R306" s="54">
        <v>0</v>
      </c>
      <c r="S306" s="54">
        <v>80</v>
      </c>
      <c r="T306" s="54">
        <v>80</v>
      </c>
      <c r="U306" s="54">
        <v>177.55</v>
      </c>
      <c r="V306" s="54">
        <v>177.55</v>
      </c>
      <c r="W306" s="54">
        <v>177.55</v>
      </c>
    </row>
    <row r="307" spans="1:23" outlineLevel="2" x14ac:dyDescent="0.2">
      <c r="A307" s="21" t="s">
        <v>0</v>
      </c>
      <c r="B307" s="21" t="s">
        <v>39</v>
      </c>
      <c r="C307" s="21" t="s">
        <v>70</v>
      </c>
      <c r="D307" s="21" t="s">
        <v>71</v>
      </c>
      <c r="E307" s="21" t="s">
        <v>72</v>
      </c>
      <c r="F307" s="21" t="s">
        <v>5</v>
      </c>
      <c r="G307" s="21" t="s">
        <v>6</v>
      </c>
      <c r="H307" s="21" t="s">
        <v>35</v>
      </c>
      <c r="I307" s="21" t="s">
        <v>36</v>
      </c>
      <c r="J307" s="21" t="s">
        <v>9</v>
      </c>
      <c r="K307" s="21" t="s">
        <v>235</v>
      </c>
      <c r="L307" s="21" t="s">
        <v>236</v>
      </c>
      <c r="M307" s="21" t="s">
        <v>15</v>
      </c>
      <c r="N307" s="54">
        <v>605.37</v>
      </c>
      <c r="O307" s="54">
        <v>0</v>
      </c>
      <c r="P307" s="54">
        <v>0</v>
      </c>
      <c r="Q307" s="54">
        <v>605.37</v>
      </c>
      <c r="R307" s="54">
        <v>0</v>
      </c>
      <c r="S307" s="54">
        <v>360</v>
      </c>
      <c r="T307" s="54">
        <v>360</v>
      </c>
      <c r="U307" s="54">
        <v>245.37</v>
      </c>
      <c r="V307" s="54">
        <v>245.37</v>
      </c>
      <c r="W307" s="54">
        <v>245.37</v>
      </c>
    </row>
    <row r="308" spans="1:23" outlineLevel="2" x14ac:dyDescent="0.2">
      <c r="A308" s="21" t="s">
        <v>0</v>
      </c>
      <c r="B308" s="21" t="s">
        <v>39</v>
      </c>
      <c r="C308" s="21" t="s">
        <v>58</v>
      </c>
      <c r="D308" s="21" t="s">
        <v>149</v>
      </c>
      <c r="E308" s="21" t="s">
        <v>150</v>
      </c>
      <c r="F308" s="21" t="s">
        <v>5</v>
      </c>
      <c r="G308" s="21" t="s">
        <v>6</v>
      </c>
      <c r="H308" s="21" t="s">
        <v>35</v>
      </c>
      <c r="I308" s="21" t="s">
        <v>36</v>
      </c>
      <c r="J308" s="21" t="s">
        <v>9</v>
      </c>
      <c r="K308" s="21" t="s">
        <v>235</v>
      </c>
      <c r="L308" s="21" t="s">
        <v>237</v>
      </c>
      <c r="M308" s="21" t="s">
        <v>15</v>
      </c>
      <c r="N308" s="54">
        <v>1913.79</v>
      </c>
      <c r="O308" s="54">
        <v>0</v>
      </c>
      <c r="P308" s="54">
        <v>0</v>
      </c>
      <c r="Q308" s="54">
        <v>1913.79</v>
      </c>
      <c r="R308" s="54">
        <v>0</v>
      </c>
      <c r="S308" s="54">
        <v>1408</v>
      </c>
      <c r="T308" s="54">
        <v>1408</v>
      </c>
      <c r="U308" s="54">
        <v>505.79</v>
      </c>
      <c r="V308" s="54">
        <v>505.79</v>
      </c>
      <c r="W308" s="54">
        <v>505.79</v>
      </c>
    </row>
    <row r="309" spans="1:23" outlineLevel="2" x14ac:dyDescent="0.2">
      <c r="A309" s="21" t="s">
        <v>0</v>
      </c>
      <c r="B309" s="21" t="s">
        <v>31</v>
      </c>
      <c r="C309" s="21" t="s">
        <v>79</v>
      </c>
      <c r="D309" s="21" t="s">
        <v>117</v>
      </c>
      <c r="E309" s="21" t="s">
        <v>118</v>
      </c>
      <c r="F309" s="21" t="s">
        <v>5</v>
      </c>
      <c r="G309" s="21" t="s">
        <v>6</v>
      </c>
      <c r="H309" s="21" t="s">
        <v>35</v>
      </c>
      <c r="I309" s="21" t="s">
        <v>36</v>
      </c>
      <c r="J309" s="21" t="s">
        <v>9</v>
      </c>
      <c r="K309" s="21" t="s">
        <v>235</v>
      </c>
      <c r="L309" s="21" t="s">
        <v>245</v>
      </c>
      <c r="M309" s="21" t="s">
        <v>15</v>
      </c>
      <c r="N309" s="54">
        <v>611.57000000000005</v>
      </c>
      <c r="O309" s="54">
        <v>0</v>
      </c>
      <c r="P309" s="54">
        <v>0</v>
      </c>
      <c r="Q309" s="54">
        <v>611.57000000000005</v>
      </c>
      <c r="R309" s="54">
        <v>0</v>
      </c>
      <c r="S309" s="54">
        <v>40</v>
      </c>
      <c r="T309" s="54">
        <v>40</v>
      </c>
      <c r="U309" s="54">
        <v>571.57000000000005</v>
      </c>
      <c r="V309" s="54">
        <v>571.57000000000005</v>
      </c>
      <c r="W309" s="54">
        <v>571.57000000000005</v>
      </c>
    </row>
    <row r="310" spans="1:23" outlineLevel="2" x14ac:dyDescent="0.2">
      <c r="A310" s="21" t="s">
        <v>0</v>
      </c>
      <c r="B310" s="21" t="s">
        <v>39</v>
      </c>
      <c r="C310" s="21" t="s">
        <v>58</v>
      </c>
      <c r="D310" s="21" t="s">
        <v>139</v>
      </c>
      <c r="E310" s="21" t="s">
        <v>140</v>
      </c>
      <c r="F310" s="21" t="s">
        <v>5</v>
      </c>
      <c r="G310" s="21" t="s">
        <v>6</v>
      </c>
      <c r="H310" s="21" t="s">
        <v>35</v>
      </c>
      <c r="I310" s="21" t="s">
        <v>36</v>
      </c>
      <c r="J310" s="21" t="s">
        <v>9</v>
      </c>
      <c r="K310" s="21" t="s">
        <v>235</v>
      </c>
      <c r="L310" s="21" t="s">
        <v>237</v>
      </c>
      <c r="M310" s="21" t="s">
        <v>15</v>
      </c>
      <c r="N310" s="54">
        <v>638.84</v>
      </c>
      <c r="O310" s="54">
        <v>0</v>
      </c>
      <c r="P310" s="54">
        <v>0</v>
      </c>
      <c r="Q310" s="54">
        <v>638.84</v>
      </c>
      <c r="R310" s="54">
        <v>0</v>
      </c>
      <c r="S310" s="54">
        <v>80</v>
      </c>
      <c r="T310" s="54">
        <v>80</v>
      </c>
      <c r="U310" s="54">
        <v>558.84</v>
      </c>
      <c r="V310" s="54">
        <v>558.84</v>
      </c>
      <c r="W310" s="54">
        <v>558.84</v>
      </c>
    </row>
    <row r="311" spans="1:23" outlineLevel="2" x14ac:dyDescent="0.2">
      <c r="A311" s="21" t="s">
        <v>0</v>
      </c>
      <c r="B311" s="21" t="s">
        <v>31</v>
      </c>
      <c r="C311" s="21" t="s">
        <v>79</v>
      </c>
      <c r="D311" s="21" t="s">
        <v>131</v>
      </c>
      <c r="E311" s="21" t="s">
        <v>132</v>
      </c>
      <c r="F311" s="21" t="s">
        <v>5</v>
      </c>
      <c r="G311" s="21" t="s">
        <v>6</v>
      </c>
      <c r="H311" s="21" t="s">
        <v>35</v>
      </c>
      <c r="I311" s="21" t="s">
        <v>36</v>
      </c>
      <c r="J311" s="21" t="s">
        <v>9</v>
      </c>
      <c r="K311" s="21" t="s">
        <v>235</v>
      </c>
      <c r="L311" s="21" t="s">
        <v>245</v>
      </c>
      <c r="M311" s="21" t="s">
        <v>15</v>
      </c>
      <c r="N311" s="54">
        <v>147.51</v>
      </c>
      <c r="O311" s="54">
        <v>0</v>
      </c>
      <c r="P311" s="54">
        <v>0</v>
      </c>
      <c r="Q311" s="54">
        <v>147.51</v>
      </c>
      <c r="R311" s="54">
        <v>0</v>
      </c>
      <c r="S311" s="54">
        <v>120</v>
      </c>
      <c r="T311" s="54">
        <v>120</v>
      </c>
      <c r="U311" s="54">
        <v>27.51</v>
      </c>
      <c r="V311" s="54">
        <v>27.51</v>
      </c>
      <c r="W311" s="54">
        <v>27.51</v>
      </c>
    </row>
    <row r="312" spans="1:23" outlineLevel="2" x14ac:dyDescent="0.2">
      <c r="A312" s="21" t="s">
        <v>0</v>
      </c>
      <c r="B312" s="21" t="s">
        <v>31</v>
      </c>
      <c r="C312" s="21" t="s">
        <v>79</v>
      </c>
      <c r="D312" s="21" t="s">
        <v>133</v>
      </c>
      <c r="E312" s="21" t="s">
        <v>134</v>
      </c>
      <c r="F312" s="21" t="s">
        <v>5</v>
      </c>
      <c r="G312" s="21" t="s">
        <v>6</v>
      </c>
      <c r="H312" s="21" t="s">
        <v>35</v>
      </c>
      <c r="I312" s="21" t="s">
        <v>36</v>
      </c>
      <c r="J312" s="21" t="s">
        <v>9</v>
      </c>
      <c r="K312" s="21" t="s">
        <v>235</v>
      </c>
      <c r="L312" s="21" t="s">
        <v>245</v>
      </c>
      <c r="M312" s="21" t="s">
        <v>15</v>
      </c>
      <c r="N312" s="54">
        <v>292.3</v>
      </c>
      <c r="O312" s="54">
        <v>0</v>
      </c>
      <c r="P312" s="54">
        <v>0</v>
      </c>
      <c r="Q312" s="54">
        <v>292.3</v>
      </c>
      <c r="R312" s="54">
        <v>0</v>
      </c>
      <c r="S312" s="54">
        <v>80</v>
      </c>
      <c r="T312" s="54">
        <v>80</v>
      </c>
      <c r="U312" s="54">
        <v>212.3</v>
      </c>
      <c r="V312" s="54">
        <v>212.3</v>
      </c>
      <c r="W312" s="54">
        <v>212.3</v>
      </c>
    </row>
    <row r="313" spans="1:23" outlineLevel="2" x14ac:dyDescent="0.2">
      <c r="A313" s="21" t="s">
        <v>0</v>
      </c>
      <c r="B313" s="21" t="s">
        <v>39</v>
      </c>
      <c r="C313" s="21" t="s">
        <v>58</v>
      </c>
      <c r="D313" s="21" t="s">
        <v>59</v>
      </c>
      <c r="E313" s="21" t="s">
        <v>60</v>
      </c>
      <c r="F313" s="21" t="s">
        <v>5</v>
      </c>
      <c r="G313" s="21" t="s">
        <v>6</v>
      </c>
      <c r="H313" s="21" t="s">
        <v>35</v>
      </c>
      <c r="I313" s="21" t="s">
        <v>36</v>
      </c>
      <c r="J313" s="21" t="s">
        <v>9</v>
      </c>
      <c r="K313" s="21" t="s">
        <v>235</v>
      </c>
      <c r="L313" s="21" t="s">
        <v>237</v>
      </c>
      <c r="M313" s="21" t="s">
        <v>15</v>
      </c>
      <c r="N313" s="54">
        <v>305.01</v>
      </c>
      <c r="O313" s="54">
        <v>0</v>
      </c>
      <c r="P313" s="54">
        <v>0</v>
      </c>
      <c r="Q313" s="54">
        <v>305.01</v>
      </c>
      <c r="R313" s="54">
        <v>0</v>
      </c>
      <c r="S313" s="54">
        <v>80</v>
      </c>
      <c r="T313" s="54">
        <v>80</v>
      </c>
      <c r="U313" s="54">
        <v>225.01</v>
      </c>
      <c r="V313" s="54">
        <v>225.01</v>
      </c>
      <c r="W313" s="54">
        <v>225.01</v>
      </c>
    </row>
    <row r="314" spans="1:23" outlineLevel="2" x14ac:dyDescent="0.2">
      <c r="A314" s="21" t="s">
        <v>0</v>
      </c>
      <c r="B314" s="21" t="s">
        <v>31</v>
      </c>
      <c r="C314" s="21" t="s">
        <v>79</v>
      </c>
      <c r="D314" s="21" t="s">
        <v>80</v>
      </c>
      <c r="E314" s="21" t="s">
        <v>81</v>
      </c>
      <c r="F314" s="21" t="s">
        <v>5</v>
      </c>
      <c r="G314" s="21" t="s">
        <v>6</v>
      </c>
      <c r="H314" s="21" t="s">
        <v>35</v>
      </c>
      <c r="I314" s="21" t="s">
        <v>36</v>
      </c>
      <c r="J314" s="21" t="s">
        <v>9</v>
      </c>
      <c r="K314" s="21" t="s">
        <v>235</v>
      </c>
      <c r="L314" s="21" t="s">
        <v>245</v>
      </c>
      <c r="M314" s="21" t="s">
        <v>15</v>
      </c>
      <c r="N314" s="54">
        <v>83.74</v>
      </c>
      <c r="O314" s="54">
        <v>0</v>
      </c>
      <c r="P314" s="54">
        <v>0</v>
      </c>
      <c r="Q314" s="54">
        <v>83.74</v>
      </c>
      <c r="R314" s="54">
        <v>0</v>
      </c>
      <c r="S314" s="54">
        <v>48</v>
      </c>
      <c r="T314" s="54">
        <v>48</v>
      </c>
      <c r="U314" s="54">
        <v>35.74</v>
      </c>
      <c r="V314" s="54">
        <v>35.74</v>
      </c>
      <c r="W314" s="54">
        <v>35.74</v>
      </c>
    </row>
    <row r="315" spans="1:23" outlineLevel="2" x14ac:dyDescent="0.2">
      <c r="A315" s="21" t="s">
        <v>0</v>
      </c>
      <c r="B315" s="21" t="s">
        <v>39</v>
      </c>
      <c r="C315" s="21" t="s">
        <v>70</v>
      </c>
      <c r="D315" s="21" t="s">
        <v>89</v>
      </c>
      <c r="E315" s="21" t="s">
        <v>90</v>
      </c>
      <c r="F315" s="21" t="s">
        <v>5</v>
      </c>
      <c r="G315" s="21" t="s">
        <v>6</v>
      </c>
      <c r="H315" s="21" t="s">
        <v>35</v>
      </c>
      <c r="I315" s="21" t="s">
        <v>36</v>
      </c>
      <c r="J315" s="21" t="s">
        <v>9</v>
      </c>
      <c r="K315" s="21" t="s">
        <v>235</v>
      </c>
      <c r="L315" s="21" t="s">
        <v>236</v>
      </c>
      <c r="M315" s="21" t="s">
        <v>15</v>
      </c>
      <c r="N315" s="54">
        <v>186.28</v>
      </c>
      <c r="O315" s="54">
        <v>0</v>
      </c>
      <c r="P315" s="54">
        <v>0</v>
      </c>
      <c r="Q315" s="54">
        <v>186.28</v>
      </c>
      <c r="R315" s="54">
        <v>0</v>
      </c>
      <c r="S315" s="54">
        <v>168</v>
      </c>
      <c r="T315" s="54">
        <v>168</v>
      </c>
      <c r="U315" s="54">
        <v>18.28</v>
      </c>
      <c r="V315" s="54">
        <v>18.28</v>
      </c>
      <c r="W315" s="54">
        <v>18.28</v>
      </c>
    </row>
    <row r="316" spans="1:23" outlineLevel="2" x14ac:dyDescent="0.2">
      <c r="A316" s="21" t="s">
        <v>0</v>
      </c>
      <c r="B316" s="21" t="s">
        <v>53</v>
      </c>
      <c r="C316" s="21" t="s">
        <v>54</v>
      </c>
      <c r="D316" s="21" t="s">
        <v>55</v>
      </c>
      <c r="E316" s="21" t="s">
        <v>56</v>
      </c>
      <c r="F316" s="21" t="s">
        <v>5</v>
      </c>
      <c r="G316" s="21" t="s">
        <v>6</v>
      </c>
      <c r="H316" s="21" t="s">
        <v>35</v>
      </c>
      <c r="I316" s="21" t="s">
        <v>36</v>
      </c>
      <c r="J316" s="21" t="s">
        <v>9</v>
      </c>
      <c r="K316" s="21" t="s">
        <v>235</v>
      </c>
      <c r="L316" s="21" t="s">
        <v>246</v>
      </c>
      <c r="M316" s="21" t="s">
        <v>15</v>
      </c>
      <c r="N316" s="54">
        <v>1274.01</v>
      </c>
      <c r="O316" s="54">
        <v>-514.01</v>
      </c>
      <c r="P316" s="54">
        <v>0</v>
      </c>
      <c r="Q316" s="54">
        <v>760</v>
      </c>
      <c r="R316" s="54">
        <v>0</v>
      </c>
      <c r="S316" s="54">
        <v>196</v>
      </c>
      <c r="T316" s="54">
        <v>196</v>
      </c>
      <c r="U316" s="54">
        <v>564</v>
      </c>
      <c r="V316" s="54">
        <v>564</v>
      </c>
      <c r="W316" s="54">
        <v>564</v>
      </c>
    </row>
    <row r="317" spans="1:23" outlineLevel="2" x14ac:dyDescent="0.2">
      <c r="A317" s="21" t="s">
        <v>0</v>
      </c>
      <c r="B317" s="21" t="s">
        <v>31</v>
      </c>
      <c r="C317" s="21" t="s">
        <v>79</v>
      </c>
      <c r="D317" s="21" t="s">
        <v>125</v>
      </c>
      <c r="E317" s="21" t="s">
        <v>126</v>
      </c>
      <c r="F317" s="21" t="s">
        <v>5</v>
      </c>
      <c r="G317" s="21" t="s">
        <v>6</v>
      </c>
      <c r="H317" s="21" t="s">
        <v>35</v>
      </c>
      <c r="I317" s="21" t="s">
        <v>36</v>
      </c>
      <c r="J317" s="21" t="s">
        <v>9</v>
      </c>
      <c r="K317" s="21" t="s">
        <v>235</v>
      </c>
      <c r="L317" s="21" t="s">
        <v>245</v>
      </c>
      <c r="M317" s="21" t="s">
        <v>15</v>
      </c>
      <c r="N317" s="54">
        <v>111.2</v>
      </c>
      <c r="O317" s="54">
        <v>0</v>
      </c>
      <c r="P317" s="54">
        <v>0</v>
      </c>
      <c r="Q317" s="54">
        <v>111.2</v>
      </c>
      <c r="R317" s="54">
        <v>0</v>
      </c>
      <c r="S317" s="54">
        <v>80</v>
      </c>
      <c r="T317" s="54">
        <v>80</v>
      </c>
      <c r="U317" s="54">
        <v>31.2</v>
      </c>
      <c r="V317" s="54">
        <v>31.2</v>
      </c>
      <c r="W317" s="54">
        <v>31.2</v>
      </c>
    </row>
    <row r="318" spans="1:23" outlineLevel="2" x14ac:dyDescent="0.2">
      <c r="A318" s="21" t="s">
        <v>0</v>
      </c>
      <c r="B318" s="21" t="s">
        <v>31</v>
      </c>
      <c r="C318" s="21" t="s">
        <v>32</v>
      </c>
      <c r="D318" s="21" t="s">
        <v>123</v>
      </c>
      <c r="E318" s="21" t="s">
        <v>124</v>
      </c>
      <c r="F318" s="21" t="s">
        <v>5</v>
      </c>
      <c r="G318" s="21" t="s">
        <v>6</v>
      </c>
      <c r="H318" s="21" t="s">
        <v>35</v>
      </c>
      <c r="I318" s="21" t="s">
        <v>36</v>
      </c>
      <c r="J318" s="21" t="s">
        <v>9</v>
      </c>
      <c r="K318" s="21" t="s">
        <v>235</v>
      </c>
      <c r="L318" s="21" t="s">
        <v>244</v>
      </c>
      <c r="M318" s="21" t="s">
        <v>15</v>
      </c>
      <c r="N318" s="54">
        <v>572.05999999999995</v>
      </c>
      <c r="O318" s="54">
        <v>264</v>
      </c>
      <c r="P318" s="54">
        <v>0</v>
      </c>
      <c r="Q318" s="54">
        <v>836.06</v>
      </c>
      <c r="R318" s="54">
        <v>0</v>
      </c>
      <c r="S318" s="54">
        <v>256</v>
      </c>
      <c r="T318" s="54">
        <v>256</v>
      </c>
      <c r="U318" s="54">
        <v>580.05999999999995</v>
      </c>
      <c r="V318" s="54">
        <v>580.05999999999995</v>
      </c>
      <c r="W318" s="54">
        <v>580.05999999999995</v>
      </c>
    </row>
    <row r="319" spans="1:23" outlineLevel="2" x14ac:dyDescent="0.2">
      <c r="A319" s="21" t="s">
        <v>0</v>
      </c>
      <c r="B319" s="21" t="s">
        <v>39</v>
      </c>
      <c r="C319" s="21" t="s">
        <v>58</v>
      </c>
      <c r="D319" s="21" t="s">
        <v>145</v>
      </c>
      <c r="E319" s="21" t="s">
        <v>146</v>
      </c>
      <c r="F319" s="21" t="s">
        <v>5</v>
      </c>
      <c r="G319" s="21" t="s">
        <v>6</v>
      </c>
      <c r="H319" s="21" t="s">
        <v>35</v>
      </c>
      <c r="I319" s="21" t="s">
        <v>36</v>
      </c>
      <c r="J319" s="21" t="s">
        <v>9</v>
      </c>
      <c r="K319" s="21" t="s">
        <v>235</v>
      </c>
      <c r="L319" s="21" t="s">
        <v>237</v>
      </c>
      <c r="M319" s="21" t="s">
        <v>15</v>
      </c>
      <c r="N319" s="54">
        <v>422.27</v>
      </c>
      <c r="O319" s="54">
        <v>0</v>
      </c>
      <c r="P319" s="54">
        <v>0</v>
      </c>
      <c r="Q319" s="54">
        <v>422.27</v>
      </c>
      <c r="R319" s="54">
        <v>0</v>
      </c>
      <c r="S319" s="54">
        <v>92</v>
      </c>
      <c r="T319" s="54">
        <v>92</v>
      </c>
      <c r="U319" s="54">
        <v>330.27</v>
      </c>
      <c r="V319" s="54">
        <v>330.27</v>
      </c>
      <c r="W319" s="54">
        <v>330.27</v>
      </c>
    </row>
    <row r="320" spans="1:23" outlineLevel="2" x14ac:dyDescent="0.2">
      <c r="A320" s="21" t="s">
        <v>0</v>
      </c>
      <c r="B320" s="21" t="s">
        <v>39</v>
      </c>
      <c r="C320" s="21" t="s">
        <v>58</v>
      </c>
      <c r="D320" s="21" t="s">
        <v>147</v>
      </c>
      <c r="E320" s="21" t="s">
        <v>148</v>
      </c>
      <c r="F320" s="21" t="s">
        <v>5</v>
      </c>
      <c r="G320" s="21" t="s">
        <v>6</v>
      </c>
      <c r="H320" s="21" t="s">
        <v>35</v>
      </c>
      <c r="I320" s="21" t="s">
        <v>36</v>
      </c>
      <c r="J320" s="21" t="s">
        <v>9</v>
      </c>
      <c r="K320" s="21" t="s">
        <v>235</v>
      </c>
      <c r="L320" s="21" t="s">
        <v>237</v>
      </c>
      <c r="M320" s="21" t="s">
        <v>15</v>
      </c>
      <c r="N320" s="54">
        <v>874.17</v>
      </c>
      <c r="O320" s="54">
        <v>0</v>
      </c>
      <c r="P320" s="54">
        <v>0</v>
      </c>
      <c r="Q320" s="54">
        <v>874.17</v>
      </c>
      <c r="R320" s="54">
        <v>0</v>
      </c>
      <c r="S320" s="54">
        <v>328</v>
      </c>
      <c r="T320" s="54">
        <v>328</v>
      </c>
      <c r="U320" s="54">
        <v>546.16999999999996</v>
      </c>
      <c r="V320" s="54">
        <v>546.16999999999996</v>
      </c>
      <c r="W320" s="54">
        <v>546.16999999999996</v>
      </c>
    </row>
    <row r="321" spans="1:23" outlineLevel="2" x14ac:dyDescent="0.2">
      <c r="A321" s="21" t="s">
        <v>0</v>
      </c>
      <c r="B321" s="21" t="s">
        <v>31</v>
      </c>
      <c r="C321" s="21" t="s">
        <v>32</v>
      </c>
      <c r="D321" s="21" t="s">
        <v>33</v>
      </c>
      <c r="E321" s="21" t="s">
        <v>34</v>
      </c>
      <c r="F321" s="21" t="s">
        <v>5</v>
      </c>
      <c r="G321" s="21" t="s">
        <v>6</v>
      </c>
      <c r="H321" s="21" t="s">
        <v>35</v>
      </c>
      <c r="I321" s="21" t="s">
        <v>36</v>
      </c>
      <c r="J321" s="21" t="s">
        <v>9</v>
      </c>
      <c r="K321" s="21" t="s">
        <v>235</v>
      </c>
      <c r="L321" s="21" t="s">
        <v>244</v>
      </c>
      <c r="M321" s="21" t="s">
        <v>15</v>
      </c>
      <c r="N321" s="54">
        <v>791.13</v>
      </c>
      <c r="O321" s="54">
        <v>264</v>
      </c>
      <c r="P321" s="54">
        <v>0</v>
      </c>
      <c r="Q321" s="54">
        <v>1055.1300000000001</v>
      </c>
      <c r="R321" s="54">
        <v>0</v>
      </c>
      <c r="S321" s="54">
        <v>400</v>
      </c>
      <c r="T321" s="54">
        <v>400</v>
      </c>
      <c r="U321" s="54">
        <v>655.13</v>
      </c>
      <c r="V321" s="54">
        <v>655.13</v>
      </c>
      <c r="W321" s="54">
        <v>655.13</v>
      </c>
    </row>
    <row r="322" spans="1:23" outlineLevel="2" x14ac:dyDescent="0.2">
      <c r="A322" s="21" t="s">
        <v>0</v>
      </c>
      <c r="B322" s="21" t="s">
        <v>39</v>
      </c>
      <c r="C322" s="21" t="s">
        <v>58</v>
      </c>
      <c r="D322" s="21" t="s">
        <v>135</v>
      </c>
      <c r="E322" s="21" t="s">
        <v>136</v>
      </c>
      <c r="F322" s="21" t="s">
        <v>5</v>
      </c>
      <c r="G322" s="21" t="s">
        <v>6</v>
      </c>
      <c r="H322" s="21" t="s">
        <v>35</v>
      </c>
      <c r="I322" s="21" t="s">
        <v>36</v>
      </c>
      <c r="J322" s="21" t="s">
        <v>9</v>
      </c>
      <c r="K322" s="21" t="s">
        <v>235</v>
      </c>
      <c r="L322" s="21" t="s">
        <v>237</v>
      </c>
      <c r="M322" s="21" t="s">
        <v>15</v>
      </c>
      <c r="N322" s="54">
        <v>471.52</v>
      </c>
      <c r="O322" s="54">
        <v>0</v>
      </c>
      <c r="P322" s="54">
        <v>0</v>
      </c>
      <c r="Q322" s="54">
        <v>471.52</v>
      </c>
      <c r="R322" s="54">
        <v>0</v>
      </c>
      <c r="S322" s="54">
        <v>200</v>
      </c>
      <c r="T322" s="54">
        <v>200</v>
      </c>
      <c r="U322" s="54">
        <v>271.52</v>
      </c>
      <c r="V322" s="54">
        <v>271.52</v>
      </c>
      <c r="W322" s="54">
        <v>271.52</v>
      </c>
    </row>
    <row r="323" spans="1:23" outlineLevel="2" x14ac:dyDescent="0.2">
      <c r="A323" s="21" t="s">
        <v>0</v>
      </c>
      <c r="B323" s="21" t="s">
        <v>31</v>
      </c>
      <c r="C323" s="21" t="s">
        <v>32</v>
      </c>
      <c r="D323" s="21" t="s">
        <v>75</v>
      </c>
      <c r="E323" s="21" t="s">
        <v>76</v>
      </c>
      <c r="F323" s="21" t="s">
        <v>5</v>
      </c>
      <c r="G323" s="21" t="s">
        <v>6</v>
      </c>
      <c r="H323" s="21" t="s">
        <v>35</v>
      </c>
      <c r="I323" s="21" t="s">
        <v>36</v>
      </c>
      <c r="J323" s="21" t="s">
        <v>9</v>
      </c>
      <c r="K323" s="21" t="s">
        <v>235</v>
      </c>
      <c r="L323" s="21" t="s">
        <v>244</v>
      </c>
      <c r="M323" s="21" t="s">
        <v>15</v>
      </c>
      <c r="N323" s="54">
        <v>759.18</v>
      </c>
      <c r="O323" s="54">
        <v>528</v>
      </c>
      <c r="P323" s="54">
        <v>0</v>
      </c>
      <c r="Q323" s="54">
        <v>1287.18</v>
      </c>
      <c r="R323" s="54">
        <v>0</v>
      </c>
      <c r="S323" s="54">
        <v>48</v>
      </c>
      <c r="T323" s="54">
        <v>48</v>
      </c>
      <c r="U323" s="54">
        <v>1239.18</v>
      </c>
      <c r="V323" s="54">
        <v>1239.18</v>
      </c>
      <c r="W323" s="54">
        <v>1239.18</v>
      </c>
    </row>
    <row r="324" spans="1:23" outlineLevel="2" x14ac:dyDescent="0.2">
      <c r="A324" s="21" t="s">
        <v>0</v>
      </c>
      <c r="B324" s="21" t="s">
        <v>1</v>
      </c>
      <c r="C324" s="21" t="s">
        <v>16</v>
      </c>
      <c r="D324" s="21" t="s">
        <v>17</v>
      </c>
      <c r="E324" s="21" t="s">
        <v>18</v>
      </c>
      <c r="F324" s="21" t="s">
        <v>5</v>
      </c>
      <c r="G324" s="21" t="s">
        <v>6</v>
      </c>
      <c r="H324" s="21" t="s">
        <v>35</v>
      </c>
      <c r="I324" s="21" t="s">
        <v>36</v>
      </c>
      <c r="J324" s="21" t="s">
        <v>9</v>
      </c>
      <c r="K324" s="21" t="s">
        <v>251</v>
      </c>
      <c r="L324" s="21" t="s">
        <v>255</v>
      </c>
      <c r="M324" s="21" t="s">
        <v>15</v>
      </c>
      <c r="N324" s="54">
        <v>5094.8599999999997</v>
      </c>
      <c r="O324" s="54">
        <v>0</v>
      </c>
      <c r="P324" s="54">
        <v>0</v>
      </c>
      <c r="Q324" s="54">
        <v>5094.8599999999997</v>
      </c>
      <c r="R324" s="54">
        <v>0</v>
      </c>
      <c r="S324" s="54">
        <v>4103.59</v>
      </c>
      <c r="T324" s="54">
        <v>4103.59</v>
      </c>
      <c r="U324" s="54">
        <v>991.27</v>
      </c>
      <c r="V324" s="54">
        <v>991.27</v>
      </c>
      <c r="W324" s="54">
        <v>991.27</v>
      </c>
    </row>
    <row r="325" spans="1:23" outlineLevel="2" x14ac:dyDescent="0.2">
      <c r="A325" s="21" t="s">
        <v>0</v>
      </c>
      <c r="B325" s="21" t="s">
        <v>31</v>
      </c>
      <c r="C325" s="21" t="s">
        <v>79</v>
      </c>
      <c r="D325" s="21" t="s">
        <v>131</v>
      </c>
      <c r="E325" s="21" t="s">
        <v>132</v>
      </c>
      <c r="F325" s="21" t="s">
        <v>5</v>
      </c>
      <c r="G325" s="21" t="s">
        <v>6</v>
      </c>
      <c r="H325" s="21" t="s">
        <v>35</v>
      </c>
      <c r="I325" s="21" t="s">
        <v>36</v>
      </c>
      <c r="J325" s="21" t="s">
        <v>9</v>
      </c>
      <c r="K325" s="21" t="s">
        <v>251</v>
      </c>
      <c r="L325" s="21" t="s">
        <v>258</v>
      </c>
      <c r="M325" s="21" t="s">
        <v>15</v>
      </c>
      <c r="N325" s="54">
        <v>885.08</v>
      </c>
      <c r="O325" s="54">
        <v>316</v>
      </c>
      <c r="P325" s="54">
        <v>0</v>
      </c>
      <c r="Q325" s="54">
        <v>1201.08</v>
      </c>
      <c r="R325" s="54">
        <v>0</v>
      </c>
      <c r="S325" s="54">
        <v>983.5</v>
      </c>
      <c r="T325" s="54">
        <v>983.5</v>
      </c>
      <c r="U325" s="54">
        <v>217.58</v>
      </c>
      <c r="V325" s="54">
        <v>217.58</v>
      </c>
      <c r="W325" s="54">
        <v>217.58</v>
      </c>
    </row>
    <row r="326" spans="1:23" outlineLevel="2" x14ac:dyDescent="0.2">
      <c r="A326" s="21" t="s">
        <v>0</v>
      </c>
      <c r="B326" s="21" t="s">
        <v>39</v>
      </c>
      <c r="C326" s="21" t="s">
        <v>58</v>
      </c>
      <c r="D326" s="21" t="s">
        <v>147</v>
      </c>
      <c r="E326" s="21" t="s">
        <v>148</v>
      </c>
      <c r="F326" s="21" t="s">
        <v>5</v>
      </c>
      <c r="G326" s="21" t="s">
        <v>6</v>
      </c>
      <c r="H326" s="21" t="s">
        <v>35</v>
      </c>
      <c r="I326" s="21" t="s">
        <v>36</v>
      </c>
      <c r="J326" s="21" t="s">
        <v>9</v>
      </c>
      <c r="K326" s="21" t="s">
        <v>251</v>
      </c>
      <c r="L326" s="21" t="s">
        <v>252</v>
      </c>
      <c r="M326" s="21" t="s">
        <v>15</v>
      </c>
      <c r="N326" s="54">
        <v>5245.01</v>
      </c>
      <c r="O326" s="54">
        <v>1680</v>
      </c>
      <c r="P326" s="54">
        <v>0</v>
      </c>
      <c r="Q326" s="54">
        <v>6925.01</v>
      </c>
      <c r="R326" s="54">
        <v>0</v>
      </c>
      <c r="S326" s="54">
        <v>5580.7</v>
      </c>
      <c r="T326" s="54">
        <v>5580.7</v>
      </c>
      <c r="U326" s="54">
        <v>1344.31</v>
      </c>
      <c r="V326" s="54">
        <v>1344.31</v>
      </c>
      <c r="W326" s="54">
        <v>1344.31</v>
      </c>
    </row>
    <row r="327" spans="1:23" outlineLevel="2" x14ac:dyDescent="0.2">
      <c r="A327" s="21" t="s">
        <v>0</v>
      </c>
      <c r="B327" s="21" t="s">
        <v>39</v>
      </c>
      <c r="C327" s="21" t="s">
        <v>58</v>
      </c>
      <c r="D327" s="21" t="s">
        <v>145</v>
      </c>
      <c r="E327" s="21" t="s">
        <v>146</v>
      </c>
      <c r="F327" s="21" t="s">
        <v>5</v>
      </c>
      <c r="G327" s="21" t="s">
        <v>6</v>
      </c>
      <c r="H327" s="21" t="s">
        <v>35</v>
      </c>
      <c r="I327" s="21" t="s">
        <v>36</v>
      </c>
      <c r="J327" s="21" t="s">
        <v>9</v>
      </c>
      <c r="K327" s="21" t="s">
        <v>251</v>
      </c>
      <c r="L327" s="21" t="s">
        <v>252</v>
      </c>
      <c r="M327" s="21" t="s">
        <v>15</v>
      </c>
      <c r="N327" s="54">
        <v>2533.64</v>
      </c>
      <c r="O327" s="54">
        <v>0</v>
      </c>
      <c r="P327" s="54">
        <v>0</v>
      </c>
      <c r="Q327" s="54">
        <v>2533.64</v>
      </c>
      <c r="R327" s="54">
        <v>0</v>
      </c>
      <c r="S327" s="54">
        <v>2397.21</v>
      </c>
      <c r="T327" s="54">
        <v>2397.21</v>
      </c>
      <c r="U327" s="54">
        <v>136.43</v>
      </c>
      <c r="V327" s="54">
        <v>136.43</v>
      </c>
      <c r="W327" s="54">
        <v>136.43</v>
      </c>
    </row>
    <row r="328" spans="1:23" outlineLevel="2" x14ac:dyDescent="0.2">
      <c r="A328" s="21" t="s">
        <v>0</v>
      </c>
      <c r="B328" s="21" t="s">
        <v>31</v>
      </c>
      <c r="C328" s="21" t="s">
        <v>79</v>
      </c>
      <c r="D328" s="21" t="s">
        <v>127</v>
      </c>
      <c r="E328" s="21" t="s">
        <v>128</v>
      </c>
      <c r="F328" s="21" t="s">
        <v>5</v>
      </c>
      <c r="G328" s="21" t="s">
        <v>6</v>
      </c>
      <c r="H328" s="21" t="s">
        <v>35</v>
      </c>
      <c r="I328" s="21" t="s">
        <v>36</v>
      </c>
      <c r="J328" s="21" t="s">
        <v>9</v>
      </c>
      <c r="K328" s="21" t="s">
        <v>251</v>
      </c>
      <c r="L328" s="21" t="s">
        <v>258</v>
      </c>
      <c r="M328" s="21" t="s">
        <v>15</v>
      </c>
      <c r="N328" s="54">
        <v>1034.32</v>
      </c>
      <c r="O328" s="54">
        <v>345</v>
      </c>
      <c r="P328" s="54">
        <v>0</v>
      </c>
      <c r="Q328" s="54">
        <v>1379.32</v>
      </c>
      <c r="R328" s="54">
        <v>0</v>
      </c>
      <c r="S328" s="54">
        <v>1149.2</v>
      </c>
      <c r="T328" s="54">
        <v>1149.2</v>
      </c>
      <c r="U328" s="54">
        <v>230.12</v>
      </c>
      <c r="V328" s="54">
        <v>230.12</v>
      </c>
      <c r="W328" s="54">
        <v>230.12</v>
      </c>
    </row>
    <row r="329" spans="1:23" outlineLevel="2" x14ac:dyDescent="0.2">
      <c r="A329" s="21" t="s">
        <v>0</v>
      </c>
      <c r="B329" s="21" t="s">
        <v>1</v>
      </c>
      <c r="C329" s="21" t="s">
        <v>16</v>
      </c>
      <c r="D329" s="21" t="s">
        <v>62</v>
      </c>
      <c r="E329" s="21" t="s">
        <v>63</v>
      </c>
      <c r="F329" s="21" t="s">
        <v>5</v>
      </c>
      <c r="G329" s="21" t="s">
        <v>6</v>
      </c>
      <c r="H329" s="21" t="s">
        <v>35</v>
      </c>
      <c r="I329" s="21" t="s">
        <v>36</v>
      </c>
      <c r="J329" s="21" t="s">
        <v>9</v>
      </c>
      <c r="K329" s="21" t="s">
        <v>251</v>
      </c>
      <c r="L329" s="21" t="s">
        <v>255</v>
      </c>
      <c r="M329" s="21" t="s">
        <v>15</v>
      </c>
      <c r="N329" s="54">
        <v>226.99</v>
      </c>
      <c r="O329" s="54">
        <v>78</v>
      </c>
      <c r="P329" s="54">
        <v>0</v>
      </c>
      <c r="Q329" s="54">
        <v>304.99</v>
      </c>
      <c r="R329" s="54">
        <v>0</v>
      </c>
      <c r="S329" s="54">
        <v>252.2</v>
      </c>
      <c r="T329" s="54">
        <v>252.2</v>
      </c>
      <c r="U329" s="54">
        <v>52.79</v>
      </c>
      <c r="V329" s="54">
        <v>52.79</v>
      </c>
      <c r="W329" s="54">
        <v>52.79</v>
      </c>
    </row>
    <row r="330" spans="1:23" outlineLevel="2" x14ac:dyDescent="0.2">
      <c r="A330" s="21" t="s">
        <v>0</v>
      </c>
      <c r="B330" s="21" t="s">
        <v>31</v>
      </c>
      <c r="C330" s="21" t="s">
        <v>79</v>
      </c>
      <c r="D330" s="21" t="s">
        <v>117</v>
      </c>
      <c r="E330" s="21" t="s">
        <v>118</v>
      </c>
      <c r="F330" s="21" t="s">
        <v>5</v>
      </c>
      <c r="G330" s="21" t="s">
        <v>6</v>
      </c>
      <c r="H330" s="21" t="s">
        <v>35</v>
      </c>
      <c r="I330" s="21" t="s">
        <v>36</v>
      </c>
      <c r="J330" s="21" t="s">
        <v>9</v>
      </c>
      <c r="K330" s="21" t="s">
        <v>251</v>
      </c>
      <c r="L330" s="21" t="s">
        <v>258</v>
      </c>
      <c r="M330" s="21" t="s">
        <v>15</v>
      </c>
      <c r="N330" s="54">
        <v>3669.4</v>
      </c>
      <c r="O330" s="54">
        <v>0</v>
      </c>
      <c r="P330" s="54">
        <v>0</v>
      </c>
      <c r="Q330" s="54">
        <v>3669.4</v>
      </c>
      <c r="R330" s="54">
        <v>0</v>
      </c>
      <c r="S330" s="54">
        <v>3160.55</v>
      </c>
      <c r="T330" s="54">
        <v>3160.55</v>
      </c>
      <c r="U330" s="54">
        <v>508.85</v>
      </c>
      <c r="V330" s="54">
        <v>508.85</v>
      </c>
      <c r="W330" s="54">
        <v>508.85</v>
      </c>
    </row>
    <row r="331" spans="1:23" outlineLevel="2" x14ac:dyDescent="0.2">
      <c r="A331" s="21" t="s">
        <v>0</v>
      </c>
      <c r="B331" s="21" t="s">
        <v>39</v>
      </c>
      <c r="C331" s="21" t="s">
        <v>58</v>
      </c>
      <c r="D331" s="21" t="s">
        <v>139</v>
      </c>
      <c r="E331" s="21" t="s">
        <v>140</v>
      </c>
      <c r="F331" s="21" t="s">
        <v>5</v>
      </c>
      <c r="G331" s="21" t="s">
        <v>6</v>
      </c>
      <c r="H331" s="21" t="s">
        <v>35</v>
      </c>
      <c r="I331" s="21" t="s">
        <v>36</v>
      </c>
      <c r="J331" s="21" t="s">
        <v>9</v>
      </c>
      <c r="K331" s="21" t="s">
        <v>251</v>
      </c>
      <c r="L331" s="21" t="s">
        <v>252</v>
      </c>
      <c r="M331" s="21" t="s">
        <v>15</v>
      </c>
      <c r="N331" s="54">
        <v>3833.02</v>
      </c>
      <c r="O331" s="54">
        <v>840</v>
      </c>
      <c r="P331" s="54">
        <v>0</v>
      </c>
      <c r="Q331" s="54">
        <v>4673.0200000000004</v>
      </c>
      <c r="R331" s="54">
        <v>0</v>
      </c>
      <c r="S331" s="54">
        <v>3886.64</v>
      </c>
      <c r="T331" s="54">
        <v>3886.64</v>
      </c>
      <c r="U331" s="54">
        <v>786.38</v>
      </c>
      <c r="V331" s="54">
        <v>786.38</v>
      </c>
      <c r="W331" s="54">
        <v>786.38</v>
      </c>
    </row>
    <row r="332" spans="1:23" outlineLevel="2" x14ac:dyDescent="0.2">
      <c r="A332" s="21" t="s">
        <v>0</v>
      </c>
      <c r="B332" s="21" t="s">
        <v>39</v>
      </c>
      <c r="C332" s="21" t="s">
        <v>58</v>
      </c>
      <c r="D332" s="21" t="s">
        <v>135</v>
      </c>
      <c r="E332" s="21" t="s">
        <v>136</v>
      </c>
      <c r="F332" s="21" t="s">
        <v>5</v>
      </c>
      <c r="G332" s="21" t="s">
        <v>6</v>
      </c>
      <c r="H332" s="21" t="s">
        <v>35</v>
      </c>
      <c r="I332" s="21" t="s">
        <v>36</v>
      </c>
      <c r="J332" s="21" t="s">
        <v>9</v>
      </c>
      <c r="K332" s="21" t="s">
        <v>251</v>
      </c>
      <c r="L332" s="21" t="s">
        <v>252</v>
      </c>
      <c r="M332" s="21" t="s">
        <v>15</v>
      </c>
      <c r="N332" s="54">
        <v>2829.1</v>
      </c>
      <c r="O332" s="54">
        <v>0</v>
      </c>
      <c r="P332" s="54">
        <v>0</v>
      </c>
      <c r="Q332" s="54">
        <v>2829.1</v>
      </c>
      <c r="R332" s="54">
        <v>0</v>
      </c>
      <c r="S332" s="54">
        <v>2602.56</v>
      </c>
      <c r="T332" s="54">
        <v>2602.56</v>
      </c>
      <c r="U332" s="54">
        <v>226.54</v>
      </c>
      <c r="V332" s="54">
        <v>226.54</v>
      </c>
      <c r="W332" s="54">
        <v>226.54</v>
      </c>
    </row>
    <row r="333" spans="1:23" outlineLevel="2" x14ac:dyDescent="0.2">
      <c r="A333" s="21" t="s">
        <v>0</v>
      </c>
      <c r="B333" s="21" t="s">
        <v>39</v>
      </c>
      <c r="C333" s="21" t="s">
        <v>95</v>
      </c>
      <c r="D333" s="21" t="s">
        <v>96</v>
      </c>
      <c r="E333" s="21" t="s">
        <v>97</v>
      </c>
      <c r="F333" s="21" t="s">
        <v>5</v>
      </c>
      <c r="G333" s="21" t="s">
        <v>6</v>
      </c>
      <c r="H333" s="21" t="s">
        <v>35</v>
      </c>
      <c r="I333" s="21" t="s">
        <v>36</v>
      </c>
      <c r="J333" s="21" t="s">
        <v>9</v>
      </c>
      <c r="K333" s="21" t="s">
        <v>251</v>
      </c>
      <c r="L333" s="21" t="s">
        <v>259</v>
      </c>
      <c r="M333" s="21" t="s">
        <v>15</v>
      </c>
      <c r="N333" s="54">
        <v>851.44</v>
      </c>
      <c r="O333" s="54">
        <v>0</v>
      </c>
      <c r="P333" s="54">
        <v>0</v>
      </c>
      <c r="Q333" s="54">
        <v>851.44</v>
      </c>
      <c r="R333" s="54">
        <v>0</v>
      </c>
      <c r="S333" s="54">
        <v>232.7</v>
      </c>
      <c r="T333" s="54">
        <v>232.7</v>
      </c>
      <c r="U333" s="54">
        <v>618.74</v>
      </c>
      <c r="V333" s="54">
        <v>618.74</v>
      </c>
      <c r="W333" s="54">
        <v>618.74</v>
      </c>
    </row>
    <row r="334" spans="1:23" outlineLevel="2" x14ac:dyDescent="0.2">
      <c r="A334" s="21" t="s">
        <v>0</v>
      </c>
      <c r="B334" s="21" t="s">
        <v>39</v>
      </c>
      <c r="C334" s="21" t="s">
        <v>58</v>
      </c>
      <c r="D334" s="21" t="s">
        <v>149</v>
      </c>
      <c r="E334" s="21" t="s">
        <v>150</v>
      </c>
      <c r="F334" s="21" t="s">
        <v>5</v>
      </c>
      <c r="G334" s="21" t="s">
        <v>6</v>
      </c>
      <c r="H334" s="21" t="s">
        <v>35</v>
      </c>
      <c r="I334" s="21" t="s">
        <v>36</v>
      </c>
      <c r="J334" s="21" t="s">
        <v>9</v>
      </c>
      <c r="K334" s="21" t="s">
        <v>251</v>
      </c>
      <c r="L334" s="21" t="s">
        <v>252</v>
      </c>
      <c r="M334" s="21" t="s">
        <v>15</v>
      </c>
      <c r="N334" s="54">
        <v>11482.71</v>
      </c>
      <c r="O334" s="54">
        <v>0</v>
      </c>
      <c r="P334" s="54">
        <v>0</v>
      </c>
      <c r="Q334" s="54">
        <v>11482.71</v>
      </c>
      <c r="R334" s="54">
        <v>0</v>
      </c>
      <c r="S334" s="54">
        <v>8209.74</v>
      </c>
      <c r="T334" s="54">
        <v>8209.74</v>
      </c>
      <c r="U334" s="54">
        <v>3272.97</v>
      </c>
      <c r="V334" s="54">
        <v>3272.97</v>
      </c>
      <c r="W334" s="54">
        <v>3272.97</v>
      </c>
    </row>
    <row r="335" spans="1:23" outlineLevel="2" x14ac:dyDescent="0.2">
      <c r="A335" s="21" t="s">
        <v>0</v>
      </c>
      <c r="B335" s="21" t="s">
        <v>1</v>
      </c>
      <c r="C335" s="21" t="s">
        <v>99</v>
      </c>
      <c r="D335" s="21" t="s">
        <v>100</v>
      </c>
      <c r="E335" s="21" t="s">
        <v>101</v>
      </c>
      <c r="F335" s="21" t="s">
        <v>5</v>
      </c>
      <c r="G335" s="21" t="s">
        <v>6</v>
      </c>
      <c r="H335" s="21" t="s">
        <v>35</v>
      </c>
      <c r="I335" s="21" t="s">
        <v>36</v>
      </c>
      <c r="J335" s="21" t="s">
        <v>9</v>
      </c>
      <c r="K335" s="21" t="s">
        <v>251</v>
      </c>
      <c r="L335" s="21" t="s">
        <v>256</v>
      </c>
      <c r="M335" s="21" t="s">
        <v>15</v>
      </c>
      <c r="N335" s="54">
        <v>2024.46</v>
      </c>
      <c r="O335" s="54">
        <v>0</v>
      </c>
      <c r="P335" s="54">
        <v>0</v>
      </c>
      <c r="Q335" s="54">
        <v>2024.46</v>
      </c>
      <c r="R335" s="54">
        <v>0</v>
      </c>
      <c r="S335" s="54">
        <v>2005.3</v>
      </c>
      <c r="T335" s="54">
        <v>2005.3</v>
      </c>
      <c r="U335" s="54">
        <v>19.16</v>
      </c>
      <c r="V335" s="54">
        <v>19.16</v>
      </c>
      <c r="W335" s="54">
        <v>19.16</v>
      </c>
    </row>
    <row r="336" spans="1:23" outlineLevel="2" x14ac:dyDescent="0.2">
      <c r="A336" s="21" t="s">
        <v>0</v>
      </c>
      <c r="B336" s="21" t="s">
        <v>53</v>
      </c>
      <c r="C336" s="21" t="s">
        <v>54</v>
      </c>
      <c r="D336" s="21" t="s">
        <v>55</v>
      </c>
      <c r="E336" s="21" t="s">
        <v>56</v>
      </c>
      <c r="F336" s="21" t="s">
        <v>5</v>
      </c>
      <c r="G336" s="21" t="s">
        <v>6</v>
      </c>
      <c r="H336" s="21" t="s">
        <v>35</v>
      </c>
      <c r="I336" s="21" t="s">
        <v>36</v>
      </c>
      <c r="J336" s="21" t="s">
        <v>9</v>
      </c>
      <c r="K336" s="21" t="s">
        <v>251</v>
      </c>
      <c r="L336" s="21" t="s">
        <v>257</v>
      </c>
      <c r="M336" s="21" t="s">
        <v>15</v>
      </c>
      <c r="N336" s="54">
        <v>7644.06</v>
      </c>
      <c r="O336" s="54">
        <v>909.32</v>
      </c>
      <c r="P336" s="54">
        <v>0</v>
      </c>
      <c r="Q336" s="54">
        <v>8553.3799999999992</v>
      </c>
      <c r="R336" s="54">
        <v>0</v>
      </c>
      <c r="S336" s="54">
        <v>7039.62</v>
      </c>
      <c r="T336" s="54">
        <v>7039.62</v>
      </c>
      <c r="U336" s="54">
        <v>1513.76</v>
      </c>
      <c r="V336" s="54">
        <v>1513.76</v>
      </c>
      <c r="W336" s="54">
        <v>1513.76</v>
      </c>
    </row>
    <row r="337" spans="1:23" outlineLevel="2" x14ac:dyDescent="0.2">
      <c r="A337" s="21" t="s">
        <v>0</v>
      </c>
      <c r="B337" s="21" t="s">
        <v>39</v>
      </c>
      <c r="C337" s="21" t="s">
        <v>58</v>
      </c>
      <c r="D337" s="21" t="s">
        <v>137</v>
      </c>
      <c r="E337" s="21" t="s">
        <v>138</v>
      </c>
      <c r="F337" s="21" t="s">
        <v>5</v>
      </c>
      <c r="G337" s="21" t="s">
        <v>6</v>
      </c>
      <c r="H337" s="21" t="s">
        <v>35</v>
      </c>
      <c r="I337" s="21" t="s">
        <v>36</v>
      </c>
      <c r="J337" s="21" t="s">
        <v>9</v>
      </c>
      <c r="K337" s="21" t="s">
        <v>251</v>
      </c>
      <c r="L337" s="21" t="s">
        <v>252</v>
      </c>
      <c r="M337" s="21" t="s">
        <v>15</v>
      </c>
      <c r="N337" s="54">
        <v>5319.27</v>
      </c>
      <c r="O337" s="54">
        <v>0</v>
      </c>
      <c r="P337" s="54">
        <v>0</v>
      </c>
      <c r="Q337" s="54">
        <v>5319.27</v>
      </c>
      <c r="R337" s="54">
        <v>0</v>
      </c>
      <c r="S337" s="54">
        <v>5032.83</v>
      </c>
      <c r="T337" s="54">
        <v>5032.83</v>
      </c>
      <c r="U337" s="54">
        <v>286.44</v>
      </c>
      <c r="V337" s="54">
        <v>286.44</v>
      </c>
      <c r="W337" s="54">
        <v>286.44</v>
      </c>
    </row>
    <row r="338" spans="1:23" outlineLevel="2" x14ac:dyDescent="0.2">
      <c r="A338" s="21" t="s">
        <v>0</v>
      </c>
      <c r="B338" s="21" t="s">
        <v>31</v>
      </c>
      <c r="C338" s="21" t="s">
        <v>79</v>
      </c>
      <c r="D338" s="21" t="s">
        <v>80</v>
      </c>
      <c r="E338" s="21" t="s">
        <v>81</v>
      </c>
      <c r="F338" s="21" t="s">
        <v>5</v>
      </c>
      <c r="G338" s="21" t="s">
        <v>6</v>
      </c>
      <c r="H338" s="21" t="s">
        <v>35</v>
      </c>
      <c r="I338" s="21" t="s">
        <v>36</v>
      </c>
      <c r="J338" s="21" t="s">
        <v>9</v>
      </c>
      <c r="K338" s="21" t="s">
        <v>251</v>
      </c>
      <c r="L338" s="21" t="s">
        <v>258</v>
      </c>
      <c r="M338" s="21" t="s">
        <v>15</v>
      </c>
      <c r="N338" s="54">
        <v>502.42</v>
      </c>
      <c r="O338" s="54">
        <v>0</v>
      </c>
      <c r="P338" s="54">
        <v>0</v>
      </c>
      <c r="Q338" s="54">
        <v>502.42</v>
      </c>
      <c r="R338" s="54">
        <v>0</v>
      </c>
      <c r="S338" s="54">
        <v>461.84</v>
      </c>
      <c r="T338" s="54">
        <v>461.84</v>
      </c>
      <c r="U338" s="54">
        <v>40.58</v>
      </c>
      <c r="V338" s="54">
        <v>40.58</v>
      </c>
      <c r="W338" s="54">
        <v>40.58</v>
      </c>
    </row>
    <row r="339" spans="1:23" outlineLevel="2" x14ac:dyDescent="0.2">
      <c r="A339" s="21" t="s">
        <v>0</v>
      </c>
      <c r="B339" s="21" t="s">
        <v>1</v>
      </c>
      <c r="C339" s="21" t="s">
        <v>16</v>
      </c>
      <c r="D339" s="21" t="s">
        <v>103</v>
      </c>
      <c r="E339" s="21" t="s">
        <v>104</v>
      </c>
      <c r="F339" s="21" t="s">
        <v>5</v>
      </c>
      <c r="G339" s="21" t="s">
        <v>6</v>
      </c>
      <c r="H339" s="21" t="s">
        <v>35</v>
      </c>
      <c r="I339" s="21" t="s">
        <v>36</v>
      </c>
      <c r="J339" s="21" t="s">
        <v>9</v>
      </c>
      <c r="K339" s="21" t="s">
        <v>251</v>
      </c>
      <c r="L339" s="21" t="s">
        <v>255</v>
      </c>
      <c r="M339" s="21" t="s">
        <v>15</v>
      </c>
      <c r="N339" s="54">
        <v>3077.59</v>
      </c>
      <c r="O339" s="54">
        <v>-97.48</v>
      </c>
      <c r="P339" s="54">
        <v>0</v>
      </c>
      <c r="Q339" s="54">
        <v>2980.11</v>
      </c>
      <c r="R339" s="54">
        <v>0</v>
      </c>
      <c r="S339" s="54">
        <v>2289.66</v>
      </c>
      <c r="T339" s="54">
        <v>2289.66</v>
      </c>
      <c r="U339" s="54">
        <v>690.45</v>
      </c>
      <c r="V339" s="54">
        <v>690.45</v>
      </c>
      <c r="W339" s="54">
        <v>690.45</v>
      </c>
    </row>
    <row r="340" spans="1:23" outlineLevel="2" x14ac:dyDescent="0.2">
      <c r="A340" s="21" t="s">
        <v>0</v>
      </c>
      <c r="B340" s="21" t="s">
        <v>31</v>
      </c>
      <c r="C340" s="21" t="s">
        <v>79</v>
      </c>
      <c r="D340" s="21" t="s">
        <v>133</v>
      </c>
      <c r="E340" s="21" t="s">
        <v>134</v>
      </c>
      <c r="F340" s="21" t="s">
        <v>5</v>
      </c>
      <c r="G340" s="21" t="s">
        <v>6</v>
      </c>
      <c r="H340" s="21" t="s">
        <v>35</v>
      </c>
      <c r="I340" s="21" t="s">
        <v>36</v>
      </c>
      <c r="J340" s="21" t="s">
        <v>9</v>
      </c>
      <c r="K340" s="21" t="s">
        <v>251</v>
      </c>
      <c r="L340" s="21" t="s">
        <v>258</v>
      </c>
      <c r="M340" s="21" t="s">
        <v>15</v>
      </c>
      <c r="N340" s="54">
        <v>1753.8</v>
      </c>
      <c r="O340" s="54">
        <v>601</v>
      </c>
      <c r="P340" s="54">
        <v>0</v>
      </c>
      <c r="Q340" s="54">
        <v>2354.8000000000002</v>
      </c>
      <c r="R340" s="54">
        <v>0</v>
      </c>
      <c r="S340" s="54">
        <v>1948.7</v>
      </c>
      <c r="T340" s="54">
        <v>1948.7</v>
      </c>
      <c r="U340" s="54">
        <v>406.1</v>
      </c>
      <c r="V340" s="54">
        <v>406.1</v>
      </c>
      <c r="W340" s="54">
        <v>406.1</v>
      </c>
    </row>
    <row r="341" spans="1:23" outlineLevel="2" x14ac:dyDescent="0.2">
      <c r="A341" s="21" t="s">
        <v>0</v>
      </c>
      <c r="B341" s="21" t="s">
        <v>53</v>
      </c>
      <c r="C341" s="21" t="s">
        <v>85</v>
      </c>
      <c r="D341" s="21" t="s">
        <v>86</v>
      </c>
      <c r="E341" s="21" t="s">
        <v>87</v>
      </c>
      <c r="F341" s="21" t="s">
        <v>5</v>
      </c>
      <c r="G341" s="21" t="s">
        <v>6</v>
      </c>
      <c r="H341" s="21" t="s">
        <v>35</v>
      </c>
      <c r="I341" s="21" t="s">
        <v>36</v>
      </c>
      <c r="J341" s="21" t="s">
        <v>9</v>
      </c>
      <c r="K341" s="21" t="s">
        <v>251</v>
      </c>
      <c r="L341" s="21" t="s">
        <v>265</v>
      </c>
      <c r="M341" s="21" t="s">
        <v>15</v>
      </c>
      <c r="N341" s="54">
        <v>450.48</v>
      </c>
      <c r="O341" s="54">
        <v>-450.48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</row>
    <row r="342" spans="1:23" outlineLevel="2" x14ac:dyDescent="0.2">
      <c r="A342" s="21" t="s">
        <v>0</v>
      </c>
      <c r="B342" s="21" t="s">
        <v>39</v>
      </c>
      <c r="C342" s="21" t="s">
        <v>40</v>
      </c>
      <c r="D342" s="21" t="s">
        <v>77</v>
      </c>
      <c r="E342" s="21" t="s">
        <v>78</v>
      </c>
      <c r="F342" s="21" t="s">
        <v>5</v>
      </c>
      <c r="G342" s="21" t="s">
        <v>6</v>
      </c>
      <c r="H342" s="21" t="s">
        <v>35</v>
      </c>
      <c r="I342" s="21" t="s">
        <v>36</v>
      </c>
      <c r="J342" s="21" t="s">
        <v>9</v>
      </c>
      <c r="K342" s="21" t="s">
        <v>251</v>
      </c>
      <c r="L342" s="21" t="s">
        <v>263</v>
      </c>
      <c r="M342" s="21" t="s">
        <v>15</v>
      </c>
      <c r="N342" s="54">
        <v>435.48</v>
      </c>
      <c r="O342" s="54">
        <v>0</v>
      </c>
      <c r="P342" s="54">
        <v>0</v>
      </c>
      <c r="Q342" s="54">
        <v>435.48</v>
      </c>
      <c r="R342" s="54">
        <v>0</v>
      </c>
      <c r="S342" s="54">
        <v>193.48</v>
      </c>
      <c r="T342" s="54">
        <v>193.48</v>
      </c>
      <c r="U342" s="54">
        <v>242</v>
      </c>
      <c r="V342" s="54">
        <v>242</v>
      </c>
      <c r="W342" s="54">
        <v>242</v>
      </c>
    </row>
    <row r="343" spans="1:23" outlineLevel="2" x14ac:dyDescent="0.2">
      <c r="A343" s="21" t="s">
        <v>0</v>
      </c>
      <c r="B343" s="21" t="s">
        <v>31</v>
      </c>
      <c r="C343" s="21" t="s">
        <v>32</v>
      </c>
      <c r="D343" s="21" t="s">
        <v>123</v>
      </c>
      <c r="E343" s="21" t="s">
        <v>124</v>
      </c>
      <c r="F343" s="21" t="s">
        <v>5</v>
      </c>
      <c r="G343" s="21" t="s">
        <v>6</v>
      </c>
      <c r="H343" s="21" t="s">
        <v>35</v>
      </c>
      <c r="I343" s="21" t="s">
        <v>36</v>
      </c>
      <c r="J343" s="21" t="s">
        <v>9</v>
      </c>
      <c r="K343" s="21" t="s">
        <v>251</v>
      </c>
      <c r="L343" s="21" t="s">
        <v>254</v>
      </c>
      <c r="M343" s="21" t="s">
        <v>15</v>
      </c>
      <c r="N343" s="54">
        <v>3432.33</v>
      </c>
      <c r="O343" s="54">
        <v>29.58</v>
      </c>
      <c r="P343" s="54">
        <v>0</v>
      </c>
      <c r="Q343" s="54">
        <v>3461.91</v>
      </c>
      <c r="R343" s="54">
        <v>0</v>
      </c>
      <c r="S343" s="54">
        <v>2965.72</v>
      </c>
      <c r="T343" s="54">
        <v>2965.72</v>
      </c>
      <c r="U343" s="54">
        <v>496.19</v>
      </c>
      <c r="V343" s="54">
        <v>496.19</v>
      </c>
      <c r="W343" s="54">
        <v>496.19</v>
      </c>
    </row>
    <row r="344" spans="1:23" outlineLevel="2" x14ac:dyDescent="0.2">
      <c r="A344" s="21" t="s">
        <v>0</v>
      </c>
      <c r="B344" s="21" t="s">
        <v>39</v>
      </c>
      <c r="C344" s="21" t="s">
        <v>70</v>
      </c>
      <c r="D344" s="21" t="s">
        <v>89</v>
      </c>
      <c r="E344" s="21" t="s">
        <v>90</v>
      </c>
      <c r="F344" s="21" t="s">
        <v>5</v>
      </c>
      <c r="G344" s="21" t="s">
        <v>6</v>
      </c>
      <c r="H344" s="21" t="s">
        <v>35</v>
      </c>
      <c r="I344" s="21" t="s">
        <v>36</v>
      </c>
      <c r="J344" s="21" t="s">
        <v>9</v>
      </c>
      <c r="K344" s="21" t="s">
        <v>251</v>
      </c>
      <c r="L344" s="21" t="s">
        <v>264</v>
      </c>
      <c r="M344" s="21" t="s">
        <v>15</v>
      </c>
      <c r="N344" s="54">
        <v>1117.68</v>
      </c>
      <c r="O344" s="54">
        <v>375</v>
      </c>
      <c r="P344" s="54">
        <v>0</v>
      </c>
      <c r="Q344" s="54">
        <v>1492.68</v>
      </c>
      <c r="R344" s="54">
        <v>0</v>
      </c>
      <c r="S344" s="54">
        <v>1241.8</v>
      </c>
      <c r="T344" s="54">
        <v>1241.8</v>
      </c>
      <c r="U344" s="54">
        <v>250.88</v>
      </c>
      <c r="V344" s="54">
        <v>250.88</v>
      </c>
      <c r="W344" s="54">
        <v>250.88</v>
      </c>
    </row>
    <row r="345" spans="1:23" outlineLevel="2" x14ac:dyDescent="0.2">
      <c r="A345" s="21" t="s">
        <v>0</v>
      </c>
      <c r="B345" s="21" t="s">
        <v>39</v>
      </c>
      <c r="C345" s="21" t="s">
        <v>40</v>
      </c>
      <c r="D345" s="21" t="s">
        <v>41</v>
      </c>
      <c r="E345" s="21" t="s">
        <v>42</v>
      </c>
      <c r="F345" s="21" t="s">
        <v>5</v>
      </c>
      <c r="G345" s="21" t="s">
        <v>6</v>
      </c>
      <c r="H345" s="21" t="s">
        <v>35</v>
      </c>
      <c r="I345" s="21" t="s">
        <v>36</v>
      </c>
      <c r="J345" s="21" t="s">
        <v>9</v>
      </c>
      <c r="K345" s="21" t="s">
        <v>251</v>
      </c>
      <c r="L345" s="21" t="s">
        <v>263</v>
      </c>
      <c r="M345" s="21" t="s">
        <v>15</v>
      </c>
      <c r="N345" s="54">
        <v>1545.3</v>
      </c>
      <c r="O345" s="54">
        <v>0</v>
      </c>
      <c r="P345" s="54">
        <v>0</v>
      </c>
      <c r="Q345" s="54">
        <v>1545.3</v>
      </c>
      <c r="R345" s="54">
        <v>0</v>
      </c>
      <c r="S345" s="54">
        <v>1078.3699999999999</v>
      </c>
      <c r="T345" s="54">
        <v>1078.3699999999999</v>
      </c>
      <c r="U345" s="54">
        <v>466.93</v>
      </c>
      <c r="V345" s="54">
        <v>466.93</v>
      </c>
      <c r="W345" s="54">
        <v>466.93</v>
      </c>
    </row>
    <row r="346" spans="1:23" outlineLevel="2" x14ac:dyDescent="0.2">
      <c r="A346" s="21" t="s">
        <v>0</v>
      </c>
      <c r="B346" s="21" t="s">
        <v>39</v>
      </c>
      <c r="C346" s="21" t="s">
        <v>70</v>
      </c>
      <c r="D346" s="21" t="s">
        <v>71</v>
      </c>
      <c r="E346" s="21" t="s">
        <v>72</v>
      </c>
      <c r="F346" s="21" t="s">
        <v>5</v>
      </c>
      <c r="G346" s="21" t="s">
        <v>6</v>
      </c>
      <c r="H346" s="21" t="s">
        <v>35</v>
      </c>
      <c r="I346" s="21" t="s">
        <v>36</v>
      </c>
      <c r="J346" s="21" t="s">
        <v>9</v>
      </c>
      <c r="K346" s="21" t="s">
        <v>251</v>
      </c>
      <c r="L346" s="21" t="s">
        <v>264</v>
      </c>
      <c r="M346" s="21" t="s">
        <v>15</v>
      </c>
      <c r="N346" s="54">
        <v>3632.23</v>
      </c>
      <c r="O346" s="54">
        <v>0</v>
      </c>
      <c r="P346" s="54">
        <v>0</v>
      </c>
      <c r="Q346" s="54">
        <v>3632.23</v>
      </c>
      <c r="R346" s="54">
        <v>0</v>
      </c>
      <c r="S346" s="54">
        <v>2713.37</v>
      </c>
      <c r="T346" s="54">
        <v>2713.37</v>
      </c>
      <c r="U346" s="54">
        <v>918.86</v>
      </c>
      <c r="V346" s="54">
        <v>918.86</v>
      </c>
      <c r="W346" s="54">
        <v>918.86</v>
      </c>
    </row>
    <row r="347" spans="1:23" outlineLevel="2" x14ac:dyDescent="0.2">
      <c r="A347" s="21" t="s">
        <v>0</v>
      </c>
      <c r="B347" s="21" t="s">
        <v>1</v>
      </c>
      <c r="C347" s="21" t="s">
        <v>91</v>
      </c>
      <c r="D347" s="21" t="s">
        <v>92</v>
      </c>
      <c r="E347" s="21" t="s">
        <v>93</v>
      </c>
      <c r="F347" s="21" t="s">
        <v>5</v>
      </c>
      <c r="G347" s="21" t="s">
        <v>6</v>
      </c>
      <c r="H347" s="21" t="s">
        <v>35</v>
      </c>
      <c r="I347" s="21" t="s">
        <v>36</v>
      </c>
      <c r="J347" s="21" t="s">
        <v>9</v>
      </c>
      <c r="K347" s="21" t="s">
        <v>251</v>
      </c>
      <c r="L347" s="21" t="s">
        <v>261</v>
      </c>
      <c r="M347" s="21" t="s">
        <v>15</v>
      </c>
      <c r="N347" s="54">
        <v>1108.3900000000001</v>
      </c>
      <c r="O347" s="54">
        <v>227.15</v>
      </c>
      <c r="P347" s="54">
        <v>0</v>
      </c>
      <c r="Q347" s="54">
        <v>1335.54</v>
      </c>
      <c r="R347" s="54">
        <v>0</v>
      </c>
      <c r="S347" s="54">
        <v>1110.5999999999999</v>
      </c>
      <c r="T347" s="54">
        <v>1110.5999999999999</v>
      </c>
      <c r="U347" s="54">
        <v>224.94</v>
      </c>
      <c r="V347" s="54">
        <v>224.94</v>
      </c>
      <c r="W347" s="54">
        <v>224.94</v>
      </c>
    </row>
    <row r="348" spans="1:23" outlineLevel="2" x14ac:dyDescent="0.2">
      <c r="A348" s="21" t="s">
        <v>0</v>
      </c>
      <c r="B348" s="21" t="s">
        <v>1</v>
      </c>
      <c r="C348" s="21" t="s">
        <v>2</v>
      </c>
      <c r="D348" s="21" t="s">
        <v>20</v>
      </c>
      <c r="E348" s="21" t="s">
        <v>21</v>
      </c>
      <c r="F348" s="21" t="s">
        <v>5</v>
      </c>
      <c r="G348" s="21" t="s">
        <v>6</v>
      </c>
      <c r="H348" s="21" t="s">
        <v>35</v>
      </c>
      <c r="I348" s="21" t="s">
        <v>36</v>
      </c>
      <c r="J348" s="21" t="s">
        <v>9</v>
      </c>
      <c r="K348" s="21" t="s">
        <v>251</v>
      </c>
      <c r="L348" s="21" t="s">
        <v>253</v>
      </c>
      <c r="M348" s="21" t="s">
        <v>15</v>
      </c>
      <c r="N348" s="54">
        <v>22870.53</v>
      </c>
      <c r="O348" s="54">
        <v>5897.48</v>
      </c>
      <c r="P348" s="54">
        <v>0</v>
      </c>
      <c r="Q348" s="54">
        <v>28768.01</v>
      </c>
      <c r="R348" s="54">
        <v>0</v>
      </c>
      <c r="S348" s="54">
        <v>23977.77</v>
      </c>
      <c r="T348" s="54">
        <v>23977.77</v>
      </c>
      <c r="U348" s="54">
        <v>4790.24</v>
      </c>
      <c r="V348" s="54">
        <v>4790.24</v>
      </c>
      <c r="W348" s="54">
        <v>4790.24</v>
      </c>
    </row>
    <row r="349" spans="1:23" outlineLevel="2" x14ac:dyDescent="0.2">
      <c r="A349" s="21" t="s">
        <v>0</v>
      </c>
      <c r="B349" s="21" t="s">
        <v>31</v>
      </c>
      <c r="C349" s="21" t="s">
        <v>79</v>
      </c>
      <c r="D349" s="21" t="s">
        <v>125</v>
      </c>
      <c r="E349" s="21" t="s">
        <v>126</v>
      </c>
      <c r="F349" s="21" t="s">
        <v>5</v>
      </c>
      <c r="G349" s="21" t="s">
        <v>6</v>
      </c>
      <c r="H349" s="21" t="s">
        <v>35</v>
      </c>
      <c r="I349" s="21" t="s">
        <v>36</v>
      </c>
      <c r="J349" s="21" t="s">
        <v>9</v>
      </c>
      <c r="K349" s="21" t="s">
        <v>251</v>
      </c>
      <c r="L349" s="21" t="s">
        <v>258</v>
      </c>
      <c r="M349" s="21" t="s">
        <v>15</v>
      </c>
      <c r="N349" s="54">
        <v>667.19</v>
      </c>
      <c r="O349" s="54">
        <v>0</v>
      </c>
      <c r="P349" s="54">
        <v>0</v>
      </c>
      <c r="Q349" s="54">
        <v>667.19</v>
      </c>
      <c r="R349" s="54">
        <v>0</v>
      </c>
      <c r="S349" s="54">
        <v>642.1</v>
      </c>
      <c r="T349" s="54">
        <v>642.1</v>
      </c>
      <c r="U349" s="54">
        <v>25.09</v>
      </c>
      <c r="V349" s="54">
        <v>25.09</v>
      </c>
      <c r="W349" s="54">
        <v>25.09</v>
      </c>
    </row>
    <row r="350" spans="1:23" outlineLevel="2" x14ac:dyDescent="0.2">
      <c r="A350" s="21" t="s">
        <v>0</v>
      </c>
      <c r="B350" s="21" t="s">
        <v>31</v>
      </c>
      <c r="C350" s="21" t="s">
        <v>32</v>
      </c>
      <c r="D350" s="21" t="s">
        <v>141</v>
      </c>
      <c r="E350" s="21" t="s">
        <v>142</v>
      </c>
      <c r="F350" s="21" t="s">
        <v>5</v>
      </c>
      <c r="G350" s="21" t="s">
        <v>6</v>
      </c>
      <c r="H350" s="21" t="s">
        <v>35</v>
      </c>
      <c r="I350" s="21" t="s">
        <v>36</v>
      </c>
      <c r="J350" s="21" t="s">
        <v>9</v>
      </c>
      <c r="K350" s="21" t="s">
        <v>251</v>
      </c>
      <c r="L350" s="21" t="s">
        <v>254</v>
      </c>
      <c r="M350" s="21" t="s">
        <v>15</v>
      </c>
      <c r="N350" s="54">
        <v>1346.71</v>
      </c>
      <c r="O350" s="54">
        <v>0</v>
      </c>
      <c r="P350" s="54">
        <v>0</v>
      </c>
      <c r="Q350" s="54">
        <v>1346.71</v>
      </c>
      <c r="R350" s="54">
        <v>0</v>
      </c>
      <c r="S350" s="54">
        <v>1147.6400000000001</v>
      </c>
      <c r="T350" s="54">
        <v>1147.6400000000001</v>
      </c>
      <c r="U350" s="54">
        <v>199.07</v>
      </c>
      <c r="V350" s="54">
        <v>199.07</v>
      </c>
      <c r="W350" s="54">
        <v>199.07</v>
      </c>
    </row>
    <row r="351" spans="1:23" outlineLevel="2" x14ac:dyDescent="0.2">
      <c r="A351" s="21" t="s">
        <v>0</v>
      </c>
      <c r="B351" s="21" t="s">
        <v>39</v>
      </c>
      <c r="C351" s="21" t="s">
        <v>58</v>
      </c>
      <c r="D351" s="21" t="s">
        <v>59</v>
      </c>
      <c r="E351" s="21" t="s">
        <v>60</v>
      </c>
      <c r="F351" s="21" t="s">
        <v>5</v>
      </c>
      <c r="G351" s="21" t="s">
        <v>6</v>
      </c>
      <c r="H351" s="21" t="s">
        <v>35</v>
      </c>
      <c r="I351" s="21" t="s">
        <v>36</v>
      </c>
      <c r="J351" s="21" t="s">
        <v>9</v>
      </c>
      <c r="K351" s="21" t="s">
        <v>251</v>
      </c>
      <c r="L351" s="21" t="s">
        <v>252</v>
      </c>
      <c r="M351" s="21" t="s">
        <v>15</v>
      </c>
      <c r="N351" s="54">
        <v>1830.06</v>
      </c>
      <c r="O351" s="54">
        <v>220</v>
      </c>
      <c r="P351" s="54">
        <v>0</v>
      </c>
      <c r="Q351" s="54">
        <v>2050.06</v>
      </c>
      <c r="R351" s="54">
        <v>0</v>
      </c>
      <c r="S351" s="54">
        <v>2033.4</v>
      </c>
      <c r="T351" s="54">
        <v>2033.4</v>
      </c>
      <c r="U351" s="54">
        <v>16.66</v>
      </c>
      <c r="V351" s="54">
        <v>16.66</v>
      </c>
      <c r="W351" s="54">
        <v>16.66</v>
      </c>
    </row>
    <row r="352" spans="1:23" outlineLevel="2" x14ac:dyDescent="0.2">
      <c r="A352" s="21" t="s">
        <v>0</v>
      </c>
      <c r="B352" s="21" t="s">
        <v>31</v>
      </c>
      <c r="C352" s="21" t="s">
        <v>79</v>
      </c>
      <c r="D352" s="21" t="s">
        <v>115</v>
      </c>
      <c r="E352" s="21" t="s">
        <v>116</v>
      </c>
      <c r="F352" s="21" t="s">
        <v>5</v>
      </c>
      <c r="G352" s="21" t="s">
        <v>6</v>
      </c>
      <c r="H352" s="21" t="s">
        <v>35</v>
      </c>
      <c r="I352" s="21" t="s">
        <v>36</v>
      </c>
      <c r="J352" s="21" t="s">
        <v>9</v>
      </c>
      <c r="K352" s="21" t="s">
        <v>251</v>
      </c>
      <c r="L352" s="21" t="s">
        <v>258</v>
      </c>
      <c r="M352" s="21" t="s">
        <v>15</v>
      </c>
      <c r="N352" s="54">
        <v>408.55</v>
      </c>
      <c r="O352" s="54">
        <v>0</v>
      </c>
      <c r="P352" s="54">
        <v>0</v>
      </c>
      <c r="Q352" s="54">
        <v>408.55</v>
      </c>
      <c r="R352" s="54">
        <v>0</v>
      </c>
      <c r="S352" s="54">
        <v>261.08</v>
      </c>
      <c r="T352" s="54">
        <v>261.08</v>
      </c>
      <c r="U352" s="54">
        <v>147.47</v>
      </c>
      <c r="V352" s="54">
        <v>147.47</v>
      </c>
      <c r="W352" s="54">
        <v>147.47</v>
      </c>
    </row>
    <row r="353" spans="1:23" outlineLevel="2" x14ac:dyDescent="0.2">
      <c r="A353" s="21" t="s">
        <v>0</v>
      </c>
      <c r="B353" s="21" t="s">
        <v>31</v>
      </c>
      <c r="C353" s="21" t="s">
        <v>32</v>
      </c>
      <c r="D353" s="21" t="s">
        <v>75</v>
      </c>
      <c r="E353" s="21" t="s">
        <v>76</v>
      </c>
      <c r="F353" s="21" t="s">
        <v>5</v>
      </c>
      <c r="G353" s="21" t="s">
        <v>6</v>
      </c>
      <c r="H353" s="21" t="s">
        <v>35</v>
      </c>
      <c r="I353" s="21" t="s">
        <v>36</v>
      </c>
      <c r="J353" s="21" t="s">
        <v>9</v>
      </c>
      <c r="K353" s="21" t="s">
        <v>251</v>
      </c>
      <c r="L353" s="21" t="s">
        <v>254</v>
      </c>
      <c r="M353" s="21" t="s">
        <v>15</v>
      </c>
      <c r="N353" s="54">
        <v>4555.0600000000004</v>
      </c>
      <c r="O353" s="54">
        <v>-47.12</v>
      </c>
      <c r="P353" s="54">
        <v>0</v>
      </c>
      <c r="Q353" s="54">
        <v>4507.9399999999996</v>
      </c>
      <c r="R353" s="54">
        <v>0</v>
      </c>
      <c r="S353" s="54">
        <v>4293.54</v>
      </c>
      <c r="T353" s="54">
        <v>4293.54</v>
      </c>
      <c r="U353" s="54">
        <v>214.4</v>
      </c>
      <c r="V353" s="54">
        <v>214.4</v>
      </c>
      <c r="W353" s="54">
        <v>214.4</v>
      </c>
    </row>
    <row r="354" spans="1:23" outlineLevel="2" x14ac:dyDescent="0.2">
      <c r="A354" s="21" t="s">
        <v>0</v>
      </c>
      <c r="B354" s="21" t="s">
        <v>31</v>
      </c>
      <c r="C354" s="21" t="s">
        <v>107</v>
      </c>
      <c r="D354" s="21" t="s">
        <v>108</v>
      </c>
      <c r="E354" s="21" t="s">
        <v>109</v>
      </c>
      <c r="F354" s="21" t="s">
        <v>5</v>
      </c>
      <c r="G354" s="21" t="s">
        <v>6</v>
      </c>
      <c r="H354" s="21" t="s">
        <v>35</v>
      </c>
      <c r="I354" s="21" t="s">
        <v>36</v>
      </c>
      <c r="J354" s="21" t="s">
        <v>9</v>
      </c>
      <c r="K354" s="21" t="s">
        <v>251</v>
      </c>
      <c r="L354" s="21" t="s">
        <v>260</v>
      </c>
      <c r="M354" s="21" t="s">
        <v>15</v>
      </c>
      <c r="N354" s="54">
        <v>2882.04</v>
      </c>
      <c r="O354" s="54">
        <v>650</v>
      </c>
      <c r="P354" s="54">
        <v>0</v>
      </c>
      <c r="Q354" s="54">
        <v>3532.04</v>
      </c>
      <c r="R354" s="54">
        <v>0</v>
      </c>
      <c r="S354" s="54">
        <v>3037.85</v>
      </c>
      <c r="T354" s="54">
        <v>3037.85</v>
      </c>
      <c r="U354" s="54">
        <v>494.19</v>
      </c>
      <c r="V354" s="54">
        <v>494.19</v>
      </c>
      <c r="W354" s="54">
        <v>494.19</v>
      </c>
    </row>
    <row r="355" spans="1:23" outlineLevel="2" x14ac:dyDescent="0.2">
      <c r="A355" s="21" t="s">
        <v>0</v>
      </c>
      <c r="B355" s="21" t="s">
        <v>39</v>
      </c>
      <c r="C355" s="21" t="s">
        <v>58</v>
      </c>
      <c r="D355" s="21" t="s">
        <v>143</v>
      </c>
      <c r="E355" s="21" t="s">
        <v>144</v>
      </c>
      <c r="F355" s="21" t="s">
        <v>5</v>
      </c>
      <c r="G355" s="21" t="s">
        <v>6</v>
      </c>
      <c r="H355" s="21" t="s">
        <v>35</v>
      </c>
      <c r="I355" s="21" t="s">
        <v>36</v>
      </c>
      <c r="J355" s="21" t="s">
        <v>9</v>
      </c>
      <c r="K355" s="21" t="s">
        <v>251</v>
      </c>
      <c r="L355" s="21" t="s">
        <v>252</v>
      </c>
      <c r="M355" s="21" t="s">
        <v>15</v>
      </c>
      <c r="N355" s="54">
        <v>2444.5100000000002</v>
      </c>
      <c r="O355" s="54">
        <v>0</v>
      </c>
      <c r="P355" s="54">
        <v>0</v>
      </c>
      <c r="Q355" s="54">
        <v>2444.5100000000002</v>
      </c>
      <c r="R355" s="54">
        <v>0</v>
      </c>
      <c r="S355" s="54">
        <v>2117.4</v>
      </c>
      <c r="T355" s="54">
        <v>2117.4</v>
      </c>
      <c r="U355" s="54">
        <v>327.11</v>
      </c>
      <c r="V355" s="54">
        <v>327.11</v>
      </c>
      <c r="W355" s="54">
        <v>327.11</v>
      </c>
    </row>
    <row r="356" spans="1:23" outlineLevel="2" x14ac:dyDescent="0.2">
      <c r="A356" s="21" t="s">
        <v>0</v>
      </c>
      <c r="B356" s="21" t="s">
        <v>31</v>
      </c>
      <c r="C356" s="21" t="s">
        <v>79</v>
      </c>
      <c r="D356" s="21" t="s">
        <v>111</v>
      </c>
      <c r="E356" s="21" t="s">
        <v>112</v>
      </c>
      <c r="F356" s="21" t="s">
        <v>5</v>
      </c>
      <c r="G356" s="21" t="s">
        <v>6</v>
      </c>
      <c r="H356" s="21" t="s">
        <v>35</v>
      </c>
      <c r="I356" s="21" t="s">
        <v>36</v>
      </c>
      <c r="J356" s="21" t="s">
        <v>9</v>
      </c>
      <c r="K356" s="21" t="s">
        <v>251</v>
      </c>
      <c r="L356" s="21" t="s">
        <v>258</v>
      </c>
      <c r="M356" s="21" t="s">
        <v>15</v>
      </c>
      <c r="N356" s="54">
        <v>204.27</v>
      </c>
      <c r="O356" s="54">
        <v>0</v>
      </c>
      <c r="P356" s="54">
        <v>0</v>
      </c>
      <c r="Q356" s="54">
        <v>204.27</v>
      </c>
      <c r="R356" s="54">
        <v>0</v>
      </c>
      <c r="S356" s="54">
        <v>130.54</v>
      </c>
      <c r="T356" s="54">
        <v>130.54</v>
      </c>
      <c r="U356" s="54">
        <v>73.73</v>
      </c>
      <c r="V356" s="54">
        <v>73.73</v>
      </c>
      <c r="W356" s="54">
        <v>73.73</v>
      </c>
    </row>
    <row r="357" spans="1:23" outlineLevel="2" x14ac:dyDescent="0.2">
      <c r="A357" s="21" t="s">
        <v>0</v>
      </c>
      <c r="B357" s="21" t="s">
        <v>39</v>
      </c>
      <c r="C357" s="21" t="s">
        <v>66</v>
      </c>
      <c r="D357" s="21" t="s">
        <v>121</v>
      </c>
      <c r="E357" s="21" t="s">
        <v>122</v>
      </c>
      <c r="F357" s="21" t="s">
        <v>5</v>
      </c>
      <c r="G357" s="21" t="s">
        <v>6</v>
      </c>
      <c r="H357" s="21" t="s">
        <v>35</v>
      </c>
      <c r="I357" s="21" t="s">
        <v>36</v>
      </c>
      <c r="J357" s="21" t="s">
        <v>9</v>
      </c>
      <c r="K357" s="21" t="s">
        <v>251</v>
      </c>
      <c r="L357" s="21" t="s">
        <v>266</v>
      </c>
      <c r="M357" s="21" t="s">
        <v>15</v>
      </c>
      <c r="N357" s="54">
        <v>216.98</v>
      </c>
      <c r="O357" s="54">
        <v>76</v>
      </c>
      <c r="P357" s="54">
        <v>0</v>
      </c>
      <c r="Q357" s="54">
        <v>292.98</v>
      </c>
      <c r="R357" s="54">
        <v>0</v>
      </c>
      <c r="S357" s="54">
        <v>241.1</v>
      </c>
      <c r="T357" s="54">
        <v>241.1</v>
      </c>
      <c r="U357" s="54">
        <v>51.88</v>
      </c>
      <c r="V357" s="54">
        <v>51.88</v>
      </c>
      <c r="W357" s="54">
        <v>51.88</v>
      </c>
    </row>
    <row r="358" spans="1:23" outlineLevel="2" x14ac:dyDescent="0.2">
      <c r="A358" s="21" t="s">
        <v>0</v>
      </c>
      <c r="B358" s="21" t="s">
        <v>1</v>
      </c>
      <c r="C358" s="21" t="s">
        <v>44</v>
      </c>
      <c r="D358" s="21" t="s">
        <v>45</v>
      </c>
      <c r="E358" s="21" t="s">
        <v>46</v>
      </c>
      <c r="F358" s="21" t="s">
        <v>5</v>
      </c>
      <c r="G358" s="21" t="s">
        <v>6</v>
      </c>
      <c r="H358" s="21" t="s">
        <v>35</v>
      </c>
      <c r="I358" s="21" t="s">
        <v>36</v>
      </c>
      <c r="J358" s="21" t="s">
        <v>9</v>
      </c>
      <c r="K358" s="21" t="s">
        <v>251</v>
      </c>
      <c r="L358" s="21" t="s">
        <v>262</v>
      </c>
      <c r="M358" s="21" t="s">
        <v>15</v>
      </c>
      <c r="N358" s="54">
        <v>662.05</v>
      </c>
      <c r="O358" s="54">
        <v>0</v>
      </c>
      <c r="P358" s="54">
        <v>0</v>
      </c>
      <c r="Q358" s="54">
        <v>662.05</v>
      </c>
      <c r="R358" s="54">
        <v>0</v>
      </c>
      <c r="S358" s="54">
        <v>612.20000000000005</v>
      </c>
      <c r="T358" s="54">
        <v>612.20000000000005</v>
      </c>
      <c r="U358" s="54">
        <v>49.85</v>
      </c>
      <c r="V358" s="54">
        <v>49.85</v>
      </c>
      <c r="W358" s="54">
        <v>49.85</v>
      </c>
    </row>
    <row r="359" spans="1:23" outlineLevel="2" x14ac:dyDescent="0.2">
      <c r="A359" s="21" t="s">
        <v>0</v>
      </c>
      <c r="B359" s="21" t="s">
        <v>31</v>
      </c>
      <c r="C359" s="21" t="s">
        <v>32</v>
      </c>
      <c r="D359" s="21" t="s">
        <v>33</v>
      </c>
      <c r="E359" s="21" t="s">
        <v>34</v>
      </c>
      <c r="F359" s="21" t="s">
        <v>5</v>
      </c>
      <c r="G359" s="21" t="s">
        <v>6</v>
      </c>
      <c r="H359" s="21" t="s">
        <v>35</v>
      </c>
      <c r="I359" s="21" t="s">
        <v>36</v>
      </c>
      <c r="J359" s="21" t="s">
        <v>9</v>
      </c>
      <c r="K359" s="21" t="s">
        <v>251</v>
      </c>
      <c r="L359" s="21" t="s">
        <v>254</v>
      </c>
      <c r="M359" s="21" t="s">
        <v>15</v>
      </c>
      <c r="N359" s="54">
        <v>4746.79</v>
      </c>
      <c r="O359" s="54">
        <v>1186.48</v>
      </c>
      <c r="P359" s="54">
        <v>0</v>
      </c>
      <c r="Q359" s="54">
        <v>5933.27</v>
      </c>
      <c r="R359" s="54">
        <v>0</v>
      </c>
      <c r="S359" s="54">
        <v>4932.5200000000004</v>
      </c>
      <c r="T359" s="54">
        <v>4932.5200000000004</v>
      </c>
      <c r="U359" s="54">
        <v>1000.75</v>
      </c>
      <c r="V359" s="54">
        <v>1000.75</v>
      </c>
      <c r="W359" s="54">
        <v>1000.75</v>
      </c>
    </row>
    <row r="360" spans="1:23" outlineLevel="2" x14ac:dyDescent="0.2">
      <c r="A360" s="21" t="s">
        <v>0</v>
      </c>
      <c r="B360" s="21" t="s">
        <v>31</v>
      </c>
      <c r="C360" s="21" t="s">
        <v>79</v>
      </c>
      <c r="D360" s="21" t="s">
        <v>83</v>
      </c>
      <c r="E360" s="21" t="s">
        <v>84</v>
      </c>
      <c r="F360" s="21" t="s">
        <v>5</v>
      </c>
      <c r="G360" s="21" t="s">
        <v>6</v>
      </c>
      <c r="H360" s="21" t="s">
        <v>35</v>
      </c>
      <c r="I360" s="21" t="s">
        <v>36</v>
      </c>
      <c r="J360" s="21" t="s">
        <v>9</v>
      </c>
      <c r="K360" s="21" t="s">
        <v>251</v>
      </c>
      <c r="L360" s="21" t="s">
        <v>258</v>
      </c>
      <c r="M360" s="21" t="s">
        <v>15</v>
      </c>
      <c r="N360" s="54">
        <v>6505.21</v>
      </c>
      <c r="O360" s="54">
        <v>1336</v>
      </c>
      <c r="P360" s="54">
        <v>0</v>
      </c>
      <c r="Q360" s="54">
        <v>7841.21</v>
      </c>
      <c r="R360" s="54">
        <v>0</v>
      </c>
      <c r="S360" s="54">
        <v>6582.77</v>
      </c>
      <c r="T360" s="54">
        <v>6582.77</v>
      </c>
      <c r="U360" s="54">
        <v>1258.44</v>
      </c>
      <c r="V360" s="54">
        <v>1258.44</v>
      </c>
      <c r="W360" s="54">
        <v>1258.44</v>
      </c>
    </row>
    <row r="361" spans="1:23" outlineLevel="2" x14ac:dyDescent="0.2">
      <c r="A361" s="21" t="s">
        <v>0</v>
      </c>
      <c r="B361" s="21" t="s">
        <v>31</v>
      </c>
      <c r="C361" s="21" t="s">
        <v>79</v>
      </c>
      <c r="D361" s="21" t="s">
        <v>113</v>
      </c>
      <c r="E361" s="21" t="s">
        <v>114</v>
      </c>
      <c r="F361" s="21" t="s">
        <v>5</v>
      </c>
      <c r="G361" s="21" t="s">
        <v>6</v>
      </c>
      <c r="H361" s="21" t="s">
        <v>35</v>
      </c>
      <c r="I361" s="21" t="s">
        <v>36</v>
      </c>
      <c r="J361" s="21" t="s">
        <v>9</v>
      </c>
      <c r="K361" s="21" t="s">
        <v>251</v>
      </c>
      <c r="L361" s="21" t="s">
        <v>258</v>
      </c>
      <c r="M361" s="21" t="s">
        <v>15</v>
      </c>
      <c r="N361" s="54">
        <v>973.73</v>
      </c>
      <c r="O361" s="54">
        <v>330</v>
      </c>
      <c r="P361" s="54">
        <v>0</v>
      </c>
      <c r="Q361" s="54">
        <v>1303.73</v>
      </c>
      <c r="R361" s="54">
        <v>0</v>
      </c>
      <c r="S361" s="54">
        <v>1081.9000000000001</v>
      </c>
      <c r="T361" s="54">
        <v>1081.9000000000001</v>
      </c>
      <c r="U361" s="54">
        <v>221.83</v>
      </c>
      <c r="V361" s="54">
        <v>221.83</v>
      </c>
      <c r="W361" s="54">
        <v>221.83</v>
      </c>
    </row>
    <row r="362" spans="1:23" outlineLevel="2" x14ac:dyDescent="0.2">
      <c r="A362" s="21" t="s">
        <v>0</v>
      </c>
      <c r="B362" s="21" t="s">
        <v>31</v>
      </c>
      <c r="C362" s="21" t="s">
        <v>32</v>
      </c>
      <c r="D362" s="21" t="s">
        <v>123</v>
      </c>
      <c r="E362" s="21" t="s">
        <v>124</v>
      </c>
      <c r="F362" s="21" t="s">
        <v>5</v>
      </c>
      <c r="G362" s="21" t="s">
        <v>6</v>
      </c>
      <c r="H362" s="21" t="s">
        <v>35</v>
      </c>
      <c r="I362" s="21" t="s">
        <v>36</v>
      </c>
      <c r="J362" s="21" t="s">
        <v>9</v>
      </c>
      <c r="K362" s="21" t="s">
        <v>267</v>
      </c>
      <c r="L362" s="21" t="s">
        <v>278</v>
      </c>
      <c r="M362" s="21" t="s">
        <v>15</v>
      </c>
      <c r="N362" s="54">
        <v>12543.73</v>
      </c>
      <c r="O362" s="54">
        <v>0</v>
      </c>
      <c r="P362" s="54">
        <v>0</v>
      </c>
      <c r="Q362" s="54">
        <v>12543.73</v>
      </c>
      <c r="R362" s="54">
        <v>0</v>
      </c>
      <c r="S362" s="54">
        <v>8418.66</v>
      </c>
      <c r="T362" s="54">
        <v>8418.66</v>
      </c>
      <c r="U362" s="54">
        <v>4125.07</v>
      </c>
      <c r="V362" s="54">
        <v>4125.07</v>
      </c>
      <c r="W362" s="54">
        <v>4125.07</v>
      </c>
    </row>
    <row r="363" spans="1:23" outlineLevel="2" x14ac:dyDescent="0.2">
      <c r="A363" s="21" t="s">
        <v>0</v>
      </c>
      <c r="B363" s="21" t="s">
        <v>39</v>
      </c>
      <c r="C363" s="21" t="s">
        <v>40</v>
      </c>
      <c r="D363" s="21" t="s">
        <v>41</v>
      </c>
      <c r="E363" s="21" t="s">
        <v>42</v>
      </c>
      <c r="F363" s="21" t="s">
        <v>5</v>
      </c>
      <c r="G363" s="21" t="s">
        <v>6</v>
      </c>
      <c r="H363" s="21" t="s">
        <v>35</v>
      </c>
      <c r="I363" s="21" t="s">
        <v>36</v>
      </c>
      <c r="J363" s="21" t="s">
        <v>9</v>
      </c>
      <c r="K363" s="21" t="s">
        <v>267</v>
      </c>
      <c r="L363" s="21" t="s">
        <v>270</v>
      </c>
      <c r="M363" s="21" t="s">
        <v>15</v>
      </c>
      <c r="N363" s="54">
        <v>6094.01</v>
      </c>
      <c r="O363" s="54">
        <v>0</v>
      </c>
      <c r="P363" s="54">
        <v>0</v>
      </c>
      <c r="Q363" s="54">
        <v>6094.01</v>
      </c>
      <c r="R363" s="54">
        <v>0</v>
      </c>
      <c r="S363" s="54">
        <v>2356.8000000000002</v>
      </c>
      <c r="T363" s="54">
        <v>2356.8000000000002</v>
      </c>
      <c r="U363" s="54">
        <v>3737.21</v>
      </c>
      <c r="V363" s="54">
        <v>3737.21</v>
      </c>
      <c r="W363" s="54">
        <v>3737.21</v>
      </c>
    </row>
    <row r="364" spans="1:23" outlineLevel="2" x14ac:dyDescent="0.2">
      <c r="A364" s="21" t="s">
        <v>0</v>
      </c>
      <c r="B364" s="21" t="s">
        <v>39</v>
      </c>
      <c r="C364" s="21" t="s">
        <v>58</v>
      </c>
      <c r="D364" s="21" t="s">
        <v>135</v>
      </c>
      <c r="E364" s="21" t="s">
        <v>136</v>
      </c>
      <c r="F364" s="21" t="s">
        <v>5</v>
      </c>
      <c r="G364" s="21" t="s">
        <v>6</v>
      </c>
      <c r="H364" s="21" t="s">
        <v>35</v>
      </c>
      <c r="I364" s="21" t="s">
        <v>36</v>
      </c>
      <c r="J364" s="21" t="s">
        <v>9</v>
      </c>
      <c r="K364" s="21" t="s">
        <v>267</v>
      </c>
      <c r="L364" s="21" t="s">
        <v>269</v>
      </c>
      <c r="M364" s="21" t="s">
        <v>15</v>
      </c>
      <c r="N364" s="54">
        <v>4962.9399999999996</v>
      </c>
      <c r="O364" s="54">
        <v>0</v>
      </c>
      <c r="P364" s="54">
        <v>0</v>
      </c>
      <c r="Q364" s="54">
        <v>4962.9399999999996</v>
      </c>
      <c r="R364" s="54">
        <v>0</v>
      </c>
      <c r="S364" s="54">
        <v>1800</v>
      </c>
      <c r="T364" s="54">
        <v>1800</v>
      </c>
      <c r="U364" s="54">
        <v>3162.94</v>
      </c>
      <c r="V364" s="54">
        <v>3162.94</v>
      </c>
      <c r="W364" s="54">
        <v>3162.94</v>
      </c>
    </row>
    <row r="365" spans="1:23" outlineLevel="2" x14ac:dyDescent="0.2">
      <c r="A365" s="21" t="s">
        <v>0</v>
      </c>
      <c r="B365" s="21" t="s">
        <v>39</v>
      </c>
      <c r="C365" s="21" t="s">
        <v>95</v>
      </c>
      <c r="D365" s="21" t="s">
        <v>96</v>
      </c>
      <c r="E365" s="21" t="s">
        <v>97</v>
      </c>
      <c r="F365" s="21" t="s">
        <v>5</v>
      </c>
      <c r="G365" s="21" t="s">
        <v>6</v>
      </c>
      <c r="H365" s="21" t="s">
        <v>35</v>
      </c>
      <c r="I365" s="21" t="s">
        <v>36</v>
      </c>
      <c r="J365" s="21" t="s">
        <v>9</v>
      </c>
      <c r="K365" s="21" t="s">
        <v>267</v>
      </c>
      <c r="L365" s="21" t="s">
        <v>282</v>
      </c>
      <c r="M365" s="21" t="s">
        <v>15</v>
      </c>
      <c r="N365" s="54">
        <v>9832.32</v>
      </c>
      <c r="O365" s="54">
        <v>0</v>
      </c>
      <c r="P365" s="54">
        <v>0</v>
      </c>
      <c r="Q365" s="54">
        <v>9832.32</v>
      </c>
      <c r="R365" s="54">
        <v>0</v>
      </c>
      <c r="S365" s="54">
        <v>8279.5400000000009</v>
      </c>
      <c r="T365" s="54">
        <v>8279.5400000000009</v>
      </c>
      <c r="U365" s="54">
        <v>1552.78</v>
      </c>
      <c r="V365" s="54">
        <v>1552.78</v>
      </c>
      <c r="W365" s="54">
        <v>1552.78</v>
      </c>
    </row>
    <row r="366" spans="1:23" outlineLevel="2" x14ac:dyDescent="0.2">
      <c r="A366" s="21" t="s">
        <v>0</v>
      </c>
      <c r="B366" s="21" t="s">
        <v>39</v>
      </c>
      <c r="C366" s="21" t="s">
        <v>58</v>
      </c>
      <c r="D366" s="21" t="s">
        <v>149</v>
      </c>
      <c r="E366" s="21" t="s">
        <v>150</v>
      </c>
      <c r="F366" s="21" t="s">
        <v>5</v>
      </c>
      <c r="G366" s="21" t="s">
        <v>6</v>
      </c>
      <c r="H366" s="21" t="s">
        <v>35</v>
      </c>
      <c r="I366" s="21" t="s">
        <v>36</v>
      </c>
      <c r="J366" s="21" t="s">
        <v>9</v>
      </c>
      <c r="K366" s="21" t="s">
        <v>267</v>
      </c>
      <c r="L366" s="21" t="s">
        <v>269</v>
      </c>
      <c r="M366" s="21" t="s">
        <v>15</v>
      </c>
      <c r="N366" s="54">
        <v>5618.63</v>
      </c>
      <c r="O366" s="54">
        <v>9321.16</v>
      </c>
      <c r="P366" s="54">
        <v>0</v>
      </c>
      <c r="Q366" s="54">
        <v>14939.79</v>
      </c>
      <c r="R366" s="54">
        <v>0</v>
      </c>
      <c r="S366" s="54">
        <v>14939.79</v>
      </c>
      <c r="T366" s="54">
        <v>14939.79</v>
      </c>
      <c r="U366" s="54">
        <v>0</v>
      </c>
      <c r="V366" s="54">
        <v>0</v>
      </c>
      <c r="W366" s="54">
        <v>0</v>
      </c>
    </row>
    <row r="367" spans="1:23" outlineLevel="2" x14ac:dyDescent="0.2">
      <c r="A367" s="21" t="s">
        <v>0</v>
      </c>
      <c r="B367" s="21" t="s">
        <v>1</v>
      </c>
      <c r="C367" s="21" t="s">
        <v>91</v>
      </c>
      <c r="D367" s="21" t="s">
        <v>92</v>
      </c>
      <c r="E367" s="21" t="s">
        <v>93</v>
      </c>
      <c r="F367" s="21" t="s">
        <v>5</v>
      </c>
      <c r="G367" s="21" t="s">
        <v>6</v>
      </c>
      <c r="H367" s="21" t="s">
        <v>35</v>
      </c>
      <c r="I367" s="21" t="s">
        <v>36</v>
      </c>
      <c r="J367" s="21" t="s">
        <v>9</v>
      </c>
      <c r="K367" s="21" t="s">
        <v>267</v>
      </c>
      <c r="L367" s="21" t="s">
        <v>279</v>
      </c>
      <c r="M367" s="21" t="s">
        <v>15</v>
      </c>
      <c r="N367" s="54">
        <v>10426.629999999999</v>
      </c>
      <c r="O367" s="54">
        <v>33627.35</v>
      </c>
      <c r="P367" s="54">
        <v>0</v>
      </c>
      <c r="Q367" s="54">
        <v>44053.98</v>
      </c>
      <c r="R367" s="54">
        <v>0</v>
      </c>
      <c r="S367" s="54">
        <v>20833.060000000001</v>
      </c>
      <c r="T367" s="54">
        <v>20833.060000000001</v>
      </c>
      <c r="U367" s="54">
        <v>23220.92</v>
      </c>
      <c r="V367" s="54">
        <v>23220.92</v>
      </c>
      <c r="W367" s="54">
        <v>23220.92</v>
      </c>
    </row>
    <row r="368" spans="1:23" outlineLevel="2" x14ac:dyDescent="0.2">
      <c r="A368" s="21" t="s">
        <v>0</v>
      </c>
      <c r="B368" s="21" t="s">
        <v>39</v>
      </c>
      <c r="C368" s="21" t="s">
        <v>58</v>
      </c>
      <c r="D368" s="21" t="s">
        <v>145</v>
      </c>
      <c r="E368" s="21" t="s">
        <v>146</v>
      </c>
      <c r="F368" s="21" t="s">
        <v>5</v>
      </c>
      <c r="G368" s="21" t="s">
        <v>6</v>
      </c>
      <c r="H368" s="21" t="s">
        <v>35</v>
      </c>
      <c r="I368" s="21" t="s">
        <v>36</v>
      </c>
      <c r="J368" s="21" t="s">
        <v>9</v>
      </c>
      <c r="K368" s="21" t="s">
        <v>267</v>
      </c>
      <c r="L368" s="21" t="s">
        <v>269</v>
      </c>
      <c r="M368" s="21" t="s">
        <v>15</v>
      </c>
      <c r="N368" s="54">
        <v>3791.81</v>
      </c>
      <c r="O368" s="54">
        <v>3510</v>
      </c>
      <c r="P368" s="54">
        <v>0</v>
      </c>
      <c r="Q368" s="54">
        <v>7301.81</v>
      </c>
      <c r="R368" s="54">
        <v>0</v>
      </c>
      <c r="S368" s="54">
        <v>6664.2</v>
      </c>
      <c r="T368" s="54">
        <v>6664.2</v>
      </c>
      <c r="U368" s="54">
        <v>637.61</v>
      </c>
      <c r="V368" s="54">
        <v>637.61</v>
      </c>
      <c r="W368" s="54">
        <v>637.61</v>
      </c>
    </row>
    <row r="369" spans="1:23" outlineLevel="2" x14ac:dyDescent="0.2">
      <c r="A369" s="21" t="s">
        <v>0</v>
      </c>
      <c r="B369" s="21" t="s">
        <v>53</v>
      </c>
      <c r="C369" s="21" t="s">
        <v>85</v>
      </c>
      <c r="D369" s="21" t="s">
        <v>86</v>
      </c>
      <c r="E369" s="21" t="s">
        <v>87</v>
      </c>
      <c r="F369" s="21" t="s">
        <v>5</v>
      </c>
      <c r="G369" s="21" t="s">
        <v>6</v>
      </c>
      <c r="H369" s="21" t="s">
        <v>35</v>
      </c>
      <c r="I369" s="21" t="s">
        <v>36</v>
      </c>
      <c r="J369" s="21" t="s">
        <v>9</v>
      </c>
      <c r="K369" s="21" t="s">
        <v>267</v>
      </c>
      <c r="L369" s="21" t="s">
        <v>276</v>
      </c>
      <c r="M369" s="21" t="s">
        <v>15</v>
      </c>
      <c r="N369" s="54">
        <v>8804.9500000000007</v>
      </c>
      <c r="O369" s="54">
        <v>-5204.95</v>
      </c>
      <c r="P369" s="54">
        <v>0</v>
      </c>
      <c r="Q369" s="54">
        <v>3600</v>
      </c>
      <c r="R369" s="54">
        <v>0</v>
      </c>
      <c r="S369" s="54">
        <v>3600</v>
      </c>
      <c r="T369" s="54">
        <v>3600</v>
      </c>
      <c r="U369" s="54">
        <v>0</v>
      </c>
      <c r="V369" s="54">
        <v>0</v>
      </c>
      <c r="W369" s="54">
        <v>0</v>
      </c>
    </row>
    <row r="370" spans="1:23" outlineLevel="2" x14ac:dyDescent="0.2">
      <c r="A370" s="21" t="s">
        <v>0</v>
      </c>
      <c r="B370" s="21" t="s">
        <v>1</v>
      </c>
      <c r="C370" s="21" t="s">
        <v>44</v>
      </c>
      <c r="D370" s="21" t="s">
        <v>45</v>
      </c>
      <c r="E370" s="21" t="s">
        <v>46</v>
      </c>
      <c r="F370" s="21" t="s">
        <v>5</v>
      </c>
      <c r="G370" s="21" t="s">
        <v>6</v>
      </c>
      <c r="H370" s="21" t="s">
        <v>35</v>
      </c>
      <c r="I370" s="21" t="s">
        <v>36</v>
      </c>
      <c r="J370" s="21" t="s">
        <v>9</v>
      </c>
      <c r="K370" s="21" t="s">
        <v>267</v>
      </c>
      <c r="L370" s="21" t="s">
        <v>277</v>
      </c>
      <c r="M370" s="21" t="s">
        <v>15</v>
      </c>
      <c r="N370" s="54">
        <v>2154.48</v>
      </c>
      <c r="O370" s="54">
        <v>11007.57</v>
      </c>
      <c r="P370" s="54">
        <v>0</v>
      </c>
      <c r="Q370" s="54">
        <v>13162.05</v>
      </c>
      <c r="R370" s="54">
        <v>0</v>
      </c>
      <c r="S370" s="54">
        <v>13162.05</v>
      </c>
      <c r="T370" s="54">
        <v>13162.05</v>
      </c>
      <c r="U370" s="54">
        <v>0</v>
      </c>
      <c r="V370" s="54">
        <v>0</v>
      </c>
      <c r="W370" s="54">
        <v>0</v>
      </c>
    </row>
    <row r="371" spans="1:23" outlineLevel="2" x14ac:dyDescent="0.2">
      <c r="A371" s="21" t="s">
        <v>0</v>
      </c>
      <c r="B371" s="21" t="s">
        <v>31</v>
      </c>
      <c r="C371" s="21" t="s">
        <v>32</v>
      </c>
      <c r="D371" s="21" t="s">
        <v>33</v>
      </c>
      <c r="E371" s="21" t="s">
        <v>34</v>
      </c>
      <c r="F371" s="21" t="s">
        <v>5</v>
      </c>
      <c r="G371" s="21" t="s">
        <v>6</v>
      </c>
      <c r="H371" s="21" t="s">
        <v>35</v>
      </c>
      <c r="I371" s="21" t="s">
        <v>36</v>
      </c>
      <c r="J371" s="21" t="s">
        <v>9</v>
      </c>
      <c r="K371" s="21" t="s">
        <v>267</v>
      </c>
      <c r="L371" s="21" t="s">
        <v>278</v>
      </c>
      <c r="M371" s="21" t="s">
        <v>15</v>
      </c>
      <c r="N371" s="54">
        <v>12516.01</v>
      </c>
      <c r="O371" s="54">
        <v>0</v>
      </c>
      <c r="P371" s="54">
        <v>0</v>
      </c>
      <c r="Q371" s="54">
        <v>12516.01</v>
      </c>
      <c r="R371" s="54">
        <v>0</v>
      </c>
      <c r="S371" s="54">
        <v>8782.7999999999993</v>
      </c>
      <c r="T371" s="54">
        <v>8782.7999999999993</v>
      </c>
      <c r="U371" s="54">
        <v>3733.21</v>
      </c>
      <c r="V371" s="54">
        <v>3733.21</v>
      </c>
      <c r="W371" s="54">
        <v>3733.21</v>
      </c>
    </row>
    <row r="372" spans="1:23" outlineLevel="2" x14ac:dyDescent="0.2">
      <c r="A372" s="21" t="s">
        <v>0</v>
      </c>
      <c r="B372" s="21" t="s">
        <v>39</v>
      </c>
      <c r="C372" s="21" t="s">
        <v>58</v>
      </c>
      <c r="D372" s="21" t="s">
        <v>147</v>
      </c>
      <c r="E372" s="21" t="s">
        <v>148</v>
      </c>
      <c r="F372" s="21" t="s">
        <v>5</v>
      </c>
      <c r="G372" s="21" t="s">
        <v>6</v>
      </c>
      <c r="H372" s="21" t="s">
        <v>35</v>
      </c>
      <c r="I372" s="21" t="s">
        <v>36</v>
      </c>
      <c r="J372" s="21" t="s">
        <v>9</v>
      </c>
      <c r="K372" s="21" t="s">
        <v>267</v>
      </c>
      <c r="L372" s="21" t="s">
        <v>269</v>
      </c>
      <c r="M372" s="21" t="s">
        <v>15</v>
      </c>
      <c r="N372" s="54">
        <v>4000.9</v>
      </c>
      <c r="O372" s="54">
        <v>0</v>
      </c>
      <c r="P372" s="54">
        <v>0</v>
      </c>
      <c r="Q372" s="54">
        <v>4000.9</v>
      </c>
      <c r="R372" s="54">
        <v>0</v>
      </c>
      <c r="S372" s="54">
        <v>3610.2</v>
      </c>
      <c r="T372" s="54">
        <v>3610.2</v>
      </c>
      <c r="U372" s="54">
        <v>390.7</v>
      </c>
      <c r="V372" s="54">
        <v>390.7</v>
      </c>
      <c r="W372" s="54">
        <v>390.7</v>
      </c>
    </row>
    <row r="373" spans="1:23" outlineLevel="2" x14ac:dyDescent="0.2">
      <c r="A373" s="21" t="s">
        <v>0</v>
      </c>
      <c r="B373" s="21" t="s">
        <v>31</v>
      </c>
      <c r="C373" s="21" t="s">
        <v>32</v>
      </c>
      <c r="D373" s="21" t="s">
        <v>75</v>
      </c>
      <c r="E373" s="21" t="s">
        <v>76</v>
      </c>
      <c r="F373" s="21" t="s">
        <v>5</v>
      </c>
      <c r="G373" s="21" t="s">
        <v>6</v>
      </c>
      <c r="H373" s="21" t="s">
        <v>35</v>
      </c>
      <c r="I373" s="21" t="s">
        <v>36</v>
      </c>
      <c r="J373" s="21" t="s">
        <v>9</v>
      </c>
      <c r="K373" s="21" t="s">
        <v>267</v>
      </c>
      <c r="L373" s="21" t="s">
        <v>278</v>
      </c>
      <c r="M373" s="21" t="s">
        <v>15</v>
      </c>
      <c r="N373" s="54">
        <v>8977.4599999999991</v>
      </c>
      <c r="O373" s="54">
        <v>2234.0700000000002</v>
      </c>
      <c r="P373" s="54">
        <v>0</v>
      </c>
      <c r="Q373" s="54">
        <v>11211.53</v>
      </c>
      <c r="R373" s="54">
        <v>0</v>
      </c>
      <c r="S373" s="54">
        <v>11211.13</v>
      </c>
      <c r="T373" s="54">
        <v>11211.13</v>
      </c>
      <c r="U373" s="54">
        <v>0.4</v>
      </c>
      <c r="V373" s="54">
        <v>0.4</v>
      </c>
      <c r="W373" s="54">
        <v>0.4</v>
      </c>
    </row>
    <row r="374" spans="1:23" outlineLevel="2" x14ac:dyDescent="0.2">
      <c r="A374" s="21" t="s">
        <v>0</v>
      </c>
      <c r="B374" s="21" t="s">
        <v>39</v>
      </c>
      <c r="C374" s="21" t="s">
        <v>58</v>
      </c>
      <c r="D374" s="21" t="s">
        <v>137</v>
      </c>
      <c r="E374" s="21" t="s">
        <v>138</v>
      </c>
      <c r="F374" s="21" t="s">
        <v>5</v>
      </c>
      <c r="G374" s="21" t="s">
        <v>6</v>
      </c>
      <c r="H374" s="21" t="s">
        <v>35</v>
      </c>
      <c r="I374" s="21" t="s">
        <v>36</v>
      </c>
      <c r="J374" s="21" t="s">
        <v>9</v>
      </c>
      <c r="K374" s="21" t="s">
        <v>267</v>
      </c>
      <c r="L374" s="21" t="s">
        <v>269</v>
      </c>
      <c r="M374" s="21" t="s">
        <v>15</v>
      </c>
      <c r="N374" s="54">
        <v>5936.71</v>
      </c>
      <c r="O374" s="54">
        <v>0</v>
      </c>
      <c r="P374" s="54">
        <v>0</v>
      </c>
      <c r="Q374" s="54">
        <v>5936.71</v>
      </c>
      <c r="R374" s="54">
        <v>0</v>
      </c>
      <c r="S374" s="54">
        <v>5071.67</v>
      </c>
      <c r="T374" s="54">
        <v>5071.67</v>
      </c>
      <c r="U374" s="54">
        <v>865.04</v>
      </c>
      <c r="V374" s="54">
        <v>865.04</v>
      </c>
      <c r="W374" s="54">
        <v>865.04</v>
      </c>
    </row>
    <row r="375" spans="1:23" outlineLevel="2" x14ac:dyDescent="0.2">
      <c r="A375" s="21" t="s">
        <v>0</v>
      </c>
      <c r="B375" s="21" t="s">
        <v>31</v>
      </c>
      <c r="C375" s="21" t="s">
        <v>107</v>
      </c>
      <c r="D375" s="21" t="s">
        <v>108</v>
      </c>
      <c r="E375" s="21" t="s">
        <v>109</v>
      </c>
      <c r="F375" s="21" t="s">
        <v>5</v>
      </c>
      <c r="G375" s="21" t="s">
        <v>6</v>
      </c>
      <c r="H375" s="21" t="s">
        <v>35</v>
      </c>
      <c r="I375" s="21" t="s">
        <v>36</v>
      </c>
      <c r="J375" s="21" t="s">
        <v>9</v>
      </c>
      <c r="K375" s="21" t="s">
        <v>267</v>
      </c>
      <c r="L375" s="21" t="s">
        <v>281</v>
      </c>
      <c r="M375" s="21" t="s">
        <v>15</v>
      </c>
      <c r="N375" s="54">
        <v>17424.580000000002</v>
      </c>
      <c r="O375" s="54">
        <v>0</v>
      </c>
      <c r="P375" s="54">
        <v>0</v>
      </c>
      <c r="Q375" s="54">
        <v>17424.580000000002</v>
      </c>
      <c r="R375" s="54">
        <v>0</v>
      </c>
      <c r="S375" s="54">
        <v>6125.27</v>
      </c>
      <c r="T375" s="54">
        <v>6125.27</v>
      </c>
      <c r="U375" s="54">
        <v>11299.31</v>
      </c>
      <c r="V375" s="54">
        <v>11299.31</v>
      </c>
      <c r="W375" s="54">
        <v>11299.31</v>
      </c>
    </row>
    <row r="376" spans="1:23" outlineLevel="2" x14ac:dyDescent="0.2">
      <c r="A376" s="21" t="s">
        <v>0</v>
      </c>
      <c r="B376" s="21" t="s">
        <v>1</v>
      </c>
      <c r="C376" s="21" t="s">
        <v>2</v>
      </c>
      <c r="D376" s="21" t="s">
        <v>3</v>
      </c>
      <c r="E376" s="21" t="s">
        <v>4</v>
      </c>
      <c r="F376" s="21" t="s">
        <v>5</v>
      </c>
      <c r="G376" s="21" t="s">
        <v>6</v>
      </c>
      <c r="H376" s="21" t="s">
        <v>35</v>
      </c>
      <c r="I376" s="21" t="s">
        <v>36</v>
      </c>
      <c r="J376" s="21" t="s">
        <v>9</v>
      </c>
      <c r="K376" s="21" t="s">
        <v>267</v>
      </c>
      <c r="L376" s="21" t="s">
        <v>272</v>
      </c>
      <c r="M376" s="21" t="s">
        <v>15</v>
      </c>
      <c r="N376" s="54">
        <v>18457.03</v>
      </c>
      <c r="O376" s="54">
        <v>0</v>
      </c>
      <c r="P376" s="54">
        <v>0</v>
      </c>
      <c r="Q376" s="54">
        <v>18457.03</v>
      </c>
      <c r="R376" s="54">
        <v>0</v>
      </c>
      <c r="S376" s="54">
        <v>14742.59</v>
      </c>
      <c r="T376" s="54">
        <v>14742.59</v>
      </c>
      <c r="U376" s="54">
        <v>3714.44</v>
      </c>
      <c r="V376" s="54">
        <v>3714.44</v>
      </c>
      <c r="W376" s="54">
        <v>3714.44</v>
      </c>
    </row>
    <row r="377" spans="1:23" outlineLevel="2" x14ac:dyDescent="0.2">
      <c r="A377" s="21" t="s">
        <v>0</v>
      </c>
      <c r="B377" s="21" t="s">
        <v>1</v>
      </c>
      <c r="C377" s="21" t="s">
        <v>16</v>
      </c>
      <c r="D377" s="21" t="s">
        <v>17</v>
      </c>
      <c r="E377" s="21" t="s">
        <v>18</v>
      </c>
      <c r="F377" s="21" t="s">
        <v>5</v>
      </c>
      <c r="G377" s="21" t="s">
        <v>6</v>
      </c>
      <c r="H377" s="21" t="s">
        <v>35</v>
      </c>
      <c r="I377" s="21" t="s">
        <v>36</v>
      </c>
      <c r="J377" s="21" t="s">
        <v>9</v>
      </c>
      <c r="K377" s="21" t="s">
        <v>267</v>
      </c>
      <c r="L377" s="21" t="s">
        <v>271</v>
      </c>
      <c r="M377" s="21" t="s">
        <v>15</v>
      </c>
      <c r="N377" s="54">
        <v>22033.47</v>
      </c>
      <c r="O377" s="54">
        <v>5407.76</v>
      </c>
      <c r="P377" s="54">
        <v>0</v>
      </c>
      <c r="Q377" s="54">
        <v>27441.23</v>
      </c>
      <c r="R377" s="54">
        <v>0</v>
      </c>
      <c r="S377" s="54">
        <v>27441.23</v>
      </c>
      <c r="T377" s="54">
        <v>27441.23</v>
      </c>
      <c r="U377" s="54">
        <v>0</v>
      </c>
      <c r="V377" s="54">
        <v>0</v>
      </c>
      <c r="W377" s="54">
        <v>0</v>
      </c>
    </row>
    <row r="378" spans="1:23" outlineLevel="2" x14ac:dyDescent="0.2">
      <c r="A378" s="21" t="s">
        <v>0</v>
      </c>
      <c r="B378" s="21" t="s">
        <v>1</v>
      </c>
      <c r="C378" s="21" t="s">
        <v>16</v>
      </c>
      <c r="D378" s="21" t="s">
        <v>62</v>
      </c>
      <c r="E378" s="21" t="s">
        <v>63</v>
      </c>
      <c r="F378" s="21" t="s">
        <v>5</v>
      </c>
      <c r="G378" s="21" t="s">
        <v>6</v>
      </c>
      <c r="H378" s="21" t="s">
        <v>35</v>
      </c>
      <c r="I378" s="21" t="s">
        <v>36</v>
      </c>
      <c r="J378" s="21" t="s">
        <v>9</v>
      </c>
      <c r="K378" s="21" t="s">
        <v>267</v>
      </c>
      <c r="L378" s="21" t="s">
        <v>271</v>
      </c>
      <c r="M378" s="21" t="s">
        <v>15</v>
      </c>
      <c r="N378" s="54">
        <v>1077.17</v>
      </c>
      <c r="O378" s="54">
        <v>0</v>
      </c>
      <c r="P378" s="54">
        <v>0</v>
      </c>
      <c r="Q378" s="54">
        <v>1077.17</v>
      </c>
      <c r="R378" s="54">
        <v>0</v>
      </c>
      <c r="S378" s="54">
        <v>402.4</v>
      </c>
      <c r="T378" s="54">
        <v>402.4</v>
      </c>
      <c r="U378" s="54">
        <v>674.77</v>
      </c>
      <c r="V378" s="54">
        <v>674.77</v>
      </c>
      <c r="W378" s="54">
        <v>674.77</v>
      </c>
    </row>
    <row r="379" spans="1:23" outlineLevel="2" x14ac:dyDescent="0.2">
      <c r="A379" s="21" t="s">
        <v>0</v>
      </c>
      <c r="B379" s="21" t="s">
        <v>31</v>
      </c>
      <c r="C379" s="21" t="s">
        <v>79</v>
      </c>
      <c r="D379" s="21" t="s">
        <v>133</v>
      </c>
      <c r="E379" s="21" t="s">
        <v>134</v>
      </c>
      <c r="F379" s="21" t="s">
        <v>5</v>
      </c>
      <c r="G379" s="21" t="s">
        <v>6</v>
      </c>
      <c r="H379" s="21" t="s">
        <v>35</v>
      </c>
      <c r="I379" s="21" t="s">
        <v>36</v>
      </c>
      <c r="J379" s="21" t="s">
        <v>9</v>
      </c>
      <c r="K379" s="21" t="s">
        <v>267</v>
      </c>
      <c r="L379" s="21" t="s">
        <v>274</v>
      </c>
      <c r="M379" s="21" t="s">
        <v>15</v>
      </c>
      <c r="N379" s="54">
        <v>5259.63</v>
      </c>
      <c r="O379" s="54">
        <v>0</v>
      </c>
      <c r="P379" s="54">
        <v>0</v>
      </c>
      <c r="Q379" s="54">
        <v>5259.63</v>
      </c>
      <c r="R379" s="54">
        <v>0</v>
      </c>
      <c r="S379" s="54">
        <v>2777.81</v>
      </c>
      <c r="T379" s="54">
        <v>2777.81</v>
      </c>
      <c r="U379" s="54">
        <v>2481.8200000000002</v>
      </c>
      <c r="V379" s="54">
        <v>2481.8200000000002</v>
      </c>
      <c r="W379" s="54">
        <v>2481.8200000000002</v>
      </c>
    </row>
    <row r="380" spans="1:23" outlineLevel="2" x14ac:dyDescent="0.2">
      <c r="A380" s="21" t="s">
        <v>0</v>
      </c>
      <c r="B380" s="21" t="s">
        <v>31</v>
      </c>
      <c r="C380" s="21" t="s">
        <v>79</v>
      </c>
      <c r="D380" s="21" t="s">
        <v>115</v>
      </c>
      <c r="E380" s="21" t="s">
        <v>116</v>
      </c>
      <c r="F380" s="21" t="s">
        <v>5</v>
      </c>
      <c r="G380" s="21" t="s">
        <v>6</v>
      </c>
      <c r="H380" s="21" t="s">
        <v>35</v>
      </c>
      <c r="I380" s="21" t="s">
        <v>36</v>
      </c>
      <c r="J380" s="21" t="s">
        <v>9</v>
      </c>
      <c r="K380" s="21" t="s">
        <v>267</v>
      </c>
      <c r="L380" s="21" t="s">
        <v>274</v>
      </c>
      <c r="M380" s="21" t="s">
        <v>15</v>
      </c>
      <c r="N380" s="54">
        <v>1556.93</v>
      </c>
      <c r="O380" s="54">
        <v>2535</v>
      </c>
      <c r="P380" s="54">
        <v>0</v>
      </c>
      <c r="Q380" s="54">
        <v>4091.93</v>
      </c>
      <c r="R380" s="54">
        <v>0</v>
      </c>
      <c r="S380" s="54">
        <v>2532.6999999999998</v>
      </c>
      <c r="T380" s="54">
        <v>2532.6999999999998</v>
      </c>
      <c r="U380" s="54">
        <v>1559.23</v>
      </c>
      <c r="V380" s="54">
        <v>1559.23</v>
      </c>
      <c r="W380" s="54">
        <v>1559.23</v>
      </c>
    </row>
    <row r="381" spans="1:23" outlineLevel="2" x14ac:dyDescent="0.2">
      <c r="A381" s="21" t="s">
        <v>0</v>
      </c>
      <c r="B381" s="21" t="s">
        <v>39</v>
      </c>
      <c r="C381" s="21" t="s">
        <v>58</v>
      </c>
      <c r="D381" s="21" t="s">
        <v>59</v>
      </c>
      <c r="E381" s="21" t="s">
        <v>60</v>
      </c>
      <c r="F381" s="21" t="s">
        <v>5</v>
      </c>
      <c r="G381" s="21" t="s">
        <v>6</v>
      </c>
      <c r="H381" s="21" t="s">
        <v>35</v>
      </c>
      <c r="I381" s="21" t="s">
        <v>36</v>
      </c>
      <c r="J381" s="21" t="s">
        <v>9</v>
      </c>
      <c r="K381" s="21" t="s">
        <v>267</v>
      </c>
      <c r="L381" s="21" t="s">
        <v>269</v>
      </c>
      <c r="M381" s="21" t="s">
        <v>15</v>
      </c>
      <c r="N381" s="54">
        <v>6160.25</v>
      </c>
      <c r="O381" s="54">
        <v>4424.74</v>
      </c>
      <c r="P381" s="54">
        <v>0</v>
      </c>
      <c r="Q381" s="54">
        <v>10584.99</v>
      </c>
      <c r="R381" s="54">
        <v>0</v>
      </c>
      <c r="S381" s="54">
        <v>10584.99</v>
      </c>
      <c r="T381" s="54">
        <v>10584.99</v>
      </c>
      <c r="U381" s="54">
        <v>0</v>
      </c>
      <c r="V381" s="54">
        <v>0</v>
      </c>
      <c r="W381" s="54">
        <v>0</v>
      </c>
    </row>
    <row r="382" spans="1:23" outlineLevel="2" x14ac:dyDescent="0.2">
      <c r="A382" s="21" t="s">
        <v>0</v>
      </c>
      <c r="B382" s="21" t="s">
        <v>31</v>
      </c>
      <c r="C382" s="21" t="s">
        <v>79</v>
      </c>
      <c r="D382" s="21" t="s">
        <v>113</v>
      </c>
      <c r="E382" s="21" t="s">
        <v>114</v>
      </c>
      <c r="F382" s="21" t="s">
        <v>5</v>
      </c>
      <c r="G382" s="21" t="s">
        <v>6</v>
      </c>
      <c r="H382" s="21" t="s">
        <v>35</v>
      </c>
      <c r="I382" s="21" t="s">
        <v>36</v>
      </c>
      <c r="J382" s="21" t="s">
        <v>9</v>
      </c>
      <c r="K382" s="21" t="s">
        <v>267</v>
      </c>
      <c r="L382" s="21" t="s">
        <v>274</v>
      </c>
      <c r="M382" s="21" t="s">
        <v>15</v>
      </c>
      <c r="N382" s="54">
        <v>3824.9</v>
      </c>
      <c r="O382" s="54">
        <v>0</v>
      </c>
      <c r="P382" s="54">
        <v>0</v>
      </c>
      <c r="Q382" s="54">
        <v>3824.9</v>
      </c>
      <c r="R382" s="54">
        <v>0</v>
      </c>
      <c r="S382" s="54">
        <v>1688.47</v>
      </c>
      <c r="T382" s="54">
        <v>1688.47</v>
      </c>
      <c r="U382" s="54">
        <v>2136.4299999999998</v>
      </c>
      <c r="V382" s="54">
        <v>2136.4299999999998</v>
      </c>
      <c r="W382" s="54">
        <v>2136.4299999999998</v>
      </c>
    </row>
    <row r="383" spans="1:23" outlineLevel="2" x14ac:dyDescent="0.2">
      <c r="A383" s="21" t="s">
        <v>0</v>
      </c>
      <c r="B383" s="21" t="s">
        <v>1</v>
      </c>
      <c r="C383" s="21" t="s">
        <v>16</v>
      </c>
      <c r="D383" s="21" t="s">
        <v>64</v>
      </c>
      <c r="E383" s="21" t="s">
        <v>65</v>
      </c>
      <c r="F383" s="21" t="s">
        <v>5</v>
      </c>
      <c r="G383" s="21" t="s">
        <v>6</v>
      </c>
      <c r="H383" s="21" t="s">
        <v>35</v>
      </c>
      <c r="I383" s="21" t="s">
        <v>36</v>
      </c>
      <c r="J383" s="21" t="s">
        <v>9</v>
      </c>
      <c r="K383" s="21" t="s">
        <v>267</v>
      </c>
      <c r="L383" s="21" t="s">
        <v>271</v>
      </c>
      <c r="M383" s="21" t="s">
        <v>15</v>
      </c>
      <c r="N383" s="54">
        <v>1390.79</v>
      </c>
      <c r="O383" s="54">
        <v>3125</v>
      </c>
      <c r="P383" s="54">
        <v>0</v>
      </c>
      <c r="Q383" s="54">
        <v>4515.79</v>
      </c>
      <c r="R383" s="54">
        <v>0</v>
      </c>
      <c r="S383" s="54">
        <v>4491.67</v>
      </c>
      <c r="T383" s="54">
        <v>4491.67</v>
      </c>
      <c r="U383" s="54">
        <v>24.12</v>
      </c>
      <c r="V383" s="54">
        <v>24.12</v>
      </c>
      <c r="W383" s="54">
        <v>24.12</v>
      </c>
    </row>
    <row r="384" spans="1:23" outlineLevel="2" x14ac:dyDescent="0.2">
      <c r="A384" s="21" t="s">
        <v>0</v>
      </c>
      <c r="B384" s="21" t="s">
        <v>39</v>
      </c>
      <c r="C384" s="21" t="s">
        <v>58</v>
      </c>
      <c r="D384" s="21" t="s">
        <v>119</v>
      </c>
      <c r="E384" s="21" t="s">
        <v>120</v>
      </c>
      <c r="F384" s="21" t="s">
        <v>5</v>
      </c>
      <c r="G384" s="21" t="s">
        <v>6</v>
      </c>
      <c r="H384" s="21" t="s">
        <v>35</v>
      </c>
      <c r="I384" s="21" t="s">
        <v>36</v>
      </c>
      <c r="J384" s="21" t="s">
        <v>9</v>
      </c>
      <c r="K384" s="21" t="s">
        <v>267</v>
      </c>
      <c r="L384" s="21" t="s">
        <v>269</v>
      </c>
      <c r="M384" s="21" t="s">
        <v>15</v>
      </c>
      <c r="N384" s="54">
        <v>3782.44</v>
      </c>
      <c r="O384" s="54">
        <v>1700</v>
      </c>
      <c r="P384" s="54">
        <v>0</v>
      </c>
      <c r="Q384" s="54">
        <v>5482.44</v>
      </c>
      <c r="R384" s="54">
        <v>0</v>
      </c>
      <c r="S384" s="54">
        <v>5466.66</v>
      </c>
      <c r="T384" s="54">
        <v>5466.66</v>
      </c>
      <c r="U384" s="54">
        <v>15.78</v>
      </c>
      <c r="V384" s="54">
        <v>15.78</v>
      </c>
      <c r="W384" s="54">
        <v>15.78</v>
      </c>
    </row>
    <row r="385" spans="1:23" outlineLevel="2" x14ac:dyDescent="0.2">
      <c r="A385" s="21" t="s">
        <v>0</v>
      </c>
      <c r="B385" s="21" t="s">
        <v>1</v>
      </c>
      <c r="C385" s="21" t="s">
        <v>99</v>
      </c>
      <c r="D385" s="21" t="s">
        <v>100</v>
      </c>
      <c r="E385" s="21" t="s">
        <v>101</v>
      </c>
      <c r="F385" s="21" t="s">
        <v>5</v>
      </c>
      <c r="G385" s="21" t="s">
        <v>6</v>
      </c>
      <c r="H385" s="21" t="s">
        <v>35</v>
      </c>
      <c r="I385" s="21" t="s">
        <v>36</v>
      </c>
      <c r="J385" s="21" t="s">
        <v>9</v>
      </c>
      <c r="K385" s="21" t="s">
        <v>267</v>
      </c>
      <c r="L385" s="21" t="s">
        <v>275</v>
      </c>
      <c r="M385" s="21" t="s">
        <v>15</v>
      </c>
      <c r="N385" s="54">
        <v>5784.98</v>
      </c>
      <c r="O385" s="54">
        <v>11044.95</v>
      </c>
      <c r="P385" s="54">
        <v>0</v>
      </c>
      <c r="Q385" s="54">
        <v>16829.93</v>
      </c>
      <c r="R385" s="54">
        <v>0</v>
      </c>
      <c r="S385" s="54">
        <v>16828.27</v>
      </c>
      <c r="T385" s="54">
        <v>16828.27</v>
      </c>
      <c r="U385" s="54">
        <v>1.66</v>
      </c>
      <c r="V385" s="54">
        <v>1.66</v>
      </c>
      <c r="W385" s="54">
        <v>1.66</v>
      </c>
    </row>
    <row r="386" spans="1:23" outlineLevel="2" x14ac:dyDescent="0.2">
      <c r="A386" s="21" t="s">
        <v>0</v>
      </c>
      <c r="B386" s="21" t="s">
        <v>31</v>
      </c>
      <c r="C386" s="21" t="s">
        <v>79</v>
      </c>
      <c r="D386" s="21" t="s">
        <v>131</v>
      </c>
      <c r="E386" s="21" t="s">
        <v>132</v>
      </c>
      <c r="F386" s="21" t="s">
        <v>5</v>
      </c>
      <c r="G386" s="21" t="s">
        <v>6</v>
      </c>
      <c r="H386" s="21" t="s">
        <v>35</v>
      </c>
      <c r="I386" s="21" t="s">
        <v>36</v>
      </c>
      <c r="J386" s="21" t="s">
        <v>9</v>
      </c>
      <c r="K386" s="21" t="s">
        <v>267</v>
      </c>
      <c r="L386" s="21" t="s">
        <v>274</v>
      </c>
      <c r="M386" s="21" t="s">
        <v>15</v>
      </c>
      <c r="N386" s="54">
        <v>2932.17</v>
      </c>
      <c r="O386" s="54">
        <v>2210</v>
      </c>
      <c r="P386" s="54">
        <v>0</v>
      </c>
      <c r="Q386" s="54">
        <v>5142.17</v>
      </c>
      <c r="R386" s="54">
        <v>0</v>
      </c>
      <c r="S386" s="54">
        <v>2205.9</v>
      </c>
      <c r="T386" s="54">
        <v>2205.9</v>
      </c>
      <c r="U386" s="54">
        <v>2936.27</v>
      </c>
      <c r="V386" s="54">
        <v>2936.27</v>
      </c>
      <c r="W386" s="54">
        <v>2936.27</v>
      </c>
    </row>
    <row r="387" spans="1:23" outlineLevel="2" x14ac:dyDescent="0.2">
      <c r="A387" s="21" t="s">
        <v>0</v>
      </c>
      <c r="B387" s="21" t="s">
        <v>39</v>
      </c>
      <c r="C387" s="21" t="s">
        <v>58</v>
      </c>
      <c r="D387" s="21" t="s">
        <v>143</v>
      </c>
      <c r="E387" s="21" t="s">
        <v>144</v>
      </c>
      <c r="F387" s="21" t="s">
        <v>5</v>
      </c>
      <c r="G387" s="21" t="s">
        <v>6</v>
      </c>
      <c r="H387" s="21" t="s">
        <v>35</v>
      </c>
      <c r="I387" s="21" t="s">
        <v>36</v>
      </c>
      <c r="J387" s="21" t="s">
        <v>9</v>
      </c>
      <c r="K387" s="21" t="s">
        <v>267</v>
      </c>
      <c r="L387" s="21" t="s">
        <v>269</v>
      </c>
      <c r="M387" s="21" t="s">
        <v>15</v>
      </c>
      <c r="N387" s="54">
        <v>10035.540000000001</v>
      </c>
      <c r="O387" s="54">
        <v>0</v>
      </c>
      <c r="P387" s="54">
        <v>0</v>
      </c>
      <c r="Q387" s="54">
        <v>10035.540000000001</v>
      </c>
      <c r="R387" s="54">
        <v>0</v>
      </c>
      <c r="S387" s="54">
        <v>5306.44</v>
      </c>
      <c r="T387" s="54">
        <v>5306.44</v>
      </c>
      <c r="U387" s="54">
        <v>4729.1000000000004</v>
      </c>
      <c r="V387" s="54">
        <v>4729.1000000000004</v>
      </c>
      <c r="W387" s="54">
        <v>4729.1000000000004</v>
      </c>
    </row>
    <row r="388" spans="1:23" outlineLevel="2" x14ac:dyDescent="0.2">
      <c r="A388" s="21" t="s">
        <v>0</v>
      </c>
      <c r="B388" s="21" t="s">
        <v>39</v>
      </c>
      <c r="C388" s="21" t="s">
        <v>66</v>
      </c>
      <c r="D388" s="21" t="s">
        <v>67</v>
      </c>
      <c r="E388" s="21" t="s">
        <v>68</v>
      </c>
      <c r="F388" s="21" t="s">
        <v>5</v>
      </c>
      <c r="G388" s="21" t="s">
        <v>6</v>
      </c>
      <c r="H388" s="21" t="s">
        <v>35</v>
      </c>
      <c r="I388" s="21" t="s">
        <v>36</v>
      </c>
      <c r="J388" s="21" t="s">
        <v>9</v>
      </c>
      <c r="K388" s="21" t="s">
        <v>267</v>
      </c>
      <c r="L388" s="21" t="s">
        <v>268</v>
      </c>
      <c r="M388" s="21" t="s">
        <v>15</v>
      </c>
      <c r="N388" s="54">
        <v>3661.27</v>
      </c>
      <c r="O388" s="54">
        <v>-1830.63</v>
      </c>
      <c r="P388" s="54">
        <v>0</v>
      </c>
      <c r="Q388" s="54">
        <v>1830.64</v>
      </c>
      <c r="R388" s="54">
        <v>0</v>
      </c>
      <c r="S388" s="54">
        <v>0</v>
      </c>
      <c r="T388" s="54">
        <v>0</v>
      </c>
      <c r="U388" s="54">
        <v>1830.64</v>
      </c>
      <c r="V388" s="54">
        <v>1830.64</v>
      </c>
      <c r="W388" s="54">
        <v>1830.64</v>
      </c>
    </row>
    <row r="389" spans="1:23" outlineLevel="2" x14ac:dyDescent="0.2">
      <c r="A389" s="21" t="s">
        <v>0</v>
      </c>
      <c r="B389" s="21" t="s">
        <v>31</v>
      </c>
      <c r="C389" s="21" t="s">
        <v>79</v>
      </c>
      <c r="D389" s="21" t="s">
        <v>127</v>
      </c>
      <c r="E389" s="21" t="s">
        <v>128</v>
      </c>
      <c r="F389" s="21" t="s">
        <v>5</v>
      </c>
      <c r="G389" s="21" t="s">
        <v>6</v>
      </c>
      <c r="H389" s="21" t="s">
        <v>35</v>
      </c>
      <c r="I389" s="21" t="s">
        <v>36</v>
      </c>
      <c r="J389" s="21" t="s">
        <v>9</v>
      </c>
      <c r="K389" s="21" t="s">
        <v>267</v>
      </c>
      <c r="L389" s="21" t="s">
        <v>274</v>
      </c>
      <c r="M389" s="21" t="s">
        <v>15</v>
      </c>
      <c r="N389" s="54">
        <v>2796.77</v>
      </c>
      <c r="O389" s="54">
        <v>0</v>
      </c>
      <c r="P389" s="54">
        <v>0</v>
      </c>
      <c r="Q389" s="54">
        <v>2796.77</v>
      </c>
      <c r="R389" s="54">
        <v>0</v>
      </c>
      <c r="S389" s="54">
        <v>599.13</v>
      </c>
      <c r="T389" s="54">
        <v>599.13</v>
      </c>
      <c r="U389" s="54">
        <v>2197.64</v>
      </c>
      <c r="V389" s="54">
        <v>2197.64</v>
      </c>
      <c r="W389" s="54">
        <v>2197.64</v>
      </c>
    </row>
    <row r="390" spans="1:23" outlineLevel="2" x14ac:dyDescent="0.2">
      <c r="A390" s="21" t="s">
        <v>0</v>
      </c>
      <c r="B390" s="21" t="s">
        <v>39</v>
      </c>
      <c r="C390" s="21" t="s">
        <v>58</v>
      </c>
      <c r="D390" s="21" t="s">
        <v>139</v>
      </c>
      <c r="E390" s="21" t="s">
        <v>140</v>
      </c>
      <c r="F390" s="21" t="s">
        <v>5</v>
      </c>
      <c r="G390" s="21" t="s">
        <v>6</v>
      </c>
      <c r="H390" s="21" t="s">
        <v>35</v>
      </c>
      <c r="I390" s="21" t="s">
        <v>36</v>
      </c>
      <c r="J390" s="21" t="s">
        <v>9</v>
      </c>
      <c r="K390" s="21" t="s">
        <v>267</v>
      </c>
      <c r="L390" s="21" t="s">
        <v>269</v>
      </c>
      <c r="M390" s="21" t="s">
        <v>15</v>
      </c>
      <c r="N390" s="54">
        <v>15161.78</v>
      </c>
      <c r="O390" s="54">
        <v>0</v>
      </c>
      <c r="P390" s="54">
        <v>0</v>
      </c>
      <c r="Q390" s="54">
        <v>15161.78</v>
      </c>
      <c r="R390" s="54">
        <v>0</v>
      </c>
      <c r="S390" s="54">
        <v>3350</v>
      </c>
      <c r="T390" s="54">
        <v>3350</v>
      </c>
      <c r="U390" s="54">
        <v>11811.78</v>
      </c>
      <c r="V390" s="54">
        <v>11811.78</v>
      </c>
      <c r="W390" s="54">
        <v>11811.78</v>
      </c>
    </row>
    <row r="391" spans="1:23" outlineLevel="2" x14ac:dyDescent="0.2">
      <c r="A391" s="21" t="s">
        <v>0</v>
      </c>
      <c r="B391" s="21" t="s">
        <v>31</v>
      </c>
      <c r="C391" s="21" t="s">
        <v>79</v>
      </c>
      <c r="D391" s="21" t="s">
        <v>117</v>
      </c>
      <c r="E391" s="21" t="s">
        <v>118</v>
      </c>
      <c r="F391" s="21" t="s">
        <v>5</v>
      </c>
      <c r="G391" s="21" t="s">
        <v>6</v>
      </c>
      <c r="H391" s="21" t="s">
        <v>35</v>
      </c>
      <c r="I391" s="21" t="s">
        <v>36</v>
      </c>
      <c r="J391" s="21" t="s">
        <v>9</v>
      </c>
      <c r="K391" s="21" t="s">
        <v>267</v>
      </c>
      <c r="L391" s="21" t="s">
        <v>274</v>
      </c>
      <c r="M391" s="21" t="s">
        <v>15</v>
      </c>
      <c r="N391" s="54">
        <v>6639.29</v>
      </c>
      <c r="O391" s="54">
        <v>0</v>
      </c>
      <c r="P391" s="54">
        <v>0</v>
      </c>
      <c r="Q391" s="54">
        <v>6639.29</v>
      </c>
      <c r="R391" s="54">
        <v>0</v>
      </c>
      <c r="S391" s="54">
        <v>1742.93</v>
      </c>
      <c r="T391" s="54">
        <v>1742.93</v>
      </c>
      <c r="U391" s="54">
        <v>4896.3599999999997</v>
      </c>
      <c r="V391" s="54">
        <v>4896.3599999999997</v>
      </c>
      <c r="W391" s="54">
        <v>4896.3599999999997</v>
      </c>
    </row>
    <row r="392" spans="1:23" outlineLevel="2" x14ac:dyDescent="0.2">
      <c r="A392" s="21" t="s">
        <v>0</v>
      </c>
      <c r="B392" s="21" t="s">
        <v>39</v>
      </c>
      <c r="C392" s="21" t="s">
        <v>58</v>
      </c>
      <c r="D392" s="21" t="s">
        <v>105</v>
      </c>
      <c r="E392" s="21" t="s">
        <v>106</v>
      </c>
      <c r="F392" s="21" t="s">
        <v>5</v>
      </c>
      <c r="G392" s="21" t="s">
        <v>6</v>
      </c>
      <c r="H392" s="21" t="s">
        <v>35</v>
      </c>
      <c r="I392" s="21" t="s">
        <v>36</v>
      </c>
      <c r="J392" s="21" t="s">
        <v>9</v>
      </c>
      <c r="K392" s="21" t="s">
        <v>267</v>
      </c>
      <c r="L392" s="21" t="s">
        <v>269</v>
      </c>
      <c r="M392" s="21" t="s">
        <v>15</v>
      </c>
      <c r="N392" s="54">
        <v>3057.43</v>
      </c>
      <c r="O392" s="54">
        <v>16949.580000000002</v>
      </c>
      <c r="P392" s="54">
        <v>0</v>
      </c>
      <c r="Q392" s="54">
        <v>20007.009999999998</v>
      </c>
      <c r="R392" s="54">
        <v>0</v>
      </c>
      <c r="S392" s="54">
        <v>20006.669999999998</v>
      </c>
      <c r="T392" s="54">
        <v>20006.669999999998</v>
      </c>
      <c r="U392" s="54">
        <v>0.34</v>
      </c>
      <c r="V392" s="54">
        <v>0.34</v>
      </c>
      <c r="W392" s="54">
        <v>0.34</v>
      </c>
    </row>
    <row r="393" spans="1:23" outlineLevel="2" x14ac:dyDescent="0.2">
      <c r="A393" s="21" t="s">
        <v>0</v>
      </c>
      <c r="B393" s="21" t="s">
        <v>53</v>
      </c>
      <c r="C393" s="21" t="s">
        <v>54</v>
      </c>
      <c r="D393" s="21" t="s">
        <v>55</v>
      </c>
      <c r="E393" s="21" t="s">
        <v>56</v>
      </c>
      <c r="F393" s="21" t="s">
        <v>5</v>
      </c>
      <c r="G393" s="21" t="s">
        <v>6</v>
      </c>
      <c r="H393" s="21" t="s">
        <v>35</v>
      </c>
      <c r="I393" s="21" t="s">
        <v>36</v>
      </c>
      <c r="J393" s="21" t="s">
        <v>9</v>
      </c>
      <c r="K393" s="21" t="s">
        <v>267</v>
      </c>
      <c r="L393" s="21" t="s">
        <v>273</v>
      </c>
      <c r="M393" s="21" t="s">
        <v>15</v>
      </c>
      <c r="N393" s="54">
        <v>10426.629999999999</v>
      </c>
      <c r="O393" s="54">
        <v>24500</v>
      </c>
      <c r="P393" s="54">
        <v>0</v>
      </c>
      <c r="Q393" s="54">
        <v>34926.629999999997</v>
      </c>
      <c r="R393" s="54">
        <v>0</v>
      </c>
      <c r="S393" s="54">
        <v>33904.17</v>
      </c>
      <c r="T393" s="54">
        <v>33904.17</v>
      </c>
      <c r="U393" s="54">
        <v>1022.46</v>
      </c>
      <c r="V393" s="54">
        <v>1022.46</v>
      </c>
      <c r="W393" s="54">
        <v>1022.46</v>
      </c>
    </row>
    <row r="394" spans="1:23" outlineLevel="2" x14ac:dyDescent="0.2">
      <c r="A394" s="21" t="s">
        <v>0</v>
      </c>
      <c r="B394" s="21" t="s">
        <v>39</v>
      </c>
      <c r="C394" s="21" t="s">
        <v>66</v>
      </c>
      <c r="D394" s="21" t="s">
        <v>121</v>
      </c>
      <c r="E394" s="21" t="s">
        <v>122</v>
      </c>
      <c r="F394" s="21" t="s">
        <v>5</v>
      </c>
      <c r="G394" s="21" t="s">
        <v>6</v>
      </c>
      <c r="H394" s="21" t="s">
        <v>35</v>
      </c>
      <c r="I394" s="21" t="s">
        <v>36</v>
      </c>
      <c r="J394" s="21" t="s">
        <v>9</v>
      </c>
      <c r="K394" s="21" t="s">
        <v>267</v>
      </c>
      <c r="L394" s="21" t="s">
        <v>268</v>
      </c>
      <c r="M394" s="21" t="s">
        <v>15</v>
      </c>
      <c r="N394" s="54">
        <v>8806.02</v>
      </c>
      <c r="O394" s="54">
        <v>0</v>
      </c>
      <c r="P394" s="54">
        <v>0</v>
      </c>
      <c r="Q394" s="54">
        <v>8806.02</v>
      </c>
      <c r="R394" s="54">
        <v>0</v>
      </c>
      <c r="S394" s="54">
        <v>7100.43</v>
      </c>
      <c r="T394" s="54">
        <v>7100.43</v>
      </c>
      <c r="U394" s="54">
        <v>1705.59</v>
      </c>
      <c r="V394" s="54">
        <v>1705.59</v>
      </c>
      <c r="W394" s="54">
        <v>1705.59</v>
      </c>
    </row>
    <row r="395" spans="1:23" outlineLevel="2" x14ac:dyDescent="0.2">
      <c r="A395" s="21" t="s">
        <v>0</v>
      </c>
      <c r="B395" s="21" t="s">
        <v>1</v>
      </c>
      <c r="C395" s="21" t="s">
        <v>2</v>
      </c>
      <c r="D395" s="21" t="s">
        <v>20</v>
      </c>
      <c r="E395" s="21" t="s">
        <v>21</v>
      </c>
      <c r="F395" s="21" t="s">
        <v>5</v>
      </c>
      <c r="G395" s="21" t="s">
        <v>6</v>
      </c>
      <c r="H395" s="21" t="s">
        <v>35</v>
      </c>
      <c r="I395" s="21" t="s">
        <v>36</v>
      </c>
      <c r="J395" s="21" t="s">
        <v>9</v>
      </c>
      <c r="K395" s="21" t="s">
        <v>267</v>
      </c>
      <c r="L395" s="21" t="s">
        <v>272</v>
      </c>
      <c r="M395" s="21" t="s">
        <v>15</v>
      </c>
      <c r="N395" s="54">
        <v>44364.78</v>
      </c>
      <c r="O395" s="54">
        <v>14872.37</v>
      </c>
      <c r="P395" s="54">
        <v>0</v>
      </c>
      <c r="Q395" s="54">
        <v>59237.15</v>
      </c>
      <c r="R395" s="54">
        <v>0</v>
      </c>
      <c r="S395" s="54">
        <v>59236.72</v>
      </c>
      <c r="T395" s="54">
        <v>59236.72</v>
      </c>
      <c r="U395" s="54">
        <v>0.43</v>
      </c>
      <c r="V395" s="54">
        <v>0.43</v>
      </c>
      <c r="W395" s="54">
        <v>0.43</v>
      </c>
    </row>
    <row r="396" spans="1:23" outlineLevel="2" x14ac:dyDescent="0.2">
      <c r="A396" s="21" t="s">
        <v>0</v>
      </c>
      <c r="B396" s="21" t="s">
        <v>31</v>
      </c>
      <c r="C396" s="21" t="s">
        <v>79</v>
      </c>
      <c r="D396" s="21" t="s">
        <v>83</v>
      </c>
      <c r="E396" s="21" t="s">
        <v>84</v>
      </c>
      <c r="F396" s="21" t="s">
        <v>5</v>
      </c>
      <c r="G396" s="21" t="s">
        <v>6</v>
      </c>
      <c r="H396" s="21" t="s">
        <v>35</v>
      </c>
      <c r="I396" s="21" t="s">
        <v>36</v>
      </c>
      <c r="J396" s="21" t="s">
        <v>9</v>
      </c>
      <c r="K396" s="21" t="s">
        <v>267</v>
      </c>
      <c r="L396" s="21" t="s">
        <v>274</v>
      </c>
      <c r="M396" s="21" t="s">
        <v>15</v>
      </c>
      <c r="N396" s="54">
        <v>17426.21</v>
      </c>
      <c r="O396" s="54">
        <v>32667.33</v>
      </c>
      <c r="P396" s="54">
        <v>0</v>
      </c>
      <c r="Q396" s="54">
        <v>50093.54</v>
      </c>
      <c r="R396" s="54">
        <v>0</v>
      </c>
      <c r="S396" s="54">
        <v>50091.98</v>
      </c>
      <c r="T396" s="54">
        <v>50091.98</v>
      </c>
      <c r="U396" s="54">
        <v>1.56</v>
      </c>
      <c r="V396" s="54">
        <v>1.56</v>
      </c>
      <c r="W396" s="54">
        <v>1.56</v>
      </c>
    </row>
    <row r="397" spans="1:23" outlineLevel="2" x14ac:dyDescent="0.2">
      <c r="A397" s="21" t="s">
        <v>0</v>
      </c>
      <c r="B397" s="21" t="s">
        <v>31</v>
      </c>
      <c r="C397" s="21" t="s">
        <v>49</v>
      </c>
      <c r="D397" s="21" t="s">
        <v>50</v>
      </c>
      <c r="E397" s="21" t="s">
        <v>51</v>
      </c>
      <c r="F397" s="21" t="s">
        <v>5</v>
      </c>
      <c r="G397" s="21" t="s">
        <v>6</v>
      </c>
      <c r="H397" s="21" t="s">
        <v>35</v>
      </c>
      <c r="I397" s="21" t="s">
        <v>36</v>
      </c>
      <c r="J397" s="21" t="s">
        <v>9</v>
      </c>
      <c r="K397" s="21" t="s">
        <v>267</v>
      </c>
      <c r="L397" s="21" t="s">
        <v>280</v>
      </c>
      <c r="M397" s="21" t="s">
        <v>15</v>
      </c>
      <c r="N397" s="54">
        <v>3825.77</v>
      </c>
      <c r="O397" s="54">
        <v>0</v>
      </c>
      <c r="P397" s="54">
        <v>0</v>
      </c>
      <c r="Q397" s="54">
        <v>3825.77</v>
      </c>
      <c r="R397" s="54">
        <v>0</v>
      </c>
      <c r="S397" s="54">
        <v>3575</v>
      </c>
      <c r="T397" s="54">
        <v>3575</v>
      </c>
      <c r="U397" s="54">
        <v>250.77</v>
      </c>
      <c r="V397" s="54">
        <v>250.77</v>
      </c>
      <c r="W397" s="54">
        <v>250.77</v>
      </c>
    </row>
    <row r="398" spans="1:23" outlineLevel="2" x14ac:dyDescent="0.2">
      <c r="A398" s="21" t="s">
        <v>0</v>
      </c>
      <c r="B398" s="21" t="s">
        <v>31</v>
      </c>
      <c r="C398" s="21" t="s">
        <v>79</v>
      </c>
      <c r="D398" s="21" t="s">
        <v>125</v>
      </c>
      <c r="E398" s="21" t="s">
        <v>126</v>
      </c>
      <c r="F398" s="21" t="s">
        <v>5</v>
      </c>
      <c r="G398" s="21" t="s">
        <v>6</v>
      </c>
      <c r="H398" s="21" t="s">
        <v>35</v>
      </c>
      <c r="I398" s="21" t="s">
        <v>36</v>
      </c>
      <c r="J398" s="21" t="s">
        <v>9</v>
      </c>
      <c r="K398" s="21" t="s">
        <v>267</v>
      </c>
      <c r="L398" s="21" t="s">
        <v>274</v>
      </c>
      <c r="M398" s="21" t="s">
        <v>15</v>
      </c>
      <c r="N398" s="54">
        <v>2297.33</v>
      </c>
      <c r="O398" s="54">
        <v>0</v>
      </c>
      <c r="P398" s="54">
        <v>0</v>
      </c>
      <c r="Q398" s="54">
        <v>2297.33</v>
      </c>
      <c r="R398" s="54">
        <v>0</v>
      </c>
      <c r="S398" s="54">
        <v>1089.33</v>
      </c>
      <c r="T398" s="54">
        <v>1089.33</v>
      </c>
      <c r="U398" s="54">
        <v>1208</v>
      </c>
      <c r="V398" s="54">
        <v>1208</v>
      </c>
      <c r="W398" s="54">
        <v>1208</v>
      </c>
    </row>
    <row r="399" spans="1:23" outlineLevel="2" x14ac:dyDescent="0.2">
      <c r="A399" s="21" t="s">
        <v>0</v>
      </c>
      <c r="B399" s="21" t="s">
        <v>31</v>
      </c>
      <c r="C399" s="21" t="s">
        <v>32</v>
      </c>
      <c r="D399" s="21" t="s">
        <v>141</v>
      </c>
      <c r="E399" s="21" t="s">
        <v>142</v>
      </c>
      <c r="F399" s="21" t="s">
        <v>5</v>
      </c>
      <c r="G399" s="21" t="s">
        <v>6</v>
      </c>
      <c r="H399" s="21" t="s">
        <v>35</v>
      </c>
      <c r="I399" s="21" t="s">
        <v>36</v>
      </c>
      <c r="J399" s="21" t="s">
        <v>9</v>
      </c>
      <c r="K399" s="21" t="s">
        <v>267</v>
      </c>
      <c r="L399" s="21" t="s">
        <v>278</v>
      </c>
      <c r="M399" s="21" t="s">
        <v>15</v>
      </c>
      <c r="N399" s="54">
        <v>4835.6899999999996</v>
      </c>
      <c r="O399" s="54">
        <v>23764.14</v>
      </c>
      <c r="P399" s="54">
        <v>0</v>
      </c>
      <c r="Q399" s="54">
        <v>28599.83</v>
      </c>
      <c r="R399" s="54">
        <v>0</v>
      </c>
      <c r="S399" s="54">
        <v>28598.16</v>
      </c>
      <c r="T399" s="54">
        <v>28598.16</v>
      </c>
      <c r="U399" s="54">
        <v>1.67</v>
      </c>
      <c r="V399" s="54">
        <v>1.67</v>
      </c>
      <c r="W399" s="54">
        <v>1.67</v>
      </c>
    </row>
    <row r="400" spans="1:23" outlineLevel="2" x14ac:dyDescent="0.2">
      <c r="A400" s="21" t="s">
        <v>0</v>
      </c>
      <c r="B400" s="21" t="s">
        <v>39</v>
      </c>
      <c r="C400" s="21" t="s">
        <v>70</v>
      </c>
      <c r="D400" s="21" t="s">
        <v>89</v>
      </c>
      <c r="E400" s="21" t="s">
        <v>90</v>
      </c>
      <c r="F400" s="21" t="s">
        <v>5</v>
      </c>
      <c r="G400" s="21" t="s">
        <v>6</v>
      </c>
      <c r="H400" s="21" t="s">
        <v>35</v>
      </c>
      <c r="I400" s="21" t="s">
        <v>36</v>
      </c>
      <c r="J400" s="21" t="s">
        <v>9</v>
      </c>
      <c r="K400" s="21" t="s">
        <v>267</v>
      </c>
      <c r="L400" s="21" t="s">
        <v>283</v>
      </c>
      <c r="M400" s="21" t="s">
        <v>15</v>
      </c>
      <c r="N400" s="54">
        <v>34227.129999999997</v>
      </c>
      <c r="O400" s="54">
        <v>0</v>
      </c>
      <c r="P400" s="54">
        <v>0</v>
      </c>
      <c r="Q400" s="54">
        <v>34227.129999999997</v>
      </c>
      <c r="R400" s="54">
        <v>0</v>
      </c>
      <c r="S400" s="54">
        <v>6938.21</v>
      </c>
      <c r="T400" s="54">
        <v>6938.21</v>
      </c>
      <c r="U400" s="54">
        <v>27288.92</v>
      </c>
      <c r="V400" s="54">
        <v>27288.92</v>
      </c>
      <c r="W400" s="54">
        <v>27288.92</v>
      </c>
    </row>
    <row r="401" spans="1:23" outlineLevel="2" x14ac:dyDescent="0.2">
      <c r="A401" s="21" t="s">
        <v>0</v>
      </c>
      <c r="B401" s="21" t="s">
        <v>39</v>
      </c>
      <c r="C401" s="21" t="s">
        <v>58</v>
      </c>
      <c r="D401" s="21" t="s">
        <v>129</v>
      </c>
      <c r="E401" s="21" t="s">
        <v>130</v>
      </c>
      <c r="F401" s="21" t="s">
        <v>5</v>
      </c>
      <c r="G401" s="21" t="s">
        <v>6</v>
      </c>
      <c r="H401" s="21" t="s">
        <v>35</v>
      </c>
      <c r="I401" s="21" t="s">
        <v>36</v>
      </c>
      <c r="J401" s="21" t="s">
        <v>9</v>
      </c>
      <c r="K401" s="21" t="s">
        <v>267</v>
      </c>
      <c r="L401" s="21" t="s">
        <v>269</v>
      </c>
      <c r="M401" s="21" t="s">
        <v>15</v>
      </c>
      <c r="N401" s="54">
        <v>2843.71</v>
      </c>
      <c r="O401" s="54">
        <v>750</v>
      </c>
      <c r="P401" s="54">
        <v>0</v>
      </c>
      <c r="Q401" s="54">
        <v>3593.71</v>
      </c>
      <c r="R401" s="54">
        <v>0</v>
      </c>
      <c r="S401" s="54">
        <v>3030</v>
      </c>
      <c r="T401" s="54">
        <v>3030</v>
      </c>
      <c r="U401" s="54">
        <v>563.71</v>
      </c>
      <c r="V401" s="54">
        <v>563.71</v>
      </c>
      <c r="W401" s="54">
        <v>563.71</v>
      </c>
    </row>
    <row r="402" spans="1:23" outlineLevel="2" x14ac:dyDescent="0.2">
      <c r="A402" s="21" t="s">
        <v>0</v>
      </c>
      <c r="B402" s="21" t="s">
        <v>39</v>
      </c>
      <c r="C402" s="21" t="s">
        <v>70</v>
      </c>
      <c r="D402" s="21" t="s">
        <v>71</v>
      </c>
      <c r="E402" s="21" t="s">
        <v>72</v>
      </c>
      <c r="F402" s="21" t="s">
        <v>5</v>
      </c>
      <c r="G402" s="21" t="s">
        <v>6</v>
      </c>
      <c r="H402" s="21" t="s">
        <v>35</v>
      </c>
      <c r="I402" s="21" t="s">
        <v>36</v>
      </c>
      <c r="J402" s="21" t="s">
        <v>9</v>
      </c>
      <c r="K402" s="21" t="s">
        <v>267</v>
      </c>
      <c r="L402" s="21" t="s">
        <v>283</v>
      </c>
      <c r="M402" s="21" t="s">
        <v>15</v>
      </c>
      <c r="N402" s="54">
        <v>37975.72</v>
      </c>
      <c r="O402" s="54">
        <v>5130</v>
      </c>
      <c r="P402" s="54">
        <v>0</v>
      </c>
      <c r="Q402" s="54">
        <v>43105.72</v>
      </c>
      <c r="R402" s="54">
        <v>0</v>
      </c>
      <c r="S402" s="54">
        <v>43104.92</v>
      </c>
      <c r="T402" s="54">
        <v>43104.92</v>
      </c>
      <c r="U402" s="54">
        <v>0.8</v>
      </c>
      <c r="V402" s="54">
        <v>0.8</v>
      </c>
      <c r="W402" s="54">
        <v>0.8</v>
      </c>
    </row>
    <row r="403" spans="1:23" outlineLevel="2" x14ac:dyDescent="0.2">
      <c r="A403" s="21" t="s">
        <v>0</v>
      </c>
      <c r="B403" s="21" t="s">
        <v>31</v>
      </c>
      <c r="C403" s="21" t="s">
        <v>79</v>
      </c>
      <c r="D403" s="21" t="s">
        <v>111</v>
      </c>
      <c r="E403" s="21" t="s">
        <v>112</v>
      </c>
      <c r="F403" s="21" t="s">
        <v>5</v>
      </c>
      <c r="G403" s="21" t="s">
        <v>6</v>
      </c>
      <c r="H403" s="21" t="s">
        <v>35</v>
      </c>
      <c r="I403" s="21" t="s">
        <v>36</v>
      </c>
      <c r="J403" s="21" t="s">
        <v>9</v>
      </c>
      <c r="K403" s="21" t="s">
        <v>267</v>
      </c>
      <c r="L403" s="21" t="s">
        <v>274</v>
      </c>
      <c r="M403" s="21" t="s">
        <v>15</v>
      </c>
      <c r="N403" s="54">
        <v>3932.26</v>
      </c>
      <c r="O403" s="54">
        <v>0</v>
      </c>
      <c r="P403" s="54">
        <v>0</v>
      </c>
      <c r="Q403" s="54">
        <v>3932.26</v>
      </c>
      <c r="R403" s="54">
        <v>0</v>
      </c>
      <c r="S403" s="54">
        <v>0</v>
      </c>
      <c r="T403" s="54">
        <v>0</v>
      </c>
      <c r="U403" s="54">
        <v>3932.26</v>
      </c>
      <c r="V403" s="54">
        <v>3932.26</v>
      </c>
      <c r="W403" s="54">
        <v>3932.26</v>
      </c>
    </row>
    <row r="404" spans="1:23" outlineLevel="2" x14ac:dyDescent="0.2">
      <c r="A404" s="21" t="s">
        <v>0</v>
      </c>
      <c r="B404" s="21" t="s">
        <v>31</v>
      </c>
      <c r="C404" s="21" t="s">
        <v>79</v>
      </c>
      <c r="D404" s="21" t="s">
        <v>80</v>
      </c>
      <c r="E404" s="21" t="s">
        <v>81</v>
      </c>
      <c r="F404" s="21" t="s">
        <v>5</v>
      </c>
      <c r="G404" s="21" t="s">
        <v>6</v>
      </c>
      <c r="H404" s="21" t="s">
        <v>35</v>
      </c>
      <c r="I404" s="21" t="s">
        <v>36</v>
      </c>
      <c r="J404" s="21" t="s">
        <v>9</v>
      </c>
      <c r="K404" s="21" t="s">
        <v>267</v>
      </c>
      <c r="L404" s="21" t="s">
        <v>274</v>
      </c>
      <c r="M404" s="21" t="s">
        <v>15</v>
      </c>
      <c r="N404" s="54">
        <v>2574.8200000000002</v>
      </c>
      <c r="O404" s="54">
        <v>0</v>
      </c>
      <c r="P404" s="54">
        <v>0</v>
      </c>
      <c r="Q404" s="54">
        <v>2574.8200000000002</v>
      </c>
      <c r="R404" s="54">
        <v>0</v>
      </c>
      <c r="S404" s="54">
        <v>0</v>
      </c>
      <c r="T404" s="54">
        <v>0</v>
      </c>
      <c r="U404" s="54">
        <v>2574.8200000000002</v>
      </c>
      <c r="V404" s="54">
        <v>2574.8200000000002</v>
      </c>
      <c r="W404" s="54">
        <v>2574.8200000000002</v>
      </c>
    </row>
    <row r="405" spans="1:23" outlineLevel="2" x14ac:dyDescent="0.2">
      <c r="A405" s="21" t="s">
        <v>0</v>
      </c>
      <c r="B405" s="21" t="s">
        <v>1</v>
      </c>
      <c r="C405" s="21" t="s">
        <v>16</v>
      </c>
      <c r="D405" s="21" t="s">
        <v>103</v>
      </c>
      <c r="E405" s="21" t="s">
        <v>104</v>
      </c>
      <c r="F405" s="21" t="s">
        <v>5</v>
      </c>
      <c r="G405" s="21" t="s">
        <v>6</v>
      </c>
      <c r="H405" s="21" t="s">
        <v>35</v>
      </c>
      <c r="I405" s="21" t="s">
        <v>36</v>
      </c>
      <c r="J405" s="21" t="s">
        <v>9</v>
      </c>
      <c r="K405" s="21" t="s">
        <v>267</v>
      </c>
      <c r="L405" s="21" t="s">
        <v>271</v>
      </c>
      <c r="M405" s="21" t="s">
        <v>15</v>
      </c>
      <c r="N405" s="54">
        <v>15104.24</v>
      </c>
      <c r="O405" s="54">
        <v>2706</v>
      </c>
      <c r="P405" s="54">
        <v>0</v>
      </c>
      <c r="Q405" s="54">
        <v>17810.240000000002</v>
      </c>
      <c r="R405" s="54">
        <v>0</v>
      </c>
      <c r="S405" s="54">
        <v>15585.87</v>
      </c>
      <c r="T405" s="54">
        <v>15585.87</v>
      </c>
      <c r="U405" s="54">
        <v>2224.37</v>
      </c>
      <c r="V405" s="54">
        <v>2224.37</v>
      </c>
      <c r="W405" s="54">
        <v>2224.37</v>
      </c>
    </row>
    <row r="406" spans="1:23" outlineLevel="2" x14ac:dyDescent="0.2">
      <c r="A406" s="21" t="s">
        <v>0</v>
      </c>
      <c r="B406" s="21" t="s">
        <v>39</v>
      </c>
      <c r="C406" s="21" t="s">
        <v>40</v>
      </c>
      <c r="D406" s="21" t="s">
        <v>77</v>
      </c>
      <c r="E406" s="21" t="s">
        <v>78</v>
      </c>
      <c r="F406" s="21" t="s">
        <v>5</v>
      </c>
      <c r="G406" s="21" t="s">
        <v>6</v>
      </c>
      <c r="H406" s="21" t="s">
        <v>35</v>
      </c>
      <c r="I406" s="21" t="s">
        <v>36</v>
      </c>
      <c r="J406" s="21" t="s">
        <v>9</v>
      </c>
      <c r="K406" s="21" t="s">
        <v>267</v>
      </c>
      <c r="L406" s="21" t="s">
        <v>270</v>
      </c>
      <c r="M406" s="21" t="s">
        <v>15</v>
      </c>
      <c r="N406" s="54">
        <v>257002</v>
      </c>
      <c r="O406" s="54">
        <v>0</v>
      </c>
      <c r="P406" s="54">
        <v>0</v>
      </c>
      <c r="Q406" s="54">
        <v>257002</v>
      </c>
      <c r="R406" s="54">
        <v>0</v>
      </c>
      <c r="S406" s="54">
        <v>48458.559999999998</v>
      </c>
      <c r="T406" s="54">
        <v>48458.559999999998</v>
      </c>
      <c r="U406" s="54">
        <v>208543.44</v>
      </c>
      <c r="V406" s="54">
        <v>208543.44</v>
      </c>
      <c r="W406" s="54">
        <v>208543.44</v>
      </c>
    </row>
    <row r="407" spans="1:23" outlineLevel="2" x14ac:dyDescent="0.2">
      <c r="A407" s="21" t="s">
        <v>0</v>
      </c>
      <c r="B407" s="21" t="s">
        <v>31</v>
      </c>
      <c r="C407" s="21" t="s">
        <v>79</v>
      </c>
      <c r="D407" s="21" t="s">
        <v>117</v>
      </c>
      <c r="E407" s="21" t="s">
        <v>118</v>
      </c>
      <c r="F407" s="21" t="s">
        <v>5</v>
      </c>
      <c r="G407" s="21" t="s">
        <v>6</v>
      </c>
      <c r="H407" s="21" t="s">
        <v>35</v>
      </c>
      <c r="I407" s="21" t="s">
        <v>36</v>
      </c>
      <c r="J407" s="21" t="s">
        <v>9</v>
      </c>
      <c r="K407" s="21" t="s">
        <v>284</v>
      </c>
      <c r="L407" s="21" t="s">
        <v>290</v>
      </c>
      <c r="M407" s="21" t="s">
        <v>15</v>
      </c>
      <c r="N407" s="54">
        <v>1663.77</v>
      </c>
      <c r="O407" s="54">
        <v>0</v>
      </c>
      <c r="P407" s="54">
        <v>0</v>
      </c>
      <c r="Q407" s="54">
        <v>1663.77</v>
      </c>
      <c r="R407" s="54">
        <v>0</v>
      </c>
      <c r="S407" s="54">
        <v>194.53</v>
      </c>
      <c r="T407" s="54">
        <v>194.53</v>
      </c>
      <c r="U407" s="54">
        <v>1469.24</v>
      </c>
      <c r="V407" s="54">
        <v>1469.24</v>
      </c>
      <c r="W407" s="54">
        <v>1469.24</v>
      </c>
    </row>
    <row r="408" spans="1:23" outlineLevel="2" x14ac:dyDescent="0.2">
      <c r="A408" s="21" t="s">
        <v>0</v>
      </c>
      <c r="B408" s="21" t="s">
        <v>31</v>
      </c>
      <c r="C408" s="21" t="s">
        <v>79</v>
      </c>
      <c r="D408" s="21" t="s">
        <v>133</v>
      </c>
      <c r="E408" s="21" t="s">
        <v>134</v>
      </c>
      <c r="F408" s="21" t="s">
        <v>5</v>
      </c>
      <c r="G408" s="21" t="s">
        <v>6</v>
      </c>
      <c r="H408" s="21" t="s">
        <v>35</v>
      </c>
      <c r="I408" s="21" t="s">
        <v>36</v>
      </c>
      <c r="J408" s="21" t="s">
        <v>9</v>
      </c>
      <c r="K408" s="21" t="s">
        <v>284</v>
      </c>
      <c r="L408" s="21" t="s">
        <v>290</v>
      </c>
      <c r="M408" s="21" t="s">
        <v>15</v>
      </c>
      <c r="N408" s="54">
        <v>1105.57</v>
      </c>
      <c r="O408" s="54">
        <v>0</v>
      </c>
      <c r="P408" s="54">
        <v>0</v>
      </c>
      <c r="Q408" s="54">
        <v>1105.57</v>
      </c>
      <c r="R408" s="54">
        <v>0</v>
      </c>
      <c r="S408" s="54">
        <v>517.03</v>
      </c>
      <c r="T408" s="54">
        <v>517.03</v>
      </c>
      <c r="U408" s="54">
        <v>588.54</v>
      </c>
      <c r="V408" s="54">
        <v>588.54</v>
      </c>
      <c r="W408" s="54">
        <v>588.54</v>
      </c>
    </row>
    <row r="409" spans="1:23" outlineLevel="2" x14ac:dyDescent="0.2">
      <c r="A409" s="21" t="s">
        <v>0</v>
      </c>
      <c r="B409" s="21" t="s">
        <v>39</v>
      </c>
      <c r="C409" s="21" t="s">
        <v>58</v>
      </c>
      <c r="D409" s="21" t="s">
        <v>129</v>
      </c>
      <c r="E409" s="21" t="s">
        <v>130</v>
      </c>
      <c r="F409" s="21" t="s">
        <v>5</v>
      </c>
      <c r="G409" s="21" t="s">
        <v>6</v>
      </c>
      <c r="H409" s="21" t="s">
        <v>35</v>
      </c>
      <c r="I409" s="21" t="s">
        <v>36</v>
      </c>
      <c r="J409" s="21" t="s">
        <v>9</v>
      </c>
      <c r="K409" s="21" t="s">
        <v>284</v>
      </c>
      <c r="L409" s="21" t="s">
        <v>289</v>
      </c>
      <c r="M409" s="21" t="s">
        <v>15</v>
      </c>
      <c r="N409" s="54">
        <v>6964.56</v>
      </c>
      <c r="O409" s="54">
        <v>0</v>
      </c>
      <c r="P409" s="54">
        <v>0</v>
      </c>
      <c r="Q409" s="54">
        <v>6964.56</v>
      </c>
      <c r="R409" s="54">
        <v>0</v>
      </c>
      <c r="S409" s="54">
        <v>5686.83</v>
      </c>
      <c r="T409" s="54">
        <v>5686.83</v>
      </c>
      <c r="U409" s="54">
        <v>1277.73</v>
      </c>
      <c r="V409" s="54">
        <v>1277.73</v>
      </c>
      <c r="W409" s="54">
        <v>1277.73</v>
      </c>
    </row>
    <row r="410" spans="1:23" outlineLevel="2" x14ac:dyDescent="0.2">
      <c r="A410" s="21" t="s">
        <v>0</v>
      </c>
      <c r="B410" s="21" t="s">
        <v>39</v>
      </c>
      <c r="C410" s="21" t="s">
        <v>95</v>
      </c>
      <c r="D410" s="21" t="s">
        <v>96</v>
      </c>
      <c r="E410" s="21" t="s">
        <v>97</v>
      </c>
      <c r="F410" s="21" t="s">
        <v>5</v>
      </c>
      <c r="G410" s="21" t="s">
        <v>6</v>
      </c>
      <c r="H410" s="21" t="s">
        <v>35</v>
      </c>
      <c r="I410" s="21" t="s">
        <v>36</v>
      </c>
      <c r="J410" s="21" t="s">
        <v>9</v>
      </c>
      <c r="K410" s="21" t="s">
        <v>284</v>
      </c>
      <c r="L410" s="21" t="s">
        <v>298</v>
      </c>
      <c r="M410" s="21" t="s">
        <v>15</v>
      </c>
      <c r="N410" s="54">
        <v>7213.01</v>
      </c>
      <c r="O410" s="54">
        <v>0</v>
      </c>
      <c r="P410" s="54">
        <v>0</v>
      </c>
      <c r="Q410" s="54">
        <v>7213.01</v>
      </c>
      <c r="R410" s="54">
        <v>0</v>
      </c>
      <c r="S410" s="54">
        <v>186.25</v>
      </c>
      <c r="T410" s="54">
        <v>186.25</v>
      </c>
      <c r="U410" s="54">
        <v>7026.76</v>
      </c>
      <c r="V410" s="54">
        <v>7026.76</v>
      </c>
      <c r="W410" s="54">
        <v>7026.76</v>
      </c>
    </row>
    <row r="411" spans="1:23" outlineLevel="2" x14ac:dyDescent="0.2">
      <c r="A411" s="21" t="s">
        <v>0</v>
      </c>
      <c r="B411" s="21" t="s">
        <v>39</v>
      </c>
      <c r="C411" s="21" t="s">
        <v>58</v>
      </c>
      <c r="D411" s="21" t="s">
        <v>135</v>
      </c>
      <c r="E411" s="21" t="s">
        <v>136</v>
      </c>
      <c r="F411" s="21" t="s">
        <v>5</v>
      </c>
      <c r="G411" s="21" t="s">
        <v>6</v>
      </c>
      <c r="H411" s="21" t="s">
        <v>35</v>
      </c>
      <c r="I411" s="21" t="s">
        <v>36</v>
      </c>
      <c r="J411" s="21" t="s">
        <v>9</v>
      </c>
      <c r="K411" s="21" t="s">
        <v>284</v>
      </c>
      <c r="L411" s="21" t="s">
        <v>289</v>
      </c>
      <c r="M411" s="21" t="s">
        <v>15</v>
      </c>
      <c r="N411" s="54">
        <v>20856</v>
      </c>
      <c r="O411" s="54">
        <v>0</v>
      </c>
      <c r="P411" s="54">
        <v>0</v>
      </c>
      <c r="Q411" s="54">
        <v>20856</v>
      </c>
      <c r="R411" s="54">
        <v>0</v>
      </c>
      <c r="S411" s="54">
        <v>11580.66</v>
      </c>
      <c r="T411" s="54">
        <v>11580.66</v>
      </c>
      <c r="U411" s="54">
        <v>9275.34</v>
      </c>
      <c r="V411" s="54">
        <v>9275.34</v>
      </c>
      <c r="W411" s="54">
        <v>9275.34</v>
      </c>
    </row>
    <row r="412" spans="1:23" outlineLevel="2" x14ac:dyDescent="0.2">
      <c r="A412" s="21" t="s">
        <v>0</v>
      </c>
      <c r="B412" s="21" t="s">
        <v>39</v>
      </c>
      <c r="C412" s="21" t="s">
        <v>58</v>
      </c>
      <c r="D412" s="21" t="s">
        <v>137</v>
      </c>
      <c r="E412" s="21" t="s">
        <v>138</v>
      </c>
      <c r="F412" s="21" t="s">
        <v>5</v>
      </c>
      <c r="G412" s="21" t="s">
        <v>6</v>
      </c>
      <c r="H412" s="21" t="s">
        <v>35</v>
      </c>
      <c r="I412" s="21" t="s">
        <v>36</v>
      </c>
      <c r="J412" s="21" t="s">
        <v>9</v>
      </c>
      <c r="K412" s="21" t="s">
        <v>284</v>
      </c>
      <c r="L412" s="21" t="s">
        <v>289</v>
      </c>
      <c r="M412" s="21" t="s">
        <v>15</v>
      </c>
      <c r="N412" s="54">
        <v>27525.55</v>
      </c>
      <c r="O412" s="54">
        <v>0</v>
      </c>
      <c r="P412" s="54">
        <v>0</v>
      </c>
      <c r="Q412" s="54">
        <v>27525.55</v>
      </c>
      <c r="R412" s="54">
        <v>0</v>
      </c>
      <c r="S412" s="54">
        <v>12332.8</v>
      </c>
      <c r="T412" s="54">
        <v>12332.8</v>
      </c>
      <c r="U412" s="54">
        <v>15192.75</v>
      </c>
      <c r="V412" s="54">
        <v>15192.75</v>
      </c>
      <c r="W412" s="54">
        <v>15192.75</v>
      </c>
    </row>
    <row r="413" spans="1:23" outlineLevel="2" x14ac:dyDescent="0.2">
      <c r="A413" s="21" t="s">
        <v>0</v>
      </c>
      <c r="B413" s="21" t="s">
        <v>39</v>
      </c>
      <c r="C413" s="21" t="s">
        <v>58</v>
      </c>
      <c r="D413" s="21" t="s">
        <v>147</v>
      </c>
      <c r="E413" s="21" t="s">
        <v>148</v>
      </c>
      <c r="F413" s="21" t="s">
        <v>5</v>
      </c>
      <c r="G413" s="21" t="s">
        <v>6</v>
      </c>
      <c r="H413" s="21" t="s">
        <v>35</v>
      </c>
      <c r="I413" s="21" t="s">
        <v>36</v>
      </c>
      <c r="J413" s="21" t="s">
        <v>9</v>
      </c>
      <c r="K413" s="21" t="s">
        <v>284</v>
      </c>
      <c r="L413" s="21" t="s">
        <v>289</v>
      </c>
      <c r="M413" s="21" t="s">
        <v>15</v>
      </c>
      <c r="N413" s="54">
        <v>42312.45</v>
      </c>
      <c r="O413" s="54">
        <v>0</v>
      </c>
      <c r="P413" s="54">
        <v>0</v>
      </c>
      <c r="Q413" s="54">
        <v>42312.45</v>
      </c>
      <c r="R413" s="54">
        <v>0</v>
      </c>
      <c r="S413" s="54">
        <v>14908.94</v>
      </c>
      <c r="T413" s="54">
        <v>14908.94</v>
      </c>
      <c r="U413" s="54">
        <v>27403.51</v>
      </c>
      <c r="V413" s="54">
        <v>27403.51</v>
      </c>
      <c r="W413" s="54">
        <v>27403.51</v>
      </c>
    </row>
    <row r="414" spans="1:23" outlineLevel="2" x14ac:dyDescent="0.2">
      <c r="A414" s="21" t="s">
        <v>0</v>
      </c>
      <c r="B414" s="21" t="s">
        <v>39</v>
      </c>
      <c r="C414" s="21" t="s">
        <v>58</v>
      </c>
      <c r="D414" s="21" t="s">
        <v>145</v>
      </c>
      <c r="E414" s="21" t="s">
        <v>146</v>
      </c>
      <c r="F414" s="21" t="s">
        <v>5</v>
      </c>
      <c r="G414" s="21" t="s">
        <v>6</v>
      </c>
      <c r="H414" s="21" t="s">
        <v>35</v>
      </c>
      <c r="I414" s="21" t="s">
        <v>36</v>
      </c>
      <c r="J414" s="21" t="s">
        <v>9</v>
      </c>
      <c r="K414" s="21" t="s">
        <v>284</v>
      </c>
      <c r="L414" s="21" t="s">
        <v>289</v>
      </c>
      <c r="M414" s="21" t="s">
        <v>15</v>
      </c>
      <c r="N414" s="54">
        <v>17767.060000000001</v>
      </c>
      <c r="O414" s="54">
        <v>0</v>
      </c>
      <c r="P414" s="54">
        <v>0</v>
      </c>
      <c r="Q414" s="54">
        <v>17767.060000000001</v>
      </c>
      <c r="R414" s="54">
        <v>0</v>
      </c>
      <c r="S414" s="54">
        <v>10414.07</v>
      </c>
      <c r="T414" s="54">
        <v>10414.07</v>
      </c>
      <c r="U414" s="54">
        <v>7352.99</v>
      </c>
      <c r="V414" s="54">
        <v>7352.99</v>
      </c>
      <c r="W414" s="54">
        <v>7352.99</v>
      </c>
    </row>
    <row r="415" spans="1:23" outlineLevel="2" x14ac:dyDescent="0.2">
      <c r="A415" s="21" t="s">
        <v>0</v>
      </c>
      <c r="B415" s="21" t="s">
        <v>39</v>
      </c>
      <c r="C415" s="21" t="s">
        <v>58</v>
      </c>
      <c r="D415" s="21" t="s">
        <v>149</v>
      </c>
      <c r="E415" s="21" t="s">
        <v>150</v>
      </c>
      <c r="F415" s="21" t="s">
        <v>5</v>
      </c>
      <c r="G415" s="21" t="s">
        <v>6</v>
      </c>
      <c r="H415" s="21" t="s">
        <v>35</v>
      </c>
      <c r="I415" s="21" t="s">
        <v>36</v>
      </c>
      <c r="J415" s="21" t="s">
        <v>9</v>
      </c>
      <c r="K415" s="21" t="s">
        <v>284</v>
      </c>
      <c r="L415" s="21" t="s">
        <v>289</v>
      </c>
      <c r="M415" s="21" t="s">
        <v>15</v>
      </c>
      <c r="N415" s="54">
        <v>18437.34</v>
      </c>
      <c r="O415" s="54">
        <v>0</v>
      </c>
      <c r="P415" s="54">
        <v>0</v>
      </c>
      <c r="Q415" s="54">
        <v>18437.34</v>
      </c>
      <c r="R415" s="54">
        <v>0</v>
      </c>
      <c r="S415" s="54">
        <v>8386.24</v>
      </c>
      <c r="T415" s="54">
        <v>8386.24</v>
      </c>
      <c r="U415" s="54">
        <v>10051.1</v>
      </c>
      <c r="V415" s="54">
        <v>10051.1</v>
      </c>
      <c r="W415" s="54">
        <v>10051.1</v>
      </c>
    </row>
    <row r="416" spans="1:23" outlineLevel="2" x14ac:dyDescent="0.2">
      <c r="A416" s="21" t="s">
        <v>0</v>
      </c>
      <c r="B416" s="21" t="s">
        <v>31</v>
      </c>
      <c r="C416" s="21" t="s">
        <v>32</v>
      </c>
      <c r="D416" s="21" t="s">
        <v>123</v>
      </c>
      <c r="E416" s="21" t="s">
        <v>124</v>
      </c>
      <c r="F416" s="21" t="s">
        <v>5</v>
      </c>
      <c r="G416" s="21" t="s">
        <v>6</v>
      </c>
      <c r="H416" s="21" t="s">
        <v>35</v>
      </c>
      <c r="I416" s="21" t="s">
        <v>36</v>
      </c>
      <c r="J416" s="21" t="s">
        <v>9</v>
      </c>
      <c r="K416" s="21" t="s">
        <v>284</v>
      </c>
      <c r="L416" s="21" t="s">
        <v>292</v>
      </c>
      <c r="M416" s="21" t="s">
        <v>15</v>
      </c>
      <c r="N416" s="54">
        <v>1290.8499999999999</v>
      </c>
      <c r="O416" s="54">
        <v>0</v>
      </c>
      <c r="P416" s="54">
        <v>0</v>
      </c>
      <c r="Q416" s="54">
        <v>1290.8499999999999</v>
      </c>
      <c r="R416" s="54">
        <v>0</v>
      </c>
      <c r="S416" s="54">
        <v>0</v>
      </c>
      <c r="T416" s="54">
        <v>0</v>
      </c>
      <c r="U416" s="54">
        <v>1290.8499999999999</v>
      </c>
      <c r="V416" s="54">
        <v>1290.8499999999999</v>
      </c>
      <c r="W416" s="54">
        <v>1290.8499999999999</v>
      </c>
    </row>
    <row r="417" spans="1:23" outlineLevel="2" x14ac:dyDescent="0.2">
      <c r="A417" s="21" t="s">
        <v>0</v>
      </c>
      <c r="B417" s="21" t="s">
        <v>39</v>
      </c>
      <c r="C417" s="21" t="s">
        <v>58</v>
      </c>
      <c r="D417" s="21" t="s">
        <v>143</v>
      </c>
      <c r="E417" s="21" t="s">
        <v>144</v>
      </c>
      <c r="F417" s="21" t="s">
        <v>5</v>
      </c>
      <c r="G417" s="21" t="s">
        <v>6</v>
      </c>
      <c r="H417" s="21" t="s">
        <v>35</v>
      </c>
      <c r="I417" s="21" t="s">
        <v>36</v>
      </c>
      <c r="J417" s="21" t="s">
        <v>9</v>
      </c>
      <c r="K417" s="21" t="s">
        <v>284</v>
      </c>
      <c r="L417" s="21" t="s">
        <v>289</v>
      </c>
      <c r="M417" s="21" t="s">
        <v>15</v>
      </c>
      <c r="N417" s="54">
        <v>8831</v>
      </c>
      <c r="O417" s="54">
        <v>0</v>
      </c>
      <c r="P417" s="54">
        <v>0</v>
      </c>
      <c r="Q417" s="54">
        <v>8831</v>
      </c>
      <c r="R417" s="54">
        <v>0</v>
      </c>
      <c r="S417" s="54">
        <v>8626.93</v>
      </c>
      <c r="T417" s="54">
        <v>8626.93</v>
      </c>
      <c r="U417" s="54">
        <v>204.07</v>
      </c>
      <c r="V417" s="54">
        <v>204.07</v>
      </c>
      <c r="W417" s="54">
        <v>204.07</v>
      </c>
    </row>
    <row r="418" spans="1:23" outlineLevel="2" x14ac:dyDescent="0.2">
      <c r="A418" s="21" t="s">
        <v>0</v>
      </c>
      <c r="B418" s="21" t="s">
        <v>1</v>
      </c>
      <c r="C418" s="21" t="s">
        <v>2</v>
      </c>
      <c r="D418" s="21" t="s">
        <v>20</v>
      </c>
      <c r="E418" s="21" t="s">
        <v>21</v>
      </c>
      <c r="F418" s="21" t="s">
        <v>5</v>
      </c>
      <c r="G418" s="21" t="s">
        <v>6</v>
      </c>
      <c r="H418" s="21" t="s">
        <v>35</v>
      </c>
      <c r="I418" s="21" t="s">
        <v>36</v>
      </c>
      <c r="J418" s="21" t="s">
        <v>9</v>
      </c>
      <c r="K418" s="21" t="s">
        <v>284</v>
      </c>
      <c r="L418" s="21" t="s">
        <v>285</v>
      </c>
      <c r="M418" s="21" t="s">
        <v>15</v>
      </c>
      <c r="N418" s="54">
        <v>216182.93</v>
      </c>
      <c r="O418" s="54">
        <v>0</v>
      </c>
      <c r="P418" s="54">
        <v>0</v>
      </c>
      <c r="Q418" s="54">
        <v>216182.93</v>
      </c>
      <c r="R418" s="54">
        <v>0</v>
      </c>
      <c r="S418" s="54">
        <v>135261.43</v>
      </c>
      <c r="T418" s="54">
        <v>135261.43</v>
      </c>
      <c r="U418" s="54">
        <v>80921.5</v>
      </c>
      <c r="V418" s="54">
        <v>80921.5</v>
      </c>
      <c r="W418" s="54">
        <v>80921.5</v>
      </c>
    </row>
    <row r="419" spans="1:23" outlineLevel="2" x14ac:dyDescent="0.2">
      <c r="A419" s="21" t="s">
        <v>0</v>
      </c>
      <c r="B419" s="21" t="s">
        <v>39</v>
      </c>
      <c r="C419" s="21" t="s">
        <v>40</v>
      </c>
      <c r="D419" s="21" t="s">
        <v>77</v>
      </c>
      <c r="E419" s="21" t="s">
        <v>78</v>
      </c>
      <c r="F419" s="21" t="s">
        <v>5</v>
      </c>
      <c r="G419" s="21" t="s">
        <v>6</v>
      </c>
      <c r="H419" s="21" t="s">
        <v>35</v>
      </c>
      <c r="I419" s="21" t="s">
        <v>36</v>
      </c>
      <c r="J419" s="21" t="s">
        <v>9</v>
      </c>
      <c r="K419" s="21" t="s">
        <v>284</v>
      </c>
      <c r="L419" s="21" t="s">
        <v>293</v>
      </c>
      <c r="M419" s="21" t="s">
        <v>15</v>
      </c>
      <c r="N419" s="54">
        <v>227902.93</v>
      </c>
      <c r="O419" s="54">
        <v>0</v>
      </c>
      <c r="P419" s="54">
        <v>0</v>
      </c>
      <c r="Q419" s="54">
        <v>227902.93</v>
      </c>
      <c r="R419" s="54">
        <v>0</v>
      </c>
      <c r="S419" s="54">
        <v>136995.34</v>
      </c>
      <c r="T419" s="54">
        <v>136995.34</v>
      </c>
      <c r="U419" s="54">
        <v>90907.59</v>
      </c>
      <c r="V419" s="54">
        <v>90907.59</v>
      </c>
      <c r="W419" s="54">
        <v>90907.59</v>
      </c>
    </row>
    <row r="420" spans="1:23" outlineLevel="2" x14ac:dyDescent="0.2">
      <c r="A420" s="21" t="s">
        <v>0</v>
      </c>
      <c r="B420" s="21" t="s">
        <v>39</v>
      </c>
      <c r="C420" s="21" t="s">
        <v>58</v>
      </c>
      <c r="D420" s="21" t="s">
        <v>59</v>
      </c>
      <c r="E420" s="21" t="s">
        <v>60</v>
      </c>
      <c r="F420" s="21" t="s">
        <v>5</v>
      </c>
      <c r="G420" s="21" t="s">
        <v>6</v>
      </c>
      <c r="H420" s="21" t="s">
        <v>35</v>
      </c>
      <c r="I420" s="21" t="s">
        <v>36</v>
      </c>
      <c r="J420" s="21" t="s">
        <v>9</v>
      </c>
      <c r="K420" s="21" t="s">
        <v>284</v>
      </c>
      <c r="L420" s="21" t="s">
        <v>289</v>
      </c>
      <c r="M420" s="21" t="s">
        <v>15</v>
      </c>
      <c r="N420" s="54">
        <v>10800.01</v>
      </c>
      <c r="O420" s="54">
        <v>0</v>
      </c>
      <c r="P420" s="54">
        <v>0</v>
      </c>
      <c r="Q420" s="54">
        <v>10800.01</v>
      </c>
      <c r="R420" s="54">
        <v>0</v>
      </c>
      <c r="S420" s="54">
        <v>6257.19</v>
      </c>
      <c r="T420" s="54">
        <v>6257.19</v>
      </c>
      <c r="U420" s="54">
        <v>4542.82</v>
      </c>
      <c r="V420" s="54">
        <v>4542.82</v>
      </c>
      <c r="W420" s="54">
        <v>4542.82</v>
      </c>
    </row>
    <row r="421" spans="1:23" outlineLevel="2" x14ac:dyDescent="0.2">
      <c r="A421" s="21" t="s">
        <v>0</v>
      </c>
      <c r="B421" s="21" t="s">
        <v>39</v>
      </c>
      <c r="C421" s="21" t="s">
        <v>58</v>
      </c>
      <c r="D421" s="21" t="s">
        <v>139</v>
      </c>
      <c r="E421" s="21" t="s">
        <v>140</v>
      </c>
      <c r="F421" s="21" t="s">
        <v>5</v>
      </c>
      <c r="G421" s="21" t="s">
        <v>6</v>
      </c>
      <c r="H421" s="21" t="s">
        <v>35</v>
      </c>
      <c r="I421" s="21" t="s">
        <v>36</v>
      </c>
      <c r="J421" s="21" t="s">
        <v>9</v>
      </c>
      <c r="K421" s="21" t="s">
        <v>284</v>
      </c>
      <c r="L421" s="21" t="s">
        <v>289</v>
      </c>
      <c r="M421" s="21" t="s">
        <v>15</v>
      </c>
      <c r="N421" s="54">
        <v>32163.01</v>
      </c>
      <c r="O421" s="54">
        <v>0</v>
      </c>
      <c r="P421" s="54">
        <v>0</v>
      </c>
      <c r="Q421" s="54">
        <v>32163.01</v>
      </c>
      <c r="R421" s="54">
        <v>0</v>
      </c>
      <c r="S421" s="54">
        <v>24762.3</v>
      </c>
      <c r="T421" s="54">
        <v>24762.3</v>
      </c>
      <c r="U421" s="54">
        <v>7400.71</v>
      </c>
      <c r="V421" s="54">
        <v>7400.71</v>
      </c>
      <c r="W421" s="54">
        <v>7400.71</v>
      </c>
    </row>
    <row r="422" spans="1:23" outlineLevel="2" x14ac:dyDescent="0.2">
      <c r="A422" s="21" t="s">
        <v>0</v>
      </c>
      <c r="B422" s="21" t="s">
        <v>31</v>
      </c>
      <c r="C422" s="21" t="s">
        <v>49</v>
      </c>
      <c r="D422" s="21" t="s">
        <v>50</v>
      </c>
      <c r="E422" s="21" t="s">
        <v>51</v>
      </c>
      <c r="F422" s="21" t="s">
        <v>5</v>
      </c>
      <c r="G422" s="21" t="s">
        <v>6</v>
      </c>
      <c r="H422" s="21" t="s">
        <v>35</v>
      </c>
      <c r="I422" s="21" t="s">
        <v>36</v>
      </c>
      <c r="J422" s="21" t="s">
        <v>9</v>
      </c>
      <c r="K422" s="21" t="s">
        <v>284</v>
      </c>
      <c r="L422" s="21" t="s">
        <v>294</v>
      </c>
      <c r="M422" s="21" t="s">
        <v>15</v>
      </c>
      <c r="N422" s="54">
        <v>9165.7900000000009</v>
      </c>
      <c r="O422" s="54">
        <v>0</v>
      </c>
      <c r="P422" s="54">
        <v>0</v>
      </c>
      <c r="Q422" s="54">
        <v>9165.7900000000009</v>
      </c>
      <c r="R422" s="54">
        <v>0</v>
      </c>
      <c r="S422" s="54">
        <v>0</v>
      </c>
      <c r="T422" s="54">
        <v>0</v>
      </c>
      <c r="U422" s="54">
        <v>9165.7900000000009</v>
      </c>
      <c r="V422" s="54">
        <v>9165.7900000000009</v>
      </c>
      <c r="W422" s="54">
        <v>9165.7900000000009</v>
      </c>
    </row>
    <row r="423" spans="1:23" outlineLevel="2" x14ac:dyDescent="0.2">
      <c r="A423" s="21" t="s">
        <v>0</v>
      </c>
      <c r="B423" s="21" t="s">
        <v>39</v>
      </c>
      <c r="C423" s="21" t="s">
        <v>66</v>
      </c>
      <c r="D423" s="21" t="s">
        <v>67</v>
      </c>
      <c r="E423" s="21" t="s">
        <v>68</v>
      </c>
      <c r="F423" s="21" t="s">
        <v>5</v>
      </c>
      <c r="G423" s="21" t="s">
        <v>6</v>
      </c>
      <c r="H423" s="21" t="s">
        <v>35</v>
      </c>
      <c r="I423" s="21" t="s">
        <v>36</v>
      </c>
      <c r="J423" s="21" t="s">
        <v>9</v>
      </c>
      <c r="K423" s="21" t="s">
        <v>284</v>
      </c>
      <c r="L423" s="21" t="s">
        <v>291</v>
      </c>
      <c r="M423" s="21" t="s">
        <v>15</v>
      </c>
      <c r="N423" s="54">
        <v>13297.33</v>
      </c>
      <c r="O423" s="54">
        <v>-5698.03</v>
      </c>
      <c r="P423" s="54">
        <v>0</v>
      </c>
      <c r="Q423" s="54">
        <v>7599.3</v>
      </c>
      <c r="R423" s="54">
        <v>0</v>
      </c>
      <c r="S423" s="54">
        <v>1901.27</v>
      </c>
      <c r="T423" s="54">
        <v>1901.27</v>
      </c>
      <c r="U423" s="54">
        <v>5698.03</v>
      </c>
      <c r="V423" s="54">
        <v>5698.03</v>
      </c>
      <c r="W423" s="54">
        <v>5698.03</v>
      </c>
    </row>
    <row r="424" spans="1:23" outlineLevel="2" x14ac:dyDescent="0.2">
      <c r="A424" s="21" t="s">
        <v>0</v>
      </c>
      <c r="B424" s="21" t="s">
        <v>39</v>
      </c>
      <c r="C424" s="21" t="s">
        <v>70</v>
      </c>
      <c r="D424" s="21" t="s">
        <v>71</v>
      </c>
      <c r="E424" s="21" t="s">
        <v>72</v>
      </c>
      <c r="F424" s="21" t="s">
        <v>5</v>
      </c>
      <c r="G424" s="21" t="s">
        <v>6</v>
      </c>
      <c r="H424" s="21" t="s">
        <v>35</v>
      </c>
      <c r="I424" s="21" t="s">
        <v>36</v>
      </c>
      <c r="J424" s="21" t="s">
        <v>9</v>
      </c>
      <c r="K424" s="21" t="s">
        <v>284</v>
      </c>
      <c r="L424" s="21" t="s">
        <v>297</v>
      </c>
      <c r="M424" s="21" t="s">
        <v>15</v>
      </c>
      <c r="N424" s="54">
        <v>70078.179999999993</v>
      </c>
      <c r="O424" s="54">
        <v>0</v>
      </c>
      <c r="P424" s="54">
        <v>0</v>
      </c>
      <c r="Q424" s="54">
        <v>70078.179999999993</v>
      </c>
      <c r="R424" s="54">
        <v>0</v>
      </c>
      <c r="S424" s="54">
        <v>69103.48</v>
      </c>
      <c r="T424" s="54">
        <v>69103.48</v>
      </c>
      <c r="U424" s="54">
        <v>974.7</v>
      </c>
      <c r="V424" s="54">
        <v>974.7</v>
      </c>
      <c r="W424" s="54">
        <v>974.7</v>
      </c>
    </row>
    <row r="425" spans="1:23" outlineLevel="2" x14ac:dyDescent="0.2">
      <c r="A425" s="21" t="s">
        <v>0</v>
      </c>
      <c r="B425" s="21" t="s">
        <v>31</v>
      </c>
      <c r="C425" s="21" t="s">
        <v>32</v>
      </c>
      <c r="D425" s="21" t="s">
        <v>141</v>
      </c>
      <c r="E425" s="21" t="s">
        <v>142</v>
      </c>
      <c r="F425" s="21" t="s">
        <v>5</v>
      </c>
      <c r="G425" s="21" t="s">
        <v>6</v>
      </c>
      <c r="H425" s="21" t="s">
        <v>35</v>
      </c>
      <c r="I425" s="21" t="s">
        <v>36</v>
      </c>
      <c r="J425" s="21" t="s">
        <v>9</v>
      </c>
      <c r="K425" s="21" t="s">
        <v>284</v>
      </c>
      <c r="L425" s="21" t="s">
        <v>292</v>
      </c>
      <c r="M425" s="21" t="s">
        <v>15</v>
      </c>
      <c r="N425" s="54">
        <v>1997.44</v>
      </c>
      <c r="O425" s="54">
        <v>1719.54</v>
      </c>
      <c r="P425" s="54">
        <v>0</v>
      </c>
      <c r="Q425" s="54">
        <v>3716.98</v>
      </c>
      <c r="R425" s="54">
        <v>0</v>
      </c>
      <c r="S425" s="54">
        <v>3711.68</v>
      </c>
      <c r="T425" s="54">
        <v>3711.68</v>
      </c>
      <c r="U425" s="54">
        <v>5.3</v>
      </c>
      <c r="V425" s="54">
        <v>5.3</v>
      </c>
      <c r="W425" s="54">
        <v>5.3</v>
      </c>
    </row>
    <row r="426" spans="1:23" outlineLevel="2" x14ac:dyDescent="0.2">
      <c r="A426" s="21" t="s">
        <v>0</v>
      </c>
      <c r="B426" s="21" t="s">
        <v>31</v>
      </c>
      <c r="C426" s="21" t="s">
        <v>79</v>
      </c>
      <c r="D426" s="21" t="s">
        <v>83</v>
      </c>
      <c r="E426" s="21" t="s">
        <v>84</v>
      </c>
      <c r="F426" s="21" t="s">
        <v>5</v>
      </c>
      <c r="G426" s="21" t="s">
        <v>6</v>
      </c>
      <c r="H426" s="21" t="s">
        <v>35</v>
      </c>
      <c r="I426" s="21" t="s">
        <v>36</v>
      </c>
      <c r="J426" s="21" t="s">
        <v>9</v>
      </c>
      <c r="K426" s="21" t="s">
        <v>284</v>
      </c>
      <c r="L426" s="21" t="s">
        <v>290</v>
      </c>
      <c r="M426" s="21" t="s">
        <v>15</v>
      </c>
      <c r="N426" s="54">
        <v>16304.03</v>
      </c>
      <c r="O426" s="54">
        <v>0</v>
      </c>
      <c r="P426" s="54">
        <v>0</v>
      </c>
      <c r="Q426" s="54">
        <v>16304.03</v>
      </c>
      <c r="R426" s="54">
        <v>0</v>
      </c>
      <c r="S426" s="54">
        <v>6406.08</v>
      </c>
      <c r="T426" s="54">
        <v>6406.08</v>
      </c>
      <c r="U426" s="54">
        <v>9897.9500000000007</v>
      </c>
      <c r="V426" s="54">
        <v>9897.9500000000007</v>
      </c>
      <c r="W426" s="54">
        <v>9897.9500000000007</v>
      </c>
    </row>
    <row r="427" spans="1:23" outlineLevel="2" x14ac:dyDescent="0.2">
      <c r="A427" s="21" t="s">
        <v>0</v>
      </c>
      <c r="B427" s="21" t="s">
        <v>31</v>
      </c>
      <c r="C427" s="21" t="s">
        <v>107</v>
      </c>
      <c r="D427" s="21" t="s">
        <v>108</v>
      </c>
      <c r="E427" s="21" t="s">
        <v>109</v>
      </c>
      <c r="F427" s="21" t="s">
        <v>5</v>
      </c>
      <c r="G427" s="21" t="s">
        <v>6</v>
      </c>
      <c r="H427" s="21" t="s">
        <v>35</v>
      </c>
      <c r="I427" s="21" t="s">
        <v>36</v>
      </c>
      <c r="J427" s="21" t="s">
        <v>9</v>
      </c>
      <c r="K427" s="21" t="s">
        <v>284</v>
      </c>
      <c r="L427" s="21" t="s">
        <v>295</v>
      </c>
      <c r="M427" s="21" t="s">
        <v>15</v>
      </c>
      <c r="N427" s="54">
        <v>73869.960000000006</v>
      </c>
      <c r="O427" s="54">
        <v>0</v>
      </c>
      <c r="P427" s="54">
        <v>0</v>
      </c>
      <c r="Q427" s="54">
        <v>73869.960000000006</v>
      </c>
      <c r="R427" s="54">
        <v>0</v>
      </c>
      <c r="S427" s="54">
        <v>38642.839999999997</v>
      </c>
      <c r="T427" s="54">
        <v>38642.839999999997</v>
      </c>
      <c r="U427" s="54">
        <v>35227.120000000003</v>
      </c>
      <c r="V427" s="54">
        <v>35227.120000000003</v>
      </c>
      <c r="W427" s="54">
        <v>35227.120000000003</v>
      </c>
    </row>
    <row r="428" spans="1:23" outlineLevel="2" x14ac:dyDescent="0.2">
      <c r="A428" s="21" t="s">
        <v>0</v>
      </c>
      <c r="B428" s="21" t="s">
        <v>31</v>
      </c>
      <c r="C428" s="21" t="s">
        <v>32</v>
      </c>
      <c r="D428" s="21" t="s">
        <v>33</v>
      </c>
      <c r="E428" s="21" t="s">
        <v>34</v>
      </c>
      <c r="F428" s="21" t="s">
        <v>5</v>
      </c>
      <c r="G428" s="21" t="s">
        <v>6</v>
      </c>
      <c r="H428" s="21" t="s">
        <v>35</v>
      </c>
      <c r="I428" s="21" t="s">
        <v>36</v>
      </c>
      <c r="J428" s="21" t="s">
        <v>9</v>
      </c>
      <c r="K428" s="21" t="s">
        <v>284</v>
      </c>
      <c r="L428" s="21" t="s">
        <v>292</v>
      </c>
      <c r="M428" s="21" t="s">
        <v>15</v>
      </c>
      <c r="N428" s="54">
        <v>14033.49</v>
      </c>
      <c r="O428" s="54">
        <v>0</v>
      </c>
      <c r="P428" s="54">
        <v>0</v>
      </c>
      <c r="Q428" s="54">
        <v>14033.49</v>
      </c>
      <c r="R428" s="54">
        <v>0</v>
      </c>
      <c r="S428" s="54">
        <v>11496.38</v>
      </c>
      <c r="T428" s="54">
        <v>11496.38</v>
      </c>
      <c r="U428" s="54">
        <v>2537.11</v>
      </c>
      <c r="V428" s="54">
        <v>2537.11</v>
      </c>
      <c r="W428" s="54">
        <v>2537.11</v>
      </c>
    </row>
    <row r="429" spans="1:23" outlineLevel="2" x14ac:dyDescent="0.2">
      <c r="A429" s="21" t="s">
        <v>0</v>
      </c>
      <c r="B429" s="21" t="s">
        <v>31</v>
      </c>
      <c r="C429" s="21" t="s">
        <v>79</v>
      </c>
      <c r="D429" s="21" t="s">
        <v>80</v>
      </c>
      <c r="E429" s="21" t="s">
        <v>81</v>
      </c>
      <c r="F429" s="21" t="s">
        <v>5</v>
      </c>
      <c r="G429" s="21" t="s">
        <v>6</v>
      </c>
      <c r="H429" s="21" t="s">
        <v>35</v>
      </c>
      <c r="I429" s="21" t="s">
        <v>36</v>
      </c>
      <c r="J429" s="21" t="s">
        <v>9</v>
      </c>
      <c r="K429" s="21" t="s">
        <v>284</v>
      </c>
      <c r="L429" s="21" t="s">
        <v>290</v>
      </c>
      <c r="M429" s="21" t="s">
        <v>15</v>
      </c>
      <c r="N429" s="54">
        <v>0</v>
      </c>
      <c r="O429" s="54">
        <v>175</v>
      </c>
      <c r="P429" s="54">
        <v>0</v>
      </c>
      <c r="Q429" s="54">
        <v>175</v>
      </c>
      <c r="R429" s="54">
        <v>0</v>
      </c>
      <c r="S429" s="54">
        <v>174.04</v>
      </c>
      <c r="T429" s="54">
        <v>174.04</v>
      </c>
      <c r="U429" s="54">
        <v>0.96</v>
      </c>
      <c r="V429" s="54">
        <v>0.96</v>
      </c>
      <c r="W429" s="54">
        <v>0.96</v>
      </c>
    </row>
    <row r="430" spans="1:23" outlineLevel="2" x14ac:dyDescent="0.2">
      <c r="A430" s="21" t="s">
        <v>0</v>
      </c>
      <c r="B430" s="21" t="s">
        <v>31</v>
      </c>
      <c r="C430" s="21" t="s">
        <v>32</v>
      </c>
      <c r="D430" s="21" t="s">
        <v>75</v>
      </c>
      <c r="E430" s="21" t="s">
        <v>76</v>
      </c>
      <c r="F430" s="21" t="s">
        <v>5</v>
      </c>
      <c r="G430" s="21" t="s">
        <v>6</v>
      </c>
      <c r="H430" s="21" t="s">
        <v>35</v>
      </c>
      <c r="I430" s="21" t="s">
        <v>36</v>
      </c>
      <c r="J430" s="21" t="s">
        <v>9</v>
      </c>
      <c r="K430" s="21" t="s">
        <v>284</v>
      </c>
      <c r="L430" s="21" t="s">
        <v>292</v>
      </c>
      <c r="M430" s="21" t="s">
        <v>15</v>
      </c>
      <c r="N430" s="54">
        <v>1840.7</v>
      </c>
      <c r="O430" s="54">
        <v>0</v>
      </c>
      <c r="P430" s="54">
        <v>0</v>
      </c>
      <c r="Q430" s="54">
        <v>1840.7</v>
      </c>
      <c r="R430" s="54">
        <v>0</v>
      </c>
      <c r="S430" s="54">
        <v>1620.98</v>
      </c>
      <c r="T430" s="54">
        <v>1620.98</v>
      </c>
      <c r="U430" s="54">
        <v>219.72</v>
      </c>
      <c r="V430" s="54">
        <v>219.72</v>
      </c>
      <c r="W430" s="54">
        <v>219.72</v>
      </c>
    </row>
    <row r="431" spans="1:23" outlineLevel="2" x14ac:dyDescent="0.2">
      <c r="A431" s="21" t="s">
        <v>0</v>
      </c>
      <c r="B431" s="21" t="s">
        <v>31</v>
      </c>
      <c r="C431" s="21" t="s">
        <v>79</v>
      </c>
      <c r="D431" s="21" t="s">
        <v>127</v>
      </c>
      <c r="E431" s="21" t="s">
        <v>128</v>
      </c>
      <c r="F431" s="21" t="s">
        <v>5</v>
      </c>
      <c r="G431" s="21" t="s">
        <v>6</v>
      </c>
      <c r="H431" s="21" t="s">
        <v>35</v>
      </c>
      <c r="I431" s="21" t="s">
        <v>36</v>
      </c>
      <c r="J431" s="21" t="s">
        <v>9</v>
      </c>
      <c r="K431" s="21" t="s">
        <v>284</v>
      </c>
      <c r="L431" s="21" t="s">
        <v>290</v>
      </c>
      <c r="M431" s="21" t="s">
        <v>15</v>
      </c>
      <c r="N431" s="54">
        <v>0</v>
      </c>
      <c r="O431" s="54">
        <v>201</v>
      </c>
      <c r="P431" s="54">
        <v>0</v>
      </c>
      <c r="Q431" s="54">
        <v>201</v>
      </c>
      <c r="R431" s="54">
        <v>0</v>
      </c>
      <c r="S431" s="54">
        <v>200.81</v>
      </c>
      <c r="T431" s="54">
        <v>200.81</v>
      </c>
      <c r="U431" s="54">
        <v>0.19</v>
      </c>
      <c r="V431" s="54">
        <v>0.19</v>
      </c>
      <c r="W431" s="54">
        <v>0.19</v>
      </c>
    </row>
    <row r="432" spans="1:23" outlineLevel="2" x14ac:dyDescent="0.2">
      <c r="A432" s="21" t="s">
        <v>0</v>
      </c>
      <c r="B432" s="21" t="s">
        <v>1</v>
      </c>
      <c r="C432" s="21" t="s">
        <v>16</v>
      </c>
      <c r="D432" s="21" t="s">
        <v>64</v>
      </c>
      <c r="E432" s="21" t="s">
        <v>65</v>
      </c>
      <c r="F432" s="21" t="s">
        <v>5</v>
      </c>
      <c r="G432" s="21" t="s">
        <v>6</v>
      </c>
      <c r="H432" s="21" t="s">
        <v>35</v>
      </c>
      <c r="I432" s="21" t="s">
        <v>36</v>
      </c>
      <c r="J432" s="21" t="s">
        <v>9</v>
      </c>
      <c r="K432" s="21" t="s">
        <v>284</v>
      </c>
      <c r="L432" s="21" t="s">
        <v>286</v>
      </c>
      <c r="M432" s="21" t="s">
        <v>15</v>
      </c>
      <c r="N432" s="54">
        <v>3815.88</v>
      </c>
      <c r="O432" s="54">
        <v>0</v>
      </c>
      <c r="P432" s="54">
        <v>0</v>
      </c>
      <c r="Q432" s="54">
        <v>3815.88</v>
      </c>
      <c r="R432" s="54">
        <v>0</v>
      </c>
      <c r="S432" s="54">
        <v>0</v>
      </c>
      <c r="T432" s="54">
        <v>0</v>
      </c>
      <c r="U432" s="54">
        <v>3815.88</v>
      </c>
      <c r="V432" s="54">
        <v>3815.88</v>
      </c>
      <c r="W432" s="54">
        <v>3815.88</v>
      </c>
    </row>
    <row r="433" spans="1:23" outlineLevel="2" x14ac:dyDescent="0.2">
      <c r="A433" s="21" t="s">
        <v>0</v>
      </c>
      <c r="B433" s="21" t="s">
        <v>39</v>
      </c>
      <c r="C433" s="21" t="s">
        <v>66</v>
      </c>
      <c r="D433" s="21" t="s">
        <v>121</v>
      </c>
      <c r="E433" s="21" t="s">
        <v>122</v>
      </c>
      <c r="F433" s="21" t="s">
        <v>5</v>
      </c>
      <c r="G433" s="21" t="s">
        <v>6</v>
      </c>
      <c r="H433" s="21" t="s">
        <v>35</v>
      </c>
      <c r="I433" s="21" t="s">
        <v>36</v>
      </c>
      <c r="J433" s="21" t="s">
        <v>9</v>
      </c>
      <c r="K433" s="21" t="s">
        <v>284</v>
      </c>
      <c r="L433" s="21" t="s">
        <v>291</v>
      </c>
      <c r="M433" s="21" t="s">
        <v>15</v>
      </c>
      <c r="N433" s="54">
        <v>2833</v>
      </c>
      <c r="O433" s="54">
        <v>0</v>
      </c>
      <c r="P433" s="54">
        <v>0</v>
      </c>
      <c r="Q433" s="54">
        <v>2833</v>
      </c>
      <c r="R433" s="54">
        <v>0</v>
      </c>
      <c r="S433" s="54">
        <v>0</v>
      </c>
      <c r="T433" s="54">
        <v>0</v>
      </c>
      <c r="U433" s="54">
        <v>2833</v>
      </c>
      <c r="V433" s="54">
        <v>2833</v>
      </c>
      <c r="W433" s="54">
        <v>2833</v>
      </c>
    </row>
    <row r="434" spans="1:23" outlineLevel="2" x14ac:dyDescent="0.2">
      <c r="A434" s="21" t="s">
        <v>0</v>
      </c>
      <c r="B434" s="21" t="s">
        <v>39</v>
      </c>
      <c r="C434" s="21" t="s">
        <v>70</v>
      </c>
      <c r="D434" s="21" t="s">
        <v>89</v>
      </c>
      <c r="E434" s="21" t="s">
        <v>90</v>
      </c>
      <c r="F434" s="21" t="s">
        <v>5</v>
      </c>
      <c r="G434" s="21" t="s">
        <v>6</v>
      </c>
      <c r="H434" s="21" t="s">
        <v>35</v>
      </c>
      <c r="I434" s="21" t="s">
        <v>36</v>
      </c>
      <c r="J434" s="21" t="s">
        <v>9</v>
      </c>
      <c r="K434" s="21" t="s">
        <v>284</v>
      </c>
      <c r="L434" s="21" t="s">
        <v>297</v>
      </c>
      <c r="M434" s="21" t="s">
        <v>15</v>
      </c>
      <c r="N434" s="54">
        <v>245070.02</v>
      </c>
      <c r="O434" s="54">
        <v>0</v>
      </c>
      <c r="P434" s="54">
        <v>0</v>
      </c>
      <c r="Q434" s="54">
        <v>245070.02</v>
      </c>
      <c r="R434" s="54">
        <v>0</v>
      </c>
      <c r="S434" s="54">
        <v>219999.53</v>
      </c>
      <c r="T434" s="54">
        <v>219999.53</v>
      </c>
      <c r="U434" s="54">
        <v>25070.49</v>
      </c>
      <c r="V434" s="54">
        <v>25070.49</v>
      </c>
      <c r="W434" s="54">
        <v>25070.49</v>
      </c>
    </row>
    <row r="435" spans="1:23" outlineLevel="2" x14ac:dyDescent="0.2">
      <c r="A435" s="21" t="s">
        <v>0</v>
      </c>
      <c r="B435" s="21" t="s">
        <v>53</v>
      </c>
      <c r="C435" s="21" t="s">
        <v>85</v>
      </c>
      <c r="D435" s="21" t="s">
        <v>86</v>
      </c>
      <c r="E435" s="21" t="s">
        <v>87</v>
      </c>
      <c r="F435" s="21" t="s">
        <v>5</v>
      </c>
      <c r="G435" s="21" t="s">
        <v>6</v>
      </c>
      <c r="H435" s="21" t="s">
        <v>35</v>
      </c>
      <c r="I435" s="21" t="s">
        <v>36</v>
      </c>
      <c r="J435" s="21" t="s">
        <v>9</v>
      </c>
      <c r="K435" s="21" t="s">
        <v>284</v>
      </c>
      <c r="L435" s="21" t="s">
        <v>300</v>
      </c>
      <c r="M435" s="21" t="s">
        <v>15</v>
      </c>
      <c r="N435" s="54">
        <v>1369.54</v>
      </c>
      <c r="O435" s="54">
        <v>-1369.54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</row>
    <row r="436" spans="1:23" outlineLevel="2" x14ac:dyDescent="0.2">
      <c r="A436" s="21" t="s">
        <v>0</v>
      </c>
      <c r="B436" s="21" t="s">
        <v>39</v>
      </c>
      <c r="C436" s="21" t="s">
        <v>58</v>
      </c>
      <c r="D436" s="21" t="s">
        <v>105</v>
      </c>
      <c r="E436" s="21" t="s">
        <v>106</v>
      </c>
      <c r="F436" s="21" t="s">
        <v>5</v>
      </c>
      <c r="G436" s="21" t="s">
        <v>6</v>
      </c>
      <c r="H436" s="21" t="s">
        <v>35</v>
      </c>
      <c r="I436" s="21" t="s">
        <v>36</v>
      </c>
      <c r="J436" s="21" t="s">
        <v>9</v>
      </c>
      <c r="K436" s="21" t="s">
        <v>284</v>
      </c>
      <c r="L436" s="21" t="s">
        <v>289</v>
      </c>
      <c r="M436" s="21" t="s">
        <v>15</v>
      </c>
      <c r="N436" s="54">
        <v>4021.74</v>
      </c>
      <c r="O436" s="54">
        <v>0</v>
      </c>
      <c r="P436" s="54">
        <v>0</v>
      </c>
      <c r="Q436" s="54">
        <v>4021.74</v>
      </c>
      <c r="R436" s="54">
        <v>0</v>
      </c>
      <c r="S436" s="54">
        <v>0</v>
      </c>
      <c r="T436" s="54">
        <v>0</v>
      </c>
      <c r="U436" s="54">
        <v>4021.74</v>
      </c>
      <c r="V436" s="54">
        <v>4021.74</v>
      </c>
      <c r="W436" s="54">
        <v>4021.74</v>
      </c>
    </row>
    <row r="437" spans="1:23" outlineLevel="2" x14ac:dyDescent="0.2">
      <c r="A437" s="21" t="s">
        <v>0</v>
      </c>
      <c r="B437" s="21" t="s">
        <v>53</v>
      </c>
      <c r="C437" s="21" t="s">
        <v>54</v>
      </c>
      <c r="D437" s="21" t="s">
        <v>55</v>
      </c>
      <c r="E437" s="21" t="s">
        <v>56</v>
      </c>
      <c r="F437" s="21" t="s">
        <v>5</v>
      </c>
      <c r="G437" s="21" t="s">
        <v>6</v>
      </c>
      <c r="H437" s="21" t="s">
        <v>35</v>
      </c>
      <c r="I437" s="21" t="s">
        <v>36</v>
      </c>
      <c r="J437" s="21" t="s">
        <v>9</v>
      </c>
      <c r="K437" s="21" t="s">
        <v>284</v>
      </c>
      <c r="L437" s="21" t="s">
        <v>299</v>
      </c>
      <c r="M437" s="21" t="s">
        <v>15</v>
      </c>
      <c r="N437" s="54">
        <v>2895.84</v>
      </c>
      <c r="O437" s="54">
        <v>-2895.84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</row>
    <row r="438" spans="1:23" outlineLevel="2" x14ac:dyDescent="0.2">
      <c r="A438" s="21" t="s">
        <v>0</v>
      </c>
      <c r="B438" s="21" t="s">
        <v>1</v>
      </c>
      <c r="C438" s="21" t="s">
        <v>99</v>
      </c>
      <c r="D438" s="21" t="s">
        <v>100</v>
      </c>
      <c r="E438" s="21" t="s">
        <v>101</v>
      </c>
      <c r="F438" s="21" t="s">
        <v>5</v>
      </c>
      <c r="G438" s="21" t="s">
        <v>6</v>
      </c>
      <c r="H438" s="21" t="s">
        <v>35</v>
      </c>
      <c r="I438" s="21" t="s">
        <v>36</v>
      </c>
      <c r="J438" s="21" t="s">
        <v>9</v>
      </c>
      <c r="K438" s="21" t="s">
        <v>284</v>
      </c>
      <c r="L438" s="21" t="s">
        <v>288</v>
      </c>
      <c r="M438" s="21" t="s">
        <v>15</v>
      </c>
      <c r="N438" s="54">
        <v>88535.360000000001</v>
      </c>
      <c r="O438" s="54">
        <v>0</v>
      </c>
      <c r="P438" s="54">
        <v>0</v>
      </c>
      <c r="Q438" s="54">
        <v>88535.360000000001</v>
      </c>
      <c r="R438" s="54">
        <v>0</v>
      </c>
      <c r="S438" s="54">
        <v>50708.55</v>
      </c>
      <c r="T438" s="54">
        <v>50708.55</v>
      </c>
      <c r="U438" s="54">
        <v>37826.81</v>
      </c>
      <c r="V438" s="54">
        <v>37826.81</v>
      </c>
      <c r="W438" s="54">
        <v>37826.81</v>
      </c>
    </row>
    <row r="439" spans="1:23" outlineLevel="2" x14ac:dyDescent="0.2">
      <c r="A439" s="21" t="s">
        <v>0</v>
      </c>
      <c r="B439" s="21" t="s">
        <v>1</v>
      </c>
      <c r="C439" s="21" t="s">
        <v>91</v>
      </c>
      <c r="D439" s="21" t="s">
        <v>92</v>
      </c>
      <c r="E439" s="21" t="s">
        <v>93</v>
      </c>
      <c r="F439" s="21" t="s">
        <v>5</v>
      </c>
      <c r="G439" s="21" t="s">
        <v>6</v>
      </c>
      <c r="H439" s="21" t="s">
        <v>35</v>
      </c>
      <c r="I439" s="21" t="s">
        <v>36</v>
      </c>
      <c r="J439" s="21" t="s">
        <v>9</v>
      </c>
      <c r="K439" s="21" t="s">
        <v>284</v>
      </c>
      <c r="L439" s="21" t="s">
        <v>296</v>
      </c>
      <c r="M439" s="21" t="s">
        <v>15</v>
      </c>
      <c r="N439" s="54">
        <v>2895.84</v>
      </c>
      <c r="O439" s="54">
        <v>44816.79</v>
      </c>
      <c r="P439" s="54">
        <v>0</v>
      </c>
      <c r="Q439" s="54">
        <v>47712.63</v>
      </c>
      <c r="R439" s="54">
        <v>0</v>
      </c>
      <c r="S439" s="54">
        <v>40387.5</v>
      </c>
      <c r="T439" s="54">
        <v>40387.5</v>
      </c>
      <c r="U439" s="54">
        <v>7325.13</v>
      </c>
      <c r="V439" s="54">
        <v>7325.13</v>
      </c>
      <c r="W439" s="54">
        <v>7325.13</v>
      </c>
    </row>
    <row r="440" spans="1:23" outlineLevel="2" x14ac:dyDescent="0.2">
      <c r="A440" s="21" t="s">
        <v>0</v>
      </c>
      <c r="B440" s="21" t="s">
        <v>1</v>
      </c>
      <c r="C440" s="21" t="s">
        <v>2</v>
      </c>
      <c r="D440" s="21" t="s">
        <v>3</v>
      </c>
      <c r="E440" s="21" t="s">
        <v>4</v>
      </c>
      <c r="F440" s="21" t="s">
        <v>5</v>
      </c>
      <c r="G440" s="21" t="s">
        <v>6</v>
      </c>
      <c r="H440" s="21" t="s">
        <v>35</v>
      </c>
      <c r="I440" s="21" t="s">
        <v>36</v>
      </c>
      <c r="J440" s="21" t="s">
        <v>9</v>
      </c>
      <c r="K440" s="21" t="s">
        <v>284</v>
      </c>
      <c r="L440" s="21" t="s">
        <v>285</v>
      </c>
      <c r="M440" s="21" t="s">
        <v>15</v>
      </c>
      <c r="N440" s="54">
        <v>10243.32</v>
      </c>
      <c r="O440" s="54">
        <v>24102.080000000002</v>
      </c>
      <c r="P440" s="54">
        <v>0</v>
      </c>
      <c r="Q440" s="54">
        <v>34345.4</v>
      </c>
      <c r="R440" s="54">
        <v>0</v>
      </c>
      <c r="S440" s="54">
        <v>33342.22</v>
      </c>
      <c r="T440" s="54">
        <v>33342.22</v>
      </c>
      <c r="U440" s="54">
        <v>1003.18</v>
      </c>
      <c r="V440" s="54">
        <v>1003.18</v>
      </c>
      <c r="W440" s="54">
        <v>1003.18</v>
      </c>
    </row>
    <row r="441" spans="1:23" outlineLevel="2" x14ac:dyDescent="0.2">
      <c r="A441" s="21" t="s">
        <v>0</v>
      </c>
      <c r="B441" s="21" t="s">
        <v>39</v>
      </c>
      <c r="C441" s="21" t="s">
        <v>40</v>
      </c>
      <c r="D441" s="21" t="s">
        <v>41</v>
      </c>
      <c r="E441" s="21" t="s">
        <v>42</v>
      </c>
      <c r="F441" s="21" t="s">
        <v>5</v>
      </c>
      <c r="G441" s="21" t="s">
        <v>6</v>
      </c>
      <c r="H441" s="21" t="s">
        <v>35</v>
      </c>
      <c r="I441" s="21" t="s">
        <v>36</v>
      </c>
      <c r="J441" s="21" t="s">
        <v>9</v>
      </c>
      <c r="K441" s="21" t="s">
        <v>284</v>
      </c>
      <c r="L441" s="21" t="s">
        <v>293</v>
      </c>
      <c r="M441" s="21" t="s">
        <v>15</v>
      </c>
      <c r="N441" s="54">
        <v>86531.43</v>
      </c>
      <c r="O441" s="54">
        <v>0</v>
      </c>
      <c r="P441" s="54">
        <v>0</v>
      </c>
      <c r="Q441" s="54">
        <v>86531.43</v>
      </c>
      <c r="R441" s="54">
        <v>0</v>
      </c>
      <c r="S441" s="54">
        <v>3889.81</v>
      </c>
      <c r="T441" s="54">
        <v>3889.81</v>
      </c>
      <c r="U441" s="54">
        <v>82641.62</v>
      </c>
      <c r="V441" s="54">
        <v>82641.62</v>
      </c>
      <c r="W441" s="54">
        <v>82641.62</v>
      </c>
    </row>
    <row r="442" spans="1:23" outlineLevel="2" x14ac:dyDescent="0.2">
      <c r="A442" s="21" t="s">
        <v>0</v>
      </c>
      <c r="B442" s="21" t="s">
        <v>1</v>
      </c>
      <c r="C442" s="21" t="s">
        <v>44</v>
      </c>
      <c r="D442" s="21" t="s">
        <v>45</v>
      </c>
      <c r="E442" s="21" t="s">
        <v>46</v>
      </c>
      <c r="F442" s="21" t="s">
        <v>5</v>
      </c>
      <c r="G442" s="21" t="s">
        <v>6</v>
      </c>
      <c r="H442" s="21" t="s">
        <v>35</v>
      </c>
      <c r="I442" s="21" t="s">
        <v>36</v>
      </c>
      <c r="J442" s="21" t="s">
        <v>9</v>
      </c>
      <c r="K442" s="21" t="s">
        <v>284</v>
      </c>
      <c r="L442" s="21" t="s">
        <v>287</v>
      </c>
      <c r="M442" s="21" t="s">
        <v>15</v>
      </c>
      <c r="N442" s="54">
        <v>946.53</v>
      </c>
      <c r="O442" s="54">
        <v>0</v>
      </c>
      <c r="P442" s="54">
        <v>0</v>
      </c>
      <c r="Q442" s="54">
        <v>946.53</v>
      </c>
      <c r="R442" s="54">
        <v>0</v>
      </c>
      <c r="S442" s="54">
        <v>173.52</v>
      </c>
      <c r="T442" s="54">
        <v>173.52</v>
      </c>
      <c r="U442" s="54">
        <v>773.01</v>
      </c>
      <c r="V442" s="54">
        <v>773.01</v>
      </c>
      <c r="W442" s="54">
        <v>773.01</v>
      </c>
    </row>
    <row r="443" spans="1:23" outlineLevel="2" x14ac:dyDescent="0.2">
      <c r="A443" s="21" t="s">
        <v>0</v>
      </c>
      <c r="B443" s="21" t="s">
        <v>1</v>
      </c>
      <c r="C443" s="21" t="s">
        <v>16</v>
      </c>
      <c r="D443" s="21" t="s">
        <v>62</v>
      </c>
      <c r="E443" s="21" t="s">
        <v>63</v>
      </c>
      <c r="F443" s="21" t="s">
        <v>5</v>
      </c>
      <c r="G443" s="21" t="s">
        <v>6</v>
      </c>
      <c r="H443" s="21" t="s">
        <v>35</v>
      </c>
      <c r="I443" s="21" t="s">
        <v>36</v>
      </c>
      <c r="J443" s="21" t="s">
        <v>9</v>
      </c>
      <c r="K443" s="21" t="s">
        <v>284</v>
      </c>
      <c r="L443" s="21" t="s">
        <v>286</v>
      </c>
      <c r="M443" s="21" t="s">
        <v>15</v>
      </c>
      <c r="N443" s="54">
        <v>758.71</v>
      </c>
      <c r="O443" s="54">
        <v>0</v>
      </c>
      <c r="P443" s="54">
        <v>0</v>
      </c>
      <c r="Q443" s="54">
        <v>758.71</v>
      </c>
      <c r="R443" s="54">
        <v>0</v>
      </c>
      <c r="S443" s="54">
        <v>368.87</v>
      </c>
      <c r="T443" s="54">
        <v>368.87</v>
      </c>
      <c r="U443" s="54">
        <v>389.84</v>
      </c>
      <c r="V443" s="54">
        <v>389.84</v>
      </c>
      <c r="W443" s="54">
        <v>389.84</v>
      </c>
    </row>
    <row r="444" spans="1:23" outlineLevel="2" x14ac:dyDescent="0.2">
      <c r="A444" s="21" t="s">
        <v>0</v>
      </c>
      <c r="B444" s="21" t="s">
        <v>1</v>
      </c>
      <c r="C444" s="21" t="s">
        <v>16</v>
      </c>
      <c r="D444" s="21" t="s">
        <v>103</v>
      </c>
      <c r="E444" s="21" t="s">
        <v>104</v>
      </c>
      <c r="F444" s="21" t="s">
        <v>5</v>
      </c>
      <c r="G444" s="21" t="s">
        <v>6</v>
      </c>
      <c r="H444" s="21" t="s">
        <v>35</v>
      </c>
      <c r="I444" s="21" t="s">
        <v>36</v>
      </c>
      <c r="J444" s="21" t="s">
        <v>9</v>
      </c>
      <c r="K444" s="21" t="s">
        <v>284</v>
      </c>
      <c r="L444" s="21" t="s">
        <v>286</v>
      </c>
      <c r="M444" s="21" t="s">
        <v>15</v>
      </c>
      <c r="N444" s="54">
        <v>28282.68</v>
      </c>
      <c r="O444" s="54">
        <v>0</v>
      </c>
      <c r="P444" s="54">
        <v>0</v>
      </c>
      <c r="Q444" s="54">
        <v>28282.68</v>
      </c>
      <c r="R444" s="54">
        <v>0</v>
      </c>
      <c r="S444" s="54">
        <v>5635.66</v>
      </c>
      <c r="T444" s="54">
        <v>5635.66</v>
      </c>
      <c r="U444" s="54">
        <v>22647.02</v>
      </c>
      <c r="V444" s="54">
        <v>22647.02</v>
      </c>
      <c r="W444" s="54">
        <v>22647.02</v>
      </c>
    </row>
    <row r="445" spans="1:23" outlineLevel="2" x14ac:dyDescent="0.2">
      <c r="A445" s="21" t="s">
        <v>0</v>
      </c>
      <c r="B445" s="21" t="s">
        <v>1</v>
      </c>
      <c r="C445" s="21" t="s">
        <v>16</v>
      </c>
      <c r="D445" s="21" t="s">
        <v>17</v>
      </c>
      <c r="E445" s="21" t="s">
        <v>18</v>
      </c>
      <c r="F445" s="21" t="s">
        <v>5</v>
      </c>
      <c r="G445" s="21" t="s">
        <v>6</v>
      </c>
      <c r="H445" s="21" t="s">
        <v>35</v>
      </c>
      <c r="I445" s="21" t="s">
        <v>36</v>
      </c>
      <c r="J445" s="21" t="s">
        <v>9</v>
      </c>
      <c r="K445" s="21" t="s">
        <v>284</v>
      </c>
      <c r="L445" s="21" t="s">
        <v>286</v>
      </c>
      <c r="M445" s="21" t="s">
        <v>15</v>
      </c>
      <c r="N445" s="54">
        <v>130278.49</v>
      </c>
      <c r="O445" s="54">
        <v>0</v>
      </c>
      <c r="P445" s="54">
        <v>0</v>
      </c>
      <c r="Q445" s="54">
        <v>130278.49</v>
      </c>
      <c r="R445" s="54">
        <v>0</v>
      </c>
      <c r="S445" s="54">
        <v>34365.94</v>
      </c>
      <c r="T445" s="54">
        <v>34365.94</v>
      </c>
      <c r="U445" s="54">
        <v>95912.55</v>
      </c>
      <c r="V445" s="54">
        <v>95912.55</v>
      </c>
      <c r="W445" s="54">
        <v>95912.55</v>
      </c>
    </row>
    <row r="446" spans="1:23" outlineLevel="2" x14ac:dyDescent="0.2">
      <c r="A446" s="21" t="s">
        <v>0</v>
      </c>
      <c r="B446" s="21" t="s">
        <v>39</v>
      </c>
      <c r="C446" s="21" t="s">
        <v>66</v>
      </c>
      <c r="D446" s="21" t="s">
        <v>121</v>
      </c>
      <c r="E446" s="21" t="s">
        <v>122</v>
      </c>
      <c r="F446" s="21" t="s">
        <v>5</v>
      </c>
      <c r="G446" s="21" t="s">
        <v>6</v>
      </c>
      <c r="H446" s="21" t="s">
        <v>35</v>
      </c>
      <c r="I446" s="21" t="s">
        <v>36</v>
      </c>
      <c r="J446" s="21" t="s">
        <v>9</v>
      </c>
      <c r="K446" s="21" t="s">
        <v>301</v>
      </c>
      <c r="L446" s="21" t="s">
        <v>312</v>
      </c>
      <c r="M446" s="21" t="s">
        <v>15</v>
      </c>
      <c r="N446" s="54">
        <v>13140</v>
      </c>
      <c r="O446" s="54">
        <v>0</v>
      </c>
      <c r="P446" s="54">
        <v>0</v>
      </c>
      <c r="Q446" s="54">
        <v>13140</v>
      </c>
      <c r="R446" s="54">
        <v>5475</v>
      </c>
      <c r="S446" s="54">
        <v>7665</v>
      </c>
      <c r="T446" s="54">
        <v>7665</v>
      </c>
      <c r="U446" s="54">
        <v>5475</v>
      </c>
      <c r="V446" s="54">
        <v>5475</v>
      </c>
      <c r="W446" s="54">
        <v>0</v>
      </c>
    </row>
    <row r="447" spans="1:23" outlineLevel="2" x14ac:dyDescent="0.2">
      <c r="A447" s="21" t="s">
        <v>0</v>
      </c>
      <c r="B447" s="21" t="s">
        <v>31</v>
      </c>
      <c r="C447" s="21" t="s">
        <v>79</v>
      </c>
      <c r="D447" s="21" t="s">
        <v>115</v>
      </c>
      <c r="E447" s="21" t="s">
        <v>116</v>
      </c>
      <c r="F447" s="21" t="s">
        <v>5</v>
      </c>
      <c r="G447" s="21" t="s">
        <v>6</v>
      </c>
      <c r="H447" s="21" t="s">
        <v>35</v>
      </c>
      <c r="I447" s="21" t="s">
        <v>36</v>
      </c>
      <c r="J447" s="21" t="s">
        <v>9</v>
      </c>
      <c r="K447" s="21" t="s">
        <v>301</v>
      </c>
      <c r="L447" s="21" t="s">
        <v>308</v>
      </c>
      <c r="M447" s="21" t="s">
        <v>12</v>
      </c>
      <c r="N447" s="54">
        <v>0</v>
      </c>
      <c r="O447" s="54">
        <v>19608</v>
      </c>
      <c r="P447" s="54">
        <v>0</v>
      </c>
      <c r="Q447" s="54">
        <v>19608</v>
      </c>
      <c r="R447" s="54">
        <v>15523</v>
      </c>
      <c r="S447" s="54">
        <v>4085</v>
      </c>
      <c r="T447" s="54">
        <v>4085</v>
      </c>
      <c r="U447" s="54">
        <v>15523</v>
      </c>
      <c r="V447" s="54">
        <v>15523</v>
      </c>
      <c r="W447" s="54">
        <v>0</v>
      </c>
    </row>
    <row r="448" spans="1:23" outlineLevel="2" x14ac:dyDescent="0.2">
      <c r="A448" s="21" t="s">
        <v>0</v>
      </c>
      <c r="B448" s="21" t="s">
        <v>31</v>
      </c>
      <c r="C448" s="21" t="s">
        <v>79</v>
      </c>
      <c r="D448" s="21" t="s">
        <v>83</v>
      </c>
      <c r="E448" s="21" t="s">
        <v>84</v>
      </c>
      <c r="F448" s="21" t="s">
        <v>5</v>
      </c>
      <c r="G448" s="21" t="s">
        <v>6</v>
      </c>
      <c r="H448" s="21" t="s">
        <v>35</v>
      </c>
      <c r="I448" s="21" t="s">
        <v>36</v>
      </c>
      <c r="J448" s="21" t="s">
        <v>9</v>
      </c>
      <c r="K448" s="21" t="s">
        <v>301</v>
      </c>
      <c r="L448" s="21" t="s">
        <v>308</v>
      </c>
      <c r="M448" s="21" t="s">
        <v>15</v>
      </c>
      <c r="N448" s="54">
        <v>435156</v>
      </c>
      <c r="O448" s="54">
        <v>234326</v>
      </c>
      <c r="P448" s="54">
        <v>0</v>
      </c>
      <c r="Q448" s="54">
        <v>669482</v>
      </c>
      <c r="R448" s="54">
        <v>250438.79</v>
      </c>
      <c r="S448" s="54">
        <v>418893.21</v>
      </c>
      <c r="T448" s="54">
        <v>418893.21</v>
      </c>
      <c r="U448" s="54">
        <v>250588.79</v>
      </c>
      <c r="V448" s="54">
        <v>250588.79</v>
      </c>
      <c r="W448" s="54">
        <v>150</v>
      </c>
    </row>
    <row r="449" spans="1:23" outlineLevel="2" x14ac:dyDescent="0.2">
      <c r="A449" s="21" t="s">
        <v>0</v>
      </c>
      <c r="B449" s="21" t="s">
        <v>39</v>
      </c>
      <c r="C449" s="21" t="s">
        <v>58</v>
      </c>
      <c r="D449" s="21" t="s">
        <v>105</v>
      </c>
      <c r="E449" s="21" t="s">
        <v>106</v>
      </c>
      <c r="F449" s="21" t="s">
        <v>5</v>
      </c>
      <c r="G449" s="21" t="s">
        <v>6</v>
      </c>
      <c r="H449" s="21" t="s">
        <v>35</v>
      </c>
      <c r="I449" s="21" t="s">
        <v>36</v>
      </c>
      <c r="J449" s="21" t="s">
        <v>9</v>
      </c>
      <c r="K449" s="21" t="s">
        <v>301</v>
      </c>
      <c r="L449" s="21" t="s">
        <v>306</v>
      </c>
      <c r="M449" s="21" t="s">
        <v>15</v>
      </c>
      <c r="N449" s="54">
        <v>227328</v>
      </c>
      <c r="O449" s="54">
        <v>2961.66</v>
      </c>
      <c r="P449" s="54">
        <v>0</v>
      </c>
      <c r="Q449" s="54">
        <v>230289.66</v>
      </c>
      <c r="R449" s="54">
        <v>117933</v>
      </c>
      <c r="S449" s="54">
        <v>112306.66</v>
      </c>
      <c r="T449" s="54">
        <v>112306.66</v>
      </c>
      <c r="U449" s="54">
        <v>117983</v>
      </c>
      <c r="V449" s="54">
        <v>117983</v>
      </c>
      <c r="W449" s="54">
        <v>50</v>
      </c>
    </row>
    <row r="450" spans="1:23" outlineLevel="2" x14ac:dyDescent="0.2">
      <c r="A450" s="21" t="s">
        <v>0</v>
      </c>
      <c r="B450" s="21" t="s">
        <v>1</v>
      </c>
      <c r="C450" s="21" t="s">
        <v>91</v>
      </c>
      <c r="D450" s="21" t="s">
        <v>92</v>
      </c>
      <c r="E450" s="21" t="s">
        <v>93</v>
      </c>
      <c r="F450" s="21" t="s">
        <v>5</v>
      </c>
      <c r="G450" s="21" t="s">
        <v>6</v>
      </c>
      <c r="H450" s="21" t="s">
        <v>35</v>
      </c>
      <c r="I450" s="21" t="s">
        <v>36</v>
      </c>
      <c r="J450" s="21" t="s">
        <v>9</v>
      </c>
      <c r="K450" s="21" t="s">
        <v>301</v>
      </c>
      <c r="L450" s="21" t="s">
        <v>310</v>
      </c>
      <c r="M450" s="21" t="s">
        <v>15</v>
      </c>
      <c r="N450" s="54">
        <v>1531932</v>
      </c>
      <c r="O450" s="54">
        <v>194181.65</v>
      </c>
      <c r="P450" s="54">
        <v>0</v>
      </c>
      <c r="Q450" s="54">
        <v>1726113.65</v>
      </c>
      <c r="R450" s="54">
        <v>0</v>
      </c>
      <c r="S450" s="54">
        <v>1721980.49</v>
      </c>
      <c r="T450" s="54">
        <v>1721980.49</v>
      </c>
      <c r="U450" s="54">
        <v>4133.16</v>
      </c>
      <c r="V450" s="54">
        <v>4133.16</v>
      </c>
      <c r="W450" s="54">
        <v>4133.16</v>
      </c>
    </row>
    <row r="451" spans="1:23" outlineLevel="2" x14ac:dyDescent="0.2">
      <c r="A451" s="21" t="s">
        <v>0</v>
      </c>
      <c r="B451" s="21" t="s">
        <v>31</v>
      </c>
      <c r="C451" s="21" t="s">
        <v>79</v>
      </c>
      <c r="D451" s="21" t="s">
        <v>133</v>
      </c>
      <c r="E451" s="21" t="s">
        <v>134</v>
      </c>
      <c r="F451" s="21" t="s">
        <v>5</v>
      </c>
      <c r="G451" s="21" t="s">
        <v>6</v>
      </c>
      <c r="H451" s="21" t="s">
        <v>35</v>
      </c>
      <c r="I451" s="21" t="s">
        <v>36</v>
      </c>
      <c r="J451" s="21" t="s">
        <v>9</v>
      </c>
      <c r="K451" s="21" t="s">
        <v>301</v>
      </c>
      <c r="L451" s="21" t="s">
        <v>308</v>
      </c>
      <c r="M451" s="21" t="s">
        <v>12</v>
      </c>
      <c r="N451" s="54">
        <v>0</v>
      </c>
      <c r="O451" s="54">
        <v>9804</v>
      </c>
      <c r="P451" s="54">
        <v>0</v>
      </c>
      <c r="Q451" s="54">
        <v>9804</v>
      </c>
      <c r="R451" s="54">
        <v>5719</v>
      </c>
      <c r="S451" s="54">
        <v>4085</v>
      </c>
      <c r="T451" s="54">
        <v>4085</v>
      </c>
      <c r="U451" s="54">
        <v>5719</v>
      </c>
      <c r="V451" s="54">
        <v>5719</v>
      </c>
      <c r="W451" s="54">
        <v>0</v>
      </c>
    </row>
    <row r="452" spans="1:23" outlineLevel="2" x14ac:dyDescent="0.2">
      <c r="A452" s="21" t="s">
        <v>0</v>
      </c>
      <c r="B452" s="21" t="s">
        <v>53</v>
      </c>
      <c r="C452" s="21" t="s">
        <v>54</v>
      </c>
      <c r="D452" s="21" t="s">
        <v>55</v>
      </c>
      <c r="E452" s="21" t="s">
        <v>56</v>
      </c>
      <c r="F452" s="21" t="s">
        <v>5</v>
      </c>
      <c r="G452" s="21" t="s">
        <v>6</v>
      </c>
      <c r="H452" s="21" t="s">
        <v>35</v>
      </c>
      <c r="I452" s="21" t="s">
        <v>36</v>
      </c>
      <c r="J452" s="21" t="s">
        <v>9</v>
      </c>
      <c r="K452" s="21" t="s">
        <v>301</v>
      </c>
      <c r="L452" s="21" t="s">
        <v>309</v>
      </c>
      <c r="M452" s="21" t="s">
        <v>15</v>
      </c>
      <c r="N452" s="54">
        <v>45600</v>
      </c>
      <c r="O452" s="54">
        <v>0</v>
      </c>
      <c r="P452" s="54">
        <v>0</v>
      </c>
      <c r="Q452" s="54">
        <v>45600</v>
      </c>
      <c r="R452" s="54">
        <v>19170</v>
      </c>
      <c r="S452" s="54">
        <v>26430</v>
      </c>
      <c r="T452" s="54">
        <v>26430</v>
      </c>
      <c r="U452" s="54">
        <v>19170</v>
      </c>
      <c r="V452" s="54">
        <v>19170</v>
      </c>
      <c r="W452" s="54">
        <v>0</v>
      </c>
    </row>
    <row r="453" spans="1:23" outlineLevel="2" x14ac:dyDescent="0.2">
      <c r="A453" s="21" t="s">
        <v>0</v>
      </c>
      <c r="B453" s="21" t="s">
        <v>1</v>
      </c>
      <c r="C453" s="21" t="s">
        <v>16</v>
      </c>
      <c r="D453" s="21" t="s">
        <v>17</v>
      </c>
      <c r="E453" s="21" t="s">
        <v>18</v>
      </c>
      <c r="F453" s="21" t="s">
        <v>5</v>
      </c>
      <c r="G453" s="21" t="s">
        <v>6</v>
      </c>
      <c r="H453" s="21" t="s">
        <v>35</v>
      </c>
      <c r="I453" s="21" t="s">
        <v>36</v>
      </c>
      <c r="J453" s="21" t="s">
        <v>9</v>
      </c>
      <c r="K453" s="21" t="s">
        <v>301</v>
      </c>
      <c r="L453" s="21" t="s">
        <v>311</v>
      </c>
      <c r="M453" s="21" t="s">
        <v>15</v>
      </c>
      <c r="N453" s="54">
        <v>998400</v>
      </c>
      <c r="O453" s="54">
        <v>0</v>
      </c>
      <c r="P453" s="54">
        <v>0</v>
      </c>
      <c r="Q453" s="54">
        <v>998400</v>
      </c>
      <c r="R453" s="54">
        <v>184760.93</v>
      </c>
      <c r="S453" s="54">
        <v>777639.07</v>
      </c>
      <c r="T453" s="54">
        <v>777639.07</v>
      </c>
      <c r="U453" s="54">
        <v>220760.93</v>
      </c>
      <c r="V453" s="54">
        <v>220760.93</v>
      </c>
      <c r="W453" s="54">
        <v>36000</v>
      </c>
    </row>
    <row r="454" spans="1:23" outlineLevel="2" x14ac:dyDescent="0.2">
      <c r="A454" s="21" t="s">
        <v>0</v>
      </c>
      <c r="B454" s="21" t="s">
        <v>39</v>
      </c>
      <c r="C454" s="21" t="s">
        <v>70</v>
      </c>
      <c r="D454" s="21" t="s">
        <v>71</v>
      </c>
      <c r="E454" s="21" t="s">
        <v>72</v>
      </c>
      <c r="F454" s="21" t="s">
        <v>5</v>
      </c>
      <c r="G454" s="21" t="s">
        <v>6</v>
      </c>
      <c r="H454" s="21" t="s">
        <v>35</v>
      </c>
      <c r="I454" s="21" t="s">
        <v>36</v>
      </c>
      <c r="J454" s="21" t="s">
        <v>9</v>
      </c>
      <c r="K454" s="21" t="s">
        <v>301</v>
      </c>
      <c r="L454" s="21" t="s">
        <v>303</v>
      </c>
      <c r="M454" s="21" t="s">
        <v>15</v>
      </c>
      <c r="N454" s="54">
        <v>435000</v>
      </c>
      <c r="O454" s="54">
        <v>-18750</v>
      </c>
      <c r="P454" s="54">
        <v>0</v>
      </c>
      <c r="Q454" s="54">
        <v>416250</v>
      </c>
      <c r="R454" s="54">
        <v>80645</v>
      </c>
      <c r="S454" s="54">
        <v>335605</v>
      </c>
      <c r="T454" s="54">
        <v>335605</v>
      </c>
      <c r="U454" s="54">
        <v>80645</v>
      </c>
      <c r="V454" s="54">
        <v>80645</v>
      </c>
      <c r="W454" s="54">
        <v>0</v>
      </c>
    </row>
    <row r="455" spans="1:23" outlineLevel="2" x14ac:dyDescent="0.2">
      <c r="A455" s="21" t="s">
        <v>0</v>
      </c>
      <c r="B455" s="21" t="s">
        <v>39</v>
      </c>
      <c r="C455" s="21" t="s">
        <v>95</v>
      </c>
      <c r="D455" s="21" t="s">
        <v>96</v>
      </c>
      <c r="E455" s="21" t="s">
        <v>97</v>
      </c>
      <c r="F455" s="21" t="s">
        <v>5</v>
      </c>
      <c r="G455" s="21" t="s">
        <v>6</v>
      </c>
      <c r="H455" s="21" t="s">
        <v>35</v>
      </c>
      <c r="I455" s="21" t="s">
        <v>36</v>
      </c>
      <c r="J455" s="21" t="s">
        <v>9</v>
      </c>
      <c r="K455" s="21" t="s">
        <v>301</v>
      </c>
      <c r="L455" s="21" t="s">
        <v>302</v>
      </c>
      <c r="M455" s="21" t="s">
        <v>15</v>
      </c>
      <c r="N455" s="54">
        <v>0</v>
      </c>
      <c r="O455" s="54">
        <v>8556</v>
      </c>
      <c r="P455" s="54">
        <v>0</v>
      </c>
      <c r="Q455" s="54">
        <v>8556</v>
      </c>
      <c r="R455" s="54">
        <v>2614.33</v>
      </c>
      <c r="S455" s="54">
        <v>5941.67</v>
      </c>
      <c r="T455" s="54">
        <v>5941.67</v>
      </c>
      <c r="U455" s="54">
        <v>2614.33</v>
      </c>
      <c r="V455" s="54">
        <v>2614.33</v>
      </c>
      <c r="W455" s="54">
        <v>0</v>
      </c>
    </row>
    <row r="456" spans="1:23" outlineLevel="2" x14ac:dyDescent="0.2">
      <c r="A456" s="21" t="s">
        <v>0</v>
      </c>
      <c r="B456" s="21" t="s">
        <v>39</v>
      </c>
      <c r="C456" s="21" t="s">
        <v>58</v>
      </c>
      <c r="D456" s="21" t="s">
        <v>139</v>
      </c>
      <c r="E456" s="21" t="s">
        <v>140</v>
      </c>
      <c r="F456" s="21" t="s">
        <v>5</v>
      </c>
      <c r="G456" s="21" t="s">
        <v>6</v>
      </c>
      <c r="H456" s="21" t="s">
        <v>35</v>
      </c>
      <c r="I456" s="21" t="s">
        <v>36</v>
      </c>
      <c r="J456" s="21" t="s">
        <v>9</v>
      </c>
      <c r="K456" s="21" t="s">
        <v>301</v>
      </c>
      <c r="L456" s="21" t="s">
        <v>306</v>
      </c>
      <c r="M456" s="21" t="s">
        <v>15</v>
      </c>
      <c r="N456" s="54">
        <v>18516</v>
      </c>
      <c r="O456" s="54">
        <v>10665</v>
      </c>
      <c r="P456" s="54">
        <v>0</v>
      </c>
      <c r="Q456" s="54">
        <v>29181</v>
      </c>
      <c r="R456" s="54">
        <v>9687.77</v>
      </c>
      <c r="S456" s="54">
        <v>977.23</v>
      </c>
      <c r="T456" s="54">
        <v>977.23</v>
      </c>
      <c r="U456" s="54">
        <v>28203.77</v>
      </c>
      <c r="V456" s="54">
        <v>28203.77</v>
      </c>
      <c r="W456" s="54">
        <v>18516</v>
      </c>
    </row>
    <row r="457" spans="1:23" outlineLevel="2" x14ac:dyDescent="0.2">
      <c r="A457" s="21" t="s">
        <v>0</v>
      </c>
      <c r="B457" s="21" t="s">
        <v>31</v>
      </c>
      <c r="C457" s="21" t="s">
        <v>79</v>
      </c>
      <c r="D457" s="21" t="s">
        <v>83</v>
      </c>
      <c r="E457" s="21" t="s">
        <v>84</v>
      </c>
      <c r="F457" s="21" t="s">
        <v>5</v>
      </c>
      <c r="G457" s="21" t="s">
        <v>6</v>
      </c>
      <c r="H457" s="21" t="s">
        <v>35</v>
      </c>
      <c r="I457" s="21" t="s">
        <v>36</v>
      </c>
      <c r="J457" s="21" t="s">
        <v>9</v>
      </c>
      <c r="K457" s="21" t="s">
        <v>301</v>
      </c>
      <c r="L457" s="21" t="s">
        <v>308</v>
      </c>
      <c r="M457" s="21" t="s">
        <v>12</v>
      </c>
      <c r="N457" s="54">
        <v>0</v>
      </c>
      <c r="O457" s="54">
        <v>93138</v>
      </c>
      <c r="P457" s="54">
        <v>0</v>
      </c>
      <c r="Q457" s="54">
        <v>93138</v>
      </c>
      <c r="R457" s="54">
        <v>86819.87</v>
      </c>
      <c r="S457" s="54">
        <v>6318.13</v>
      </c>
      <c r="T457" s="54">
        <v>6318.13</v>
      </c>
      <c r="U457" s="54">
        <v>86819.87</v>
      </c>
      <c r="V457" s="54">
        <v>86819.87</v>
      </c>
      <c r="W457" s="54">
        <v>0</v>
      </c>
    </row>
    <row r="458" spans="1:23" outlineLevel="2" x14ac:dyDescent="0.2">
      <c r="A458" s="21" t="s">
        <v>0</v>
      </c>
      <c r="B458" s="21" t="s">
        <v>1</v>
      </c>
      <c r="C458" s="21" t="s">
        <v>16</v>
      </c>
      <c r="D458" s="21" t="s">
        <v>64</v>
      </c>
      <c r="E458" s="21" t="s">
        <v>65</v>
      </c>
      <c r="F458" s="21" t="s">
        <v>5</v>
      </c>
      <c r="G458" s="21" t="s">
        <v>6</v>
      </c>
      <c r="H458" s="21" t="s">
        <v>35</v>
      </c>
      <c r="I458" s="21" t="s">
        <v>36</v>
      </c>
      <c r="J458" s="21" t="s">
        <v>9</v>
      </c>
      <c r="K458" s="21" t="s">
        <v>301</v>
      </c>
      <c r="L458" s="21" t="s">
        <v>311</v>
      </c>
      <c r="M458" s="21" t="s">
        <v>15</v>
      </c>
      <c r="N458" s="54">
        <v>8088</v>
      </c>
      <c r="O458" s="54">
        <v>0</v>
      </c>
      <c r="P458" s="54">
        <v>0</v>
      </c>
      <c r="Q458" s="54">
        <v>8088</v>
      </c>
      <c r="R458" s="54">
        <v>2696</v>
      </c>
      <c r="S458" s="54">
        <v>5392</v>
      </c>
      <c r="T458" s="54">
        <v>5392</v>
      </c>
      <c r="U458" s="54">
        <v>2696</v>
      </c>
      <c r="V458" s="54">
        <v>2696</v>
      </c>
      <c r="W458" s="54">
        <v>0</v>
      </c>
    </row>
    <row r="459" spans="1:23" outlineLevel="2" x14ac:dyDescent="0.2">
      <c r="A459" s="21" t="s">
        <v>0</v>
      </c>
      <c r="B459" s="21" t="s">
        <v>39</v>
      </c>
      <c r="C459" s="21" t="s">
        <v>58</v>
      </c>
      <c r="D459" s="21" t="s">
        <v>137</v>
      </c>
      <c r="E459" s="21" t="s">
        <v>138</v>
      </c>
      <c r="F459" s="21" t="s">
        <v>5</v>
      </c>
      <c r="G459" s="21" t="s">
        <v>6</v>
      </c>
      <c r="H459" s="21" t="s">
        <v>35</v>
      </c>
      <c r="I459" s="21" t="s">
        <v>36</v>
      </c>
      <c r="J459" s="21" t="s">
        <v>9</v>
      </c>
      <c r="K459" s="21" t="s">
        <v>301</v>
      </c>
      <c r="L459" s="21" t="s">
        <v>306</v>
      </c>
      <c r="M459" s="21" t="s">
        <v>15</v>
      </c>
      <c r="N459" s="54">
        <v>6516</v>
      </c>
      <c r="O459" s="54">
        <v>10992</v>
      </c>
      <c r="P459" s="54">
        <v>0</v>
      </c>
      <c r="Q459" s="54">
        <v>17508</v>
      </c>
      <c r="R459" s="54">
        <v>10121.799999999999</v>
      </c>
      <c r="S459" s="54">
        <v>870.2</v>
      </c>
      <c r="T459" s="54">
        <v>870.2</v>
      </c>
      <c r="U459" s="54">
        <v>16637.8</v>
      </c>
      <c r="V459" s="54">
        <v>16637.8</v>
      </c>
      <c r="W459" s="54">
        <v>6516</v>
      </c>
    </row>
    <row r="460" spans="1:23" outlineLevel="2" x14ac:dyDescent="0.2">
      <c r="A460" s="21" t="s">
        <v>0</v>
      </c>
      <c r="B460" s="21" t="s">
        <v>31</v>
      </c>
      <c r="C460" s="21" t="s">
        <v>32</v>
      </c>
      <c r="D460" s="21" t="s">
        <v>141</v>
      </c>
      <c r="E460" s="21" t="s">
        <v>142</v>
      </c>
      <c r="F460" s="21" t="s">
        <v>5</v>
      </c>
      <c r="G460" s="21" t="s">
        <v>6</v>
      </c>
      <c r="H460" s="21" t="s">
        <v>35</v>
      </c>
      <c r="I460" s="21" t="s">
        <v>36</v>
      </c>
      <c r="J460" s="21" t="s">
        <v>9</v>
      </c>
      <c r="K460" s="21" t="s">
        <v>301</v>
      </c>
      <c r="L460" s="21" t="s">
        <v>305</v>
      </c>
      <c r="M460" s="21" t="s">
        <v>15</v>
      </c>
      <c r="N460" s="54">
        <v>668928</v>
      </c>
      <c r="O460" s="54">
        <v>-137760</v>
      </c>
      <c r="P460" s="54">
        <v>0</v>
      </c>
      <c r="Q460" s="54">
        <v>531168</v>
      </c>
      <c r="R460" s="54">
        <v>228464.83</v>
      </c>
      <c r="S460" s="54">
        <v>302703.17</v>
      </c>
      <c r="T460" s="54">
        <v>302703.17</v>
      </c>
      <c r="U460" s="54">
        <v>228464.83</v>
      </c>
      <c r="V460" s="54">
        <v>228464.83</v>
      </c>
      <c r="W460" s="54">
        <v>0</v>
      </c>
    </row>
    <row r="461" spans="1:23" outlineLevel="2" x14ac:dyDescent="0.2">
      <c r="A461" s="21" t="s">
        <v>0</v>
      </c>
      <c r="B461" s="21" t="s">
        <v>1</v>
      </c>
      <c r="C461" s="21" t="s">
        <v>99</v>
      </c>
      <c r="D461" s="21" t="s">
        <v>100</v>
      </c>
      <c r="E461" s="21" t="s">
        <v>101</v>
      </c>
      <c r="F461" s="21" t="s">
        <v>5</v>
      </c>
      <c r="G461" s="21" t="s">
        <v>6</v>
      </c>
      <c r="H461" s="21" t="s">
        <v>35</v>
      </c>
      <c r="I461" s="21" t="s">
        <v>36</v>
      </c>
      <c r="J461" s="21" t="s">
        <v>9</v>
      </c>
      <c r="K461" s="21" t="s">
        <v>301</v>
      </c>
      <c r="L461" s="21" t="s">
        <v>316</v>
      </c>
      <c r="M461" s="21" t="s">
        <v>15</v>
      </c>
      <c r="N461" s="54">
        <v>435960</v>
      </c>
      <c r="O461" s="54">
        <v>0</v>
      </c>
      <c r="P461" s="54">
        <v>0</v>
      </c>
      <c r="Q461" s="54">
        <v>435960</v>
      </c>
      <c r="R461" s="54">
        <v>124255.96</v>
      </c>
      <c r="S461" s="54">
        <v>311704.03999999998</v>
      </c>
      <c r="T461" s="54">
        <v>311704.03999999998</v>
      </c>
      <c r="U461" s="54">
        <v>124255.96</v>
      </c>
      <c r="V461" s="54">
        <v>124255.96</v>
      </c>
      <c r="W461" s="54">
        <v>0</v>
      </c>
    </row>
    <row r="462" spans="1:23" outlineLevel="2" x14ac:dyDescent="0.2">
      <c r="A462" s="21" t="s">
        <v>0</v>
      </c>
      <c r="B462" s="21" t="s">
        <v>39</v>
      </c>
      <c r="C462" s="21" t="s">
        <v>70</v>
      </c>
      <c r="D462" s="21" t="s">
        <v>89</v>
      </c>
      <c r="E462" s="21" t="s">
        <v>90</v>
      </c>
      <c r="F462" s="21" t="s">
        <v>5</v>
      </c>
      <c r="G462" s="21" t="s">
        <v>6</v>
      </c>
      <c r="H462" s="21" t="s">
        <v>35</v>
      </c>
      <c r="I462" s="21" t="s">
        <v>36</v>
      </c>
      <c r="J462" s="21" t="s">
        <v>9</v>
      </c>
      <c r="K462" s="21" t="s">
        <v>301</v>
      </c>
      <c r="L462" s="21" t="s">
        <v>303</v>
      </c>
      <c r="M462" s="21" t="s">
        <v>15</v>
      </c>
      <c r="N462" s="54">
        <v>1857516</v>
      </c>
      <c r="O462" s="54">
        <v>0</v>
      </c>
      <c r="P462" s="54">
        <v>0</v>
      </c>
      <c r="Q462" s="54">
        <v>1857516</v>
      </c>
      <c r="R462" s="54">
        <v>460997</v>
      </c>
      <c r="S462" s="54">
        <v>1396519</v>
      </c>
      <c r="T462" s="54">
        <v>1396519</v>
      </c>
      <c r="U462" s="54">
        <v>460997</v>
      </c>
      <c r="V462" s="54">
        <v>460997</v>
      </c>
      <c r="W462" s="54">
        <v>0</v>
      </c>
    </row>
    <row r="463" spans="1:23" outlineLevel="2" x14ac:dyDescent="0.2">
      <c r="A463" s="21" t="s">
        <v>0</v>
      </c>
      <c r="B463" s="21" t="s">
        <v>39</v>
      </c>
      <c r="C463" s="21" t="s">
        <v>58</v>
      </c>
      <c r="D463" s="21" t="s">
        <v>147</v>
      </c>
      <c r="E463" s="21" t="s">
        <v>148</v>
      </c>
      <c r="F463" s="21" t="s">
        <v>5</v>
      </c>
      <c r="G463" s="21" t="s">
        <v>6</v>
      </c>
      <c r="H463" s="21" t="s">
        <v>35</v>
      </c>
      <c r="I463" s="21" t="s">
        <v>36</v>
      </c>
      <c r="J463" s="21" t="s">
        <v>9</v>
      </c>
      <c r="K463" s="21" t="s">
        <v>301</v>
      </c>
      <c r="L463" s="21" t="s">
        <v>306</v>
      </c>
      <c r="M463" s="21" t="s">
        <v>15</v>
      </c>
      <c r="N463" s="54">
        <v>0</v>
      </c>
      <c r="O463" s="54">
        <v>5220</v>
      </c>
      <c r="P463" s="54">
        <v>0</v>
      </c>
      <c r="Q463" s="54">
        <v>5220</v>
      </c>
      <c r="R463" s="54">
        <v>5220</v>
      </c>
      <c r="S463" s="54">
        <v>0</v>
      </c>
      <c r="T463" s="54">
        <v>0</v>
      </c>
      <c r="U463" s="54">
        <v>5220</v>
      </c>
      <c r="V463" s="54">
        <v>5220</v>
      </c>
      <c r="W463" s="54">
        <v>0</v>
      </c>
    </row>
    <row r="464" spans="1:23" outlineLevel="2" x14ac:dyDescent="0.2">
      <c r="A464" s="21" t="s">
        <v>0</v>
      </c>
      <c r="B464" s="21" t="s">
        <v>39</v>
      </c>
      <c r="C464" s="21" t="s">
        <v>58</v>
      </c>
      <c r="D464" s="21" t="s">
        <v>135</v>
      </c>
      <c r="E464" s="21" t="s">
        <v>136</v>
      </c>
      <c r="F464" s="21" t="s">
        <v>5</v>
      </c>
      <c r="G464" s="21" t="s">
        <v>6</v>
      </c>
      <c r="H464" s="21" t="s">
        <v>35</v>
      </c>
      <c r="I464" s="21" t="s">
        <v>36</v>
      </c>
      <c r="J464" s="21" t="s">
        <v>9</v>
      </c>
      <c r="K464" s="21" t="s">
        <v>301</v>
      </c>
      <c r="L464" s="21" t="s">
        <v>306</v>
      </c>
      <c r="M464" s="21" t="s">
        <v>15</v>
      </c>
      <c r="N464" s="54">
        <v>8556</v>
      </c>
      <c r="O464" s="54">
        <v>-8556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</row>
    <row r="465" spans="1:23" outlineLevel="2" x14ac:dyDescent="0.2">
      <c r="A465" s="21" t="s">
        <v>0</v>
      </c>
      <c r="B465" s="21" t="s">
        <v>31</v>
      </c>
      <c r="C465" s="21" t="s">
        <v>49</v>
      </c>
      <c r="D465" s="21" t="s">
        <v>50</v>
      </c>
      <c r="E465" s="21" t="s">
        <v>51</v>
      </c>
      <c r="F465" s="21" t="s">
        <v>5</v>
      </c>
      <c r="G465" s="21" t="s">
        <v>6</v>
      </c>
      <c r="H465" s="21" t="s">
        <v>35</v>
      </c>
      <c r="I465" s="21" t="s">
        <v>36</v>
      </c>
      <c r="J465" s="21" t="s">
        <v>9</v>
      </c>
      <c r="K465" s="21" t="s">
        <v>301</v>
      </c>
      <c r="L465" s="21" t="s">
        <v>304</v>
      </c>
      <c r="M465" s="21" t="s">
        <v>15</v>
      </c>
      <c r="N465" s="54">
        <v>54600</v>
      </c>
      <c r="O465" s="54">
        <v>18750</v>
      </c>
      <c r="P465" s="54">
        <v>0</v>
      </c>
      <c r="Q465" s="54">
        <v>73350</v>
      </c>
      <c r="R465" s="54">
        <v>40300</v>
      </c>
      <c r="S465" s="54">
        <v>33050</v>
      </c>
      <c r="T465" s="54">
        <v>33050</v>
      </c>
      <c r="U465" s="54">
        <v>40300</v>
      </c>
      <c r="V465" s="54">
        <v>40300</v>
      </c>
      <c r="W465" s="54">
        <v>0</v>
      </c>
    </row>
    <row r="466" spans="1:23" outlineLevel="2" x14ac:dyDescent="0.2">
      <c r="A466" s="21" t="s">
        <v>0</v>
      </c>
      <c r="B466" s="21" t="s">
        <v>39</v>
      </c>
      <c r="C466" s="21" t="s">
        <v>58</v>
      </c>
      <c r="D466" s="21" t="s">
        <v>119</v>
      </c>
      <c r="E466" s="21" t="s">
        <v>120</v>
      </c>
      <c r="F466" s="21" t="s">
        <v>5</v>
      </c>
      <c r="G466" s="21" t="s">
        <v>6</v>
      </c>
      <c r="H466" s="21" t="s">
        <v>35</v>
      </c>
      <c r="I466" s="21" t="s">
        <v>36</v>
      </c>
      <c r="J466" s="21" t="s">
        <v>9</v>
      </c>
      <c r="K466" s="21" t="s">
        <v>301</v>
      </c>
      <c r="L466" s="21" t="s">
        <v>306</v>
      </c>
      <c r="M466" s="21" t="s">
        <v>15</v>
      </c>
      <c r="N466" s="54">
        <v>30000</v>
      </c>
      <c r="O466" s="54">
        <v>0</v>
      </c>
      <c r="P466" s="54">
        <v>0</v>
      </c>
      <c r="Q466" s="54">
        <v>30000</v>
      </c>
      <c r="R466" s="54">
        <v>5000</v>
      </c>
      <c r="S466" s="54">
        <v>25000</v>
      </c>
      <c r="T466" s="54">
        <v>25000</v>
      </c>
      <c r="U466" s="54">
        <v>5000</v>
      </c>
      <c r="V466" s="54">
        <v>5000</v>
      </c>
      <c r="W466" s="54">
        <v>0</v>
      </c>
    </row>
    <row r="467" spans="1:23" outlineLevel="2" x14ac:dyDescent="0.2">
      <c r="A467" s="21" t="s">
        <v>0</v>
      </c>
      <c r="B467" s="21" t="s">
        <v>39</v>
      </c>
      <c r="C467" s="21" t="s">
        <v>58</v>
      </c>
      <c r="D467" s="21" t="s">
        <v>149</v>
      </c>
      <c r="E467" s="21" t="s">
        <v>150</v>
      </c>
      <c r="F467" s="21" t="s">
        <v>5</v>
      </c>
      <c r="G467" s="21" t="s">
        <v>6</v>
      </c>
      <c r="H467" s="21" t="s">
        <v>35</v>
      </c>
      <c r="I467" s="21" t="s">
        <v>36</v>
      </c>
      <c r="J467" s="21" t="s">
        <v>9</v>
      </c>
      <c r="K467" s="21" t="s">
        <v>301</v>
      </c>
      <c r="L467" s="21" t="s">
        <v>306</v>
      </c>
      <c r="M467" s="21" t="s">
        <v>15</v>
      </c>
      <c r="N467" s="54">
        <v>0</v>
      </c>
      <c r="O467" s="54">
        <v>23259</v>
      </c>
      <c r="P467" s="54">
        <v>0</v>
      </c>
      <c r="Q467" s="54">
        <v>23259</v>
      </c>
      <c r="R467" s="54">
        <v>23259</v>
      </c>
      <c r="S467" s="54">
        <v>0</v>
      </c>
      <c r="T467" s="54">
        <v>0</v>
      </c>
      <c r="U467" s="54">
        <v>23259</v>
      </c>
      <c r="V467" s="54">
        <v>23259</v>
      </c>
      <c r="W467" s="54">
        <v>0</v>
      </c>
    </row>
    <row r="468" spans="1:23" outlineLevel="2" x14ac:dyDescent="0.2">
      <c r="A468" s="21" t="s">
        <v>0</v>
      </c>
      <c r="B468" s="21" t="s">
        <v>31</v>
      </c>
      <c r="C468" s="21" t="s">
        <v>32</v>
      </c>
      <c r="D468" s="21" t="s">
        <v>123</v>
      </c>
      <c r="E468" s="21" t="s">
        <v>124</v>
      </c>
      <c r="F468" s="21" t="s">
        <v>5</v>
      </c>
      <c r="G468" s="21" t="s">
        <v>6</v>
      </c>
      <c r="H468" s="21" t="s">
        <v>35</v>
      </c>
      <c r="I468" s="21" t="s">
        <v>36</v>
      </c>
      <c r="J468" s="21" t="s">
        <v>9</v>
      </c>
      <c r="K468" s="21" t="s">
        <v>301</v>
      </c>
      <c r="L468" s="21" t="s">
        <v>305</v>
      </c>
      <c r="M468" s="21" t="s">
        <v>15</v>
      </c>
      <c r="N468" s="54">
        <v>1198236</v>
      </c>
      <c r="O468" s="54">
        <v>-955113</v>
      </c>
      <c r="P468" s="54">
        <v>0</v>
      </c>
      <c r="Q468" s="54">
        <v>243123</v>
      </c>
      <c r="R468" s="54">
        <v>94115.83</v>
      </c>
      <c r="S468" s="54">
        <v>149007.17000000001</v>
      </c>
      <c r="T468" s="54">
        <v>149007.17000000001</v>
      </c>
      <c r="U468" s="54">
        <v>94115.83</v>
      </c>
      <c r="V468" s="54">
        <v>94115.83</v>
      </c>
      <c r="W468" s="54">
        <v>0</v>
      </c>
    </row>
    <row r="469" spans="1:23" outlineLevel="2" x14ac:dyDescent="0.2">
      <c r="A469" s="21" t="s">
        <v>0</v>
      </c>
      <c r="B469" s="21" t="s">
        <v>39</v>
      </c>
      <c r="C469" s="21" t="s">
        <v>66</v>
      </c>
      <c r="D469" s="21" t="s">
        <v>67</v>
      </c>
      <c r="E469" s="21" t="s">
        <v>68</v>
      </c>
      <c r="F469" s="21" t="s">
        <v>5</v>
      </c>
      <c r="G469" s="21" t="s">
        <v>6</v>
      </c>
      <c r="H469" s="21" t="s">
        <v>35</v>
      </c>
      <c r="I469" s="21" t="s">
        <v>36</v>
      </c>
      <c r="J469" s="21" t="s">
        <v>9</v>
      </c>
      <c r="K469" s="21" t="s">
        <v>301</v>
      </c>
      <c r="L469" s="21" t="s">
        <v>312</v>
      </c>
      <c r="M469" s="21" t="s">
        <v>15</v>
      </c>
      <c r="N469" s="54">
        <v>138828</v>
      </c>
      <c r="O469" s="54">
        <v>-73832</v>
      </c>
      <c r="P469" s="54">
        <v>0</v>
      </c>
      <c r="Q469" s="54">
        <v>64996</v>
      </c>
      <c r="R469" s="54">
        <v>26998</v>
      </c>
      <c r="S469" s="54">
        <v>37998</v>
      </c>
      <c r="T469" s="54">
        <v>37998</v>
      </c>
      <c r="U469" s="54">
        <v>26998</v>
      </c>
      <c r="V469" s="54">
        <v>26998</v>
      </c>
      <c r="W469" s="54">
        <v>0</v>
      </c>
    </row>
    <row r="470" spans="1:23" outlineLevel="2" x14ac:dyDescent="0.2">
      <c r="A470" s="21" t="s">
        <v>0</v>
      </c>
      <c r="B470" s="21" t="s">
        <v>31</v>
      </c>
      <c r="C470" s="21" t="s">
        <v>79</v>
      </c>
      <c r="D470" s="21" t="s">
        <v>113</v>
      </c>
      <c r="E470" s="21" t="s">
        <v>114</v>
      </c>
      <c r="F470" s="21" t="s">
        <v>5</v>
      </c>
      <c r="G470" s="21" t="s">
        <v>6</v>
      </c>
      <c r="H470" s="21" t="s">
        <v>35</v>
      </c>
      <c r="I470" s="21" t="s">
        <v>36</v>
      </c>
      <c r="J470" s="21" t="s">
        <v>9</v>
      </c>
      <c r="K470" s="21" t="s">
        <v>301</v>
      </c>
      <c r="L470" s="21" t="s">
        <v>308</v>
      </c>
      <c r="M470" s="21" t="s">
        <v>12</v>
      </c>
      <c r="N470" s="54">
        <v>0</v>
      </c>
      <c r="O470" s="54">
        <v>19608</v>
      </c>
      <c r="P470" s="54">
        <v>0</v>
      </c>
      <c r="Q470" s="54">
        <v>19608</v>
      </c>
      <c r="R470" s="54">
        <v>9204.8700000000008</v>
      </c>
      <c r="S470" s="54">
        <v>10403.129999999999</v>
      </c>
      <c r="T470" s="54">
        <v>10403.129999999999</v>
      </c>
      <c r="U470" s="54">
        <v>9204.8700000000008</v>
      </c>
      <c r="V470" s="54">
        <v>9204.8700000000008</v>
      </c>
      <c r="W470" s="54">
        <v>0</v>
      </c>
    </row>
    <row r="471" spans="1:23" outlineLevel="2" x14ac:dyDescent="0.2">
      <c r="A471" s="21" t="s">
        <v>0</v>
      </c>
      <c r="B471" s="21" t="s">
        <v>31</v>
      </c>
      <c r="C471" s="21" t="s">
        <v>32</v>
      </c>
      <c r="D471" s="21" t="s">
        <v>33</v>
      </c>
      <c r="E471" s="21" t="s">
        <v>34</v>
      </c>
      <c r="F471" s="21" t="s">
        <v>5</v>
      </c>
      <c r="G471" s="21" t="s">
        <v>6</v>
      </c>
      <c r="H471" s="21" t="s">
        <v>35</v>
      </c>
      <c r="I471" s="21" t="s">
        <v>36</v>
      </c>
      <c r="J471" s="21" t="s">
        <v>9</v>
      </c>
      <c r="K471" s="21" t="s">
        <v>301</v>
      </c>
      <c r="L471" s="21" t="s">
        <v>305</v>
      </c>
      <c r="M471" s="21" t="s">
        <v>15</v>
      </c>
      <c r="N471" s="54">
        <v>43236</v>
      </c>
      <c r="O471" s="54">
        <v>297326</v>
      </c>
      <c r="P471" s="54">
        <v>0</v>
      </c>
      <c r="Q471" s="54">
        <v>340562</v>
      </c>
      <c r="R471" s="54">
        <v>133861.39000000001</v>
      </c>
      <c r="S471" s="54">
        <v>206700.61</v>
      </c>
      <c r="T471" s="54">
        <v>206700.61</v>
      </c>
      <c r="U471" s="54">
        <v>133861.39000000001</v>
      </c>
      <c r="V471" s="54">
        <v>133861.39000000001</v>
      </c>
      <c r="W471" s="54">
        <v>0</v>
      </c>
    </row>
    <row r="472" spans="1:23" outlineLevel="2" x14ac:dyDescent="0.2">
      <c r="A472" s="21" t="s">
        <v>0</v>
      </c>
      <c r="B472" s="21" t="s">
        <v>39</v>
      </c>
      <c r="C472" s="21" t="s">
        <v>40</v>
      </c>
      <c r="D472" s="21" t="s">
        <v>77</v>
      </c>
      <c r="E472" s="21" t="s">
        <v>78</v>
      </c>
      <c r="F472" s="21" t="s">
        <v>5</v>
      </c>
      <c r="G472" s="21" t="s">
        <v>6</v>
      </c>
      <c r="H472" s="21" t="s">
        <v>35</v>
      </c>
      <c r="I472" s="21" t="s">
        <v>36</v>
      </c>
      <c r="J472" s="21" t="s">
        <v>9</v>
      </c>
      <c r="K472" s="21" t="s">
        <v>301</v>
      </c>
      <c r="L472" s="21" t="s">
        <v>307</v>
      </c>
      <c r="M472" s="21" t="s">
        <v>15</v>
      </c>
      <c r="N472" s="54">
        <v>504408</v>
      </c>
      <c r="O472" s="54">
        <v>97670</v>
      </c>
      <c r="P472" s="54">
        <v>0</v>
      </c>
      <c r="Q472" s="54">
        <v>602078</v>
      </c>
      <c r="R472" s="54">
        <v>83020.100000000006</v>
      </c>
      <c r="S472" s="54">
        <v>391649.37</v>
      </c>
      <c r="T472" s="54">
        <v>391649.37</v>
      </c>
      <c r="U472" s="54">
        <v>210428.63</v>
      </c>
      <c r="V472" s="54">
        <v>210428.63</v>
      </c>
      <c r="W472" s="54">
        <v>127408.53</v>
      </c>
    </row>
    <row r="473" spans="1:23" outlineLevel="2" x14ac:dyDescent="0.2">
      <c r="A473" s="21" t="s">
        <v>0</v>
      </c>
      <c r="B473" s="21" t="s">
        <v>31</v>
      </c>
      <c r="C473" s="21" t="s">
        <v>32</v>
      </c>
      <c r="D473" s="21" t="s">
        <v>75</v>
      </c>
      <c r="E473" s="21" t="s">
        <v>76</v>
      </c>
      <c r="F473" s="21" t="s">
        <v>5</v>
      </c>
      <c r="G473" s="21" t="s">
        <v>6</v>
      </c>
      <c r="H473" s="21" t="s">
        <v>35</v>
      </c>
      <c r="I473" s="21" t="s">
        <v>36</v>
      </c>
      <c r="J473" s="21" t="s">
        <v>9</v>
      </c>
      <c r="K473" s="21" t="s">
        <v>301</v>
      </c>
      <c r="L473" s="21" t="s">
        <v>305</v>
      </c>
      <c r="M473" s="21" t="s">
        <v>15</v>
      </c>
      <c r="N473" s="54">
        <v>54144</v>
      </c>
      <c r="O473" s="54">
        <v>333288</v>
      </c>
      <c r="P473" s="54">
        <v>0</v>
      </c>
      <c r="Q473" s="54">
        <v>387432</v>
      </c>
      <c r="R473" s="54">
        <v>105216.41</v>
      </c>
      <c r="S473" s="54">
        <v>282215.59000000003</v>
      </c>
      <c r="T473" s="54">
        <v>282215.59000000003</v>
      </c>
      <c r="U473" s="54">
        <v>105216.41</v>
      </c>
      <c r="V473" s="54">
        <v>105216.41</v>
      </c>
      <c r="W473" s="54">
        <v>0</v>
      </c>
    </row>
    <row r="474" spans="1:23" outlineLevel="2" x14ac:dyDescent="0.2">
      <c r="A474" s="21" t="s">
        <v>0</v>
      </c>
      <c r="B474" s="21" t="s">
        <v>31</v>
      </c>
      <c r="C474" s="21" t="s">
        <v>79</v>
      </c>
      <c r="D474" s="21" t="s">
        <v>111</v>
      </c>
      <c r="E474" s="21" t="s">
        <v>112</v>
      </c>
      <c r="F474" s="21" t="s">
        <v>5</v>
      </c>
      <c r="G474" s="21" t="s">
        <v>6</v>
      </c>
      <c r="H474" s="21" t="s">
        <v>35</v>
      </c>
      <c r="I474" s="21" t="s">
        <v>36</v>
      </c>
      <c r="J474" s="21" t="s">
        <v>9</v>
      </c>
      <c r="K474" s="21" t="s">
        <v>301</v>
      </c>
      <c r="L474" s="21" t="s">
        <v>308</v>
      </c>
      <c r="M474" s="21" t="s">
        <v>12</v>
      </c>
      <c r="N474" s="54">
        <v>0</v>
      </c>
      <c r="O474" s="54">
        <v>9804</v>
      </c>
      <c r="P474" s="54">
        <v>0</v>
      </c>
      <c r="Q474" s="54">
        <v>9804</v>
      </c>
      <c r="R474" s="54">
        <v>3485.87</v>
      </c>
      <c r="S474" s="54">
        <v>6318.13</v>
      </c>
      <c r="T474" s="54">
        <v>6318.13</v>
      </c>
      <c r="U474" s="54">
        <v>3485.87</v>
      </c>
      <c r="V474" s="54">
        <v>3485.87</v>
      </c>
      <c r="W474" s="54">
        <v>0</v>
      </c>
    </row>
    <row r="475" spans="1:23" outlineLevel="2" x14ac:dyDescent="0.2">
      <c r="A475" s="21" t="s">
        <v>0</v>
      </c>
      <c r="B475" s="21" t="s">
        <v>31</v>
      </c>
      <c r="C475" s="21" t="s">
        <v>107</v>
      </c>
      <c r="D475" s="21" t="s">
        <v>108</v>
      </c>
      <c r="E475" s="21" t="s">
        <v>109</v>
      </c>
      <c r="F475" s="21" t="s">
        <v>5</v>
      </c>
      <c r="G475" s="21" t="s">
        <v>6</v>
      </c>
      <c r="H475" s="21" t="s">
        <v>35</v>
      </c>
      <c r="I475" s="21" t="s">
        <v>36</v>
      </c>
      <c r="J475" s="21" t="s">
        <v>9</v>
      </c>
      <c r="K475" s="21" t="s">
        <v>301</v>
      </c>
      <c r="L475" s="21" t="s">
        <v>317</v>
      </c>
      <c r="M475" s="21" t="s">
        <v>15</v>
      </c>
      <c r="N475" s="54">
        <v>173280</v>
      </c>
      <c r="O475" s="54">
        <v>7692</v>
      </c>
      <c r="P475" s="54">
        <v>0</v>
      </c>
      <c r="Q475" s="54">
        <v>180972</v>
      </c>
      <c r="R475" s="54">
        <v>35675.57</v>
      </c>
      <c r="S475" s="54">
        <v>145296.43</v>
      </c>
      <c r="T475" s="54">
        <v>145296.43</v>
      </c>
      <c r="U475" s="54">
        <v>35675.57</v>
      </c>
      <c r="V475" s="54">
        <v>35675.57</v>
      </c>
      <c r="W475" s="54">
        <v>0</v>
      </c>
    </row>
    <row r="476" spans="1:23" outlineLevel="2" x14ac:dyDescent="0.2">
      <c r="A476" s="21" t="s">
        <v>0</v>
      </c>
      <c r="B476" s="21" t="s">
        <v>1</v>
      </c>
      <c r="C476" s="21" t="s">
        <v>16</v>
      </c>
      <c r="D476" s="21" t="s">
        <v>103</v>
      </c>
      <c r="E476" s="21" t="s">
        <v>104</v>
      </c>
      <c r="F476" s="21" t="s">
        <v>5</v>
      </c>
      <c r="G476" s="21" t="s">
        <v>6</v>
      </c>
      <c r="H476" s="21" t="s">
        <v>35</v>
      </c>
      <c r="I476" s="21" t="s">
        <v>36</v>
      </c>
      <c r="J476" s="21" t="s">
        <v>9</v>
      </c>
      <c r="K476" s="21" t="s">
        <v>301</v>
      </c>
      <c r="L476" s="21" t="s">
        <v>311</v>
      </c>
      <c r="M476" s="21" t="s">
        <v>15</v>
      </c>
      <c r="N476" s="54">
        <v>787200</v>
      </c>
      <c r="O476" s="54">
        <v>-30000</v>
      </c>
      <c r="P476" s="54">
        <v>0</v>
      </c>
      <c r="Q476" s="54">
        <v>757200</v>
      </c>
      <c r="R476" s="54">
        <v>315690</v>
      </c>
      <c r="S476" s="54">
        <v>345510</v>
      </c>
      <c r="T476" s="54">
        <v>345510</v>
      </c>
      <c r="U476" s="54">
        <v>411690</v>
      </c>
      <c r="V476" s="54">
        <v>411690</v>
      </c>
      <c r="W476" s="54">
        <v>96000</v>
      </c>
    </row>
    <row r="477" spans="1:23" outlineLevel="2" x14ac:dyDescent="0.2">
      <c r="A477" s="21" t="s">
        <v>0</v>
      </c>
      <c r="B477" s="21" t="s">
        <v>53</v>
      </c>
      <c r="C477" s="21" t="s">
        <v>85</v>
      </c>
      <c r="D477" s="21" t="s">
        <v>86</v>
      </c>
      <c r="E477" s="21" t="s">
        <v>87</v>
      </c>
      <c r="F477" s="21" t="s">
        <v>5</v>
      </c>
      <c r="G477" s="21" t="s">
        <v>6</v>
      </c>
      <c r="H477" s="21" t="s">
        <v>35</v>
      </c>
      <c r="I477" s="21" t="s">
        <v>36</v>
      </c>
      <c r="J477" s="21" t="s">
        <v>9</v>
      </c>
      <c r="K477" s="21" t="s">
        <v>301</v>
      </c>
      <c r="L477" s="21" t="s">
        <v>315</v>
      </c>
      <c r="M477" s="21" t="s">
        <v>15</v>
      </c>
      <c r="N477" s="54">
        <v>60600</v>
      </c>
      <c r="O477" s="54">
        <v>-24600</v>
      </c>
      <c r="P477" s="54">
        <v>0</v>
      </c>
      <c r="Q477" s="54">
        <v>36000</v>
      </c>
      <c r="R477" s="54">
        <v>6000</v>
      </c>
      <c r="S477" s="54">
        <v>30000</v>
      </c>
      <c r="T477" s="54">
        <v>30000</v>
      </c>
      <c r="U477" s="54">
        <v>6000</v>
      </c>
      <c r="V477" s="54">
        <v>6000</v>
      </c>
      <c r="W477" s="54">
        <v>0</v>
      </c>
    </row>
    <row r="478" spans="1:23" outlineLevel="2" x14ac:dyDescent="0.2">
      <c r="A478" s="21" t="s">
        <v>0</v>
      </c>
      <c r="B478" s="21" t="s">
        <v>1</v>
      </c>
      <c r="C478" s="21" t="s">
        <v>2</v>
      </c>
      <c r="D478" s="21" t="s">
        <v>3</v>
      </c>
      <c r="E478" s="21" t="s">
        <v>4</v>
      </c>
      <c r="F478" s="21" t="s">
        <v>5</v>
      </c>
      <c r="G478" s="21" t="s">
        <v>6</v>
      </c>
      <c r="H478" s="21" t="s">
        <v>35</v>
      </c>
      <c r="I478" s="21" t="s">
        <v>36</v>
      </c>
      <c r="J478" s="21" t="s">
        <v>9</v>
      </c>
      <c r="K478" s="21" t="s">
        <v>301</v>
      </c>
      <c r="L478" s="21" t="s">
        <v>314</v>
      </c>
      <c r="M478" s="21" t="s">
        <v>15</v>
      </c>
      <c r="N478" s="54">
        <v>231084</v>
      </c>
      <c r="O478" s="54">
        <v>0</v>
      </c>
      <c r="P478" s="54">
        <v>0</v>
      </c>
      <c r="Q478" s="54">
        <v>231084</v>
      </c>
      <c r="R478" s="54">
        <v>81540.17</v>
      </c>
      <c r="S478" s="54">
        <v>149543.82999999999</v>
      </c>
      <c r="T478" s="54">
        <v>149543.82999999999</v>
      </c>
      <c r="U478" s="54">
        <v>81540.17</v>
      </c>
      <c r="V478" s="54">
        <v>81540.17</v>
      </c>
      <c r="W478" s="54">
        <v>0</v>
      </c>
    </row>
    <row r="479" spans="1:23" outlineLevel="2" x14ac:dyDescent="0.2">
      <c r="A479" s="21" t="s">
        <v>0</v>
      </c>
      <c r="B479" s="21" t="s">
        <v>39</v>
      </c>
      <c r="C479" s="21" t="s">
        <v>58</v>
      </c>
      <c r="D479" s="21" t="s">
        <v>59</v>
      </c>
      <c r="E479" s="21" t="s">
        <v>60</v>
      </c>
      <c r="F479" s="21" t="s">
        <v>5</v>
      </c>
      <c r="G479" s="21" t="s">
        <v>6</v>
      </c>
      <c r="H479" s="21" t="s">
        <v>35</v>
      </c>
      <c r="I479" s="21" t="s">
        <v>36</v>
      </c>
      <c r="J479" s="21" t="s">
        <v>9</v>
      </c>
      <c r="K479" s="21" t="s">
        <v>301</v>
      </c>
      <c r="L479" s="21" t="s">
        <v>306</v>
      </c>
      <c r="M479" s="21" t="s">
        <v>15</v>
      </c>
      <c r="N479" s="54">
        <v>9804</v>
      </c>
      <c r="O479" s="54">
        <v>5772</v>
      </c>
      <c r="P479" s="54">
        <v>0</v>
      </c>
      <c r="Q479" s="54">
        <v>15576</v>
      </c>
      <c r="R479" s="54">
        <v>5930.93</v>
      </c>
      <c r="S479" s="54">
        <v>9645.07</v>
      </c>
      <c r="T479" s="54">
        <v>9645.07</v>
      </c>
      <c r="U479" s="54">
        <v>5930.93</v>
      </c>
      <c r="V479" s="54">
        <v>5930.93</v>
      </c>
      <c r="W479" s="54">
        <v>0</v>
      </c>
    </row>
    <row r="480" spans="1:23" outlineLevel="2" x14ac:dyDescent="0.2">
      <c r="A480" s="21" t="s">
        <v>0</v>
      </c>
      <c r="B480" s="21" t="s">
        <v>31</v>
      </c>
      <c r="C480" s="21" t="s">
        <v>79</v>
      </c>
      <c r="D480" s="21" t="s">
        <v>131</v>
      </c>
      <c r="E480" s="21" t="s">
        <v>132</v>
      </c>
      <c r="F480" s="21" t="s">
        <v>5</v>
      </c>
      <c r="G480" s="21" t="s">
        <v>6</v>
      </c>
      <c r="H480" s="21" t="s">
        <v>35</v>
      </c>
      <c r="I480" s="21" t="s">
        <v>36</v>
      </c>
      <c r="J480" s="21" t="s">
        <v>9</v>
      </c>
      <c r="K480" s="21" t="s">
        <v>301</v>
      </c>
      <c r="L480" s="21" t="s">
        <v>308</v>
      </c>
      <c r="M480" s="21" t="s">
        <v>12</v>
      </c>
      <c r="N480" s="54">
        <v>0</v>
      </c>
      <c r="O480" s="54">
        <v>19608</v>
      </c>
      <c r="P480" s="54">
        <v>0</v>
      </c>
      <c r="Q480" s="54">
        <v>19608</v>
      </c>
      <c r="R480" s="54">
        <v>9204.8700000000008</v>
      </c>
      <c r="S480" s="54">
        <v>10403.129999999999</v>
      </c>
      <c r="T480" s="54">
        <v>10403.129999999999</v>
      </c>
      <c r="U480" s="54">
        <v>9204.8700000000008</v>
      </c>
      <c r="V480" s="54">
        <v>9204.8700000000008</v>
      </c>
      <c r="W480" s="54">
        <v>0</v>
      </c>
    </row>
    <row r="481" spans="1:23" outlineLevel="2" x14ac:dyDescent="0.2">
      <c r="A481" s="21" t="s">
        <v>0</v>
      </c>
      <c r="B481" s="21" t="s">
        <v>1</v>
      </c>
      <c r="C481" s="21" t="s">
        <v>2</v>
      </c>
      <c r="D481" s="21" t="s">
        <v>20</v>
      </c>
      <c r="E481" s="21" t="s">
        <v>21</v>
      </c>
      <c r="F481" s="21" t="s">
        <v>5</v>
      </c>
      <c r="G481" s="21" t="s">
        <v>6</v>
      </c>
      <c r="H481" s="21" t="s">
        <v>35</v>
      </c>
      <c r="I481" s="21" t="s">
        <v>36</v>
      </c>
      <c r="J481" s="21" t="s">
        <v>9</v>
      </c>
      <c r="K481" s="21" t="s">
        <v>301</v>
      </c>
      <c r="L481" s="21" t="s">
        <v>314</v>
      </c>
      <c r="M481" s="21" t="s">
        <v>15</v>
      </c>
      <c r="N481" s="54">
        <v>1100460</v>
      </c>
      <c r="O481" s="54">
        <v>99110.399999999994</v>
      </c>
      <c r="P481" s="54">
        <v>0</v>
      </c>
      <c r="Q481" s="54">
        <v>1199570.3999999999</v>
      </c>
      <c r="R481" s="54">
        <v>450549.83</v>
      </c>
      <c r="S481" s="54">
        <v>626252.17000000004</v>
      </c>
      <c r="T481" s="54">
        <v>626252.17000000004</v>
      </c>
      <c r="U481" s="54">
        <v>573318.23</v>
      </c>
      <c r="V481" s="54">
        <v>573318.23</v>
      </c>
      <c r="W481" s="54">
        <v>122768.4</v>
      </c>
    </row>
    <row r="482" spans="1:23" outlineLevel="2" x14ac:dyDescent="0.2">
      <c r="A482" s="21" t="s">
        <v>0</v>
      </c>
      <c r="B482" s="21" t="s">
        <v>31</v>
      </c>
      <c r="C482" s="21" t="s">
        <v>79</v>
      </c>
      <c r="D482" s="21" t="s">
        <v>127</v>
      </c>
      <c r="E482" s="21" t="s">
        <v>128</v>
      </c>
      <c r="F482" s="21" t="s">
        <v>5</v>
      </c>
      <c r="G482" s="21" t="s">
        <v>6</v>
      </c>
      <c r="H482" s="21" t="s">
        <v>35</v>
      </c>
      <c r="I482" s="21" t="s">
        <v>36</v>
      </c>
      <c r="J482" s="21" t="s">
        <v>9</v>
      </c>
      <c r="K482" s="21" t="s">
        <v>301</v>
      </c>
      <c r="L482" s="21" t="s">
        <v>308</v>
      </c>
      <c r="M482" s="21" t="s">
        <v>12</v>
      </c>
      <c r="N482" s="54">
        <v>0</v>
      </c>
      <c r="O482" s="54">
        <v>9804</v>
      </c>
      <c r="P482" s="54">
        <v>0</v>
      </c>
      <c r="Q482" s="54">
        <v>9804</v>
      </c>
      <c r="R482" s="54">
        <v>3676.5</v>
      </c>
      <c r="S482" s="54">
        <v>6127.5</v>
      </c>
      <c r="T482" s="54">
        <v>6127.5</v>
      </c>
      <c r="U482" s="54">
        <v>3676.5</v>
      </c>
      <c r="V482" s="54">
        <v>3676.5</v>
      </c>
      <c r="W482" s="54">
        <v>0</v>
      </c>
    </row>
    <row r="483" spans="1:23" outlineLevel="2" x14ac:dyDescent="0.2">
      <c r="A483" s="21" t="s">
        <v>0</v>
      </c>
      <c r="B483" s="21" t="s">
        <v>39</v>
      </c>
      <c r="C483" s="21" t="s">
        <v>58</v>
      </c>
      <c r="D483" s="21" t="s">
        <v>143</v>
      </c>
      <c r="E483" s="21" t="s">
        <v>144</v>
      </c>
      <c r="F483" s="21" t="s">
        <v>5</v>
      </c>
      <c r="G483" s="21" t="s">
        <v>6</v>
      </c>
      <c r="H483" s="21" t="s">
        <v>35</v>
      </c>
      <c r="I483" s="21" t="s">
        <v>36</v>
      </c>
      <c r="J483" s="21" t="s">
        <v>9</v>
      </c>
      <c r="K483" s="21" t="s">
        <v>301</v>
      </c>
      <c r="L483" s="21" t="s">
        <v>306</v>
      </c>
      <c r="M483" s="21" t="s">
        <v>15</v>
      </c>
      <c r="N483" s="54">
        <v>0</v>
      </c>
      <c r="O483" s="54">
        <v>14478</v>
      </c>
      <c r="P483" s="54">
        <v>0</v>
      </c>
      <c r="Q483" s="54">
        <v>14478</v>
      </c>
      <c r="R483" s="54">
        <v>11827.54</v>
      </c>
      <c r="S483" s="54">
        <v>2650.46</v>
      </c>
      <c r="T483" s="54">
        <v>2650.46</v>
      </c>
      <c r="U483" s="54">
        <v>11827.54</v>
      </c>
      <c r="V483" s="54">
        <v>11827.54</v>
      </c>
      <c r="W483" s="54">
        <v>0</v>
      </c>
    </row>
    <row r="484" spans="1:23" outlineLevel="2" x14ac:dyDescent="0.2">
      <c r="A484" s="21" t="s">
        <v>0</v>
      </c>
      <c r="B484" s="21" t="s">
        <v>1</v>
      </c>
      <c r="C484" s="21" t="s">
        <v>44</v>
      </c>
      <c r="D484" s="21" t="s">
        <v>45</v>
      </c>
      <c r="E484" s="21" t="s">
        <v>46</v>
      </c>
      <c r="F484" s="21" t="s">
        <v>5</v>
      </c>
      <c r="G484" s="21" t="s">
        <v>6</v>
      </c>
      <c r="H484" s="21" t="s">
        <v>35</v>
      </c>
      <c r="I484" s="21" t="s">
        <v>36</v>
      </c>
      <c r="J484" s="21" t="s">
        <v>9</v>
      </c>
      <c r="K484" s="21" t="s">
        <v>301</v>
      </c>
      <c r="L484" s="21" t="s">
        <v>313</v>
      </c>
      <c r="M484" s="21" t="s">
        <v>15</v>
      </c>
      <c r="N484" s="54">
        <v>252372</v>
      </c>
      <c r="O484" s="54">
        <v>27305</v>
      </c>
      <c r="P484" s="54">
        <v>0</v>
      </c>
      <c r="Q484" s="54">
        <v>279677</v>
      </c>
      <c r="R484" s="54">
        <v>57.63</v>
      </c>
      <c r="S484" s="54">
        <v>236482.37</v>
      </c>
      <c r="T484" s="54">
        <v>236482.37</v>
      </c>
      <c r="U484" s="54">
        <v>43194.63</v>
      </c>
      <c r="V484" s="54">
        <v>43194.63</v>
      </c>
      <c r="W484" s="54">
        <v>43137</v>
      </c>
    </row>
    <row r="485" spans="1:23" outlineLevel="2" x14ac:dyDescent="0.2">
      <c r="A485" s="21" t="s">
        <v>0</v>
      </c>
      <c r="B485" s="21" t="s">
        <v>1</v>
      </c>
      <c r="C485" s="21" t="s">
        <v>16</v>
      </c>
      <c r="D485" s="21" t="s">
        <v>62</v>
      </c>
      <c r="E485" s="21" t="s">
        <v>63</v>
      </c>
      <c r="F485" s="21" t="s">
        <v>5</v>
      </c>
      <c r="G485" s="21" t="s">
        <v>6</v>
      </c>
      <c r="H485" s="21" t="s">
        <v>35</v>
      </c>
      <c r="I485" s="21" t="s">
        <v>36</v>
      </c>
      <c r="J485" s="21" t="s">
        <v>9</v>
      </c>
      <c r="K485" s="21" t="s">
        <v>301</v>
      </c>
      <c r="L485" s="21" t="s">
        <v>311</v>
      </c>
      <c r="M485" s="21" t="s">
        <v>15</v>
      </c>
      <c r="N485" s="54">
        <v>42072</v>
      </c>
      <c r="O485" s="54">
        <v>30000</v>
      </c>
      <c r="P485" s="54">
        <v>0</v>
      </c>
      <c r="Q485" s="54">
        <v>72072</v>
      </c>
      <c r="R485" s="54">
        <v>13018</v>
      </c>
      <c r="S485" s="54">
        <v>59054</v>
      </c>
      <c r="T485" s="54">
        <v>59054</v>
      </c>
      <c r="U485" s="54">
        <v>13018</v>
      </c>
      <c r="V485" s="54">
        <v>13018</v>
      </c>
      <c r="W485" s="54">
        <v>0</v>
      </c>
    </row>
    <row r="486" spans="1:23" outlineLevel="2" x14ac:dyDescent="0.2">
      <c r="A486" s="21" t="s">
        <v>0</v>
      </c>
      <c r="B486" s="21" t="s">
        <v>31</v>
      </c>
      <c r="C486" s="21" t="s">
        <v>79</v>
      </c>
      <c r="D486" s="21" t="s">
        <v>80</v>
      </c>
      <c r="E486" s="21" t="s">
        <v>81</v>
      </c>
      <c r="F486" s="21" t="s">
        <v>5</v>
      </c>
      <c r="G486" s="21" t="s">
        <v>6</v>
      </c>
      <c r="H486" s="21" t="s">
        <v>35</v>
      </c>
      <c r="I486" s="21" t="s">
        <v>36</v>
      </c>
      <c r="J486" s="21" t="s">
        <v>9</v>
      </c>
      <c r="K486" s="21" t="s">
        <v>301</v>
      </c>
      <c r="L486" s="21" t="s">
        <v>308</v>
      </c>
      <c r="M486" s="21" t="s">
        <v>12</v>
      </c>
      <c r="N486" s="54">
        <v>0</v>
      </c>
      <c r="O486" s="54">
        <v>19608</v>
      </c>
      <c r="P486" s="54">
        <v>0</v>
      </c>
      <c r="Q486" s="54">
        <v>19608</v>
      </c>
      <c r="R486" s="54">
        <v>12963.07</v>
      </c>
      <c r="S486" s="54">
        <v>6644.93</v>
      </c>
      <c r="T486" s="54">
        <v>6644.93</v>
      </c>
      <c r="U486" s="54">
        <v>12963.07</v>
      </c>
      <c r="V486" s="54">
        <v>12963.07</v>
      </c>
      <c r="W486" s="54">
        <v>0</v>
      </c>
    </row>
    <row r="487" spans="1:23" outlineLevel="2" x14ac:dyDescent="0.2">
      <c r="A487" s="21" t="s">
        <v>0</v>
      </c>
      <c r="B487" s="21" t="s">
        <v>39</v>
      </c>
      <c r="C487" s="21" t="s">
        <v>40</v>
      </c>
      <c r="D487" s="21" t="s">
        <v>41</v>
      </c>
      <c r="E487" s="21" t="s">
        <v>42</v>
      </c>
      <c r="F487" s="21" t="s">
        <v>5</v>
      </c>
      <c r="G487" s="21" t="s">
        <v>6</v>
      </c>
      <c r="H487" s="21" t="s">
        <v>35</v>
      </c>
      <c r="I487" s="21" t="s">
        <v>36</v>
      </c>
      <c r="J487" s="21" t="s">
        <v>9</v>
      </c>
      <c r="K487" s="21" t="s">
        <v>301</v>
      </c>
      <c r="L487" s="21" t="s">
        <v>307</v>
      </c>
      <c r="M487" s="21" t="s">
        <v>15</v>
      </c>
      <c r="N487" s="54">
        <v>164400</v>
      </c>
      <c r="O487" s="54">
        <v>0</v>
      </c>
      <c r="P487" s="54">
        <v>0</v>
      </c>
      <c r="Q487" s="54">
        <v>164400</v>
      </c>
      <c r="R487" s="54">
        <v>24450</v>
      </c>
      <c r="S487" s="54">
        <v>109950</v>
      </c>
      <c r="T487" s="54">
        <v>109950</v>
      </c>
      <c r="U487" s="54">
        <v>54450</v>
      </c>
      <c r="V487" s="54">
        <v>54450</v>
      </c>
      <c r="W487" s="54">
        <v>30000</v>
      </c>
    </row>
    <row r="488" spans="1:23" outlineLevel="2" x14ac:dyDescent="0.2">
      <c r="A488" s="21" t="s">
        <v>0</v>
      </c>
      <c r="B488" s="21" t="s">
        <v>31</v>
      </c>
      <c r="C488" s="21" t="s">
        <v>32</v>
      </c>
      <c r="D488" s="21" t="s">
        <v>141</v>
      </c>
      <c r="E488" s="21" t="s">
        <v>142</v>
      </c>
      <c r="F488" s="21" t="s">
        <v>5</v>
      </c>
      <c r="G488" s="21" t="s">
        <v>6</v>
      </c>
      <c r="H488" s="21" t="s">
        <v>35</v>
      </c>
      <c r="I488" s="21" t="s">
        <v>36</v>
      </c>
      <c r="J488" s="21" t="s">
        <v>9</v>
      </c>
      <c r="K488" s="21" t="s">
        <v>318</v>
      </c>
      <c r="L488" s="21" t="s">
        <v>320</v>
      </c>
      <c r="M488" s="21" t="s">
        <v>15</v>
      </c>
      <c r="N488" s="54">
        <v>9353.16</v>
      </c>
      <c r="O488" s="54">
        <v>0</v>
      </c>
      <c r="P488" s="54">
        <v>0</v>
      </c>
      <c r="Q488" s="54">
        <v>9353.16</v>
      </c>
      <c r="R488" s="54">
        <v>0</v>
      </c>
      <c r="S488" s="54">
        <v>1320</v>
      </c>
      <c r="T488" s="54">
        <v>1320</v>
      </c>
      <c r="U488" s="54">
        <v>8033.16</v>
      </c>
      <c r="V488" s="54">
        <v>8033.16</v>
      </c>
      <c r="W488" s="54">
        <v>8033.16</v>
      </c>
    </row>
    <row r="489" spans="1:23" outlineLevel="2" x14ac:dyDescent="0.2">
      <c r="A489" s="21" t="s">
        <v>0</v>
      </c>
      <c r="B489" s="21" t="s">
        <v>39</v>
      </c>
      <c r="C489" s="21" t="s">
        <v>70</v>
      </c>
      <c r="D489" s="21" t="s">
        <v>71</v>
      </c>
      <c r="E489" s="21" t="s">
        <v>72</v>
      </c>
      <c r="F489" s="21" t="s">
        <v>5</v>
      </c>
      <c r="G489" s="21" t="s">
        <v>6</v>
      </c>
      <c r="H489" s="21" t="s">
        <v>35</v>
      </c>
      <c r="I489" s="21" t="s">
        <v>36</v>
      </c>
      <c r="J489" s="21" t="s">
        <v>9</v>
      </c>
      <c r="K489" s="21" t="s">
        <v>318</v>
      </c>
      <c r="L489" s="21" t="s">
        <v>319</v>
      </c>
      <c r="M489" s="21" t="s">
        <v>15</v>
      </c>
      <c r="N489" s="54">
        <v>6990.7</v>
      </c>
      <c r="O489" s="54">
        <v>0</v>
      </c>
      <c r="P489" s="54">
        <v>0</v>
      </c>
      <c r="Q489" s="54">
        <v>6990.7</v>
      </c>
      <c r="R489" s="54">
        <v>0</v>
      </c>
      <c r="S489" s="54">
        <v>319.67</v>
      </c>
      <c r="T489" s="54">
        <v>319.67</v>
      </c>
      <c r="U489" s="54">
        <v>6671.03</v>
      </c>
      <c r="V489" s="54">
        <v>6671.03</v>
      </c>
      <c r="W489" s="54">
        <v>6671.03</v>
      </c>
    </row>
    <row r="490" spans="1:23" outlineLevel="2" x14ac:dyDescent="0.2">
      <c r="A490" s="21" t="s">
        <v>0</v>
      </c>
      <c r="B490" s="21" t="s">
        <v>31</v>
      </c>
      <c r="C490" s="21" t="s">
        <v>49</v>
      </c>
      <c r="D490" s="21" t="s">
        <v>50</v>
      </c>
      <c r="E490" s="21" t="s">
        <v>51</v>
      </c>
      <c r="F490" s="21" t="s">
        <v>5</v>
      </c>
      <c r="G490" s="21" t="s">
        <v>6</v>
      </c>
      <c r="H490" s="21" t="s">
        <v>35</v>
      </c>
      <c r="I490" s="21" t="s">
        <v>36</v>
      </c>
      <c r="J490" s="21" t="s">
        <v>9</v>
      </c>
      <c r="K490" s="21" t="s">
        <v>318</v>
      </c>
      <c r="L490" s="21" t="s">
        <v>323</v>
      </c>
      <c r="M490" s="21" t="s">
        <v>15</v>
      </c>
      <c r="N490" s="54">
        <v>5025.43</v>
      </c>
      <c r="O490" s="54">
        <v>0</v>
      </c>
      <c r="P490" s="54">
        <v>0</v>
      </c>
      <c r="Q490" s="54">
        <v>5025.43</v>
      </c>
      <c r="R490" s="54">
        <v>0</v>
      </c>
      <c r="S490" s="54">
        <v>325</v>
      </c>
      <c r="T490" s="54">
        <v>325</v>
      </c>
      <c r="U490" s="54">
        <v>4700.43</v>
      </c>
      <c r="V490" s="54">
        <v>4700.43</v>
      </c>
      <c r="W490" s="54">
        <v>4700.43</v>
      </c>
    </row>
    <row r="491" spans="1:23" outlineLevel="2" x14ac:dyDescent="0.2">
      <c r="A491" s="21" t="s">
        <v>0</v>
      </c>
      <c r="B491" s="21" t="s">
        <v>1</v>
      </c>
      <c r="C491" s="21" t="s">
        <v>16</v>
      </c>
      <c r="D491" s="21" t="s">
        <v>17</v>
      </c>
      <c r="E491" s="21" t="s">
        <v>18</v>
      </c>
      <c r="F491" s="21" t="s">
        <v>5</v>
      </c>
      <c r="G491" s="21" t="s">
        <v>6</v>
      </c>
      <c r="H491" s="21" t="s">
        <v>35</v>
      </c>
      <c r="I491" s="21" t="s">
        <v>36</v>
      </c>
      <c r="J491" s="21" t="s">
        <v>9</v>
      </c>
      <c r="K491" s="21" t="s">
        <v>318</v>
      </c>
      <c r="L491" s="21" t="s">
        <v>326</v>
      </c>
      <c r="M491" s="21" t="s">
        <v>15</v>
      </c>
      <c r="N491" s="54">
        <v>5240.82</v>
      </c>
      <c r="O491" s="54">
        <v>4431</v>
      </c>
      <c r="P491" s="54">
        <v>0</v>
      </c>
      <c r="Q491" s="54">
        <v>9671.82</v>
      </c>
      <c r="R491" s="54">
        <v>0</v>
      </c>
      <c r="S491" s="54">
        <v>9671</v>
      </c>
      <c r="T491" s="54">
        <v>9671</v>
      </c>
      <c r="U491" s="54">
        <v>0.82</v>
      </c>
      <c r="V491" s="54">
        <v>0.82</v>
      </c>
      <c r="W491" s="54">
        <v>0.82</v>
      </c>
    </row>
    <row r="492" spans="1:23" outlineLevel="2" x14ac:dyDescent="0.2">
      <c r="A492" s="21" t="s">
        <v>0</v>
      </c>
      <c r="B492" s="21" t="s">
        <v>1</v>
      </c>
      <c r="C492" s="21" t="s">
        <v>16</v>
      </c>
      <c r="D492" s="21" t="s">
        <v>62</v>
      </c>
      <c r="E492" s="21" t="s">
        <v>63</v>
      </c>
      <c r="F492" s="21" t="s">
        <v>5</v>
      </c>
      <c r="G492" s="21" t="s">
        <v>6</v>
      </c>
      <c r="H492" s="21" t="s">
        <v>35</v>
      </c>
      <c r="I492" s="21" t="s">
        <v>36</v>
      </c>
      <c r="J492" s="21" t="s">
        <v>9</v>
      </c>
      <c r="K492" s="21" t="s">
        <v>318</v>
      </c>
      <c r="L492" s="21" t="s">
        <v>326</v>
      </c>
      <c r="M492" s="21" t="s">
        <v>15</v>
      </c>
      <c r="N492" s="54">
        <v>1765.1</v>
      </c>
      <c r="O492" s="54">
        <v>0</v>
      </c>
      <c r="P492" s="54">
        <v>0</v>
      </c>
      <c r="Q492" s="54">
        <v>1765.1</v>
      </c>
      <c r="R492" s="54">
        <v>0</v>
      </c>
      <c r="S492" s="54">
        <v>33.33</v>
      </c>
      <c r="T492" s="54">
        <v>33.33</v>
      </c>
      <c r="U492" s="54">
        <v>1731.77</v>
      </c>
      <c r="V492" s="54">
        <v>1731.77</v>
      </c>
      <c r="W492" s="54">
        <v>1731.77</v>
      </c>
    </row>
    <row r="493" spans="1:23" outlineLevel="2" x14ac:dyDescent="0.2">
      <c r="A493" s="21" t="s">
        <v>0</v>
      </c>
      <c r="B493" s="21" t="s">
        <v>31</v>
      </c>
      <c r="C493" s="21" t="s">
        <v>107</v>
      </c>
      <c r="D493" s="21" t="s">
        <v>108</v>
      </c>
      <c r="E493" s="21" t="s">
        <v>109</v>
      </c>
      <c r="F493" s="21" t="s">
        <v>5</v>
      </c>
      <c r="G493" s="21" t="s">
        <v>6</v>
      </c>
      <c r="H493" s="21" t="s">
        <v>35</v>
      </c>
      <c r="I493" s="21" t="s">
        <v>36</v>
      </c>
      <c r="J493" s="21" t="s">
        <v>9</v>
      </c>
      <c r="K493" s="21" t="s">
        <v>318</v>
      </c>
      <c r="L493" s="21" t="s">
        <v>322</v>
      </c>
      <c r="M493" s="21" t="s">
        <v>15</v>
      </c>
      <c r="N493" s="54">
        <v>4680.32</v>
      </c>
      <c r="O493" s="54">
        <v>0</v>
      </c>
      <c r="P493" s="54">
        <v>0</v>
      </c>
      <c r="Q493" s="54">
        <v>4680.32</v>
      </c>
      <c r="R493" s="54">
        <v>0</v>
      </c>
      <c r="S493" s="54">
        <v>654</v>
      </c>
      <c r="T493" s="54">
        <v>654</v>
      </c>
      <c r="U493" s="54">
        <v>4026.32</v>
      </c>
      <c r="V493" s="54">
        <v>4026.32</v>
      </c>
      <c r="W493" s="54">
        <v>4026.32</v>
      </c>
    </row>
    <row r="494" spans="1:23" outlineLevel="2" x14ac:dyDescent="0.2">
      <c r="A494" s="21" t="s">
        <v>0</v>
      </c>
      <c r="B494" s="21" t="s">
        <v>31</v>
      </c>
      <c r="C494" s="21" t="s">
        <v>32</v>
      </c>
      <c r="D494" s="21" t="s">
        <v>33</v>
      </c>
      <c r="E494" s="21" t="s">
        <v>34</v>
      </c>
      <c r="F494" s="21" t="s">
        <v>5</v>
      </c>
      <c r="G494" s="21" t="s">
        <v>6</v>
      </c>
      <c r="H494" s="21" t="s">
        <v>35</v>
      </c>
      <c r="I494" s="21" t="s">
        <v>36</v>
      </c>
      <c r="J494" s="21" t="s">
        <v>9</v>
      </c>
      <c r="K494" s="21" t="s">
        <v>318</v>
      </c>
      <c r="L494" s="21" t="s">
        <v>320</v>
      </c>
      <c r="M494" s="21" t="s">
        <v>15</v>
      </c>
      <c r="N494" s="54">
        <v>5286.67</v>
      </c>
      <c r="O494" s="54">
        <v>0</v>
      </c>
      <c r="P494" s="54">
        <v>0</v>
      </c>
      <c r="Q494" s="54">
        <v>5286.67</v>
      </c>
      <c r="R494" s="54">
        <v>0</v>
      </c>
      <c r="S494" s="54">
        <v>223.2</v>
      </c>
      <c r="T494" s="54">
        <v>223.2</v>
      </c>
      <c r="U494" s="54">
        <v>5063.47</v>
      </c>
      <c r="V494" s="54">
        <v>5063.47</v>
      </c>
      <c r="W494" s="54">
        <v>5063.47</v>
      </c>
    </row>
    <row r="495" spans="1:23" outlineLevel="2" x14ac:dyDescent="0.2">
      <c r="A495" s="21" t="s">
        <v>0</v>
      </c>
      <c r="B495" s="21" t="s">
        <v>39</v>
      </c>
      <c r="C495" s="21" t="s">
        <v>58</v>
      </c>
      <c r="D495" s="21" t="s">
        <v>119</v>
      </c>
      <c r="E495" s="21" t="s">
        <v>120</v>
      </c>
      <c r="F495" s="21" t="s">
        <v>5</v>
      </c>
      <c r="G495" s="21" t="s">
        <v>6</v>
      </c>
      <c r="H495" s="21" t="s">
        <v>35</v>
      </c>
      <c r="I495" s="21" t="s">
        <v>36</v>
      </c>
      <c r="J495" s="21" t="s">
        <v>9</v>
      </c>
      <c r="K495" s="21" t="s">
        <v>318</v>
      </c>
      <c r="L495" s="21" t="s">
        <v>325</v>
      </c>
      <c r="M495" s="21" t="s">
        <v>15</v>
      </c>
      <c r="N495" s="54">
        <v>3556.91</v>
      </c>
      <c r="O495" s="54">
        <v>0</v>
      </c>
      <c r="P495" s="54">
        <v>0</v>
      </c>
      <c r="Q495" s="54">
        <v>3556.91</v>
      </c>
      <c r="R495" s="54">
        <v>0</v>
      </c>
      <c r="S495" s="54">
        <v>200</v>
      </c>
      <c r="T495" s="54">
        <v>200</v>
      </c>
      <c r="U495" s="54">
        <v>3356.91</v>
      </c>
      <c r="V495" s="54">
        <v>3356.91</v>
      </c>
      <c r="W495" s="54">
        <v>3356.91</v>
      </c>
    </row>
    <row r="496" spans="1:23" outlineLevel="2" x14ac:dyDescent="0.2">
      <c r="A496" s="21" t="s">
        <v>0</v>
      </c>
      <c r="B496" s="21" t="s">
        <v>31</v>
      </c>
      <c r="C496" s="21" t="s">
        <v>32</v>
      </c>
      <c r="D496" s="21" t="s">
        <v>123</v>
      </c>
      <c r="E496" s="21" t="s">
        <v>124</v>
      </c>
      <c r="F496" s="21" t="s">
        <v>5</v>
      </c>
      <c r="G496" s="21" t="s">
        <v>6</v>
      </c>
      <c r="H496" s="21" t="s">
        <v>35</v>
      </c>
      <c r="I496" s="21" t="s">
        <v>36</v>
      </c>
      <c r="J496" s="21" t="s">
        <v>9</v>
      </c>
      <c r="K496" s="21" t="s">
        <v>318</v>
      </c>
      <c r="L496" s="21" t="s">
        <v>320</v>
      </c>
      <c r="M496" s="21" t="s">
        <v>15</v>
      </c>
      <c r="N496" s="54">
        <v>3635.4</v>
      </c>
      <c r="O496" s="54">
        <v>0</v>
      </c>
      <c r="P496" s="54">
        <v>0</v>
      </c>
      <c r="Q496" s="54">
        <v>3635.4</v>
      </c>
      <c r="R496" s="54">
        <v>0</v>
      </c>
      <c r="S496" s="54">
        <v>214.5</v>
      </c>
      <c r="T496" s="54">
        <v>214.5</v>
      </c>
      <c r="U496" s="54">
        <v>3420.9</v>
      </c>
      <c r="V496" s="54">
        <v>3420.9</v>
      </c>
      <c r="W496" s="54">
        <v>3420.9</v>
      </c>
    </row>
    <row r="497" spans="1:23" outlineLevel="2" x14ac:dyDescent="0.2">
      <c r="A497" s="21" t="s">
        <v>0</v>
      </c>
      <c r="B497" s="21" t="s">
        <v>1</v>
      </c>
      <c r="C497" s="21" t="s">
        <v>99</v>
      </c>
      <c r="D497" s="21" t="s">
        <v>100</v>
      </c>
      <c r="E497" s="21" t="s">
        <v>101</v>
      </c>
      <c r="F497" s="21" t="s">
        <v>5</v>
      </c>
      <c r="G497" s="21" t="s">
        <v>6</v>
      </c>
      <c r="H497" s="21" t="s">
        <v>35</v>
      </c>
      <c r="I497" s="21" t="s">
        <v>36</v>
      </c>
      <c r="J497" s="21" t="s">
        <v>9</v>
      </c>
      <c r="K497" s="21" t="s">
        <v>318</v>
      </c>
      <c r="L497" s="21" t="s">
        <v>324</v>
      </c>
      <c r="M497" s="21" t="s">
        <v>15</v>
      </c>
      <c r="N497" s="54">
        <v>1678.99</v>
      </c>
      <c r="O497" s="54">
        <v>0</v>
      </c>
      <c r="P497" s="54">
        <v>0</v>
      </c>
      <c r="Q497" s="54">
        <v>1678.99</v>
      </c>
      <c r="R497" s="54">
        <v>0</v>
      </c>
      <c r="S497" s="54">
        <v>729.07</v>
      </c>
      <c r="T497" s="54">
        <v>729.07</v>
      </c>
      <c r="U497" s="54">
        <v>949.92</v>
      </c>
      <c r="V497" s="54">
        <v>949.92</v>
      </c>
      <c r="W497" s="54">
        <v>949.92</v>
      </c>
    </row>
    <row r="498" spans="1:23" outlineLevel="2" x14ac:dyDescent="0.2">
      <c r="A498" s="21" t="s">
        <v>0</v>
      </c>
      <c r="B498" s="21" t="s">
        <v>1</v>
      </c>
      <c r="C498" s="21" t="s">
        <v>16</v>
      </c>
      <c r="D498" s="21" t="s">
        <v>103</v>
      </c>
      <c r="E498" s="21" t="s">
        <v>104</v>
      </c>
      <c r="F498" s="21" t="s">
        <v>5</v>
      </c>
      <c r="G498" s="21" t="s">
        <v>6</v>
      </c>
      <c r="H498" s="21" t="s">
        <v>35</v>
      </c>
      <c r="I498" s="21" t="s">
        <v>36</v>
      </c>
      <c r="J498" s="21" t="s">
        <v>9</v>
      </c>
      <c r="K498" s="21" t="s">
        <v>318</v>
      </c>
      <c r="L498" s="21" t="s">
        <v>326</v>
      </c>
      <c r="M498" s="21" t="s">
        <v>15</v>
      </c>
      <c r="N498" s="54">
        <v>8299.35</v>
      </c>
      <c r="O498" s="54">
        <v>0</v>
      </c>
      <c r="P498" s="54">
        <v>0</v>
      </c>
      <c r="Q498" s="54">
        <v>8299.35</v>
      </c>
      <c r="R498" s="54">
        <v>0</v>
      </c>
      <c r="S498" s="54">
        <v>0</v>
      </c>
      <c r="T498" s="54">
        <v>0</v>
      </c>
      <c r="U498" s="54">
        <v>8299.35</v>
      </c>
      <c r="V498" s="54">
        <v>8299.35</v>
      </c>
      <c r="W498" s="54">
        <v>8299.35</v>
      </c>
    </row>
    <row r="499" spans="1:23" outlineLevel="2" x14ac:dyDescent="0.2">
      <c r="A499" s="21" t="s">
        <v>0</v>
      </c>
      <c r="B499" s="21" t="s">
        <v>1</v>
      </c>
      <c r="C499" s="21" t="s">
        <v>16</v>
      </c>
      <c r="D499" s="21" t="s">
        <v>64</v>
      </c>
      <c r="E499" s="21" t="s">
        <v>65</v>
      </c>
      <c r="F499" s="21" t="s">
        <v>5</v>
      </c>
      <c r="G499" s="21" t="s">
        <v>6</v>
      </c>
      <c r="H499" s="21" t="s">
        <v>35</v>
      </c>
      <c r="I499" s="21" t="s">
        <v>36</v>
      </c>
      <c r="J499" s="21" t="s">
        <v>9</v>
      </c>
      <c r="K499" s="21" t="s">
        <v>318</v>
      </c>
      <c r="L499" s="21" t="s">
        <v>326</v>
      </c>
      <c r="M499" s="21" t="s">
        <v>15</v>
      </c>
      <c r="N499" s="54">
        <v>439.33</v>
      </c>
      <c r="O499" s="54">
        <v>1000</v>
      </c>
      <c r="P499" s="54">
        <v>0</v>
      </c>
      <c r="Q499" s="54">
        <v>1439.33</v>
      </c>
      <c r="R499" s="54">
        <v>0</v>
      </c>
      <c r="S499" s="54">
        <v>1200</v>
      </c>
      <c r="T499" s="54">
        <v>1200</v>
      </c>
      <c r="U499" s="54">
        <v>239.33</v>
      </c>
      <c r="V499" s="54">
        <v>239.33</v>
      </c>
      <c r="W499" s="54">
        <v>239.33</v>
      </c>
    </row>
    <row r="500" spans="1:23" outlineLevel="2" x14ac:dyDescent="0.2">
      <c r="A500" s="21" t="s">
        <v>0</v>
      </c>
      <c r="B500" s="21" t="s">
        <v>39</v>
      </c>
      <c r="C500" s="21" t="s">
        <v>70</v>
      </c>
      <c r="D500" s="21" t="s">
        <v>89</v>
      </c>
      <c r="E500" s="21" t="s">
        <v>90</v>
      </c>
      <c r="F500" s="21" t="s">
        <v>5</v>
      </c>
      <c r="G500" s="21" t="s">
        <v>6</v>
      </c>
      <c r="H500" s="21" t="s">
        <v>35</v>
      </c>
      <c r="I500" s="21" t="s">
        <v>36</v>
      </c>
      <c r="J500" s="21" t="s">
        <v>9</v>
      </c>
      <c r="K500" s="21" t="s">
        <v>318</v>
      </c>
      <c r="L500" s="21" t="s">
        <v>319</v>
      </c>
      <c r="M500" s="21" t="s">
        <v>15</v>
      </c>
      <c r="N500" s="54">
        <v>19015.07</v>
      </c>
      <c r="O500" s="54">
        <v>0</v>
      </c>
      <c r="P500" s="54">
        <v>0</v>
      </c>
      <c r="Q500" s="54">
        <v>19015.07</v>
      </c>
      <c r="R500" s="54">
        <v>0</v>
      </c>
      <c r="S500" s="54">
        <v>1393.34</v>
      </c>
      <c r="T500" s="54">
        <v>1393.34</v>
      </c>
      <c r="U500" s="54">
        <v>17621.73</v>
      </c>
      <c r="V500" s="54">
        <v>17621.73</v>
      </c>
      <c r="W500" s="54">
        <v>17621.73</v>
      </c>
    </row>
    <row r="501" spans="1:23" outlineLevel="2" x14ac:dyDescent="0.2">
      <c r="A501" s="21" t="s">
        <v>0</v>
      </c>
      <c r="B501" s="21" t="s">
        <v>53</v>
      </c>
      <c r="C501" s="21" t="s">
        <v>85</v>
      </c>
      <c r="D501" s="21" t="s">
        <v>86</v>
      </c>
      <c r="E501" s="21" t="s">
        <v>87</v>
      </c>
      <c r="F501" s="21" t="s">
        <v>5</v>
      </c>
      <c r="G501" s="21" t="s">
        <v>6</v>
      </c>
      <c r="H501" s="21" t="s">
        <v>35</v>
      </c>
      <c r="I501" s="21" t="s">
        <v>36</v>
      </c>
      <c r="J501" s="21" t="s">
        <v>9</v>
      </c>
      <c r="K501" s="21" t="s">
        <v>318</v>
      </c>
      <c r="L501" s="21" t="s">
        <v>334</v>
      </c>
      <c r="M501" s="21" t="s">
        <v>15</v>
      </c>
      <c r="N501" s="54">
        <v>2076.64</v>
      </c>
      <c r="O501" s="54">
        <v>-2076.64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</row>
    <row r="502" spans="1:23" outlineLevel="2" x14ac:dyDescent="0.2">
      <c r="A502" s="21" t="s">
        <v>0</v>
      </c>
      <c r="B502" s="21" t="s">
        <v>39</v>
      </c>
      <c r="C502" s="21" t="s">
        <v>58</v>
      </c>
      <c r="D502" s="21" t="s">
        <v>59</v>
      </c>
      <c r="E502" s="21" t="s">
        <v>60</v>
      </c>
      <c r="F502" s="21" t="s">
        <v>5</v>
      </c>
      <c r="G502" s="21" t="s">
        <v>6</v>
      </c>
      <c r="H502" s="21" t="s">
        <v>35</v>
      </c>
      <c r="I502" s="21" t="s">
        <v>36</v>
      </c>
      <c r="J502" s="21" t="s">
        <v>9</v>
      </c>
      <c r="K502" s="21" t="s">
        <v>318</v>
      </c>
      <c r="L502" s="21" t="s">
        <v>325</v>
      </c>
      <c r="M502" s="21" t="s">
        <v>15</v>
      </c>
      <c r="N502" s="54">
        <v>3422.36</v>
      </c>
      <c r="O502" s="54">
        <v>0</v>
      </c>
      <c r="P502" s="54">
        <v>0</v>
      </c>
      <c r="Q502" s="54">
        <v>3422.36</v>
      </c>
      <c r="R502" s="54">
        <v>0</v>
      </c>
      <c r="S502" s="54">
        <v>0</v>
      </c>
      <c r="T502" s="54">
        <v>0</v>
      </c>
      <c r="U502" s="54">
        <v>3422.36</v>
      </c>
      <c r="V502" s="54">
        <v>3422.36</v>
      </c>
      <c r="W502" s="54">
        <v>3422.36</v>
      </c>
    </row>
    <row r="503" spans="1:23" outlineLevel="2" x14ac:dyDescent="0.2">
      <c r="A503" s="21" t="s">
        <v>0</v>
      </c>
      <c r="B503" s="21" t="s">
        <v>39</v>
      </c>
      <c r="C503" s="21" t="s">
        <v>58</v>
      </c>
      <c r="D503" s="21" t="s">
        <v>143</v>
      </c>
      <c r="E503" s="21" t="s">
        <v>144</v>
      </c>
      <c r="F503" s="21" t="s">
        <v>5</v>
      </c>
      <c r="G503" s="21" t="s">
        <v>6</v>
      </c>
      <c r="H503" s="21" t="s">
        <v>35</v>
      </c>
      <c r="I503" s="21" t="s">
        <v>36</v>
      </c>
      <c r="J503" s="21" t="s">
        <v>9</v>
      </c>
      <c r="K503" s="21" t="s">
        <v>318</v>
      </c>
      <c r="L503" s="21" t="s">
        <v>325</v>
      </c>
      <c r="M503" s="21" t="s">
        <v>15</v>
      </c>
      <c r="N503" s="54">
        <v>6108.14</v>
      </c>
      <c r="O503" s="54">
        <v>0</v>
      </c>
      <c r="P503" s="54">
        <v>0</v>
      </c>
      <c r="Q503" s="54">
        <v>6108.14</v>
      </c>
      <c r="R503" s="54">
        <v>0</v>
      </c>
      <c r="S503" s="54">
        <v>0</v>
      </c>
      <c r="T503" s="54">
        <v>0</v>
      </c>
      <c r="U503" s="54">
        <v>6108.14</v>
      </c>
      <c r="V503" s="54">
        <v>6108.14</v>
      </c>
      <c r="W503" s="54">
        <v>6108.14</v>
      </c>
    </row>
    <row r="504" spans="1:23" outlineLevel="2" x14ac:dyDescent="0.2">
      <c r="A504" s="21" t="s">
        <v>0</v>
      </c>
      <c r="B504" s="21" t="s">
        <v>31</v>
      </c>
      <c r="C504" s="21" t="s">
        <v>79</v>
      </c>
      <c r="D504" s="21" t="s">
        <v>80</v>
      </c>
      <c r="E504" s="21" t="s">
        <v>81</v>
      </c>
      <c r="F504" s="21" t="s">
        <v>5</v>
      </c>
      <c r="G504" s="21" t="s">
        <v>6</v>
      </c>
      <c r="H504" s="21" t="s">
        <v>35</v>
      </c>
      <c r="I504" s="21" t="s">
        <v>36</v>
      </c>
      <c r="J504" s="21" t="s">
        <v>9</v>
      </c>
      <c r="K504" s="21" t="s">
        <v>318</v>
      </c>
      <c r="L504" s="21" t="s">
        <v>333</v>
      </c>
      <c r="M504" s="21" t="s">
        <v>15</v>
      </c>
      <c r="N504" s="54">
        <v>1176.28</v>
      </c>
      <c r="O504" s="54">
        <v>0</v>
      </c>
      <c r="P504" s="54">
        <v>0</v>
      </c>
      <c r="Q504" s="54">
        <v>1176.28</v>
      </c>
      <c r="R504" s="54">
        <v>0</v>
      </c>
      <c r="S504" s="54">
        <v>0</v>
      </c>
      <c r="T504" s="54">
        <v>0</v>
      </c>
      <c r="U504" s="54">
        <v>1176.28</v>
      </c>
      <c r="V504" s="54">
        <v>1176.28</v>
      </c>
      <c r="W504" s="54">
        <v>1176.28</v>
      </c>
    </row>
    <row r="505" spans="1:23" outlineLevel="2" x14ac:dyDescent="0.2">
      <c r="A505" s="21" t="s">
        <v>0</v>
      </c>
      <c r="B505" s="21" t="s">
        <v>31</v>
      </c>
      <c r="C505" s="21" t="s">
        <v>79</v>
      </c>
      <c r="D505" s="21" t="s">
        <v>117</v>
      </c>
      <c r="E505" s="21" t="s">
        <v>118</v>
      </c>
      <c r="F505" s="21" t="s">
        <v>5</v>
      </c>
      <c r="G505" s="21" t="s">
        <v>6</v>
      </c>
      <c r="H505" s="21" t="s">
        <v>35</v>
      </c>
      <c r="I505" s="21" t="s">
        <v>36</v>
      </c>
      <c r="J505" s="21" t="s">
        <v>9</v>
      </c>
      <c r="K505" s="21" t="s">
        <v>318</v>
      </c>
      <c r="L505" s="21" t="s">
        <v>333</v>
      </c>
      <c r="M505" s="21" t="s">
        <v>15</v>
      </c>
      <c r="N505" s="54">
        <v>2925.97</v>
      </c>
      <c r="O505" s="54">
        <v>0</v>
      </c>
      <c r="P505" s="54">
        <v>0</v>
      </c>
      <c r="Q505" s="54">
        <v>2925.97</v>
      </c>
      <c r="R505" s="54">
        <v>0</v>
      </c>
      <c r="S505" s="54">
        <v>0</v>
      </c>
      <c r="T505" s="54">
        <v>0</v>
      </c>
      <c r="U505" s="54">
        <v>2925.97</v>
      </c>
      <c r="V505" s="54">
        <v>2925.97</v>
      </c>
      <c r="W505" s="54">
        <v>2925.97</v>
      </c>
    </row>
    <row r="506" spans="1:23" outlineLevel="2" x14ac:dyDescent="0.2">
      <c r="A506" s="21" t="s">
        <v>0</v>
      </c>
      <c r="B506" s="21" t="s">
        <v>39</v>
      </c>
      <c r="C506" s="21" t="s">
        <v>95</v>
      </c>
      <c r="D506" s="21" t="s">
        <v>96</v>
      </c>
      <c r="E506" s="21" t="s">
        <v>97</v>
      </c>
      <c r="F506" s="21" t="s">
        <v>5</v>
      </c>
      <c r="G506" s="21" t="s">
        <v>6</v>
      </c>
      <c r="H506" s="21" t="s">
        <v>35</v>
      </c>
      <c r="I506" s="21" t="s">
        <v>36</v>
      </c>
      <c r="J506" s="21" t="s">
        <v>9</v>
      </c>
      <c r="K506" s="21" t="s">
        <v>318</v>
      </c>
      <c r="L506" s="21" t="s">
        <v>331</v>
      </c>
      <c r="M506" s="21" t="s">
        <v>15</v>
      </c>
      <c r="N506" s="54">
        <v>3663.04</v>
      </c>
      <c r="O506" s="54">
        <v>0</v>
      </c>
      <c r="P506" s="54">
        <v>0</v>
      </c>
      <c r="Q506" s="54">
        <v>3663.04</v>
      </c>
      <c r="R506" s="54">
        <v>0</v>
      </c>
      <c r="S506" s="54">
        <v>410</v>
      </c>
      <c r="T506" s="54">
        <v>410</v>
      </c>
      <c r="U506" s="54">
        <v>3253.04</v>
      </c>
      <c r="V506" s="54">
        <v>3253.04</v>
      </c>
      <c r="W506" s="54">
        <v>3253.04</v>
      </c>
    </row>
    <row r="507" spans="1:23" outlineLevel="2" x14ac:dyDescent="0.2">
      <c r="A507" s="21" t="s">
        <v>0</v>
      </c>
      <c r="B507" s="21" t="s">
        <v>1</v>
      </c>
      <c r="C507" s="21" t="s">
        <v>2</v>
      </c>
      <c r="D507" s="21" t="s">
        <v>3</v>
      </c>
      <c r="E507" s="21" t="s">
        <v>4</v>
      </c>
      <c r="F507" s="21" t="s">
        <v>5</v>
      </c>
      <c r="G507" s="21" t="s">
        <v>6</v>
      </c>
      <c r="H507" s="21" t="s">
        <v>35</v>
      </c>
      <c r="I507" s="21" t="s">
        <v>36</v>
      </c>
      <c r="J507" s="21" t="s">
        <v>9</v>
      </c>
      <c r="K507" s="21" t="s">
        <v>318</v>
      </c>
      <c r="L507" s="21" t="s">
        <v>329</v>
      </c>
      <c r="M507" s="21" t="s">
        <v>15</v>
      </c>
      <c r="N507" s="54">
        <v>16920.57</v>
      </c>
      <c r="O507" s="54">
        <v>0</v>
      </c>
      <c r="P507" s="54">
        <v>0</v>
      </c>
      <c r="Q507" s="54">
        <v>16920.57</v>
      </c>
      <c r="R507" s="54">
        <v>0</v>
      </c>
      <c r="S507" s="54">
        <v>2425.9699999999998</v>
      </c>
      <c r="T507" s="54">
        <v>2425.9699999999998</v>
      </c>
      <c r="U507" s="54">
        <v>14494.6</v>
      </c>
      <c r="V507" s="54">
        <v>14494.6</v>
      </c>
      <c r="W507" s="54">
        <v>14494.6</v>
      </c>
    </row>
    <row r="508" spans="1:23" outlineLevel="2" x14ac:dyDescent="0.2">
      <c r="A508" s="21" t="s">
        <v>0</v>
      </c>
      <c r="B508" s="21" t="s">
        <v>31</v>
      </c>
      <c r="C508" s="21" t="s">
        <v>79</v>
      </c>
      <c r="D508" s="21" t="s">
        <v>111</v>
      </c>
      <c r="E508" s="21" t="s">
        <v>112</v>
      </c>
      <c r="F508" s="21" t="s">
        <v>5</v>
      </c>
      <c r="G508" s="21" t="s">
        <v>6</v>
      </c>
      <c r="H508" s="21" t="s">
        <v>35</v>
      </c>
      <c r="I508" s="21" t="s">
        <v>36</v>
      </c>
      <c r="J508" s="21" t="s">
        <v>9</v>
      </c>
      <c r="K508" s="21" t="s">
        <v>318</v>
      </c>
      <c r="L508" s="21" t="s">
        <v>333</v>
      </c>
      <c r="M508" s="21" t="s">
        <v>15</v>
      </c>
      <c r="N508" s="54">
        <v>2580.37</v>
      </c>
      <c r="O508" s="54">
        <v>0</v>
      </c>
      <c r="P508" s="54">
        <v>0</v>
      </c>
      <c r="Q508" s="54">
        <v>2580.37</v>
      </c>
      <c r="R508" s="54">
        <v>0</v>
      </c>
      <c r="S508" s="54">
        <v>0</v>
      </c>
      <c r="T508" s="54">
        <v>0</v>
      </c>
      <c r="U508" s="54">
        <v>2580.37</v>
      </c>
      <c r="V508" s="54">
        <v>2580.37</v>
      </c>
      <c r="W508" s="54">
        <v>2580.37</v>
      </c>
    </row>
    <row r="509" spans="1:23" outlineLevel="2" x14ac:dyDescent="0.2">
      <c r="A509" s="21" t="s">
        <v>0</v>
      </c>
      <c r="B509" s="21" t="s">
        <v>39</v>
      </c>
      <c r="C509" s="21" t="s">
        <v>58</v>
      </c>
      <c r="D509" s="21" t="s">
        <v>135</v>
      </c>
      <c r="E509" s="21" t="s">
        <v>136</v>
      </c>
      <c r="F509" s="21" t="s">
        <v>5</v>
      </c>
      <c r="G509" s="21" t="s">
        <v>6</v>
      </c>
      <c r="H509" s="21" t="s">
        <v>35</v>
      </c>
      <c r="I509" s="21" t="s">
        <v>36</v>
      </c>
      <c r="J509" s="21" t="s">
        <v>9</v>
      </c>
      <c r="K509" s="21" t="s">
        <v>318</v>
      </c>
      <c r="L509" s="21" t="s">
        <v>325</v>
      </c>
      <c r="M509" s="21" t="s">
        <v>15</v>
      </c>
      <c r="N509" s="54">
        <v>6150.4</v>
      </c>
      <c r="O509" s="54">
        <v>0</v>
      </c>
      <c r="P509" s="54">
        <v>0</v>
      </c>
      <c r="Q509" s="54">
        <v>6150.4</v>
      </c>
      <c r="R509" s="54">
        <v>0</v>
      </c>
      <c r="S509" s="54">
        <v>1615.33</v>
      </c>
      <c r="T509" s="54">
        <v>1615.33</v>
      </c>
      <c r="U509" s="54">
        <v>4535.07</v>
      </c>
      <c r="V509" s="54">
        <v>4535.07</v>
      </c>
      <c r="W509" s="54">
        <v>4535.07</v>
      </c>
    </row>
    <row r="510" spans="1:23" outlineLevel="2" x14ac:dyDescent="0.2">
      <c r="A510" s="21" t="s">
        <v>0</v>
      </c>
      <c r="B510" s="21" t="s">
        <v>31</v>
      </c>
      <c r="C510" s="21" t="s">
        <v>79</v>
      </c>
      <c r="D510" s="21" t="s">
        <v>113</v>
      </c>
      <c r="E510" s="21" t="s">
        <v>114</v>
      </c>
      <c r="F510" s="21" t="s">
        <v>5</v>
      </c>
      <c r="G510" s="21" t="s">
        <v>6</v>
      </c>
      <c r="H510" s="21" t="s">
        <v>35</v>
      </c>
      <c r="I510" s="21" t="s">
        <v>36</v>
      </c>
      <c r="J510" s="21" t="s">
        <v>9</v>
      </c>
      <c r="K510" s="21" t="s">
        <v>318</v>
      </c>
      <c r="L510" s="21" t="s">
        <v>333</v>
      </c>
      <c r="M510" s="21" t="s">
        <v>15</v>
      </c>
      <c r="N510" s="54">
        <v>1616.59</v>
      </c>
      <c r="O510" s="54">
        <v>0</v>
      </c>
      <c r="P510" s="54">
        <v>0</v>
      </c>
      <c r="Q510" s="54">
        <v>1616.59</v>
      </c>
      <c r="R510" s="54">
        <v>0</v>
      </c>
      <c r="S510" s="54">
        <v>0</v>
      </c>
      <c r="T510" s="54">
        <v>0</v>
      </c>
      <c r="U510" s="54">
        <v>1616.59</v>
      </c>
      <c r="V510" s="54">
        <v>1616.59</v>
      </c>
      <c r="W510" s="54">
        <v>1616.59</v>
      </c>
    </row>
    <row r="511" spans="1:23" outlineLevel="2" x14ac:dyDescent="0.2">
      <c r="A511" s="21" t="s">
        <v>0</v>
      </c>
      <c r="B511" s="21" t="s">
        <v>39</v>
      </c>
      <c r="C511" s="21" t="s">
        <v>66</v>
      </c>
      <c r="D511" s="21" t="s">
        <v>121</v>
      </c>
      <c r="E511" s="21" t="s">
        <v>122</v>
      </c>
      <c r="F511" s="21" t="s">
        <v>5</v>
      </c>
      <c r="G511" s="21" t="s">
        <v>6</v>
      </c>
      <c r="H511" s="21" t="s">
        <v>35</v>
      </c>
      <c r="I511" s="21" t="s">
        <v>36</v>
      </c>
      <c r="J511" s="21" t="s">
        <v>9</v>
      </c>
      <c r="K511" s="21" t="s">
        <v>318</v>
      </c>
      <c r="L511" s="21" t="s">
        <v>327</v>
      </c>
      <c r="M511" s="21" t="s">
        <v>15</v>
      </c>
      <c r="N511" s="54">
        <v>3542.65</v>
      </c>
      <c r="O511" s="54">
        <v>1430</v>
      </c>
      <c r="P511" s="54">
        <v>0</v>
      </c>
      <c r="Q511" s="54">
        <v>4972.6499999999996</v>
      </c>
      <c r="R511" s="54">
        <v>0</v>
      </c>
      <c r="S511" s="54">
        <v>4972.25</v>
      </c>
      <c r="T511" s="54">
        <v>4972.25</v>
      </c>
      <c r="U511" s="54">
        <v>0.4</v>
      </c>
      <c r="V511" s="54">
        <v>0.4</v>
      </c>
      <c r="W511" s="54">
        <v>0.4</v>
      </c>
    </row>
    <row r="512" spans="1:23" outlineLevel="2" x14ac:dyDescent="0.2">
      <c r="A512" s="21" t="s">
        <v>0</v>
      </c>
      <c r="B512" s="21" t="s">
        <v>39</v>
      </c>
      <c r="C512" s="21" t="s">
        <v>58</v>
      </c>
      <c r="D512" s="21" t="s">
        <v>139</v>
      </c>
      <c r="E512" s="21" t="s">
        <v>140</v>
      </c>
      <c r="F512" s="21" t="s">
        <v>5</v>
      </c>
      <c r="G512" s="21" t="s">
        <v>6</v>
      </c>
      <c r="H512" s="21" t="s">
        <v>35</v>
      </c>
      <c r="I512" s="21" t="s">
        <v>36</v>
      </c>
      <c r="J512" s="21" t="s">
        <v>9</v>
      </c>
      <c r="K512" s="21" t="s">
        <v>318</v>
      </c>
      <c r="L512" s="21" t="s">
        <v>325</v>
      </c>
      <c r="M512" s="21" t="s">
        <v>15</v>
      </c>
      <c r="N512" s="54">
        <v>8830.42</v>
      </c>
      <c r="O512" s="54">
        <v>0</v>
      </c>
      <c r="P512" s="54">
        <v>0</v>
      </c>
      <c r="Q512" s="54">
        <v>8830.42</v>
      </c>
      <c r="R512" s="54">
        <v>0</v>
      </c>
      <c r="S512" s="54">
        <v>756.87</v>
      </c>
      <c r="T512" s="54">
        <v>756.87</v>
      </c>
      <c r="U512" s="54">
        <v>8073.55</v>
      </c>
      <c r="V512" s="54">
        <v>8073.55</v>
      </c>
      <c r="W512" s="54">
        <v>8073.55</v>
      </c>
    </row>
    <row r="513" spans="1:23" outlineLevel="2" x14ac:dyDescent="0.2">
      <c r="A513" s="21" t="s">
        <v>0</v>
      </c>
      <c r="B513" s="21" t="s">
        <v>39</v>
      </c>
      <c r="C513" s="21" t="s">
        <v>58</v>
      </c>
      <c r="D513" s="21" t="s">
        <v>137</v>
      </c>
      <c r="E513" s="21" t="s">
        <v>138</v>
      </c>
      <c r="F513" s="21" t="s">
        <v>5</v>
      </c>
      <c r="G513" s="21" t="s">
        <v>6</v>
      </c>
      <c r="H513" s="21" t="s">
        <v>35</v>
      </c>
      <c r="I513" s="21" t="s">
        <v>36</v>
      </c>
      <c r="J513" s="21" t="s">
        <v>9</v>
      </c>
      <c r="K513" s="21" t="s">
        <v>318</v>
      </c>
      <c r="L513" s="21" t="s">
        <v>325</v>
      </c>
      <c r="M513" s="21" t="s">
        <v>15</v>
      </c>
      <c r="N513" s="54">
        <v>3027.59</v>
      </c>
      <c r="O513" s="54">
        <v>1056</v>
      </c>
      <c r="P513" s="54">
        <v>0</v>
      </c>
      <c r="Q513" s="54">
        <v>4083.59</v>
      </c>
      <c r="R513" s="54">
        <v>0</v>
      </c>
      <c r="S513" s="54">
        <v>2932.87</v>
      </c>
      <c r="T513" s="54">
        <v>2932.87</v>
      </c>
      <c r="U513" s="54">
        <v>1150.72</v>
      </c>
      <c r="V513" s="54">
        <v>1150.72</v>
      </c>
      <c r="W513" s="54">
        <v>1150.72</v>
      </c>
    </row>
    <row r="514" spans="1:23" outlineLevel="2" x14ac:dyDescent="0.2">
      <c r="A514" s="21" t="s">
        <v>0</v>
      </c>
      <c r="B514" s="21" t="s">
        <v>31</v>
      </c>
      <c r="C514" s="21" t="s">
        <v>32</v>
      </c>
      <c r="D514" s="21" t="s">
        <v>75</v>
      </c>
      <c r="E514" s="21" t="s">
        <v>76</v>
      </c>
      <c r="F514" s="21" t="s">
        <v>5</v>
      </c>
      <c r="G514" s="21" t="s">
        <v>6</v>
      </c>
      <c r="H514" s="21" t="s">
        <v>35</v>
      </c>
      <c r="I514" s="21" t="s">
        <v>36</v>
      </c>
      <c r="J514" s="21" t="s">
        <v>9</v>
      </c>
      <c r="K514" s="21" t="s">
        <v>318</v>
      </c>
      <c r="L514" s="21" t="s">
        <v>320</v>
      </c>
      <c r="M514" s="21" t="s">
        <v>15</v>
      </c>
      <c r="N514" s="54">
        <v>3760.77</v>
      </c>
      <c r="O514" s="54">
        <v>0</v>
      </c>
      <c r="P514" s="54">
        <v>0</v>
      </c>
      <c r="Q514" s="54">
        <v>3760.77</v>
      </c>
      <c r="R514" s="54">
        <v>0</v>
      </c>
      <c r="S514" s="54">
        <v>0</v>
      </c>
      <c r="T514" s="54">
        <v>0</v>
      </c>
      <c r="U514" s="54">
        <v>3760.77</v>
      </c>
      <c r="V514" s="54">
        <v>3760.77</v>
      </c>
      <c r="W514" s="54">
        <v>3760.77</v>
      </c>
    </row>
    <row r="515" spans="1:23" outlineLevel="2" x14ac:dyDescent="0.2">
      <c r="A515" s="21" t="s">
        <v>0</v>
      </c>
      <c r="B515" s="21" t="s">
        <v>31</v>
      </c>
      <c r="C515" s="21" t="s">
        <v>79</v>
      </c>
      <c r="D515" s="21" t="s">
        <v>125</v>
      </c>
      <c r="E515" s="21" t="s">
        <v>126</v>
      </c>
      <c r="F515" s="21" t="s">
        <v>5</v>
      </c>
      <c r="G515" s="21" t="s">
        <v>6</v>
      </c>
      <c r="H515" s="21" t="s">
        <v>35</v>
      </c>
      <c r="I515" s="21" t="s">
        <v>36</v>
      </c>
      <c r="J515" s="21" t="s">
        <v>9</v>
      </c>
      <c r="K515" s="21" t="s">
        <v>318</v>
      </c>
      <c r="L515" s="21" t="s">
        <v>333</v>
      </c>
      <c r="M515" s="21" t="s">
        <v>15</v>
      </c>
      <c r="N515" s="54">
        <v>1276.3</v>
      </c>
      <c r="O515" s="54">
        <v>0</v>
      </c>
      <c r="P515" s="54">
        <v>0</v>
      </c>
      <c r="Q515" s="54">
        <v>1276.3</v>
      </c>
      <c r="R515" s="54">
        <v>0</v>
      </c>
      <c r="S515" s="54">
        <v>0</v>
      </c>
      <c r="T515" s="54">
        <v>0</v>
      </c>
      <c r="U515" s="54">
        <v>1276.3</v>
      </c>
      <c r="V515" s="54">
        <v>1276.3</v>
      </c>
      <c r="W515" s="54">
        <v>1276.3</v>
      </c>
    </row>
    <row r="516" spans="1:23" outlineLevel="2" x14ac:dyDescent="0.2">
      <c r="A516" s="21" t="s">
        <v>0</v>
      </c>
      <c r="B516" s="21" t="s">
        <v>39</v>
      </c>
      <c r="C516" s="21" t="s">
        <v>58</v>
      </c>
      <c r="D516" s="21" t="s">
        <v>147</v>
      </c>
      <c r="E516" s="21" t="s">
        <v>148</v>
      </c>
      <c r="F516" s="21" t="s">
        <v>5</v>
      </c>
      <c r="G516" s="21" t="s">
        <v>6</v>
      </c>
      <c r="H516" s="21" t="s">
        <v>35</v>
      </c>
      <c r="I516" s="21" t="s">
        <v>36</v>
      </c>
      <c r="J516" s="21" t="s">
        <v>9</v>
      </c>
      <c r="K516" s="21" t="s">
        <v>318</v>
      </c>
      <c r="L516" s="21" t="s">
        <v>325</v>
      </c>
      <c r="M516" s="21" t="s">
        <v>15</v>
      </c>
      <c r="N516" s="54">
        <v>6222.72</v>
      </c>
      <c r="O516" s="54">
        <v>0</v>
      </c>
      <c r="P516" s="54">
        <v>0</v>
      </c>
      <c r="Q516" s="54">
        <v>6222.72</v>
      </c>
      <c r="R516" s="54">
        <v>0</v>
      </c>
      <c r="S516" s="54">
        <v>5122.3</v>
      </c>
      <c r="T516" s="54">
        <v>5122.3</v>
      </c>
      <c r="U516" s="54">
        <v>1100.42</v>
      </c>
      <c r="V516" s="54">
        <v>1100.42</v>
      </c>
      <c r="W516" s="54">
        <v>1100.42</v>
      </c>
    </row>
    <row r="517" spans="1:23" outlineLevel="2" x14ac:dyDescent="0.2">
      <c r="A517" s="21" t="s">
        <v>0</v>
      </c>
      <c r="B517" s="21" t="s">
        <v>39</v>
      </c>
      <c r="C517" s="21" t="s">
        <v>58</v>
      </c>
      <c r="D517" s="21" t="s">
        <v>149</v>
      </c>
      <c r="E517" s="21" t="s">
        <v>150</v>
      </c>
      <c r="F517" s="21" t="s">
        <v>5</v>
      </c>
      <c r="G517" s="21" t="s">
        <v>6</v>
      </c>
      <c r="H517" s="21" t="s">
        <v>35</v>
      </c>
      <c r="I517" s="21" t="s">
        <v>36</v>
      </c>
      <c r="J517" s="21" t="s">
        <v>9</v>
      </c>
      <c r="K517" s="21" t="s">
        <v>318</v>
      </c>
      <c r="L517" s="21" t="s">
        <v>325</v>
      </c>
      <c r="M517" s="21" t="s">
        <v>15</v>
      </c>
      <c r="N517" s="54">
        <v>4121.46</v>
      </c>
      <c r="O517" s="54">
        <v>848.01</v>
      </c>
      <c r="P517" s="54">
        <v>0</v>
      </c>
      <c r="Q517" s="54">
        <v>4969.47</v>
      </c>
      <c r="R517" s="54">
        <v>0</v>
      </c>
      <c r="S517" s="54">
        <v>4969.47</v>
      </c>
      <c r="T517" s="54">
        <v>4969.47</v>
      </c>
      <c r="U517" s="54">
        <v>0</v>
      </c>
      <c r="V517" s="54">
        <v>0</v>
      </c>
      <c r="W517" s="54">
        <v>0</v>
      </c>
    </row>
    <row r="518" spans="1:23" outlineLevel="2" x14ac:dyDescent="0.2">
      <c r="A518" s="21" t="s">
        <v>0</v>
      </c>
      <c r="B518" s="21" t="s">
        <v>31</v>
      </c>
      <c r="C518" s="21" t="s">
        <v>79</v>
      </c>
      <c r="D518" s="21" t="s">
        <v>115</v>
      </c>
      <c r="E518" s="21" t="s">
        <v>116</v>
      </c>
      <c r="F518" s="21" t="s">
        <v>5</v>
      </c>
      <c r="G518" s="21" t="s">
        <v>6</v>
      </c>
      <c r="H518" s="21" t="s">
        <v>35</v>
      </c>
      <c r="I518" s="21" t="s">
        <v>36</v>
      </c>
      <c r="J518" s="21" t="s">
        <v>9</v>
      </c>
      <c r="K518" s="21" t="s">
        <v>318</v>
      </c>
      <c r="L518" s="21" t="s">
        <v>333</v>
      </c>
      <c r="M518" s="21" t="s">
        <v>15</v>
      </c>
      <c r="N518" s="54">
        <v>973.94</v>
      </c>
      <c r="O518" s="54">
        <v>0</v>
      </c>
      <c r="P518" s="54">
        <v>0</v>
      </c>
      <c r="Q518" s="54">
        <v>973.94</v>
      </c>
      <c r="R518" s="54">
        <v>0</v>
      </c>
      <c r="S518" s="54">
        <v>0</v>
      </c>
      <c r="T518" s="54">
        <v>0</v>
      </c>
      <c r="U518" s="54">
        <v>973.94</v>
      </c>
      <c r="V518" s="54">
        <v>973.94</v>
      </c>
      <c r="W518" s="54">
        <v>973.94</v>
      </c>
    </row>
    <row r="519" spans="1:23" outlineLevel="2" x14ac:dyDescent="0.2">
      <c r="A519" s="21" t="s">
        <v>0</v>
      </c>
      <c r="B519" s="21" t="s">
        <v>39</v>
      </c>
      <c r="C519" s="21" t="s">
        <v>40</v>
      </c>
      <c r="D519" s="21" t="s">
        <v>41</v>
      </c>
      <c r="E519" s="21" t="s">
        <v>42</v>
      </c>
      <c r="F519" s="21" t="s">
        <v>5</v>
      </c>
      <c r="G519" s="21" t="s">
        <v>6</v>
      </c>
      <c r="H519" s="21" t="s">
        <v>35</v>
      </c>
      <c r="I519" s="21" t="s">
        <v>36</v>
      </c>
      <c r="J519" s="21" t="s">
        <v>9</v>
      </c>
      <c r="K519" s="21" t="s">
        <v>318</v>
      </c>
      <c r="L519" s="21" t="s">
        <v>328</v>
      </c>
      <c r="M519" s="21" t="s">
        <v>15</v>
      </c>
      <c r="N519" s="54">
        <v>4385.5600000000004</v>
      </c>
      <c r="O519" s="54">
        <v>0</v>
      </c>
      <c r="P519" s="54">
        <v>0</v>
      </c>
      <c r="Q519" s="54">
        <v>4385.5600000000004</v>
      </c>
      <c r="R519" s="54">
        <v>0</v>
      </c>
      <c r="S519" s="54">
        <v>475</v>
      </c>
      <c r="T519" s="54">
        <v>475</v>
      </c>
      <c r="U519" s="54">
        <v>3910.56</v>
      </c>
      <c r="V519" s="54">
        <v>3910.56</v>
      </c>
      <c r="W519" s="54">
        <v>3910.56</v>
      </c>
    </row>
    <row r="520" spans="1:23" outlineLevel="2" x14ac:dyDescent="0.2">
      <c r="A520" s="21" t="s">
        <v>0</v>
      </c>
      <c r="B520" s="21" t="s">
        <v>39</v>
      </c>
      <c r="C520" s="21" t="s">
        <v>58</v>
      </c>
      <c r="D520" s="21" t="s">
        <v>145</v>
      </c>
      <c r="E520" s="21" t="s">
        <v>146</v>
      </c>
      <c r="F520" s="21" t="s">
        <v>5</v>
      </c>
      <c r="G520" s="21" t="s">
        <v>6</v>
      </c>
      <c r="H520" s="21" t="s">
        <v>35</v>
      </c>
      <c r="I520" s="21" t="s">
        <v>36</v>
      </c>
      <c r="J520" s="21" t="s">
        <v>9</v>
      </c>
      <c r="K520" s="21" t="s">
        <v>318</v>
      </c>
      <c r="L520" s="21" t="s">
        <v>325</v>
      </c>
      <c r="M520" s="21" t="s">
        <v>15</v>
      </c>
      <c r="N520" s="54">
        <v>3779.56</v>
      </c>
      <c r="O520" s="54">
        <v>0</v>
      </c>
      <c r="P520" s="54">
        <v>0</v>
      </c>
      <c r="Q520" s="54">
        <v>3779.56</v>
      </c>
      <c r="R520" s="54">
        <v>0</v>
      </c>
      <c r="S520" s="54">
        <v>762.7</v>
      </c>
      <c r="T520" s="54">
        <v>762.7</v>
      </c>
      <c r="U520" s="54">
        <v>3016.86</v>
      </c>
      <c r="V520" s="54">
        <v>3016.86</v>
      </c>
      <c r="W520" s="54">
        <v>3016.86</v>
      </c>
    </row>
    <row r="521" spans="1:23" outlineLevel="2" x14ac:dyDescent="0.2">
      <c r="A521" s="21" t="s">
        <v>0</v>
      </c>
      <c r="B521" s="21" t="s">
        <v>1</v>
      </c>
      <c r="C521" s="21" t="s">
        <v>91</v>
      </c>
      <c r="D521" s="21" t="s">
        <v>92</v>
      </c>
      <c r="E521" s="21" t="s">
        <v>93</v>
      </c>
      <c r="F521" s="21" t="s">
        <v>5</v>
      </c>
      <c r="G521" s="21" t="s">
        <v>6</v>
      </c>
      <c r="H521" s="21" t="s">
        <v>35</v>
      </c>
      <c r="I521" s="21" t="s">
        <v>36</v>
      </c>
      <c r="J521" s="21" t="s">
        <v>9</v>
      </c>
      <c r="K521" s="21" t="s">
        <v>318</v>
      </c>
      <c r="L521" s="21" t="s">
        <v>321</v>
      </c>
      <c r="M521" s="21" t="s">
        <v>15</v>
      </c>
      <c r="N521" s="54">
        <v>2459.2399999999998</v>
      </c>
      <c r="O521" s="54">
        <v>11601.24</v>
      </c>
      <c r="P521" s="54">
        <v>0</v>
      </c>
      <c r="Q521" s="54">
        <v>14060.48</v>
      </c>
      <c r="R521" s="54">
        <v>0</v>
      </c>
      <c r="S521" s="54">
        <v>6081.89</v>
      </c>
      <c r="T521" s="54">
        <v>6081.89</v>
      </c>
      <c r="U521" s="54">
        <v>7978.59</v>
      </c>
      <c r="V521" s="54">
        <v>7978.59</v>
      </c>
      <c r="W521" s="54">
        <v>7978.59</v>
      </c>
    </row>
    <row r="522" spans="1:23" outlineLevel="2" x14ac:dyDescent="0.2">
      <c r="A522" s="21" t="s">
        <v>0</v>
      </c>
      <c r="B522" s="21" t="s">
        <v>31</v>
      </c>
      <c r="C522" s="21" t="s">
        <v>79</v>
      </c>
      <c r="D522" s="21" t="s">
        <v>83</v>
      </c>
      <c r="E522" s="21" t="s">
        <v>84</v>
      </c>
      <c r="F522" s="21" t="s">
        <v>5</v>
      </c>
      <c r="G522" s="21" t="s">
        <v>6</v>
      </c>
      <c r="H522" s="21" t="s">
        <v>35</v>
      </c>
      <c r="I522" s="21" t="s">
        <v>36</v>
      </c>
      <c r="J522" s="21" t="s">
        <v>9</v>
      </c>
      <c r="K522" s="21" t="s">
        <v>318</v>
      </c>
      <c r="L522" s="21" t="s">
        <v>333</v>
      </c>
      <c r="M522" s="21" t="s">
        <v>15</v>
      </c>
      <c r="N522" s="54">
        <v>7202.16</v>
      </c>
      <c r="O522" s="54">
        <v>0</v>
      </c>
      <c r="P522" s="54">
        <v>0</v>
      </c>
      <c r="Q522" s="54">
        <v>7202.16</v>
      </c>
      <c r="R522" s="54">
        <v>0</v>
      </c>
      <c r="S522" s="54">
        <v>0</v>
      </c>
      <c r="T522" s="54">
        <v>0</v>
      </c>
      <c r="U522" s="54">
        <v>7202.16</v>
      </c>
      <c r="V522" s="54">
        <v>7202.16</v>
      </c>
      <c r="W522" s="54">
        <v>7202.16</v>
      </c>
    </row>
    <row r="523" spans="1:23" outlineLevel="2" x14ac:dyDescent="0.2">
      <c r="A523" s="21" t="s">
        <v>0</v>
      </c>
      <c r="B523" s="21" t="s">
        <v>1</v>
      </c>
      <c r="C523" s="21" t="s">
        <v>44</v>
      </c>
      <c r="D523" s="21" t="s">
        <v>45</v>
      </c>
      <c r="E523" s="21" t="s">
        <v>46</v>
      </c>
      <c r="F523" s="21" t="s">
        <v>5</v>
      </c>
      <c r="G523" s="21" t="s">
        <v>6</v>
      </c>
      <c r="H523" s="21" t="s">
        <v>35</v>
      </c>
      <c r="I523" s="21" t="s">
        <v>36</v>
      </c>
      <c r="J523" s="21" t="s">
        <v>9</v>
      </c>
      <c r="K523" s="21" t="s">
        <v>318</v>
      </c>
      <c r="L523" s="21" t="s">
        <v>330</v>
      </c>
      <c r="M523" s="21" t="s">
        <v>15</v>
      </c>
      <c r="N523" s="54">
        <v>7048.22</v>
      </c>
      <c r="O523" s="54">
        <v>0</v>
      </c>
      <c r="P523" s="54">
        <v>0</v>
      </c>
      <c r="Q523" s="54">
        <v>7048.22</v>
      </c>
      <c r="R523" s="54">
        <v>0</v>
      </c>
      <c r="S523" s="54">
        <v>294</v>
      </c>
      <c r="T523" s="54">
        <v>294</v>
      </c>
      <c r="U523" s="54">
        <v>6754.22</v>
      </c>
      <c r="V523" s="54">
        <v>6754.22</v>
      </c>
      <c r="W523" s="54">
        <v>6754.22</v>
      </c>
    </row>
    <row r="524" spans="1:23" outlineLevel="2" x14ac:dyDescent="0.2">
      <c r="A524" s="21" t="s">
        <v>0</v>
      </c>
      <c r="B524" s="21" t="s">
        <v>31</v>
      </c>
      <c r="C524" s="21" t="s">
        <v>79</v>
      </c>
      <c r="D524" s="21" t="s">
        <v>127</v>
      </c>
      <c r="E524" s="21" t="s">
        <v>128</v>
      </c>
      <c r="F524" s="21" t="s">
        <v>5</v>
      </c>
      <c r="G524" s="21" t="s">
        <v>6</v>
      </c>
      <c r="H524" s="21" t="s">
        <v>35</v>
      </c>
      <c r="I524" s="21" t="s">
        <v>36</v>
      </c>
      <c r="J524" s="21" t="s">
        <v>9</v>
      </c>
      <c r="K524" s="21" t="s">
        <v>318</v>
      </c>
      <c r="L524" s="21" t="s">
        <v>333</v>
      </c>
      <c r="M524" s="21" t="s">
        <v>15</v>
      </c>
      <c r="N524" s="54">
        <v>1645.41</v>
      </c>
      <c r="O524" s="54">
        <v>0</v>
      </c>
      <c r="P524" s="54">
        <v>0</v>
      </c>
      <c r="Q524" s="54">
        <v>1645.41</v>
      </c>
      <c r="R524" s="54">
        <v>0</v>
      </c>
      <c r="S524" s="54">
        <v>0</v>
      </c>
      <c r="T524" s="54">
        <v>0</v>
      </c>
      <c r="U524" s="54">
        <v>1645.41</v>
      </c>
      <c r="V524" s="54">
        <v>1645.41</v>
      </c>
      <c r="W524" s="54">
        <v>1645.41</v>
      </c>
    </row>
    <row r="525" spans="1:23" outlineLevel="2" x14ac:dyDescent="0.2">
      <c r="A525" s="21" t="s">
        <v>0</v>
      </c>
      <c r="B525" s="21" t="s">
        <v>31</v>
      </c>
      <c r="C525" s="21" t="s">
        <v>79</v>
      </c>
      <c r="D525" s="21" t="s">
        <v>131</v>
      </c>
      <c r="E525" s="21" t="s">
        <v>132</v>
      </c>
      <c r="F525" s="21" t="s">
        <v>5</v>
      </c>
      <c r="G525" s="21" t="s">
        <v>6</v>
      </c>
      <c r="H525" s="21" t="s">
        <v>35</v>
      </c>
      <c r="I525" s="21" t="s">
        <v>36</v>
      </c>
      <c r="J525" s="21" t="s">
        <v>9</v>
      </c>
      <c r="K525" s="21" t="s">
        <v>318</v>
      </c>
      <c r="L525" s="21" t="s">
        <v>333</v>
      </c>
      <c r="M525" s="21" t="s">
        <v>15</v>
      </c>
      <c r="N525" s="54">
        <v>1374.81</v>
      </c>
      <c r="O525" s="54">
        <v>0</v>
      </c>
      <c r="P525" s="54">
        <v>0</v>
      </c>
      <c r="Q525" s="54">
        <v>1374.81</v>
      </c>
      <c r="R525" s="54">
        <v>0</v>
      </c>
      <c r="S525" s="54">
        <v>0</v>
      </c>
      <c r="T525" s="54">
        <v>0</v>
      </c>
      <c r="U525" s="54">
        <v>1374.81</v>
      </c>
      <c r="V525" s="54">
        <v>1374.81</v>
      </c>
      <c r="W525" s="54">
        <v>1374.81</v>
      </c>
    </row>
    <row r="526" spans="1:23" outlineLevel="2" x14ac:dyDescent="0.2">
      <c r="A526" s="21" t="s">
        <v>0</v>
      </c>
      <c r="B526" s="21" t="s">
        <v>1</v>
      </c>
      <c r="C526" s="21" t="s">
        <v>2</v>
      </c>
      <c r="D526" s="21" t="s">
        <v>20</v>
      </c>
      <c r="E526" s="21" t="s">
        <v>21</v>
      </c>
      <c r="F526" s="21" t="s">
        <v>5</v>
      </c>
      <c r="G526" s="21" t="s">
        <v>6</v>
      </c>
      <c r="H526" s="21" t="s">
        <v>35</v>
      </c>
      <c r="I526" s="21" t="s">
        <v>36</v>
      </c>
      <c r="J526" s="21" t="s">
        <v>9</v>
      </c>
      <c r="K526" s="21" t="s">
        <v>318</v>
      </c>
      <c r="L526" s="21" t="s">
        <v>329</v>
      </c>
      <c r="M526" s="21" t="s">
        <v>15</v>
      </c>
      <c r="N526" s="54">
        <v>22647.1</v>
      </c>
      <c r="O526" s="54">
        <v>12595</v>
      </c>
      <c r="P526" s="54">
        <v>0</v>
      </c>
      <c r="Q526" s="54">
        <v>35242.1</v>
      </c>
      <c r="R526" s="54">
        <v>0</v>
      </c>
      <c r="S526" s="54">
        <v>24375.439999999999</v>
      </c>
      <c r="T526" s="54">
        <v>24375.439999999999</v>
      </c>
      <c r="U526" s="54">
        <v>10866.66</v>
      </c>
      <c r="V526" s="54">
        <v>10866.66</v>
      </c>
      <c r="W526" s="54">
        <v>10866.66</v>
      </c>
    </row>
    <row r="527" spans="1:23" outlineLevel="2" x14ac:dyDescent="0.2">
      <c r="A527" s="21" t="s">
        <v>0</v>
      </c>
      <c r="B527" s="21" t="s">
        <v>39</v>
      </c>
      <c r="C527" s="21" t="s">
        <v>40</v>
      </c>
      <c r="D527" s="21" t="s">
        <v>77</v>
      </c>
      <c r="E527" s="21" t="s">
        <v>78</v>
      </c>
      <c r="F527" s="21" t="s">
        <v>5</v>
      </c>
      <c r="G527" s="21" t="s">
        <v>6</v>
      </c>
      <c r="H527" s="21" t="s">
        <v>35</v>
      </c>
      <c r="I527" s="21" t="s">
        <v>36</v>
      </c>
      <c r="J527" s="21" t="s">
        <v>9</v>
      </c>
      <c r="K527" s="21" t="s">
        <v>318</v>
      </c>
      <c r="L527" s="21" t="s">
        <v>328</v>
      </c>
      <c r="M527" s="21" t="s">
        <v>15</v>
      </c>
      <c r="N527" s="54">
        <v>36799.160000000003</v>
      </c>
      <c r="O527" s="54">
        <v>0</v>
      </c>
      <c r="P527" s="54">
        <v>0</v>
      </c>
      <c r="Q527" s="54">
        <v>36799.160000000003</v>
      </c>
      <c r="R527" s="54">
        <v>0</v>
      </c>
      <c r="S527" s="54">
        <v>4662.6000000000004</v>
      </c>
      <c r="T527" s="54">
        <v>4662.6000000000004</v>
      </c>
      <c r="U527" s="54">
        <v>32136.560000000001</v>
      </c>
      <c r="V527" s="54">
        <v>32136.560000000001</v>
      </c>
      <c r="W527" s="54">
        <v>32136.560000000001</v>
      </c>
    </row>
    <row r="528" spans="1:23" outlineLevel="2" x14ac:dyDescent="0.2">
      <c r="A528" s="21" t="s">
        <v>0</v>
      </c>
      <c r="B528" s="21" t="s">
        <v>31</v>
      </c>
      <c r="C528" s="21" t="s">
        <v>79</v>
      </c>
      <c r="D528" s="21" t="s">
        <v>133</v>
      </c>
      <c r="E528" s="21" t="s">
        <v>134</v>
      </c>
      <c r="F528" s="21" t="s">
        <v>5</v>
      </c>
      <c r="G528" s="21" t="s">
        <v>6</v>
      </c>
      <c r="H528" s="21" t="s">
        <v>35</v>
      </c>
      <c r="I528" s="21" t="s">
        <v>36</v>
      </c>
      <c r="J528" s="21" t="s">
        <v>9</v>
      </c>
      <c r="K528" s="21" t="s">
        <v>318</v>
      </c>
      <c r="L528" s="21" t="s">
        <v>333</v>
      </c>
      <c r="M528" s="21" t="s">
        <v>15</v>
      </c>
      <c r="N528" s="54">
        <v>1905.31</v>
      </c>
      <c r="O528" s="54">
        <v>0</v>
      </c>
      <c r="P528" s="54">
        <v>0</v>
      </c>
      <c r="Q528" s="54">
        <v>1905.31</v>
      </c>
      <c r="R528" s="54">
        <v>0</v>
      </c>
      <c r="S528" s="54">
        <v>0</v>
      </c>
      <c r="T528" s="54">
        <v>0</v>
      </c>
      <c r="U528" s="54">
        <v>1905.31</v>
      </c>
      <c r="V528" s="54">
        <v>1905.31</v>
      </c>
      <c r="W528" s="54">
        <v>1905.31</v>
      </c>
    </row>
    <row r="529" spans="1:23" outlineLevel="2" x14ac:dyDescent="0.2">
      <c r="A529" s="21" t="s">
        <v>0</v>
      </c>
      <c r="B529" s="21" t="s">
        <v>39</v>
      </c>
      <c r="C529" s="21" t="s">
        <v>58</v>
      </c>
      <c r="D529" s="21" t="s">
        <v>129</v>
      </c>
      <c r="E529" s="21" t="s">
        <v>130</v>
      </c>
      <c r="F529" s="21" t="s">
        <v>5</v>
      </c>
      <c r="G529" s="21" t="s">
        <v>6</v>
      </c>
      <c r="H529" s="21" t="s">
        <v>35</v>
      </c>
      <c r="I529" s="21" t="s">
        <v>36</v>
      </c>
      <c r="J529" s="21" t="s">
        <v>9</v>
      </c>
      <c r="K529" s="21" t="s">
        <v>318</v>
      </c>
      <c r="L529" s="21" t="s">
        <v>325</v>
      </c>
      <c r="M529" s="21" t="s">
        <v>15</v>
      </c>
      <c r="N529" s="54">
        <v>6704.68</v>
      </c>
      <c r="O529" s="54">
        <v>0</v>
      </c>
      <c r="P529" s="54">
        <v>0</v>
      </c>
      <c r="Q529" s="54">
        <v>6704.68</v>
      </c>
      <c r="R529" s="54">
        <v>0</v>
      </c>
      <c r="S529" s="54">
        <v>731</v>
      </c>
      <c r="T529" s="54">
        <v>731</v>
      </c>
      <c r="U529" s="54">
        <v>5973.68</v>
      </c>
      <c r="V529" s="54">
        <v>5973.68</v>
      </c>
      <c r="W529" s="54">
        <v>5973.68</v>
      </c>
    </row>
    <row r="530" spans="1:23" outlineLevel="2" x14ac:dyDescent="0.2">
      <c r="A530" s="21" t="s">
        <v>0</v>
      </c>
      <c r="B530" s="21" t="s">
        <v>39</v>
      </c>
      <c r="C530" s="21" t="s">
        <v>58</v>
      </c>
      <c r="D530" s="21" t="s">
        <v>105</v>
      </c>
      <c r="E530" s="21" t="s">
        <v>106</v>
      </c>
      <c r="F530" s="21" t="s">
        <v>5</v>
      </c>
      <c r="G530" s="21" t="s">
        <v>6</v>
      </c>
      <c r="H530" s="21" t="s">
        <v>35</v>
      </c>
      <c r="I530" s="21" t="s">
        <v>36</v>
      </c>
      <c r="J530" s="21" t="s">
        <v>9</v>
      </c>
      <c r="K530" s="21" t="s">
        <v>318</v>
      </c>
      <c r="L530" s="21" t="s">
        <v>325</v>
      </c>
      <c r="M530" s="21" t="s">
        <v>15</v>
      </c>
      <c r="N530" s="54">
        <v>12953.1</v>
      </c>
      <c r="O530" s="54">
        <v>0</v>
      </c>
      <c r="P530" s="54">
        <v>0</v>
      </c>
      <c r="Q530" s="54">
        <v>12953.1</v>
      </c>
      <c r="R530" s="54">
        <v>0</v>
      </c>
      <c r="S530" s="54">
        <v>240</v>
      </c>
      <c r="T530" s="54">
        <v>240</v>
      </c>
      <c r="U530" s="54">
        <v>12713.1</v>
      </c>
      <c r="V530" s="54">
        <v>12713.1</v>
      </c>
      <c r="W530" s="54">
        <v>12713.1</v>
      </c>
    </row>
    <row r="531" spans="1:23" outlineLevel="2" x14ac:dyDescent="0.2">
      <c r="A531" s="21" t="s">
        <v>0</v>
      </c>
      <c r="B531" s="21" t="s">
        <v>39</v>
      </c>
      <c r="C531" s="21" t="s">
        <v>66</v>
      </c>
      <c r="D531" s="21" t="s">
        <v>67</v>
      </c>
      <c r="E531" s="21" t="s">
        <v>68</v>
      </c>
      <c r="F531" s="21" t="s">
        <v>5</v>
      </c>
      <c r="G531" s="21" t="s">
        <v>6</v>
      </c>
      <c r="H531" s="21" t="s">
        <v>35</v>
      </c>
      <c r="I531" s="21" t="s">
        <v>36</v>
      </c>
      <c r="J531" s="21" t="s">
        <v>9</v>
      </c>
      <c r="K531" s="21" t="s">
        <v>318</v>
      </c>
      <c r="L531" s="21" t="s">
        <v>327</v>
      </c>
      <c r="M531" s="21" t="s">
        <v>15</v>
      </c>
      <c r="N531" s="54">
        <v>6034.04</v>
      </c>
      <c r="O531" s="54">
        <v>-2758.93</v>
      </c>
      <c r="P531" s="54">
        <v>0</v>
      </c>
      <c r="Q531" s="54">
        <v>3275.11</v>
      </c>
      <c r="R531" s="54">
        <v>0</v>
      </c>
      <c r="S531" s="54">
        <v>516.16999999999996</v>
      </c>
      <c r="T531" s="54">
        <v>516.16999999999996</v>
      </c>
      <c r="U531" s="54">
        <v>2758.94</v>
      </c>
      <c r="V531" s="54">
        <v>2758.94</v>
      </c>
      <c r="W531" s="54">
        <v>2758.94</v>
      </c>
    </row>
    <row r="532" spans="1:23" outlineLevel="2" x14ac:dyDescent="0.2">
      <c r="A532" s="21" t="s">
        <v>0</v>
      </c>
      <c r="B532" s="21" t="s">
        <v>53</v>
      </c>
      <c r="C532" s="21" t="s">
        <v>54</v>
      </c>
      <c r="D532" s="21" t="s">
        <v>55</v>
      </c>
      <c r="E532" s="21" t="s">
        <v>56</v>
      </c>
      <c r="F532" s="21" t="s">
        <v>5</v>
      </c>
      <c r="G532" s="21" t="s">
        <v>6</v>
      </c>
      <c r="H532" s="21" t="s">
        <v>35</v>
      </c>
      <c r="I532" s="21" t="s">
        <v>36</v>
      </c>
      <c r="J532" s="21" t="s">
        <v>9</v>
      </c>
      <c r="K532" s="21" t="s">
        <v>318</v>
      </c>
      <c r="L532" s="21" t="s">
        <v>332</v>
      </c>
      <c r="M532" s="21" t="s">
        <v>15</v>
      </c>
      <c r="N532" s="54">
        <v>2459.2399999999998</v>
      </c>
      <c r="O532" s="54">
        <v>0</v>
      </c>
      <c r="P532" s="54">
        <v>0</v>
      </c>
      <c r="Q532" s="54">
        <v>2459.2399999999998</v>
      </c>
      <c r="R532" s="54">
        <v>0</v>
      </c>
      <c r="S532" s="54">
        <v>368.33</v>
      </c>
      <c r="T532" s="54">
        <v>368.33</v>
      </c>
      <c r="U532" s="54">
        <v>2090.91</v>
      </c>
      <c r="V532" s="54">
        <v>2090.91</v>
      </c>
      <c r="W532" s="54">
        <v>2090.91</v>
      </c>
    </row>
    <row r="533" spans="1:23" outlineLevel="2" x14ac:dyDescent="0.2">
      <c r="A533" s="21" t="s">
        <v>0</v>
      </c>
      <c r="B533" s="21" t="s">
        <v>1</v>
      </c>
      <c r="C533" s="21" t="s">
        <v>16</v>
      </c>
      <c r="D533" s="21" t="s">
        <v>62</v>
      </c>
      <c r="E533" s="21" t="s">
        <v>63</v>
      </c>
      <c r="F533" s="21" t="s">
        <v>5</v>
      </c>
      <c r="G533" s="21" t="s">
        <v>6</v>
      </c>
      <c r="H533" s="21" t="s">
        <v>35</v>
      </c>
      <c r="I533" s="21" t="s">
        <v>36</v>
      </c>
      <c r="J533" s="21" t="s">
        <v>9</v>
      </c>
      <c r="K533" s="21" t="s">
        <v>335</v>
      </c>
      <c r="L533" s="21" t="s">
        <v>345</v>
      </c>
      <c r="M533" s="21" t="s">
        <v>15</v>
      </c>
      <c r="N533" s="54">
        <v>530.20000000000005</v>
      </c>
      <c r="O533" s="54">
        <v>0</v>
      </c>
      <c r="P533" s="54">
        <v>0</v>
      </c>
      <c r="Q533" s="54">
        <v>530.20000000000005</v>
      </c>
      <c r="R533" s="54">
        <v>0</v>
      </c>
      <c r="S533" s="54">
        <v>0</v>
      </c>
      <c r="T533" s="54">
        <v>0</v>
      </c>
      <c r="U533" s="54">
        <v>530.20000000000005</v>
      </c>
      <c r="V533" s="54">
        <v>530.20000000000005</v>
      </c>
      <c r="W533" s="54">
        <v>530.20000000000005</v>
      </c>
    </row>
    <row r="534" spans="1:23" outlineLevel="2" x14ac:dyDescent="0.2">
      <c r="A534" s="21" t="s">
        <v>0</v>
      </c>
      <c r="B534" s="21" t="s">
        <v>31</v>
      </c>
      <c r="C534" s="21" t="s">
        <v>79</v>
      </c>
      <c r="D534" s="21" t="s">
        <v>125</v>
      </c>
      <c r="E534" s="21" t="s">
        <v>126</v>
      </c>
      <c r="F534" s="21" t="s">
        <v>5</v>
      </c>
      <c r="G534" s="21" t="s">
        <v>6</v>
      </c>
      <c r="H534" s="21" t="s">
        <v>35</v>
      </c>
      <c r="I534" s="21" t="s">
        <v>36</v>
      </c>
      <c r="J534" s="21" t="s">
        <v>9</v>
      </c>
      <c r="K534" s="21" t="s">
        <v>335</v>
      </c>
      <c r="L534" s="21" t="s">
        <v>338</v>
      </c>
      <c r="M534" s="21" t="s">
        <v>15</v>
      </c>
      <c r="N534" s="54">
        <v>5552.6</v>
      </c>
      <c r="O534" s="54">
        <v>2689.4</v>
      </c>
      <c r="P534" s="54">
        <v>0</v>
      </c>
      <c r="Q534" s="54">
        <v>8242</v>
      </c>
      <c r="R534" s="54">
        <v>0</v>
      </c>
      <c r="S534" s="54">
        <v>8240</v>
      </c>
      <c r="T534" s="54">
        <v>8240</v>
      </c>
      <c r="U534" s="54">
        <v>2</v>
      </c>
      <c r="V534" s="54">
        <v>2</v>
      </c>
      <c r="W534" s="54">
        <v>2</v>
      </c>
    </row>
    <row r="535" spans="1:23" outlineLevel="2" x14ac:dyDescent="0.2">
      <c r="A535" s="21" t="s">
        <v>0</v>
      </c>
      <c r="B535" s="21" t="s">
        <v>39</v>
      </c>
      <c r="C535" s="21" t="s">
        <v>58</v>
      </c>
      <c r="D535" s="21" t="s">
        <v>119</v>
      </c>
      <c r="E535" s="21" t="s">
        <v>120</v>
      </c>
      <c r="F535" s="21" t="s">
        <v>5</v>
      </c>
      <c r="G535" s="21" t="s">
        <v>6</v>
      </c>
      <c r="H535" s="21" t="s">
        <v>35</v>
      </c>
      <c r="I535" s="21" t="s">
        <v>36</v>
      </c>
      <c r="J535" s="21" t="s">
        <v>9</v>
      </c>
      <c r="K535" s="21" t="s">
        <v>335</v>
      </c>
      <c r="L535" s="21" t="s">
        <v>339</v>
      </c>
      <c r="M535" s="21" t="s">
        <v>15</v>
      </c>
      <c r="N535" s="54">
        <v>19252.419999999998</v>
      </c>
      <c r="O535" s="54">
        <v>0</v>
      </c>
      <c r="P535" s="54">
        <v>0</v>
      </c>
      <c r="Q535" s="54">
        <v>19252.419999999998</v>
      </c>
      <c r="R535" s="54">
        <v>0</v>
      </c>
      <c r="S535" s="54">
        <v>0</v>
      </c>
      <c r="T535" s="54">
        <v>0</v>
      </c>
      <c r="U535" s="54">
        <v>19252.419999999998</v>
      </c>
      <c r="V535" s="54">
        <v>19252.419999999998</v>
      </c>
      <c r="W535" s="54">
        <v>19252.419999999998</v>
      </c>
    </row>
    <row r="536" spans="1:23" outlineLevel="2" x14ac:dyDescent="0.2">
      <c r="A536" s="21" t="s">
        <v>0</v>
      </c>
      <c r="B536" s="21" t="s">
        <v>1</v>
      </c>
      <c r="C536" s="21" t="s">
        <v>99</v>
      </c>
      <c r="D536" s="21" t="s">
        <v>100</v>
      </c>
      <c r="E536" s="21" t="s">
        <v>101</v>
      </c>
      <c r="F536" s="21" t="s">
        <v>5</v>
      </c>
      <c r="G536" s="21" t="s">
        <v>6</v>
      </c>
      <c r="H536" s="21" t="s">
        <v>35</v>
      </c>
      <c r="I536" s="21" t="s">
        <v>36</v>
      </c>
      <c r="J536" s="21" t="s">
        <v>9</v>
      </c>
      <c r="K536" s="21" t="s">
        <v>335</v>
      </c>
      <c r="L536" s="21" t="s">
        <v>348</v>
      </c>
      <c r="M536" s="21" t="s">
        <v>15</v>
      </c>
      <c r="N536" s="54">
        <v>3357.98</v>
      </c>
      <c r="O536" s="54">
        <v>10857.15</v>
      </c>
      <c r="P536" s="54">
        <v>0</v>
      </c>
      <c r="Q536" s="54">
        <v>14215.13</v>
      </c>
      <c r="R536" s="54">
        <v>0</v>
      </c>
      <c r="S536" s="54">
        <v>14214.13</v>
      </c>
      <c r="T536" s="54">
        <v>14214.13</v>
      </c>
      <c r="U536" s="54">
        <v>1</v>
      </c>
      <c r="V536" s="54">
        <v>1</v>
      </c>
      <c r="W536" s="54">
        <v>1</v>
      </c>
    </row>
    <row r="537" spans="1:23" outlineLevel="2" x14ac:dyDescent="0.2">
      <c r="A537" s="21" t="s">
        <v>0</v>
      </c>
      <c r="B537" s="21" t="s">
        <v>31</v>
      </c>
      <c r="C537" s="21" t="s">
        <v>49</v>
      </c>
      <c r="D537" s="21" t="s">
        <v>50</v>
      </c>
      <c r="E537" s="21" t="s">
        <v>51</v>
      </c>
      <c r="F537" s="21" t="s">
        <v>5</v>
      </c>
      <c r="G537" s="21" t="s">
        <v>6</v>
      </c>
      <c r="H537" s="21" t="s">
        <v>35</v>
      </c>
      <c r="I537" s="21" t="s">
        <v>36</v>
      </c>
      <c r="J537" s="21" t="s">
        <v>9</v>
      </c>
      <c r="K537" s="21" t="s">
        <v>335</v>
      </c>
      <c r="L537" s="21" t="s">
        <v>349</v>
      </c>
      <c r="M537" s="21" t="s">
        <v>15</v>
      </c>
      <c r="N537" s="54">
        <v>1729.74</v>
      </c>
      <c r="O537" s="54">
        <v>0</v>
      </c>
      <c r="P537" s="54">
        <v>0</v>
      </c>
      <c r="Q537" s="54">
        <v>1729.74</v>
      </c>
      <c r="R537" s="54">
        <v>0</v>
      </c>
      <c r="S537" s="54">
        <v>0</v>
      </c>
      <c r="T537" s="54">
        <v>0</v>
      </c>
      <c r="U537" s="54">
        <v>1729.74</v>
      </c>
      <c r="V537" s="54">
        <v>1729.74</v>
      </c>
      <c r="W537" s="54">
        <v>1729.74</v>
      </c>
    </row>
    <row r="538" spans="1:23" outlineLevel="2" x14ac:dyDescent="0.2">
      <c r="A538" s="21" t="s">
        <v>0</v>
      </c>
      <c r="B538" s="21" t="s">
        <v>39</v>
      </c>
      <c r="C538" s="21" t="s">
        <v>58</v>
      </c>
      <c r="D538" s="21" t="s">
        <v>139</v>
      </c>
      <c r="E538" s="21" t="s">
        <v>140</v>
      </c>
      <c r="F538" s="21" t="s">
        <v>5</v>
      </c>
      <c r="G538" s="21" t="s">
        <v>6</v>
      </c>
      <c r="H538" s="21" t="s">
        <v>35</v>
      </c>
      <c r="I538" s="21" t="s">
        <v>36</v>
      </c>
      <c r="J538" s="21" t="s">
        <v>9</v>
      </c>
      <c r="K538" s="21" t="s">
        <v>335</v>
      </c>
      <c r="L538" s="21" t="s">
        <v>339</v>
      </c>
      <c r="M538" s="21" t="s">
        <v>15</v>
      </c>
      <c r="N538" s="54">
        <v>5507.83</v>
      </c>
      <c r="O538" s="54">
        <v>0</v>
      </c>
      <c r="P538" s="54">
        <v>0</v>
      </c>
      <c r="Q538" s="54">
        <v>5507.83</v>
      </c>
      <c r="R538" s="54">
        <v>0</v>
      </c>
      <c r="S538" s="54">
        <v>1261</v>
      </c>
      <c r="T538" s="54">
        <v>1261</v>
      </c>
      <c r="U538" s="54">
        <v>4246.83</v>
      </c>
      <c r="V538" s="54">
        <v>4246.83</v>
      </c>
      <c r="W538" s="54">
        <v>4246.83</v>
      </c>
    </row>
    <row r="539" spans="1:23" outlineLevel="2" x14ac:dyDescent="0.2">
      <c r="A539" s="21" t="s">
        <v>0</v>
      </c>
      <c r="B539" s="21" t="s">
        <v>1</v>
      </c>
      <c r="C539" s="21" t="s">
        <v>16</v>
      </c>
      <c r="D539" s="21" t="s">
        <v>64</v>
      </c>
      <c r="E539" s="21" t="s">
        <v>65</v>
      </c>
      <c r="F539" s="21" t="s">
        <v>5</v>
      </c>
      <c r="G539" s="21" t="s">
        <v>6</v>
      </c>
      <c r="H539" s="21" t="s">
        <v>35</v>
      </c>
      <c r="I539" s="21" t="s">
        <v>36</v>
      </c>
      <c r="J539" s="21" t="s">
        <v>9</v>
      </c>
      <c r="K539" s="21" t="s">
        <v>335</v>
      </c>
      <c r="L539" s="21" t="s">
        <v>345</v>
      </c>
      <c r="M539" s="21" t="s">
        <v>15</v>
      </c>
      <c r="N539" s="54">
        <v>878.65</v>
      </c>
      <c r="O539" s="54">
        <v>380</v>
      </c>
      <c r="P539" s="54">
        <v>0</v>
      </c>
      <c r="Q539" s="54">
        <v>1258.6500000000001</v>
      </c>
      <c r="R539" s="54">
        <v>0</v>
      </c>
      <c r="S539" s="54">
        <v>378</v>
      </c>
      <c r="T539" s="54">
        <v>378</v>
      </c>
      <c r="U539" s="54">
        <v>880.65</v>
      </c>
      <c r="V539" s="54">
        <v>880.65</v>
      </c>
      <c r="W539" s="54">
        <v>880.65</v>
      </c>
    </row>
    <row r="540" spans="1:23" outlineLevel="2" x14ac:dyDescent="0.2">
      <c r="A540" s="21" t="s">
        <v>0</v>
      </c>
      <c r="B540" s="21" t="s">
        <v>39</v>
      </c>
      <c r="C540" s="21" t="s">
        <v>40</v>
      </c>
      <c r="D540" s="21" t="s">
        <v>41</v>
      </c>
      <c r="E540" s="21" t="s">
        <v>42</v>
      </c>
      <c r="F540" s="21" t="s">
        <v>5</v>
      </c>
      <c r="G540" s="21" t="s">
        <v>6</v>
      </c>
      <c r="H540" s="21" t="s">
        <v>35</v>
      </c>
      <c r="I540" s="21" t="s">
        <v>36</v>
      </c>
      <c r="J540" s="21" t="s">
        <v>9</v>
      </c>
      <c r="K540" s="21" t="s">
        <v>335</v>
      </c>
      <c r="L540" s="21" t="s">
        <v>343</v>
      </c>
      <c r="M540" s="21" t="s">
        <v>15</v>
      </c>
      <c r="N540" s="54">
        <v>4771.13</v>
      </c>
      <c r="O540" s="54">
        <v>1055.54</v>
      </c>
      <c r="P540" s="54">
        <v>0</v>
      </c>
      <c r="Q540" s="54">
        <v>5826.67</v>
      </c>
      <c r="R540" s="54">
        <v>0</v>
      </c>
      <c r="S540" s="54">
        <v>5826.67</v>
      </c>
      <c r="T540" s="54">
        <v>5826.67</v>
      </c>
      <c r="U540" s="54">
        <v>0</v>
      </c>
      <c r="V540" s="54">
        <v>0</v>
      </c>
      <c r="W540" s="54">
        <v>0</v>
      </c>
    </row>
    <row r="541" spans="1:23" outlineLevel="2" x14ac:dyDescent="0.2">
      <c r="A541" s="21" t="s">
        <v>0</v>
      </c>
      <c r="B541" s="21" t="s">
        <v>39</v>
      </c>
      <c r="C541" s="21" t="s">
        <v>58</v>
      </c>
      <c r="D541" s="21" t="s">
        <v>149</v>
      </c>
      <c r="E541" s="21" t="s">
        <v>150</v>
      </c>
      <c r="F541" s="21" t="s">
        <v>5</v>
      </c>
      <c r="G541" s="21" t="s">
        <v>6</v>
      </c>
      <c r="H541" s="21" t="s">
        <v>35</v>
      </c>
      <c r="I541" s="21" t="s">
        <v>36</v>
      </c>
      <c r="J541" s="21" t="s">
        <v>9</v>
      </c>
      <c r="K541" s="21" t="s">
        <v>335</v>
      </c>
      <c r="L541" s="21" t="s">
        <v>339</v>
      </c>
      <c r="M541" s="21" t="s">
        <v>15</v>
      </c>
      <c r="N541" s="54">
        <v>9242.93</v>
      </c>
      <c r="O541" s="54">
        <v>0</v>
      </c>
      <c r="P541" s="54">
        <v>0</v>
      </c>
      <c r="Q541" s="54">
        <v>9242.93</v>
      </c>
      <c r="R541" s="54">
        <v>0</v>
      </c>
      <c r="S541" s="54">
        <v>4920.67</v>
      </c>
      <c r="T541" s="54">
        <v>4920.67</v>
      </c>
      <c r="U541" s="54">
        <v>4322.26</v>
      </c>
      <c r="V541" s="54">
        <v>4322.26</v>
      </c>
      <c r="W541" s="54">
        <v>4322.26</v>
      </c>
    </row>
    <row r="542" spans="1:23" outlineLevel="2" x14ac:dyDescent="0.2">
      <c r="A542" s="21" t="s">
        <v>0</v>
      </c>
      <c r="B542" s="21" t="s">
        <v>31</v>
      </c>
      <c r="C542" s="21" t="s">
        <v>79</v>
      </c>
      <c r="D542" s="21" t="s">
        <v>115</v>
      </c>
      <c r="E542" s="21" t="s">
        <v>116</v>
      </c>
      <c r="F542" s="21" t="s">
        <v>5</v>
      </c>
      <c r="G542" s="21" t="s">
        <v>6</v>
      </c>
      <c r="H542" s="21" t="s">
        <v>35</v>
      </c>
      <c r="I542" s="21" t="s">
        <v>36</v>
      </c>
      <c r="J542" s="21" t="s">
        <v>9</v>
      </c>
      <c r="K542" s="21" t="s">
        <v>335</v>
      </c>
      <c r="L542" s="21" t="s">
        <v>338</v>
      </c>
      <c r="M542" s="21" t="s">
        <v>15</v>
      </c>
      <c r="N542" s="54">
        <v>3947.87</v>
      </c>
      <c r="O542" s="54">
        <v>0</v>
      </c>
      <c r="P542" s="54">
        <v>0</v>
      </c>
      <c r="Q542" s="54">
        <v>3947.87</v>
      </c>
      <c r="R542" s="54">
        <v>0</v>
      </c>
      <c r="S542" s="54">
        <v>0</v>
      </c>
      <c r="T542" s="54">
        <v>0</v>
      </c>
      <c r="U542" s="54">
        <v>3947.87</v>
      </c>
      <c r="V542" s="54">
        <v>3947.87</v>
      </c>
      <c r="W542" s="54">
        <v>3947.87</v>
      </c>
    </row>
    <row r="543" spans="1:23" outlineLevel="2" x14ac:dyDescent="0.2">
      <c r="A543" s="21" t="s">
        <v>0</v>
      </c>
      <c r="B543" s="21" t="s">
        <v>1</v>
      </c>
      <c r="C543" s="21" t="s">
        <v>2</v>
      </c>
      <c r="D543" s="21" t="s">
        <v>20</v>
      </c>
      <c r="E543" s="21" t="s">
        <v>21</v>
      </c>
      <c r="F543" s="21" t="s">
        <v>5</v>
      </c>
      <c r="G543" s="21" t="s">
        <v>6</v>
      </c>
      <c r="H543" s="21" t="s">
        <v>35</v>
      </c>
      <c r="I543" s="21" t="s">
        <v>36</v>
      </c>
      <c r="J543" s="21" t="s">
        <v>9</v>
      </c>
      <c r="K543" s="21" t="s">
        <v>335</v>
      </c>
      <c r="L543" s="21" t="s">
        <v>337</v>
      </c>
      <c r="M543" s="21" t="s">
        <v>15</v>
      </c>
      <c r="N543" s="54">
        <v>21294.2</v>
      </c>
      <c r="O543" s="54">
        <v>21626.65</v>
      </c>
      <c r="P543" s="54">
        <v>0</v>
      </c>
      <c r="Q543" s="54">
        <v>42920.85</v>
      </c>
      <c r="R543" s="54">
        <v>0</v>
      </c>
      <c r="S543" s="54">
        <v>42898.35</v>
      </c>
      <c r="T543" s="54">
        <v>42898.35</v>
      </c>
      <c r="U543" s="54">
        <v>22.5</v>
      </c>
      <c r="V543" s="54">
        <v>22.5</v>
      </c>
      <c r="W543" s="54">
        <v>22.5</v>
      </c>
    </row>
    <row r="544" spans="1:23" outlineLevel="2" x14ac:dyDescent="0.2">
      <c r="A544" s="21" t="s">
        <v>0</v>
      </c>
      <c r="B544" s="21" t="s">
        <v>1</v>
      </c>
      <c r="C544" s="21" t="s">
        <v>44</v>
      </c>
      <c r="D544" s="21" t="s">
        <v>45</v>
      </c>
      <c r="E544" s="21" t="s">
        <v>46</v>
      </c>
      <c r="F544" s="21" t="s">
        <v>5</v>
      </c>
      <c r="G544" s="21" t="s">
        <v>6</v>
      </c>
      <c r="H544" s="21" t="s">
        <v>35</v>
      </c>
      <c r="I544" s="21" t="s">
        <v>36</v>
      </c>
      <c r="J544" s="21" t="s">
        <v>9</v>
      </c>
      <c r="K544" s="21" t="s">
        <v>335</v>
      </c>
      <c r="L544" s="21" t="s">
        <v>346</v>
      </c>
      <c r="M544" s="21" t="s">
        <v>15</v>
      </c>
      <c r="N544" s="54">
        <v>1696.45</v>
      </c>
      <c r="O544" s="54">
        <v>0</v>
      </c>
      <c r="P544" s="54">
        <v>0</v>
      </c>
      <c r="Q544" s="54">
        <v>1696.45</v>
      </c>
      <c r="R544" s="54">
        <v>0</v>
      </c>
      <c r="S544" s="54">
        <v>0</v>
      </c>
      <c r="T544" s="54">
        <v>0</v>
      </c>
      <c r="U544" s="54">
        <v>1696.45</v>
      </c>
      <c r="V544" s="54">
        <v>1696.45</v>
      </c>
      <c r="W544" s="54">
        <v>1696.45</v>
      </c>
    </row>
    <row r="545" spans="1:23" outlineLevel="2" x14ac:dyDescent="0.2">
      <c r="A545" s="21" t="s">
        <v>0</v>
      </c>
      <c r="B545" s="21" t="s">
        <v>31</v>
      </c>
      <c r="C545" s="21" t="s">
        <v>32</v>
      </c>
      <c r="D545" s="21" t="s">
        <v>141</v>
      </c>
      <c r="E545" s="21" t="s">
        <v>142</v>
      </c>
      <c r="F545" s="21" t="s">
        <v>5</v>
      </c>
      <c r="G545" s="21" t="s">
        <v>6</v>
      </c>
      <c r="H545" s="21" t="s">
        <v>35</v>
      </c>
      <c r="I545" s="21" t="s">
        <v>36</v>
      </c>
      <c r="J545" s="21" t="s">
        <v>9</v>
      </c>
      <c r="K545" s="21" t="s">
        <v>335</v>
      </c>
      <c r="L545" s="21" t="s">
        <v>336</v>
      </c>
      <c r="M545" s="21" t="s">
        <v>15</v>
      </c>
      <c r="N545" s="54">
        <v>2706.32</v>
      </c>
      <c r="O545" s="54">
        <v>2477</v>
      </c>
      <c r="P545" s="54">
        <v>0</v>
      </c>
      <c r="Q545" s="54">
        <v>5183.32</v>
      </c>
      <c r="R545" s="54">
        <v>0</v>
      </c>
      <c r="S545" s="54">
        <v>5183.22</v>
      </c>
      <c r="T545" s="54">
        <v>5183.22</v>
      </c>
      <c r="U545" s="54">
        <v>0.1</v>
      </c>
      <c r="V545" s="54">
        <v>0.1</v>
      </c>
      <c r="W545" s="54">
        <v>0.1</v>
      </c>
    </row>
    <row r="546" spans="1:23" outlineLevel="2" x14ac:dyDescent="0.2">
      <c r="A546" s="21" t="s">
        <v>0</v>
      </c>
      <c r="B546" s="21" t="s">
        <v>1</v>
      </c>
      <c r="C546" s="21" t="s">
        <v>16</v>
      </c>
      <c r="D546" s="21" t="s">
        <v>103</v>
      </c>
      <c r="E546" s="21" t="s">
        <v>104</v>
      </c>
      <c r="F546" s="21" t="s">
        <v>5</v>
      </c>
      <c r="G546" s="21" t="s">
        <v>6</v>
      </c>
      <c r="H546" s="21" t="s">
        <v>35</v>
      </c>
      <c r="I546" s="21" t="s">
        <v>36</v>
      </c>
      <c r="J546" s="21" t="s">
        <v>9</v>
      </c>
      <c r="K546" s="21" t="s">
        <v>335</v>
      </c>
      <c r="L546" s="21" t="s">
        <v>345</v>
      </c>
      <c r="M546" s="21" t="s">
        <v>15</v>
      </c>
      <c r="N546" s="54">
        <v>83700.19</v>
      </c>
      <c r="O546" s="54">
        <v>0</v>
      </c>
      <c r="P546" s="54">
        <v>0</v>
      </c>
      <c r="Q546" s="54">
        <v>83700.19</v>
      </c>
      <c r="R546" s="54">
        <v>0</v>
      </c>
      <c r="S546" s="54">
        <v>31330.67</v>
      </c>
      <c r="T546" s="54">
        <v>31330.67</v>
      </c>
      <c r="U546" s="54">
        <v>52369.52</v>
      </c>
      <c r="V546" s="54">
        <v>52369.52</v>
      </c>
      <c r="W546" s="54">
        <v>52369.52</v>
      </c>
    </row>
    <row r="547" spans="1:23" outlineLevel="2" x14ac:dyDescent="0.2">
      <c r="A547" s="21" t="s">
        <v>0</v>
      </c>
      <c r="B547" s="21" t="s">
        <v>39</v>
      </c>
      <c r="C547" s="21" t="s">
        <v>66</v>
      </c>
      <c r="D547" s="21" t="s">
        <v>121</v>
      </c>
      <c r="E547" s="21" t="s">
        <v>122</v>
      </c>
      <c r="F547" s="21" t="s">
        <v>5</v>
      </c>
      <c r="G547" s="21" t="s">
        <v>6</v>
      </c>
      <c r="H547" s="21" t="s">
        <v>35</v>
      </c>
      <c r="I547" s="21" t="s">
        <v>36</v>
      </c>
      <c r="J547" s="21" t="s">
        <v>9</v>
      </c>
      <c r="K547" s="21" t="s">
        <v>335</v>
      </c>
      <c r="L547" s="21" t="s">
        <v>340</v>
      </c>
      <c r="M547" s="21" t="s">
        <v>15</v>
      </c>
      <c r="N547" s="54">
        <v>3085.3</v>
      </c>
      <c r="O547" s="54">
        <v>1221.3599999999999</v>
      </c>
      <c r="P547" s="54">
        <v>0</v>
      </c>
      <c r="Q547" s="54">
        <v>4306.66</v>
      </c>
      <c r="R547" s="54">
        <v>0</v>
      </c>
      <c r="S547" s="54">
        <v>4306.66</v>
      </c>
      <c r="T547" s="54">
        <v>4306.66</v>
      </c>
      <c r="U547" s="54">
        <v>0</v>
      </c>
      <c r="V547" s="54">
        <v>0</v>
      </c>
      <c r="W547" s="54">
        <v>0</v>
      </c>
    </row>
    <row r="548" spans="1:23" outlineLevel="2" x14ac:dyDescent="0.2">
      <c r="A548" s="21" t="s">
        <v>0</v>
      </c>
      <c r="B548" s="21" t="s">
        <v>31</v>
      </c>
      <c r="C548" s="21" t="s">
        <v>107</v>
      </c>
      <c r="D548" s="21" t="s">
        <v>108</v>
      </c>
      <c r="E548" s="21" t="s">
        <v>109</v>
      </c>
      <c r="F548" s="21" t="s">
        <v>5</v>
      </c>
      <c r="G548" s="21" t="s">
        <v>6</v>
      </c>
      <c r="H548" s="21" t="s">
        <v>35</v>
      </c>
      <c r="I548" s="21" t="s">
        <v>36</v>
      </c>
      <c r="J548" s="21" t="s">
        <v>9</v>
      </c>
      <c r="K548" s="21" t="s">
        <v>335</v>
      </c>
      <c r="L548" s="21" t="s">
        <v>342</v>
      </c>
      <c r="M548" s="21" t="s">
        <v>15</v>
      </c>
      <c r="N548" s="54">
        <v>9360.64</v>
      </c>
      <c r="O548" s="54">
        <v>2324.36</v>
      </c>
      <c r="P548" s="54">
        <v>0</v>
      </c>
      <c r="Q548" s="54">
        <v>11685</v>
      </c>
      <c r="R548" s="54">
        <v>0</v>
      </c>
      <c r="S548" s="54">
        <v>11685</v>
      </c>
      <c r="T548" s="54">
        <v>11685</v>
      </c>
      <c r="U548" s="54">
        <v>0</v>
      </c>
      <c r="V548" s="54">
        <v>0</v>
      </c>
      <c r="W548" s="54">
        <v>0</v>
      </c>
    </row>
    <row r="549" spans="1:23" outlineLevel="2" x14ac:dyDescent="0.2">
      <c r="A549" s="21" t="s">
        <v>0</v>
      </c>
      <c r="B549" s="21" t="s">
        <v>39</v>
      </c>
      <c r="C549" s="21" t="s">
        <v>70</v>
      </c>
      <c r="D549" s="21" t="s">
        <v>71</v>
      </c>
      <c r="E549" s="21" t="s">
        <v>72</v>
      </c>
      <c r="F549" s="21" t="s">
        <v>5</v>
      </c>
      <c r="G549" s="21" t="s">
        <v>6</v>
      </c>
      <c r="H549" s="21" t="s">
        <v>35</v>
      </c>
      <c r="I549" s="21" t="s">
        <v>36</v>
      </c>
      <c r="J549" s="21" t="s">
        <v>9</v>
      </c>
      <c r="K549" s="21" t="s">
        <v>335</v>
      </c>
      <c r="L549" s="21" t="s">
        <v>341</v>
      </c>
      <c r="M549" s="21" t="s">
        <v>15</v>
      </c>
      <c r="N549" s="54">
        <v>5981.41</v>
      </c>
      <c r="O549" s="54">
        <v>170</v>
      </c>
      <c r="P549" s="54">
        <v>0</v>
      </c>
      <c r="Q549" s="54">
        <v>6151.41</v>
      </c>
      <c r="R549" s="54">
        <v>0</v>
      </c>
      <c r="S549" s="54">
        <v>6147.83</v>
      </c>
      <c r="T549" s="54">
        <v>6147.83</v>
      </c>
      <c r="U549" s="54">
        <v>3.58</v>
      </c>
      <c r="V549" s="54">
        <v>3.58</v>
      </c>
      <c r="W549" s="54">
        <v>3.58</v>
      </c>
    </row>
    <row r="550" spans="1:23" outlineLevel="2" x14ac:dyDescent="0.2">
      <c r="A550" s="21" t="s">
        <v>0</v>
      </c>
      <c r="B550" s="21" t="s">
        <v>39</v>
      </c>
      <c r="C550" s="21" t="s">
        <v>40</v>
      </c>
      <c r="D550" s="21" t="s">
        <v>77</v>
      </c>
      <c r="E550" s="21" t="s">
        <v>78</v>
      </c>
      <c r="F550" s="21" t="s">
        <v>5</v>
      </c>
      <c r="G550" s="21" t="s">
        <v>6</v>
      </c>
      <c r="H550" s="21" t="s">
        <v>35</v>
      </c>
      <c r="I550" s="21" t="s">
        <v>36</v>
      </c>
      <c r="J550" s="21" t="s">
        <v>9</v>
      </c>
      <c r="K550" s="21" t="s">
        <v>335</v>
      </c>
      <c r="L550" s="21" t="s">
        <v>343</v>
      </c>
      <c r="M550" s="21" t="s">
        <v>15</v>
      </c>
      <c r="N550" s="54">
        <v>70517.399999999994</v>
      </c>
      <c r="O550" s="54">
        <v>0</v>
      </c>
      <c r="P550" s="54">
        <v>0</v>
      </c>
      <c r="Q550" s="54">
        <v>70517.399999999994</v>
      </c>
      <c r="R550" s="54">
        <v>0</v>
      </c>
      <c r="S550" s="54">
        <v>47764.14</v>
      </c>
      <c r="T550" s="54">
        <v>47764.14</v>
      </c>
      <c r="U550" s="54">
        <v>22753.26</v>
      </c>
      <c r="V550" s="54">
        <v>22753.26</v>
      </c>
      <c r="W550" s="54">
        <v>22753.26</v>
      </c>
    </row>
    <row r="551" spans="1:23" outlineLevel="2" x14ac:dyDescent="0.2">
      <c r="A551" s="21" t="s">
        <v>0</v>
      </c>
      <c r="B551" s="21" t="s">
        <v>31</v>
      </c>
      <c r="C551" s="21" t="s">
        <v>32</v>
      </c>
      <c r="D551" s="21" t="s">
        <v>75</v>
      </c>
      <c r="E551" s="21" t="s">
        <v>76</v>
      </c>
      <c r="F551" s="21" t="s">
        <v>5</v>
      </c>
      <c r="G551" s="21" t="s">
        <v>6</v>
      </c>
      <c r="H551" s="21" t="s">
        <v>35</v>
      </c>
      <c r="I551" s="21" t="s">
        <v>36</v>
      </c>
      <c r="J551" s="21" t="s">
        <v>9</v>
      </c>
      <c r="K551" s="21" t="s">
        <v>335</v>
      </c>
      <c r="L551" s="21" t="s">
        <v>336</v>
      </c>
      <c r="M551" s="21" t="s">
        <v>15</v>
      </c>
      <c r="N551" s="54">
        <v>7521.53</v>
      </c>
      <c r="O551" s="54">
        <v>0</v>
      </c>
      <c r="P551" s="54">
        <v>0</v>
      </c>
      <c r="Q551" s="54">
        <v>7521.53</v>
      </c>
      <c r="R551" s="54">
        <v>0</v>
      </c>
      <c r="S551" s="54">
        <v>183.3</v>
      </c>
      <c r="T551" s="54">
        <v>183.3</v>
      </c>
      <c r="U551" s="54">
        <v>7338.23</v>
      </c>
      <c r="V551" s="54">
        <v>7338.23</v>
      </c>
      <c r="W551" s="54">
        <v>7338.23</v>
      </c>
    </row>
    <row r="552" spans="1:23" outlineLevel="2" x14ac:dyDescent="0.2">
      <c r="A552" s="21" t="s">
        <v>0</v>
      </c>
      <c r="B552" s="21" t="s">
        <v>1</v>
      </c>
      <c r="C552" s="21" t="s">
        <v>16</v>
      </c>
      <c r="D552" s="21" t="s">
        <v>17</v>
      </c>
      <c r="E552" s="21" t="s">
        <v>18</v>
      </c>
      <c r="F552" s="21" t="s">
        <v>5</v>
      </c>
      <c r="G552" s="21" t="s">
        <v>6</v>
      </c>
      <c r="H552" s="21" t="s">
        <v>35</v>
      </c>
      <c r="I552" s="21" t="s">
        <v>36</v>
      </c>
      <c r="J552" s="21" t="s">
        <v>9</v>
      </c>
      <c r="K552" s="21" t="s">
        <v>335</v>
      </c>
      <c r="L552" s="21" t="s">
        <v>345</v>
      </c>
      <c r="M552" s="21" t="s">
        <v>15</v>
      </c>
      <c r="N552" s="54">
        <v>10481.629999999999</v>
      </c>
      <c r="O552" s="54">
        <v>2520</v>
      </c>
      <c r="P552" s="54">
        <v>0</v>
      </c>
      <c r="Q552" s="54">
        <v>13001.63</v>
      </c>
      <c r="R552" s="54">
        <v>0</v>
      </c>
      <c r="S552" s="54">
        <v>13000</v>
      </c>
      <c r="T552" s="54">
        <v>13000</v>
      </c>
      <c r="U552" s="54">
        <v>1.63</v>
      </c>
      <c r="V552" s="54">
        <v>1.63</v>
      </c>
      <c r="W552" s="54">
        <v>1.63</v>
      </c>
    </row>
    <row r="553" spans="1:23" outlineLevel="2" x14ac:dyDescent="0.2">
      <c r="A553" s="21" t="s">
        <v>0</v>
      </c>
      <c r="B553" s="21" t="s">
        <v>31</v>
      </c>
      <c r="C553" s="21" t="s">
        <v>79</v>
      </c>
      <c r="D553" s="21" t="s">
        <v>83</v>
      </c>
      <c r="E553" s="21" t="s">
        <v>84</v>
      </c>
      <c r="F553" s="21" t="s">
        <v>5</v>
      </c>
      <c r="G553" s="21" t="s">
        <v>6</v>
      </c>
      <c r="H553" s="21" t="s">
        <v>35</v>
      </c>
      <c r="I553" s="21" t="s">
        <v>36</v>
      </c>
      <c r="J553" s="21" t="s">
        <v>9</v>
      </c>
      <c r="K553" s="21" t="s">
        <v>335</v>
      </c>
      <c r="L553" s="21" t="s">
        <v>338</v>
      </c>
      <c r="M553" s="21" t="s">
        <v>15</v>
      </c>
      <c r="N553" s="54">
        <v>30404.33</v>
      </c>
      <c r="O553" s="54">
        <v>0</v>
      </c>
      <c r="P553" s="54">
        <v>0</v>
      </c>
      <c r="Q553" s="54">
        <v>30404.33</v>
      </c>
      <c r="R553" s="54">
        <v>0</v>
      </c>
      <c r="S553" s="54">
        <v>485.67</v>
      </c>
      <c r="T553" s="54">
        <v>485.67</v>
      </c>
      <c r="U553" s="54">
        <v>29918.66</v>
      </c>
      <c r="V553" s="54">
        <v>29918.66</v>
      </c>
      <c r="W553" s="54">
        <v>29918.66</v>
      </c>
    </row>
    <row r="554" spans="1:23" outlineLevel="2" x14ac:dyDescent="0.2">
      <c r="A554" s="21" t="s">
        <v>0</v>
      </c>
      <c r="B554" s="21" t="s">
        <v>39</v>
      </c>
      <c r="C554" s="21" t="s">
        <v>58</v>
      </c>
      <c r="D554" s="21" t="s">
        <v>143</v>
      </c>
      <c r="E554" s="21" t="s">
        <v>144</v>
      </c>
      <c r="F554" s="21" t="s">
        <v>5</v>
      </c>
      <c r="G554" s="21" t="s">
        <v>6</v>
      </c>
      <c r="H554" s="21" t="s">
        <v>35</v>
      </c>
      <c r="I554" s="21" t="s">
        <v>36</v>
      </c>
      <c r="J554" s="21" t="s">
        <v>9</v>
      </c>
      <c r="K554" s="21" t="s">
        <v>335</v>
      </c>
      <c r="L554" s="21" t="s">
        <v>339</v>
      </c>
      <c r="M554" s="21" t="s">
        <v>15</v>
      </c>
      <c r="N554" s="54">
        <v>5216.28</v>
      </c>
      <c r="O554" s="54">
        <v>0</v>
      </c>
      <c r="P554" s="54">
        <v>0</v>
      </c>
      <c r="Q554" s="54">
        <v>5216.28</v>
      </c>
      <c r="R554" s="54">
        <v>0</v>
      </c>
      <c r="S554" s="54">
        <v>3248.83</v>
      </c>
      <c r="T554" s="54">
        <v>3248.83</v>
      </c>
      <c r="U554" s="54">
        <v>1967.45</v>
      </c>
      <c r="V554" s="54">
        <v>1967.45</v>
      </c>
      <c r="W554" s="54">
        <v>1967.45</v>
      </c>
    </row>
    <row r="555" spans="1:23" outlineLevel="2" x14ac:dyDescent="0.2">
      <c r="A555" s="21" t="s">
        <v>0</v>
      </c>
      <c r="B555" s="21" t="s">
        <v>1</v>
      </c>
      <c r="C555" s="21" t="s">
        <v>2</v>
      </c>
      <c r="D555" s="21" t="s">
        <v>3</v>
      </c>
      <c r="E555" s="21" t="s">
        <v>4</v>
      </c>
      <c r="F555" s="21" t="s">
        <v>5</v>
      </c>
      <c r="G555" s="21" t="s">
        <v>6</v>
      </c>
      <c r="H555" s="21" t="s">
        <v>35</v>
      </c>
      <c r="I555" s="21" t="s">
        <v>36</v>
      </c>
      <c r="J555" s="21" t="s">
        <v>9</v>
      </c>
      <c r="K555" s="21" t="s">
        <v>335</v>
      </c>
      <c r="L555" s="21" t="s">
        <v>337</v>
      </c>
      <c r="M555" s="21" t="s">
        <v>15</v>
      </c>
      <c r="N555" s="54">
        <v>11841.14</v>
      </c>
      <c r="O555" s="54">
        <v>0</v>
      </c>
      <c r="P555" s="54">
        <v>0</v>
      </c>
      <c r="Q555" s="54">
        <v>11841.14</v>
      </c>
      <c r="R555" s="54">
        <v>0</v>
      </c>
      <c r="S555" s="54">
        <v>10966.67</v>
      </c>
      <c r="T555" s="54">
        <v>10966.67</v>
      </c>
      <c r="U555" s="54">
        <v>874.47</v>
      </c>
      <c r="V555" s="54">
        <v>874.47</v>
      </c>
      <c r="W555" s="54">
        <v>874.47</v>
      </c>
    </row>
    <row r="556" spans="1:23" outlineLevel="2" x14ac:dyDescent="0.2">
      <c r="A556" s="21" t="s">
        <v>0</v>
      </c>
      <c r="B556" s="21" t="s">
        <v>31</v>
      </c>
      <c r="C556" s="21" t="s">
        <v>32</v>
      </c>
      <c r="D556" s="21" t="s">
        <v>123</v>
      </c>
      <c r="E556" s="21" t="s">
        <v>124</v>
      </c>
      <c r="F556" s="21" t="s">
        <v>5</v>
      </c>
      <c r="G556" s="21" t="s">
        <v>6</v>
      </c>
      <c r="H556" s="21" t="s">
        <v>35</v>
      </c>
      <c r="I556" s="21" t="s">
        <v>36</v>
      </c>
      <c r="J556" s="21" t="s">
        <v>9</v>
      </c>
      <c r="K556" s="21" t="s">
        <v>335</v>
      </c>
      <c r="L556" s="21" t="s">
        <v>336</v>
      </c>
      <c r="M556" s="21" t="s">
        <v>15</v>
      </c>
      <c r="N556" s="54">
        <v>7270.8</v>
      </c>
      <c r="O556" s="54">
        <v>0</v>
      </c>
      <c r="P556" s="54">
        <v>0</v>
      </c>
      <c r="Q556" s="54">
        <v>7270.8</v>
      </c>
      <c r="R556" s="54">
        <v>0</v>
      </c>
      <c r="S556" s="54">
        <v>3735.47</v>
      </c>
      <c r="T556" s="54">
        <v>3735.47</v>
      </c>
      <c r="U556" s="54">
        <v>3535.33</v>
      </c>
      <c r="V556" s="54">
        <v>3535.33</v>
      </c>
      <c r="W556" s="54">
        <v>3535.33</v>
      </c>
    </row>
    <row r="557" spans="1:23" outlineLevel="2" x14ac:dyDescent="0.2">
      <c r="A557" s="21" t="s">
        <v>0</v>
      </c>
      <c r="B557" s="21" t="s">
        <v>31</v>
      </c>
      <c r="C557" s="21" t="s">
        <v>32</v>
      </c>
      <c r="D557" s="21" t="s">
        <v>33</v>
      </c>
      <c r="E557" s="21" t="s">
        <v>34</v>
      </c>
      <c r="F557" s="21" t="s">
        <v>5</v>
      </c>
      <c r="G557" s="21" t="s">
        <v>6</v>
      </c>
      <c r="H557" s="21" t="s">
        <v>35</v>
      </c>
      <c r="I557" s="21" t="s">
        <v>36</v>
      </c>
      <c r="J557" s="21" t="s">
        <v>9</v>
      </c>
      <c r="K557" s="21" t="s">
        <v>335</v>
      </c>
      <c r="L557" s="21" t="s">
        <v>336</v>
      </c>
      <c r="M557" s="21" t="s">
        <v>15</v>
      </c>
      <c r="N557" s="54">
        <v>10573.35</v>
      </c>
      <c r="O557" s="54">
        <v>0</v>
      </c>
      <c r="P557" s="54">
        <v>0</v>
      </c>
      <c r="Q557" s="54">
        <v>10573.35</v>
      </c>
      <c r="R557" s="54">
        <v>0</v>
      </c>
      <c r="S557" s="54">
        <v>0</v>
      </c>
      <c r="T557" s="54">
        <v>0</v>
      </c>
      <c r="U557" s="54">
        <v>10573.35</v>
      </c>
      <c r="V557" s="54">
        <v>10573.35</v>
      </c>
      <c r="W557" s="54">
        <v>10573.35</v>
      </c>
    </row>
    <row r="558" spans="1:23" outlineLevel="2" x14ac:dyDescent="0.2">
      <c r="A558" s="21" t="s">
        <v>0</v>
      </c>
      <c r="B558" s="21" t="s">
        <v>39</v>
      </c>
      <c r="C558" s="21" t="s">
        <v>66</v>
      </c>
      <c r="D558" s="21" t="s">
        <v>67</v>
      </c>
      <c r="E558" s="21" t="s">
        <v>68</v>
      </c>
      <c r="F558" s="21" t="s">
        <v>5</v>
      </c>
      <c r="G558" s="21" t="s">
        <v>6</v>
      </c>
      <c r="H558" s="21" t="s">
        <v>35</v>
      </c>
      <c r="I558" s="21" t="s">
        <v>36</v>
      </c>
      <c r="J558" s="21" t="s">
        <v>9</v>
      </c>
      <c r="K558" s="21" t="s">
        <v>335</v>
      </c>
      <c r="L558" s="21" t="s">
        <v>340</v>
      </c>
      <c r="M558" s="21" t="s">
        <v>15</v>
      </c>
      <c r="N558" s="54">
        <v>6068.08</v>
      </c>
      <c r="O558" s="54">
        <v>-2468.08</v>
      </c>
      <c r="P558" s="54">
        <v>0</v>
      </c>
      <c r="Q558" s="54">
        <v>3600</v>
      </c>
      <c r="R558" s="54">
        <v>0</v>
      </c>
      <c r="S558" s="54">
        <v>3600</v>
      </c>
      <c r="T558" s="54">
        <v>3600</v>
      </c>
      <c r="U558" s="54">
        <v>0</v>
      </c>
      <c r="V558" s="54">
        <v>0</v>
      </c>
      <c r="W558" s="54">
        <v>0</v>
      </c>
    </row>
    <row r="559" spans="1:23" outlineLevel="2" x14ac:dyDescent="0.2">
      <c r="A559" s="21" t="s">
        <v>0</v>
      </c>
      <c r="B559" s="21" t="s">
        <v>39</v>
      </c>
      <c r="C559" s="21" t="s">
        <v>58</v>
      </c>
      <c r="D559" s="21" t="s">
        <v>145</v>
      </c>
      <c r="E559" s="21" t="s">
        <v>146</v>
      </c>
      <c r="F559" s="21" t="s">
        <v>5</v>
      </c>
      <c r="G559" s="21" t="s">
        <v>6</v>
      </c>
      <c r="H559" s="21" t="s">
        <v>35</v>
      </c>
      <c r="I559" s="21" t="s">
        <v>36</v>
      </c>
      <c r="J559" s="21" t="s">
        <v>9</v>
      </c>
      <c r="K559" s="21" t="s">
        <v>335</v>
      </c>
      <c r="L559" s="21" t="s">
        <v>339</v>
      </c>
      <c r="M559" s="21" t="s">
        <v>15</v>
      </c>
      <c r="N559" s="54">
        <v>9413.1200000000008</v>
      </c>
      <c r="O559" s="54">
        <v>0</v>
      </c>
      <c r="P559" s="54">
        <v>0</v>
      </c>
      <c r="Q559" s="54">
        <v>9413.1200000000008</v>
      </c>
      <c r="R559" s="54">
        <v>0</v>
      </c>
      <c r="S559" s="54">
        <v>5934.97</v>
      </c>
      <c r="T559" s="54">
        <v>5934.97</v>
      </c>
      <c r="U559" s="54">
        <v>3478.15</v>
      </c>
      <c r="V559" s="54">
        <v>3478.15</v>
      </c>
      <c r="W559" s="54">
        <v>3478.15</v>
      </c>
    </row>
    <row r="560" spans="1:23" outlineLevel="2" x14ac:dyDescent="0.2">
      <c r="A560" s="21" t="s">
        <v>0</v>
      </c>
      <c r="B560" s="21" t="s">
        <v>39</v>
      </c>
      <c r="C560" s="21" t="s">
        <v>58</v>
      </c>
      <c r="D560" s="21" t="s">
        <v>135</v>
      </c>
      <c r="E560" s="21" t="s">
        <v>136</v>
      </c>
      <c r="F560" s="21" t="s">
        <v>5</v>
      </c>
      <c r="G560" s="21" t="s">
        <v>6</v>
      </c>
      <c r="H560" s="21" t="s">
        <v>35</v>
      </c>
      <c r="I560" s="21" t="s">
        <v>36</v>
      </c>
      <c r="J560" s="21" t="s">
        <v>9</v>
      </c>
      <c r="K560" s="21" t="s">
        <v>335</v>
      </c>
      <c r="L560" s="21" t="s">
        <v>339</v>
      </c>
      <c r="M560" s="21" t="s">
        <v>15</v>
      </c>
      <c r="N560" s="54">
        <v>12479.8</v>
      </c>
      <c r="O560" s="54">
        <v>1025</v>
      </c>
      <c r="P560" s="54">
        <v>0</v>
      </c>
      <c r="Q560" s="54">
        <v>13504.8</v>
      </c>
      <c r="R560" s="54">
        <v>0</v>
      </c>
      <c r="S560" s="54">
        <v>4189.1400000000003</v>
      </c>
      <c r="T560" s="54">
        <v>4189.1400000000003</v>
      </c>
      <c r="U560" s="54">
        <v>9315.66</v>
      </c>
      <c r="V560" s="54">
        <v>9315.66</v>
      </c>
      <c r="W560" s="54">
        <v>9315.66</v>
      </c>
    </row>
    <row r="561" spans="1:23" outlineLevel="2" x14ac:dyDescent="0.2">
      <c r="A561" s="21" t="s">
        <v>0</v>
      </c>
      <c r="B561" s="21" t="s">
        <v>31</v>
      </c>
      <c r="C561" s="21" t="s">
        <v>79</v>
      </c>
      <c r="D561" s="21" t="s">
        <v>127</v>
      </c>
      <c r="E561" s="21" t="s">
        <v>128</v>
      </c>
      <c r="F561" s="21" t="s">
        <v>5</v>
      </c>
      <c r="G561" s="21" t="s">
        <v>6</v>
      </c>
      <c r="H561" s="21" t="s">
        <v>35</v>
      </c>
      <c r="I561" s="21" t="s">
        <v>36</v>
      </c>
      <c r="J561" s="21" t="s">
        <v>9</v>
      </c>
      <c r="K561" s="21" t="s">
        <v>335</v>
      </c>
      <c r="L561" s="21" t="s">
        <v>338</v>
      </c>
      <c r="M561" s="21" t="s">
        <v>15</v>
      </c>
      <c r="N561" s="54">
        <v>14090.81</v>
      </c>
      <c r="O561" s="54">
        <v>0</v>
      </c>
      <c r="P561" s="54">
        <v>0</v>
      </c>
      <c r="Q561" s="54">
        <v>14090.81</v>
      </c>
      <c r="R561" s="54">
        <v>0</v>
      </c>
      <c r="S561" s="54">
        <v>4380</v>
      </c>
      <c r="T561" s="54">
        <v>4380</v>
      </c>
      <c r="U561" s="54">
        <v>9710.81</v>
      </c>
      <c r="V561" s="54">
        <v>9710.81</v>
      </c>
      <c r="W561" s="54">
        <v>9710.81</v>
      </c>
    </row>
    <row r="562" spans="1:23" outlineLevel="2" x14ac:dyDescent="0.2">
      <c r="A562" s="21" t="s">
        <v>0</v>
      </c>
      <c r="B562" s="21" t="s">
        <v>31</v>
      </c>
      <c r="C562" s="21" t="s">
        <v>79</v>
      </c>
      <c r="D562" s="21" t="s">
        <v>117</v>
      </c>
      <c r="E562" s="21" t="s">
        <v>118</v>
      </c>
      <c r="F562" s="21" t="s">
        <v>5</v>
      </c>
      <c r="G562" s="21" t="s">
        <v>6</v>
      </c>
      <c r="H562" s="21" t="s">
        <v>35</v>
      </c>
      <c r="I562" s="21" t="s">
        <v>36</v>
      </c>
      <c r="J562" s="21" t="s">
        <v>9</v>
      </c>
      <c r="K562" s="21" t="s">
        <v>335</v>
      </c>
      <c r="L562" s="21" t="s">
        <v>338</v>
      </c>
      <c r="M562" s="21" t="s">
        <v>15</v>
      </c>
      <c r="N562" s="54">
        <v>12851.93</v>
      </c>
      <c r="O562" s="54">
        <v>0</v>
      </c>
      <c r="P562" s="54">
        <v>0</v>
      </c>
      <c r="Q562" s="54">
        <v>12851.93</v>
      </c>
      <c r="R562" s="54">
        <v>0</v>
      </c>
      <c r="S562" s="54">
        <v>0</v>
      </c>
      <c r="T562" s="54">
        <v>0</v>
      </c>
      <c r="U562" s="54">
        <v>12851.93</v>
      </c>
      <c r="V562" s="54">
        <v>12851.93</v>
      </c>
      <c r="W562" s="54">
        <v>12851.93</v>
      </c>
    </row>
    <row r="563" spans="1:23" outlineLevel="2" x14ac:dyDescent="0.2">
      <c r="A563" s="21" t="s">
        <v>0</v>
      </c>
      <c r="B563" s="21" t="s">
        <v>39</v>
      </c>
      <c r="C563" s="21" t="s">
        <v>95</v>
      </c>
      <c r="D563" s="21" t="s">
        <v>96</v>
      </c>
      <c r="E563" s="21" t="s">
        <v>97</v>
      </c>
      <c r="F563" s="21" t="s">
        <v>5</v>
      </c>
      <c r="G563" s="21" t="s">
        <v>6</v>
      </c>
      <c r="H563" s="21" t="s">
        <v>35</v>
      </c>
      <c r="I563" s="21" t="s">
        <v>36</v>
      </c>
      <c r="J563" s="21" t="s">
        <v>9</v>
      </c>
      <c r="K563" s="21" t="s">
        <v>335</v>
      </c>
      <c r="L563" s="21" t="s">
        <v>351</v>
      </c>
      <c r="M563" s="21" t="s">
        <v>15</v>
      </c>
      <c r="N563" s="54">
        <v>3326.09</v>
      </c>
      <c r="O563" s="54">
        <v>0</v>
      </c>
      <c r="P563" s="54">
        <v>0</v>
      </c>
      <c r="Q563" s="54">
        <v>3326.09</v>
      </c>
      <c r="R563" s="54">
        <v>0</v>
      </c>
      <c r="S563" s="54">
        <v>2806.8</v>
      </c>
      <c r="T563" s="54">
        <v>2806.8</v>
      </c>
      <c r="U563" s="54">
        <v>519.29</v>
      </c>
      <c r="V563" s="54">
        <v>519.29</v>
      </c>
      <c r="W563" s="54">
        <v>519.29</v>
      </c>
    </row>
    <row r="564" spans="1:23" outlineLevel="2" x14ac:dyDescent="0.2">
      <c r="A564" s="21" t="s">
        <v>0</v>
      </c>
      <c r="B564" s="21" t="s">
        <v>53</v>
      </c>
      <c r="C564" s="21" t="s">
        <v>54</v>
      </c>
      <c r="D564" s="21" t="s">
        <v>55</v>
      </c>
      <c r="E564" s="21" t="s">
        <v>56</v>
      </c>
      <c r="F564" s="21" t="s">
        <v>5</v>
      </c>
      <c r="G564" s="21" t="s">
        <v>6</v>
      </c>
      <c r="H564" s="21" t="s">
        <v>35</v>
      </c>
      <c r="I564" s="21" t="s">
        <v>36</v>
      </c>
      <c r="J564" s="21" t="s">
        <v>9</v>
      </c>
      <c r="K564" s="21" t="s">
        <v>335</v>
      </c>
      <c r="L564" s="21" t="s">
        <v>344</v>
      </c>
      <c r="M564" s="21" t="s">
        <v>15</v>
      </c>
      <c r="N564" s="54">
        <v>4918.47</v>
      </c>
      <c r="O564" s="54">
        <v>0</v>
      </c>
      <c r="P564" s="54">
        <v>0</v>
      </c>
      <c r="Q564" s="54">
        <v>4918.47</v>
      </c>
      <c r="R564" s="54">
        <v>0</v>
      </c>
      <c r="S564" s="54">
        <v>1706.73</v>
      </c>
      <c r="T564" s="54">
        <v>1706.73</v>
      </c>
      <c r="U564" s="54">
        <v>3211.74</v>
      </c>
      <c r="V564" s="54">
        <v>3211.74</v>
      </c>
      <c r="W564" s="54">
        <v>3211.74</v>
      </c>
    </row>
    <row r="565" spans="1:23" outlineLevel="2" x14ac:dyDescent="0.2">
      <c r="A565" s="21" t="s">
        <v>0</v>
      </c>
      <c r="B565" s="21" t="s">
        <v>31</v>
      </c>
      <c r="C565" s="21" t="s">
        <v>79</v>
      </c>
      <c r="D565" s="21" t="s">
        <v>131</v>
      </c>
      <c r="E565" s="21" t="s">
        <v>132</v>
      </c>
      <c r="F565" s="21" t="s">
        <v>5</v>
      </c>
      <c r="G565" s="21" t="s">
        <v>6</v>
      </c>
      <c r="H565" s="21" t="s">
        <v>35</v>
      </c>
      <c r="I565" s="21" t="s">
        <v>36</v>
      </c>
      <c r="J565" s="21" t="s">
        <v>9</v>
      </c>
      <c r="K565" s="21" t="s">
        <v>335</v>
      </c>
      <c r="L565" s="21" t="s">
        <v>338</v>
      </c>
      <c r="M565" s="21" t="s">
        <v>15</v>
      </c>
      <c r="N565" s="54">
        <v>2749.61</v>
      </c>
      <c r="O565" s="54">
        <v>0</v>
      </c>
      <c r="P565" s="54">
        <v>0</v>
      </c>
      <c r="Q565" s="54">
        <v>2749.61</v>
      </c>
      <c r="R565" s="54">
        <v>0</v>
      </c>
      <c r="S565" s="54">
        <v>0</v>
      </c>
      <c r="T565" s="54">
        <v>0</v>
      </c>
      <c r="U565" s="54">
        <v>2749.61</v>
      </c>
      <c r="V565" s="54">
        <v>2749.61</v>
      </c>
      <c r="W565" s="54">
        <v>2749.61</v>
      </c>
    </row>
    <row r="566" spans="1:23" outlineLevel="2" x14ac:dyDescent="0.2">
      <c r="A566" s="21" t="s">
        <v>0</v>
      </c>
      <c r="B566" s="21" t="s">
        <v>31</v>
      </c>
      <c r="C566" s="21" t="s">
        <v>79</v>
      </c>
      <c r="D566" s="21" t="s">
        <v>133</v>
      </c>
      <c r="E566" s="21" t="s">
        <v>134</v>
      </c>
      <c r="F566" s="21" t="s">
        <v>5</v>
      </c>
      <c r="G566" s="21" t="s">
        <v>6</v>
      </c>
      <c r="H566" s="21" t="s">
        <v>35</v>
      </c>
      <c r="I566" s="21" t="s">
        <v>36</v>
      </c>
      <c r="J566" s="21" t="s">
        <v>9</v>
      </c>
      <c r="K566" s="21" t="s">
        <v>335</v>
      </c>
      <c r="L566" s="21" t="s">
        <v>338</v>
      </c>
      <c r="M566" s="21" t="s">
        <v>15</v>
      </c>
      <c r="N566" s="54">
        <v>7810.62</v>
      </c>
      <c r="O566" s="54">
        <v>0</v>
      </c>
      <c r="P566" s="54">
        <v>0</v>
      </c>
      <c r="Q566" s="54">
        <v>7810.62</v>
      </c>
      <c r="R566" s="54">
        <v>0</v>
      </c>
      <c r="S566" s="54">
        <v>5170</v>
      </c>
      <c r="T566" s="54">
        <v>5170</v>
      </c>
      <c r="U566" s="54">
        <v>2640.62</v>
      </c>
      <c r="V566" s="54">
        <v>2640.62</v>
      </c>
      <c r="W566" s="54">
        <v>2640.62</v>
      </c>
    </row>
    <row r="567" spans="1:23" outlineLevel="2" x14ac:dyDescent="0.2">
      <c r="A567" s="21" t="s">
        <v>0</v>
      </c>
      <c r="B567" s="21" t="s">
        <v>39</v>
      </c>
      <c r="C567" s="21" t="s">
        <v>58</v>
      </c>
      <c r="D567" s="21" t="s">
        <v>105</v>
      </c>
      <c r="E567" s="21" t="s">
        <v>106</v>
      </c>
      <c r="F567" s="21" t="s">
        <v>5</v>
      </c>
      <c r="G567" s="21" t="s">
        <v>6</v>
      </c>
      <c r="H567" s="21" t="s">
        <v>35</v>
      </c>
      <c r="I567" s="21" t="s">
        <v>36</v>
      </c>
      <c r="J567" s="21" t="s">
        <v>9</v>
      </c>
      <c r="K567" s="21" t="s">
        <v>335</v>
      </c>
      <c r="L567" s="21" t="s">
        <v>339</v>
      </c>
      <c r="M567" s="21" t="s">
        <v>15</v>
      </c>
      <c r="N567" s="54">
        <v>11936.24</v>
      </c>
      <c r="O567" s="54">
        <v>0</v>
      </c>
      <c r="P567" s="54">
        <v>0</v>
      </c>
      <c r="Q567" s="54">
        <v>11936.24</v>
      </c>
      <c r="R567" s="54">
        <v>0</v>
      </c>
      <c r="S567" s="54">
        <v>550</v>
      </c>
      <c r="T567" s="54">
        <v>550</v>
      </c>
      <c r="U567" s="54">
        <v>11386.24</v>
      </c>
      <c r="V567" s="54">
        <v>11386.24</v>
      </c>
      <c r="W567" s="54">
        <v>11386.24</v>
      </c>
    </row>
    <row r="568" spans="1:23" outlineLevel="2" x14ac:dyDescent="0.2">
      <c r="A568" s="21" t="s">
        <v>0</v>
      </c>
      <c r="B568" s="21" t="s">
        <v>39</v>
      </c>
      <c r="C568" s="21" t="s">
        <v>58</v>
      </c>
      <c r="D568" s="21" t="s">
        <v>129</v>
      </c>
      <c r="E568" s="21" t="s">
        <v>130</v>
      </c>
      <c r="F568" s="21" t="s">
        <v>5</v>
      </c>
      <c r="G568" s="21" t="s">
        <v>6</v>
      </c>
      <c r="H568" s="21" t="s">
        <v>35</v>
      </c>
      <c r="I568" s="21" t="s">
        <v>36</v>
      </c>
      <c r="J568" s="21" t="s">
        <v>9</v>
      </c>
      <c r="K568" s="21" t="s">
        <v>335</v>
      </c>
      <c r="L568" s="21" t="s">
        <v>339</v>
      </c>
      <c r="M568" s="21" t="s">
        <v>15</v>
      </c>
      <c r="N568" s="54">
        <v>7409.36</v>
      </c>
      <c r="O568" s="54">
        <v>0</v>
      </c>
      <c r="P568" s="54">
        <v>0</v>
      </c>
      <c r="Q568" s="54">
        <v>7409.36</v>
      </c>
      <c r="R568" s="54">
        <v>0</v>
      </c>
      <c r="S568" s="54">
        <v>780</v>
      </c>
      <c r="T568" s="54">
        <v>780</v>
      </c>
      <c r="U568" s="54">
        <v>6629.36</v>
      </c>
      <c r="V568" s="54">
        <v>6629.36</v>
      </c>
      <c r="W568" s="54">
        <v>6629.36</v>
      </c>
    </row>
    <row r="569" spans="1:23" outlineLevel="2" x14ac:dyDescent="0.2">
      <c r="A569" s="21" t="s">
        <v>0</v>
      </c>
      <c r="B569" s="21" t="s">
        <v>31</v>
      </c>
      <c r="C569" s="21" t="s">
        <v>79</v>
      </c>
      <c r="D569" s="21" t="s">
        <v>80</v>
      </c>
      <c r="E569" s="21" t="s">
        <v>81</v>
      </c>
      <c r="F569" s="21" t="s">
        <v>5</v>
      </c>
      <c r="G569" s="21" t="s">
        <v>6</v>
      </c>
      <c r="H569" s="21" t="s">
        <v>35</v>
      </c>
      <c r="I569" s="21" t="s">
        <v>36</v>
      </c>
      <c r="J569" s="21" t="s">
        <v>9</v>
      </c>
      <c r="K569" s="21" t="s">
        <v>335</v>
      </c>
      <c r="L569" s="21" t="s">
        <v>338</v>
      </c>
      <c r="M569" s="21" t="s">
        <v>15</v>
      </c>
      <c r="N569" s="54">
        <v>2352.56</v>
      </c>
      <c r="O569" s="54">
        <v>0</v>
      </c>
      <c r="P569" s="54">
        <v>0</v>
      </c>
      <c r="Q569" s="54">
        <v>2352.56</v>
      </c>
      <c r="R569" s="54">
        <v>0</v>
      </c>
      <c r="S569" s="54">
        <v>0</v>
      </c>
      <c r="T569" s="54">
        <v>0</v>
      </c>
      <c r="U569" s="54">
        <v>2352.56</v>
      </c>
      <c r="V569" s="54">
        <v>2352.56</v>
      </c>
      <c r="W569" s="54">
        <v>2352.56</v>
      </c>
    </row>
    <row r="570" spans="1:23" outlineLevel="2" x14ac:dyDescent="0.2">
      <c r="A570" s="21" t="s">
        <v>0</v>
      </c>
      <c r="B570" s="21" t="s">
        <v>39</v>
      </c>
      <c r="C570" s="21" t="s">
        <v>58</v>
      </c>
      <c r="D570" s="21" t="s">
        <v>147</v>
      </c>
      <c r="E570" s="21" t="s">
        <v>148</v>
      </c>
      <c r="F570" s="21" t="s">
        <v>5</v>
      </c>
      <c r="G570" s="21" t="s">
        <v>6</v>
      </c>
      <c r="H570" s="21" t="s">
        <v>35</v>
      </c>
      <c r="I570" s="21" t="s">
        <v>36</v>
      </c>
      <c r="J570" s="21" t="s">
        <v>9</v>
      </c>
      <c r="K570" s="21" t="s">
        <v>335</v>
      </c>
      <c r="L570" s="21" t="s">
        <v>339</v>
      </c>
      <c r="M570" s="21" t="s">
        <v>15</v>
      </c>
      <c r="N570" s="54">
        <v>4445.4399999999996</v>
      </c>
      <c r="O570" s="54">
        <v>0</v>
      </c>
      <c r="P570" s="54">
        <v>0</v>
      </c>
      <c r="Q570" s="54">
        <v>4445.4399999999996</v>
      </c>
      <c r="R570" s="54">
        <v>0</v>
      </c>
      <c r="S570" s="54">
        <v>0</v>
      </c>
      <c r="T570" s="54">
        <v>0</v>
      </c>
      <c r="U570" s="54">
        <v>4445.4399999999996</v>
      </c>
      <c r="V570" s="54">
        <v>4445.4399999999996</v>
      </c>
      <c r="W570" s="54">
        <v>4445.4399999999996</v>
      </c>
    </row>
    <row r="571" spans="1:23" outlineLevel="2" x14ac:dyDescent="0.2">
      <c r="A571" s="21" t="s">
        <v>0</v>
      </c>
      <c r="B571" s="21" t="s">
        <v>39</v>
      </c>
      <c r="C571" s="21" t="s">
        <v>58</v>
      </c>
      <c r="D571" s="21" t="s">
        <v>59</v>
      </c>
      <c r="E571" s="21" t="s">
        <v>60</v>
      </c>
      <c r="F571" s="21" t="s">
        <v>5</v>
      </c>
      <c r="G571" s="21" t="s">
        <v>6</v>
      </c>
      <c r="H571" s="21" t="s">
        <v>35</v>
      </c>
      <c r="I571" s="21" t="s">
        <v>36</v>
      </c>
      <c r="J571" s="21" t="s">
        <v>9</v>
      </c>
      <c r="K571" s="21" t="s">
        <v>335</v>
      </c>
      <c r="L571" s="21" t="s">
        <v>339</v>
      </c>
      <c r="M571" s="21" t="s">
        <v>15</v>
      </c>
      <c r="N571" s="54">
        <v>27767.72</v>
      </c>
      <c r="O571" s="54">
        <v>0</v>
      </c>
      <c r="P571" s="54">
        <v>0</v>
      </c>
      <c r="Q571" s="54">
        <v>27767.72</v>
      </c>
      <c r="R571" s="54">
        <v>0</v>
      </c>
      <c r="S571" s="54">
        <v>0</v>
      </c>
      <c r="T571" s="54">
        <v>0</v>
      </c>
      <c r="U571" s="54">
        <v>27767.72</v>
      </c>
      <c r="V571" s="54">
        <v>27767.72</v>
      </c>
      <c r="W571" s="54">
        <v>27767.72</v>
      </c>
    </row>
    <row r="572" spans="1:23" outlineLevel="2" x14ac:dyDescent="0.2">
      <c r="A572" s="21" t="s">
        <v>0</v>
      </c>
      <c r="B572" s="21" t="s">
        <v>39</v>
      </c>
      <c r="C572" s="21" t="s">
        <v>70</v>
      </c>
      <c r="D572" s="21" t="s">
        <v>89</v>
      </c>
      <c r="E572" s="21" t="s">
        <v>90</v>
      </c>
      <c r="F572" s="21" t="s">
        <v>5</v>
      </c>
      <c r="G572" s="21" t="s">
        <v>6</v>
      </c>
      <c r="H572" s="21" t="s">
        <v>35</v>
      </c>
      <c r="I572" s="21" t="s">
        <v>36</v>
      </c>
      <c r="J572" s="21" t="s">
        <v>9</v>
      </c>
      <c r="K572" s="21" t="s">
        <v>335</v>
      </c>
      <c r="L572" s="21" t="s">
        <v>341</v>
      </c>
      <c r="M572" s="21" t="s">
        <v>15</v>
      </c>
      <c r="N572" s="54">
        <v>38030.15</v>
      </c>
      <c r="O572" s="54">
        <v>0</v>
      </c>
      <c r="P572" s="54">
        <v>0</v>
      </c>
      <c r="Q572" s="54">
        <v>38030.15</v>
      </c>
      <c r="R572" s="54">
        <v>0</v>
      </c>
      <c r="S572" s="54">
        <v>0</v>
      </c>
      <c r="T572" s="54">
        <v>0</v>
      </c>
      <c r="U572" s="54">
        <v>38030.15</v>
      </c>
      <c r="V572" s="54">
        <v>38030.15</v>
      </c>
      <c r="W572" s="54">
        <v>38030.15</v>
      </c>
    </row>
    <row r="573" spans="1:23" outlineLevel="2" x14ac:dyDescent="0.2">
      <c r="A573" s="21" t="s">
        <v>0</v>
      </c>
      <c r="B573" s="21" t="s">
        <v>31</v>
      </c>
      <c r="C573" s="21" t="s">
        <v>79</v>
      </c>
      <c r="D573" s="21" t="s">
        <v>111</v>
      </c>
      <c r="E573" s="21" t="s">
        <v>112</v>
      </c>
      <c r="F573" s="21" t="s">
        <v>5</v>
      </c>
      <c r="G573" s="21" t="s">
        <v>6</v>
      </c>
      <c r="H573" s="21" t="s">
        <v>35</v>
      </c>
      <c r="I573" s="21" t="s">
        <v>36</v>
      </c>
      <c r="J573" s="21" t="s">
        <v>9</v>
      </c>
      <c r="K573" s="21" t="s">
        <v>335</v>
      </c>
      <c r="L573" s="21" t="s">
        <v>338</v>
      </c>
      <c r="M573" s="21" t="s">
        <v>15</v>
      </c>
      <c r="N573" s="54">
        <v>35160.74</v>
      </c>
      <c r="O573" s="54">
        <v>0</v>
      </c>
      <c r="P573" s="54">
        <v>0</v>
      </c>
      <c r="Q573" s="54">
        <v>35160.74</v>
      </c>
      <c r="R573" s="54">
        <v>0</v>
      </c>
      <c r="S573" s="54">
        <v>6500</v>
      </c>
      <c r="T573" s="54">
        <v>6500</v>
      </c>
      <c r="U573" s="54">
        <v>28660.74</v>
      </c>
      <c r="V573" s="54">
        <v>28660.74</v>
      </c>
      <c r="W573" s="54">
        <v>28660.74</v>
      </c>
    </row>
    <row r="574" spans="1:23" outlineLevel="2" x14ac:dyDescent="0.2">
      <c r="A574" s="21" t="s">
        <v>0</v>
      </c>
      <c r="B574" s="21" t="s">
        <v>1</v>
      </c>
      <c r="C574" s="21" t="s">
        <v>91</v>
      </c>
      <c r="D574" s="21" t="s">
        <v>92</v>
      </c>
      <c r="E574" s="21" t="s">
        <v>93</v>
      </c>
      <c r="F574" s="21" t="s">
        <v>5</v>
      </c>
      <c r="G574" s="21" t="s">
        <v>6</v>
      </c>
      <c r="H574" s="21" t="s">
        <v>35</v>
      </c>
      <c r="I574" s="21" t="s">
        <v>36</v>
      </c>
      <c r="J574" s="21" t="s">
        <v>9</v>
      </c>
      <c r="K574" s="21" t="s">
        <v>335</v>
      </c>
      <c r="L574" s="21" t="s">
        <v>350</v>
      </c>
      <c r="M574" s="21" t="s">
        <v>15</v>
      </c>
      <c r="N574" s="54">
        <v>4918.47</v>
      </c>
      <c r="O574" s="54">
        <v>6264</v>
      </c>
      <c r="P574" s="54">
        <v>0</v>
      </c>
      <c r="Q574" s="54">
        <v>11182.47</v>
      </c>
      <c r="R574" s="54">
        <v>0</v>
      </c>
      <c r="S574" s="54">
        <v>4566.3</v>
      </c>
      <c r="T574" s="54">
        <v>4566.3</v>
      </c>
      <c r="U574" s="54">
        <v>6616.17</v>
      </c>
      <c r="V574" s="54">
        <v>6616.17</v>
      </c>
      <c r="W574" s="54">
        <v>6616.17</v>
      </c>
    </row>
    <row r="575" spans="1:23" outlineLevel="2" x14ac:dyDescent="0.2">
      <c r="A575" s="21" t="s">
        <v>0</v>
      </c>
      <c r="B575" s="21" t="s">
        <v>39</v>
      </c>
      <c r="C575" s="21" t="s">
        <v>58</v>
      </c>
      <c r="D575" s="21" t="s">
        <v>137</v>
      </c>
      <c r="E575" s="21" t="s">
        <v>138</v>
      </c>
      <c r="F575" s="21" t="s">
        <v>5</v>
      </c>
      <c r="G575" s="21" t="s">
        <v>6</v>
      </c>
      <c r="H575" s="21" t="s">
        <v>35</v>
      </c>
      <c r="I575" s="21" t="s">
        <v>36</v>
      </c>
      <c r="J575" s="21" t="s">
        <v>9</v>
      </c>
      <c r="K575" s="21" t="s">
        <v>335</v>
      </c>
      <c r="L575" s="21" t="s">
        <v>339</v>
      </c>
      <c r="M575" s="21" t="s">
        <v>15</v>
      </c>
      <c r="N575" s="54">
        <v>16555.189999999999</v>
      </c>
      <c r="O575" s="54">
        <v>3559.3</v>
      </c>
      <c r="P575" s="54">
        <v>0</v>
      </c>
      <c r="Q575" s="54">
        <v>20114.490000000002</v>
      </c>
      <c r="R575" s="54">
        <v>0</v>
      </c>
      <c r="S575" s="54">
        <v>20111.75</v>
      </c>
      <c r="T575" s="54">
        <v>20111.75</v>
      </c>
      <c r="U575" s="54">
        <v>2.74</v>
      </c>
      <c r="V575" s="54">
        <v>2.74</v>
      </c>
      <c r="W575" s="54">
        <v>2.74</v>
      </c>
    </row>
    <row r="576" spans="1:23" outlineLevel="2" x14ac:dyDescent="0.2">
      <c r="A576" s="21" t="s">
        <v>0</v>
      </c>
      <c r="B576" s="21" t="s">
        <v>31</v>
      </c>
      <c r="C576" s="21" t="s">
        <v>79</v>
      </c>
      <c r="D576" s="21" t="s">
        <v>113</v>
      </c>
      <c r="E576" s="21" t="s">
        <v>114</v>
      </c>
      <c r="F576" s="21" t="s">
        <v>5</v>
      </c>
      <c r="G576" s="21" t="s">
        <v>6</v>
      </c>
      <c r="H576" s="21" t="s">
        <v>35</v>
      </c>
      <c r="I576" s="21" t="s">
        <v>36</v>
      </c>
      <c r="J576" s="21" t="s">
        <v>9</v>
      </c>
      <c r="K576" s="21" t="s">
        <v>335</v>
      </c>
      <c r="L576" s="21" t="s">
        <v>338</v>
      </c>
      <c r="M576" s="21" t="s">
        <v>15</v>
      </c>
      <c r="N576" s="54">
        <v>6233.19</v>
      </c>
      <c r="O576" s="54">
        <v>0</v>
      </c>
      <c r="P576" s="54">
        <v>0</v>
      </c>
      <c r="Q576" s="54">
        <v>6233.19</v>
      </c>
      <c r="R576" s="54">
        <v>0</v>
      </c>
      <c r="S576" s="54">
        <v>0</v>
      </c>
      <c r="T576" s="54">
        <v>0</v>
      </c>
      <c r="U576" s="54">
        <v>6233.19</v>
      </c>
      <c r="V576" s="54">
        <v>6233.19</v>
      </c>
      <c r="W576" s="54">
        <v>6233.19</v>
      </c>
    </row>
    <row r="577" spans="1:23" outlineLevel="2" x14ac:dyDescent="0.2">
      <c r="A577" s="21" t="s">
        <v>0</v>
      </c>
      <c r="B577" s="21" t="s">
        <v>53</v>
      </c>
      <c r="C577" s="21" t="s">
        <v>85</v>
      </c>
      <c r="D577" s="21" t="s">
        <v>86</v>
      </c>
      <c r="E577" s="21" t="s">
        <v>87</v>
      </c>
      <c r="F577" s="21" t="s">
        <v>5</v>
      </c>
      <c r="G577" s="21" t="s">
        <v>6</v>
      </c>
      <c r="H577" s="21" t="s">
        <v>35</v>
      </c>
      <c r="I577" s="21" t="s">
        <v>36</v>
      </c>
      <c r="J577" s="21" t="s">
        <v>9</v>
      </c>
      <c r="K577" s="21" t="s">
        <v>335</v>
      </c>
      <c r="L577" s="21" t="s">
        <v>347</v>
      </c>
      <c r="M577" s="21" t="s">
        <v>15</v>
      </c>
      <c r="N577" s="54">
        <v>1653.28</v>
      </c>
      <c r="O577" s="54">
        <v>-1653.28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</row>
    <row r="578" spans="1:23" outlineLevel="2" x14ac:dyDescent="0.2">
      <c r="A578" s="21" t="s">
        <v>0</v>
      </c>
      <c r="B578" s="21" t="s">
        <v>31</v>
      </c>
      <c r="C578" s="21" t="s">
        <v>32</v>
      </c>
      <c r="D578" s="21" t="s">
        <v>75</v>
      </c>
      <c r="E578" s="21" t="s">
        <v>76</v>
      </c>
      <c r="F578" s="21" t="s">
        <v>5</v>
      </c>
      <c r="G578" s="21" t="s">
        <v>6</v>
      </c>
      <c r="H578" s="21" t="s">
        <v>35</v>
      </c>
      <c r="I578" s="21" t="s">
        <v>36</v>
      </c>
      <c r="J578" s="21" t="s">
        <v>9</v>
      </c>
      <c r="K578" s="21" t="s">
        <v>22</v>
      </c>
      <c r="L578" s="21" t="s">
        <v>361</v>
      </c>
      <c r="M578" s="21" t="s">
        <v>15</v>
      </c>
      <c r="N578" s="54">
        <v>316003.33</v>
      </c>
      <c r="O578" s="54">
        <v>-5989.35</v>
      </c>
      <c r="P578" s="54">
        <v>0</v>
      </c>
      <c r="Q578" s="54">
        <v>310013.98</v>
      </c>
      <c r="R578" s="54">
        <v>27994.6</v>
      </c>
      <c r="S578" s="54">
        <v>224767.52</v>
      </c>
      <c r="T578" s="54">
        <v>224684.16</v>
      </c>
      <c r="U578" s="54">
        <v>85246.46</v>
      </c>
      <c r="V578" s="54">
        <v>85329.82</v>
      </c>
      <c r="W578" s="54">
        <v>57251.86</v>
      </c>
    </row>
    <row r="579" spans="1:23" outlineLevel="2" x14ac:dyDescent="0.2">
      <c r="A579" s="21" t="s">
        <v>0</v>
      </c>
      <c r="B579" s="21" t="s">
        <v>31</v>
      </c>
      <c r="C579" s="21" t="s">
        <v>79</v>
      </c>
      <c r="D579" s="21" t="s">
        <v>111</v>
      </c>
      <c r="E579" s="21" t="s">
        <v>112</v>
      </c>
      <c r="F579" s="21" t="s">
        <v>5</v>
      </c>
      <c r="G579" s="21" t="s">
        <v>6</v>
      </c>
      <c r="H579" s="21" t="s">
        <v>35</v>
      </c>
      <c r="I579" s="21" t="s">
        <v>36</v>
      </c>
      <c r="J579" s="21" t="s">
        <v>9</v>
      </c>
      <c r="K579" s="21" t="s">
        <v>22</v>
      </c>
      <c r="L579" s="21" t="s">
        <v>354</v>
      </c>
      <c r="M579" s="21" t="s">
        <v>12</v>
      </c>
      <c r="N579" s="54">
        <v>0</v>
      </c>
      <c r="O579" s="54">
        <v>1240.21</v>
      </c>
      <c r="P579" s="54">
        <v>0</v>
      </c>
      <c r="Q579" s="54">
        <v>1240.21</v>
      </c>
      <c r="R579" s="54">
        <v>535.71</v>
      </c>
      <c r="S579" s="54">
        <v>704.5</v>
      </c>
      <c r="T579" s="54">
        <v>704.5</v>
      </c>
      <c r="U579" s="54">
        <v>535.71</v>
      </c>
      <c r="V579" s="54">
        <v>535.71</v>
      </c>
      <c r="W579" s="54">
        <v>0</v>
      </c>
    </row>
    <row r="580" spans="1:23" outlineLevel="2" x14ac:dyDescent="0.2">
      <c r="A580" s="21" t="s">
        <v>0</v>
      </c>
      <c r="B580" s="21" t="s">
        <v>31</v>
      </c>
      <c r="C580" s="21" t="s">
        <v>49</v>
      </c>
      <c r="D580" s="21" t="s">
        <v>50</v>
      </c>
      <c r="E580" s="21" t="s">
        <v>51</v>
      </c>
      <c r="F580" s="21" t="s">
        <v>5</v>
      </c>
      <c r="G580" s="21" t="s">
        <v>6</v>
      </c>
      <c r="H580" s="21" t="s">
        <v>35</v>
      </c>
      <c r="I580" s="21" t="s">
        <v>36</v>
      </c>
      <c r="J580" s="21" t="s">
        <v>9</v>
      </c>
      <c r="K580" s="21" t="s">
        <v>22</v>
      </c>
      <c r="L580" s="21" t="s">
        <v>365</v>
      </c>
      <c r="M580" s="21" t="s">
        <v>15</v>
      </c>
      <c r="N580" s="54">
        <v>90000.7</v>
      </c>
      <c r="O580" s="54">
        <v>34781.93</v>
      </c>
      <c r="P580" s="54">
        <v>0</v>
      </c>
      <c r="Q580" s="54">
        <v>124782.63</v>
      </c>
      <c r="R580" s="54">
        <v>5097.9399999999996</v>
      </c>
      <c r="S580" s="54">
        <v>70651.42</v>
      </c>
      <c r="T580" s="54">
        <v>70651.42</v>
      </c>
      <c r="U580" s="54">
        <v>54131.21</v>
      </c>
      <c r="V580" s="54">
        <v>54131.21</v>
      </c>
      <c r="W580" s="54">
        <v>49033.27</v>
      </c>
    </row>
    <row r="581" spans="1:23" outlineLevel="2" x14ac:dyDescent="0.2">
      <c r="A581" s="21" t="s">
        <v>0</v>
      </c>
      <c r="B581" s="21" t="s">
        <v>31</v>
      </c>
      <c r="C581" s="21" t="s">
        <v>32</v>
      </c>
      <c r="D581" s="21" t="s">
        <v>141</v>
      </c>
      <c r="E581" s="21" t="s">
        <v>142</v>
      </c>
      <c r="F581" s="21" t="s">
        <v>5</v>
      </c>
      <c r="G581" s="21" t="s">
        <v>6</v>
      </c>
      <c r="H581" s="21" t="s">
        <v>35</v>
      </c>
      <c r="I581" s="21" t="s">
        <v>36</v>
      </c>
      <c r="J581" s="21" t="s">
        <v>9</v>
      </c>
      <c r="K581" s="21" t="s">
        <v>22</v>
      </c>
      <c r="L581" s="21" t="s">
        <v>361</v>
      </c>
      <c r="M581" s="21" t="s">
        <v>15</v>
      </c>
      <c r="N581" s="54">
        <v>186999.8</v>
      </c>
      <c r="O581" s="54">
        <v>-16877.23</v>
      </c>
      <c r="P581" s="54">
        <v>0</v>
      </c>
      <c r="Q581" s="54">
        <v>170122.57</v>
      </c>
      <c r="R581" s="54">
        <v>26541.8</v>
      </c>
      <c r="S581" s="54">
        <v>119442.76</v>
      </c>
      <c r="T581" s="54">
        <v>119442.76</v>
      </c>
      <c r="U581" s="54">
        <v>50679.81</v>
      </c>
      <c r="V581" s="54">
        <v>50679.81</v>
      </c>
      <c r="W581" s="54">
        <v>24138.01</v>
      </c>
    </row>
    <row r="582" spans="1:23" outlineLevel="2" x14ac:dyDescent="0.2">
      <c r="A582" s="21" t="s">
        <v>0</v>
      </c>
      <c r="B582" s="21" t="s">
        <v>31</v>
      </c>
      <c r="C582" s="21" t="s">
        <v>32</v>
      </c>
      <c r="D582" s="21" t="s">
        <v>33</v>
      </c>
      <c r="E582" s="21" t="s">
        <v>34</v>
      </c>
      <c r="F582" s="21" t="s">
        <v>5</v>
      </c>
      <c r="G582" s="21" t="s">
        <v>6</v>
      </c>
      <c r="H582" s="21" t="s">
        <v>35</v>
      </c>
      <c r="I582" s="21" t="s">
        <v>36</v>
      </c>
      <c r="J582" s="21" t="s">
        <v>9</v>
      </c>
      <c r="K582" s="21" t="s">
        <v>22</v>
      </c>
      <c r="L582" s="21" t="s">
        <v>361</v>
      </c>
      <c r="M582" s="21" t="s">
        <v>15</v>
      </c>
      <c r="N582" s="54">
        <v>455986.48</v>
      </c>
      <c r="O582" s="54">
        <v>18372.07</v>
      </c>
      <c r="P582" s="54">
        <v>0</v>
      </c>
      <c r="Q582" s="54">
        <v>474358.55</v>
      </c>
      <c r="R582" s="54">
        <v>16021.55</v>
      </c>
      <c r="S582" s="54">
        <v>325764.38</v>
      </c>
      <c r="T582" s="54">
        <v>325764.38</v>
      </c>
      <c r="U582" s="54">
        <v>148594.17000000001</v>
      </c>
      <c r="V582" s="54">
        <v>148594.17000000001</v>
      </c>
      <c r="W582" s="54">
        <v>132572.62</v>
      </c>
    </row>
    <row r="583" spans="1:23" outlineLevel="2" x14ac:dyDescent="0.2">
      <c r="A583" s="21" t="s">
        <v>0</v>
      </c>
      <c r="B583" s="21" t="s">
        <v>31</v>
      </c>
      <c r="C583" s="21" t="s">
        <v>107</v>
      </c>
      <c r="D583" s="21" t="s">
        <v>108</v>
      </c>
      <c r="E583" s="21" t="s">
        <v>109</v>
      </c>
      <c r="F583" s="21" t="s">
        <v>5</v>
      </c>
      <c r="G583" s="21" t="s">
        <v>6</v>
      </c>
      <c r="H583" s="21" t="s">
        <v>35</v>
      </c>
      <c r="I583" s="21" t="s">
        <v>36</v>
      </c>
      <c r="J583" s="21" t="s">
        <v>9</v>
      </c>
      <c r="K583" s="21" t="s">
        <v>22</v>
      </c>
      <c r="L583" s="21" t="s">
        <v>363</v>
      </c>
      <c r="M583" s="21" t="s">
        <v>15</v>
      </c>
      <c r="N583" s="54">
        <v>348877.76</v>
      </c>
      <c r="O583" s="54">
        <v>1365.95</v>
      </c>
      <c r="P583" s="54">
        <v>0</v>
      </c>
      <c r="Q583" s="54">
        <v>350243.71</v>
      </c>
      <c r="R583" s="54">
        <v>4204.82</v>
      </c>
      <c r="S583" s="54">
        <v>267421.89</v>
      </c>
      <c r="T583" s="54">
        <v>267421.89</v>
      </c>
      <c r="U583" s="54">
        <v>82821.820000000007</v>
      </c>
      <c r="V583" s="54">
        <v>82821.820000000007</v>
      </c>
      <c r="W583" s="54">
        <v>78617</v>
      </c>
    </row>
    <row r="584" spans="1:23" outlineLevel="2" x14ac:dyDescent="0.2">
      <c r="A584" s="21" t="s">
        <v>0</v>
      </c>
      <c r="B584" s="21" t="s">
        <v>39</v>
      </c>
      <c r="C584" s="21" t="s">
        <v>70</v>
      </c>
      <c r="D584" s="21" t="s">
        <v>71</v>
      </c>
      <c r="E584" s="21" t="s">
        <v>72</v>
      </c>
      <c r="F584" s="21" t="s">
        <v>5</v>
      </c>
      <c r="G584" s="21" t="s">
        <v>6</v>
      </c>
      <c r="H584" s="21" t="s">
        <v>35</v>
      </c>
      <c r="I584" s="21" t="s">
        <v>36</v>
      </c>
      <c r="J584" s="21" t="s">
        <v>9</v>
      </c>
      <c r="K584" s="21" t="s">
        <v>22</v>
      </c>
      <c r="L584" s="21" t="s">
        <v>359</v>
      </c>
      <c r="M584" s="21" t="s">
        <v>15</v>
      </c>
      <c r="N584" s="54">
        <v>432810.25</v>
      </c>
      <c r="O584" s="54">
        <v>-35081.43</v>
      </c>
      <c r="P584" s="54">
        <v>0</v>
      </c>
      <c r="Q584" s="54">
        <v>397728.82</v>
      </c>
      <c r="R584" s="54">
        <v>8686.5</v>
      </c>
      <c r="S584" s="54">
        <v>326107.53999999998</v>
      </c>
      <c r="T584" s="54">
        <v>326107.53999999998</v>
      </c>
      <c r="U584" s="54">
        <v>71621.279999999999</v>
      </c>
      <c r="V584" s="54">
        <v>71621.279999999999</v>
      </c>
      <c r="W584" s="54">
        <v>62934.78</v>
      </c>
    </row>
    <row r="585" spans="1:23" outlineLevel="2" x14ac:dyDescent="0.2">
      <c r="A585" s="21" t="s">
        <v>0</v>
      </c>
      <c r="B585" s="21" t="s">
        <v>31</v>
      </c>
      <c r="C585" s="21" t="s">
        <v>79</v>
      </c>
      <c r="D585" s="21" t="s">
        <v>113</v>
      </c>
      <c r="E585" s="21" t="s">
        <v>114</v>
      </c>
      <c r="F585" s="21" t="s">
        <v>5</v>
      </c>
      <c r="G585" s="21" t="s">
        <v>6</v>
      </c>
      <c r="H585" s="21" t="s">
        <v>35</v>
      </c>
      <c r="I585" s="21" t="s">
        <v>36</v>
      </c>
      <c r="J585" s="21" t="s">
        <v>9</v>
      </c>
      <c r="K585" s="21" t="s">
        <v>22</v>
      </c>
      <c r="L585" s="21" t="s">
        <v>354</v>
      </c>
      <c r="M585" s="21" t="s">
        <v>12</v>
      </c>
      <c r="N585" s="54">
        <v>0</v>
      </c>
      <c r="O585" s="54">
        <v>2480.41</v>
      </c>
      <c r="P585" s="54">
        <v>0</v>
      </c>
      <c r="Q585" s="54">
        <v>2480.41</v>
      </c>
      <c r="R585" s="54">
        <v>1320.41</v>
      </c>
      <c r="S585" s="54">
        <v>1160</v>
      </c>
      <c r="T585" s="54">
        <v>1160</v>
      </c>
      <c r="U585" s="54">
        <v>1320.41</v>
      </c>
      <c r="V585" s="54">
        <v>1320.41</v>
      </c>
      <c r="W585" s="54">
        <v>0</v>
      </c>
    </row>
    <row r="586" spans="1:23" outlineLevel="2" x14ac:dyDescent="0.2">
      <c r="A586" s="21" t="s">
        <v>0</v>
      </c>
      <c r="B586" s="21" t="s">
        <v>31</v>
      </c>
      <c r="C586" s="21" t="s">
        <v>79</v>
      </c>
      <c r="D586" s="21" t="s">
        <v>127</v>
      </c>
      <c r="E586" s="21" t="s">
        <v>128</v>
      </c>
      <c r="F586" s="21" t="s">
        <v>5</v>
      </c>
      <c r="G586" s="21" t="s">
        <v>6</v>
      </c>
      <c r="H586" s="21" t="s">
        <v>35</v>
      </c>
      <c r="I586" s="21" t="s">
        <v>36</v>
      </c>
      <c r="J586" s="21" t="s">
        <v>9</v>
      </c>
      <c r="K586" s="21" t="s">
        <v>22</v>
      </c>
      <c r="L586" s="21" t="s">
        <v>354</v>
      </c>
      <c r="M586" s="21" t="s">
        <v>12</v>
      </c>
      <c r="N586" s="54">
        <v>0</v>
      </c>
      <c r="O586" s="54">
        <v>1240.21</v>
      </c>
      <c r="P586" s="54">
        <v>0</v>
      </c>
      <c r="Q586" s="54">
        <v>1240.21</v>
      </c>
      <c r="R586" s="54">
        <v>556.96</v>
      </c>
      <c r="S586" s="54">
        <v>683.25</v>
      </c>
      <c r="T586" s="54">
        <v>683.25</v>
      </c>
      <c r="U586" s="54">
        <v>556.96</v>
      </c>
      <c r="V586" s="54">
        <v>556.96</v>
      </c>
      <c r="W586" s="54">
        <v>0</v>
      </c>
    </row>
    <row r="587" spans="1:23" outlineLevel="2" x14ac:dyDescent="0.2">
      <c r="A587" s="21" t="s">
        <v>0</v>
      </c>
      <c r="B587" s="21" t="s">
        <v>31</v>
      </c>
      <c r="C587" s="21" t="s">
        <v>79</v>
      </c>
      <c r="D587" s="21" t="s">
        <v>115</v>
      </c>
      <c r="E587" s="21" t="s">
        <v>116</v>
      </c>
      <c r="F587" s="21" t="s">
        <v>5</v>
      </c>
      <c r="G587" s="21" t="s">
        <v>6</v>
      </c>
      <c r="H587" s="21" t="s">
        <v>35</v>
      </c>
      <c r="I587" s="21" t="s">
        <v>36</v>
      </c>
      <c r="J587" s="21" t="s">
        <v>9</v>
      </c>
      <c r="K587" s="21" t="s">
        <v>22</v>
      </c>
      <c r="L587" s="21" t="s">
        <v>354</v>
      </c>
      <c r="M587" s="21" t="s">
        <v>12</v>
      </c>
      <c r="N587" s="54">
        <v>0</v>
      </c>
      <c r="O587" s="54">
        <v>2480.41</v>
      </c>
      <c r="P587" s="54">
        <v>0</v>
      </c>
      <c r="Q587" s="54">
        <v>2480.41</v>
      </c>
      <c r="R587" s="54">
        <v>2024.91</v>
      </c>
      <c r="S587" s="54">
        <v>455.5</v>
      </c>
      <c r="T587" s="54">
        <v>455.5</v>
      </c>
      <c r="U587" s="54">
        <v>2024.91</v>
      </c>
      <c r="V587" s="54">
        <v>2024.91</v>
      </c>
      <c r="W587" s="54">
        <v>0</v>
      </c>
    </row>
    <row r="588" spans="1:23" outlineLevel="2" x14ac:dyDescent="0.2">
      <c r="A588" s="21" t="s">
        <v>0</v>
      </c>
      <c r="B588" s="21" t="s">
        <v>31</v>
      </c>
      <c r="C588" s="21" t="s">
        <v>79</v>
      </c>
      <c r="D588" s="21" t="s">
        <v>131</v>
      </c>
      <c r="E588" s="21" t="s">
        <v>132</v>
      </c>
      <c r="F588" s="21" t="s">
        <v>5</v>
      </c>
      <c r="G588" s="21" t="s">
        <v>6</v>
      </c>
      <c r="H588" s="21" t="s">
        <v>35</v>
      </c>
      <c r="I588" s="21" t="s">
        <v>36</v>
      </c>
      <c r="J588" s="21" t="s">
        <v>9</v>
      </c>
      <c r="K588" s="21" t="s">
        <v>22</v>
      </c>
      <c r="L588" s="21" t="s">
        <v>354</v>
      </c>
      <c r="M588" s="21" t="s">
        <v>12</v>
      </c>
      <c r="N588" s="54">
        <v>0</v>
      </c>
      <c r="O588" s="54">
        <v>2480.41</v>
      </c>
      <c r="P588" s="54">
        <v>0</v>
      </c>
      <c r="Q588" s="54">
        <v>2480.41</v>
      </c>
      <c r="R588" s="54">
        <v>1320.41</v>
      </c>
      <c r="S588" s="54">
        <v>1160</v>
      </c>
      <c r="T588" s="54">
        <v>1160</v>
      </c>
      <c r="U588" s="54">
        <v>1320.41</v>
      </c>
      <c r="V588" s="54">
        <v>1320.41</v>
      </c>
      <c r="W588" s="54">
        <v>0</v>
      </c>
    </row>
    <row r="589" spans="1:23" outlineLevel="2" x14ac:dyDescent="0.2">
      <c r="A589" s="21" t="s">
        <v>0</v>
      </c>
      <c r="B589" s="21" t="s">
        <v>31</v>
      </c>
      <c r="C589" s="21" t="s">
        <v>79</v>
      </c>
      <c r="D589" s="21" t="s">
        <v>80</v>
      </c>
      <c r="E589" s="21" t="s">
        <v>81</v>
      </c>
      <c r="F589" s="21" t="s">
        <v>5</v>
      </c>
      <c r="G589" s="21" t="s">
        <v>6</v>
      </c>
      <c r="H589" s="21" t="s">
        <v>35</v>
      </c>
      <c r="I589" s="21" t="s">
        <v>36</v>
      </c>
      <c r="J589" s="21" t="s">
        <v>9</v>
      </c>
      <c r="K589" s="21" t="s">
        <v>22</v>
      </c>
      <c r="L589" s="21" t="s">
        <v>354</v>
      </c>
      <c r="M589" s="21" t="s">
        <v>12</v>
      </c>
      <c r="N589" s="54">
        <v>0</v>
      </c>
      <c r="O589" s="54">
        <v>2480.41</v>
      </c>
      <c r="P589" s="54">
        <v>0</v>
      </c>
      <c r="Q589" s="54">
        <v>2480.41</v>
      </c>
      <c r="R589" s="54">
        <v>1739.47</v>
      </c>
      <c r="S589" s="54">
        <v>740.94</v>
      </c>
      <c r="T589" s="54">
        <v>740.94</v>
      </c>
      <c r="U589" s="54">
        <v>1739.47</v>
      </c>
      <c r="V589" s="54">
        <v>1739.47</v>
      </c>
      <c r="W589" s="54">
        <v>0</v>
      </c>
    </row>
    <row r="590" spans="1:23" outlineLevel="2" x14ac:dyDescent="0.2">
      <c r="A590" s="21" t="s">
        <v>0</v>
      </c>
      <c r="B590" s="21" t="s">
        <v>31</v>
      </c>
      <c r="C590" s="21" t="s">
        <v>79</v>
      </c>
      <c r="D590" s="21" t="s">
        <v>133</v>
      </c>
      <c r="E590" s="21" t="s">
        <v>134</v>
      </c>
      <c r="F590" s="21" t="s">
        <v>5</v>
      </c>
      <c r="G590" s="21" t="s">
        <v>6</v>
      </c>
      <c r="H590" s="21" t="s">
        <v>35</v>
      </c>
      <c r="I590" s="21" t="s">
        <v>36</v>
      </c>
      <c r="J590" s="21" t="s">
        <v>9</v>
      </c>
      <c r="K590" s="21" t="s">
        <v>22</v>
      </c>
      <c r="L590" s="21" t="s">
        <v>354</v>
      </c>
      <c r="M590" s="21" t="s">
        <v>12</v>
      </c>
      <c r="N590" s="54">
        <v>0</v>
      </c>
      <c r="O590" s="54">
        <v>1240.21</v>
      </c>
      <c r="P590" s="54">
        <v>0</v>
      </c>
      <c r="Q590" s="54">
        <v>1240.21</v>
      </c>
      <c r="R590" s="54">
        <v>784.71</v>
      </c>
      <c r="S590" s="54">
        <v>455.5</v>
      </c>
      <c r="T590" s="54">
        <v>455.5</v>
      </c>
      <c r="U590" s="54">
        <v>784.71</v>
      </c>
      <c r="V590" s="54">
        <v>784.71</v>
      </c>
      <c r="W590" s="54">
        <v>0</v>
      </c>
    </row>
    <row r="591" spans="1:23" outlineLevel="2" x14ac:dyDescent="0.2">
      <c r="A591" s="21" t="s">
        <v>0</v>
      </c>
      <c r="B591" s="21" t="s">
        <v>31</v>
      </c>
      <c r="C591" s="21" t="s">
        <v>32</v>
      </c>
      <c r="D591" s="21" t="s">
        <v>123</v>
      </c>
      <c r="E591" s="21" t="s">
        <v>124</v>
      </c>
      <c r="F591" s="21" t="s">
        <v>5</v>
      </c>
      <c r="G591" s="21" t="s">
        <v>6</v>
      </c>
      <c r="H591" s="21" t="s">
        <v>35</v>
      </c>
      <c r="I591" s="21" t="s">
        <v>36</v>
      </c>
      <c r="J591" s="21" t="s">
        <v>9</v>
      </c>
      <c r="K591" s="21" t="s">
        <v>22</v>
      </c>
      <c r="L591" s="21" t="s">
        <v>361</v>
      </c>
      <c r="M591" s="21" t="s">
        <v>15</v>
      </c>
      <c r="N591" s="54">
        <v>362403.38</v>
      </c>
      <c r="O591" s="54">
        <v>-171247.84</v>
      </c>
      <c r="P591" s="54">
        <v>0</v>
      </c>
      <c r="Q591" s="54">
        <v>191155.54</v>
      </c>
      <c r="R591" s="54">
        <v>11353.89</v>
      </c>
      <c r="S591" s="54">
        <v>166631.42000000001</v>
      </c>
      <c r="T591" s="54">
        <v>166631.42000000001</v>
      </c>
      <c r="U591" s="54">
        <v>24524.12</v>
      </c>
      <c r="V591" s="54">
        <v>24524.12</v>
      </c>
      <c r="W591" s="54">
        <v>13170.23</v>
      </c>
    </row>
    <row r="592" spans="1:23" outlineLevel="2" x14ac:dyDescent="0.2">
      <c r="A592" s="21" t="s">
        <v>0</v>
      </c>
      <c r="B592" s="21" t="s">
        <v>31</v>
      </c>
      <c r="C592" s="21" t="s">
        <v>79</v>
      </c>
      <c r="D592" s="21" t="s">
        <v>83</v>
      </c>
      <c r="E592" s="21" t="s">
        <v>84</v>
      </c>
      <c r="F592" s="21" t="s">
        <v>5</v>
      </c>
      <c r="G592" s="21" t="s">
        <v>6</v>
      </c>
      <c r="H592" s="21" t="s">
        <v>35</v>
      </c>
      <c r="I592" s="21" t="s">
        <v>36</v>
      </c>
      <c r="J592" s="21" t="s">
        <v>9</v>
      </c>
      <c r="K592" s="21" t="s">
        <v>22</v>
      </c>
      <c r="L592" s="21" t="s">
        <v>354</v>
      </c>
      <c r="M592" s="21" t="s">
        <v>15</v>
      </c>
      <c r="N592" s="54">
        <v>680530.36</v>
      </c>
      <c r="O592" s="54">
        <v>-128086.92</v>
      </c>
      <c r="P592" s="54">
        <v>0</v>
      </c>
      <c r="Q592" s="54">
        <v>552443.43999999994</v>
      </c>
      <c r="R592" s="54">
        <v>33219.86</v>
      </c>
      <c r="S592" s="54">
        <v>398798.29</v>
      </c>
      <c r="T592" s="54">
        <v>398798.29</v>
      </c>
      <c r="U592" s="54">
        <v>153645.15</v>
      </c>
      <c r="V592" s="54">
        <v>153645.15</v>
      </c>
      <c r="W592" s="54">
        <v>120425.29</v>
      </c>
    </row>
    <row r="593" spans="1:23" outlineLevel="2" x14ac:dyDescent="0.2">
      <c r="A593" s="21" t="s">
        <v>0</v>
      </c>
      <c r="B593" s="21" t="s">
        <v>39</v>
      </c>
      <c r="C593" s="21" t="s">
        <v>70</v>
      </c>
      <c r="D593" s="21" t="s">
        <v>89</v>
      </c>
      <c r="E593" s="21" t="s">
        <v>90</v>
      </c>
      <c r="F593" s="21" t="s">
        <v>5</v>
      </c>
      <c r="G593" s="21" t="s">
        <v>6</v>
      </c>
      <c r="H593" s="21" t="s">
        <v>35</v>
      </c>
      <c r="I593" s="21" t="s">
        <v>36</v>
      </c>
      <c r="J593" s="21" t="s">
        <v>9</v>
      </c>
      <c r="K593" s="21" t="s">
        <v>22</v>
      </c>
      <c r="L593" s="21" t="s">
        <v>359</v>
      </c>
      <c r="M593" s="21" t="s">
        <v>15</v>
      </c>
      <c r="N593" s="54">
        <v>1973331.61</v>
      </c>
      <c r="O593" s="54">
        <v>0</v>
      </c>
      <c r="P593" s="54">
        <v>0</v>
      </c>
      <c r="Q593" s="54">
        <v>1973331.61</v>
      </c>
      <c r="R593" s="54">
        <v>58326.25</v>
      </c>
      <c r="S593" s="54">
        <v>1563183.55</v>
      </c>
      <c r="T593" s="54">
        <v>1563183.55</v>
      </c>
      <c r="U593" s="54">
        <v>410148.06</v>
      </c>
      <c r="V593" s="54">
        <v>410148.06</v>
      </c>
      <c r="W593" s="54">
        <v>351821.81</v>
      </c>
    </row>
    <row r="594" spans="1:23" outlineLevel="2" x14ac:dyDescent="0.2">
      <c r="A594" s="21" t="s">
        <v>0</v>
      </c>
      <c r="B594" s="21" t="s">
        <v>31</v>
      </c>
      <c r="C594" s="21" t="s">
        <v>79</v>
      </c>
      <c r="D594" s="21" t="s">
        <v>83</v>
      </c>
      <c r="E594" s="21" t="s">
        <v>84</v>
      </c>
      <c r="F594" s="21" t="s">
        <v>5</v>
      </c>
      <c r="G594" s="21" t="s">
        <v>6</v>
      </c>
      <c r="H594" s="21" t="s">
        <v>35</v>
      </c>
      <c r="I594" s="21" t="s">
        <v>36</v>
      </c>
      <c r="J594" s="21" t="s">
        <v>9</v>
      </c>
      <c r="K594" s="21" t="s">
        <v>22</v>
      </c>
      <c r="L594" s="21" t="s">
        <v>354</v>
      </c>
      <c r="M594" s="21" t="s">
        <v>12</v>
      </c>
      <c r="N594" s="54">
        <v>0</v>
      </c>
      <c r="O594" s="54">
        <v>11781.91</v>
      </c>
      <c r="P594" s="54">
        <v>0</v>
      </c>
      <c r="Q594" s="54">
        <v>11781.91</v>
      </c>
      <c r="R594" s="54">
        <v>9680.5</v>
      </c>
      <c r="S594" s="54">
        <v>704.5</v>
      </c>
      <c r="T594" s="54">
        <v>704.5</v>
      </c>
      <c r="U594" s="54">
        <v>11077.41</v>
      </c>
      <c r="V594" s="54">
        <v>11077.41</v>
      </c>
      <c r="W594" s="54">
        <v>1396.91</v>
      </c>
    </row>
    <row r="595" spans="1:23" outlineLevel="2" x14ac:dyDescent="0.2">
      <c r="A595" s="21" t="s">
        <v>0</v>
      </c>
      <c r="B595" s="21" t="s">
        <v>39</v>
      </c>
      <c r="C595" s="21" t="s">
        <v>58</v>
      </c>
      <c r="D595" s="21" t="s">
        <v>105</v>
      </c>
      <c r="E595" s="21" t="s">
        <v>106</v>
      </c>
      <c r="F595" s="21" t="s">
        <v>5</v>
      </c>
      <c r="G595" s="21" t="s">
        <v>6</v>
      </c>
      <c r="H595" s="21" t="s">
        <v>35</v>
      </c>
      <c r="I595" s="21" t="s">
        <v>36</v>
      </c>
      <c r="J595" s="21" t="s">
        <v>9</v>
      </c>
      <c r="K595" s="21" t="s">
        <v>22</v>
      </c>
      <c r="L595" s="21" t="s">
        <v>353</v>
      </c>
      <c r="M595" s="21" t="s">
        <v>15</v>
      </c>
      <c r="N595" s="54">
        <v>90137.32</v>
      </c>
      <c r="O595" s="54">
        <v>464.51</v>
      </c>
      <c r="P595" s="54">
        <v>0</v>
      </c>
      <c r="Q595" s="54">
        <v>90601.83</v>
      </c>
      <c r="R595" s="54">
        <v>13941.99</v>
      </c>
      <c r="S595" s="54">
        <v>57716.49</v>
      </c>
      <c r="T595" s="54">
        <v>57716.49</v>
      </c>
      <c r="U595" s="54">
        <v>32885.339999999997</v>
      </c>
      <c r="V595" s="54">
        <v>32885.339999999997</v>
      </c>
      <c r="W595" s="54">
        <v>18943.349999999999</v>
      </c>
    </row>
    <row r="596" spans="1:23" outlineLevel="2" x14ac:dyDescent="0.2">
      <c r="A596" s="21" t="s">
        <v>0</v>
      </c>
      <c r="B596" s="21" t="s">
        <v>1</v>
      </c>
      <c r="C596" s="21" t="s">
        <v>16</v>
      </c>
      <c r="D596" s="21" t="s">
        <v>64</v>
      </c>
      <c r="E596" s="21" t="s">
        <v>65</v>
      </c>
      <c r="F596" s="21" t="s">
        <v>5</v>
      </c>
      <c r="G596" s="21" t="s">
        <v>6</v>
      </c>
      <c r="H596" s="21" t="s">
        <v>35</v>
      </c>
      <c r="I596" s="21" t="s">
        <v>36</v>
      </c>
      <c r="J596" s="21" t="s">
        <v>9</v>
      </c>
      <c r="K596" s="21" t="s">
        <v>22</v>
      </c>
      <c r="L596" s="21" t="s">
        <v>24</v>
      </c>
      <c r="M596" s="21" t="s">
        <v>15</v>
      </c>
      <c r="N596" s="54">
        <v>49344.11</v>
      </c>
      <c r="O596" s="54">
        <v>0</v>
      </c>
      <c r="P596" s="54">
        <v>0</v>
      </c>
      <c r="Q596" s="54">
        <v>49344.11</v>
      </c>
      <c r="R596" s="54">
        <v>341.05</v>
      </c>
      <c r="S596" s="54">
        <v>23612.99</v>
      </c>
      <c r="T596" s="54">
        <v>23612.99</v>
      </c>
      <c r="U596" s="54">
        <v>25731.119999999999</v>
      </c>
      <c r="V596" s="54">
        <v>25731.119999999999</v>
      </c>
      <c r="W596" s="54">
        <v>25390.07</v>
      </c>
    </row>
    <row r="597" spans="1:23" outlineLevel="2" x14ac:dyDescent="0.2">
      <c r="A597" s="21" t="s">
        <v>0</v>
      </c>
      <c r="B597" s="21" t="s">
        <v>1</v>
      </c>
      <c r="C597" s="21" t="s">
        <v>99</v>
      </c>
      <c r="D597" s="21" t="s">
        <v>100</v>
      </c>
      <c r="E597" s="21" t="s">
        <v>101</v>
      </c>
      <c r="F597" s="21" t="s">
        <v>5</v>
      </c>
      <c r="G597" s="21" t="s">
        <v>6</v>
      </c>
      <c r="H597" s="21" t="s">
        <v>35</v>
      </c>
      <c r="I597" s="21" t="s">
        <v>36</v>
      </c>
      <c r="J597" s="21" t="s">
        <v>9</v>
      </c>
      <c r="K597" s="21" t="s">
        <v>22</v>
      </c>
      <c r="L597" s="21" t="s">
        <v>357</v>
      </c>
      <c r="M597" s="21" t="s">
        <v>15</v>
      </c>
      <c r="N597" s="54">
        <v>161652.18</v>
      </c>
      <c r="O597" s="54">
        <v>-1100.04</v>
      </c>
      <c r="P597" s="54">
        <v>0</v>
      </c>
      <c r="Q597" s="54">
        <v>160552.14000000001</v>
      </c>
      <c r="R597" s="54">
        <v>14181.77</v>
      </c>
      <c r="S597" s="54">
        <v>126476.84</v>
      </c>
      <c r="T597" s="54">
        <v>126476.84</v>
      </c>
      <c r="U597" s="54">
        <v>34075.300000000003</v>
      </c>
      <c r="V597" s="54">
        <v>34075.300000000003</v>
      </c>
      <c r="W597" s="54">
        <v>19893.53</v>
      </c>
    </row>
    <row r="598" spans="1:23" outlineLevel="2" x14ac:dyDescent="0.2">
      <c r="A598" s="21" t="s">
        <v>0</v>
      </c>
      <c r="B598" s="21" t="s">
        <v>39</v>
      </c>
      <c r="C598" s="21" t="s">
        <v>95</v>
      </c>
      <c r="D598" s="21" t="s">
        <v>96</v>
      </c>
      <c r="E598" s="21" t="s">
        <v>97</v>
      </c>
      <c r="F598" s="21" t="s">
        <v>5</v>
      </c>
      <c r="G598" s="21" t="s">
        <v>6</v>
      </c>
      <c r="H598" s="21" t="s">
        <v>35</v>
      </c>
      <c r="I598" s="21" t="s">
        <v>36</v>
      </c>
      <c r="J598" s="21" t="s">
        <v>9</v>
      </c>
      <c r="K598" s="21" t="s">
        <v>22</v>
      </c>
      <c r="L598" s="21" t="s">
        <v>362</v>
      </c>
      <c r="M598" s="21" t="s">
        <v>15</v>
      </c>
      <c r="N598" s="54">
        <v>160063.41</v>
      </c>
      <c r="O598" s="54">
        <v>-289.95</v>
      </c>
      <c r="P598" s="54">
        <v>0</v>
      </c>
      <c r="Q598" s="54">
        <v>159773.46</v>
      </c>
      <c r="R598" s="54">
        <v>246.56</v>
      </c>
      <c r="S598" s="54">
        <v>124556.87</v>
      </c>
      <c r="T598" s="54">
        <v>124556.87</v>
      </c>
      <c r="U598" s="54">
        <v>35216.589999999997</v>
      </c>
      <c r="V598" s="54">
        <v>35216.589999999997</v>
      </c>
      <c r="W598" s="54">
        <v>34970.03</v>
      </c>
    </row>
    <row r="599" spans="1:23" outlineLevel="2" x14ac:dyDescent="0.2">
      <c r="A599" s="21" t="s">
        <v>0</v>
      </c>
      <c r="B599" s="21" t="s">
        <v>39</v>
      </c>
      <c r="C599" s="21" t="s">
        <v>58</v>
      </c>
      <c r="D599" s="21" t="s">
        <v>119</v>
      </c>
      <c r="E599" s="21" t="s">
        <v>120</v>
      </c>
      <c r="F599" s="21" t="s">
        <v>5</v>
      </c>
      <c r="G599" s="21" t="s">
        <v>6</v>
      </c>
      <c r="H599" s="21" t="s">
        <v>35</v>
      </c>
      <c r="I599" s="21" t="s">
        <v>36</v>
      </c>
      <c r="J599" s="21" t="s">
        <v>9</v>
      </c>
      <c r="K599" s="21" t="s">
        <v>22</v>
      </c>
      <c r="L599" s="21" t="s">
        <v>353</v>
      </c>
      <c r="M599" s="21" t="s">
        <v>15</v>
      </c>
      <c r="N599" s="54">
        <v>59221.73</v>
      </c>
      <c r="O599" s="54">
        <v>-464.51</v>
      </c>
      <c r="P599" s="54">
        <v>0</v>
      </c>
      <c r="Q599" s="54">
        <v>58757.22</v>
      </c>
      <c r="R599" s="54">
        <v>632.5</v>
      </c>
      <c r="S599" s="54">
        <v>48072.01</v>
      </c>
      <c r="T599" s="54">
        <v>48072.01</v>
      </c>
      <c r="U599" s="54">
        <v>10685.21</v>
      </c>
      <c r="V599" s="54">
        <v>10685.21</v>
      </c>
      <c r="W599" s="54">
        <v>10052.709999999999</v>
      </c>
    </row>
    <row r="600" spans="1:23" outlineLevel="2" x14ac:dyDescent="0.2">
      <c r="A600" s="21" t="s">
        <v>0</v>
      </c>
      <c r="B600" s="21" t="s">
        <v>39</v>
      </c>
      <c r="C600" s="21" t="s">
        <v>58</v>
      </c>
      <c r="D600" s="21" t="s">
        <v>137</v>
      </c>
      <c r="E600" s="21" t="s">
        <v>138</v>
      </c>
      <c r="F600" s="21" t="s">
        <v>5</v>
      </c>
      <c r="G600" s="21" t="s">
        <v>6</v>
      </c>
      <c r="H600" s="21" t="s">
        <v>35</v>
      </c>
      <c r="I600" s="21" t="s">
        <v>36</v>
      </c>
      <c r="J600" s="21" t="s">
        <v>9</v>
      </c>
      <c r="K600" s="21" t="s">
        <v>22</v>
      </c>
      <c r="L600" s="21" t="s">
        <v>353</v>
      </c>
      <c r="M600" s="21" t="s">
        <v>15</v>
      </c>
      <c r="N600" s="54">
        <v>155426.1</v>
      </c>
      <c r="O600" s="54">
        <v>0</v>
      </c>
      <c r="P600" s="54">
        <v>0</v>
      </c>
      <c r="Q600" s="54">
        <v>155426.1</v>
      </c>
      <c r="R600" s="54">
        <v>1280.4100000000001</v>
      </c>
      <c r="S600" s="54">
        <v>113023.74</v>
      </c>
      <c r="T600" s="54">
        <v>113023.74</v>
      </c>
      <c r="U600" s="54">
        <v>42402.36</v>
      </c>
      <c r="V600" s="54">
        <v>42402.36</v>
      </c>
      <c r="W600" s="54">
        <v>41121.949999999997</v>
      </c>
    </row>
    <row r="601" spans="1:23" outlineLevel="2" x14ac:dyDescent="0.2">
      <c r="A601" s="21" t="s">
        <v>0</v>
      </c>
      <c r="B601" s="21" t="s">
        <v>31</v>
      </c>
      <c r="C601" s="21" t="s">
        <v>79</v>
      </c>
      <c r="D601" s="21" t="s">
        <v>115</v>
      </c>
      <c r="E601" s="21" t="s">
        <v>116</v>
      </c>
      <c r="F601" s="21" t="s">
        <v>5</v>
      </c>
      <c r="G601" s="21" t="s">
        <v>6</v>
      </c>
      <c r="H601" s="21" t="s">
        <v>35</v>
      </c>
      <c r="I601" s="21" t="s">
        <v>36</v>
      </c>
      <c r="J601" s="21" t="s">
        <v>9</v>
      </c>
      <c r="K601" s="21" t="s">
        <v>22</v>
      </c>
      <c r="L601" s="21" t="s">
        <v>354</v>
      </c>
      <c r="M601" s="21" t="s">
        <v>15</v>
      </c>
      <c r="N601" s="54">
        <v>90499.39</v>
      </c>
      <c r="O601" s="54">
        <v>-769.47</v>
      </c>
      <c r="P601" s="54">
        <v>0</v>
      </c>
      <c r="Q601" s="54">
        <v>89729.919999999998</v>
      </c>
      <c r="R601" s="54">
        <v>0</v>
      </c>
      <c r="S601" s="54">
        <v>73373.69</v>
      </c>
      <c r="T601" s="54">
        <v>73373.69</v>
      </c>
      <c r="U601" s="54">
        <v>16356.23</v>
      </c>
      <c r="V601" s="54">
        <v>16356.23</v>
      </c>
      <c r="W601" s="54">
        <v>16356.23</v>
      </c>
    </row>
    <row r="602" spans="1:23" outlineLevel="2" x14ac:dyDescent="0.2">
      <c r="A602" s="21" t="s">
        <v>0</v>
      </c>
      <c r="B602" s="21" t="s">
        <v>39</v>
      </c>
      <c r="C602" s="21" t="s">
        <v>66</v>
      </c>
      <c r="D602" s="21" t="s">
        <v>121</v>
      </c>
      <c r="E602" s="21" t="s">
        <v>122</v>
      </c>
      <c r="F602" s="21" t="s">
        <v>5</v>
      </c>
      <c r="G602" s="21" t="s">
        <v>6</v>
      </c>
      <c r="H602" s="21" t="s">
        <v>35</v>
      </c>
      <c r="I602" s="21" t="s">
        <v>36</v>
      </c>
      <c r="J602" s="21" t="s">
        <v>9</v>
      </c>
      <c r="K602" s="21" t="s">
        <v>22</v>
      </c>
      <c r="L602" s="21" t="s">
        <v>355</v>
      </c>
      <c r="M602" s="21" t="s">
        <v>15</v>
      </c>
      <c r="N602" s="54">
        <v>157668.42000000001</v>
      </c>
      <c r="O602" s="54">
        <v>0</v>
      </c>
      <c r="P602" s="54">
        <v>0</v>
      </c>
      <c r="Q602" s="54">
        <v>157668.42000000001</v>
      </c>
      <c r="R602" s="54">
        <v>969.61</v>
      </c>
      <c r="S602" s="54">
        <v>125414.38</v>
      </c>
      <c r="T602" s="54">
        <v>125414.38</v>
      </c>
      <c r="U602" s="54">
        <v>32254.04</v>
      </c>
      <c r="V602" s="54">
        <v>32254.04</v>
      </c>
      <c r="W602" s="54">
        <v>31284.43</v>
      </c>
    </row>
    <row r="603" spans="1:23" outlineLevel="2" x14ac:dyDescent="0.2">
      <c r="A603" s="21" t="s">
        <v>0</v>
      </c>
      <c r="B603" s="21" t="s">
        <v>39</v>
      </c>
      <c r="C603" s="21" t="s">
        <v>58</v>
      </c>
      <c r="D603" s="21" t="s">
        <v>147</v>
      </c>
      <c r="E603" s="21" t="s">
        <v>148</v>
      </c>
      <c r="F603" s="21" t="s">
        <v>5</v>
      </c>
      <c r="G603" s="21" t="s">
        <v>6</v>
      </c>
      <c r="H603" s="21" t="s">
        <v>35</v>
      </c>
      <c r="I603" s="21" t="s">
        <v>36</v>
      </c>
      <c r="J603" s="21" t="s">
        <v>9</v>
      </c>
      <c r="K603" s="21" t="s">
        <v>22</v>
      </c>
      <c r="L603" s="21" t="s">
        <v>353</v>
      </c>
      <c r="M603" s="21" t="s">
        <v>15</v>
      </c>
      <c r="N603" s="54">
        <v>172079.88</v>
      </c>
      <c r="O603" s="54">
        <v>0</v>
      </c>
      <c r="P603" s="54">
        <v>0</v>
      </c>
      <c r="Q603" s="54">
        <v>172079.88</v>
      </c>
      <c r="R603" s="54">
        <v>660.33</v>
      </c>
      <c r="S603" s="54">
        <v>137846.04999999999</v>
      </c>
      <c r="T603" s="54">
        <v>137846.04999999999</v>
      </c>
      <c r="U603" s="54">
        <v>34233.83</v>
      </c>
      <c r="V603" s="54">
        <v>34233.83</v>
      </c>
      <c r="W603" s="54">
        <v>33573.5</v>
      </c>
    </row>
    <row r="604" spans="1:23" outlineLevel="2" x14ac:dyDescent="0.2">
      <c r="A604" s="21" t="s">
        <v>0</v>
      </c>
      <c r="B604" s="21" t="s">
        <v>39</v>
      </c>
      <c r="C604" s="21" t="s">
        <v>40</v>
      </c>
      <c r="D604" s="21" t="s">
        <v>41</v>
      </c>
      <c r="E604" s="21" t="s">
        <v>42</v>
      </c>
      <c r="F604" s="21" t="s">
        <v>5</v>
      </c>
      <c r="G604" s="21" t="s">
        <v>6</v>
      </c>
      <c r="H604" s="21" t="s">
        <v>35</v>
      </c>
      <c r="I604" s="21" t="s">
        <v>36</v>
      </c>
      <c r="J604" s="21" t="s">
        <v>9</v>
      </c>
      <c r="K604" s="21" t="s">
        <v>22</v>
      </c>
      <c r="L604" s="21" t="s">
        <v>352</v>
      </c>
      <c r="M604" s="21" t="s">
        <v>15</v>
      </c>
      <c r="N604" s="54">
        <v>188855.85</v>
      </c>
      <c r="O604" s="54">
        <v>0</v>
      </c>
      <c r="P604" s="54">
        <v>0</v>
      </c>
      <c r="Q604" s="54">
        <v>188855.85</v>
      </c>
      <c r="R604" s="54">
        <v>2355.69</v>
      </c>
      <c r="S604" s="54">
        <v>144449.19</v>
      </c>
      <c r="T604" s="54">
        <v>144362.75</v>
      </c>
      <c r="U604" s="54">
        <v>44406.66</v>
      </c>
      <c r="V604" s="54">
        <v>44493.1</v>
      </c>
      <c r="W604" s="54">
        <v>42050.97</v>
      </c>
    </row>
    <row r="605" spans="1:23" outlineLevel="2" x14ac:dyDescent="0.2">
      <c r="A605" s="21" t="s">
        <v>0</v>
      </c>
      <c r="B605" s="21" t="s">
        <v>31</v>
      </c>
      <c r="C605" s="21" t="s">
        <v>79</v>
      </c>
      <c r="D605" s="21" t="s">
        <v>113</v>
      </c>
      <c r="E605" s="21" t="s">
        <v>114</v>
      </c>
      <c r="F605" s="21" t="s">
        <v>5</v>
      </c>
      <c r="G605" s="21" t="s">
        <v>6</v>
      </c>
      <c r="H605" s="21" t="s">
        <v>35</v>
      </c>
      <c r="I605" s="21" t="s">
        <v>36</v>
      </c>
      <c r="J605" s="21" t="s">
        <v>9</v>
      </c>
      <c r="K605" s="21" t="s">
        <v>22</v>
      </c>
      <c r="L605" s="21" t="s">
        <v>354</v>
      </c>
      <c r="M605" s="21" t="s">
        <v>15</v>
      </c>
      <c r="N605" s="54">
        <v>131130.31</v>
      </c>
      <c r="O605" s="54">
        <v>-836.59</v>
      </c>
      <c r="P605" s="54">
        <v>0</v>
      </c>
      <c r="Q605" s="54">
        <v>130293.72</v>
      </c>
      <c r="R605" s="54">
        <v>0</v>
      </c>
      <c r="S605" s="54">
        <v>107082.64</v>
      </c>
      <c r="T605" s="54">
        <v>107082.64</v>
      </c>
      <c r="U605" s="54">
        <v>23211.08</v>
      </c>
      <c r="V605" s="54">
        <v>23211.08</v>
      </c>
      <c r="W605" s="54">
        <v>23211.08</v>
      </c>
    </row>
    <row r="606" spans="1:23" outlineLevel="2" x14ac:dyDescent="0.2">
      <c r="A606" s="21" t="s">
        <v>0</v>
      </c>
      <c r="B606" s="21" t="s">
        <v>1</v>
      </c>
      <c r="C606" s="21" t="s">
        <v>91</v>
      </c>
      <c r="D606" s="21" t="s">
        <v>92</v>
      </c>
      <c r="E606" s="21" t="s">
        <v>93</v>
      </c>
      <c r="F606" s="21" t="s">
        <v>5</v>
      </c>
      <c r="G606" s="21" t="s">
        <v>6</v>
      </c>
      <c r="H606" s="21" t="s">
        <v>35</v>
      </c>
      <c r="I606" s="21" t="s">
        <v>36</v>
      </c>
      <c r="J606" s="21" t="s">
        <v>9</v>
      </c>
      <c r="K606" s="21" t="s">
        <v>22</v>
      </c>
      <c r="L606" s="21" t="s">
        <v>356</v>
      </c>
      <c r="M606" s="21" t="s">
        <v>15</v>
      </c>
      <c r="N606" s="54">
        <v>497904.25</v>
      </c>
      <c r="O606" s="54">
        <v>25449</v>
      </c>
      <c r="P606" s="54">
        <v>0</v>
      </c>
      <c r="Q606" s="54">
        <v>523353.25</v>
      </c>
      <c r="R606" s="54">
        <v>0</v>
      </c>
      <c r="S606" s="54">
        <v>450572.01</v>
      </c>
      <c r="T606" s="54">
        <v>450572.01</v>
      </c>
      <c r="U606" s="54">
        <v>72781.240000000005</v>
      </c>
      <c r="V606" s="54">
        <v>72781.240000000005</v>
      </c>
      <c r="W606" s="54">
        <v>72781.240000000005</v>
      </c>
    </row>
    <row r="607" spans="1:23" outlineLevel="2" x14ac:dyDescent="0.2">
      <c r="A607" s="21" t="s">
        <v>0</v>
      </c>
      <c r="B607" s="21" t="s">
        <v>53</v>
      </c>
      <c r="C607" s="21" t="s">
        <v>85</v>
      </c>
      <c r="D607" s="21" t="s">
        <v>86</v>
      </c>
      <c r="E607" s="21" t="s">
        <v>87</v>
      </c>
      <c r="F607" s="21" t="s">
        <v>5</v>
      </c>
      <c r="G607" s="21" t="s">
        <v>6</v>
      </c>
      <c r="H607" s="21" t="s">
        <v>35</v>
      </c>
      <c r="I607" s="21" t="s">
        <v>36</v>
      </c>
      <c r="J607" s="21" t="s">
        <v>9</v>
      </c>
      <c r="K607" s="21" t="s">
        <v>22</v>
      </c>
      <c r="L607" s="21" t="s">
        <v>360</v>
      </c>
      <c r="M607" s="21" t="s">
        <v>15</v>
      </c>
      <c r="N607" s="54">
        <v>61790.01</v>
      </c>
      <c r="O607" s="54">
        <v>0</v>
      </c>
      <c r="P607" s="54">
        <v>0</v>
      </c>
      <c r="Q607" s="54">
        <v>61790.01</v>
      </c>
      <c r="R607" s="54">
        <v>759</v>
      </c>
      <c r="S607" s="54">
        <v>41819.85</v>
      </c>
      <c r="T607" s="54">
        <v>41819.85</v>
      </c>
      <c r="U607" s="54">
        <v>19970.16</v>
      </c>
      <c r="V607" s="54">
        <v>19970.16</v>
      </c>
      <c r="W607" s="54">
        <v>19211.16</v>
      </c>
    </row>
    <row r="608" spans="1:23" outlineLevel="2" x14ac:dyDescent="0.2">
      <c r="A608" s="21" t="s">
        <v>0</v>
      </c>
      <c r="B608" s="21" t="s">
        <v>39</v>
      </c>
      <c r="C608" s="21" t="s">
        <v>58</v>
      </c>
      <c r="D608" s="21" t="s">
        <v>129</v>
      </c>
      <c r="E608" s="21" t="s">
        <v>130</v>
      </c>
      <c r="F608" s="21" t="s">
        <v>5</v>
      </c>
      <c r="G608" s="21" t="s">
        <v>6</v>
      </c>
      <c r="H608" s="21" t="s">
        <v>35</v>
      </c>
      <c r="I608" s="21" t="s">
        <v>36</v>
      </c>
      <c r="J608" s="21" t="s">
        <v>9</v>
      </c>
      <c r="K608" s="21" t="s">
        <v>22</v>
      </c>
      <c r="L608" s="21" t="s">
        <v>353</v>
      </c>
      <c r="M608" s="21" t="s">
        <v>15</v>
      </c>
      <c r="N608" s="54">
        <v>61691.519999999997</v>
      </c>
      <c r="O608" s="54">
        <v>585.57000000000005</v>
      </c>
      <c r="P608" s="54">
        <v>0</v>
      </c>
      <c r="Q608" s="54">
        <v>62277.09</v>
      </c>
      <c r="R608" s="54">
        <v>0</v>
      </c>
      <c r="S608" s="54">
        <v>43550.59</v>
      </c>
      <c r="T608" s="54">
        <v>43550.59</v>
      </c>
      <c r="U608" s="54">
        <v>18726.5</v>
      </c>
      <c r="V608" s="54">
        <v>18726.5</v>
      </c>
      <c r="W608" s="54">
        <v>18726.5</v>
      </c>
    </row>
    <row r="609" spans="1:23" outlineLevel="2" x14ac:dyDescent="0.2">
      <c r="A609" s="21" t="s">
        <v>0</v>
      </c>
      <c r="B609" s="21" t="s">
        <v>39</v>
      </c>
      <c r="C609" s="21" t="s">
        <v>58</v>
      </c>
      <c r="D609" s="21" t="s">
        <v>149</v>
      </c>
      <c r="E609" s="21" t="s">
        <v>150</v>
      </c>
      <c r="F609" s="21" t="s">
        <v>5</v>
      </c>
      <c r="G609" s="21" t="s">
        <v>6</v>
      </c>
      <c r="H609" s="21" t="s">
        <v>35</v>
      </c>
      <c r="I609" s="21" t="s">
        <v>36</v>
      </c>
      <c r="J609" s="21" t="s">
        <v>9</v>
      </c>
      <c r="K609" s="21" t="s">
        <v>22</v>
      </c>
      <c r="L609" s="21" t="s">
        <v>353</v>
      </c>
      <c r="M609" s="21" t="s">
        <v>15</v>
      </c>
      <c r="N609" s="54">
        <v>240936.49</v>
      </c>
      <c r="O609" s="54">
        <v>232.25</v>
      </c>
      <c r="P609" s="54">
        <v>0</v>
      </c>
      <c r="Q609" s="54">
        <v>241168.74</v>
      </c>
      <c r="R609" s="54">
        <v>2942.26</v>
      </c>
      <c r="S609" s="54">
        <v>178289.37</v>
      </c>
      <c r="T609" s="54">
        <v>178289.37</v>
      </c>
      <c r="U609" s="54">
        <v>62879.37</v>
      </c>
      <c r="V609" s="54">
        <v>62879.37</v>
      </c>
      <c r="W609" s="54">
        <v>59937.11</v>
      </c>
    </row>
    <row r="610" spans="1:23" outlineLevel="2" x14ac:dyDescent="0.2">
      <c r="A610" s="21" t="s">
        <v>0</v>
      </c>
      <c r="B610" s="21" t="s">
        <v>1</v>
      </c>
      <c r="C610" s="21" t="s">
        <v>44</v>
      </c>
      <c r="D610" s="21" t="s">
        <v>45</v>
      </c>
      <c r="E610" s="21" t="s">
        <v>46</v>
      </c>
      <c r="F610" s="21" t="s">
        <v>5</v>
      </c>
      <c r="G610" s="21" t="s">
        <v>6</v>
      </c>
      <c r="H610" s="21" t="s">
        <v>35</v>
      </c>
      <c r="I610" s="21" t="s">
        <v>36</v>
      </c>
      <c r="J610" s="21" t="s">
        <v>9</v>
      </c>
      <c r="K610" s="21" t="s">
        <v>22</v>
      </c>
      <c r="L610" s="21" t="s">
        <v>358</v>
      </c>
      <c r="M610" s="21" t="s">
        <v>15</v>
      </c>
      <c r="N610" s="54">
        <v>109331.43</v>
      </c>
      <c r="O610" s="54">
        <v>13050.5</v>
      </c>
      <c r="P610" s="54">
        <v>0</v>
      </c>
      <c r="Q610" s="54">
        <v>122381.93</v>
      </c>
      <c r="R610" s="54">
        <v>3.9</v>
      </c>
      <c r="S610" s="54">
        <v>95010.18</v>
      </c>
      <c r="T610" s="54">
        <v>95010.18</v>
      </c>
      <c r="U610" s="54">
        <v>27371.75</v>
      </c>
      <c r="V610" s="54">
        <v>27371.75</v>
      </c>
      <c r="W610" s="54">
        <v>27367.85</v>
      </c>
    </row>
    <row r="611" spans="1:23" outlineLevel="2" x14ac:dyDescent="0.2">
      <c r="A611" s="21" t="s">
        <v>0</v>
      </c>
      <c r="B611" s="21" t="s">
        <v>31</v>
      </c>
      <c r="C611" s="21" t="s">
        <v>79</v>
      </c>
      <c r="D611" s="21" t="s">
        <v>111</v>
      </c>
      <c r="E611" s="21" t="s">
        <v>112</v>
      </c>
      <c r="F611" s="21" t="s">
        <v>5</v>
      </c>
      <c r="G611" s="21" t="s">
        <v>6</v>
      </c>
      <c r="H611" s="21" t="s">
        <v>35</v>
      </c>
      <c r="I611" s="21" t="s">
        <v>36</v>
      </c>
      <c r="J611" s="21" t="s">
        <v>9</v>
      </c>
      <c r="K611" s="21" t="s">
        <v>22</v>
      </c>
      <c r="L611" s="21" t="s">
        <v>354</v>
      </c>
      <c r="M611" s="21" t="s">
        <v>15</v>
      </c>
      <c r="N611" s="54">
        <v>95061.15</v>
      </c>
      <c r="O611" s="54">
        <v>0</v>
      </c>
      <c r="P611" s="54">
        <v>0</v>
      </c>
      <c r="Q611" s="54">
        <v>95061.15</v>
      </c>
      <c r="R611" s="54">
        <v>0</v>
      </c>
      <c r="S611" s="54">
        <v>91046.01</v>
      </c>
      <c r="T611" s="54">
        <v>91046.01</v>
      </c>
      <c r="U611" s="54">
        <v>4015.14</v>
      </c>
      <c r="V611" s="54">
        <v>4015.14</v>
      </c>
      <c r="W611" s="54">
        <v>4015.14</v>
      </c>
    </row>
    <row r="612" spans="1:23" outlineLevel="2" x14ac:dyDescent="0.2">
      <c r="A612" s="21" t="s">
        <v>0</v>
      </c>
      <c r="B612" s="21" t="s">
        <v>31</v>
      </c>
      <c r="C612" s="21" t="s">
        <v>79</v>
      </c>
      <c r="D612" s="21" t="s">
        <v>80</v>
      </c>
      <c r="E612" s="21" t="s">
        <v>81</v>
      </c>
      <c r="F612" s="21" t="s">
        <v>5</v>
      </c>
      <c r="G612" s="21" t="s">
        <v>6</v>
      </c>
      <c r="H612" s="21" t="s">
        <v>35</v>
      </c>
      <c r="I612" s="21" t="s">
        <v>36</v>
      </c>
      <c r="J612" s="21" t="s">
        <v>9</v>
      </c>
      <c r="K612" s="21" t="s">
        <v>22</v>
      </c>
      <c r="L612" s="21" t="s">
        <v>354</v>
      </c>
      <c r="M612" s="21" t="s">
        <v>15</v>
      </c>
      <c r="N612" s="54">
        <v>133965.54</v>
      </c>
      <c r="O612" s="54">
        <v>-1071.4000000000001</v>
      </c>
      <c r="P612" s="54">
        <v>0</v>
      </c>
      <c r="Q612" s="54">
        <v>132894.14000000001</v>
      </c>
      <c r="R612" s="54">
        <v>0</v>
      </c>
      <c r="S612" s="54">
        <v>103992.22</v>
      </c>
      <c r="T612" s="54">
        <v>103992.22</v>
      </c>
      <c r="U612" s="54">
        <v>28901.919999999998</v>
      </c>
      <c r="V612" s="54">
        <v>28901.919999999998</v>
      </c>
      <c r="W612" s="54">
        <v>28901.919999999998</v>
      </c>
    </row>
    <row r="613" spans="1:23" outlineLevel="2" x14ac:dyDescent="0.2">
      <c r="A613" s="21" t="s">
        <v>0</v>
      </c>
      <c r="B613" s="21" t="s">
        <v>39</v>
      </c>
      <c r="C613" s="21" t="s">
        <v>58</v>
      </c>
      <c r="D613" s="21" t="s">
        <v>139</v>
      </c>
      <c r="E613" s="21" t="s">
        <v>140</v>
      </c>
      <c r="F613" s="21" t="s">
        <v>5</v>
      </c>
      <c r="G613" s="21" t="s">
        <v>6</v>
      </c>
      <c r="H613" s="21" t="s">
        <v>35</v>
      </c>
      <c r="I613" s="21" t="s">
        <v>36</v>
      </c>
      <c r="J613" s="21" t="s">
        <v>9</v>
      </c>
      <c r="K613" s="21" t="s">
        <v>22</v>
      </c>
      <c r="L613" s="21" t="s">
        <v>353</v>
      </c>
      <c r="M613" s="21" t="s">
        <v>15</v>
      </c>
      <c r="N613" s="54">
        <v>188041.38</v>
      </c>
      <c r="O613" s="54">
        <v>0</v>
      </c>
      <c r="P613" s="54">
        <v>0</v>
      </c>
      <c r="Q613" s="54">
        <v>188041.38</v>
      </c>
      <c r="R613" s="54">
        <v>1225.5</v>
      </c>
      <c r="S613" s="54">
        <v>143294.42000000001</v>
      </c>
      <c r="T613" s="54">
        <v>143294.42000000001</v>
      </c>
      <c r="U613" s="54">
        <v>44746.96</v>
      </c>
      <c r="V613" s="54">
        <v>44746.96</v>
      </c>
      <c r="W613" s="54">
        <v>43521.46</v>
      </c>
    </row>
    <row r="614" spans="1:23" outlineLevel="2" x14ac:dyDescent="0.2">
      <c r="A614" s="21" t="s">
        <v>0</v>
      </c>
      <c r="B614" s="21" t="s">
        <v>1</v>
      </c>
      <c r="C614" s="21" t="s">
        <v>2</v>
      </c>
      <c r="D614" s="21" t="s">
        <v>20</v>
      </c>
      <c r="E614" s="21" t="s">
        <v>21</v>
      </c>
      <c r="F614" s="21" t="s">
        <v>5</v>
      </c>
      <c r="G614" s="21" t="s">
        <v>6</v>
      </c>
      <c r="H614" s="21" t="s">
        <v>35</v>
      </c>
      <c r="I614" s="21" t="s">
        <v>36</v>
      </c>
      <c r="J614" s="21" t="s">
        <v>9</v>
      </c>
      <c r="K614" s="21" t="s">
        <v>22</v>
      </c>
      <c r="L614" s="21" t="s">
        <v>23</v>
      </c>
      <c r="M614" s="21" t="s">
        <v>15</v>
      </c>
      <c r="N614" s="54">
        <v>1328531.1399999999</v>
      </c>
      <c r="O614" s="54">
        <v>10969.91</v>
      </c>
      <c r="P614" s="54">
        <v>0</v>
      </c>
      <c r="Q614" s="54">
        <v>1339501.05</v>
      </c>
      <c r="R614" s="54">
        <v>53072.9</v>
      </c>
      <c r="S614" s="54">
        <v>966943.29</v>
      </c>
      <c r="T614" s="54">
        <v>966943.29</v>
      </c>
      <c r="U614" s="54">
        <v>372557.76</v>
      </c>
      <c r="V614" s="54">
        <v>372557.76</v>
      </c>
      <c r="W614" s="54">
        <v>319484.86</v>
      </c>
    </row>
    <row r="615" spans="1:23" outlineLevel="2" x14ac:dyDescent="0.2">
      <c r="A615" s="21" t="s">
        <v>0</v>
      </c>
      <c r="B615" s="21" t="s">
        <v>39</v>
      </c>
      <c r="C615" s="21" t="s">
        <v>58</v>
      </c>
      <c r="D615" s="21" t="s">
        <v>143</v>
      </c>
      <c r="E615" s="21" t="s">
        <v>144</v>
      </c>
      <c r="F615" s="21" t="s">
        <v>5</v>
      </c>
      <c r="G615" s="21" t="s">
        <v>6</v>
      </c>
      <c r="H615" s="21" t="s">
        <v>35</v>
      </c>
      <c r="I615" s="21" t="s">
        <v>36</v>
      </c>
      <c r="J615" s="21" t="s">
        <v>9</v>
      </c>
      <c r="K615" s="21" t="s">
        <v>22</v>
      </c>
      <c r="L615" s="21" t="s">
        <v>353</v>
      </c>
      <c r="M615" s="21" t="s">
        <v>15</v>
      </c>
      <c r="N615" s="54">
        <v>186255.44</v>
      </c>
      <c r="O615" s="54">
        <v>-812.89</v>
      </c>
      <c r="P615" s="54">
        <v>0</v>
      </c>
      <c r="Q615" s="54">
        <v>185442.55</v>
      </c>
      <c r="R615" s="54">
        <v>1496.19</v>
      </c>
      <c r="S615" s="54">
        <v>142614.59</v>
      </c>
      <c r="T615" s="54">
        <v>142614.59</v>
      </c>
      <c r="U615" s="54">
        <v>42827.96</v>
      </c>
      <c r="V615" s="54">
        <v>42827.96</v>
      </c>
      <c r="W615" s="54">
        <v>41331.769999999997</v>
      </c>
    </row>
    <row r="616" spans="1:23" outlineLevel="2" x14ac:dyDescent="0.2">
      <c r="A616" s="21" t="s">
        <v>0</v>
      </c>
      <c r="B616" s="21" t="s">
        <v>1</v>
      </c>
      <c r="C616" s="21" t="s">
        <v>2</v>
      </c>
      <c r="D616" s="21" t="s">
        <v>3</v>
      </c>
      <c r="E616" s="21" t="s">
        <v>4</v>
      </c>
      <c r="F616" s="21" t="s">
        <v>5</v>
      </c>
      <c r="G616" s="21" t="s">
        <v>6</v>
      </c>
      <c r="H616" s="21" t="s">
        <v>35</v>
      </c>
      <c r="I616" s="21" t="s">
        <v>36</v>
      </c>
      <c r="J616" s="21" t="s">
        <v>9</v>
      </c>
      <c r="K616" s="21" t="s">
        <v>22</v>
      </c>
      <c r="L616" s="21" t="s">
        <v>23</v>
      </c>
      <c r="M616" s="21" t="s">
        <v>15</v>
      </c>
      <c r="N616" s="54">
        <v>445060.19</v>
      </c>
      <c r="O616" s="54">
        <v>-1277.43</v>
      </c>
      <c r="P616" s="54">
        <v>0</v>
      </c>
      <c r="Q616" s="54">
        <v>443782.76</v>
      </c>
      <c r="R616" s="54">
        <v>8005.96</v>
      </c>
      <c r="S616" s="54">
        <v>357114</v>
      </c>
      <c r="T616" s="54">
        <v>357047.97</v>
      </c>
      <c r="U616" s="54">
        <v>86668.76</v>
      </c>
      <c r="V616" s="54">
        <v>86734.79</v>
      </c>
      <c r="W616" s="54">
        <v>78662.8</v>
      </c>
    </row>
    <row r="617" spans="1:23" outlineLevel="2" x14ac:dyDescent="0.2">
      <c r="A617" s="21" t="s">
        <v>0</v>
      </c>
      <c r="B617" s="21" t="s">
        <v>31</v>
      </c>
      <c r="C617" s="21" t="s">
        <v>79</v>
      </c>
      <c r="D617" s="21" t="s">
        <v>127</v>
      </c>
      <c r="E617" s="21" t="s">
        <v>128</v>
      </c>
      <c r="F617" s="21" t="s">
        <v>5</v>
      </c>
      <c r="G617" s="21" t="s">
        <v>6</v>
      </c>
      <c r="H617" s="21" t="s">
        <v>35</v>
      </c>
      <c r="I617" s="21" t="s">
        <v>36</v>
      </c>
      <c r="J617" s="21" t="s">
        <v>9</v>
      </c>
      <c r="K617" s="21" t="s">
        <v>22</v>
      </c>
      <c r="L617" s="21" t="s">
        <v>354</v>
      </c>
      <c r="M617" s="21" t="s">
        <v>15</v>
      </c>
      <c r="N617" s="54">
        <v>137058.79</v>
      </c>
      <c r="O617" s="54">
        <v>-1200.71</v>
      </c>
      <c r="P617" s="54">
        <v>0</v>
      </c>
      <c r="Q617" s="54">
        <v>135858.07999999999</v>
      </c>
      <c r="R617" s="54">
        <v>0</v>
      </c>
      <c r="S617" s="54">
        <v>108619.79</v>
      </c>
      <c r="T617" s="54">
        <v>108619.79</v>
      </c>
      <c r="U617" s="54">
        <v>27238.29</v>
      </c>
      <c r="V617" s="54">
        <v>27238.29</v>
      </c>
      <c r="W617" s="54">
        <v>27238.29</v>
      </c>
    </row>
    <row r="618" spans="1:23" outlineLevel="2" x14ac:dyDescent="0.2">
      <c r="A618" s="21" t="s">
        <v>0</v>
      </c>
      <c r="B618" s="21" t="s">
        <v>39</v>
      </c>
      <c r="C618" s="21" t="s">
        <v>66</v>
      </c>
      <c r="D618" s="21" t="s">
        <v>67</v>
      </c>
      <c r="E618" s="21" t="s">
        <v>68</v>
      </c>
      <c r="F618" s="21" t="s">
        <v>5</v>
      </c>
      <c r="G618" s="21" t="s">
        <v>6</v>
      </c>
      <c r="H618" s="21" t="s">
        <v>35</v>
      </c>
      <c r="I618" s="21" t="s">
        <v>36</v>
      </c>
      <c r="J618" s="21" t="s">
        <v>9</v>
      </c>
      <c r="K618" s="21" t="s">
        <v>22</v>
      </c>
      <c r="L618" s="21" t="s">
        <v>355</v>
      </c>
      <c r="M618" s="21" t="s">
        <v>15</v>
      </c>
      <c r="N618" s="54">
        <v>277089.65000000002</v>
      </c>
      <c r="O618" s="54">
        <v>-7948.25</v>
      </c>
      <c r="P618" s="54">
        <v>0</v>
      </c>
      <c r="Q618" s="54">
        <v>269141.40000000002</v>
      </c>
      <c r="R618" s="54">
        <v>4351.37</v>
      </c>
      <c r="S618" s="54">
        <v>209580.6</v>
      </c>
      <c r="T618" s="54">
        <v>209580.6</v>
      </c>
      <c r="U618" s="54">
        <v>59560.800000000003</v>
      </c>
      <c r="V618" s="54">
        <v>59560.800000000003</v>
      </c>
      <c r="W618" s="54">
        <v>55209.43</v>
      </c>
    </row>
    <row r="619" spans="1:23" outlineLevel="2" x14ac:dyDescent="0.2">
      <c r="A619" s="21" t="s">
        <v>0</v>
      </c>
      <c r="B619" s="21" t="s">
        <v>31</v>
      </c>
      <c r="C619" s="21" t="s">
        <v>79</v>
      </c>
      <c r="D619" s="21" t="s">
        <v>133</v>
      </c>
      <c r="E619" s="21" t="s">
        <v>134</v>
      </c>
      <c r="F619" s="21" t="s">
        <v>5</v>
      </c>
      <c r="G619" s="21" t="s">
        <v>6</v>
      </c>
      <c r="H619" s="21" t="s">
        <v>35</v>
      </c>
      <c r="I619" s="21" t="s">
        <v>36</v>
      </c>
      <c r="J619" s="21" t="s">
        <v>9</v>
      </c>
      <c r="K619" s="21" t="s">
        <v>22</v>
      </c>
      <c r="L619" s="21" t="s">
        <v>354</v>
      </c>
      <c r="M619" s="21" t="s">
        <v>15</v>
      </c>
      <c r="N619" s="54">
        <v>149995.06</v>
      </c>
      <c r="O619" s="54">
        <v>-1071.4000000000001</v>
      </c>
      <c r="P619" s="54">
        <v>0</v>
      </c>
      <c r="Q619" s="54">
        <v>148923.66</v>
      </c>
      <c r="R619" s="54">
        <v>0</v>
      </c>
      <c r="S619" s="54">
        <v>119680.21</v>
      </c>
      <c r="T619" s="54">
        <v>119680.21</v>
      </c>
      <c r="U619" s="54">
        <v>29243.45</v>
      </c>
      <c r="V619" s="54">
        <v>29243.45</v>
      </c>
      <c r="W619" s="54">
        <v>29243.45</v>
      </c>
    </row>
    <row r="620" spans="1:23" outlineLevel="2" x14ac:dyDescent="0.2">
      <c r="A620" s="21" t="s">
        <v>0</v>
      </c>
      <c r="B620" s="21" t="s">
        <v>31</v>
      </c>
      <c r="C620" s="21" t="s">
        <v>79</v>
      </c>
      <c r="D620" s="21" t="s">
        <v>131</v>
      </c>
      <c r="E620" s="21" t="s">
        <v>132</v>
      </c>
      <c r="F620" s="21" t="s">
        <v>5</v>
      </c>
      <c r="G620" s="21" t="s">
        <v>6</v>
      </c>
      <c r="H620" s="21" t="s">
        <v>35</v>
      </c>
      <c r="I620" s="21" t="s">
        <v>36</v>
      </c>
      <c r="J620" s="21" t="s">
        <v>9</v>
      </c>
      <c r="K620" s="21" t="s">
        <v>22</v>
      </c>
      <c r="L620" s="21" t="s">
        <v>354</v>
      </c>
      <c r="M620" s="21" t="s">
        <v>15</v>
      </c>
      <c r="N620" s="54">
        <v>209252.87</v>
      </c>
      <c r="O620" s="54">
        <v>-1071.4000000000001</v>
      </c>
      <c r="P620" s="54">
        <v>0</v>
      </c>
      <c r="Q620" s="54">
        <v>208181.47</v>
      </c>
      <c r="R620" s="54">
        <v>0</v>
      </c>
      <c r="S620" s="54">
        <v>164986.23999999999</v>
      </c>
      <c r="T620" s="54">
        <v>164986.23999999999</v>
      </c>
      <c r="U620" s="54">
        <v>43195.23</v>
      </c>
      <c r="V620" s="54">
        <v>43195.23</v>
      </c>
      <c r="W620" s="54">
        <v>43195.23</v>
      </c>
    </row>
    <row r="621" spans="1:23" outlineLevel="2" x14ac:dyDescent="0.2">
      <c r="A621" s="21" t="s">
        <v>0</v>
      </c>
      <c r="B621" s="21" t="s">
        <v>39</v>
      </c>
      <c r="C621" s="21" t="s">
        <v>58</v>
      </c>
      <c r="D621" s="21" t="s">
        <v>59</v>
      </c>
      <c r="E621" s="21" t="s">
        <v>60</v>
      </c>
      <c r="F621" s="21" t="s">
        <v>5</v>
      </c>
      <c r="G621" s="21" t="s">
        <v>6</v>
      </c>
      <c r="H621" s="21" t="s">
        <v>35</v>
      </c>
      <c r="I621" s="21" t="s">
        <v>36</v>
      </c>
      <c r="J621" s="21" t="s">
        <v>9</v>
      </c>
      <c r="K621" s="21" t="s">
        <v>22</v>
      </c>
      <c r="L621" s="21" t="s">
        <v>353</v>
      </c>
      <c r="M621" s="21" t="s">
        <v>15</v>
      </c>
      <c r="N621" s="54">
        <v>114694.88</v>
      </c>
      <c r="O621" s="54">
        <v>-232.25</v>
      </c>
      <c r="P621" s="54">
        <v>0</v>
      </c>
      <c r="Q621" s="54">
        <v>114462.63</v>
      </c>
      <c r="R621" s="54">
        <v>750.27</v>
      </c>
      <c r="S621" s="54">
        <v>87265.08</v>
      </c>
      <c r="T621" s="54">
        <v>87189.18</v>
      </c>
      <c r="U621" s="54">
        <v>27197.55</v>
      </c>
      <c r="V621" s="54">
        <v>27273.45</v>
      </c>
      <c r="W621" s="54">
        <v>26447.279999999999</v>
      </c>
    </row>
    <row r="622" spans="1:23" outlineLevel="2" x14ac:dyDescent="0.2">
      <c r="A622" s="21" t="s">
        <v>0</v>
      </c>
      <c r="B622" s="21" t="s">
        <v>39</v>
      </c>
      <c r="C622" s="21" t="s">
        <v>40</v>
      </c>
      <c r="D622" s="21" t="s">
        <v>77</v>
      </c>
      <c r="E622" s="21" t="s">
        <v>78</v>
      </c>
      <c r="F622" s="21" t="s">
        <v>5</v>
      </c>
      <c r="G622" s="21" t="s">
        <v>6</v>
      </c>
      <c r="H622" s="21" t="s">
        <v>35</v>
      </c>
      <c r="I622" s="21" t="s">
        <v>36</v>
      </c>
      <c r="J622" s="21" t="s">
        <v>9</v>
      </c>
      <c r="K622" s="21" t="s">
        <v>22</v>
      </c>
      <c r="L622" s="21" t="s">
        <v>352</v>
      </c>
      <c r="M622" s="21" t="s">
        <v>15</v>
      </c>
      <c r="N622" s="54">
        <v>3556103</v>
      </c>
      <c r="O622" s="54">
        <v>19090.11</v>
      </c>
      <c r="P622" s="54">
        <v>0</v>
      </c>
      <c r="Q622" s="54">
        <v>3575193.11</v>
      </c>
      <c r="R622" s="54">
        <v>10476.77</v>
      </c>
      <c r="S622" s="54">
        <v>2889126.69</v>
      </c>
      <c r="T622" s="54">
        <v>2889126.69</v>
      </c>
      <c r="U622" s="54">
        <v>686066.42</v>
      </c>
      <c r="V622" s="54">
        <v>686066.42</v>
      </c>
      <c r="W622" s="54">
        <v>675589.65</v>
      </c>
    </row>
    <row r="623" spans="1:23" outlineLevel="2" x14ac:dyDescent="0.2">
      <c r="A623" s="21" t="s">
        <v>0</v>
      </c>
      <c r="B623" s="21" t="s">
        <v>53</v>
      </c>
      <c r="C623" s="21" t="s">
        <v>54</v>
      </c>
      <c r="D623" s="21" t="s">
        <v>55</v>
      </c>
      <c r="E623" s="21" t="s">
        <v>56</v>
      </c>
      <c r="F623" s="21" t="s">
        <v>5</v>
      </c>
      <c r="G623" s="21" t="s">
        <v>6</v>
      </c>
      <c r="H623" s="21" t="s">
        <v>35</v>
      </c>
      <c r="I623" s="21" t="s">
        <v>36</v>
      </c>
      <c r="J623" s="21" t="s">
        <v>9</v>
      </c>
      <c r="K623" s="21" t="s">
        <v>22</v>
      </c>
      <c r="L623" s="21" t="s">
        <v>364</v>
      </c>
      <c r="M623" s="21" t="s">
        <v>15</v>
      </c>
      <c r="N623" s="54">
        <v>199948.26</v>
      </c>
      <c r="O623" s="54">
        <v>-11180.33</v>
      </c>
      <c r="P623" s="54">
        <v>0</v>
      </c>
      <c r="Q623" s="54">
        <v>188767.93</v>
      </c>
      <c r="R623" s="54">
        <v>1582.87</v>
      </c>
      <c r="S623" s="54">
        <v>148682.19</v>
      </c>
      <c r="T623" s="54">
        <v>148682.19</v>
      </c>
      <c r="U623" s="54">
        <v>40085.74</v>
      </c>
      <c r="V623" s="54">
        <v>40085.74</v>
      </c>
      <c r="W623" s="54">
        <v>38502.870000000003</v>
      </c>
    </row>
    <row r="624" spans="1:23" outlineLevel="2" x14ac:dyDescent="0.2">
      <c r="A624" s="21" t="s">
        <v>0</v>
      </c>
      <c r="B624" s="21" t="s">
        <v>39</v>
      </c>
      <c r="C624" s="21" t="s">
        <v>58</v>
      </c>
      <c r="D624" s="21" t="s">
        <v>135</v>
      </c>
      <c r="E624" s="21" t="s">
        <v>136</v>
      </c>
      <c r="F624" s="21" t="s">
        <v>5</v>
      </c>
      <c r="G624" s="21" t="s">
        <v>6</v>
      </c>
      <c r="H624" s="21" t="s">
        <v>35</v>
      </c>
      <c r="I624" s="21" t="s">
        <v>36</v>
      </c>
      <c r="J624" s="21" t="s">
        <v>9</v>
      </c>
      <c r="K624" s="21" t="s">
        <v>22</v>
      </c>
      <c r="L624" s="21" t="s">
        <v>353</v>
      </c>
      <c r="M624" s="21" t="s">
        <v>15</v>
      </c>
      <c r="N624" s="54">
        <v>171142.33</v>
      </c>
      <c r="O624" s="54">
        <v>603.87</v>
      </c>
      <c r="P624" s="54">
        <v>0</v>
      </c>
      <c r="Q624" s="54">
        <v>171746.2</v>
      </c>
      <c r="R624" s="54">
        <v>0</v>
      </c>
      <c r="S624" s="54">
        <v>124041.23</v>
      </c>
      <c r="T624" s="54">
        <v>124041.23</v>
      </c>
      <c r="U624" s="54">
        <v>47704.97</v>
      </c>
      <c r="V624" s="54">
        <v>47704.97</v>
      </c>
      <c r="W624" s="54">
        <v>47704.97</v>
      </c>
    </row>
    <row r="625" spans="1:23" outlineLevel="2" x14ac:dyDescent="0.2">
      <c r="A625" s="21" t="s">
        <v>0</v>
      </c>
      <c r="B625" s="21" t="s">
        <v>31</v>
      </c>
      <c r="C625" s="21" t="s">
        <v>79</v>
      </c>
      <c r="D625" s="21" t="s">
        <v>117</v>
      </c>
      <c r="E625" s="21" t="s">
        <v>118</v>
      </c>
      <c r="F625" s="21" t="s">
        <v>5</v>
      </c>
      <c r="G625" s="21" t="s">
        <v>6</v>
      </c>
      <c r="H625" s="21" t="s">
        <v>35</v>
      </c>
      <c r="I625" s="21" t="s">
        <v>36</v>
      </c>
      <c r="J625" s="21" t="s">
        <v>9</v>
      </c>
      <c r="K625" s="21" t="s">
        <v>22</v>
      </c>
      <c r="L625" s="21" t="s">
        <v>354</v>
      </c>
      <c r="M625" s="21" t="s">
        <v>15</v>
      </c>
      <c r="N625" s="54">
        <v>242185.19</v>
      </c>
      <c r="O625" s="54">
        <v>0</v>
      </c>
      <c r="P625" s="54">
        <v>0</v>
      </c>
      <c r="Q625" s="54">
        <v>242185.19</v>
      </c>
      <c r="R625" s="54">
        <v>0</v>
      </c>
      <c r="S625" s="54">
        <v>188059.97</v>
      </c>
      <c r="T625" s="54">
        <v>188059.97</v>
      </c>
      <c r="U625" s="54">
        <v>54125.22</v>
      </c>
      <c r="V625" s="54">
        <v>54125.22</v>
      </c>
      <c r="W625" s="54">
        <v>54125.22</v>
      </c>
    </row>
    <row r="626" spans="1:23" outlineLevel="2" x14ac:dyDescent="0.2">
      <c r="A626" s="21" t="s">
        <v>0</v>
      </c>
      <c r="B626" s="21" t="s">
        <v>39</v>
      </c>
      <c r="C626" s="21" t="s">
        <v>58</v>
      </c>
      <c r="D626" s="21" t="s">
        <v>145</v>
      </c>
      <c r="E626" s="21" t="s">
        <v>146</v>
      </c>
      <c r="F626" s="21" t="s">
        <v>5</v>
      </c>
      <c r="G626" s="21" t="s">
        <v>6</v>
      </c>
      <c r="H626" s="21" t="s">
        <v>35</v>
      </c>
      <c r="I626" s="21" t="s">
        <v>36</v>
      </c>
      <c r="J626" s="21" t="s">
        <v>9</v>
      </c>
      <c r="K626" s="21" t="s">
        <v>22</v>
      </c>
      <c r="L626" s="21" t="s">
        <v>353</v>
      </c>
      <c r="M626" s="21" t="s">
        <v>15</v>
      </c>
      <c r="N626" s="54">
        <v>138591.46</v>
      </c>
      <c r="O626" s="54">
        <v>1272.5999999999999</v>
      </c>
      <c r="P626" s="54">
        <v>0</v>
      </c>
      <c r="Q626" s="54">
        <v>139864.06</v>
      </c>
      <c r="R626" s="54">
        <v>0</v>
      </c>
      <c r="S626" s="54">
        <v>108280.35</v>
      </c>
      <c r="T626" s="54">
        <v>108280.35</v>
      </c>
      <c r="U626" s="54">
        <v>31583.71</v>
      </c>
      <c r="V626" s="54">
        <v>31583.71</v>
      </c>
      <c r="W626" s="54">
        <v>31583.71</v>
      </c>
    </row>
    <row r="627" spans="1:23" outlineLevel="2" x14ac:dyDescent="0.2">
      <c r="A627" s="21" t="s">
        <v>0</v>
      </c>
      <c r="B627" s="21" t="s">
        <v>1</v>
      </c>
      <c r="C627" s="21" t="s">
        <v>16</v>
      </c>
      <c r="D627" s="21" t="s">
        <v>17</v>
      </c>
      <c r="E627" s="21" t="s">
        <v>18</v>
      </c>
      <c r="F627" s="21" t="s">
        <v>5</v>
      </c>
      <c r="G627" s="21" t="s">
        <v>6</v>
      </c>
      <c r="H627" s="21" t="s">
        <v>35</v>
      </c>
      <c r="I627" s="21" t="s">
        <v>36</v>
      </c>
      <c r="J627" s="21" t="s">
        <v>9</v>
      </c>
      <c r="K627" s="21" t="s">
        <v>22</v>
      </c>
      <c r="L627" s="21" t="s">
        <v>24</v>
      </c>
      <c r="M627" s="21" t="s">
        <v>15</v>
      </c>
      <c r="N627" s="54">
        <v>502531.86</v>
      </c>
      <c r="O627" s="54">
        <v>-170.05</v>
      </c>
      <c r="P627" s="54">
        <v>0</v>
      </c>
      <c r="Q627" s="54">
        <v>502361.81</v>
      </c>
      <c r="R627" s="54">
        <v>21962.76</v>
      </c>
      <c r="S627" s="54">
        <v>396853.92</v>
      </c>
      <c r="T627" s="54">
        <v>396853.92</v>
      </c>
      <c r="U627" s="54">
        <v>105507.89</v>
      </c>
      <c r="V627" s="54">
        <v>105507.89</v>
      </c>
      <c r="W627" s="54">
        <v>83545.13</v>
      </c>
    </row>
    <row r="628" spans="1:23" outlineLevel="2" x14ac:dyDescent="0.2">
      <c r="A628" s="21" t="s">
        <v>0</v>
      </c>
      <c r="B628" s="21" t="s">
        <v>31</v>
      </c>
      <c r="C628" s="21" t="s">
        <v>79</v>
      </c>
      <c r="D628" s="21" t="s">
        <v>125</v>
      </c>
      <c r="E628" s="21" t="s">
        <v>126</v>
      </c>
      <c r="F628" s="21" t="s">
        <v>5</v>
      </c>
      <c r="G628" s="21" t="s">
        <v>6</v>
      </c>
      <c r="H628" s="21" t="s">
        <v>35</v>
      </c>
      <c r="I628" s="21" t="s">
        <v>36</v>
      </c>
      <c r="J628" s="21" t="s">
        <v>9</v>
      </c>
      <c r="K628" s="21" t="s">
        <v>22</v>
      </c>
      <c r="L628" s="21" t="s">
        <v>354</v>
      </c>
      <c r="M628" s="21" t="s">
        <v>15</v>
      </c>
      <c r="N628" s="54">
        <v>104701.53</v>
      </c>
      <c r="O628" s="54">
        <v>0</v>
      </c>
      <c r="P628" s="54">
        <v>0</v>
      </c>
      <c r="Q628" s="54">
        <v>104701.53</v>
      </c>
      <c r="R628" s="54">
        <v>0</v>
      </c>
      <c r="S628" s="54">
        <v>84196.9</v>
      </c>
      <c r="T628" s="54">
        <v>84196.9</v>
      </c>
      <c r="U628" s="54">
        <v>20504.63</v>
      </c>
      <c r="V628" s="54">
        <v>20504.63</v>
      </c>
      <c r="W628" s="54">
        <v>20504.63</v>
      </c>
    </row>
    <row r="629" spans="1:23" outlineLevel="2" x14ac:dyDescent="0.2">
      <c r="A629" s="21" t="s">
        <v>0</v>
      </c>
      <c r="B629" s="21" t="s">
        <v>1</v>
      </c>
      <c r="C629" s="21" t="s">
        <v>16</v>
      </c>
      <c r="D629" s="21" t="s">
        <v>103</v>
      </c>
      <c r="E629" s="21" t="s">
        <v>104</v>
      </c>
      <c r="F629" s="21" t="s">
        <v>5</v>
      </c>
      <c r="G629" s="21" t="s">
        <v>6</v>
      </c>
      <c r="H629" s="21" t="s">
        <v>35</v>
      </c>
      <c r="I629" s="21" t="s">
        <v>36</v>
      </c>
      <c r="J629" s="21" t="s">
        <v>9</v>
      </c>
      <c r="K629" s="21" t="s">
        <v>22</v>
      </c>
      <c r="L629" s="21" t="s">
        <v>24</v>
      </c>
      <c r="M629" s="21" t="s">
        <v>15</v>
      </c>
      <c r="N629" s="54">
        <v>381005.8</v>
      </c>
      <c r="O629" s="54">
        <v>1851.2</v>
      </c>
      <c r="P629" s="54">
        <v>0</v>
      </c>
      <c r="Q629" s="54">
        <v>382857</v>
      </c>
      <c r="R629" s="54">
        <v>38377.42</v>
      </c>
      <c r="S629" s="54">
        <v>263576.14</v>
      </c>
      <c r="T629" s="54">
        <v>263576.14</v>
      </c>
      <c r="U629" s="54">
        <v>119280.86</v>
      </c>
      <c r="V629" s="54">
        <v>119280.86</v>
      </c>
      <c r="W629" s="54">
        <v>80903.44</v>
      </c>
    </row>
    <row r="630" spans="1:23" outlineLevel="2" x14ac:dyDescent="0.2">
      <c r="A630" s="21" t="s">
        <v>0</v>
      </c>
      <c r="B630" s="21" t="s">
        <v>1</v>
      </c>
      <c r="C630" s="21" t="s">
        <v>16</v>
      </c>
      <c r="D630" s="21" t="s">
        <v>62</v>
      </c>
      <c r="E630" s="21" t="s">
        <v>63</v>
      </c>
      <c r="F630" s="21" t="s">
        <v>5</v>
      </c>
      <c r="G630" s="21" t="s">
        <v>6</v>
      </c>
      <c r="H630" s="21" t="s">
        <v>35</v>
      </c>
      <c r="I630" s="21" t="s">
        <v>36</v>
      </c>
      <c r="J630" s="21" t="s">
        <v>9</v>
      </c>
      <c r="K630" s="21" t="s">
        <v>22</v>
      </c>
      <c r="L630" s="21" t="s">
        <v>24</v>
      </c>
      <c r="M630" s="21" t="s">
        <v>15</v>
      </c>
      <c r="N630" s="54">
        <v>17743.310000000001</v>
      </c>
      <c r="O630" s="54">
        <v>3795</v>
      </c>
      <c r="P630" s="54">
        <v>0</v>
      </c>
      <c r="Q630" s="54">
        <v>21538.31</v>
      </c>
      <c r="R630" s="54">
        <v>1591.65</v>
      </c>
      <c r="S630" s="54">
        <v>19149.16</v>
      </c>
      <c r="T630" s="54">
        <v>19149.16</v>
      </c>
      <c r="U630" s="54">
        <v>2389.15</v>
      </c>
      <c r="V630" s="54">
        <v>2389.15</v>
      </c>
      <c r="W630" s="54">
        <v>797.5</v>
      </c>
    </row>
    <row r="631" spans="1:23" outlineLevel="2" x14ac:dyDescent="0.2">
      <c r="A631" s="21" t="s">
        <v>0</v>
      </c>
      <c r="B631" s="21" t="s">
        <v>31</v>
      </c>
      <c r="C631" s="21" t="s">
        <v>79</v>
      </c>
      <c r="D631" s="21" t="s">
        <v>80</v>
      </c>
      <c r="E631" s="21" t="s">
        <v>81</v>
      </c>
      <c r="F631" s="21" t="s">
        <v>5</v>
      </c>
      <c r="G631" s="21" t="s">
        <v>6</v>
      </c>
      <c r="H631" s="21" t="s">
        <v>35</v>
      </c>
      <c r="I631" s="21" t="s">
        <v>36</v>
      </c>
      <c r="J631" s="21" t="s">
        <v>9</v>
      </c>
      <c r="K631" s="21" t="s">
        <v>366</v>
      </c>
      <c r="L631" s="21" t="s">
        <v>369</v>
      </c>
      <c r="M631" s="21" t="s">
        <v>12</v>
      </c>
      <c r="N631" s="54">
        <v>0</v>
      </c>
      <c r="O631" s="54">
        <v>1634</v>
      </c>
      <c r="P631" s="54">
        <v>0</v>
      </c>
      <c r="Q631" s="54">
        <v>1634</v>
      </c>
      <c r="R631" s="54">
        <v>1634</v>
      </c>
      <c r="S631" s="54">
        <v>0</v>
      </c>
      <c r="T631" s="54">
        <v>0</v>
      </c>
      <c r="U631" s="54">
        <v>1634</v>
      </c>
      <c r="V631" s="54">
        <v>1634</v>
      </c>
      <c r="W631" s="54">
        <v>0</v>
      </c>
    </row>
    <row r="632" spans="1:23" outlineLevel="2" x14ac:dyDescent="0.2">
      <c r="A632" s="21" t="s">
        <v>0</v>
      </c>
      <c r="B632" s="21" t="s">
        <v>1</v>
      </c>
      <c r="C632" s="21" t="s">
        <v>44</v>
      </c>
      <c r="D632" s="21" t="s">
        <v>45</v>
      </c>
      <c r="E632" s="21" t="s">
        <v>46</v>
      </c>
      <c r="F632" s="21" t="s">
        <v>5</v>
      </c>
      <c r="G632" s="21" t="s">
        <v>6</v>
      </c>
      <c r="H632" s="21" t="s">
        <v>35</v>
      </c>
      <c r="I632" s="21" t="s">
        <v>36</v>
      </c>
      <c r="J632" s="21" t="s">
        <v>9</v>
      </c>
      <c r="K632" s="21" t="s">
        <v>366</v>
      </c>
      <c r="L632" s="21" t="s">
        <v>375</v>
      </c>
      <c r="M632" s="21" t="s">
        <v>15</v>
      </c>
      <c r="N632" s="54">
        <v>72096.03</v>
      </c>
      <c r="O632" s="54">
        <v>6707.27</v>
      </c>
      <c r="P632" s="54">
        <v>0</v>
      </c>
      <c r="Q632" s="54">
        <v>78803.3</v>
      </c>
      <c r="R632" s="54">
        <v>10570.34</v>
      </c>
      <c r="S632" s="54">
        <v>44635.32</v>
      </c>
      <c r="T632" s="54">
        <v>44635.32</v>
      </c>
      <c r="U632" s="54">
        <v>34167.980000000003</v>
      </c>
      <c r="V632" s="54">
        <v>34167.980000000003</v>
      </c>
      <c r="W632" s="54">
        <v>23597.64</v>
      </c>
    </row>
    <row r="633" spans="1:23" outlineLevel="2" x14ac:dyDescent="0.2">
      <c r="A633" s="21" t="s">
        <v>0</v>
      </c>
      <c r="B633" s="21" t="s">
        <v>31</v>
      </c>
      <c r="C633" s="21" t="s">
        <v>79</v>
      </c>
      <c r="D633" s="21" t="s">
        <v>133</v>
      </c>
      <c r="E633" s="21" t="s">
        <v>134</v>
      </c>
      <c r="F633" s="21" t="s">
        <v>5</v>
      </c>
      <c r="G633" s="21" t="s">
        <v>6</v>
      </c>
      <c r="H633" s="21" t="s">
        <v>35</v>
      </c>
      <c r="I633" s="21" t="s">
        <v>36</v>
      </c>
      <c r="J633" s="21" t="s">
        <v>9</v>
      </c>
      <c r="K633" s="21" t="s">
        <v>366</v>
      </c>
      <c r="L633" s="21" t="s">
        <v>369</v>
      </c>
      <c r="M633" s="21" t="s">
        <v>12</v>
      </c>
      <c r="N633" s="54">
        <v>0</v>
      </c>
      <c r="O633" s="54">
        <v>817</v>
      </c>
      <c r="P633" s="54">
        <v>0</v>
      </c>
      <c r="Q633" s="54">
        <v>817</v>
      </c>
      <c r="R633" s="54">
        <v>817</v>
      </c>
      <c r="S633" s="54">
        <v>0</v>
      </c>
      <c r="T633" s="54">
        <v>0</v>
      </c>
      <c r="U633" s="54">
        <v>817</v>
      </c>
      <c r="V633" s="54">
        <v>817</v>
      </c>
      <c r="W633" s="54">
        <v>0</v>
      </c>
    </row>
    <row r="634" spans="1:23" outlineLevel="2" x14ac:dyDescent="0.2">
      <c r="A634" s="21" t="s">
        <v>0</v>
      </c>
      <c r="B634" s="21" t="s">
        <v>31</v>
      </c>
      <c r="C634" s="21" t="s">
        <v>79</v>
      </c>
      <c r="D634" s="21" t="s">
        <v>127</v>
      </c>
      <c r="E634" s="21" t="s">
        <v>128</v>
      </c>
      <c r="F634" s="21" t="s">
        <v>5</v>
      </c>
      <c r="G634" s="21" t="s">
        <v>6</v>
      </c>
      <c r="H634" s="21" t="s">
        <v>35</v>
      </c>
      <c r="I634" s="21" t="s">
        <v>36</v>
      </c>
      <c r="J634" s="21" t="s">
        <v>9</v>
      </c>
      <c r="K634" s="21" t="s">
        <v>366</v>
      </c>
      <c r="L634" s="21" t="s">
        <v>369</v>
      </c>
      <c r="M634" s="21" t="s">
        <v>15</v>
      </c>
      <c r="N634" s="54">
        <v>99866.14</v>
      </c>
      <c r="O634" s="54">
        <v>-790.98</v>
      </c>
      <c r="P634" s="54">
        <v>0</v>
      </c>
      <c r="Q634" s="54">
        <v>99075.16</v>
      </c>
      <c r="R634" s="54">
        <v>0</v>
      </c>
      <c r="S634" s="54">
        <v>78148.98</v>
      </c>
      <c r="T634" s="54">
        <v>78148.98</v>
      </c>
      <c r="U634" s="54">
        <v>20926.18</v>
      </c>
      <c r="V634" s="54">
        <v>20926.18</v>
      </c>
      <c r="W634" s="54">
        <v>20926.18</v>
      </c>
    </row>
    <row r="635" spans="1:23" outlineLevel="2" x14ac:dyDescent="0.2">
      <c r="A635" s="21" t="s">
        <v>0</v>
      </c>
      <c r="B635" s="21" t="s">
        <v>31</v>
      </c>
      <c r="C635" s="21" t="s">
        <v>79</v>
      </c>
      <c r="D635" s="21" t="s">
        <v>80</v>
      </c>
      <c r="E635" s="21" t="s">
        <v>81</v>
      </c>
      <c r="F635" s="21" t="s">
        <v>5</v>
      </c>
      <c r="G635" s="21" t="s">
        <v>6</v>
      </c>
      <c r="H635" s="21" t="s">
        <v>35</v>
      </c>
      <c r="I635" s="21" t="s">
        <v>36</v>
      </c>
      <c r="J635" s="21" t="s">
        <v>9</v>
      </c>
      <c r="K635" s="21" t="s">
        <v>366</v>
      </c>
      <c r="L635" s="21" t="s">
        <v>369</v>
      </c>
      <c r="M635" s="21" t="s">
        <v>15</v>
      </c>
      <c r="N635" s="54">
        <v>97625.73</v>
      </c>
      <c r="O635" s="54">
        <v>-800.78</v>
      </c>
      <c r="P635" s="54">
        <v>0</v>
      </c>
      <c r="Q635" s="54">
        <v>96824.95</v>
      </c>
      <c r="R635" s="54">
        <v>0</v>
      </c>
      <c r="S635" s="54">
        <v>74252.39</v>
      </c>
      <c r="T635" s="54">
        <v>74252.39</v>
      </c>
      <c r="U635" s="54">
        <v>22572.560000000001</v>
      </c>
      <c r="V635" s="54">
        <v>22572.560000000001</v>
      </c>
      <c r="W635" s="54">
        <v>22572.560000000001</v>
      </c>
    </row>
    <row r="636" spans="1:23" outlineLevel="2" x14ac:dyDescent="0.2">
      <c r="A636" s="21" t="s">
        <v>0</v>
      </c>
      <c r="B636" s="21" t="s">
        <v>31</v>
      </c>
      <c r="C636" s="21" t="s">
        <v>79</v>
      </c>
      <c r="D636" s="21" t="s">
        <v>115</v>
      </c>
      <c r="E636" s="21" t="s">
        <v>116</v>
      </c>
      <c r="F636" s="21" t="s">
        <v>5</v>
      </c>
      <c r="G636" s="21" t="s">
        <v>6</v>
      </c>
      <c r="H636" s="21" t="s">
        <v>35</v>
      </c>
      <c r="I636" s="21" t="s">
        <v>36</v>
      </c>
      <c r="J636" s="21" t="s">
        <v>9</v>
      </c>
      <c r="K636" s="21" t="s">
        <v>366</v>
      </c>
      <c r="L636" s="21" t="s">
        <v>369</v>
      </c>
      <c r="M636" s="21" t="s">
        <v>12</v>
      </c>
      <c r="N636" s="54">
        <v>0</v>
      </c>
      <c r="O636" s="54">
        <v>1634</v>
      </c>
      <c r="P636" s="54">
        <v>0</v>
      </c>
      <c r="Q636" s="54">
        <v>1634</v>
      </c>
      <c r="R636" s="54">
        <v>1634</v>
      </c>
      <c r="S636" s="54">
        <v>0</v>
      </c>
      <c r="T636" s="54">
        <v>0</v>
      </c>
      <c r="U636" s="54">
        <v>1634</v>
      </c>
      <c r="V636" s="54">
        <v>1634</v>
      </c>
      <c r="W636" s="54">
        <v>0</v>
      </c>
    </row>
    <row r="637" spans="1:23" outlineLevel="2" x14ac:dyDescent="0.2">
      <c r="A637" s="21" t="s">
        <v>0</v>
      </c>
      <c r="B637" s="21" t="s">
        <v>1</v>
      </c>
      <c r="C637" s="21" t="s">
        <v>16</v>
      </c>
      <c r="D637" s="21" t="s">
        <v>103</v>
      </c>
      <c r="E637" s="21" t="s">
        <v>104</v>
      </c>
      <c r="F637" s="21" t="s">
        <v>5</v>
      </c>
      <c r="G637" s="21" t="s">
        <v>6</v>
      </c>
      <c r="H637" s="21" t="s">
        <v>35</v>
      </c>
      <c r="I637" s="21" t="s">
        <v>36</v>
      </c>
      <c r="J637" s="21" t="s">
        <v>9</v>
      </c>
      <c r="K637" s="21" t="s">
        <v>366</v>
      </c>
      <c r="L637" s="21" t="s">
        <v>367</v>
      </c>
      <c r="M637" s="21" t="s">
        <v>15</v>
      </c>
      <c r="N637" s="54">
        <v>251329.86</v>
      </c>
      <c r="O637" s="54">
        <v>1211.2</v>
      </c>
      <c r="P637" s="54">
        <v>0</v>
      </c>
      <c r="Q637" s="54">
        <v>252541.06</v>
      </c>
      <c r="R637" s="54">
        <v>41561.11</v>
      </c>
      <c r="S637" s="54">
        <v>135720.06</v>
      </c>
      <c r="T637" s="54">
        <v>135720.06</v>
      </c>
      <c r="U637" s="54">
        <v>116821</v>
      </c>
      <c r="V637" s="54">
        <v>116821</v>
      </c>
      <c r="W637" s="54">
        <v>75259.89</v>
      </c>
    </row>
    <row r="638" spans="1:23" outlineLevel="2" x14ac:dyDescent="0.2">
      <c r="A638" s="21" t="s">
        <v>0</v>
      </c>
      <c r="B638" s="21" t="s">
        <v>1</v>
      </c>
      <c r="C638" s="21" t="s">
        <v>2</v>
      </c>
      <c r="D638" s="21" t="s">
        <v>20</v>
      </c>
      <c r="E638" s="21" t="s">
        <v>21</v>
      </c>
      <c r="F638" s="21" t="s">
        <v>5</v>
      </c>
      <c r="G638" s="21" t="s">
        <v>6</v>
      </c>
      <c r="H638" s="21" t="s">
        <v>35</v>
      </c>
      <c r="I638" s="21" t="s">
        <v>36</v>
      </c>
      <c r="J638" s="21" t="s">
        <v>9</v>
      </c>
      <c r="K638" s="21" t="s">
        <v>366</v>
      </c>
      <c r="L638" s="21" t="s">
        <v>382</v>
      </c>
      <c r="M638" s="21" t="s">
        <v>15</v>
      </c>
      <c r="N638" s="54">
        <v>877696.24</v>
      </c>
      <c r="O638" s="54">
        <v>7234.42</v>
      </c>
      <c r="P638" s="54">
        <v>0</v>
      </c>
      <c r="Q638" s="54">
        <v>884930.66</v>
      </c>
      <c r="R638" s="54">
        <v>71935.199999999997</v>
      </c>
      <c r="S638" s="54">
        <v>559486.94999999995</v>
      </c>
      <c r="T638" s="54">
        <v>559486.94999999995</v>
      </c>
      <c r="U638" s="54">
        <v>325443.71000000002</v>
      </c>
      <c r="V638" s="54">
        <v>325443.71000000002</v>
      </c>
      <c r="W638" s="54">
        <v>253508.51</v>
      </c>
    </row>
    <row r="639" spans="1:23" outlineLevel="2" x14ac:dyDescent="0.2">
      <c r="A639" s="21" t="s">
        <v>0</v>
      </c>
      <c r="B639" s="21" t="s">
        <v>31</v>
      </c>
      <c r="C639" s="21" t="s">
        <v>79</v>
      </c>
      <c r="D639" s="21" t="s">
        <v>83</v>
      </c>
      <c r="E639" s="21" t="s">
        <v>84</v>
      </c>
      <c r="F639" s="21" t="s">
        <v>5</v>
      </c>
      <c r="G639" s="21" t="s">
        <v>6</v>
      </c>
      <c r="H639" s="21" t="s">
        <v>35</v>
      </c>
      <c r="I639" s="21" t="s">
        <v>36</v>
      </c>
      <c r="J639" s="21" t="s">
        <v>9</v>
      </c>
      <c r="K639" s="21" t="s">
        <v>366</v>
      </c>
      <c r="L639" s="21" t="s">
        <v>369</v>
      </c>
      <c r="M639" s="21" t="s">
        <v>12</v>
      </c>
      <c r="N639" s="54">
        <v>0</v>
      </c>
      <c r="O639" s="54">
        <v>7761.5</v>
      </c>
      <c r="P639" s="54">
        <v>0</v>
      </c>
      <c r="Q639" s="54">
        <v>7761.5</v>
      </c>
      <c r="R639" s="54">
        <v>7761.5</v>
      </c>
      <c r="S639" s="54">
        <v>0</v>
      </c>
      <c r="T639" s="54">
        <v>0</v>
      </c>
      <c r="U639" s="54">
        <v>7761.5</v>
      </c>
      <c r="V639" s="54">
        <v>7761.5</v>
      </c>
      <c r="W639" s="54">
        <v>0</v>
      </c>
    </row>
    <row r="640" spans="1:23" outlineLevel="2" x14ac:dyDescent="0.2">
      <c r="A640" s="21" t="s">
        <v>0</v>
      </c>
      <c r="B640" s="21" t="s">
        <v>31</v>
      </c>
      <c r="C640" s="21" t="s">
        <v>32</v>
      </c>
      <c r="D640" s="21" t="s">
        <v>33</v>
      </c>
      <c r="E640" s="21" t="s">
        <v>34</v>
      </c>
      <c r="F640" s="21" t="s">
        <v>5</v>
      </c>
      <c r="G640" s="21" t="s">
        <v>6</v>
      </c>
      <c r="H640" s="21" t="s">
        <v>35</v>
      </c>
      <c r="I640" s="21" t="s">
        <v>36</v>
      </c>
      <c r="J640" s="21" t="s">
        <v>9</v>
      </c>
      <c r="K640" s="21" t="s">
        <v>366</v>
      </c>
      <c r="L640" s="21" t="s">
        <v>376</v>
      </c>
      <c r="M640" s="21" t="s">
        <v>15</v>
      </c>
      <c r="N640" s="54">
        <v>300907.52000000002</v>
      </c>
      <c r="O640" s="54">
        <v>12070.08</v>
      </c>
      <c r="P640" s="54">
        <v>0</v>
      </c>
      <c r="Q640" s="54">
        <v>312977.59999999998</v>
      </c>
      <c r="R640" s="54">
        <v>26376.75</v>
      </c>
      <c r="S640" s="54">
        <v>208459.8</v>
      </c>
      <c r="T640" s="54">
        <v>208459.8</v>
      </c>
      <c r="U640" s="54">
        <v>104517.8</v>
      </c>
      <c r="V640" s="54">
        <v>104517.8</v>
      </c>
      <c r="W640" s="54">
        <v>78141.05</v>
      </c>
    </row>
    <row r="641" spans="1:23" outlineLevel="2" x14ac:dyDescent="0.2">
      <c r="A641" s="21" t="s">
        <v>0</v>
      </c>
      <c r="B641" s="21" t="s">
        <v>1</v>
      </c>
      <c r="C641" s="21" t="s">
        <v>2</v>
      </c>
      <c r="D641" s="21" t="s">
        <v>3</v>
      </c>
      <c r="E641" s="21" t="s">
        <v>4</v>
      </c>
      <c r="F641" s="21" t="s">
        <v>5</v>
      </c>
      <c r="G641" s="21" t="s">
        <v>6</v>
      </c>
      <c r="H641" s="21" t="s">
        <v>35</v>
      </c>
      <c r="I641" s="21" t="s">
        <v>36</v>
      </c>
      <c r="J641" s="21" t="s">
        <v>9</v>
      </c>
      <c r="K641" s="21" t="s">
        <v>366</v>
      </c>
      <c r="L641" s="21" t="s">
        <v>382</v>
      </c>
      <c r="M641" s="21" t="s">
        <v>15</v>
      </c>
      <c r="N641" s="54">
        <v>293188.53000000003</v>
      </c>
      <c r="O641" s="54">
        <v>-841.16</v>
      </c>
      <c r="P641" s="54">
        <v>0</v>
      </c>
      <c r="Q641" s="54">
        <v>292347.37</v>
      </c>
      <c r="R641" s="54">
        <v>13589.45</v>
      </c>
      <c r="S641" s="54">
        <v>207904.6</v>
      </c>
      <c r="T641" s="54">
        <v>207861.12</v>
      </c>
      <c r="U641" s="54">
        <v>84442.77</v>
      </c>
      <c r="V641" s="54">
        <v>84486.25</v>
      </c>
      <c r="W641" s="54">
        <v>70853.320000000007</v>
      </c>
    </row>
    <row r="642" spans="1:23" outlineLevel="2" x14ac:dyDescent="0.2">
      <c r="A642" s="21" t="s">
        <v>0</v>
      </c>
      <c r="B642" s="21" t="s">
        <v>31</v>
      </c>
      <c r="C642" s="21" t="s">
        <v>79</v>
      </c>
      <c r="D642" s="21" t="s">
        <v>133</v>
      </c>
      <c r="E642" s="21" t="s">
        <v>134</v>
      </c>
      <c r="F642" s="21" t="s">
        <v>5</v>
      </c>
      <c r="G642" s="21" t="s">
        <v>6</v>
      </c>
      <c r="H642" s="21" t="s">
        <v>35</v>
      </c>
      <c r="I642" s="21" t="s">
        <v>36</v>
      </c>
      <c r="J642" s="21" t="s">
        <v>9</v>
      </c>
      <c r="K642" s="21" t="s">
        <v>366</v>
      </c>
      <c r="L642" s="21" t="s">
        <v>369</v>
      </c>
      <c r="M642" s="21" t="s">
        <v>15</v>
      </c>
      <c r="N642" s="54">
        <v>108972.66</v>
      </c>
      <c r="O642" s="54">
        <v>-800.78</v>
      </c>
      <c r="P642" s="54">
        <v>0</v>
      </c>
      <c r="Q642" s="54">
        <v>108171.88</v>
      </c>
      <c r="R642" s="54">
        <v>0</v>
      </c>
      <c r="S642" s="54">
        <v>85095.73</v>
      </c>
      <c r="T642" s="54">
        <v>85095.73</v>
      </c>
      <c r="U642" s="54">
        <v>23076.15</v>
      </c>
      <c r="V642" s="54">
        <v>23076.15</v>
      </c>
      <c r="W642" s="54">
        <v>23076.15</v>
      </c>
    </row>
    <row r="643" spans="1:23" outlineLevel="2" x14ac:dyDescent="0.2">
      <c r="A643" s="21" t="s">
        <v>0</v>
      </c>
      <c r="B643" s="21" t="s">
        <v>31</v>
      </c>
      <c r="C643" s="21" t="s">
        <v>32</v>
      </c>
      <c r="D643" s="21" t="s">
        <v>75</v>
      </c>
      <c r="E643" s="21" t="s">
        <v>76</v>
      </c>
      <c r="F643" s="21" t="s">
        <v>5</v>
      </c>
      <c r="G643" s="21" t="s">
        <v>6</v>
      </c>
      <c r="H643" s="21" t="s">
        <v>35</v>
      </c>
      <c r="I643" s="21" t="s">
        <v>36</v>
      </c>
      <c r="J643" s="21" t="s">
        <v>9</v>
      </c>
      <c r="K643" s="21" t="s">
        <v>366</v>
      </c>
      <c r="L643" s="21" t="s">
        <v>376</v>
      </c>
      <c r="M643" s="21" t="s">
        <v>15</v>
      </c>
      <c r="N643" s="54">
        <v>208670.95</v>
      </c>
      <c r="O643" s="54">
        <v>-5368.11</v>
      </c>
      <c r="P643" s="54">
        <v>0</v>
      </c>
      <c r="Q643" s="54">
        <v>203302.84</v>
      </c>
      <c r="R643" s="54">
        <v>27564.2</v>
      </c>
      <c r="S643" s="54">
        <v>133871</v>
      </c>
      <c r="T643" s="54">
        <v>133816.10999999999</v>
      </c>
      <c r="U643" s="54">
        <v>69431.839999999997</v>
      </c>
      <c r="V643" s="54">
        <v>69486.73</v>
      </c>
      <c r="W643" s="54">
        <v>41867.64</v>
      </c>
    </row>
    <row r="644" spans="1:23" outlineLevel="2" x14ac:dyDescent="0.2">
      <c r="A644" s="21" t="s">
        <v>0</v>
      </c>
      <c r="B644" s="21" t="s">
        <v>39</v>
      </c>
      <c r="C644" s="21" t="s">
        <v>66</v>
      </c>
      <c r="D644" s="21" t="s">
        <v>67</v>
      </c>
      <c r="E644" s="21" t="s">
        <v>68</v>
      </c>
      <c r="F644" s="21" t="s">
        <v>5</v>
      </c>
      <c r="G644" s="21" t="s">
        <v>6</v>
      </c>
      <c r="H644" s="21" t="s">
        <v>35</v>
      </c>
      <c r="I644" s="21" t="s">
        <v>36</v>
      </c>
      <c r="J644" s="21" t="s">
        <v>9</v>
      </c>
      <c r="K644" s="21" t="s">
        <v>366</v>
      </c>
      <c r="L644" s="21" t="s">
        <v>380</v>
      </c>
      <c r="M644" s="21" t="s">
        <v>15</v>
      </c>
      <c r="N644" s="54">
        <v>182536</v>
      </c>
      <c r="O644" s="54">
        <v>-5236</v>
      </c>
      <c r="P644" s="54">
        <v>0</v>
      </c>
      <c r="Q644" s="54">
        <v>177300</v>
      </c>
      <c r="R644" s="54">
        <v>2187.62</v>
      </c>
      <c r="S644" s="54">
        <v>122138.63</v>
      </c>
      <c r="T644" s="54">
        <v>122138.63</v>
      </c>
      <c r="U644" s="54">
        <v>55161.37</v>
      </c>
      <c r="V644" s="54">
        <v>55161.37</v>
      </c>
      <c r="W644" s="54">
        <v>52973.75</v>
      </c>
    </row>
    <row r="645" spans="1:23" outlineLevel="2" x14ac:dyDescent="0.2">
      <c r="A645" s="21" t="s">
        <v>0</v>
      </c>
      <c r="B645" s="21" t="s">
        <v>31</v>
      </c>
      <c r="C645" s="21" t="s">
        <v>79</v>
      </c>
      <c r="D645" s="21" t="s">
        <v>131</v>
      </c>
      <c r="E645" s="21" t="s">
        <v>132</v>
      </c>
      <c r="F645" s="21" t="s">
        <v>5</v>
      </c>
      <c r="G645" s="21" t="s">
        <v>6</v>
      </c>
      <c r="H645" s="21" t="s">
        <v>35</v>
      </c>
      <c r="I645" s="21" t="s">
        <v>36</v>
      </c>
      <c r="J645" s="21" t="s">
        <v>9</v>
      </c>
      <c r="K645" s="21" t="s">
        <v>366</v>
      </c>
      <c r="L645" s="21" t="s">
        <v>369</v>
      </c>
      <c r="M645" s="21" t="s">
        <v>12</v>
      </c>
      <c r="N645" s="54">
        <v>0</v>
      </c>
      <c r="O645" s="54">
        <v>1634</v>
      </c>
      <c r="P645" s="54">
        <v>0</v>
      </c>
      <c r="Q645" s="54">
        <v>1634</v>
      </c>
      <c r="R645" s="54">
        <v>1634</v>
      </c>
      <c r="S645" s="54">
        <v>0</v>
      </c>
      <c r="T645" s="54">
        <v>0</v>
      </c>
      <c r="U645" s="54">
        <v>1634</v>
      </c>
      <c r="V645" s="54">
        <v>1634</v>
      </c>
      <c r="W645" s="54">
        <v>0</v>
      </c>
    </row>
    <row r="646" spans="1:23" outlineLevel="2" x14ac:dyDescent="0.2">
      <c r="A646" s="21" t="s">
        <v>0</v>
      </c>
      <c r="B646" s="21" t="s">
        <v>39</v>
      </c>
      <c r="C646" s="21" t="s">
        <v>58</v>
      </c>
      <c r="D646" s="21" t="s">
        <v>145</v>
      </c>
      <c r="E646" s="21" t="s">
        <v>146</v>
      </c>
      <c r="F646" s="21" t="s">
        <v>5</v>
      </c>
      <c r="G646" s="21" t="s">
        <v>6</v>
      </c>
      <c r="H646" s="21" t="s">
        <v>35</v>
      </c>
      <c r="I646" s="21" t="s">
        <v>36</v>
      </c>
      <c r="J646" s="21" t="s">
        <v>9</v>
      </c>
      <c r="K646" s="21" t="s">
        <v>366</v>
      </c>
      <c r="L646" s="21" t="s">
        <v>368</v>
      </c>
      <c r="M646" s="21" t="s">
        <v>15</v>
      </c>
      <c r="N646" s="54">
        <v>91576.9</v>
      </c>
      <c r="O646" s="54">
        <v>838.33</v>
      </c>
      <c r="P646" s="54">
        <v>0</v>
      </c>
      <c r="Q646" s="54">
        <v>92415.23</v>
      </c>
      <c r="R646" s="54">
        <v>0</v>
      </c>
      <c r="S646" s="54">
        <v>60273.62</v>
      </c>
      <c r="T646" s="54">
        <v>60273.62</v>
      </c>
      <c r="U646" s="54">
        <v>32141.61</v>
      </c>
      <c r="V646" s="54">
        <v>32141.61</v>
      </c>
      <c r="W646" s="54">
        <v>32141.61</v>
      </c>
    </row>
    <row r="647" spans="1:23" outlineLevel="2" x14ac:dyDescent="0.2">
      <c r="A647" s="21" t="s">
        <v>0</v>
      </c>
      <c r="B647" s="21" t="s">
        <v>1</v>
      </c>
      <c r="C647" s="21" t="s">
        <v>16</v>
      </c>
      <c r="D647" s="21" t="s">
        <v>62</v>
      </c>
      <c r="E647" s="21" t="s">
        <v>63</v>
      </c>
      <c r="F647" s="21" t="s">
        <v>5</v>
      </c>
      <c r="G647" s="21" t="s">
        <v>6</v>
      </c>
      <c r="H647" s="21" t="s">
        <v>35</v>
      </c>
      <c r="I647" s="21" t="s">
        <v>36</v>
      </c>
      <c r="J647" s="21" t="s">
        <v>9</v>
      </c>
      <c r="K647" s="21" t="s">
        <v>366</v>
      </c>
      <c r="L647" s="21" t="s">
        <v>367</v>
      </c>
      <c r="M647" s="21" t="s">
        <v>15</v>
      </c>
      <c r="N647" s="54">
        <v>11713.53</v>
      </c>
      <c r="O647" s="54">
        <v>2500</v>
      </c>
      <c r="P647" s="54">
        <v>0</v>
      </c>
      <c r="Q647" s="54">
        <v>14213.53</v>
      </c>
      <c r="R647" s="54">
        <v>3694.11</v>
      </c>
      <c r="S647" s="54">
        <v>8438</v>
      </c>
      <c r="T647" s="54">
        <v>8438</v>
      </c>
      <c r="U647" s="54">
        <v>5775.53</v>
      </c>
      <c r="V647" s="54">
        <v>5775.53</v>
      </c>
      <c r="W647" s="54">
        <v>2081.42</v>
      </c>
    </row>
    <row r="648" spans="1:23" outlineLevel="2" x14ac:dyDescent="0.2">
      <c r="A648" s="21" t="s">
        <v>0</v>
      </c>
      <c r="B648" s="21" t="s">
        <v>31</v>
      </c>
      <c r="C648" s="21" t="s">
        <v>32</v>
      </c>
      <c r="D648" s="21" t="s">
        <v>141</v>
      </c>
      <c r="E648" s="21" t="s">
        <v>142</v>
      </c>
      <c r="F648" s="21" t="s">
        <v>5</v>
      </c>
      <c r="G648" s="21" t="s">
        <v>6</v>
      </c>
      <c r="H648" s="21" t="s">
        <v>35</v>
      </c>
      <c r="I648" s="21" t="s">
        <v>36</v>
      </c>
      <c r="J648" s="21" t="s">
        <v>9</v>
      </c>
      <c r="K648" s="21" t="s">
        <v>366</v>
      </c>
      <c r="L648" s="21" t="s">
        <v>376</v>
      </c>
      <c r="M648" s="21" t="s">
        <v>15</v>
      </c>
      <c r="N648" s="54">
        <v>123336.13</v>
      </c>
      <c r="O648" s="54">
        <v>-11118</v>
      </c>
      <c r="P648" s="54">
        <v>0</v>
      </c>
      <c r="Q648" s="54">
        <v>112218.13</v>
      </c>
      <c r="R648" s="54">
        <v>35026.57</v>
      </c>
      <c r="S648" s="54">
        <v>43759.69</v>
      </c>
      <c r="T648" s="54">
        <v>43759.69</v>
      </c>
      <c r="U648" s="54">
        <v>68458.44</v>
      </c>
      <c r="V648" s="54">
        <v>68458.44</v>
      </c>
      <c r="W648" s="54">
        <v>33431.870000000003</v>
      </c>
    </row>
    <row r="649" spans="1:23" outlineLevel="2" x14ac:dyDescent="0.2">
      <c r="A649" s="21" t="s">
        <v>0</v>
      </c>
      <c r="B649" s="21" t="s">
        <v>1</v>
      </c>
      <c r="C649" s="21" t="s">
        <v>16</v>
      </c>
      <c r="D649" s="21" t="s">
        <v>64</v>
      </c>
      <c r="E649" s="21" t="s">
        <v>65</v>
      </c>
      <c r="F649" s="21" t="s">
        <v>5</v>
      </c>
      <c r="G649" s="21" t="s">
        <v>6</v>
      </c>
      <c r="H649" s="21" t="s">
        <v>35</v>
      </c>
      <c r="I649" s="21" t="s">
        <v>36</v>
      </c>
      <c r="J649" s="21" t="s">
        <v>9</v>
      </c>
      <c r="K649" s="21" t="s">
        <v>366</v>
      </c>
      <c r="L649" s="21" t="s">
        <v>367</v>
      </c>
      <c r="M649" s="21" t="s">
        <v>15</v>
      </c>
      <c r="N649" s="54">
        <v>32506</v>
      </c>
      <c r="O649" s="54">
        <v>0</v>
      </c>
      <c r="P649" s="54">
        <v>0</v>
      </c>
      <c r="Q649" s="54">
        <v>32506</v>
      </c>
      <c r="R649" s="54">
        <v>674</v>
      </c>
      <c r="S649" s="54">
        <v>6807.34</v>
      </c>
      <c r="T649" s="54">
        <v>6807.34</v>
      </c>
      <c r="U649" s="54">
        <v>25698.66</v>
      </c>
      <c r="V649" s="54">
        <v>25698.66</v>
      </c>
      <c r="W649" s="54">
        <v>25024.66</v>
      </c>
    </row>
    <row r="650" spans="1:23" outlineLevel="2" x14ac:dyDescent="0.2">
      <c r="A650" s="21" t="s">
        <v>0</v>
      </c>
      <c r="B650" s="21" t="s">
        <v>39</v>
      </c>
      <c r="C650" s="21" t="s">
        <v>70</v>
      </c>
      <c r="D650" s="21" t="s">
        <v>71</v>
      </c>
      <c r="E650" s="21" t="s">
        <v>72</v>
      </c>
      <c r="F650" s="21" t="s">
        <v>5</v>
      </c>
      <c r="G650" s="21" t="s">
        <v>6</v>
      </c>
      <c r="H650" s="21" t="s">
        <v>35</v>
      </c>
      <c r="I650" s="21" t="s">
        <v>36</v>
      </c>
      <c r="J650" s="21" t="s">
        <v>9</v>
      </c>
      <c r="K650" s="21" t="s">
        <v>366</v>
      </c>
      <c r="L650" s="21" t="s">
        <v>378</v>
      </c>
      <c r="M650" s="21" t="s">
        <v>15</v>
      </c>
      <c r="N650" s="54">
        <v>285517.53999999998</v>
      </c>
      <c r="O650" s="54">
        <v>-23110.33</v>
      </c>
      <c r="P650" s="54">
        <v>0</v>
      </c>
      <c r="Q650" s="54">
        <v>262407.21000000002</v>
      </c>
      <c r="R650" s="54">
        <v>20450.689999999999</v>
      </c>
      <c r="S650" s="54">
        <v>174942.81</v>
      </c>
      <c r="T650" s="54">
        <v>174942.81</v>
      </c>
      <c r="U650" s="54">
        <v>87464.4</v>
      </c>
      <c r="V650" s="54">
        <v>87464.4</v>
      </c>
      <c r="W650" s="54">
        <v>67013.710000000006</v>
      </c>
    </row>
    <row r="651" spans="1:23" outlineLevel="2" x14ac:dyDescent="0.2">
      <c r="A651" s="21" t="s">
        <v>0</v>
      </c>
      <c r="B651" s="21" t="s">
        <v>31</v>
      </c>
      <c r="C651" s="21" t="s">
        <v>49</v>
      </c>
      <c r="D651" s="21" t="s">
        <v>50</v>
      </c>
      <c r="E651" s="21" t="s">
        <v>51</v>
      </c>
      <c r="F651" s="21" t="s">
        <v>5</v>
      </c>
      <c r="G651" s="21" t="s">
        <v>6</v>
      </c>
      <c r="H651" s="21" t="s">
        <v>35</v>
      </c>
      <c r="I651" s="21" t="s">
        <v>36</v>
      </c>
      <c r="J651" s="21" t="s">
        <v>9</v>
      </c>
      <c r="K651" s="21" t="s">
        <v>366</v>
      </c>
      <c r="L651" s="21" t="s">
        <v>373</v>
      </c>
      <c r="M651" s="21" t="s">
        <v>15</v>
      </c>
      <c r="N651" s="54">
        <v>59289</v>
      </c>
      <c r="O651" s="54">
        <v>22913</v>
      </c>
      <c r="P651" s="54">
        <v>0</v>
      </c>
      <c r="Q651" s="54">
        <v>82202</v>
      </c>
      <c r="R651" s="54">
        <v>5122.6000000000004</v>
      </c>
      <c r="S651" s="54">
        <v>37926.28</v>
      </c>
      <c r="T651" s="54">
        <v>37926.28</v>
      </c>
      <c r="U651" s="54">
        <v>44275.72</v>
      </c>
      <c r="V651" s="54">
        <v>44275.72</v>
      </c>
      <c r="W651" s="54">
        <v>39153.120000000003</v>
      </c>
    </row>
    <row r="652" spans="1:23" outlineLevel="2" x14ac:dyDescent="0.2">
      <c r="A652" s="21" t="s">
        <v>0</v>
      </c>
      <c r="B652" s="21" t="s">
        <v>1</v>
      </c>
      <c r="C652" s="21" t="s">
        <v>99</v>
      </c>
      <c r="D652" s="21" t="s">
        <v>100</v>
      </c>
      <c r="E652" s="21" t="s">
        <v>101</v>
      </c>
      <c r="F652" s="21" t="s">
        <v>5</v>
      </c>
      <c r="G652" s="21" t="s">
        <v>6</v>
      </c>
      <c r="H652" s="21" t="s">
        <v>35</v>
      </c>
      <c r="I652" s="21" t="s">
        <v>36</v>
      </c>
      <c r="J652" s="21" t="s">
        <v>9</v>
      </c>
      <c r="K652" s="21" t="s">
        <v>366</v>
      </c>
      <c r="L652" s="21" t="s">
        <v>370</v>
      </c>
      <c r="M652" s="21" t="s">
        <v>15</v>
      </c>
      <c r="N652" s="54">
        <v>106712.51</v>
      </c>
      <c r="O652" s="54">
        <v>-724.67</v>
      </c>
      <c r="P652" s="54">
        <v>0</v>
      </c>
      <c r="Q652" s="54">
        <v>105987.84</v>
      </c>
      <c r="R652" s="54">
        <v>24914.92</v>
      </c>
      <c r="S652" s="54">
        <v>60462.84</v>
      </c>
      <c r="T652" s="54">
        <v>60462.84</v>
      </c>
      <c r="U652" s="54">
        <v>45525</v>
      </c>
      <c r="V652" s="54">
        <v>45525</v>
      </c>
      <c r="W652" s="54">
        <v>20610.080000000002</v>
      </c>
    </row>
    <row r="653" spans="1:23" outlineLevel="2" x14ac:dyDescent="0.2">
      <c r="A653" s="21" t="s">
        <v>0</v>
      </c>
      <c r="B653" s="21" t="s">
        <v>31</v>
      </c>
      <c r="C653" s="21" t="s">
        <v>79</v>
      </c>
      <c r="D653" s="21" t="s">
        <v>83</v>
      </c>
      <c r="E653" s="21" t="s">
        <v>84</v>
      </c>
      <c r="F653" s="21" t="s">
        <v>5</v>
      </c>
      <c r="G653" s="21" t="s">
        <v>6</v>
      </c>
      <c r="H653" s="21" t="s">
        <v>35</v>
      </c>
      <c r="I653" s="21" t="s">
        <v>36</v>
      </c>
      <c r="J653" s="21" t="s">
        <v>9</v>
      </c>
      <c r="K653" s="21" t="s">
        <v>366</v>
      </c>
      <c r="L653" s="21" t="s">
        <v>369</v>
      </c>
      <c r="M653" s="21" t="s">
        <v>15</v>
      </c>
      <c r="N653" s="54">
        <v>488627.02</v>
      </c>
      <c r="O653" s="54">
        <v>-91036.52</v>
      </c>
      <c r="P653" s="54">
        <v>0</v>
      </c>
      <c r="Q653" s="54">
        <v>397590.5</v>
      </c>
      <c r="R653" s="54">
        <v>47449.42</v>
      </c>
      <c r="S653" s="54">
        <v>240131.34</v>
      </c>
      <c r="T653" s="54">
        <v>240131.34</v>
      </c>
      <c r="U653" s="54">
        <v>157459.16</v>
      </c>
      <c r="V653" s="54">
        <v>157459.16</v>
      </c>
      <c r="W653" s="54">
        <v>110009.74</v>
      </c>
    </row>
    <row r="654" spans="1:23" outlineLevel="2" x14ac:dyDescent="0.2">
      <c r="A654" s="21" t="s">
        <v>0</v>
      </c>
      <c r="B654" s="21" t="s">
        <v>39</v>
      </c>
      <c r="C654" s="21" t="s">
        <v>58</v>
      </c>
      <c r="D654" s="21" t="s">
        <v>119</v>
      </c>
      <c r="E654" s="21" t="s">
        <v>120</v>
      </c>
      <c r="F654" s="21" t="s">
        <v>5</v>
      </c>
      <c r="G654" s="21" t="s">
        <v>6</v>
      </c>
      <c r="H654" s="21" t="s">
        <v>35</v>
      </c>
      <c r="I654" s="21" t="s">
        <v>36</v>
      </c>
      <c r="J654" s="21" t="s">
        <v>9</v>
      </c>
      <c r="K654" s="21" t="s">
        <v>366</v>
      </c>
      <c r="L654" s="21" t="s">
        <v>368</v>
      </c>
      <c r="M654" s="21" t="s">
        <v>15</v>
      </c>
      <c r="N654" s="54">
        <v>39013</v>
      </c>
      <c r="O654" s="54">
        <v>-306</v>
      </c>
      <c r="P654" s="54">
        <v>0</v>
      </c>
      <c r="Q654" s="54">
        <v>38707</v>
      </c>
      <c r="R654" s="54">
        <v>417.5</v>
      </c>
      <c r="S654" s="54">
        <v>23020.51</v>
      </c>
      <c r="T654" s="54">
        <v>23020.51</v>
      </c>
      <c r="U654" s="54">
        <v>15686.49</v>
      </c>
      <c r="V654" s="54">
        <v>15686.49</v>
      </c>
      <c r="W654" s="54">
        <v>15268.99</v>
      </c>
    </row>
    <row r="655" spans="1:23" outlineLevel="2" x14ac:dyDescent="0.2">
      <c r="A655" s="21" t="s">
        <v>0</v>
      </c>
      <c r="B655" s="21" t="s">
        <v>31</v>
      </c>
      <c r="C655" s="21" t="s">
        <v>79</v>
      </c>
      <c r="D655" s="21" t="s">
        <v>127</v>
      </c>
      <c r="E655" s="21" t="s">
        <v>128</v>
      </c>
      <c r="F655" s="21" t="s">
        <v>5</v>
      </c>
      <c r="G655" s="21" t="s">
        <v>6</v>
      </c>
      <c r="H655" s="21" t="s">
        <v>35</v>
      </c>
      <c r="I655" s="21" t="s">
        <v>36</v>
      </c>
      <c r="J655" s="21" t="s">
        <v>9</v>
      </c>
      <c r="K655" s="21" t="s">
        <v>366</v>
      </c>
      <c r="L655" s="21" t="s">
        <v>369</v>
      </c>
      <c r="M655" s="21" t="s">
        <v>12</v>
      </c>
      <c r="N655" s="54">
        <v>0</v>
      </c>
      <c r="O655" s="54">
        <v>817</v>
      </c>
      <c r="P655" s="54">
        <v>0</v>
      </c>
      <c r="Q655" s="54">
        <v>817</v>
      </c>
      <c r="R655" s="54">
        <v>817</v>
      </c>
      <c r="S655" s="54">
        <v>0</v>
      </c>
      <c r="T655" s="54">
        <v>0</v>
      </c>
      <c r="U655" s="54">
        <v>817</v>
      </c>
      <c r="V655" s="54">
        <v>817</v>
      </c>
      <c r="W655" s="54">
        <v>0</v>
      </c>
    </row>
    <row r="656" spans="1:23" outlineLevel="2" x14ac:dyDescent="0.2">
      <c r="A656" s="21" t="s">
        <v>0</v>
      </c>
      <c r="B656" s="21" t="s">
        <v>31</v>
      </c>
      <c r="C656" s="21" t="s">
        <v>79</v>
      </c>
      <c r="D656" s="21" t="s">
        <v>113</v>
      </c>
      <c r="E656" s="21" t="s">
        <v>114</v>
      </c>
      <c r="F656" s="21" t="s">
        <v>5</v>
      </c>
      <c r="G656" s="21" t="s">
        <v>6</v>
      </c>
      <c r="H656" s="21" t="s">
        <v>35</v>
      </c>
      <c r="I656" s="21" t="s">
        <v>36</v>
      </c>
      <c r="J656" s="21" t="s">
        <v>9</v>
      </c>
      <c r="K656" s="21" t="s">
        <v>366</v>
      </c>
      <c r="L656" s="21" t="s">
        <v>369</v>
      </c>
      <c r="M656" s="21" t="s">
        <v>12</v>
      </c>
      <c r="N656" s="54">
        <v>0</v>
      </c>
      <c r="O656" s="54">
        <v>1634</v>
      </c>
      <c r="P656" s="54">
        <v>0</v>
      </c>
      <c r="Q656" s="54">
        <v>1634</v>
      </c>
      <c r="R656" s="54">
        <v>1634</v>
      </c>
      <c r="S656" s="54">
        <v>0</v>
      </c>
      <c r="T656" s="54">
        <v>0</v>
      </c>
      <c r="U656" s="54">
        <v>1634</v>
      </c>
      <c r="V656" s="54">
        <v>1634</v>
      </c>
      <c r="W656" s="54">
        <v>0</v>
      </c>
    </row>
    <row r="657" spans="1:23" outlineLevel="2" x14ac:dyDescent="0.2">
      <c r="A657" s="21" t="s">
        <v>0</v>
      </c>
      <c r="B657" s="21" t="s">
        <v>39</v>
      </c>
      <c r="C657" s="21" t="s">
        <v>66</v>
      </c>
      <c r="D657" s="21" t="s">
        <v>121</v>
      </c>
      <c r="E657" s="21" t="s">
        <v>122</v>
      </c>
      <c r="F657" s="21" t="s">
        <v>5</v>
      </c>
      <c r="G657" s="21" t="s">
        <v>6</v>
      </c>
      <c r="H657" s="21" t="s">
        <v>35</v>
      </c>
      <c r="I657" s="21" t="s">
        <v>36</v>
      </c>
      <c r="J657" s="21" t="s">
        <v>9</v>
      </c>
      <c r="K657" s="21" t="s">
        <v>366</v>
      </c>
      <c r="L657" s="21" t="s">
        <v>380</v>
      </c>
      <c r="M657" s="21" t="s">
        <v>15</v>
      </c>
      <c r="N657" s="54">
        <v>103889.71</v>
      </c>
      <c r="O657" s="54">
        <v>0</v>
      </c>
      <c r="P657" s="54">
        <v>0</v>
      </c>
      <c r="Q657" s="54">
        <v>103889.71</v>
      </c>
      <c r="R657" s="54">
        <v>638.95000000000005</v>
      </c>
      <c r="S657" s="54">
        <v>67378.600000000006</v>
      </c>
      <c r="T657" s="54">
        <v>67378.600000000006</v>
      </c>
      <c r="U657" s="54">
        <v>36511.11</v>
      </c>
      <c r="V657" s="54">
        <v>36511.11</v>
      </c>
      <c r="W657" s="54">
        <v>35872.160000000003</v>
      </c>
    </row>
    <row r="658" spans="1:23" outlineLevel="2" x14ac:dyDescent="0.2">
      <c r="A658" s="21" t="s">
        <v>0</v>
      </c>
      <c r="B658" s="21" t="s">
        <v>31</v>
      </c>
      <c r="C658" s="21" t="s">
        <v>107</v>
      </c>
      <c r="D658" s="21" t="s">
        <v>108</v>
      </c>
      <c r="E658" s="21" t="s">
        <v>109</v>
      </c>
      <c r="F658" s="21" t="s">
        <v>5</v>
      </c>
      <c r="G658" s="21" t="s">
        <v>6</v>
      </c>
      <c r="H658" s="21" t="s">
        <v>35</v>
      </c>
      <c r="I658" s="21" t="s">
        <v>36</v>
      </c>
      <c r="J658" s="21" t="s">
        <v>9</v>
      </c>
      <c r="K658" s="21" t="s">
        <v>366</v>
      </c>
      <c r="L658" s="21" t="s">
        <v>377</v>
      </c>
      <c r="M658" s="21" t="s">
        <v>15</v>
      </c>
      <c r="N658" s="54">
        <v>230143.68</v>
      </c>
      <c r="O658" s="54">
        <v>899.83</v>
      </c>
      <c r="P658" s="54">
        <v>0</v>
      </c>
      <c r="Q658" s="54">
        <v>231043.51</v>
      </c>
      <c r="R658" s="54">
        <v>7017.4</v>
      </c>
      <c r="S658" s="54">
        <v>162440.74</v>
      </c>
      <c r="T658" s="54">
        <v>162440.74</v>
      </c>
      <c r="U658" s="54">
        <v>68602.77</v>
      </c>
      <c r="V658" s="54">
        <v>68602.77</v>
      </c>
      <c r="W658" s="54">
        <v>61585.37</v>
      </c>
    </row>
    <row r="659" spans="1:23" outlineLevel="2" x14ac:dyDescent="0.2">
      <c r="A659" s="21" t="s">
        <v>0</v>
      </c>
      <c r="B659" s="21" t="s">
        <v>39</v>
      </c>
      <c r="C659" s="21" t="s">
        <v>58</v>
      </c>
      <c r="D659" s="21" t="s">
        <v>135</v>
      </c>
      <c r="E659" s="21" t="s">
        <v>136</v>
      </c>
      <c r="F659" s="21" t="s">
        <v>5</v>
      </c>
      <c r="G659" s="21" t="s">
        <v>6</v>
      </c>
      <c r="H659" s="21" t="s">
        <v>35</v>
      </c>
      <c r="I659" s="21" t="s">
        <v>36</v>
      </c>
      <c r="J659" s="21" t="s">
        <v>9</v>
      </c>
      <c r="K659" s="21" t="s">
        <v>366</v>
      </c>
      <c r="L659" s="21" t="s">
        <v>368</v>
      </c>
      <c r="M659" s="21" t="s">
        <v>15</v>
      </c>
      <c r="N659" s="54">
        <v>113052.6</v>
      </c>
      <c r="O659" s="54">
        <v>620</v>
      </c>
      <c r="P659" s="54">
        <v>0</v>
      </c>
      <c r="Q659" s="54">
        <v>113672.6</v>
      </c>
      <c r="R659" s="54">
        <v>0</v>
      </c>
      <c r="S659" s="54">
        <v>70690.259999999995</v>
      </c>
      <c r="T659" s="54">
        <v>70690.259999999995</v>
      </c>
      <c r="U659" s="54">
        <v>42982.34</v>
      </c>
      <c r="V659" s="54">
        <v>42982.34</v>
      </c>
      <c r="W659" s="54">
        <v>42982.34</v>
      </c>
    </row>
    <row r="660" spans="1:23" outlineLevel="2" x14ac:dyDescent="0.2">
      <c r="A660" s="21" t="s">
        <v>0</v>
      </c>
      <c r="B660" s="21" t="s">
        <v>39</v>
      </c>
      <c r="C660" s="21" t="s">
        <v>40</v>
      </c>
      <c r="D660" s="21" t="s">
        <v>41</v>
      </c>
      <c r="E660" s="21" t="s">
        <v>42</v>
      </c>
      <c r="F660" s="21" t="s">
        <v>5</v>
      </c>
      <c r="G660" s="21" t="s">
        <v>6</v>
      </c>
      <c r="H660" s="21" t="s">
        <v>35</v>
      </c>
      <c r="I660" s="21" t="s">
        <v>36</v>
      </c>
      <c r="J660" s="21" t="s">
        <v>9</v>
      </c>
      <c r="K660" s="21" t="s">
        <v>366</v>
      </c>
      <c r="L660" s="21" t="s">
        <v>374</v>
      </c>
      <c r="M660" s="21" t="s">
        <v>15</v>
      </c>
      <c r="N660" s="54">
        <v>124580.63</v>
      </c>
      <c r="O660" s="54">
        <v>0</v>
      </c>
      <c r="P660" s="54">
        <v>0</v>
      </c>
      <c r="Q660" s="54">
        <v>124580.63</v>
      </c>
      <c r="R660" s="54">
        <v>7644.14</v>
      </c>
      <c r="S660" s="54">
        <v>80018.41</v>
      </c>
      <c r="T660" s="54">
        <v>79961.490000000005</v>
      </c>
      <c r="U660" s="54">
        <v>44562.22</v>
      </c>
      <c r="V660" s="54">
        <v>44619.14</v>
      </c>
      <c r="W660" s="54">
        <v>36918.080000000002</v>
      </c>
    </row>
    <row r="661" spans="1:23" outlineLevel="2" x14ac:dyDescent="0.2">
      <c r="A661" s="21" t="s">
        <v>0</v>
      </c>
      <c r="B661" s="21" t="s">
        <v>1</v>
      </c>
      <c r="C661" s="21" t="s">
        <v>91</v>
      </c>
      <c r="D661" s="21" t="s">
        <v>92</v>
      </c>
      <c r="E661" s="21" t="s">
        <v>93</v>
      </c>
      <c r="F661" s="21" t="s">
        <v>5</v>
      </c>
      <c r="G661" s="21" t="s">
        <v>6</v>
      </c>
      <c r="H661" s="21" t="s">
        <v>35</v>
      </c>
      <c r="I661" s="21" t="s">
        <v>36</v>
      </c>
      <c r="J661" s="21" t="s">
        <v>9</v>
      </c>
      <c r="K661" s="21" t="s">
        <v>366</v>
      </c>
      <c r="L661" s="21" t="s">
        <v>371</v>
      </c>
      <c r="M661" s="21" t="s">
        <v>15</v>
      </c>
      <c r="N661" s="54">
        <v>328121.86</v>
      </c>
      <c r="O661" s="54">
        <v>-120764.91</v>
      </c>
      <c r="P661" s="54">
        <v>0</v>
      </c>
      <c r="Q661" s="54">
        <v>207356.95</v>
      </c>
      <c r="R661" s="54">
        <v>0</v>
      </c>
      <c r="S661" s="54">
        <v>175704.2</v>
      </c>
      <c r="T661" s="54">
        <v>175704.2</v>
      </c>
      <c r="U661" s="54">
        <v>31652.75</v>
      </c>
      <c r="V661" s="54">
        <v>31652.75</v>
      </c>
      <c r="W661" s="54">
        <v>31652.75</v>
      </c>
    </row>
    <row r="662" spans="1:23" outlineLevel="2" x14ac:dyDescent="0.2">
      <c r="A662" s="21" t="s">
        <v>0</v>
      </c>
      <c r="B662" s="21" t="s">
        <v>1</v>
      </c>
      <c r="C662" s="21" t="s">
        <v>16</v>
      </c>
      <c r="D662" s="21" t="s">
        <v>17</v>
      </c>
      <c r="E662" s="21" t="s">
        <v>18</v>
      </c>
      <c r="F662" s="21" t="s">
        <v>5</v>
      </c>
      <c r="G662" s="21" t="s">
        <v>6</v>
      </c>
      <c r="H662" s="21" t="s">
        <v>35</v>
      </c>
      <c r="I662" s="21" t="s">
        <v>36</v>
      </c>
      <c r="J662" s="21" t="s">
        <v>9</v>
      </c>
      <c r="K662" s="21" t="s">
        <v>366</v>
      </c>
      <c r="L662" s="21" t="s">
        <v>367</v>
      </c>
      <c r="M662" s="21" t="s">
        <v>15</v>
      </c>
      <c r="N662" s="54">
        <v>331608.03999999998</v>
      </c>
      <c r="O662" s="54">
        <v>-112</v>
      </c>
      <c r="P662" s="54">
        <v>0</v>
      </c>
      <c r="Q662" s="54">
        <v>331496.03999999998</v>
      </c>
      <c r="R662" s="54">
        <v>38322.14</v>
      </c>
      <c r="S662" s="54">
        <v>194809.22</v>
      </c>
      <c r="T662" s="54">
        <v>194809.22</v>
      </c>
      <c r="U662" s="54">
        <v>136686.82</v>
      </c>
      <c r="V662" s="54">
        <v>136686.82</v>
      </c>
      <c r="W662" s="54">
        <v>98364.68</v>
      </c>
    </row>
    <row r="663" spans="1:23" outlineLevel="2" x14ac:dyDescent="0.2">
      <c r="A663" s="21" t="s">
        <v>0</v>
      </c>
      <c r="B663" s="21" t="s">
        <v>31</v>
      </c>
      <c r="C663" s="21" t="s">
        <v>79</v>
      </c>
      <c r="D663" s="21" t="s">
        <v>111</v>
      </c>
      <c r="E663" s="21" t="s">
        <v>112</v>
      </c>
      <c r="F663" s="21" t="s">
        <v>5</v>
      </c>
      <c r="G663" s="21" t="s">
        <v>6</v>
      </c>
      <c r="H663" s="21" t="s">
        <v>35</v>
      </c>
      <c r="I663" s="21" t="s">
        <v>36</v>
      </c>
      <c r="J663" s="21" t="s">
        <v>9</v>
      </c>
      <c r="K663" s="21" t="s">
        <v>366</v>
      </c>
      <c r="L663" s="21" t="s">
        <v>369</v>
      </c>
      <c r="M663" s="21" t="s">
        <v>12</v>
      </c>
      <c r="N663" s="54">
        <v>0</v>
      </c>
      <c r="O663" s="54">
        <v>817</v>
      </c>
      <c r="P663" s="54">
        <v>0</v>
      </c>
      <c r="Q663" s="54">
        <v>817</v>
      </c>
      <c r="R663" s="54">
        <v>817</v>
      </c>
      <c r="S663" s="54">
        <v>0</v>
      </c>
      <c r="T663" s="54">
        <v>0</v>
      </c>
      <c r="U663" s="54">
        <v>817</v>
      </c>
      <c r="V663" s="54">
        <v>817</v>
      </c>
      <c r="W663" s="54">
        <v>0</v>
      </c>
    </row>
    <row r="664" spans="1:23" outlineLevel="2" x14ac:dyDescent="0.2">
      <c r="A664" s="21" t="s">
        <v>0</v>
      </c>
      <c r="B664" s="21" t="s">
        <v>39</v>
      </c>
      <c r="C664" s="21" t="s">
        <v>58</v>
      </c>
      <c r="D664" s="21" t="s">
        <v>129</v>
      </c>
      <c r="E664" s="21" t="s">
        <v>130</v>
      </c>
      <c r="F664" s="21" t="s">
        <v>5</v>
      </c>
      <c r="G664" s="21" t="s">
        <v>6</v>
      </c>
      <c r="H664" s="21" t="s">
        <v>35</v>
      </c>
      <c r="I664" s="21" t="s">
        <v>36</v>
      </c>
      <c r="J664" s="21" t="s">
        <v>9</v>
      </c>
      <c r="K664" s="21" t="s">
        <v>366</v>
      </c>
      <c r="L664" s="21" t="s">
        <v>368</v>
      </c>
      <c r="M664" s="21" t="s">
        <v>15</v>
      </c>
      <c r="N664" s="54">
        <v>40640</v>
      </c>
      <c r="O664" s="54">
        <v>385.75</v>
      </c>
      <c r="P664" s="54">
        <v>0</v>
      </c>
      <c r="Q664" s="54">
        <v>41025.75</v>
      </c>
      <c r="R664" s="54">
        <v>0</v>
      </c>
      <c r="S664" s="54">
        <v>24172.36</v>
      </c>
      <c r="T664" s="54">
        <v>24172.36</v>
      </c>
      <c r="U664" s="54">
        <v>16853.39</v>
      </c>
      <c r="V664" s="54">
        <v>16853.39</v>
      </c>
      <c r="W664" s="54">
        <v>16853.39</v>
      </c>
    </row>
    <row r="665" spans="1:23" outlineLevel="2" x14ac:dyDescent="0.2">
      <c r="A665" s="21" t="s">
        <v>0</v>
      </c>
      <c r="B665" s="21" t="s">
        <v>53</v>
      </c>
      <c r="C665" s="21" t="s">
        <v>85</v>
      </c>
      <c r="D665" s="21" t="s">
        <v>86</v>
      </c>
      <c r="E665" s="21" t="s">
        <v>87</v>
      </c>
      <c r="F665" s="21" t="s">
        <v>5</v>
      </c>
      <c r="G665" s="21" t="s">
        <v>6</v>
      </c>
      <c r="H665" s="21" t="s">
        <v>35</v>
      </c>
      <c r="I665" s="21" t="s">
        <v>36</v>
      </c>
      <c r="J665" s="21" t="s">
        <v>9</v>
      </c>
      <c r="K665" s="21" t="s">
        <v>366</v>
      </c>
      <c r="L665" s="21" t="s">
        <v>372</v>
      </c>
      <c r="M665" s="21" t="s">
        <v>15</v>
      </c>
      <c r="N665" s="54">
        <v>40754.339999999997</v>
      </c>
      <c r="O665" s="54">
        <v>0</v>
      </c>
      <c r="P665" s="54">
        <v>0</v>
      </c>
      <c r="Q665" s="54">
        <v>40754.339999999997</v>
      </c>
      <c r="R665" s="54">
        <v>501</v>
      </c>
      <c r="S665" s="54">
        <v>21346.93</v>
      </c>
      <c r="T665" s="54">
        <v>21346.93</v>
      </c>
      <c r="U665" s="54">
        <v>19407.41</v>
      </c>
      <c r="V665" s="54">
        <v>19407.41</v>
      </c>
      <c r="W665" s="54">
        <v>18906.41</v>
      </c>
    </row>
    <row r="666" spans="1:23" outlineLevel="2" x14ac:dyDescent="0.2">
      <c r="A666" s="21" t="s">
        <v>0</v>
      </c>
      <c r="B666" s="21" t="s">
        <v>39</v>
      </c>
      <c r="C666" s="21" t="s">
        <v>58</v>
      </c>
      <c r="D666" s="21" t="s">
        <v>149</v>
      </c>
      <c r="E666" s="21" t="s">
        <v>150</v>
      </c>
      <c r="F666" s="21" t="s">
        <v>5</v>
      </c>
      <c r="G666" s="21" t="s">
        <v>6</v>
      </c>
      <c r="H666" s="21" t="s">
        <v>35</v>
      </c>
      <c r="I666" s="21" t="s">
        <v>36</v>
      </c>
      <c r="J666" s="21" t="s">
        <v>9</v>
      </c>
      <c r="K666" s="21" t="s">
        <v>366</v>
      </c>
      <c r="L666" s="21" t="s">
        <v>368</v>
      </c>
      <c r="M666" s="21" t="s">
        <v>15</v>
      </c>
      <c r="N666" s="54">
        <v>159980.42000000001</v>
      </c>
      <c r="O666" s="54">
        <v>153</v>
      </c>
      <c r="P666" s="54">
        <v>0</v>
      </c>
      <c r="Q666" s="54">
        <v>160133.42000000001</v>
      </c>
      <c r="R666" s="54">
        <v>1938.25</v>
      </c>
      <c r="S666" s="54">
        <v>106029.65</v>
      </c>
      <c r="T666" s="54">
        <v>106029.65</v>
      </c>
      <c r="U666" s="54">
        <v>54103.77</v>
      </c>
      <c r="V666" s="54">
        <v>54103.77</v>
      </c>
      <c r="W666" s="54">
        <v>52165.52</v>
      </c>
    </row>
    <row r="667" spans="1:23" outlineLevel="2" x14ac:dyDescent="0.2">
      <c r="A667" s="21" t="s">
        <v>0</v>
      </c>
      <c r="B667" s="21" t="s">
        <v>31</v>
      </c>
      <c r="C667" s="21" t="s">
        <v>79</v>
      </c>
      <c r="D667" s="21" t="s">
        <v>113</v>
      </c>
      <c r="E667" s="21" t="s">
        <v>114</v>
      </c>
      <c r="F667" s="21" t="s">
        <v>5</v>
      </c>
      <c r="G667" s="21" t="s">
        <v>6</v>
      </c>
      <c r="H667" s="21" t="s">
        <v>35</v>
      </c>
      <c r="I667" s="21" t="s">
        <v>36</v>
      </c>
      <c r="J667" s="21" t="s">
        <v>9</v>
      </c>
      <c r="K667" s="21" t="s">
        <v>366</v>
      </c>
      <c r="L667" s="21" t="s">
        <v>369</v>
      </c>
      <c r="M667" s="21" t="s">
        <v>15</v>
      </c>
      <c r="N667" s="54">
        <v>96405.81</v>
      </c>
      <c r="O667" s="54">
        <v>-625.33000000000004</v>
      </c>
      <c r="P667" s="54">
        <v>0</v>
      </c>
      <c r="Q667" s="54">
        <v>95780.479999999996</v>
      </c>
      <c r="R667" s="54">
        <v>0</v>
      </c>
      <c r="S667" s="54">
        <v>76139.839999999997</v>
      </c>
      <c r="T667" s="54">
        <v>76139.839999999997</v>
      </c>
      <c r="U667" s="54">
        <v>19640.64</v>
      </c>
      <c r="V667" s="54">
        <v>19640.64</v>
      </c>
      <c r="W667" s="54">
        <v>19640.64</v>
      </c>
    </row>
    <row r="668" spans="1:23" outlineLevel="2" x14ac:dyDescent="0.2">
      <c r="A668" s="21" t="s">
        <v>0</v>
      </c>
      <c r="B668" s="21" t="s">
        <v>39</v>
      </c>
      <c r="C668" s="21" t="s">
        <v>58</v>
      </c>
      <c r="D668" s="21" t="s">
        <v>147</v>
      </c>
      <c r="E668" s="21" t="s">
        <v>148</v>
      </c>
      <c r="F668" s="21" t="s">
        <v>5</v>
      </c>
      <c r="G668" s="21" t="s">
        <v>6</v>
      </c>
      <c r="H668" s="21" t="s">
        <v>35</v>
      </c>
      <c r="I668" s="21" t="s">
        <v>36</v>
      </c>
      <c r="J668" s="21" t="s">
        <v>9</v>
      </c>
      <c r="K668" s="21" t="s">
        <v>366</v>
      </c>
      <c r="L668" s="21" t="s">
        <v>368</v>
      </c>
      <c r="M668" s="21" t="s">
        <v>15</v>
      </c>
      <c r="N668" s="54">
        <v>113935.47</v>
      </c>
      <c r="O668" s="54">
        <v>0</v>
      </c>
      <c r="P668" s="54">
        <v>0</v>
      </c>
      <c r="Q668" s="54">
        <v>113935.47</v>
      </c>
      <c r="R668" s="54">
        <v>435</v>
      </c>
      <c r="S668" s="54">
        <v>78015.8</v>
      </c>
      <c r="T668" s="54">
        <v>78015.8</v>
      </c>
      <c r="U668" s="54">
        <v>35919.67</v>
      </c>
      <c r="V668" s="54">
        <v>35919.67</v>
      </c>
      <c r="W668" s="54">
        <v>35484.67</v>
      </c>
    </row>
    <row r="669" spans="1:23" outlineLevel="2" x14ac:dyDescent="0.2">
      <c r="A669" s="21" t="s">
        <v>0</v>
      </c>
      <c r="B669" s="21" t="s">
        <v>31</v>
      </c>
      <c r="C669" s="21" t="s">
        <v>79</v>
      </c>
      <c r="D669" s="21" t="s">
        <v>115</v>
      </c>
      <c r="E669" s="21" t="s">
        <v>116</v>
      </c>
      <c r="F669" s="21" t="s">
        <v>5</v>
      </c>
      <c r="G669" s="21" t="s">
        <v>6</v>
      </c>
      <c r="H669" s="21" t="s">
        <v>35</v>
      </c>
      <c r="I669" s="21" t="s">
        <v>36</v>
      </c>
      <c r="J669" s="21" t="s">
        <v>9</v>
      </c>
      <c r="K669" s="21" t="s">
        <v>366</v>
      </c>
      <c r="L669" s="21" t="s">
        <v>369</v>
      </c>
      <c r="M669" s="21" t="s">
        <v>15</v>
      </c>
      <c r="N669" s="54">
        <v>66204.86</v>
      </c>
      <c r="O669" s="54">
        <v>-506.89</v>
      </c>
      <c r="P669" s="54">
        <v>0</v>
      </c>
      <c r="Q669" s="54">
        <v>65697.97</v>
      </c>
      <c r="R669" s="54">
        <v>0</v>
      </c>
      <c r="S669" s="54">
        <v>52431.37</v>
      </c>
      <c r="T669" s="54">
        <v>52431.37</v>
      </c>
      <c r="U669" s="54">
        <v>13266.6</v>
      </c>
      <c r="V669" s="54">
        <v>13266.6</v>
      </c>
      <c r="W669" s="54">
        <v>13266.6</v>
      </c>
    </row>
    <row r="670" spans="1:23" outlineLevel="2" x14ac:dyDescent="0.2">
      <c r="A670" s="21" t="s">
        <v>0</v>
      </c>
      <c r="B670" s="21" t="s">
        <v>39</v>
      </c>
      <c r="C670" s="21" t="s">
        <v>58</v>
      </c>
      <c r="D670" s="21" t="s">
        <v>137</v>
      </c>
      <c r="E670" s="21" t="s">
        <v>138</v>
      </c>
      <c r="F670" s="21" t="s">
        <v>5</v>
      </c>
      <c r="G670" s="21" t="s">
        <v>6</v>
      </c>
      <c r="H670" s="21" t="s">
        <v>35</v>
      </c>
      <c r="I670" s="21" t="s">
        <v>36</v>
      </c>
      <c r="J670" s="21" t="s">
        <v>9</v>
      </c>
      <c r="K670" s="21" t="s">
        <v>366</v>
      </c>
      <c r="L670" s="21" t="s">
        <v>368</v>
      </c>
      <c r="M670" s="21" t="s">
        <v>15</v>
      </c>
      <c r="N670" s="54">
        <v>102972.76</v>
      </c>
      <c r="O670" s="54">
        <v>0</v>
      </c>
      <c r="P670" s="54">
        <v>0</v>
      </c>
      <c r="Q670" s="54">
        <v>102972.76</v>
      </c>
      <c r="R670" s="54">
        <v>916</v>
      </c>
      <c r="S670" s="54">
        <v>65691.59</v>
      </c>
      <c r="T670" s="54">
        <v>65691.59</v>
      </c>
      <c r="U670" s="54">
        <v>37281.17</v>
      </c>
      <c r="V670" s="54">
        <v>37281.17</v>
      </c>
      <c r="W670" s="54">
        <v>36365.17</v>
      </c>
    </row>
    <row r="671" spans="1:23" outlineLevel="2" x14ac:dyDescent="0.2">
      <c r="A671" s="21" t="s">
        <v>0</v>
      </c>
      <c r="B671" s="21" t="s">
        <v>53</v>
      </c>
      <c r="C671" s="21" t="s">
        <v>54</v>
      </c>
      <c r="D671" s="21" t="s">
        <v>55</v>
      </c>
      <c r="E671" s="21" t="s">
        <v>56</v>
      </c>
      <c r="F671" s="21" t="s">
        <v>5</v>
      </c>
      <c r="G671" s="21" t="s">
        <v>6</v>
      </c>
      <c r="H671" s="21" t="s">
        <v>35</v>
      </c>
      <c r="I671" s="21" t="s">
        <v>36</v>
      </c>
      <c r="J671" s="21" t="s">
        <v>9</v>
      </c>
      <c r="K671" s="21" t="s">
        <v>366</v>
      </c>
      <c r="L671" s="21" t="s">
        <v>381</v>
      </c>
      <c r="M671" s="21" t="s">
        <v>15</v>
      </c>
      <c r="N671" s="54">
        <v>132557.49</v>
      </c>
      <c r="O671" s="54">
        <v>-32820.65</v>
      </c>
      <c r="P671" s="54">
        <v>0</v>
      </c>
      <c r="Q671" s="54">
        <v>99736.84</v>
      </c>
      <c r="R671" s="54">
        <v>2621.69</v>
      </c>
      <c r="S671" s="54">
        <v>69110.94</v>
      </c>
      <c r="T671" s="54">
        <v>69110.94</v>
      </c>
      <c r="U671" s="54">
        <v>30625.9</v>
      </c>
      <c r="V671" s="54">
        <v>30625.9</v>
      </c>
      <c r="W671" s="54">
        <v>28004.21</v>
      </c>
    </row>
    <row r="672" spans="1:23" outlineLevel="2" x14ac:dyDescent="0.2">
      <c r="A672" s="21" t="s">
        <v>0</v>
      </c>
      <c r="B672" s="21" t="s">
        <v>39</v>
      </c>
      <c r="C672" s="21" t="s">
        <v>95</v>
      </c>
      <c r="D672" s="21" t="s">
        <v>96</v>
      </c>
      <c r="E672" s="21" t="s">
        <v>97</v>
      </c>
      <c r="F672" s="21" t="s">
        <v>5</v>
      </c>
      <c r="G672" s="21" t="s">
        <v>6</v>
      </c>
      <c r="H672" s="21" t="s">
        <v>35</v>
      </c>
      <c r="I672" s="21" t="s">
        <v>36</v>
      </c>
      <c r="J672" s="21" t="s">
        <v>9</v>
      </c>
      <c r="K672" s="21" t="s">
        <v>366</v>
      </c>
      <c r="L672" s="21" t="s">
        <v>379</v>
      </c>
      <c r="M672" s="21" t="s">
        <v>15</v>
      </c>
      <c r="N672" s="54">
        <v>105537.1</v>
      </c>
      <c r="O672" s="54">
        <v>-191</v>
      </c>
      <c r="P672" s="54">
        <v>0</v>
      </c>
      <c r="Q672" s="54">
        <v>105346.1</v>
      </c>
      <c r="R672" s="54">
        <v>713</v>
      </c>
      <c r="S672" s="54">
        <v>63213.93</v>
      </c>
      <c r="T672" s="54">
        <v>63213.93</v>
      </c>
      <c r="U672" s="54">
        <v>42132.17</v>
      </c>
      <c r="V672" s="54">
        <v>42132.17</v>
      </c>
      <c r="W672" s="54">
        <v>41419.17</v>
      </c>
    </row>
    <row r="673" spans="1:23" outlineLevel="2" x14ac:dyDescent="0.2">
      <c r="A673" s="21" t="s">
        <v>0</v>
      </c>
      <c r="B673" s="21" t="s">
        <v>39</v>
      </c>
      <c r="C673" s="21" t="s">
        <v>58</v>
      </c>
      <c r="D673" s="21" t="s">
        <v>105</v>
      </c>
      <c r="E673" s="21" t="s">
        <v>106</v>
      </c>
      <c r="F673" s="21" t="s">
        <v>5</v>
      </c>
      <c r="G673" s="21" t="s">
        <v>6</v>
      </c>
      <c r="H673" s="21" t="s">
        <v>35</v>
      </c>
      <c r="I673" s="21" t="s">
        <v>36</v>
      </c>
      <c r="J673" s="21" t="s">
        <v>9</v>
      </c>
      <c r="K673" s="21" t="s">
        <v>366</v>
      </c>
      <c r="L673" s="21" t="s">
        <v>368</v>
      </c>
      <c r="M673" s="21" t="s">
        <v>15</v>
      </c>
      <c r="N673" s="54">
        <v>59379</v>
      </c>
      <c r="O673" s="54">
        <v>306</v>
      </c>
      <c r="P673" s="54">
        <v>0</v>
      </c>
      <c r="Q673" s="54">
        <v>59685</v>
      </c>
      <c r="R673" s="54">
        <v>13336.36</v>
      </c>
      <c r="S673" s="54">
        <v>25870.47</v>
      </c>
      <c r="T673" s="54">
        <v>25870.47</v>
      </c>
      <c r="U673" s="54">
        <v>33814.53</v>
      </c>
      <c r="V673" s="54">
        <v>33814.53</v>
      </c>
      <c r="W673" s="54">
        <v>20478.169999999998</v>
      </c>
    </row>
    <row r="674" spans="1:23" outlineLevel="2" x14ac:dyDescent="0.2">
      <c r="A674" s="21" t="s">
        <v>0</v>
      </c>
      <c r="B674" s="21" t="s">
        <v>31</v>
      </c>
      <c r="C674" s="21" t="s">
        <v>79</v>
      </c>
      <c r="D674" s="21" t="s">
        <v>125</v>
      </c>
      <c r="E674" s="21" t="s">
        <v>126</v>
      </c>
      <c r="F674" s="21" t="s">
        <v>5</v>
      </c>
      <c r="G674" s="21" t="s">
        <v>6</v>
      </c>
      <c r="H674" s="21" t="s">
        <v>35</v>
      </c>
      <c r="I674" s="21" t="s">
        <v>36</v>
      </c>
      <c r="J674" s="21" t="s">
        <v>9</v>
      </c>
      <c r="K674" s="21" t="s">
        <v>366</v>
      </c>
      <c r="L674" s="21" t="s">
        <v>369</v>
      </c>
      <c r="M674" s="21" t="s">
        <v>15</v>
      </c>
      <c r="N674" s="54">
        <v>77244.3</v>
      </c>
      <c r="O674" s="54">
        <v>0</v>
      </c>
      <c r="P674" s="54">
        <v>0</v>
      </c>
      <c r="Q674" s="54">
        <v>77244.3</v>
      </c>
      <c r="R674" s="54">
        <v>0</v>
      </c>
      <c r="S674" s="54">
        <v>59960.04</v>
      </c>
      <c r="T674" s="54">
        <v>59960.04</v>
      </c>
      <c r="U674" s="54">
        <v>17284.259999999998</v>
      </c>
      <c r="V674" s="54">
        <v>17284.259999999998</v>
      </c>
      <c r="W674" s="54">
        <v>17284.259999999998</v>
      </c>
    </row>
    <row r="675" spans="1:23" outlineLevel="2" x14ac:dyDescent="0.2">
      <c r="A675" s="21" t="s">
        <v>0</v>
      </c>
      <c r="B675" s="21" t="s">
        <v>31</v>
      </c>
      <c r="C675" s="21" t="s">
        <v>79</v>
      </c>
      <c r="D675" s="21" t="s">
        <v>111</v>
      </c>
      <c r="E675" s="21" t="s">
        <v>112</v>
      </c>
      <c r="F675" s="21" t="s">
        <v>5</v>
      </c>
      <c r="G675" s="21" t="s">
        <v>6</v>
      </c>
      <c r="H675" s="21" t="s">
        <v>35</v>
      </c>
      <c r="I675" s="21" t="s">
        <v>36</v>
      </c>
      <c r="J675" s="21" t="s">
        <v>9</v>
      </c>
      <c r="K675" s="21" t="s">
        <v>366</v>
      </c>
      <c r="L675" s="21" t="s">
        <v>369</v>
      </c>
      <c r="M675" s="21" t="s">
        <v>15</v>
      </c>
      <c r="N675" s="54">
        <v>70207.429999999993</v>
      </c>
      <c r="O675" s="54">
        <v>0</v>
      </c>
      <c r="P675" s="54">
        <v>0</v>
      </c>
      <c r="Q675" s="54">
        <v>70207.429999999993</v>
      </c>
      <c r="R675" s="54">
        <v>0</v>
      </c>
      <c r="S675" s="54">
        <v>64504.03</v>
      </c>
      <c r="T675" s="54">
        <v>64504.03</v>
      </c>
      <c r="U675" s="54">
        <v>5703.4</v>
      </c>
      <c r="V675" s="54">
        <v>5703.4</v>
      </c>
      <c r="W675" s="54">
        <v>5703.4</v>
      </c>
    </row>
    <row r="676" spans="1:23" outlineLevel="2" x14ac:dyDescent="0.2">
      <c r="A676" s="21" t="s">
        <v>0</v>
      </c>
      <c r="B676" s="21" t="s">
        <v>31</v>
      </c>
      <c r="C676" s="21" t="s">
        <v>79</v>
      </c>
      <c r="D676" s="21" t="s">
        <v>117</v>
      </c>
      <c r="E676" s="21" t="s">
        <v>118</v>
      </c>
      <c r="F676" s="21" t="s">
        <v>5</v>
      </c>
      <c r="G676" s="21" t="s">
        <v>6</v>
      </c>
      <c r="H676" s="21" t="s">
        <v>35</v>
      </c>
      <c r="I676" s="21" t="s">
        <v>36</v>
      </c>
      <c r="J676" s="21" t="s">
        <v>9</v>
      </c>
      <c r="K676" s="21" t="s">
        <v>366</v>
      </c>
      <c r="L676" s="21" t="s">
        <v>369</v>
      </c>
      <c r="M676" s="21" t="s">
        <v>15</v>
      </c>
      <c r="N676" s="54">
        <v>178203.78</v>
      </c>
      <c r="O676" s="54">
        <v>0</v>
      </c>
      <c r="P676" s="54">
        <v>0</v>
      </c>
      <c r="Q676" s="54">
        <v>178203.78</v>
      </c>
      <c r="R676" s="54">
        <v>0</v>
      </c>
      <c r="S676" s="54">
        <v>135183.98000000001</v>
      </c>
      <c r="T676" s="54">
        <v>135183.98000000001</v>
      </c>
      <c r="U676" s="54">
        <v>43019.8</v>
      </c>
      <c r="V676" s="54">
        <v>43019.8</v>
      </c>
      <c r="W676" s="54">
        <v>43019.8</v>
      </c>
    </row>
    <row r="677" spans="1:23" outlineLevel="2" x14ac:dyDescent="0.2">
      <c r="A677" s="21" t="s">
        <v>0</v>
      </c>
      <c r="B677" s="21" t="s">
        <v>31</v>
      </c>
      <c r="C677" s="21" t="s">
        <v>32</v>
      </c>
      <c r="D677" s="21" t="s">
        <v>123</v>
      </c>
      <c r="E677" s="21" t="s">
        <v>124</v>
      </c>
      <c r="F677" s="21" t="s">
        <v>5</v>
      </c>
      <c r="G677" s="21" t="s">
        <v>6</v>
      </c>
      <c r="H677" s="21" t="s">
        <v>35</v>
      </c>
      <c r="I677" s="21" t="s">
        <v>36</v>
      </c>
      <c r="J677" s="21" t="s">
        <v>9</v>
      </c>
      <c r="K677" s="21" t="s">
        <v>366</v>
      </c>
      <c r="L677" s="21" t="s">
        <v>376</v>
      </c>
      <c r="M677" s="21" t="s">
        <v>15</v>
      </c>
      <c r="N677" s="54">
        <v>239114.25</v>
      </c>
      <c r="O677" s="54">
        <v>-113007.09</v>
      </c>
      <c r="P677" s="54">
        <v>0</v>
      </c>
      <c r="Q677" s="54">
        <v>126107.16</v>
      </c>
      <c r="R677" s="54">
        <v>17376.3</v>
      </c>
      <c r="S677" s="54">
        <v>106484.87</v>
      </c>
      <c r="T677" s="54">
        <v>106484.87</v>
      </c>
      <c r="U677" s="54">
        <v>19622.29</v>
      </c>
      <c r="V677" s="54">
        <v>19622.29</v>
      </c>
      <c r="W677" s="54">
        <v>2245.9899999999998</v>
      </c>
    </row>
    <row r="678" spans="1:23" outlineLevel="2" x14ac:dyDescent="0.2">
      <c r="A678" s="21" t="s">
        <v>0</v>
      </c>
      <c r="B678" s="21" t="s">
        <v>39</v>
      </c>
      <c r="C678" s="21" t="s">
        <v>58</v>
      </c>
      <c r="D678" s="21" t="s">
        <v>143</v>
      </c>
      <c r="E678" s="21" t="s">
        <v>144</v>
      </c>
      <c r="F678" s="21" t="s">
        <v>5</v>
      </c>
      <c r="G678" s="21" t="s">
        <v>6</v>
      </c>
      <c r="H678" s="21" t="s">
        <v>35</v>
      </c>
      <c r="I678" s="21" t="s">
        <v>36</v>
      </c>
      <c r="J678" s="21" t="s">
        <v>9</v>
      </c>
      <c r="K678" s="21" t="s">
        <v>366</v>
      </c>
      <c r="L678" s="21" t="s">
        <v>368</v>
      </c>
      <c r="M678" s="21" t="s">
        <v>15</v>
      </c>
      <c r="N678" s="54">
        <v>122966.31</v>
      </c>
      <c r="O678" s="54">
        <v>-535.5</v>
      </c>
      <c r="P678" s="54">
        <v>0</v>
      </c>
      <c r="Q678" s="54">
        <v>122430.81</v>
      </c>
      <c r="R678" s="54">
        <v>1206.5</v>
      </c>
      <c r="S678" s="54">
        <v>87649.78</v>
      </c>
      <c r="T678" s="54">
        <v>87649.78</v>
      </c>
      <c r="U678" s="54">
        <v>34781.03</v>
      </c>
      <c r="V678" s="54">
        <v>34781.03</v>
      </c>
      <c r="W678" s="54">
        <v>33574.53</v>
      </c>
    </row>
    <row r="679" spans="1:23" outlineLevel="2" x14ac:dyDescent="0.2">
      <c r="A679" s="21" t="s">
        <v>0</v>
      </c>
      <c r="B679" s="21" t="s">
        <v>31</v>
      </c>
      <c r="C679" s="21" t="s">
        <v>79</v>
      </c>
      <c r="D679" s="21" t="s">
        <v>131</v>
      </c>
      <c r="E679" s="21" t="s">
        <v>132</v>
      </c>
      <c r="F679" s="21" t="s">
        <v>5</v>
      </c>
      <c r="G679" s="21" t="s">
        <v>6</v>
      </c>
      <c r="H679" s="21" t="s">
        <v>35</v>
      </c>
      <c r="I679" s="21" t="s">
        <v>36</v>
      </c>
      <c r="J679" s="21" t="s">
        <v>9</v>
      </c>
      <c r="K679" s="21" t="s">
        <v>366</v>
      </c>
      <c r="L679" s="21" t="s">
        <v>369</v>
      </c>
      <c r="M679" s="21" t="s">
        <v>15</v>
      </c>
      <c r="N679" s="54">
        <v>154218.54999999999</v>
      </c>
      <c r="O679" s="54">
        <v>-800.78</v>
      </c>
      <c r="P679" s="54">
        <v>0</v>
      </c>
      <c r="Q679" s="54">
        <v>153417.76999999999</v>
      </c>
      <c r="R679" s="54">
        <v>0</v>
      </c>
      <c r="S679" s="54">
        <v>118390.99</v>
      </c>
      <c r="T679" s="54">
        <v>118390.99</v>
      </c>
      <c r="U679" s="54">
        <v>35026.78</v>
      </c>
      <c r="V679" s="54">
        <v>35026.78</v>
      </c>
      <c r="W679" s="54">
        <v>35026.78</v>
      </c>
    </row>
    <row r="680" spans="1:23" outlineLevel="2" x14ac:dyDescent="0.2">
      <c r="A680" s="21" t="s">
        <v>0</v>
      </c>
      <c r="B680" s="21" t="s">
        <v>39</v>
      </c>
      <c r="C680" s="21" t="s">
        <v>70</v>
      </c>
      <c r="D680" s="21" t="s">
        <v>89</v>
      </c>
      <c r="E680" s="21" t="s">
        <v>90</v>
      </c>
      <c r="F680" s="21" t="s">
        <v>5</v>
      </c>
      <c r="G680" s="21" t="s">
        <v>6</v>
      </c>
      <c r="H680" s="21" t="s">
        <v>35</v>
      </c>
      <c r="I680" s="21" t="s">
        <v>36</v>
      </c>
      <c r="J680" s="21" t="s">
        <v>9</v>
      </c>
      <c r="K680" s="21" t="s">
        <v>366</v>
      </c>
      <c r="L680" s="21" t="s">
        <v>378</v>
      </c>
      <c r="M680" s="21" t="s">
        <v>15</v>
      </c>
      <c r="N680" s="54">
        <v>1300077.6599999999</v>
      </c>
      <c r="O680" s="54">
        <v>0</v>
      </c>
      <c r="P680" s="54">
        <v>0</v>
      </c>
      <c r="Q680" s="54">
        <v>1300077.6599999999</v>
      </c>
      <c r="R680" s="54">
        <v>38367.4</v>
      </c>
      <c r="S680" s="54">
        <v>1022320.91</v>
      </c>
      <c r="T680" s="54">
        <v>1022320.91</v>
      </c>
      <c r="U680" s="54">
        <v>277756.75</v>
      </c>
      <c r="V680" s="54">
        <v>277756.75</v>
      </c>
      <c r="W680" s="54">
        <v>239389.35</v>
      </c>
    </row>
    <row r="681" spans="1:23" outlineLevel="2" x14ac:dyDescent="0.2">
      <c r="A681" s="21" t="s">
        <v>0</v>
      </c>
      <c r="B681" s="21" t="s">
        <v>39</v>
      </c>
      <c r="C681" s="21" t="s">
        <v>40</v>
      </c>
      <c r="D681" s="21" t="s">
        <v>77</v>
      </c>
      <c r="E681" s="21" t="s">
        <v>78</v>
      </c>
      <c r="F681" s="21" t="s">
        <v>5</v>
      </c>
      <c r="G681" s="21" t="s">
        <v>6</v>
      </c>
      <c r="H681" s="21" t="s">
        <v>35</v>
      </c>
      <c r="I681" s="21" t="s">
        <v>36</v>
      </c>
      <c r="J681" s="21" t="s">
        <v>9</v>
      </c>
      <c r="K681" s="21" t="s">
        <v>366</v>
      </c>
      <c r="L681" s="21" t="s">
        <v>374</v>
      </c>
      <c r="M681" s="21" t="s">
        <v>15</v>
      </c>
      <c r="N681" s="54">
        <v>2342671.66</v>
      </c>
      <c r="O681" s="54">
        <v>649.13</v>
      </c>
      <c r="P681" s="54">
        <v>0</v>
      </c>
      <c r="Q681" s="54">
        <v>2343320.79</v>
      </c>
      <c r="R681" s="54">
        <v>14054.81</v>
      </c>
      <c r="S681" s="54">
        <v>1796177.7</v>
      </c>
      <c r="T681" s="54">
        <v>1796177.7</v>
      </c>
      <c r="U681" s="54">
        <v>547143.09</v>
      </c>
      <c r="V681" s="54">
        <v>547143.09</v>
      </c>
      <c r="W681" s="54">
        <v>533088.28</v>
      </c>
    </row>
    <row r="682" spans="1:23" outlineLevel="2" x14ac:dyDescent="0.2">
      <c r="A682" s="21" t="s">
        <v>0</v>
      </c>
      <c r="B682" s="21" t="s">
        <v>39</v>
      </c>
      <c r="C682" s="21" t="s">
        <v>58</v>
      </c>
      <c r="D682" s="21" t="s">
        <v>59</v>
      </c>
      <c r="E682" s="21" t="s">
        <v>60</v>
      </c>
      <c r="F682" s="21" t="s">
        <v>5</v>
      </c>
      <c r="G682" s="21" t="s">
        <v>6</v>
      </c>
      <c r="H682" s="21" t="s">
        <v>35</v>
      </c>
      <c r="I682" s="21" t="s">
        <v>36</v>
      </c>
      <c r="J682" s="21" t="s">
        <v>9</v>
      </c>
      <c r="K682" s="21" t="s">
        <v>366</v>
      </c>
      <c r="L682" s="21" t="s">
        <v>368</v>
      </c>
      <c r="M682" s="21" t="s">
        <v>15</v>
      </c>
      <c r="N682" s="54">
        <v>75757.5</v>
      </c>
      <c r="O682" s="54">
        <v>-153</v>
      </c>
      <c r="P682" s="54">
        <v>0</v>
      </c>
      <c r="Q682" s="54">
        <v>75604.5</v>
      </c>
      <c r="R682" s="54">
        <v>617.4</v>
      </c>
      <c r="S682" s="54">
        <v>45872.09</v>
      </c>
      <c r="T682" s="54">
        <v>45822.11</v>
      </c>
      <c r="U682" s="54">
        <v>29732.41</v>
      </c>
      <c r="V682" s="54">
        <v>29782.39</v>
      </c>
      <c r="W682" s="54">
        <v>29115.01</v>
      </c>
    </row>
    <row r="683" spans="1:23" outlineLevel="2" x14ac:dyDescent="0.2">
      <c r="A683" s="21" t="s">
        <v>0</v>
      </c>
      <c r="B683" s="21" t="s">
        <v>39</v>
      </c>
      <c r="C683" s="21" t="s">
        <v>58</v>
      </c>
      <c r="D683" s="21" t="s">
        <v>139</v>
      </c>
      <c r="E683" s="21" t="s">
        <v>140</v>
      </c>
      <c r="F683" s="21" t="s">
        <v>5</v>
      </c>
      <c r="G683" s="21" t="s">
        <v>6</v>
      </c>
      <c r="H683" s="21" t="s">
        <v>35</v>
      </c>
      <c r="I683" s="21" t="s">
        <v>36</v>
      </c>
      <c r="J683" s="21" t="s">
        <v>9</v>
      </c>
      <c r="K683" s="21" t="s">
        <v>366</v>
      </c>
      <c r="L683" s="21" t="s">
        <v>368</v>
      </c>
      <c r="M683" s="21" t="s">
        <v>15</v>
      </c>
      <c r="N683" s="54">
        <v>124295.27</v>
      </c>
      <c r="O683" s="54">
        <v>0</v>
      </c>
      <c r="P683" s="54">
        <v>0</v>
      </c>
      <c r="Q683" s="54">
        <v>124295.27</v>
      </c>
      <c r="R683" s="54">
        <v>888.75</v>
      </c>
      <c r="S683" s="54">
        <v>89166.11</v>
      </c>
      <c r="T683" s="54">
        <v>89166.11</v>
      </c>
      <c r="U683" s="54">
        <v>35129.160000000003</v>
      </c>
      <c r="V683" s="54">
        <v>35129.160000000003</v>
      </c>
      <c r="W683" s="54">
        <v>34240.410000000003</v>
      </c>
    </row>
    <row r="684" spans="1:23" outlineLevel="2" x14ac:dyDescent="0.2">
      <c r="A684" s="21" t="s">
        <v>0</v>
      </c>
      <c r="B684" s="21" t="s">
        <v>1</v>
      </c>
      <c r="C684" s="21" t="s">
        <v>2</v>
      </c>
      <c r="D684" s="21" t="s">
        <v>3</v>
      </c>
      <c r="E684" s="21" t="s">
        <v>4</v>
      </c>
      <c r="F684" s="21" t="s">
        <v>5</v>
      </c>
      <c r="G684" s="21" t="s">
        <v>6</v>
      </c>
      <c r="H684" s="21" t="s">
        <v>35</v>
      </c>
      <c r="I684" s="21" t="s">
        <v>36</v>
      </c>
      <c r="J684" s="21" t="s">
        <v>9</v>
      </c>
      <c r="K684" s="21" t="s">
        <v>383</v>
      </c>
      <c r="L684" s="21" t="s">
        <v>384</v>
      </c>
      <c r="M684" s="21" t="s">
        <v>15</v>
      </c>
      <c r="N684" s="54">
        <v>0</v>
      </c>
      <c r="O684" s="54">
        <v>68607.66</v>
      </c>
      <c r="P684" s="54">
        <v>0</v>
      </c>
      <c r="Q684" s="54">
        <v>68607.66</v>
      </c>
      <c r="R684" s="54">
        <v>0</v>
      </c>
      <c r="S684" s="54">
        <v>62473.93</v>
      </c>
      <c r="T684" s="54">
        <v>62473.93</v>
      </c>
      <c r="U684" s="54">
        <v>6133.73</v>
      </c>
      <c r="V684" s="54">
        <v>6133.73</v>
      </c>
      <c r="W684" s="54">
        <v>6133.73</v>
      </c>
    </row>
    <row r="685" spans="1:23" outlineLevel="2" x14ac:dyDescent="0.2">
      <c r="A685" s="21" t="s">
        <v>0</v>
      </c>
      <c r="B685" s="21" t="s">
        <v>39</v>
      </c>
      <c r="C685" s="21" t="s">
        <v>58</v>
      </c>
      <c r="D685" s="21" t="s">
        <v>139</v>
      </c>
      <c r="E685" s="21" t="s">
        <v>140</v>
      </c>
      <c r="F685" s="21" t="s">
        <v>5</v>
      </c>
      <c r="G685" s="21" t="s">
        <v>6</v>
      </c>
      <c r="H685" s="21" t="s">
        <v>35</v>
      </c>
      <c r="I685" s="21" t="s">
        <v>36</v>
      </c>
      <c r="J685" s="21" t="s">
        <v>9</v>
      </c>
      <c r="K685" s="21" t="s">
        <v>385</v>
      </c>
      <c r="L685" s="21" t="s">
        <v>386</v>
      </c>
      <c r="M685" s="21" t="s">
        <v>15</v>
      </c>
      <c r="N685" s="54">
        <v>19156.16</v>
      </c>
      <c r="O685" s="54">
        <v>-1500</v>
      </c>
      <c r="P685" s="54">
        <v>0</v>
      </c>
      <c r="Q685" s="54">
        <v>17656.16</v>
      </c>
      <c r="R685" s="54">
        <v>0</v>
      </c>
      <c r="S685" s="54">
        <v>10319.86</v>
      </c>
      <c r="T685" s="54">
        <v>10319.86</v>
      </c>
      <c r="U685" s="54">
        <v>7336.3</v>
      </c>
      <c r="V685" s="54">
        <v>7336.3</v>
      </c>
      <c r="W685" s="54">
        <v>7336.3</v>
      </c>
    </row>
    <row r="686" spans="1:23" outlineLevel="2" x14ac:dyDescent="0.2">
      <c r="A686" s="21" t="s">
        <v>0</v>
      </c>
      <c r="B686" s="21" t="s">
        <v>39</v>
      </c>
      <c r="C686" s="21" t="s">
        <v>58</v>
      </c>
      <c r="D686" s="21" t="s">
        <v>59</v>
      </c>
      <c r="E686" s="21" t="s">
        <v>60</v>
      </c>
      <c r="F686" s="21" t="s">
        <v>5</v>
      </c>
      <c r="G686" s="21" t="s">
        <v>6</v>
      </c>
      <c r="H686" s="21" t="s">
        <v>35</v>
      </c>
      <c r="I686" s="21" t="s">
        <v>36</v>
      </c>
      <c r="J686" s="21" t="s">
        <v>9</v>
      </c>
      <c r="K686" s="21" t="s">
        <v>385</v>
      </c>
      <c r="L686" s="21" t="s">
        <v>386</v>
      </c>
      <c r="M686" s="21" t="s">
        <v>15</v>
      </c>
      <c r="N686" s="54">
        <v>6245.34</v>
      </c>
      <c r="O686" s="54">
        <v>0</v>
      </c>
      <c r="P686" s="54">
        <v>0</v>
      </c>
      <c r="Q686" s="54">
        <v>6245.34</v>
      </c>
      <c r="R686" s="54">
        <v>0</v>
      </c>
      <c r="S686" s="54">
        <v>3716.99</v>
      </c>
      <c r="T686" s="54">
        <v>1458.49</v>
      </c>
      <c r="U686" s="54">
        <v>2528.35</v>
      </c>
      <c r="V686" s="54">
        <v>4786.8500000000004</v>
      </c>
      <c r="W686" s="54">
        <v>2528.35</v>
      </c>
    </row>
    <row r="687" spans="1:23" outlineLevel="2" x14ac:dyDescent="0.2">
      <c r="A687" s="21" t="s">
        <v>0</v>
      </c>
      <c r="B687" s="21" t="s">
        <v>39</v>
      </c>
      <c r="C687" s="21" t="s">
        <v>58</v>
      </c>
      <c r="D687" s="21" t="s">
        <v>143</v>
      </c>
      <c r="E687" s="21" t="s">
        <v>144</v>
      </c>
      <c r="F687" s="21" t="s">
        <v>5</v>
      </c>
      <c r="G687" s="21" t="s">
        <v>6</v>
      </c>
      <c r="H687" s="21" t="s">
        <v>35</v>
      </c>
      <c r="I687" s="21" t="s">
        <v>36</v>
      </c>
      <c r="J687" s="21" t="s">
        <v>9</v>
      </c>
      <c r="K687" s="21" t="s">
        <v>385</v>
      </c>
      <c r="L687" s="21" t="s">
        <v>386</v>
      </c>
      <c r="M687" s="21" t="s">
        <v>15</v>
      </c>
      <c r="N687" s="54">
        <v>16952.91</v>
      </c>
      <c r="O687" s="54">
        <v>0</v>
      </c>
      <c r="P687" s="54">
        <v>0</v>
      </c>
      <c r="Q687" s="54">
        <v>16952.91</v>
      </c>
      <c r="R687" s="54">
        <v>0</v>
      </c>
      <c r="S687" s="54">
        <v>15467.82</v>
      </c>
      <c r="T687" s="54">
        <v>15467.82</v>
      </c>
      <c r="U687" s="54">
        <v>1485.09</v>
      </c>
      <c r="V687" s="54">
        <v>1485.09</v>
      </c>
      <c r="W687" s="54">
        <v>1485.09</v>
      </c>
    </row>
    <row r="688" spans="1:23" outlineLevel="2" x14ac:dyDescent="0.2">
      <c r="A688" s="21" t="s">
        <v>0</v>
      </c>
      <c r="B688" s="21" t="s">
        <v>39</v>
      </c>
      <c r="C688" s="21" t="s">
        <v>58</v>
      </c>
      <c r="D688" s="21" t="s">
        <v>129</v>
      </c>
      <c r="E688" s="21" t="s">
        <v>130</v>
      </c>
      <c r="F688" s="21" t="s">
        <v>5</v>
      </c>
      <c r="G688" s="21" t="s">
        <v>6</v>
      </c>
      <c r="H688" s="21" t="s">
        <v>35</v>
      </c>
      <c r="I688" s="21" t="s">
        <v>36</v>
      </c>
      <c r="J688" s="21" t="s">
        <v>9</v>
      </c>
      <c r="K688" s="21" t="s">
        <v>385</v>
      </c>
      <c r="L688" s="21" t="s">
        <v>386</v>
      </c>
      <c r="M688" s="21" t="s">
        <v>15</v>
      </c>
      <c r="N688" s="54">
        <v>4580.43</v>
      </c>
      <c r="O688" s="54">
        <v>0</v>
      </c>
      <c r="P688" s="54">
        <v>0</v>
      </c>
      <c r="Q688" s="54">
        <v>4580.43</v>
      </c>
      <c r="R688" s="54">
        <v>0</v>
      </c>
      <c r="S688" s="54">
        <v>1506.27</v>
      </c>
      <c r="T688" s="54">
        <v>1506.26</v>
      </c>
      <c r="U688" s="54">
        <v>3074.16</v>
      </c>
      <c r="V688" s="54">
        <v>3074.17</v>
      </c>
      <c r="W688" s="54">
        <v>3074.16</v>
      </c>
    </row>
    <row r="689" spans="1:23" outlineLevel="2" x14ac:dyDescent="0.2">
      <c r="A689" s="21" t="s">
        <v>0</v>
      </c>
      <c r="B689" s="21" t="s">
        <v>39</v>
      </c>
      <c r="C689" s="21" t="s">
        <v>58</v>
      </c>
      <c r="D689" s="21" t="s">
        <v>149</v>
      </c>
      <c r="E689" s="21" t="s">
        <v>150</v>
      </c>
      <c r="F689" s="21" t="s">
        <v>5</v>
      </c>
      <c r="G689" s="21" t="s">
        <v>6</v>
      </c>
      <c r="H689" s="21" t="s">
        <v>35</v>
      </c>
      <c r="I689" s="21" t="s">
        <v>36</v>
      </c>
      <c r="J689" s="21" t="s">
        <v>9</v>
      </c>
      <c r="K689" s="21" t="s">
        <v>385</v>
      </c>
      <c r="L689" s="21" t="s">
        <v>386</v>
      </c>
      <c r="M689" s="21" t="s">
        <v>15</v>
      </c>
      <c r="N689" s="54">
        <v>20289.509999999998</v>
      </c>
      <c r="O689" s="54">
        <v>0</v>
      </c>
      <c r="P689" s="54">
        <v>0</v>
      </c>
      <c r="Q689" s="54">
        <v>20289.509999999998</v>
      </c>
      <c r="R689" s="54">
        <v>0</v>
      </c>
      <c r="S689" s="54">
        <v>9051.8700000000008</v>
      </c>
      <c r="T689" s="54">
        <v>9051.8700000000008</v>
      </c>
      <c r="U689" s="54">
        <v>11237.64</v>
      </c>
      <c r="V689" s="54">
        <v>11237.64</v>
      </c>
      <c r="W689" s="54">
        <v>11237.64</v>
      </c>
    </row>
    <row r="690" spans="1:23" outlineLevel="2" x14ac:dyDescent="0.2">
      <c r="A690" s="21" t="s">
        <v>0</v>
      </c>
      <c r="B690" s="21" t="s">
        <v>39</v>
      </c>
      <c r="C690" s="21" t="s">
        <v>58</v>
      </c>
      <c r="D690" s="21" t="s">
        <v>105</v>
      </c>
      <c r="E690" s="21" t="s">
        <v>106</v>
      </c>
      <c r="F690" s="21" t="s">
        <v>5</v>
      </c>
      <c r="G690" s="21" t="s">
        <v>6</v>
      </c>
      <c r="H690" s="21" t="s">
        <v>35</v>
      </c>
      <c r="I690" s="21" t="s">
        <v>36</v>
      </c>
      <c r="J690" s="21" t="s">
        <v>9</v>
      </c>
      <c r="K690" s="21" t="s">
        <v>385</v>
      </c>
      <c r="L690" s="21" t="s">
        <v>386</v>
      </c>
      <c r="M690" s="21" t="s">
        <v>15</v>
      </c>
      <c r="N690" s="54">
        <v>10260.27</v>
      </c>
      <c r="O690" s="54">
        <v>-1300</v>
      </c>
      <c r="P690" s="54">
        <v>0</v>
      </c>
      <c r="Q690" s="54">
        <v>8960.27</v>
      </c>
      <c r="R690" s="54">
        <v>0</v>
      </c>
      <c r="S690" s="54">
        <v>1008.36</v>
      </c>
      <c r="T690" s="54">
        <v>1008.36</v>
      </c>
      <c r="U690" s="54">
        <v>7951.91</v>
      </c>
      <c r="V690" s="54">
        <v>7951.91</v>
      </c>
      <c r="W690" s="54">
        <v>7951.91</v>
      </c>
    </row>
    <row r="691" spans="1:23" outlineLevel="2" x14ac:dyDescent="0.2">
      <c r="A691" s="21" t="s">
        <v>0</v>
      </c>
      <c r="B691" s="21" t="s">
        <v>53</v>
      </c>
      <c r="C691" s="21" t="s">
        <v>54</v>
      </c>
      <c r="D691" s="21" t="s">
        <v>55</v>
      </c>
      <c r="E691" s="21" t="s">
        <v>56</v>
      </c>
      <c r="F691" s="21" t="s">
        <v>5</v>
      </c>
      <c r="G691" s="21" t="s">
        <v>6</v>
      </c>
      <c r="H691" s="21" t="s">
        <v>35</v>
      </c>
      <c r="I691" s="21" t="s">
        <v>36</v>
      </c>
      <c r="J691" s="21" t="s">
        <v>9</v>
      </c>
      <c r="K691" s="21" t="s">
        <v>385</v>
      </c>
      <c r="L691" s="21" t="s">
        <v>401</v>
      </c>
      <c r="M691" s="21" t="s">
        <v>15</v>
      </c>
      <c r="N691" s="54">
        <v>29650</v>
      </c>
      <c r="O691" s="54">
        <v>-4022.2</v>
      </c>
      <c r="P691" s="54">
        <v>0</v>
      </c>
      <c r="Q691" s="54">
        <v>25627.8</v>
      </c>
      <c r="R691" s="54">
        <v>0</v>
      </c>
      <c r="S691" s="54">
        <v>16581.93</v>
      </c>
      <c r="T691" s="54">
        <v>16581.93</v>
      </c>
      <c r="U691" s="54">
        <v>9045.8700000000008</v>
      </c>
      <c r="V691" s="54">
        <v>9045.8700000000008</v>
      </c>
      <c r="W691" s="54">
        <v>9045.8700000000008</v>
      </c>
    </row>
    <row r="692" spans="1:23" outlineLevel="2" x14ac:dyDescent="0.2">
      <c r="A692" s="21" t="s">
        <v>0</v>
      </c>
      <c r="B692" s="21" t="s">
        <v>39</v>
      </c>
      <c r="C692" s="21" t="s">
        <v>95</v>
      </c>
      <c r="D692" s="21" t="s">
        <v>96</v>
      </c>
      <c r="E692" s="21" t="s">
        <v>97</v>
      </c>
      <c r="F692" s="21" t="s">
        <v>5</v>
      </c>
      <c r="G692" s="21" t="s">
        <v>6</v>
      </c>
      <c r="H692" s="21" t="s">
        <v>35</v>
      </c>
      <c r="I692" s="21" t="s">
        <v>36</v>
      </c>
      <c r="J692" s="21" t="s">
        <v>9</v>
      </c>
      <c r="K692" s="21" t="s">
        <v>385</v>
      </c>
      <c r="L692" s="21" t="s">
        <v>393</v>
      </c>
      <c r="M692" s="21" t="s">
        <v>15</v>
      </c>
      <c r="N692" s="54">
        <v>25809.79</v>
      </c>
      <c r="O692" s="54">
        <v>0</v>
      </c>
      <c r="P692" s="54">
        <v>0</v>
      </c>
      <c r="Q692" s="54">
        <v>25809.79</v>
      </c>
      <c r="R692" s="54">
        <v>0</v>
      </c>
      <c r="S692" s="54">
        <v>590</v>
      </c>
      <c r="T692" s="54">
        <v>0</v>
      </c>
      <c r="U692" s="54">
        <v>25219.79</v>
      </c>
      <c r="V692" s="54">
        <v>25809.79</v>
      </c>
      <c r="W692" s="54">
        <v>25219.79</v>
      </c>
    </row>
    <row r="693" spans="1:23" outlineLevel="2" x14ac:dyDescent="0.2">
      <c r="A693" s="21" t="s">
        <v>0</v>
      </c>
      <c r="B693" s="21" t="s">
        <v>39</v>
      </c>
      <c r="C693" s="21" t="s">
        <v>58</v>
      </c>
      <c r="D693" s="21" t="s">
        <v>145</v>
      </c>
      <c r="E693" s="21" t="s">
        <v>146</v>
      </c>
      <c r="F693" s="21" t="s">
        <v>5</v>
      </c>
      <c r="G693" s="21" t="s">
        <v>6</v>
      </c>
      <c r="H693" s="21" t="s">
        <v>35</v>
      </c>
      <c r="I693" s="21" t="s">
        <v>36</v>
      </c>
      <c r="J693" s="21" t="s">
        <v>9</v>
      </c>
      <c r="K693" s="21" t="s">
        <v>385</v>
      </c>
      <c r="L693" s="21" t="s">
        <v>386</v>
      </c>
      <c r="M693" s="21" t="s">
        <v>15</v>
      </c>
      <c r="N693" s="54">
        <v>6467.65</v>
      </c>
      <c r="O693" s="54">
        <v>-550</v>
      </c>
      <c r="P693" s="54">
        <v>0</v>
      </c>
      <c r="Q693" s="54">
        <v>5917.65</v>
      </c>
      <c r="R693" s="54">
        <v>0</v>
      </c>
      <c r="S693" s="54">
        <v>5141.17</v>
      </c>
      <c r="T693" s="54">
        <v>5141.17</v>
      </c>
      <c r="U693" s="54">
        <v>776.48</v>
      </c>
      <c r="V693" s="54">
        <v>776.48</v>
      </c>
      <c r="W693" s="54">
        <v>776.48</v>
      </c>
    </row>
    <row r="694" spans="1:23" outlineLevel="2" x14ac:dyDescent="0.2">
      <c r="A694" s="21" t="s">
        <v>0</v>
      </c>
      <c r="B694" s="21" t="s">
        <v>39</v>
      </c>
      <c r="C694" s="21" t="s">
        <v>58</v>
      </c>
      <c r="D694" s="21" t="s">
        <v>147</v>
      </c>
      <c r="E694" s="21" t="s">
        <v>148</v>
      </c>
      <c r="F694" s="21" t="s">
        <v>5</v>
      </c>
      <c r="G694" s="21" t="s">
        <v>6</v>
      </c>
      <c r="H694" s="21" t="s">
        <v>35</v>
      </c>
      <c r="I694" s="21" t="s">
        <v>36</v>
      </c>
      <c r="J694" s="21" t="s">
        <v>9</v>
      </c>
      <c r="K694" s="21" t="s">
        <v>385</v>
      </c>
      <c r="L694" s="21" t="s">
        <v>386</v>
      </c>
      <c r="M694" s="21" t="s">
        <v>15</v>
      </c>
      <c r="N694" s="54">
        <v>14447.68</v>
      </c>
      <c r="O694" s="54">
        <v>-850</v>
      </c>
      <c r="P694" s="54">
        <v>0</v>
      </c>
      <c r="Q694" s="54">
        <v>13597.68</v>
      </c>
      <c r="R694" s="54">
        <v>0</v>
      </c>
      <c r="S694" s="54">
        <v>12869.42</v>
      </c>
      <c r="T694" s="54">
        <v>12869.42</v>
      </c>
      <c r="U694" s="54">
        <v>728.26</v>
      </c>
      <c r="V694" s="54">
        <v>728.26</v>
      </c>
      <c r="W694" s="54">
        <v>728.26</v>
      </c>
    </row>
    <row r="695" spans="1:23" outlineLevel="2" x14ac:dyDescent="0.2">
      <c r="A695" s="21" t="s">
        <v>0</v>
      </c>
      <c r="B695" s="21" t="s">
        <v>39</v>
      </c>
      <c r="C695" s="21" t="s">
        <v>58</v>
      </c>
      <c r="D695" s="21" t="s">
        <v>135</v>
      </c>
      <c r="E695" s="21" t="s">
        <v>136</v>
      </c>
      <c r="F695" s="21" t="s">
        <v>5</v>
      </c>
      <c r="G695" s="21" t="s">
        <v>6</v>
      </c>
      <c r="H695" s="21" t="s">
        <v>35</v>
      </c>
      <c r="I695" s="21" t="s">
        <v>36</v>
      </c>
      <c r="J695" s="21" t="s">
        <v>9</v>
      </c>
      <c r="K695" s="21" t="s">
        <v>385</v>
      </c>
      <c r="L695" s="21" t="s">
        <v>386</v>
      </c>
      <c r="M695" s="21" t="s">
        <v>15</v>
      </c>
      <c r="N695" s="54">
        <v>13977.57</v>
      </c>
      <c r="O695" s="54">
        <v>0</v>
      </c>
      <c r="P695" s="54">
        <v>0</v>
      </c>
      <c r="Q695" s="54">
        <v>13977.57</v>
      </c>
      <c r="R695" s="54">
        <v>0</v>
      </c>
      <c r="S695" s="54">
        <v>5410.62</v>
      </c>
      <c r="T695" s="54">
        <v>5410.62</v>
      </c>
      <c r="U695" s="54">
        <v>8566.9500000000007</v>
      </c>
      <c r="V695" s="54">
        <v>8566.9500000000007</v>
      </c>
      <c r="W695" s="54">
        <v>8566.9500000000007</v>
      </c>
    </row>
    <row r="696" spans="1:23" outlineLevel="2" x14ac:dyDescent="0.2">
      <c r="A696" s="21" t="s">
        <v>0</v>
      </c>
      <c r="B696" s="21" t="s">
        <v>31</v>
      </c>
      <c r="C696" s="21" t="s">
        <v>79</v>
      </c>
      <c r="D696" s="21" t="s">
        <v>80</v>
      </c>
      <c r="E696" s="21" t="s">
        <v>81</v>
      </c>
      <c r="F696" s="21" t="s">
        <v>5</v>
      </c>
      <c r="G696" s="21" t="s">
        <v>6</v>
      </c>
      <c r="H696" s="21" t="s">
        <v>35</v>
      </c>
      <c r="I696" s="21" t="s">
        <v>36</v>
      </c>
      <c r="J696" s="21" t="s">
        <v>9</v>
      </c>
      <c r="K696" s="21" t="s">
        <v>385</v>
      </c>
      <c r="L696" s="21" t="s">
        <v>387</v>
      </c>
      <c r="M696" s="21" t="s">
        <v>15</v>
      </c>
      <c r="N696" s="54">
        <v>7649.22</v>
      </c>
      <c r="O696" s="54">
        <v>0</v>
      </c>
      <c r="P696" s="54">
        <v>0</v>
      </c>
      <c r="Q696" s="54">
        <v>7649.22</v>
      </c>
      <c r="R696" s="54">
        <v>0</v>
      </c>
      <c r="S696" s="54">
        <v>1119.27</v>
      </c>
      <c r="T696" s="54">
        <v>1119.27</v>
      </c>
      <c r="U696" s="54">
        <v>6529.95</v>
      </c>
      <c r="V696" s="54">
        <v>6529.95</v>
      </c>
      <c r="W696" s="54">
        <v>6529.95</v>
      </c>
    </row>
    <row r="697" spans="1:23" outlineLevel="2" x14ac:dyDescent="0.2">
      <c r="A697" s="21" t="s">
        <v>0</v>
      </c>
      <c r="B697" s="21" t="s">
        <v>39</v>
      </c>
      <c r="C697" s="21" t="s">
        <v>70</v>
      </c>
      <c r="D697" s="21" t="s">
        <v>71</v>
      </c>
      <c r="E697" s="21" t="s">
        <v>72</v>
      </c>
      <c r="F697" s="21" t="s">
        <v>5</v>
      </c>
      <c r="G697" s="21" t="s">
        <v>6</v>
      </c>
      <c r="H697" s="21" t="s">
        <v>35</v>
      </c>
      <c r="I697" s="21" t="s">
        <v>36</v>
      </c>
      <c r="J697" s="21" t="s">
        <v>9</v>
      </c>
      <c r="K697" s="21" t="s">
        <v>385</v>
      </c>
      <c r="L697" s="21" t="s">
        <v>394</v>
      </c>
      <c r="M697" s="21" t="s">
        <v>15</v>
      </c>
      <c r="N697" s="54">
        <v>38261.24</v>
      </c>
      <c r="O697" s="54">
        <v>0</v>
      </c>
      <c r="P697" s="54">
        <v>0</v>
      </c>
      <c r="Q697" s="54">
        <v>38261.24</v>
      </c>
      <c r="R697" s="54">
        <v>0</v>
      </c>
      <c r="S697" s="54">
        <v>10255.99</v>
      </c>
      <c r="T697" s="54">
        <v>9162.66</v>
      </c>
      <c r="U697" s="54">
        <v>28005.25</v>
      </c>
      <c r="V697" s="54">
        <v>29098.58</v>
      </c>
      <c r="W697" s="54">
        <v>28005.25</v>
      </c>
    </row>
    <row r="698" spans="1:23" outlineLevel="2" x14ac:dyDescent="0.2">
      <c r="A698" s="21" t="s">
        <v>0</v>
      </c>
      <c r="B698" s="21" t="s">
        <v>31</v>
      </c>
      <c r="C698" s="21" t="s">
        <v>32</v>
      </c>
      <c r="D698" s="21" t="s">
        <v>141</v>
      </c>
      <c r="E698" s="21" t="s">
        <v>142</v>
      </c>
      <c r="F698" s="21" t="s">
        <v>5</v>
      </c>
      <c r="G698" s="21" t="s">
        <v>6</v>
      </c>
      <c r="H698" s="21" t="s">
        <v>35</v>
      </c>
      <c r="I698" s="21" t="s">
        <v>36</v>
      </c>
      <c r="J698" s="21" t="s">
        <v>9</v>
      </c>
      <c r="K698" s="21" t="s">
        <v>385</v>
      </c>
      <c r="L698" s="21" t="s">
        <v>392</v>
      </c>
      <c r="M698" s="21" t="s">
        <v>15</v>
      </c>
      <c r="N698" s="54">
        <v>8795.5400000000009</v>
      </c>
      <c r="O698" s="54">
        <v>0</v>
      </c>
      <c r="P698" s="54">
        <v>0</v>
      </c>
      <c r="Q698" s="54">
        <v>8795.5400000000009</v>
      </c>
      <c r="R698" s="54">
        <v>0</v>
      </c>
      <c r="S698" s="54">
        <v>7440.63</v>
      </c>
      <c r="T698" s="54">
        <v>7440.63</v>
      </c>
      <c r="U698" s="54">
        <v>1354.91</v>
      </c>
      <c r="V698" s="54">
        <v>1354.91</v>
      </c>
      <c r="W698" s="54">
        <v>1354.91</v>
      </c>
    </row>
    <row r="699" spans="1:23" outlineLevel="2" x14ac:dyDescent="0.2">
      <c r="A699" s="21" t="s">
        <v>0</v>
      </c>
      <c r="B699" s="21" t="s">
        <v>31</v>
      </c>
      <c r="C699" s="21" t="s">
        <v>49</v>
      </c>
      <c r="D699" s="21" t="s">
        <v>50</v>
      </c>
      <c r="E699" s="21" t="s">
        <v>51</v>
      </c>
      <c r="F699" s="21" t="s">
        <v>5</v>
      </c>
      <c r="G699" s="21" t="s">
        <v>6</v>
      </c>
      <c r="H699" s="21" t="s">
        <v>35</v>
      </c>
      <c r="I699" s="21" t="s">
        <v>36</v>
      </c>
      <c r="J699" s="21" t="s">
        <v>9</v>
      </c>
      <c r="K699" s="21" t="s">
        <v>385</v>
      </c>
      <c r="L699" s="21" t="s">
        <v>398</v>
      </c>
      <c r="M699" s="21" t="s">
        <v>15</v>
      </c>
      <c r="N699" s="54">
        <v>6665.3</v>
      </c>
      <c r="O699" s="54">
        <v>0</v>
      </c>
      <c r="P699" s="54">
        <v>0</v>
      </c>
      <c r="Q699" s="54">
        <v>6665.3</v>
      </c>
      <c r="R699" s="54">
        <v>0</v>
      </c>
      <c r="S699" s="54">
        <v>30.6</v>
      </c>
      <c r="T699" s="54">
        <v>30.6</v>
      </c>
      <c r="U699" s="54">
        <v>6634.7</v>
      </c>
      <c r="V699" s="54">
        <v>6634.7</v>
      </c>
      <c r="W699" s="54">
        <v>6634.7</v>
      </c>
    </row>
    <row r="700" spans="1:23" outlineLevel="2" x14ac:dyDescent="0.2">
      <c r="A700" s="21" t="s">
        <v>0</v>
      </c>
      <c r="B700" s="21" t="s">
        <v>31</v>
      </c>
      <c r="C700" s="21" t="s">
        <v>79</v>
      </c>
      <c r="D700" s="21" t="s">
        <v>83</v>
      </c>
      <c r="E700" s="21" t="s">
        <v>84</v>
      </c>
      <c r="F700" s="21" t="s">
        <v>5</v>
      </c>
      <c r="G700" s="21" t="s">
        <v>6</v>
      </c>
      <c r="H700" s="21" t="s">
        <v>35</v>
      </c>
      <c r="I700" s="21" t="s">
        <v>36</v>
      </c>
      <c r="J700" s="21" t="s">
        <v>9</v>
      </c>
      <c r="K700" s="21" t="s">
        <v>385</v>
      </c>
      <c r="L700" s="21" t="s">
        <v>387</v>
      </c>
      <c r="M700" s="21" t="s">
        <v>15</v>
      </c>
      <c r="N700" s="54">
        <v>46814.06</v>
      </c>
      <c r="O700" s="54">
        <v>0</v>
      </c>
      <c r="P700" s="54">
        <v>0</v>
      </c>
      <c r="Q700" s="54">
        <v>46814.06</v>
      </c>
      <c r="R700" s="54">
        <v>0</v>
      </c>
      <c r="S700" s="54">
        <v>8342.52</v>
      </c>
      <c r="T700" s="54">
        <v>8342.52</v>
      </c>
      <c r="U700" s="54">
        <v>38471.54</v>
      </c>
      <c r="V700" s="54">
        <v>38471.54</v>
      </c>
      <c r="W700" s="54">
        <v>38471.54</v>
      </c>
    </row>
    <row r="701" spans="1:23" outlineLevel="2" x14ac:dyDescent="0.2">
      <c r="A701" s="21" t="s">
        <v>0</v>
      </c>
      <c r="B701" s="21" t="s">
        <v>31</v>
      </c>
      <c r="C701" s="21" t="s">
        <v>107</v>
      </c>
      <c r="D701" s="21" t="s">
        <v>108</v>
      </c>
      <c r="E701" s="21" t="s">
        <v>109</v>
      </c>
      <c r="F701" s="21" t="s">
        <v>5</v>
      </c>
      <c r="G701" s="21" t="s">
        <v>6</v>
      </c>
      <c r="H701" s="21" t="s">
        <v>35</v>
      </c>
      <c r="I701" s="21" t="s">
        <v>36</v>
      </c>
      <c r="J701" s="21" t="s">
        <v>9</v>
      </c>
      <c r="K701" s="21" t="s">
        <v>385</v>
      </c>
      <c r="L701" s="21" t="s">
        <v>396</v>
      </c>
      <c r="M701" s="21" t="s">
        <v>15</v>
      </c>
      <c r="N701" s="54">
        <v>30422.080000000002</v>
      </c>
      <c r="O701" s="54">
        <v>-9989.77</v>
      </c>
      <c r="P701" s="54">
        <v>0</v>
      </c>
      <c r="Q701" s="54">
        <v>20432.310000000001</v>
      </c>
      <c r="R701" s="54">
        <v>0</v>
      </c>
      <c r="S701" s="54">
        <v>7002.77</v>
      </c>
      <c r="T701" s="54">
        <v>4876.07</v>
      </c>
      <c r="U701" s="54">
        <v>13429.54</v>
      </c>
      <c r="V701" s="54">
        <v>15556.24</v>
      </c>
      <c r="W701" s="54">
        <v>13429.54</v>
      </c>
    </row>
    <row r="702" spans="1:23" outlineLevel="2" x14ac:dyDescent="0.2">
      <c r="A702" s="21" t="s">
        <v>0</v>
      </c>
      <c r="B702" s="21" t="s">
        <v>31</v>
      </c>
      <c r="C702" s="21" t="s">
        <v>32</v>
      </c>
      <c r="D702" s="21" t="s">
        <v>33</v>
      </c>
      <c r="E702" s="21" t="s">
        <v>34</v>
      </c>
      <c r="F702" s="21" t="s">
        <v>5</v>
      </c>
      <c r="G702" s="21" t="s">
        <v>6</v>
      </c>
      <c r="H702" s="21" t="s">
        <v>35</v>
      </c>
      <c r="I702" s="21" t="s">
        <v>36</v>
      </c>
      <c r="J702" s="21" t="s">
        <v>9</v>
      </c>
      <c r="K702" s="21" t="s">
        <v>385</v>
      </c>
      <c r="L702" s="21" t="s">
        <v>392</v>
      </c>
      <c r="M702" s="21" t="s">
        <v>15</v>
      </c>
      <c r="N702" s="54">
        <v>34363.379999999997</v>
      </c>
      <c r="O702" s="54">
        <v>0</v>
      </c>
      <c r="P702" s="54">
        <v>0</v>
      </c>
      <c r="Q702" s="54">
        <v>34363.379999999997</v>
      </c>
      <c r="R702" s="54">
        <v>0</v>
      </c>
      <c r="S702" s="54">
        <v>7363.71</v>
      </c>
      <c r="T702" s="54">
        <v>7363.71</v>
      </c>
      <c r="U702" s="54">
        <v>26999.67</v>
      </c>
      <c r="V702" s="54">
        <v>26999.67</v>
      </c>
      <c r="W702" s="54">
        <v>26999.67</v>
      </c>
    </row>
    <row r="703" spans="1:23" outlineLevel="2" x14ac:dyDescent="0.2">
      <c r="A703" s="21" t="s">
        <v>0</v>
      </c>
      <c r="B703" s="21" t="s">
        <v>39</v>
      </c>
      <c r="C703" s="21" t="s">
        <v>70</v>
      </c>
      <c r="D703" s="21" t="s">
        <v>89</v>
      </c>
      <c r="E703" s="21" t="s">
        <v>90</v>
      </c>
      <c r="F703" s="21" t="s">
        <v>5</v>
      </c>
      <c r="G703" s="21" t="s">
        <v>6</v>
      </c>
      <c r="H703" s="21" t="s">
        <v>35</v>
      </c>
      <c r="I703" s="21" t="s">
        <v>36</v>
      </c>
      <c r="J703" s="21" t="s">
        <v>9</v>
      </c>
      <c r="K703" s="21" t="s">
        <v>385</v>
      </c>
      <c r="L703" s="21" t="s">
        <v>394</v>
      </c>
      <c r="M703" s="21" t="s">
        <v>15</v>
      </c>
      <c r="N703" s="54">
        <v>76607.67</v>
      </c>
      <c r="O703" s="54">
        <v>0</v>
      </c>
      <c r="P703" s="54">
        <v>0</v>
      </c>
      <c r="Q703" s="54">
        <v>76607.67</v>
      </c>
      <c r="R703" s="54">
        <v>0</v>
      </c>
      <c r="S703" s="54">
        <v>6786.2</v>
      </c>
      <c r="T703" s="54">
        <v>6786.2</v>
      </c>
      <c r="U703" s="54">
        <v>69821.47</v>
      </c>
      <c r="V703" s="54">
        <v>69821.47</v>
      </c>
      <c r="W703" s="54">
        <v>69821.47</v>
      </c>
    </row>
    <row r="704" spans="1:23" outlineLevel="2" x14ac:dyDescent="0.2">
      <c r="A704" s="21" t="s">
        <v>0</v>
      </c>
      <c r="B704" s="21" t="s">
        <v>31</v>
      </c>
      <c r="C704" s="21" t="s">
        <v>79</v>
      </c>
      <c r="D704" s="21" t="s">
        <v>115</v>
      </c>
      <c r="E704" s="21" t="s">
        <v>116</v>
      </c>
      <c r="F704" s="21" t="s">
        <v>5</v>
      </c>
      <c r="G704" s="21" t="s">
        <v>6</v>
      </c>
      <c r="H704" s="21" t="s">
        <v>35</v>
      </c>
      <c r="I704" s="21" t="s">
        <v>36</v>
      </c>
      <c r="J704" s="21" t="s">
        <v>9</v>
      </c>
      <c r="K704" s="21" t="s">
        <v>385</v>
      </c>
      <c r="L704" s="21" t="s">
        <v>387</v>
      </c>
      <c r="M704" s="21" t="s">
        <v>15</v>
      </c>
      <c r="N704" s="54">
        <v>6330.59</v>
      </c>
      <c r="O704" s="54">
        <v>0</v>
      </c>
      <c r="P704" s="54">
        <v>0</v>
      </c>
      <c r="Q704" s="54">
        <v>6330.59</v>
      </c>
      <c r="R704" s="54">
        <v>0</v>
      </c>
      <c r="S704" s="54">
        <v>109.97</v>
      </c>
      <c r="T704" s="54">
        <v>109.97</v>
      </c>
      <c r="U704" s="54">
        <v>6220.62</v>
      </c>
      <c r="V704" s="54">
        <v>6220.62</v>
      </c>
      <c r="W704" s="54">
        <v>6220.62</v>
      </c>
    </row>
    <row r="705" spans="1:23" outlineLevel="2" x14ac:dyDescent="0.2">
      <c r="A705" s="21" t="s">
        <v>0</v>
      </c>
      <c r="B705" s="21" t="s">
        <v>31</v>
      </c>
      <c r="C705" s="21" t="s">
        <v>79</v>
      </c>
      <c r="D705" s="21" t="s">
        <v>113</v>
      </c>
      <c r="E705" s="21" t="s">
        <v>114</v>
      </c>
      <c r="F705" s="21" t="s">
        <v>5</v>
      </c>
      <c r="G705" s="21" t="s">
        <v>6</v>
      </c>
      <c r="H705" s="21" t="s">
        <v>35</v>
      </c>
      <c r="I705" s="21" t="s">
        <v>36</v>
      </c>
      <c r="J705" s="21" t="s">
        <v>9</v>
      </c>
      <c r="K705" s="21" t="s">
        <v>385</v>
      </c>
      <c r="L705" s="21" t="s">
        <v>387</v>
      </c>
      <c r="M705" s="21" t="s">
        <v>15</v>
      </c>
      <c r="N705" s="54">
        <v>10507.86</v>
      </c>
      <c r="O705" s="54">
        <v>0</v>
      </c>
      <c r="P705" s="54">
        <v>0</v>
      </c>
      <c r="Q705" s="54">
        <v>10507.86</v>
      </c>
      <c r="R705" s="54">
        <v>0</v>
      </c>
      <c r="S705" s="54">
        <v>288.72000000000003</v>
      </c>
      <c r="T705" s="54">
        <v>288.72000000000003</v>
      </c>
      <c r="U705" s="54">
        <v>10219.14</v>
      </c>
      <c r="V705" s="54">
        <v>10219.14</v>
      </c>
      <c r="W705" s="54">
        <v>10219.14</v>
      </c>
    </row>
    <row r="706" spans="1:23" outlineLevel="2" x14ac:dyDescent="0.2">
      <c r="A706" s="21" t="s">
        <v>0</v>
      </c>
      <c r="B706" s="21" t="s">
        <v>31</v>
      </c>
      <c r="C706" s="21" t="s">
        <v>79</v>
      </c>
      <c r="D706" s="21" t="s">
        <v>117</v>
      </c>
      <c r="E706" s="21" t="s">
        <v>118</v>
      </c>
      <c r="F706" s="21" t="s">
        <v>5</v>
      </c>
      <c r="G706" s="21" t="s">
        <v>6</v>
      </c>
      <c r="H706" s="21" t="s">
        <v>35</v>
      </c>
      <c r="I706" s="21" t="s">
        <v>36</v>
      </c>
      <c r="J706" s="21" t="s">
        <v>9</v>
      </c>
      <c r="K706" s="21" t="s">
        <v>385</v>
      </c>
      <c r="L706" s="21" t="s">
        <v>387</v>
      </c>
      <c r="M706" s="21" t="s">
        <v>15</v>
      </c>
      <c r="N706" s="54">
        <v>12018.78</v>
      </c>
      <c r="O706" s="54">
        <v>0</v>
      </c>
      <c r="P706" s="54">
        <v>0</v>
      </c>
      <c r="Q706" s="54">
        <v>12018.78</v>
      </c>
      <c r="R706" s="54">
        <v>0</v>
      </c>
      <c r="S706" s="54">
        <v>1161.54</v>
      </c>
      <c r="T706" s="54">
        <v>1161.54</v>
      </c>
      <c r="U706" s="54">
        <v>10857.24</v>
      </c>
      <c r="V706" s="54">
        <v>10857.24</v>
      </c>
      <c r="W706" s="54">
        <v>10857.24</v>
      </c>
    </row>
    <row r="707" spans="1:23" outlineLevel="2" x14ac:dyDescent="0.2">
      <c r="A707" s="21" t="s">
        <v>0</v>
      </c>
      <c r="B707" s="21" t="s">
        <v>31</v>
      </c>
      <c r="C707" s="21" t="s">
        <v>79</v>
      </c>
      <c r="D707" s="21" t="s">
        <v>127</v>
      </c>
      <c r="E707" s="21" t="s">
        <v>128</v>
      </c>
      <c r="F707" s="21" t="s">
        <v>5</v>
      </c>
      <c r="G707" s="21" t="s">
        <v>6</v>
      </c>
      <c r="H707" s="21" t="s">
        <v>35</v>
      </c>
      <c r="I707" s="21" t="s">
        <v>36</v>
      </c>
      <c r="J707" s="21" t="s">
        <v>9</v>
      </c>
      <c r="K707" s="21" t="s">
        <v>385</v>
      </c>
      <c r="L707" s="21" t="s">
        <v>387</v>
      </c>
      <c r="M707" s="21" t="s">
        <v>15</v>
      </c>
      <c r="N707" s="54">
        <v>10695.13</v>
      </c>
      <c r="O707" s="54">
        <v>-201</v>
      </c>
      <c r="P707" s="54">
        <v>0</v>
      </c>
      <c r="Q707" s="54">
        <v>10494.13</v>
      </c>
      <c r="R707" s="54">
        <v>0</v>
      </c>
      <c r="S707" s="54">
        <v>880.37</v>
      </c>
      <c r="T707" s="54">
        <v>880.37</v>
      </c>
      <c r="U707" s="54">
        <v>9613.76</v>
      </c>
      <c r="V707" s="54">
        <v>9613.76</v>
      </c>
      <c r="W707" s="54">
        <v>9613.76</v>
      </c>
    </row>
    <row r="708" spans="1:23" outlineLevel="2" x14ac:dyDescent="0.2">
      <c r="A708" s="21" t="s">
        <v>0</v>
      </c>
      <c r="B708" s="21" t="s">
        <v>31</v>
      </c>
      <c r="C708" s="21" t="s">
        <v>79</v>
      </c>
      <c r="D708" s="21" t="s">
        <v>131</v>
      </c>
      <c r="E708" s="21" t="s">
        <v>132</v>
      </c>
      <c r="F708" s="21" t="s">
        <v>5</v>
      </c>
      <c r="G708" s="21" t="s">
        <v>6</v>
      </c>
      <c r="H708" s="21" t="s">
        <v>35</v>
      </c>
      <c r="I708" s="21" t="s">
        <v>36</v>
      </c>
      <c r="J708" s="21" t="s">
        <v>9</v>
      </c>
      <c r="K708" s="21" t="s">
        <v>385</v>
      </c>
      <c r="L708" s="21" t="s">
        <v>387</v>
      </c>
      <c r="M708" s="21" t="s">
        <v>15</v>
      </c>
      <c r="N708" s="54">
        <v>8936.24</v>
      </c>
      <c r="O708" s="54">
        <v>0</v>
      </c>
      <c r="P708" s="54">
        <v>0</v>
      </c>
      <c r="Q708" s="54">
        <v>8936.24</v>
      </c>
      <c r="R708" s="54">
        <v>0</v>
      </c>
      <c r="S708" s="54">
        <v>2589.27</v>
      </c>
      <c r="T708" s="54">
        <v>1444.33</v>
      </c>
      <c r="U708" s="54">
        <v>6346.97</v>
      </c>
      <c r="V708" s="54">
        <v>7491.91</v>
      </c>
      <c r="W708" s="54">
        <v>6346.97</v>
      </c>
    </row>
    <row r="709" spans="1:23" outlineLevel="2" x14ac:dyDescent="0.2">
      <c r="A709" s="21" t="s">
        <v>0</v>
      </c>
      <c r="B709" s="21" t="s">
        <v>39</v>
      </c>
      <c r="C709" s="21" t="s">
        <v>66</v>
      </c>
      <c r="D709" s="21" t="s">
        <v>67</v>
      </c>
      <c r="E709" s="21" t="s">
        <v>68</v>
      </c>
      <c r="F709" s="21" t="s">
        <v>5</v>
      </c>
      <c r="G709" s="21" t="s">
        <v>6</v>
      </c>
      <c r="H709" s="21" t="s">
        <v>35</v>
      </c>
      <c r="I709" s="21" t="s">
        <v>36</v>
      </c>
      <c r="J709" s="21" t="s">
        <v>9</v>
      </c>
      <c r="K709" s="21" t="s">
        <v>385</v>
      </c>
      <c r="L709" s="21" t="s">
        <v>390</v>
      </c>
      <c r="M709" s="21" t="s">
        <v>15</v>
      </c>
      <c r="N709" s="54">
        <v>19721.25</v>
      </c>
      <c r="O709" s="54">
        <v>-8307.48</v>
      </c>
      <c r="P709" s="54">
        <v>0</v>
      </c>
      <c r="Q709" s="54">
        <v>11413.77</v>
      </c>
      <c r="R709" s="54">
        <v>0</v>
      </c>
      <c r="S709" s="54">
        <v>4256.3500000000004</v>
      </c>
      <c r="T709" s="54">
        <v>4256.34</v>
      </c>
      <c r="U709" s="54">
        <v>7157.42</v>
      </c>
      <c r="V709" s="54">
        <v>7157.43</v>
      </c>
      <c r="W709" s="54">
        <v>7157.42</v>
      </c>
    </row>
    <row r="710" spans="1:23" outlineLevel="2" x14ac:dyDescent="0.2">
      <c r="A710" s="21" t="s">
        <v>0</v>
      </c>
      <c r="B710" s="21" t="s">
        <v>1</v>
      </c>
      <c r="C710" s="21" t="s">
        <v>16</v>
      </c>
      <c r="D710" s="21" t="s">
        <v>64</v>
      </c>
      <c r="E710" s="21" t="s">
        <v>65</v>
      </c>
      <c r="F710" s="21" t="s">
        <v>5</v>
      </c>
      <c r="G710" s="21" t="s">
        <v>6</v>
      </c>
      <c r="H710" s="21" t="s">
        <v>35</v>
      </c>
      <c r="I710" s="21" t="s">
        <v>36</v>
      </c>
      <c r="J710" s="21" t="s">
        <v>9</v>
      </c>
      <c r="K710" s="21" t="s">
        <v>385</v>
      </c>
      <c r="L710" s="21" t="s">
        <v>391</v>
      </c>
      <c r="M710" s="21" t="s">
        <v>15</v>
      </c>
      <c r="N710" s="54">
        <v>2855.6</v>
      </c>
      <c r="O710" s="54">
        <v>0</v>
      </c>
      <c r="P710" s="54">
        <v>0</v>
      </c>
      <c r="Q710" s="54">
        <v>2855.6</v>
      </c>
      <c r="R710" s="54">
        <v>0</v>
      </c>
      <c r="S710" s="54">
        <v>0</v>
      </c>
      <c r="T710" s="54">
        <v>0</v>
      </c>
      <c r="U710" s="54">
        <v>2855.6</v>
      </c>
      <c r="V710" s="54">
        <v>2855.6</v>
      </c>
      <c r="W710" s="54">
        <v>2855.6</v>
      </c>
    </row>
    <row r="711" spans="1:23" outlineLevel="2" x14ac:dyDescent="0.2">
      <c r="A711" s="21" t="s">
        <v>0</v>
      </c>
      <c r="B711" s="21" t="s">
        <v>1</v>
      </c>
      <c r="C711" s="21" t="s">
        <v>91</v>
      </c>
      <c r="D711" s="21" t="s">
        <v>92</v>
      </c>
      <c r="E711" s="21" t="s">
        <v>93</v>
      </c>
      <c r="F711" s="21" t="s">
        <v>5</v>
      </c>
      <c r="G711" s="21" t="s">
        <v>6</v>
      </c>
      <c r="H711" s="21" t="s">
        <v>35</v>
      </c>
      <c r="I711" s="21" t="s">
        <v>36</v>
      </c>
      <c r="J711" s="21" t="s">
        <v>9</v>
      </c>
      <c r="K711" s="21" t="s">
        <v>385</v>
      </c>
      <c r="L711" s="21" t="s">
        <v>389</v>
      </c>
      <c r="M711" s="21" t="s">
        <v>15</v>
      </c>
      <c r="N711" s="54">
        <v>29650</v>
      </c>
      <c r="O711" s="54">
        <v>1140.96</v>
      </c>
      <c r="P711" s="54">
        <v>0</v>
      </c>
      <c r="Q711" s="54">
        <v>30790.959999999999</v>
      </c>
      <c r="R711" s="54">
        <v>0</v>
      </c>
      <c r="S711" s="54">
        <v>0</v>
      </c>
      <c r="T711" s="54">
        <v>0</v>
      </c>
      <c r="U711" s="54">
        <v>30790.959999999999</v>
      </c>
      <c r="V711" s="54">
        <v>30790.959999999999</v>
      </c>
      <c r="W711" s="54">
        <v>30790.959999999999</v>
      </c>
    </row>
    <row r="712" spans="1:23" outlineLevel="2" x14ac:dyDescent="0.2">
      <c r="A712" s="21" t="s">
        <v>0</v>
      </c>
      <c r="B712" s="21" t="s">
        <v>31</v>
      </c>
      <c r="C712" s="21" t="s">
        <v>79</v>
      </c>
      <c r="D712" s="21" t="s">
        <v>111</v>
      </c>
      <c r="E712" s="21" t="s">
        <v>112</v>
      </c>
      <c r="F712" s="21" t="s">
        <v>5</v>
      </c>
      <c r="G712" s="21" t="s">
        <v>6</v>
      </c>
      <c r="H712" s="21" t="s">
        <v>35</v>
      </c>
      <c r="I712" s="21" t="s">
        <v>36</v>
      </c>
      <c r="J712" s="21" t="s">
        <v>9</v>
      </c>
      <c r="K712" s="21" t="s">
        <v>385</v>
      </c>
      <c r="L712" s="21" t="s">
        <v>387</v>
      </c>
      <c r="M712" s="21" t="s">
        <v>15</v>
      </c>
      <c r="N712" s="54">
        <v>13772.4</v>
      </c>
      <c r="O712" s="54">
        <v>0</v>
      </c>
      <c r="P712" s="54">
        <v>0</v>
      </c>
      <c r="Q712" s="54">
        <v>13772.4</v>
      </c>
      <c r="R712" s="54">
        <v>0</v>
      </c>
      <c r="S712" s="54">
        <v>0</v>
      </c>
      <c r="T712" s="54">
        <v>0</v>
      </c>
      <c r="U712" s="54">
        <v>13772.4</v>
      </c>
      <c r="V712" s="54">
        <v>13772.4</v>
      </c>
      <c r="W712" s="54">
        <v>13772.4</v>
      </c>
    </row>
    <row r="713" spans="1:23" outlineLevel="2" x14ac:dyDescent="0.2">
      <c r="A713" s="21" t="s">
        <v>0</v>
      </c>
      <c r="B713" s="21" t="s">
        <v>39</v>
      </c>
      <c r="C713" s="21" t="s">
        <v>58</v>
      </c>
      <c r="D713" s="21" t="s">
        <v>137</v>
      </c>
      <c r="E713" s="21" t="s">
        <v>138</v>
      </c>
      <c r="F713" s="21" t="s">
        <v>5</v>
      </c>
      <c r="G713" s="21" t="s">
        <v>6</v>
      </c>
      <c r="H713" s="21" t="s">
        <v>35</v>
      </c>
      <c r="I713" s="21" t="s">
        <v>36</v>
      </c>
      <c r="J713" s="21" t="s">
        <v>9</v>
      </c>
      <c r="K713" s="21" t="s">
        <v>385</v>
      </c>
      <c r="L713" s="21" t="s">
        <v>386</v>
      </c>
      <c r="M713" s="21" t="s">
        <v>15</v>
      </c>
      <c r="N713" s="54">
        <v>13179.35</v>
      </c>
      <c r="O713" s="54">
        <v>-550</v>
      </c>
      <c r="P713" s="54">
        <v>0</v>
      </c>
      <c r="Q713" s="54">
        <v>12629.35</v>
      </c>
      <c r="R713" s="54">
        <v>0</v>
      </c>
      <c r="S713" s="54">
        <v>1130.7</v>
      </c>
      <c r="T713" s="54">
        <v>1130.7</v>
      </c>
      <c r="U713" s="54">
        <v>11498.65</v>
      </c>
      <c r="V713" s="54">
        <v>11498.65</v>
      </c>
      <c r="W713" s="54">
        <v>11498.65</v>
      </c>
    </row>
    <row r="714" spans="1:23" outlineLevel="2" x14ac:dyDescent="0.2">
      <c r="A714" s="21" t="s">
        <v>0</v>
      </c>
      <c r="B714" s="21" t="s">
        <v>31</v>
      </c>
      <c r="C714" s="21" t="s">
        <v>79</v>
      </c>
      <c r="D714" s="21" t="s">
        <v>133</v>
      </c>
      <c r="E714" s="21" t="s">
        <v>134</v>
      </c>
      <c r="F714" s="21" t="s">
        <v>5</v>
      </c>
      <c r="G714" s="21" t="s">
        <v>6</v>
      </c>
      <c r="H714" s="21" t="s">
        <v>35</v>
      </c>
      <c r="I714" s="21" t="s">
        <v>36</v>
      </c>
      <c r="J714" s="21" t="s">
        <v>9</v>
      </c>
      <c r="K714" s="21" t="s">
        <v>385</v>
      </c>
      <c r="L714" s="21" t="s">
        <v>387</v>
      </c>
      <c r="M714" s="21" t="s">
        <v>15</v>
      </c>
      <c r="N714" s="54">
        <v>12384.5</v>
      </c>
      <c r="O714" s="54">
        <v>0</v>
      </c>
      <c r="P714" s="54">
        <v>0</v>
      </c>
      <c r="Q714" s="54">
        <v>12384.5</v>
      </c>
      <c r="R714" s="54">
        <v>0</v>
      </c>
      <c r="S714" s="54">
        <v>0</v>
      </c>
      <c r="T714" s="54">
        <v>0</v>
      </c>
      <c r="U714" s="54">
        <v>12384.5</v>
      </c>
      <c r="V714" s="54">
        <v>12384.5</v>
      </c>
      <c r="W714" s="54">
        <v>12384.5</v>
      </c>
    </row>
    <row r="715" spans="1:23" outlineLevel="2" x14ac:dyDescent="0.2">
      <c r="A715" s="21" t="s">
        <v>0</v>
      </c>
      <c r="B715" s="21" t="s">
        <v>31</v>
      </c>
      <c r="C715" s="21" t="s">
        <v>32</v>
      </c>
      <c r="D715" s="21" t="s">
        <v>75</v>
      </c>
      <c r="E715" s="21" t="s">
        <v>76</v>
      </c>
      <c r="F715" s="21" t="s">
        <v>5</v>
      </c>
      <c r="G715" s="21" t="s">
        <v>6</v>
      </c>
      <c r="H715" s="21" t="s">
        <v>35</v>
      </c>
      <c r="I715" s="21" t="s">
        <v>36</v>
      </c>
      <c r="J715" s="21" t="s">
        <v>9</v>
      </c>
      <c r="K715" s="21" t="s">
        <v>385</v>
      </c>
      <c r="L715" s="21" t="s">
        <v>392</v>
      </c>
      <c r="M715" s="21" t="s">
        <v>15</v>
      </c>
      <c r="N715" s="54">
        <v>24444.99</v>
      </c>
      <c r="O715" s="54">
        <v>0</v>
      </c>
      <c r="P715" s="54">
        <v>0</v>
      </c>
      <c r="Q715" s="54">
        <v>24444.99</v>
      </c>
      <c r="R715" s="54">
        <v>0</v>
      </c>
      <c r="S715" s="54">
        <v>10111.84</v>
      </c>
      <c r="T715" s="54">
        <v>8229.17</v>
      </c>
      <c r="U715" s="54">
        <v>14333.15</v>
      </c>
      <c r="V715" s="54">
        <v>16215.82</v>
      </c>
      <c r="W715" s="54">
        <v>14333.15</v>
      </c>
    </row>
    <row r="716" spans="1:23" outlineLevel="2" x14ac:dyDescent="0.2">
      <c r="A716" s="21" t="s">
        <v>0</v>
      </c>
      <c r="B716" s="21" t="s">
        <v>31</v>
      </c>
      <c r="C716" s="21" t="s">
        <v>32</v>
      </c>
      <c r="D716" s="21" t="s">
        <v>123</v>
      </c>
      <c r="E716" s="21" t="s">
        <v>124</v>
      </c>
      <c r="F716" s="21" t="s">
        <v>5</v>
      </c>
      <c r="G716" s="21" t="s">
        <v>6</v>
      </c>
      <c r="H716" s="21" t="s">
        <v>35</v>
      </c>
      <c r="I716" s="21" t="s">
        <v>36</v>
      </c>
      <c r="J716" s="21" t="s">
        <v>9</v>
      </c>
      <c r="K716" s="21" t="s">
        <v>385</v>
      </c>
      <c r="L716" s="21" t="s">
        <v>392</v>
      </c>
      <c r="M716" s="21" t="s">
        <v>15</v>
      </c>
      <c r="N716" s="54">
        <v>23630.06</v>
      </c>
      <c r="O716" s="54">
        <v>0</v>
      </c>
      <c r="P716" s="54">
        <v>0</v>
      </c>
      <c r="Q716" s="54">
        <v>23630.06</v>
      </c>
      <c r="R716" s="54">
        <v>0</v>
      </c>
      <c r="S716" s="54">
        <v>8463.09</v>
      </c>
      <c r="T716" s="54">
        <v>8463.09</v>
      </c>
      <c r="U716" s="54">
        <v>15166.97</v>
      </c>
      <c r="V716" s="54">
        <v>15166.97</v>
      </c>
      <c r="W716" s="54">
        <v>15166.97</v>
      </c>
    </row>
    <row r="717" spans="1:23" outlineLevel="2" x14ac:dyDescent="0.2">
      <c r="A717" s="21" t="s">
        <v>0</v>
      </c>
      <c r="B717" s="21" t="s">
        <v>39</v>
      </c>
      <c r="C717" s="21" t="s">
        <v>40</v>
      </c>
      <c r="D717" s="21" t="s">
        <v>77</v>
      </c>
      <c r="E717" s="21" t="s">
        <v>78</v>
      </c>
      <c r="F717" s="21" t="s">
        <v>5</v>
      </c>
      <c r="G717" s="21" t="s">
        <v>6</v>
      </c>
      <c r="H717" s="21" t="s">
        <v>35</v>
      </c>
      <c r="I717" s="21" t="s">
        <v>36</v>
      </c>
      <c r="J717" s="21" t="s">
        <v>9</v>
      </c>
      <c r="K717" s="21" t="s">
        <v>385</v>
      </c>
      <c r="L717" s="21" t="s">
        <v>399</v>
      </c>
      <c r="M717" s="21" t="s">
        <v>15</v>
      </c>
      <c r="N717" s="54">
        <v>189194.33</v>
      </c>
      <c r="O717" s="54">
        <v>0</v>
      </c>
      <c r="P717" s="54">
        <v>0</v>
      </c>
      <c r="Q717" s="54">
        <v>189194.33</v>
      </c>
      <c r="R717" s="54">
        <v>0</v>
      </c>
      <c r="S717" s="54">
        <v>46516.7</v>
      </c>
      <c r="T717" s="54">
        <v>46516.55</v>
      </c>
      <c r="U717" s="54">
        <v>142677.63</v>
      </c>
      <c r="V717" s="54">
        <v>142677.78</v>
      </c>
      <c r="W717" s="54">
        <v>142677.63</v>
      </c>
    </row>
    <row r="718" spans="1:23" outlineLevel="2" x14ac:dyDescent="0.2">
      <c r="A718" s="21" t="s">
        <v>0</v>
      </c>
      <c r="B718" s="21" t="s">
        <v>1</v>
      </c>
      <c r="C718" s="21" t="s">
        <v>2</v>
      </c>
      <c r="D718" s="21" t="s">
        <v>20</v>
      </c>
      <c r="E718" s="21" t="s">
        <v>21</v>
      </c>
      <c r="F718" s="21" t="s">
        <v>5</v>
      </c>
      <c r="G718" s="21" t="s">
        <v>6</v>
      </c>
      <c r="H718" s="21" t="s">
        <v>35</v>
      </c>
      <c r="I718" s="21" t="s">
        <v>36</v>
      </c>
      <c r="J718" s="21" t="s">
        <v>9</v>
      </c>
      <c r="K718" s="21" t="s">
        <v>385</v>
      </c>
      <c r="L718" s="21" t="s">
        <v>388</v>
      </c>
      <c r="M718" s="21" t="s">
        <v>15</v>
      </c>
      <c r="N718" s="54">
        <v>115206.15</v>
      </c>
      <c r="O718" s="54">
        <v>0</v>
      </c>
      <c r="P718" s="54">
        <v>0</v>
      </c>
      <c r="Q718" s="54">
        <v>115206.15</v>
      </c>
      <c r="R718" s="54">
        <v>0</v>
      </c>
      <c r="S718" s="54">
        <v>54822.2</v>
      </c>
      <c r="T718" s="54">
        <v>53307.93</v>
      </c>
      <c r="U718" s="54">
        <v>60383.95</v>
      </c>
      <c r="V718" s="54">
        <v>61898.22</v>
      </c>
      <c r="W718" s="54">
        <v>60383.95</v>
      </c>
    </row>
    <row r="719" spans="1:23" outlineLevel="2" x14ac:dyDescent="0.2">
      <c r="A719" s="21" t="s">
        <v>0</v>
      </c>
      <c r="B719" s="21" t="s">
        <v>1</v>
      </c>
      <c r="C719" s="21" t="s">
        <v>2</v>
      </c>
      <c r="D719" s="21" t="s">
        <v>3</v>
      </c>
      <c r="E719" s="21" t="s">
        <v>4</v>
      </c>
      <c r="F719" s="21" t="s">
        <v>5</v>
      </c>
      <c r="G719" s="21" t="s">
        <v>6</v>
      </c>
      <c r="H719" s="21" t="s">
        <v>35</v>
      </c>
      <c r="I719" s="21" t="s">
        <v>36</v>
      </c>
      <c r="J719" s="21" t="s">
        <v>9</v>
      </c>
      <c r="K719" s="21" t="s">
        <v>385</v>
      </c>
      <c r="L719" s="21" t="s">
        <v>388</v>
      </c>
      <c r="M719" s="21" t="s">
        <v>15</v>
      </c>
      <c r="N719" s="54">
        <v>61573.46</v>
      </c>
      <c r="O719" s="54">
        <v>-39102.080000000002</v>
      </c>
      <c r="P719" s="54">
        <v>0</v>
      </c>
      <c r="Q719" s="54">
        <v>22471.38</v>
      </c>
      <c r="R719" s="54">
        <v>0</v>
      </c>
      <c r="S719" s="54">
        <v>3525.76</v>
      </c>
      <c r="T719" s="54">
        <v>3525.76</v>
      </c>
      <c r="U719" s="54">
        <v>18945.62</v>
      </c>
      <c r="V719" s="54">
        <v>18945.62</v>
      </c>
      <c r="W719" s="54">
        <v>18945.62</v>
      </c>
    </row>
    <row r="720" spans="1:23" outlineLevel="2" x14ac:dyDescent="0.2">
      <c r="A720" s="21" t="s">
        <v>0</v>
      </c>
      <c r="B720" s="21" t="s">
        <v>1</v>
      </c>
      <c r="C720" s="21" t="s">
        <v>44</v>
      </c>
      <c r="D720" s="21" t="s">
        <v>45</v>
      </c>
      <c r="E720" s="21" t="s">
        <v>46</v>
      </c>
      <c r="F720" s="21" t="s">
        <v>5</v>
      </c>
      <c r="G720" s="21" t="s">
        <v>6</v>
      </c>
      <c r="H720" s="21" t="s">
        <v>35</v>
      </c>
      <c r="I720" s="21" t="s">
        <v>36</v>
      </c>
      <c r="J720" s="21" t="s">
        <v>9</v>
      </c>
      <c r="K720" s="21" t="s">
        <v>385</v>
      </c>
      <c r="L720" s="21" t="s">
        <v>400</v>
      </c>
      <c r="M720" s="21" t="s">
        <v>15</v>
      </c>
      <c r="N720" s="54">
        <v>30020.13</v>
      </c>
      <c r="O720" s="54">
        <v>-6459.66</v>
      </c>
      <c r="P720" s="54">
        <v>0</v>
      </c>
      <c r="Q720" s="54">
        <v>23560.47</v>
      </c>
      <c r="R720" s="54">
        <v>0</v>
      </c>
      <c r="S720" s="54">
        <v>14621.33</v>
      </c>
      <c r="T720" s="54">
        <v>14621.33</v>
      </c>
      <c r="U720" s="54">
        <v>8939.14</v>
      </c>
      <c r="V720" s="54">
        <v>8939.14</v>
      </c>
      <c r="W720" s="54">
        <v>8939.14</v>
      </c>
    </row>
    <row r="721" spans="1:23" outlineLevel="2" x14ac:dyDescent="0.2">
      <c r="A721" s="21" t="s">
        <v>0</v>
      </c>
      <c r="B721" s="21" t="s">
        <v>53</v>
      </c>
      <c r="C721" s="21" t="s">
        <v>85</v>
      </c>
      <c r="D721" s="21" t="s">
        <v>86</v>
      </c>
      <c r="E721" s="21" t="s">
        <v>87</v>
      </c>
      <c r="F721" s="21" t="s">
        <v>5</v>
      </c>
      <c r="G721" s="21" t="s">
        <v>6</v>
      </c>
      <c r="H721" s="21" t="s">
        <v>35</v>
      </c>
      <c r="I721" s="21" t="s">
        <v>36</v>
      </c>
      <c r="J721" s="21" t="s">
        <v>9</v>
      </c>
      <c r="K721" s="21" t="s">
        <v>385</v>
      </c>
      <c r="L721" s="21" t="s">
        <v>397</v>
      </c>
      <c r="M721" s="21" t="s">
        <v>15</v>
      </c>
      <c r="N721" s="54">
        <v>5748.16</v>
      </c>
      <c r="O721" s="54">
        <v>0</v>
      </c>
      <c r="P721" s="54">
        <v>0</v>
      </c>
      <c r="Q721" s="54">
        <v>5748.16</v>
      </c>
      <c r="R721" s="54">
        <v>0</v>
      </c>
      <c r="S721" s="54">
        <v>3490.47</v>
      </c>
      <c r="T721" s="54">
        <v>3490.47</v>
      </c>
      <c r="U721" s="54">
        <v>2257.69</v>
      </c>
      <c r="V721" s="54">
        <v>2257.69</v>
      </c>
      <c r="W721" s="54">
        <v>2257.69</v>
      </c>
    </row>
    <row r="722" spans="1:23" outlineLevel="2" x14ac:dyDescent="0.2">
      <c r="A722" s="21" t="s">
        <v>0</v>
      </c>
      <c r="B722" s="21" t="s">
        <v>39</v>
      </c>
      <c r="C722" s="21" t="s">
        <v>66</v>
      </c>
      <c r="D722" s="21" t="s">
        <v>121</v>
      </c>
      <c r="E722" s="21" t="s">
        <v>122</v>
      </c>
      <c r="F722" s="21" t="s">
        <v>5</v>
      </c>
      <c r="G722" s="21" t="s">
        <v>6</v>
      </c>
      <c r="H722" s="21" t="s">
        <v>35</v>
      </c>
      <c r="I722" s="21" t="s">
        <v>36</v>
      </c>
      <c r="J722" s="21" t="s">
        <v>9</v>
      </c>
      <c r="K722" s="21" t="s">
        <v>385</v>
      </c>
      <c r="L722" s="21" t="s">
        <v>390</v>
      </c>
      <c r="M722" s="21" t="s">
        <v>15</v>
      </c>
      <c r="N722" s="54">
        <v>10027.09</v>
      </c>
      <c r="O722" s="54">
        <v>0</v>
      </c>
      <c r="P722" s="54">
        <v>0</v>
      </c>
      <c r="Q722" s="54">
        <v>10027.09</v>
      </c>
      <c r="R722" s="54">
        <v>0</v>
      </c>
      <c r="S722" s="54">
        <v>3315.79</v>
      </c>
      <c r="T722" s="54">
        <v>1749.79</v>
      </c>
      <c r="U722" s="54">
        <v>6711.3</v>
      </c>
      <c r="V722" s="54">
        <v>8277.2999999999993</v>
      </c>
      <c r="W722" s="54">
        <v>6711.3</v>
      </c>
    </row>
    <row r="723" spans="1:23" outlineLevel="2" x14ac:dyDescent="0.2">
      <c r="A723" s="21" t="s">
        <v>0</v>
      </c>
      <c r="B723" s="21" t="s">
        <v>39</v>
      </c>
      <c r="C723" s="21" t="s">
        <v>40</v>
      </c>
      <c r="D723" s="21" t="s">
        <v>41</v>
      </c>
      <c r="E723" s="21" t="s">
        <v>42</v>
      </c>
      <c r="F723" s="21" t="s">
        <v>5</v>
      </c>
      <c r="G723" s="21" t="s">
        <v>6</v>
      </c>
      <c r="H723" s="21" t="s">
        <v>35</v>
      </c>
      <c r="I723" s="21" t="s">
        <v>36</v>
      </c>
      <c r="J723" s="21" t="s">
        <v>9</v>
      </c>
      <c r="K723" s="21" t="s">
        <v>385</v>
      </c>
      <c r="L723" s="21" t="s">
        <v>399</v>
      </c>
      <c r="M723" s="21" t="s">
        <v>15</v>
      </c>
      <c r="N723" s="54">
        <v>15506.16</v>
      </c>
      <c r="O723" s="54">
        <v>0</v>
      </c>
      <c r="P723" s="54">
        <v>0</v>
      </c>
      <c r="Q723" s="54">
        <v>15506.16</v>
      </c>
      <c r="R723" s="54">
        <v>0</v>
      </c>
      <c r="S723" s="54">
        <v>3050.88</v>
      </c>
      <c r="T723" s="54">
        <v>2145.46</v>
      </c>
      <c r="U723" s="54">
        <v>12455.28</v>
      </c>
      <c r="V723" s="54">
        <v>13360.7</v>
      </c>
      <c r="W723" s="54">
        <v>12455.28</v>
      </c>
    </row>
    <row r="724" spans="1:23" outlineLevel="2" x14ac:dyDescent="0.2">
      <c r="A724" s="21" t="s">
        <v>0</v>
      </c>
      <c r="B724" s="21" t="s">
        <v>1</v>
      </c>
      <c r="C724" s="21" t="s">
        <v>99</v>
      </c>
      <c r="D724" s="21" t="s">
        <v>100</v>
      </c>
      <c r="E724" s="21" t="s">
        <v>101</v>
      </c>
      <c r="F724" s="21" t="s">
        <v>5</v>
      </c>
      <c r="G724" s="21" t="s">
        <v>6</v>
      </c>
      <c r="H724" s="21" t="s">
        <v>35</v>
      </c>
      <c r="I724" s="21" t="s">
        <v>36</v>
      </c>
      <c r="J724" s="21" t="s">
        <v>9</v>
      </c>
      <c r="K724" s="21" t="s">
        <v>385</v>
      </c>
      <c r="L724" s="21" t="s">
        <v>395</v>
      </c>
      <c r="M724" s="21" t="s">
        <v>15</v>
      </c>
      <c r="N724" s="54">
        <v>10913.5</v>
      </c>
      <c r="O724" s="54">
        <v>5100</v>
      </c>
      <c r="P724" s="54">
        <v>0</v>
      </c>
      <c r="Q724" s="54">
        <v>16013.5</v>
      </c>
      <c r="R724" s="54">
        <v>0</v>
      </c>
      <c r="S724" s="54">
        <v>15542.14</v>
      </c>
      <c r="T724" s="54">
        <v>15542.14</v>
      </c>
      <c r="U724" s="54">
        <v>471.36</v>
      </c>
      <c r="V724" s="54">
        <v>471.36</v>
      </c>
      <c r="W724" s="54">
        <v>471.36</v>
      </c>
    </row>
    <row r="725" spans="1:23" outlineLevel="2" x14ac:dyDescent="0.2">
      <c r="A725" s="21" t="s">
        <v>0</v>
      </c>
      <c r="B725" s="21" t="s">
        <v>39</v>
      </c>
      <c r="C725" s="21" t="s">
        <v>58</v>
      </c>
      <c r="D725" s="21" t="s">
        <v>119</v>
      </c>
      <c r="E725" s="21" t="s">
        <v>120</v>
      </c>
      <c r="F725" s="21" t="s">
        <v>5</v>
      </c>
      <c r="G725" s="21" t="s">
        <v>6</v>
      </c>
      <c r="H725" s="21" t="s">
        <v>35</v>
      </c>
      <c r="I725" s="21" t="s">
        <v>36</v>
      </c>
      <c r="J725" s="21" t="s">
        <v>9</v>
      </c>
      <c r="K725" s="21" t="s">
        <v>385</v>
      </c>
      <c r="L725" s="21" t="s">
        <v>386</v>
      </c>
      <c r="M725" s="21" t="s">
        <v>15</v>
      </c>
      <c r="N725" s="54">
        <v>7619.89</v>
      </c>
      <c r="O725" s="54">
        <v>-900</v>
      </c>
      <c r="P725" s="54">
        <v>0</v>
      </c>
      <c r="Q725" s="54">
        <v>6719.89</v>
      </c>
      <c r="R725" s="54">
        <v>0</v>
      </c>
      <c r="S725" s="54">
        <v>3225.25</v>
      </c>
      <c r="T725" s="54">
        <v>3225.25</v>
      </c>
      <c r="U725" s="54">
        <v>3494.64</v>
      </c>
      <c r="V725" s="54">
        <v>3494.64</v>
      </c>
      <c r="W725" s="54">
        <v>3494.64</v>
      </c>
    </row>
    <row r="726" spans="1:23" outlineLevel="2" x14ac:dyDescent="0.2">
      <c r="A726" s="21" t="s">
        <v>0</v>
      </c>
      <c r="B726" s="21" t="s">
        <v>31</v>
      </c>
      <c r="C726" s="21" t="s">
        <v>79</v>
      </c>
      <c r="D726" s="21" t="s">
        <v>125</v>
      </c>
      <c r="E726" s="21" t="s">
        <v>126</v>
      </c>
      <c r="F726" s="21" t="s">
        <v>5</v>
      </c>
      <c r="G726" s="21" t="s">
        <v>6</v>
      </c>
      <c r="H726" s="21" t="s">
        <v>35</v>
      </c>
      <c r="I726" s="21" t="s">
        <v>36</v>
      </c>
      <c r="J726" s="21" t="s">
        <v>9</v>
      </c>
      <c r="K726" s="21" t="s">
        <v>385</v>
      </c>
      <c r="L726" s="21" t="s">
        <v>387</v>
      </c>
      <c r="M726" s="21" t="s">
        <v>15</v>
      </c>
      <c r="N726" s="54">
        <v>8295.93</v>
      </c>
      <c r="O726" s="54">
        <v>0</v>
      </c>
      <c r="P726" s="54">
        <v>0</v>
      </c>
      <c r="Q726" s="54">
        <v>8295.93</v>
      </c>
      <c r="R726" s="54">
        <v>0</v>
      </c>
      <c r="S726" s="54">
        <v>0</v>
      </c>
      <c r="T726" s="54">
        <v>0</v>
      </c>
      <c r="U726" s="54">
        <v>8295.93</v>
      </c>
      <c r="V726" s="54">
        <v>8295.93</v>
      </c>
      <c r="W726" s="54">
        <v>8295.93</v>
      </c>
    </row>
    <row r="727" spans="1:23" outlineLevel="2" x14ac:dyDescent="0.2">
      <c r="A727" s="21" t="s">
        <v>0</v>
      </c>
      <c r="B727" s="21" t="s">
        <v>1</v>
      </c>
      <c r="C727" s="21" t="s">
        <v>16</v>
      </c>
      <c r="D727" s="21" t="s">
        <v>62</v>
      </c>
      <c r="E727" s="21" t="s">
        <v>63</v>
      </c>
      <c r="F727" s="21" t="s">
        <v>5</v>
      </c>
      <c r="G727" s="21" t="s">
        <v>6</v>
      </c>
      <c r="H727" s="21" t="s">
        <v>35</v>
      </c>
      <c r="I727" s="21" t="s">
        <v>36</v>
      </c>
      <c r="J727" s="21" t="s">
        <v>9</v>
      </c>
      <c r="K727" s="21" t="s">
        <v>385</v>
      </c>
      <c r="L727" s="21" t="s">
        <v>391</v>
      </c>
      <c r="M727" s="21" t="s">
        <v>15</v>
      </c>
      <c r="N727" s="54">
        <v>1723.14</v>
      </c>
      <c r="O727" s="54">
        <v>0</v>
      </c>
      <c r="P727" s="54">
        <v>0</v>
      </c>
      <c r="Q727" s="54">
        <v>1723.14</v>
      </c>
      <c r="R727" s="54">
        <v>0</v>
      </c>
      <c r="S727" s="54">
        <v>0</v>
      </c>
      <c r="T727" s="54">
        <v>0</v>
      </c>
      <c r="U727" s="54">
        <v>1723.14</v>
      </c>
      <c r="V727" s="54">
        <v>1723.14</v>
      </c>
      <c r="W727" s="54">
        <v>1723.14</v>
      </c>
    </row>
    <row r="728" spans="1:23" outlineLevel="2" x14ac:dyDescent="0.2">
      <c r="A728" s="21" t="s">
        <v>0</v>
      </c>
      <c r="B728" s="21" t="s">
        <v>1</v>
      </c>
      <c r="C728" s="21" t="s">
        <v>16</v>
      </c>
      <c r="D728" s="21" t="s">
        <v>17</v>
      </c>
      <c r="E728" s="21" t="s">
        <v>18</v>
      </c>
      <c r="F728" s="21" t="s">
        <v>5</v>
      </c>
      <c r="G728" s="21" t="s">
        <v>6</v>
      </c>
      <c r="H728" s="21" t="s">
        <v>35</v>
      </c>
      <c r="I728" s="21" t="s">
        <v>36</v>
      </c>
      <c r="J728" s="21" t="s">
        <v>9</v>
      </c>
      <c r="K728" s="21" t="s">
        <v>385</v>
      </c>
      <c r="L728" s="21" t="s">
        <v>391</v>
      </c>
      <c r="M728" s="21" t="s">
        <v>15</v>
      </c>
      <c r="N728" s="54">
        <v>54598.63</v>
      </c>
      <c r="O728" s="54">
        <v>0</v>
      </c>
      <c r="P728" s="54">
        <v>0</v>
      </c>
      <c r="Q728" s="54">
        <v>54598.63</v>
      </c>
      <c r="R728" s="54">
        <v>0</v>
      </c>
      <c r="S728" s="54">
        <v>1834.9</v>
      </c>
      <c r="T728" s="54">
        <v>1834.9</v>
      </c>
      <c r="U728" s="54">
        <v>52763.73</v>
      </c>
      <c r="V728" s="54">
        <v>52763.73</v>
      </c>
      <c r="W728" s="54">
        <v>52763.73</v>
      </c>
    </row>
    <row r="729" spans="1:23" outlineLevel="2" x14ac:dyDescent="0.2">
      <c r="A729" s="21" t="s">
        <v>0</v>
      </c>
      <c r="B729" s="21" t="s">
        <v>1</v>
      </c>
      <c r="C729" s="21" t="s">
        <v>16</v>
      </c>
      <c r="D729" s="21" t="s">
        <v>103</v>
      </c>
      <c r="E729" s="21" t="s">
        <v>104</v>
      </c>
      <c r="F729" s="21" t="s">
        <v>5</v>
      </c>
      <c r="G729" s="21" t="s">
        <v>6</v>
      </c>
      <c r="H729" s="21" t="s">
        <v>35</v>
      </c>
      <c r="I729" s="21" t="s">
        <v>36</v>
      </c>
      <c r="J729" s="21" t="s">
        <v>9</v>
      </c>
      <c r="K729" s="21" t="s">
        <v>385</v>
      </c>
      <c r="L729" s="21" t="s">
        <v>391</v>
      </c>
      <c r="M729" s="21" t="s">
        <v>15</v>
      </c>
      <c r="N729" s="54">
        <v>32479.54</v>
      </c>
      <c r="O729" s="54">
        <v>0</v>
      </c>
      <c r="P729" s="54">
        <v>0</v>
      </c>
      <c r="Q729" s="54">
        <v>32479.54</v>
      </c>
      <c r="R729" s="54">
        <v>0</v>
      </c>
      <c r="S729" s="54">
        <v>2150</v>
      </c>
      <c r="T729" s="54">
        <v>2150</v>
      </c>
      <c r="U729" s="54">
        <v>30329.54</v>
      </c>
      <c r="V729" s="54">
        <v>30329.54</v>
      </c>
      <c r="W729" s="54">
        <v>30329.54</v>
      </c>
    </row>
    <row r="730" spans="1:23" outlineLevel="2" x14ac:dyDescent="0.2">
      <c r="A730" s="21" t="s">
        <v>402</v>
      </c>
      <c r="B730" s="21" t="s">
        <v>31</v>
      </c>
      <c r="C730" s="21" t="s">
        <v>79</v>
      </c>
      <c r="D730" s="21" t="s">
        <v>125</v>
      </c>
      <c r="E730" s="21" t="s">
        <v>126</v>
      </c>
      <c r="F730" s="21" t="s">
        <v>5</v>
      </c>
      <c r="G730" s="21" t="s">
        <v>6</v>
      </c>
      <c r="H730" s="21" t="s">
        <v>7</v>
      </c>
      <c r="I730" s="21" t="s">
        <v>8</v>
      </c>
      <c r="J730" s="21" t="s">
        <v>403</v>
      </c>
      <c r="K730" s="21" t="s">
        <v>404</v>
      </c>
      <c r="L730" s="21" t="s">
        <v>405</v>
      </c>
      <c r="M730" s="21" t="s">
        <v>12</v>
      </c>
      <c r="N730" s="54">
        <v>6000</v>
      </c>
      <c r="O730" s="54">
        <v>0</v>
      </c>
      <c r="P730" s="54">
        <v>0</v>
      </c>
      <c r="Q730" s="54">
        <v>6000</v>
      </c>
      <c r="R730" s="54">
        <v>0</v>
      </c>
      <c r="S730" s="54">
        <v>5210.12</v>
      </c>
      <c r="T730" s="54">
        <v>1572.62</v>
      </c>
      <c r="U730" s="54">
        <v>789.88</v>
      </c>
      <c r="V730" s="54">
        <v>4427.38</v>
      </c>
      <c r="W730" s="54">
        <v>789.88</v>
      </c>
    </row>
    <row r="731" spans="1:23" outlineLevel="2" x14ac:dyDescent="0.2">
      <c r="A731" s="21" t="s">
        <v>402</v>
      </c>
      <c r="B731" s="21" t="s">
        <v>1</v>
      </c>
      <c r="C731" s="21" t="s">
        <v>91</v>
      </c>
      <c r="D731" s="21" t="s">
        <v>92</v>
      </c>
      <c r="E731" s="21" t="s">
        <v>93</v>
      </c>
      <c r="F731" s="21" t="s">
        <v>5</v>
      </c>
      <c r="G731" s="21" t="s">
        <v>6</v>
      </c>
      <c r="H731" s="21" t="s">
        <v>7</v>
      </c>
      <c r="I731" s="21" t="s">
        <v>8</v>
      </c>
      <c r="J731" s="21" t="s">
        <v>403</v>
      </c>
      <c r="K731" s="21" t="s">
        <v>404</v>
      </c>
      <c r="L731" s="21" t="s">
        <v>413</v>
      </c>
      <c r="M731" s="21" t="s">
        <v>15</v>
      </c>
      <c r="N731" s="54">
        <v>4150.6899999999996</v>
      </c>
      <c r="O731" s="54">
        <v>4000</v>
      </c>
      <c r="P731" s="54">
        <v>0</v>
      </c>
      <c r="Q731" s="54">
        <v>8150.69</v>
      </c>
      <c r="R731" s="54">
        <v>0</v>
      </c>
      <c r="S731" s="54">
        <v>8150.69</v>
      </c>
      <c r="T731" s="54">
        <v>3607.11</v>
      </c>
      <c r="U731" s="54">
        <v>0</v>
      </c>
      <c r="V731" s="54">
        <v>4543.58</v>
      </c>
      <c r="W731" s="54">
        <v>0</v>
      </c>
    </row>
    <row r="732" spans="1:23" outlineLevel="2" x14ac:dyDescent="0.2">
      <c r="A732" s="21" t="s">
        <v>402</v>
      </c>
      <c r="B732" s="21" t="s">
        <v>31</v>
      </c>
      <c r="C732" s="21" t="s">
        <v>79</v>
      </c>
      <c r="D732" s="21" t="s">
        <v>131</v>
      </c>
      <c r="E732" s="21" t="s">
        <v>132</v>
      </c>
      <c r="F732" s="21" t="s">
        <v>5</v>
      </c>
      <c r="G732" s="21" t="s">
        <v>6</v>
      </c>
      <c r="H732" s="21" t="s">
        <v>7</v>
      </c>
      <c r="I732" s="21" t="s">
        <v>8</v>
      </c>
      <c r="J732" s="21" t="s">
        <v>403</v>
      </c>
      <c r="K732" s="21" t="s">
        <v>404</v>
      </c>
      <c r="L732" s="21" t="s">
        <v>405</v>
      </c>
      <c r="M732" s="21" t="s">
        <v>12</v>
      </c>
      <c r="N732" s="54">
        <v>14000</v>
      </c>
      <c r="O732" s="54">
        <v>0</v>
      </c>
      <c r="P732" s="54">
        <v>0</v>
      </c>
      <c r="Q732" s="54">
        <v>14000</v>
      </c>
      <c r="R732" s="54">
        <v>0</v>
      </c>
      <c r="S732" s="54">
        <v>14000</v>
      </c>
      <c r="T732" s="54">
        <v>8078.7</v>
      </c>
      <c r="U732" s="54">
        <v>0</v>
      </c>
      <c r="V732" s="54">
        <v>5921.3</v>
      </c>
      <c r="W732" s="54">
        <v>0</v>
      </c>
    </row>
    <row r="733" spans="1:23" outlineLevel="2" x14ac:dyDescent="0.2">
      <c r="A733" s="21" t="s">
        <v>402</v>
      </c>
      <c r="B733" s="21" t="s">
        <v>31</v>
      </c>
      <c r="C733" s="21" t="s">
        <v>32</v>
      </c>
      <c r="D733" s="21" t="s">
        <v>123</v>
      </c>
      <c r="E733" s="21" t="s">
        <v>124</v>
      </c>
      <c r="F733" s="21" t="s">
        <v>5</v>
      </c>
      <c r="G733" s="21" t="s">
        <v>6</v>
      </c>
      <c r="H733" s="21" t="s">
        <v>7</v>
      </c>
      <c r="I733" s="21" t="s">
        <v>8</v>
      </c>
      <c r="J733" s="21" t="s">
        <v>403</v>
      </c>
      <c r="K733" s="21" t="s">
        <v>404</v>
      </c>
      <c r="L733" s="21" t="s">
        <v>407</v>
      </c>
      <c r="M733" s="21" t="s">
        <v>12</v>
      </c>
      <c r="N733" s="54">
        <v>7016</v>
      </c>
      <c r="O733" s="54">
        <v>0</v>
      </c>
      <c r="P733" s="54">
        <v>0</v>
      </c>
      <c r="Q733" s="54">
        <v>7016</v>
      </c>
      <c r="R733" s="54">
        <v>0</v>
      </c>
      <c r="S733" s="54">
        <v>7016</v>
      </c>
      <c r="T733" s="54">
        <v>5444.23</v>
      </c>
      <c r="U733" s="54">
        <v>0</v>
      </c>
      <c r="V733" s="54">
        <v>1571.77</v>
      </c>
      <c r="W733" s="54">
        <v>0</v>
      </c>
    </row>
    <row r="734" spans="1:23" outlineLevel="2" x14ac:dyDescent="0.2">
      <c r="A734" s="21" t="s">
        <v>402</v>
      </c>
      <c r="B734" s="21" t="s">
        <v>31</v>
      </c>
      <c r="C734" s="21" t="s">
        <v>79</v>
      </c>
      <c r="D734" s="21" t="s">
        <v>127</v>
      </c>
      <c r="E734" s="21" t="s">
        <v>128</v>
      </c>
      <c r="F734" s="21" t="s">
        <v>5</v>
      </c>
      <c r="G734" s="21" t="s">
        <v>6</v>
      </c>
      <c r="H734" s="21" t="s">
        <v>7</v>
      </c>
      <c r="I734" s="21" t="s">
        <v>8</v>
      </c>
      <c r="J734" s="21" t="s">
        <v>403</v>
      </c>
      <c r="K734" s="21" t="s">
        <v>404</v>
      </c>
      <c r="L734" s="21" t="s">
        <v>405</v>
      </c>
      <c r="M734" s="21" t="s">
        <v>12</v>
      </c>
      <c r="N734" s="54">
        <v>16000</v>
      </c>
      <c r="O734" s="54">
        <v>0</v>
      </c>
      <c r="P734" s="54">
        <v>0</v>
      </c>
      <c r="Q734" s="54">
        <v>16000</v>
      </c>
      <c r="R734" s="54">
        <v>0</v>
      </c>
      <c r="S734" s="54">
        <v>16000</v>
      </c>
      <c r="T734" s="54">
        <v>8308.9599999999991</v>
      </c>
      <c r="U734" s="54">
        <v>0</v>
      </c>
      <c r="V734" s="54">
        <v>7691.04</v>
      </c>
      <c r="W734" s="54">
        <v>0</v>
      </c>
    </row>
    <row r="735" spans="1:23" outlineLevel="2" x14ac:dyDescent="0.2">
      <c r="A735" s="21" t="s">
        <v>402</v>
      </c>
      <c r="B735" s="21" t="s">
        <v>39</v>
      </c>
      <c r="C735" s="21" t="s">
        <v>58</v>
      </c>
      <c r="D735" s="21" t="s">
        <v>137</v>
      </c>
      <c r="E735" s="21" t="s">
        <v>138</v>
      </c>
      <c r="F735" s="21" t="s">
        <v>5</v>
      </c>
      <c r="G735" s="21" t="s">
        <v>6</v>
      </c>
      <c r="H735" s="21" t="s">
        <v>7</v>
      </c>
      <c r="I735" s="21" t="s">
        <v>8</v>
      </c>
      <c r="J735" s="21" t="s">
        <v>403</v>
      </c>
      <c r="K735" s="21" t="s">
        <v>404</v>
      </c>
      <c r="L735" s="21" t="s">
        <v>406</v>
      </c>
      <c r="M735" s="21" t="s">
        <v>12</v>
      </c>
      <c r="N735" s="54">
        <v>12000</v>
      </c>
      <c r="O735" s="54">
        <v>0</v>
      </c>
      <c r="P735" s="54">
        <v>0</v>
      </c>
      <c r="Q735" s="54">
        <v>12000</v>
      </c>
      <c r="R735" s="54">
        <v>0</v>
      </c>
      <c r="S735" s="54">
        <v>12000</v>
      </c>
      <c r="T735" s="54">
        <v>7724.5</v>
      </c>
      <c r="U735" s="54">
        <v>0</v>
      </c>
      <c r="V735" s="54">
        <v>4275.5</v>
      </c>
      <c r="W735" s="54">
        <v>0</v>
      </c>
    </row>
    <row r="736" spans="1:23" outlineLevel="2" x14ac:dyDescent="0.2">
      <c r="A736" s="21" t="s">
        <v>402</v>
      </c>
      <c r="B736" s="21" t="s">
        <v>31</v>
      </c>
      <c r="C736" s="21" t="s">
        <v>32</v>
      </c>
      <c r="D736" s="21" t="s">
        <v>75</v>
      </c>
      <c r="E736" s="21" t="s">
        <v>76</v>
      </c>
      <c r="F736" s="21" t="s">
        <v>5</v>
      </c>
      <c r="G736" s="21" t="s">
        <v>6</v>
      </c>
      <c r="H736" s="21" t="s">
        <v>7</v>
      </c>
      <c r="I736" s="21" t="s">
        <v>8</v>
      </c>
      <c r="J736" s="21" t="s">
        <v>403</v>
      </c>
      <c r="K736" s="21" t="s">
        <v>404</v>
      </c>
      <c r="L736" s="21" t="s">
        <v>407</v>
      </c>
      <c r="M736" s="21" t="s">
        <v>12</v>
      </c>
      <c r="N736" s="54">
        <v>9000</v>
      </c>
      <c r="O736" s="54">
        <v>0</v>
      </c>
      <c r="P736" s="54">
        <v>0</v>
      </c>
      <c r="Q736" s="54">
        <v>9000</v>
      </c>
      <c r="R736" s="54">
        <v>0</v>
      </c>
      <c r="S736" s="54">
        <v>9000</v>
      </c>
      <c r="T736" s="54">
        <v>3721.1</v>
      </c>
      <c r="U736" s="54">
        <v>0</v>
      </c>
      <c r="V736" s="54">
        <v>5278.9</v>
      </c>
      <c r="W736" s="54">
        <v>0</v>
      </c>
    </row>
    <row r="737" spans="1:23" outlineLevel="2" x14ac:dyDescent="0.2">
      <c r="A737" s="21" t="s">
        <v>402</v>
      </c>
      <c r="B737" s="21" t="s">
        <v>31</v>
      </c>
      <c r="C737" s="21" t="s">
        <v>79</v>
      </c>
      <c r="D737" s="21" t="s">
        <v>117</v>
      </c>
      <c r="E737" s="21" t="s">
        <v>118</v>
      </c>
      <c r="F737" s="21" t="s">
        <v>5</v>
      </c>
      <c r="G737" s="21" t="s">
        <v>6</v>
      </c>
      <c r="H737" s="21" t="s">
        <v>7</v>
      </c>
      <c r="I737" s="21" t="s">
        <v>8</v>
      </c>
      <c r="J737" s="21" t="s">
        <v>403</v>
      </c>
      <c r="K737" s="21" t="s">
        <v>404</v>
      </c>
      <c r="L737" s="21" t="s">
        <v>405</v>
      </c>
      <c r="M737" s="21" t="s">
        <v>12</v>
      </c>
      <c r="N737" s="54">
        <v>24300</v>
      </c>
      <c r="O737" s="54">
        <v>0</v>
      </c>
      <c r="P737" s="54">
        <v>0</v>
      </c>
      <c r="Q737" s="54">
        <v>24300</v>
      </c>
      <c r="R737" s="54">
        <v>0</v>
      </c>
      <c r="S737" s="54">
        <v>24300</v>
      </c>
      <c r="T737" s="54">
        <v>9212.27</v>
      </c>
      <c r="U737" s="54">
        <v>0</v>
      </c>
      <c r="V737" s="54">
        <v>15087.73</v>
      </c>
      <c r="W737" s="54">
        <v>0</v>
      </c>
    </row>
    <row r="738" spans="1:23" outlineLevel="2" x14ac:dyDescent="0.2">
      <c r="A738" s="21" t="s">
        <v>402</v>
      </c>
      <c r="B738" s="21" t="s">
        <v>31</v>
      </c>
      <c r="C738" s="21" t="s">
        <v>32</v>
      </c>
      <c r="D738" s="21" t="s">
        <v>33</v>
      </c>
      <c r="E738" s="21" t="s">
        <v>34</v>
      </c>
      <c r="F738" s="21" t="s">
        <v>5</v>
      </c>
      <c r="G738" s="21" t="s">
        <v>6</v>
      </c>
      <c r="H738" s="21" t="s">
        <v>7</v>
      </c>
      <c r="I738" s="21" t="s">
        <v>8</v>
      </c>
      <c r="J738" s="21" t="s">
        <v>403</v>
      </c>
      <c r="K738" s="21" t="s">
        <v>404</v>
      </c>
      <c r="L738" s="21" t="s">
        <v>407</v>
      </c>
      <c r="M738" s="21" t="s">
        <v>12</v>
      </c>
      <c r="N738" s="54">
        <v>12200</v>
      </c>
      <c r="O738" s="54">
        <v>0</v>
      </c>
      <c r="P738" s="54">
        <v>0</v>
      </c>
      <c r="Q738" s="54">
        <v>12200</v>
      </c>
      <c r="R738" s="54">
        <v>0</v>
      </c>
      <c r="S738" s="54">
        <v>6280.07</v>
      </c>
      <c r="T738" s="54">
        <v>6280.07</v>
      </c>
      <c r="U738" s="54">
        <v>5919.93</v>
      </c>
      <c r="V738" s="54">
        <v>5919.93</v>
      </c>
      <c r="W738" s="54">
        <v>5919.93</v>
      </c>
    </row>
    <row r="739" spans="1:23" outlineLevel="2" x14ac:dyDescent="0.2">
      <c r="A739" s="21" t="s">
        <v>402</v>
      </c>
      <c r="B739" s="21" t="s">
        <v>39</v>
      </c>
      <c r="C739" s="21" t="s">
        <v>70</v>
      </c>
      <c r="D739" s="21" t="s">
        <v>89</v>
      </c>
      <c r="E739" s="21" t="s">
        <v>90</v>
      </c>
      <c r="F739" s="21" t="s">
        <v>5</v>
      </c>
      <c r="G739" s="21" t="s">
        <v>6</v>
      </c>
      <c r="H739" s="21" t="s">
        <v>7</v>
      </c>
      <c r="I739" s="21" t="s">
        <v>8</v>
      </c>
      <c r="J739" s="21" t="s">
        <v>403</v>
      </c>
      <c r="K739" s="21" t="s">
        <v>404</v>
      </c>
      <c r="L739" s="21" t="s">
        <v>414</v>
      </c>
      <c r="M739" s="21" t="s">
        <v>12</v>
      </c>
      <c r="N739" s="54">
        <v>50000</v>
      </c>
      <c r="O739" s="54">
        <v>0</v>
      </c>
      <c r="P739" s="54">
        <v>0</v>
      </c>
      <c r="Q739" s="54">
        <v>50000</v>
      </c>
      <c r="R739" s="54">
        <v>0</v>
      </c>
      <c r="S739" s="54">
        <v>50000</v>
      </c>
      <c r="T739" s="54">
        <v>41072.5</v>
      </c>
      <c r="U739" s="54">
        <v>0</v>
      </c>
      <c r="V739" s="54">
        <v>8927.5</v>
      </c>
      <c r="W739" s="54">
        <v>0</v>
      </c>
    </row>
    <row r="740" spans="1:23" outlineLevel="2" x14ac:dyDescent="0.2">
      <c r="A740" s="21" t="s">
        <v>402</v>
      </c>
      <c r="B740" s="21" t="s">
        <v>31</v>
      </c>
      <c r="C740" s="21" t="s">
        <v>79</v>
      </c>
      <c r="D740" s="21" t="s">
        <v>133</v>
      </c>
      <c r="E740" s="21" t="s">
        <v>134</v>
      </c>
      <c r="F740" s="21" t="s">
        <v>5</v>
      </c>
      <c r="G740" s="21" t="s">
        <v>6</v>
      </c>
      <c r="H740" s="21" t="s">
        <v>7</v>
      </c>
      <c r="I740" s="21" t="s">
        <v>8</v>
      </c>
      <c r="J740" s="21" t="s">
        <v>403</v>
      </c>
      <c r="K740" s="21" t="s">
        <v>404</v>
      </c>
      <c r="L740" s="21" t="s">
        <v>405</v>
      </c>
      <c r="M740" s="21" t="s">
        <v>12</v>
      </c>
      <c r="N740" s="54">
        <v>2700</v>
      </c>
      <c r="O740" s="54">
        <v>0</v>
      </c>
      <c r="P740" s="54">
        <v>0</v>
      </c>
      <c r="Q740" s="54">
        <v>2700</v>
      </c>
      <c r="R740" s="54">
        <v>0</v>
      </c>
      <c r="S740" s="54">
        <v>2700</v>
      </c>
      <c r="T740" s="54">
        <v>905.68</v>
      </c>
      <c r="U740" s="54">
        <v>0</v>
      </c>
      <c r="V740" s="54">
        <v>1794.32</v>
      </c>
      <c r="W740" s="54">
        <v>0</v>
      </c>
    </row>
    <row r="741" spans="1:23" outlineLevel="2" x14ac:dyDescent="0.2">
      <c r="A741" s="21" t="s">
        <v>402</v>
      </c>
      <c r="B741" s="21" t="s">
        <v>39</v>
      </c>
      <c r="C741" s="21" t="s">
        <v>58</v>
      </c>
      <c r="D741" s="21" t="s">
        <v>59</v>
      </c>
      <c r="E741" s="21" t="s">
        <v>60</v>
      </c>
      <c r="F741" s="21" t="s">
        <v>5</v>
      </c>
      <c r="G741" s="21" t="s">
        <v>6</v>
      </c>
      <c r="H741" s="21" t="s">
        <v>7</v>
      </c>
      <c r="I741" s="21" t="s">
        <v>8</v>
      </c>
      <c r="J741" s="21" t="s">
        <v>403</v>
      </c>
      <c r="K741" s="21" t="s">
        <v>404</v>
      </c>
      <c r="L741" s="21" t="s">
        <v>406</v>
      </c>
      <c r="M741" s="21" t="s">
        <v>12</v>
      </c>
      <c r="N741" s="54">
        <v>10000</v>
      </c>
      <c r="O741" s="54">
        <v>0</v>
      </c>
      <c r="P741" s="54">
        <v>0</v>
      </c>
      <c r="Q741" s="54">
        <v>10000</v>
      </c>
      <c r="R741" s="54">
        <v>0</v>
      </c>
      <c r="S741" s="54">
        <v>6000</v>
      </c>
      <c r="T741" s="54">
        <v>2987.7</v>
      </c>
      <c r="U741" s="54">
        <v>4000</v>
      </c>
      <c r="V741" s="54">
        <v>7012.3</v>
      </c>
      <c r="W741" s="54">
        <v>4000</v>
      </c>
    </row>
    <row r="742" spans="1:23" outlineLevel="2" x14ac:dyDescent="0.2">
      <c r="A742" s="21" t="s">
        <v>402</v>
      </c>
      <c r="B742" s="21" t="s">
        <v>31</v>
      </c>
      <c r="C742" s="21" t="s">
        <v>79</v>
      </c>
      <c r="D742" s="21" t="s">
        <v>80</v>
      </c>
      <c r="E742" s="21" t="s">
        <v>81</v>
      </c>
      <c r="F742" s="21" t="s">
        <v>5</v>
      </c>
      <c r="G742" s="21" t="s">
        <v>6</v>
      </c>
      <c r="H742" s="21" t="s">
        <v>7</v>
      </c>
      <c r="I742" s="21" t="s">
        <v>8</v>
      </c>
      <c r="J742" s="21" t="s">
        <v>403</v>
      </c>
      <c r="K742" s="21" t="s">
        <v>404</v>
      </c>
      <c r="L742" s="21" t="s">
        <v>405</v>
      </c>
      <c r="M742" s="21" t="s">
        <v>12</v>
      </c>
      <c r="N742" s="54">
        <v>15000</v>
      </c>
      <c r="O742" s="54">
        <v>0</v>
      </c>
      <c r="P742" s="54">
        <v>0</v>
      </c>
      <c r="Q742" s="54">
        <v>15000</v>
      </c>
      <c r="R742" s="54">
        <v>0</v>
      </c>
      <c r="S742" s="54">
        <v>15000</v>
      </c>
      <c r="T742" s="54">
        <v>4947.5600000000004</v>
      </c>
      <c r="U742" s="54">
        <v>0</v>
      </c>
      <c r="V742" s="54">
        <v>10052.44</v>
      </c>
      <c r="W742" s="54">
        <v>0</v>
      </c>
    </row>
    <row r="743" spans="1:23" outlineLevel="2" x14ac:dyDescent="0.2">
      <c r="A743" s="21" t="s">
        <v>402</v>
      </c>
      <c r="B743" s="21" t="s">
        <v>39</v>
      </c>
      <c r="C743" s="21" t="s">
        <v>58</v>
      </c>
      <c r="D743" s="21" t="s">
        <v>143</v>
      </c>
      <c r="E743" s="21" t="s">
        <v>144</v>
      </c>
      <c r="F743" s="21" t="s">
        <v>5</v>
      </c>
      <c r="G743" s="21" t="s">
        <v>6</v>
      </c>
      <c r="H743" s="21" t="s">
        <v>7</v>
      </c>
      <c r="I743" s="21" t="s">
        <v>8</v>
      </c>
      <c r="J743" s="21" t="s">
        <v>403</v>
      </c>
      <c r="K743" s="21" t="s">
        <v>404</v>
      </c>
      <c r="L743" s="21" t="s">
        <v>406</v>
      </c>
      <c r="M743" s="21" t="s">
        <v>12</v>
      </c>
      <c r="N743" s="54">
        <v>8500</v>
      </c>
      <c r="O743" s="54">
        <v>3500</v>
      </c>
      <c r="P743" s="54">
        <v>0</v>
      </c>
      <c r="Q743" s="54">
        <v>12000</v>
      </c>
      <c r="R743" s="54">
        <v>0</v>
      </c>
      <c r="S743" s="54">
        <v>7828.74</v>
      </c>
      <c r="T743" s="54">
        <v>7828.74</v>
      </c>
      <c r="U743" s="54">
        <v>4171.26</v>
      </c>
      <c r="V743" s="54">
        <v>4171.26</v>
      </c>
      <c r="W743" s="54">
        <v>4171.26</v>
      </c>
    </row>
    <row r="744" spans="1:23" outlineLevel="2" x14ac:dyDescent="0.2">
      <c r="A744" s="21" t="s">
        <v>402</v>
      </c>
      <c r="B744" s="21" t="s">
        <v>31</v>
      </c>
      <c r="C744" s="21" t="s">
        <v>79</v>
      </c>
      <c r="D744" s="21" t="s">
        <v>113</v>
      </c>
      <c r="E744" s="21" t="s">
        <v>114</v>
      </c>
      <c r="F744" s="21" t="s">
        <v>5</v>
      </c>
      <c r="G744" s="21" t="s">
        <v>6</v>
      </c>
      <c r="H744" s="21" t="s">
        <v>7</v>
      </c>
      <c r="I744" s="21" t="s">
        <v>8</v>
      </c>
      <c r="J744" s="21" t="s">
        <v>403</v>
      </c>
      <c r="K744" s="21" t="s">
        <v>404</v>
      </c>
      <c r="L744" s="21" t="s">
        <v>405</v>
      </c>
      <c r="M744" s="21" t="s">
        <v>12</v>
      </c>
      <c r="N744" s="54">
        <v>10000</v>
      </c>
      <c r="O744" s="54">
        <v>0</v>
      </c>
      <c r="P744" s="54">
        <v>0</v>
      </c>
      <c r="Q744" s="54">
        <v>10000</v>
      </c>
      <c r="R744" s="54">
        <v>0</v>
      </c>
      <c r="S744" s="54">
        <v>0</v>
      </c>
      <c r="T744" s="54">
        <v>0</v>
      </c>
      <c r="U744" s="54">
        <v>10000</v>
      </c>
      <c r="V744" s="54">
        <v>10000</v>
      </c>
      <c r="W744" s="54">
        <v>10000</v>
      </c>
    </row>
    <row r="745" spans="1:23" outlineLevel="2" x14ac:dyDescent="0.2">
      <c r="A745" s="21" t="s">
        <v>402</v>
      </c>
      <c r="B745" s="21" t="s">
        <v>39</v>
      </c>
      <c r="C745" s="21" t="s">
        <v>58</v>
      </c>
      <c r="D745" s="21" t="s">
        <v>149</v>
      </c>
      <c r="E745" s="21" t="s">
        <v>150</v>
      </c>
      <c r="F745" s="21" t="s">
        <v>5</v>
      </c>
      <c r="G745" s="21" t="s">
        <v>6</v>
      </c>
      <c r="H745" s="21" t="s">
        <v>7</v>
      </c>
      <c r="I745" s="21" t="s">
        <v>8</v>
      </c>
      <c r="J745" s="21" t="s">
        <v>403</v>
      </c>
      <c r="K745" s="21" t="s">
        <v>404</v>
      </c>
      <c r="L745" s="21" t="s">
        <v>406</v>
      </c>
      <c r="M745" s="21" t="s">
        <v>12</v>
      </c>
      <c r="N745" s="54">
        <v>33000</v>
      </c>
      <c r="O745" s="54">
        <v>-7950.88</v>
      </c>
      <c r="P745" s="54">
        <v>0</v>
      </c>
      <c r="Q745" s="54">
        <v>25049.119999999999</v>
      </c>
      <c r="R745" s="54">
        <v>0</v>
      </c>
      <c r="S745" s="54">
        <v>25049.119999999999</v>
      </c>
      <c r="T745" s="54">
        <v>20554.849999999999</v>
      </c>
      <c r="U745" s="54">
        <v>0</v>
      </c>
      <c r="V745" s="54">
        <v>4494.2700000000004</v>
      </c>
      <c r="W745" s="54">
        <v>0</v>
      </c>
    </row>
    <row r="746" spans="1:23" outlineLevel="2" x14ac:dyDescent="0.2">
      <c r="A746" s="21" t="s">
        <v>402</v>
      </c>
      <c r="B746" s="21" t="s">
        <v>1</v>
      </c>
      <c r="C746" s="21" t="s">
        <v>2</v>
      </c>
      <c r="D746" s="21" t="s">
        <v>3</v>
      </c>
      <c r="E746" s="21" t="s">
        <v>4</v>
      </c>
      <c r="F746" s="21" t="s">
        <v>5</v>
      </c>
      <c r="G746" s="21" t="s">
        <v>6</v>
      </c>
      <c r="H746" s="21" t="s">
        <v>7</v>
      </c>
      <c r="I746" s="21" t="s">
        <v>8</v>
      </c>
      <c r="J746" s="21" t="s">
        <v>403</v>
      </c>
      <c r="K746" s="21" t="s">
        <v>404</v>
      </c>
      <c r="L746" s="21" t="s">
        <v>408</v>
      </c>
      <c r="M746" s="21" t="s">
        <v>15</v>
      </c>
      <c r="N746" s="54">
        <v>6000</v>
      </c>
      <c r="O746" s="54">
        <v>-3000</v>
      </c>
      <c r="P746" s="54">
        <v>0</v>
      </c>
      <c r="Q746" s="54">
        <v>3000</v>
      </c>
      <c r="R746" s="54">
        <v>0</v>
      </c>
      <c r="S746" s="54">
        <v>2136.7399999999998</v>
      </c>
      <c r="T746" s="54">
        <v>1477.08</v>
      </c>
      <c r="U746" s="54">
        <v>863.26</v>
      </c>
      <c r="V746" s="54">
        <v>1522.92</v>
      </c>
      <c r="W746" s="54">
        <v>863.26</v>
      </c>
    </row>
    <row r="747" spans="1:23" outlineLevel="2" x14ac:dyDescent="0.2">
      <c r="A747" s="21" t="s">
        <v>402</v>
      </c>
      <c r="B747" s="21" t="s">
        <v>39</v>
      </c>
      <c r="C747" s="21" t="s">
        <v>66</v>
      </c>
      <c r="D747" s="21" t="s">
        <v>67</v>
      </c>
      <c r="E747" s="21" t="s">
        <v>68</v>
      </c>
      <c r="F747" s="21" t="s">
        <v>5</v>
      </c>
      <c r="G747" s="21" t="s">
        <v>6</v>
      </c>
      <c r="H747" s="21" t="s">
        <v>7</v>
      </c>
      <c r="I747" s="21" t="s">
        <v>8</v>
      </c>
      <c r="J747" s="21" t="s">
        <v>403</v>
      </c>
      <c r="K747" s="21" t="s">
        <v>404</v>
      </c>
      <c r="L747" s="21" t="s">
        <v>412</v>
      </c>
      <c r="M747" s="21" t="s">
        <v>12</v>
      </c>
      <c r="N747" s="54">
        <v>3600</v>
      </c>
      <c r="O747" s="54">
        <v>0</v>
      </c>
      <c r="P747" s="54">
        <v>0</v>
      </c>
      <c r="Q747" s="54">
        <v>3600</v>
      </c>
      <c r="R747" s="54">
        <v>0</v>
      </c>
      <c r="S747" s="54">
        <v>3600</v>
      </c>
      <c r="T747" s="54">
        <v>1778.48</v>
      </c>
      <c r="U747" s="54">
        <v>0</v>
      </c>
      <c r="V747" s="54">
        <v>1821.52</v>
      </c>
      <c r="W747" s="54">
        <v>0</v>
      </c>
    </row>
    <row r="748" spans="1:23" outlineLevel="2" x14ac:dyDescent="0.2">
      <c r="A748" s="21" t="s">
        <v>402</v>
      </c>
      <c r="B748" s="21" t="s">
        <v>39</v>
      </c>
      <c r="C748" s="21" t="s">
        <v>58</v>
      </c>
      <c r="D748" s="21" t="s">
        <v>145</v>
      </c>
      <c r="E748" s="21" t="s">
        <v>146</v>
      </c>
      <c r="F748" s="21" t="s">
        <v>5</v>
      </c>
      <c r="G748" s="21" t="s">
        <v>6</v>
      </c>
      <c r="H748" s="21" t="s">
        <v>7</v>
      </c>
      <c r="I748" s="21" t="s">
        <v>8</v>
      </c>
      <c r="J748" s="21" t="s">
        <v>403</v>
      </c>
      <c r="K748" s="21" t="s">
        <v>404</v>
      </c>
      <c r="L748" s="21" t="s">
        <v>406</v>
      </c>
      <c r="M748" s="21" t="s">
        <v>12</v>
      </c>
      <c r="N748" s="54">
        <v>7000</v>
      </c>
      <c r="O748" s="54">
        <v>0</v>
      </c>
      <c r="P748" s="54">
        <v>0</v>
      </c>
      <c r="Q748" s="54">
        <v>7000</v>
      </c>
      <c r="R748" s="54">
        <v>0</v>
      </c>
      <c r="S748" s="54">
        <v>7000</v>
      </c>
      <c r="T748" s="54">
        <v>3876.48</v>
      </c>
      <c r="U748" s="54">
        <v>0</v>
      </c>
      <c r="V748" s="54">
        <v>3123.52</v>
      </c>
      <c r="W748" s="54">
        <v>0</v>
      </c>
    </row>
    <row r="749" spans="1:23" outlineLevel="2" x14ac:dyDescent="0.2">
      <c r="A749" s="21" t="s">
        <v>402</v>
      </c>
      <c r="B749" s="21" t="s">
        <v>39</v>
      </c>
      <c r="C749" s="21" t="s">
        <v>58</v>
      </c>
      <c r="D749" s="21" t="s">
        <v>147</v>
      </c>
      <c r="E749" s="21" t="s">
        <v>148</v>
      </c>
      <c r="F749" s="21" t="s">
        <v>5</v>
      </c>
      <c r="G749" s="21" t="s">
        <v>6</v>
      </c>
      <c r="H749" s="21" t="s">
        <v>7</v>
      </c>
      <c r="I749" s="21" t="s">
        <v>8</v>
      </c>
      <c r="J749" s="21" t="s">
        <v>403</v>
      </c>
      <c r="K749" s="21" t="s">
        <v>404</v>
      </c>
      <c r="L749" s="21" t="s">
        <v>406</v>
      </c>
      <c r="M749" s="21" t="s">
        <v>12</v>
      </c>
      <c r="N749" s="54">
        <v>10000</v>
      </c>
      <c r="O749" s="54">
        <v>14259</v>
      </c>
      <c r="P749" s="54">
        <v>0</v>
      </c>
      <c r="Q749" s="54">
        <v>24259</v>
      </c>
      <c r="R749" s="54">
        <v>0</v>
      </c>
      <c r="S749" s="54">
        <v>24259</v>
      </c>
      <c r="T749" s="54">
        <v>13900.63</v>
      </c>
      <c r="U749" s="54">
        <v>0</v>
      </c>
      <c r="V749" s="54">
        <v>10358.370000000001</v>
      </c>
      <c r="W749" s="54">
        <v>0</v>
      </c>
    </row>
    <row r="750" spans="1:23" outlineLevel="2" x14ac:dyDescent="0.2">
      <c r="A750" s="21" t="s">
        <v>402</v>
      </c>
      <c r="B750" s="21" t="s">
        <v>39</v>
      </c>
      <c r="C750" s="21" t="s">
        <v>40</v>
      </c>
      <c r="D750" s="21" t="s">
        <v>77</v>
      </c>
      <c r="E750" s="21" t="s">
        <v>78</v>
      </c>
      <c r="F750" s="21" t="s">
        <v>5</v>
      </c>
      <c r="G750" s="21" t="s">
        <v>6</v>
      </c>
      <c r="H750" s="21" t="s">
        <v>7</v>
      </c>
      <c r="I750" s="21" t="s">
        <v>8</v>
      </c>
      <c r="J750" s="21" t="s">
        <v>403</v>
      </c>
      <c r="K750" s="21" t="s">
        <v>404</v>
      </c>
      <c r="L750" s="21" t="s">
        <v>409</v>
      </c>
      <c r="M750" s="21" t="s">
        <v>12</v>
      </c>
      <c r="N750" s="54">
        <v>0</v>
      </c>
      <c r="O750" s="54">
        <v>28000</v>
      </c>
      <c r="P750" s="54">
        <v>0</v>
      </c>
      <c r="Q750" s="54">
        <v>28000</v>
      </c>
      <c r="R750" s="54">
        <v>0</v>
      </c>
      <c r="S750" s="54">
        <v>28000</v>
      </c>
      <c r="T750" s="54">
        <v>8273.9500000000007</v>
      </c>
      <c r="U750" s="54">
        <v>0</v>
      </c>
      <c r="V750" s="54">
        <v>19726.05</v>
      </c>
      <c r="W750" s="54">
        <v>0</v>
      </c>
    </row>
    <row r="751" spans="1:23" outlineLevel="2" x14ac:dyDescent="0.2">
      <c r="A751" s="21" t="s">
        <v>402</v>
      </c>
      <c r="B751" s="21" t="s">
        <v>39</v>
      </c>
      <c r="C751" s="21" t="s">
        <v>58</v>
      </c>
      <c r="D751" s="21" t="s">
        <v>139</v>
      </c>
      <c r="E751" s="21" t="s">
        <v>140</v>
      </c>
      <c r="F751" s="21" t="s">
        <v>5</v>
      </c>
      <c r="G751" s="21" t="s">
        <v>6</v>
      </c>
      <c r="H751" s="21" t="s">
        <v>7</v>
      </c>
      <c r="I751" s="21" t="s">
        <v>8</v>
      </c>
      <c r="J751" s="21" t="s">
        <v>403</v>
      </c>
      <c r="K751" s="21" t="s">
        <v>404</v>
      </c>
      <c r="L751" s="21" t="s">
        <v>406</v>
      </c>
      <c r="M751" s="21" t="s">
        <v>12</v>
      </c>
      <c r="N751" s="54">
        <v>22220</v>
      </c>
      <c r="O751" s="54">
        <v>0</v>
      </c>
      <c r="P751" s="54">
        <v>0</v>
      </c>
      <c r="Q751" s="54">
        <v>22220</v>
      </c>
      <c r="R751" s="54">
        <v>0</v>
      </c>
      <c r="S751" s="54">
        <v>22220</v>
      </c>
      <c r="T751" s="54">
        <v>6419.19</v>
      </c>
      <c r="U751" s="54">
        <v>0</v>
      </c>
      <c r="V751" s="54">
        <v>15800.81</v>
      </c>
      <c r="W751" s="54">
        <v>0</v>
      </c>
    </row>
    <row r="752" spans="1:23" outlineLevel="2" x14ac:dyDescent="0.2">
      <c r="A752" s="21" t="s">
        <v>402</v>
      </c>
      <c r="B752" s="21" t="s">
        <v>39</v>
      </c>
      <c r="C752" s="21" t="s">
        <v>58</v>
      </c>
      <c r="D752" s="21" t="s">
        <v>135</v>
      </c>
      <c r="E752" s="21" t="s">
        <v>136</v>
      </c>
      <c r="F752" s="21" t="s">
        <v>5</v>
      </c>
      <c r="G752" s="21" t="s">
        <v>6</v>
      </c>
      <c r="H752" s="21" t="s">
        <v>7</v>
      </c>
      <c r="I752" s="21" t="s">
        <v>8</v>
      </c>
      <c r="J752" s="21" t="s">
        <v>403</v>
      </c>
      <c r="K752" s="21" t="s">
        <v>404</v>
      </c>
      <c r="L752" s="21" t="s">
        <v>406</v>
      </c>
      <c r="M752" s="21" t="s">
        <v>12</v>
      </c>
      <c r="N752" s="54">
        <v>16800</v>
      </c>
      <c r="O752" s="54">
        <v>-3800</v>
      </c>
      <c r="P752" s="54">
        <v>0</v>
      </c>
      <c r="Q752" s="54">
        <v>13000</v>
      </c>
      <c r="R752" s="54">
        <v>0</v>
      </c>
      <c r="S752" s="54">
        <v>9000</v>
      </c>
      <c r="T752" s="54">
        <v>6728.02</v>
      </c>
      <c r="U752" s="54">
        <v>4000</v>
      </c>
      <c r="V752" s="54">
        <v>6271.98</v>
      </c>
      <c r="W752" s="54">
        <v>4000</v>
      </c>
    </row>
    <row r="753" spans="1:23" outlineLevel="2" x14ac:dyDescent="0.2">
      <c r="A753" s="21" t="s">
        <v>402</v>
      </c>
      <c r="B753" s="21" t="s">
        <v>31</v>
      </c>
      <c r="C753" s="21" t="s">
        <v>79</v>
      </c>
      <c r="D753" s="21" t="s">
        <v>115</v>
      </c>
      <c r="E753" s="21" t="s">
        <v>116</v>
      </c>
      <c r="F753" s="21" t="s">
        <v>5</v>
      </c>
      <c r="G753" s="21" t="s">
        <v>6</v>
      </c>
      <c r="H753" s="21" t="s">
        <v>7</v>
      </c>
      <c r="I753" s="21" t="s">
        <v>8</v>
      </c>
      <c r="J753" s="21" t="s">
        <v>403</v>
      </c>
      <c r="K753" s="21" t="s">
        <v>404</v>
      </c>
      <c r="L753" s="21" t="s">
        <v>405</v>
      </c>
      <c r="M753" s="21" t="s">
        <v>12</v>
      </c>
      <c r="N753" s="54">
        <v>5600</v>
      </c>
      <c r="O753" s="54">
        <v>0</v>
      </c>
      <c r="P753" s="54">
        <v>0</v>
      </c>
      <c r="Q753" s="54">
        <v>5600</v>
      </c>
      <c r="R753" s="54">
        <v>0</v>
      </c>
      <c r="S753" s="54">
        <v>5600</v>
      </c>
      <c r="T753" s="54">
        <v>1044.3699999999999</v>
      </c>
      <c r="U753" s="54">
        <v>0</v>
      </c>
      <c r="V753" s="54">
        <v>4555.63</v>
      </c>
      <c r="W753" s="54">
        <v>0</v>
      </c>
    </row>
    <row r="754" spans="1:23" outlineLevel="2" x14ac:dyDescent="0.2">
      <c r="A754" s="21" t="s">
        <v>402</v>
      </c>
      <c r="B754" s="21" t="s">
        <v>1</v>
      </c>
      <c r="C754" s="21" t="s">
        <v>2</v>
      </c>
      <c r="D754" s="21" t="s">
        <v>410</v>
      </c>
      <c r="E754" s="21" t="s">
        <v>411</v>
      </c>
      <c r="F754" s="21" t="s">
        <v>5</v>
      </c>
      <c r="G754" s="21" t="s">
        <v>6</v>
      </c>
      <c r="H754" s="21" t="s">
        <v>7</v>
      </c>
      <c r="I754" s="21" t="s">
        <v>8</v>
      </c>
      <c r="J754" s="21" t="s">
        <v>403</v>
      </c>
      <c r="K754" s="21" t="s">
        <v>404</v>
      </c>
      <c r="L754" s="21" t="s">
        <v>408</v>
      </c>
      <c r="M754" s="21" t="s">
        <v>15</v>
      </c>
      <c r="N754" s="54">
        <v>200000</v>
      </c>
      <c r="O754" s="54">
        <v>0</v>
      </c>
      <c r="P754" s="54">
        <v>0</v>
      </c>
      <c r="Q754" s="54">
        <v>200000</v>
      </c>
      <c r="R754" s="54">
        <v>0</v>
      </c>
      <c r="S754" s="54">
        <v>112827.4</v>
      </c>
      <c r="T754" s="54">
        <v>64822.82</v>
      </c>
      <c r="U754" s="54">
        <v>87172.6</v>
      </c>
      <c r="V754" s="54">
        <v>135177.18</v>
      </c>
      <c r="W754" s="54">
        <v>87172.6</v>
      </c>
    </row>
    <row r="755" spans="1:23" outlineLevel="2" x14ac:dyDescent="0.2">
      <c r="A755" s="21" t="s">
        <v>402</v>
      </c>
      <c r="B755" s="21" t="s">
        <v>31</v>
      </c>
      <c r="C755" s="21" t="s">
        <v>79</v>
      </c>
      <c r="D755" s="21" t="s">
        <v>111</v>
      </c>
      <c r="E755" s="21" t="s">
        <v>112</v>
      </c>
      <c r="F755" s="21" t="s">
        <v>5</v>
      </c>
      <c r="G755" s="21" t="s">
        <v>6</v>
      </c>
      <c r="H755" s="21" t="s">
        <v>7</v>
      </c>
      <c r="I755" s="21" t="s">
        <v>8</v>
      </c>
      <c r="J755" s="21" t="s">
        <v>403</v>
      </c>
      <c r="K755" s="21" t="s">
        <v>404</v>
      </c>
      <c r="L755" s="21" t="s">
        <v>405</v>
      </c>
      <c r="M755" s="21" t="s">
        <v>12</v>
      </c>
      <c r="N755" s="54">
        <v>8000</v>
      </c>
      <c r="O755" s="54">
        <v>0</v>
      </c>
      <c r="P755" s="54">
        <v>0</v>
      </c>
      <c r="Q755" s="54">
        <v>8000</v>
      </c>
      <c r="R755" s="54">
        <v>0</v>
      </c>
      <c r="S755" s="54">
        <v>8000</v>
      </c>
      <c r="T755" s="54">
        <v>2168.66</v>
      </c>
      <c r="U755" s="54">
        <v>0</v>
      </c>
      <c r="V755" s="54">
        <v>5831.34</v>
      </c>
      <c r="W755" s="54">
        <v>0</v>
      </c>
    </row>
    <row r="756" spans="1:23" outlineLevel="2" x14ac:dyDescent="0.2">
      <c r="A756" s="21" t="s">
        <v>402</v>
      </c>
      <c r="B756" s="21" t="s">
        <v>39</v>
      </c>
      <c r="C756" s="21" t="s">
        <v>58</v>
      </c>
      <c r="D756" s="21" t="s">
        <v>137</v>
      </c>
      <c r="E756" s="21" t="s">
        <v>138</v>
      </c>
      <c r="F756" s="21" t="s">
        <v>5</v>
      </c>
      <c r="G756" s="21" t="s">
        <v>6</v>
      </c>
      <c r="H756" s="21" t="s">
        <v>7</v>
      </c>
      <c r="I756" s="21" t="s">
        <v>8</v>
      </c>
      <c r="J756" s="21" t="s">
        <v>403</v>
      </c>
      <c r="K756" s="21" t="s">
        <v>415</v>
      </c>
      <c r="L756" s="21" t="s">
        <v>419</v>
      </c>
      <c r="M756" s="21" t="s">
        <v>12</v>
      </c>
      <c r="N756" s="54">
        <v>17000</v>
      </c>
      <c r="O756" s="54">
        <v>0</v>
      </c>
      <c r="P756" s="54">
        <v>0</v>
      </c>
      <c r="Q756" s="54">
        <v>17000</v>
      </c>
      <c r="R756" s="54">
        <v>0</v>
      </c>
      <c r="S756" s="54">
        <v>17000</v>
      </c>
      <c r="T756" s="54">
        <v>10391.719999999999</v>
      </c>
      <c r="U756" s="54">
        <v>0</v>
      </c>
      <c r="V756" s="54">
        <v>6608.28</v>
      </c>
      <c r="W756" s="54">
        <v>0</v>
      </c>
    </row>
    <row r="757" spans="1:23" outlineLevel="2" x14ac:dyDescent="0.2">
      <c r="A757" s="21" t="s">
        <v>402</v>
      </c>
      <c r="B757" s="21" t="s">
        <v>39</v>
      </c>
      <c r="C757" s="21" t="s">
        <v>66</v>
      </c>
      <c r="D757" s="21" t="s">
        <v>67</v>
      </c>
      <c r="E757" s="21" t="s">
        <v>68</v>
      </c>
      <c r="F757" s="21" t="s">
        <v>5</v>
      </c>
      <c r="G757" s="21" t="s">
        <v>6</v>
      </c>
      <c r="H757" s="21" t="s">
        <v>7</v>
      </c>
      <c r="I757" s="21" t="s">
        <v>8</v>
      </c>
      <c r="J757" s="21" t="s">
        <v>403</v>
      </c>
      <c r="K757" s="21" t="s">
        <v>415</v>
      </c>
      <c r="L757" s="21" t="s">
        <v>420</v>
      </c>
      <c r="M757" s="21" t="s">
        <v>12</v>
      </c>
      <c r="N757" s="54">
        <v>16000</v>
      </c>
      <c r="O757" s="54">
        <v>-2000</v>
      </c>
      <c r="P757" s="54">
        <v>0</v>
      </c>
      <c r="Q757" s="54">
        <v>14000</v>
      </c>
      <c r="R757" s="54">
        <v>0</v>
      </c>
      <c r="S757" s="54">
        <v>14000</v>
      </c>
      <c r="T757" s="54">
        <v>10541.6</v>
      </c>
      <c r="U757" s="54">
        <v>0</v>
      </c>
      <c r="V757" s="54">
        <v>3458.4</v>
      </c>
      <c r="W757" s="54">
        <v>0</v>
      </c>
    </row>
    <row r="758" spans="1:23" outlineLevel="2" x14ac:dyDescent="0.2">
      <c r="A758" s="21" t="s">
        <v>402</v>
      </c>
      <c r="B758" s="21" t="s">
        <v>1</v>
      </c>
      <c r="C758" s="21" t="s">
        <v>91</v>
      </c>
      <c r="D758" s="21" t="s">
        <v>92</v>
      </c>
      <c r="E758" s="21" t="s">
        <v>93</v>
      </c>
      <c r="F758" s="21" t="s">
        <v>5</v>
      </c>
      <c r="G758" s="21" t="s">
        <v>6</v>
      </c>
      <c r="H758" s="21" t="s">
        <v>7</v>
      </c>
      <c r="I758" s="21" t="s">
        <v>8</v>
      </c>
      <c r="J758" s="21" t="s">
        <v>403</v>
      </c>
      <c r="K758" s="21" t="s">
        <v>415</v>
      </c>
      <c r="L758" s="21" t="s">
        <v>424</v>
      </c>
      <c r="M758" s="21" t="s">
        <v>15</v>
      </c>
      <c r="N758" s="54">
        <v>11716.85</v>
      </c>
      <c r="O758" s="54">
        <v>9000</v>
      </c>
      <c r="P758" s="54">
        <v>0</v>
      </c>
      <c r="Q758" s="54">
        <v>20716.849999999999</v>
      </c>
      <c r="R758" s="54">
        <v>0</v>
      </c>
      <c r="S758" s="54">
        <v>20716.849999999999</v>
      </c>
      <c r="T758" s="54">
        <v>12898.14</v>
      </c>
      <c r="U758" s="54">
        <v>0</v>
      </c>
      <c r="V758" s="54">
        <v>7818.71</v>
      </c>
      <c r="W758" s="54">
        <v>0</v>
      </c>
    </row>
    <row r="759" spans="1:23" outlineLevel="2" x14ac:dyDescent="0.2">
      <c r="A759" s="21" t="s">
        <v>402</v>
      </c>
      <c r="B759" s="21" t="s">
        <v>31</v>
      </c>
      <c r="C759" s="21" t="s">
        <v>79</v>
      </c>
      <c r="D759" s="21" t="s">
        <v>131</v>
      </c>
      <c r="E759" s="21" t="s">
        <v>132</v>
      </c>
      <c r="F759" s="21" t="s">
        <v>5</v>
      </c>
      <c r="G759" s="21" t="s">
        <v>6</v>
      </c>
      <c r="H759" s="21" t="s">
        <v>7</v>
      </c>
      <c r="I759" s="21" t="s">
        <v>8</v>
      </c>
      <c r="J759" s="21" t="s">
        <v>403</v>
      </c>
      <c r="K759" s="21" t="s">
        <v>415</v>
      </c>
      <c r="L759" s="21" t="s">
        <v>416</v>
      </c>
      <c r="M759" s="21" t="s">
        <v>12</v>
      </c>
      <c r="N759" s="54">
        <v>18000</v>
      </c>
      <c r="O759" s="54">
        <v>0</v>
      </c>
      <c r="P759" s="54">
        <v>0</v>
      </c>
      <c r="Q759" s="54">
        <v>18000</v>
      </c>
      <c r="R759" s="54">
        <v>0</v>
      </c>
      <c r="S759" s="54">
        <v>18000</v>
      </c>
      <c r="T759" s="54">
        <v>10170.69</v>
      </c>
      <c r="U759" s="54">
        <v>0</v>
      </c>
      <c r="V759" s="54">
        <v>7829.31</v>
      </c>
      <c r="W759" s="54">
        <v>0</v>
      </c>
    </row>
    <row r="760" spans="1:23" outlineLevel="2" x14ac:dyDescent="0.2">
      <c r="A760" s="21" t="s">
        <v>402</v>
      </c>
      <c r="B760" s="21" t="s">
        <v>31</v>
      </c>
      <c r="C760" s="21" t="s">
        <v>79</v>
      </c>
      <c r="D760" s="21" t="s">
        <v>127</v>
      </c>
      <c r="E760" s="21" t="s">
        <v>128</v>
      </c>
      <c r="F760" s="21" t="s">
        <v>5</v>
      </c>
      <c r="G760" s="21" t="s">
        <v>6</v>
      </c>
      <c r="H760" s="21" t="s">
        <v>7</v>
      </c>
      <c r="I760" s="21" t="s">
        <v>8</v>
      </c>
      <c r="J760" s="21" t="s">
        <v>403</v>
      </c>
      <c r="K760" s="21" t="s">
        <v>415</v>
      </c>
      <c r="L760" s="21" t="s">
        <v>416</v>
      </c>
      <c r="M760" s="21" t="s">
        <v>12</v>
      </c>
      <c r="N760" s="54">
        <v>9000</v>
      </c>
      <c r="O760" s="54">
        <v>0</v>
      </c>
      <c r="P760" s="54">
        <v>0</v>
      </c>
      <c r="Q760" s="54">
        <v>9000</v>
      </c>
      <c r="R760" s="54">
        <v>0</v>
      </c>
      <c r="S760" s="54">
        <v>9000</v>
      </c>
      <c r="T760" s="54">
        <v>3134.2</v>
      </c>
      <c r="U760" s="54">
        <v>0</v>
      </c>
      <c r="V760" s="54">
        <v>5865.8</v>
      </c>
      <c r="W760" s="54">
        <v>0</v>
      </c>
    </row>
    <row r="761" spans="1:23" outlineLevel="2" x14ac:dyDescent="0.2">
      <c r="A761" s="21" t="s">
        <v>402</v>
      </c>
      <c r="B761" s="21" t="s">
        <v>31</v>
      </c>
      <c r="C761" s="21" t="s">
        <v>79</v>
      </c>
      <c r="D761" s="21" t="s">
        <v>117</v>
      </c>
      <c r="E761" s="21" t="s">
        <v>118</v>
      </c>
      <c r="F761" s="21" t="s">
        <v>5</v>
      </c>
      <c r="G761" s="21" t="s">
        <v>6</v>
      </c>
      <c r="H761" s="21" t="s">
        <v>7</v>
      </c>
      <c r="I761" s="21" t="s">
        <v>8</v>
      </c>
      <c r="J761" s="21" t="s">
        <v>403</v>
      </c>
      <c r="K761" s="21" t="s">
        <v>415</v>
      </c>
      <c r="L761" s="21" t="s">
        <v>416</v>
      </c>
      <c r="M761" s="21" t="s">
        <v>12</v>
      </c>
      <c r="N761" s="54">
        <v>24700</v>
      </c>
      <c r="O761" s="54">
        <v>0</v>
      </c>
      <c r="P761" s="54">
        <v>0</v>
      </c>
      <c r="Q761" s="54">
        <v>24700</v>
      </c>
      <c r="R761" s="54">
        <v>0</v>
      </c>
      <c r="S761" s="54">
        <v>24700</v>
      </c>
      <c r="T761" s="54">
        <v>8749.43</v>
      </c>
      <c r="U761" s="54">
        <v>0</v>
      </c>
      <c r="V761" s="54">
        <v>15950.57</v>
      </c>
      <c r="W761" s="54">
        <v>0</v>
      </c>
    </row>
    <row r="762" spans="1:23" outlineLevel="2" x14ac:dyDescent="0.2">
      <c r="A762" s="21" t="s">
        <v>402</v>
      </c>
      <c r="B762" s="21" t="s">
        <v>31</v>
      </c>
      <c r="C762" s="21" t="s">
        <v>79</v>
      </c>
      <c r="D762" s="21" t="s">
        <v>80</v>
      </c>
      <c r="E762" s="21" t="s">
        <v>81</v>
      </c>
      <c r="F762" s="21" t="s">
        <v>5</v>
      </c>
      <c r="G762" s="21" t="s">
        <v>6</v>
      </c>
      <c r="H762" s="21" t="s">
        <v>7</v>
      </c>
      <c r="I762" s="21" t="s">
        <v>8</v>
      </c>
      <c r="J762" s="21" t="s">
        <v>403</v>
      </c>
      <c r="K762" s="21" t="s">
        <v>415</v>
      </c>
      <c r="L762" s="21" t="s">
        <v>416</v>
      </c>
      <c r="M762" s="21" t="s">
        <v>12</v>
      </c>
      <c r="N762" s="54">
        <v>28000</v>
      </c>
      <c r="O762" s="54">
        <v>0</v>
      </c>
      <c r="P762" s="54">
        <v>0</v>
      </c>
      <c r="Q762" s="54">
        <v>28000</v>
      </c>
      <c r="R762" s="54">
        <v>0</v>
      </c>
      <c r="S762" s="54">
        <v>28000</v>
      </c>
      <c r="T762" s="54">
        <v>12238.39</v>
      </c>
      <c r="U762" s="54">
        <v>0</v>
      </c>
      <c r="V762" s="54">
        <v>15761.61</v>
      </c>
      <c r="W762" s="54">
        <v>0</v>
      </c>
    </row>
    <row r="763" spans="1:23" outlineLevel="2" x14ac:dyDescent="0.2">
      <c r="A763" s="21" t="s">
        <v>402</v>
      </c>
      <c r="B763" s="21" t="s">
        <v>31</v>
      </c>
      <c r="C763" s="21" t="s">
        <v>79</v>
      </c>
      <c r="D763" s="21" t="s">
        <v>133</v>
      </c>
      <c r="E763" s="21" t="s">
        <v>134</v>
      </c>
      <c r="F763" s="21" t="s">
        <v>5</v>
      </c>
      <c r="G763" s="21" t="s">
        <v>6</v>
      </c>
      <c r="H763" s="21" t="s">
        <v>7</v>
      </c>
      <c r="I763" s="21" t="s">
        <v>8</v>
      </c>
      <c r="J763" s="21" t="s">
        <v>403</v>
      </c>
      <c r="K763" s="21" t="s">
        <v>415</v>
      </c>
      <c r="L763" s="21" t="s">
        <v>416</v>
      </c>
      <c r="M763" s="21" t="s">
        <v>12</v>
      </c>
      <c r="N763" s="54">
        <v>15000</v>
      </c>
      <c r="O763" s="54">
        <v>0</v>
      </c>
      <c r="P763" s="54">
        <v>0</v>
      </c>
      <c r="Q763" s="54">
        <v>15000</v>
      </c>
      <c r="R763" s="54">
        <v>0</v>
      </c>
      <c r="S763" s="54">
        <v>15000</v>
      </c>
      <c r="T763" s="54">
        <v>8318.9</v>
      </c>
      <c r="U763" s="54">
        <v>0</v>
      </c>
      <c r="V763" s="54">
        <v>6681.1</v>
      </c>
      <c r="W763" s="54">
        <v>0</v>
      </c>
    </row>
    <row r="764" spans="1:23" outlineLevel="2" x14ac:dyDescent="0.2">
      <c r="A764" s="21" t="s">
        <v>402</v>
      </c>
      <c r="B764" s="21" t="s">
        <v>53</v>
      </c>
      <c r="C764" s="21" t="s">
        <v>54</v>
      </c>
      <c r="D764" s="21" t="s">
        <v>55</v>
      </c>
      <c r="E764" s="21" t="s">
        <v>56</v>
      </c>
      <c r="F764" s="21" t="s">
        <v>5</v>
      </c>
      <c r="G764" s="21" t="s">
        <v>6</v>
      </c>
      <c r="H764" s="21" t="s">
        <v>7</v>
      </c>
      <c r="I764" s="21" t="s">
        <v>8</v>
      </c>
      <c r="J764" s="21" t="s">
        <v>403</v>
      </c>
      <c r="K764" s="21" t="s">
        <v>415</v>
      </c>
      <c r="L764" s="21" t="s">
        <v>421</v>
      </c>
      <c r="M764" s="21" t="s">
        <v>12</v>
      </c>
      <c r="N764" s="54">
        <v>1000</v>
      </c>
      <c r="O764" s="54">
        <v>2041.4</v>
      </c>
      <c r="P764" s="54">
        <v>0</v>
      </c>
      <c r="Q764" s="54">
        <v>3041.4</v>
      </c>
      <c r="R764" s="54">
        <v>0</v>
      </c>
      <c r="S764" s="54">
        <v>2659.14</v>
      </c>
      <c r="T764" s="54">
        <v>1899.17</v>
      </c>
      <c r="U764" s="54">
        <v>382.26</v>
      </c>
      <c r="V764" s="54">
        <v>1142.23</v>
      </c>
      <c r="W764" s="54">
        <v>382.26</v>
      </c>
    </row>
    <row r="765" spans="1:23" outlineLevel="2" x14ac:dyDescent="0.2">
      <c r="A765" s="21" t="s">
        <v>402</v>
      </c>
      <c r="B765" s="21" t="s">
        <v>39</v>
      </c>
      <c r="C765" s="21" t="s">
        <v>58</v>
      </c>
      <c r="D765" s="21" t="s">
        <v>139</v>
      </c>
      <c r="E765" s="21" t="s">
        <v>140</v>
      </c>
      <c r="F765" s="21" t="s">
        <v>5</v>
      </c>
      <c r="G765" s="21" t="s">
        <v>6</v>
      </c>
      <c r="H765" s="21" t="s">
        <v>7</v>
      </c>
      <c r="I765" s="21" t="s">
        <v>8</v>
      </c>
      <c r="J765" s="21" t="s">
        <v>403</v>
      </c>
      <c r="K765" s="21" t="s">
        <v>415</v>
      </c>
      <c r="L765" s="21" t="s">
        <v>419</v>
      </c>
      <c r="M765" s="21" t="s">
        <v>12</v>
      </c>
      <c r="N765" s="54">
        <v>41900</v>
      </c>
      <c r="O765" s="54">
        <v>0</v>
      </c>
      <c r="P765" s="54">
        <v>0</v>
      </c>
      <c r="Q765" s="54">
        <v>41900</v>
      </c>
      <c r="R765" s="54">
        <v>0</v>
      </c>
      <c r="S765" s="54">
        <v>31900</v>
      </c>
      <c r="T765" s="54">
        <v>16316.07</v>
      </c>
      <c r="U765" s="54">
        <v>10000</v>
      </c>
      <c r="V765" s="54">
        <v>25583.93</v>
      </c>
      <c r="W765" s="54">
        <v>10000</v>
      </c>
    </row>
    <row r="766" spans="1:23" outlineLevel="2" x14ac:dyDescent="0.2">
      <c r="A766" s="21" t="s">
        <v>402</v>
      </c>
      <c r="B766" s="21" t="s">
        <v>1</v>
      </c>
      <c r="C766" s="21" t="s">
        <v>2</v>
      </c>
      <c r="D766" s="21" t="s">
        <v>410</v>
      </c>
      <c r="E766" s="21" t="s">
        <v>411</v>
      </c>
      <c r="F766" s="21" t="s">
        <v>5</v>
      </c>
      <c r="G766" s="21" t="s">
        <v>6</v>
      </c>
      <c r="H766" s="21" t="s">
        <v>7</v>
      </c>
      <c r="I766" s="21" t="s">
        <v>8</v>
      </c>
      <c r="J766" s="21" t="s">
        <v>403</v>
      </c>
      <c r="K766" s="21" t="s">
        <v>415</v>
      </c>
      <c r="L766" s="21" t="s">
        <v>422</v>
      </c>
      <c r="M766" s="21" t="s">
        <v>15</v>
      </c>
      <c r="N766" s="54">
        <v>600000</v>
      </c>
      <c r="O766" s="54">
        <v>-8840</v>
      </c>
      <c r="P766" s="54">
        <v>0</v>
      </c>
      <c r="Q766" s="54">
        <v>591160</v>
      </c>
      <c r="R766" s="54">
        <v>0</v>
      </c>
      <c r="S766" s="54">
        <v>471671.4</v>
      </c>
      <c r="T766" s="54">
        <v>345032.09</v>
      </c>
      <c r="U766" s="54">
        <v>119488.6</v>
      </c>
      <c r="V766" s="54">
        <v>246127.91</v>
      </c>
      <c r="W766" s="54">
        <v>119488.6</v>
      </c>
    </row>
    <row r="767" spans="1:23" outlineLevel="2" x14ac:dyDescent="0.2">
      <c r="A767" s="21" t="s">
        <v>402</v>
      </c>
      <c r="B767" s="21" t="s">
        <v>1</v>
      </c>
      <c r="C767" s="21" t="s">
        <v>2</v>
      </c>
      <c r="D767" s="21" t="s">
        <v>3</v>
      </c>
      <c r="E767" s="21" t="s">
        <v>4</v>
      </c>
      <c r="F767" s="21" t="s">
        <v>5</v>
      </c>
      <c r="G767" s="21" t="s">
        <v>6</v>
      </c>
      <c r="H767" s="21" t="s">
        <v>7</v>
      </c>
      <c r="I767" s="21" t="s">
        <v>8</v>
      </c>
      <c r="J767" s="21" t="s">
        <v>403</v>
      </c>
      <c r="K767" s="21" t="s">
        <v>415</v>
      </c>
      <c r="L767" s="21" t="s">
        <v>422</v>
      </c>
      <c r="M767" s="21" t="s">
        <v>15</v>
      </c>
      <c r="N767" s="54">
        <v>37500</v>
      </c>
      <c r="O767" s="54">
        <v>1000</v>
      </c>
      <c r="P767" s="54">
        <v>0</v>
      </c>
      <c r="Q767" s="54">
        <v>38500</v>
      </c>
      <c r="R767" s="54">
        <v>0</v>
      </c>
      <c r="S767" s="54">
        <v>24922.17</v>
      </c>
      <c r="T767" s="54">
        <v>24869.21</v>
      </c>
      <c r="U767" s="54">
        <v>13577.83</v>
      </c>
      <c r="V767" s="54">
        <v>13630.79</v>
      </c>
      <c r="W767" s="54">
        <v>13577.83</v>
      </c>
    </row>
    <row r="768" spans="1:23" outlineLevel="2" x14ac:dyDescent="0.2">
      <c r="A768" s="21" t="s">
        <v>402</v>
      </c>
      <c r="B768" s="21" t="s">
        <v>31</v>
      </c>
      <c r="C768" s="21" t="s">
        <v>79</v>
      </c>
      <c r="D768" s="21" t="s">
        <v>113</v>
      </c>
      <c r="E768" s="21" t="s">
        <v>114</v>
      </c>
      <c r="F768" s="21" t="s">
        <v>5</v>
      </c>
      <c r="G768" s="21" t="s">
        <v>6</v>
      </c>
      <c r="H768" s="21" t="s">
        <v>7</v>
      </c>
      <c r="I768" s="21" t="s">
        <v>8</v>
      </c>
      <c r="J768" s="21" t="s">
        <v>403</v>
      </c>
      <c r="K768" s="21" t="s">
        <v>415</v>
      </c>
      <c r="L768" s="21" t="s">
        <v>416</v>
      </c>
      <c r="M768" s="21" t="s">
        <v>12</v>
      </c>
      <c r="N768" s="54">
        <v>9000</v>
      </c>
      <c r="O768" s="54">
        <v>0</v>
      </c>
      <c r="P768" s="54">
        <v>0</v>
      </c>
      <c r="Q768" s="54">
        <v>9000</v>
      </c>
      <c r="R768" s="54">
        <v>0</v>
      </c>
      <c r="S768" s="54">
        <v>0</v>
      </c>
      <c r="T768" s="54">
        <v>0</v>
      </c>
      <c r="U768" s="54">
        <v>9000</v>
      </c>
      <c r="V768" s="54">
        <v>9000</v>
      </c>
      <c r="W768" s="54">
        <v>9000</v>
      </c>
    </row>
    <row r="769" spans="1:23" outlineLevel="2" x14ac:dyDescent="0.2">
      <c r="A769" s="21" t="s">
        <v>402</v>
      </c>
      <c r="B769" s="21" t="s">
        <v>31</v>
      </c>
      <c r="C769" s="21" t="s">
        <v>79</v>
      </c>
      <c r="D769" s="21" t="s">
        <v>111</v>
      </c>
      <c r="E769" s="21" t="s">
        <v>112</v>
      </c>
      <c r="F769" s="21" t="s">
        <v>5</v>
      </c>
      <c r="G769" s="21" t="s">
        <v>6</v>
      </c>
      <c r="H769" s="21" t="s">
        <v>7</v>
      </c>
      <c r="I769" s="21" t="s">
        <v>8</v>
      </c>
      <c r="J769" s="21" t="s">
        <v>403</v>
      </c>
      <c r="K769" s="21" t="s">
        <v>415</v>
      </c>
      <c r="L769" s="21" t="s">
        <v>416</v>
      </c>
      <c r="M769" s="21" t="s">
        <v>12</v>
      </c>
      <c r="N769" s="54">
        <v>9000</v>
      </c>
      <c r="O769" s="54">
        <v>0</v>
      </c>
      <c r="P769" s="54">
        <v>0</v>
      </c>
      <c r="Q769" s="54">
        <v>9000</v>
      </c>
      <c r="R769" s="54">
        <v>0</v>
      </c>
      <c r="S769" s="54">
        <v>9000</v>
      </c>
      <c r="T769" s="54">
        <v>2507.35</v>
      </c>
      <c r="U769" s="54">
        <v>0</v>
      </c>
      <c r="V769" s="54">
        <v>6492.65</v>
      </c>
      <c r="W769" s="54">
        <v>0</v>
      </c>
    </row>
    <row r="770" spans="1:23" outlineLevel="2" x14ac:dyDescent="0.2">
      <c r="A770" s="21" t="s">
        <v>402</v>
      </c>
      <c r="B770" s="21" t="s">
        <v>31</v>
      </c>
      <c r="C770" s="21" t="s">
        <v>32</v>
      </c>
      <c r="D770" s="21" t="s">
        <v>123</v>
      </c>
      <c r="E770" s="21" t="s">
        <v>124</v>
      </c>
      <c r="F770" s="21" t="s">
        <v>5</v>
      </c>
      <c r="G770" s="21" t="s">
        <v>6</v>
      </c>
      <c r="H770" s="21" t="s">
        <v>7</v>
      </c>
      <c r="I770" s="21" t="s">
        <v>8</v>
      </c>
      <c r="J770" s="21" t="s">
        <v>403</v>
      </c>
      <c r="K770" s="21" t="s">
        <v>415</v>
      </c>
      <c r="L770" s="21" t="s">
        <v>423</v>
      </c>
      <c r="M770" s="21" t="s">
        <v>12</v>
      </c>
      <c r="N770" s="54">
        <v>11000</v>
      </c>
      <c r="O770" s="54">
        <v>0</v>
      </c>
      <c r="P770" s="54">
        <v>0</v>
      </c>
      <c r="Q770" s="54">
        <v>11000</v>
      </c>
      <c r="R770" s="54">
        <v>0</v>
      </c>
      <c r="S770" s="54">
        <v>11000</v>
      </c>
      <c r="T770" s="54">
        <v>8845.98</v>
      </c>
      <c r="U770" s="54">
        <v>0</v>
      </c>
      <c r="V770" s="54">
        <v>2154.02</v>
      </c>
      <c r="W770" s="54">
        <v>0</v>
      </c>
    </row>
    <row r="771" spans="1:23" outlineLevel="2" x14ac:dyDescent="0.2">
      <c r="A771" s="21" t="s">
        <v>402</v>
      </c>
      <c r="B771" s="21" t="s">
        <v>31</v>
      </c>
      <c r="C771" s="21" t="s">
        <v>32</v>
      </c>
      <c r="D771" s="21" t="s">
        <v>75</v>
      </c>
      <c r="E771" s="21" t="s">
        <v>76</v>
      </c>
      <c r="F771" s="21" t="s">
        <v>5</v>
      </c>
      <c r="G771" s="21" t="s">
        <v>6</v>
      </c>
      <c r="H771" s="21" t="s">
        <v>7</v>
      </c>
      <c r="I771" s="21" t="s">
        <v>8</v>
      </c>
      <c r="J771" s="21" t="s">
        <v>403</v>
      </c>
      <c r="K771" s="21" t="s">
        <v>415</v>
      </c>
      <c r="L771" s="21" t="s">
        <v>423</v>
      </c>
      <c r="M771" s="21" t="s">
        <v>12</v>
      </c>
      <c r="N771" s="54">
        <v>18000</v>
      </c>
      <c r="O771" s="54">
        <v>0</v>
      </c>
      <c r="P771" s="54">
        <v>0</v>
      </c>
      <c r="Q771" s="54">
        <v>18000</v>
      </c>
      <c r="R771" s="54">
        <v>0</v>
      </c>
      <c r="S771" s="54">
        <v>18000</v>
      </c>
      <c r="T771" s="54">
        <v>11420.42</v>
      </c>
      <c r="U771" s="54">
        <v>0</v>
      </c>
      <c r="V771" s="54">
        <v>6579.58</v>
      </c>
      <c r="W771" s="54">
        <v>0</v>
      </c>
    </row>
    <row r="772" spans="1:23" outlineLevel="2" x14ac:dyDescent="0.2">
      <c r="A772" s="21" t="s">
        <v>402</v>
      </c>
      <c r="B772" s="21" t="s">
        <v>39</v>
      </c>
      <c r="C772" s="21" t="s">
        <v>58</v>
      </c>
      <c r="D772" s="21" t="s">
        <v>129</v>
      </c>
      <c r="E772" s="21" t="s">
        <v>130</v>
      </c>
      <c r="F772" s="21" t="s">
        <v>5</v>
      </c>
      <c r="G772" s="21" t="s">
        <v>6</v>
      </c>
      <c r="H772" s="21" t="s">
        <v>7</v>
      </c>
      <c r="I772" s="21" t="s">
        <v>8</v>
      </c>
      <c r="J772" s="21" t="s">
        <v>403</v>
      </c>
      <c r="K772" s="21" t="s">
        <v>415</v>
      </c>
      <c r="L772" s="21" t="s">
        <v>419</v>
      </c>
      <c r="M772" s="21" t="s">
        <v>12</v>
      </c>
      <c r="N772" s="54">
        <v>4200</v>
      </c>
      <c r="O772" s="54">
        <v>0</v>
      </c>
      <c r="P772" s="54">
        <v>0</v>
      </c>
      <c r="Q772" s="54">
        <v>4200</v>
      </c>
      <c r="R772" s="54">
        <v>0</v>
      </c>
      <c r="S772" s="54">
        <v>2656.1</v>
      </c>
      <c r="T772" s="54">
        <v>2006.14</v>
      </c>
      <c r="U772" s="54">
        <v>1543.9</v>
      </c>
      <c r="V772" s="54">
        <v>2193.86</v>
      </c>
      <c r="W772" s="54">
        <v>1543.9</v>
      </c>
    </row>
    <row r="773" spans="1:23" outlineLevel="2" x14ac:dyDescent="0.2">
      <c r="A773" s="21" t="s">
        <v>402</v>
      </c>
      <c r="B773" s="21" t="s">
        <v>31</v>
      </c>
      <c r="C773" s="21" t="s">
        <v>32</v>
      </c>
      <c r="D773" s="21" t="s">
        <v>33</v>
      </c>
      <c r="E773" s="21" t="s">
        <v>34</v>
      </c>
      <c r="F773" s="21" t="s">
        <v>5</v>
      </c>
      <c r="G773" s="21" t="s">
        <v>6</v>
      </c>
      <c r="H773" s="21" t="s">
        <v>7</v>
      </c>
      <c r="I773" s="21" t="s">
        <v>8</v>
      </c>
      <c r="J773" s="21" t="s">
        <v>403</v>
      </c>
      <c r="K773" s="21" t="s">
        <v>415</v>
      </c>
      <c r="L773" s="21" t="s">
        <v>423</v>
      </c>
      <c r="M773" s="21" t="s">
        <v>12</v>
      </c>
      <c r="N773" s="54">
        <v>15000</v>
      </c>
      <c r="O773" s="54">
        <v>-3000</v>
      </c>
      <c r="P773" s="54">
        <v>0</v>
      </c>
      <c r="Q773" s="54">
        <v>12000</v>
      </c>
      <c r="R773" s="54">
        <v>0</v>
      </c>
      <c r="S773" s="54">
        <v>7350.9</v>
      </c>
      <c r="T773" s="54">
        <v>7350.9</v>
      </c>
      <c r="U773" s="54">
        <v>4649.1000000000004</v>
      </c>
      <c r="V773" s="54">
        <v>4649.1000000000004</v>
      </c>
      <c r="W773" s="54">
        <v>4649.1000000000004</v>
      </c>
    </row>
    <row r="774" spans="1:23" outlineLevel="2" x14ac:dyDescent="0.2">
      <c r="A774" s="21" t="s">
        <v>402</v>
      </c>
      <c r="B774" s="21" t="s">
        <v>39</v>
      </c>
      <c r="C774" s="21" t="s">
        <v>58</v>
      </c>
      <c r="D774" s="21" t="s">
        <v>59</v>
      </c>
      <c r="E774" s="21" t="s">
        <v>60</v>
      </c>
      <c r="F774" s="21" t="s">
        <v>5</v>
      </c>
      <c r="G774" s="21" t="s">
        <v>6</v>
      </c>
      <c r="H774" s="21" t="s">
        <v>7</v>
      </c>
      <c r="I774" s="21" t="s">
        <v>8</v>
      </c>
      <c r="J774" s="21" t="s">
        <v>403</v>
      </c>
      <c r="K774" s="21" t="s">
        <v>415</v>
      </c>
      <c r="L774" s="21" t="s">
        <v>419</v>
      </c>
      <c r="M774" s="21" t="s">
        <v>12</v>
      </c>
      <c r="N774" s="54">
        <v>10000</v>
      </c>
      <c r="O774" s="54">
        <v>0</v>
      </c>
      <c r="P774" s="54">
        <v>0</v>
      </c>
      <c r="Q774" s="54">
        <v>10000</v>
      </c>
      <c r="R774" s="54">
        <v>0</v>
      </c>
      <c r="S774" s="54">
        <v>10000</v>
      </c>
      <c r="T774" s="54">
        <v>8786.3700000000008</v>
      </c>
      <c r="U774" s="54">
        <v>0</v>
      </c>
      <c r="V774" s="54">
        <v>1213.6300000000001</v>
      </c>
      <c r="W774" s="54">
        <v>0</v>
      </c>
    </row>
    <row r="775" spans="1:23" outlineLevel="2" x14ac:dyDescent="0.2">
      <c r="A775" s="21" t="s">
        <v>402</v>
      </c>
      <c r="B775" s="21" t="s">
        <v>31</v>
      </c>
      <c r="C775" s="21" t="s">
        <v>79</v>
      </c>
      <c r="D775" s="21" t="s">
        <v>125</v>
      </c>
      <c r="E775" s="21" t="s">
        <v>126</v>
      </c>
      <c r="F775" s="21" t="s">
        <v>5</v>
      </c>
      <c r="G775" s="21" t="s">
        <v>6</v>
      </c>
      <c r="H775" s="21" t="s">
        <v>7</v>
      </c>
      <c r="I775" s="21" t="s">
        <v>8</v>
      </c>
      <c r="J775" s="21" t="s">
        <v>403</v>
      </c>
      <c r="K775" s="21" t="s">
        <v>415</v>
      </c>
      <c r="L775" s="21" t="s">
        <v>416</v>
      </c>
      <c r="M775" s="21" t="s">
        <v>12</v>
      </c>
      <c r="N775" s="54">
        <v>5811.51</v>
      </c>
      <c r="O775" s="54">
        <v>0</v>
      </c>
      <c r="P775" s="54">
        <v>0</v>
      </c>
      <c r="Q775" s="54">
        <v>5811.51</v>
      </c>
      <c r="R775" s="54">
        <v>0</v>
      </c>
      <c r="S775" s="54">
        <v>4307.6000000000004</v>
      </c>
      <c r="T775" s="54">
        <v>2191.88</v>
      </c>
      <c r="U775" s="54">
        <v>1503.91</v>
      </c>
      <c r="V775" s="54">
        <v>3619.63</v>
      </c>
      <c r="W775" s="54">
        <v>1503.91</v>
      </c>
    </row>
    <row r="776" spans="1:23" outlineLevel="2" x14ac:dyDescent="0.2">
      <c r="A776" s="21" t="s">
        <v>402</v>
      </c>
      <c r="B776" s="21" t="s">
        <v>39</v>
      </c>
      <c r="C776" s="21" t="s">
        <v>58</v>
      </c>
      <c r="D776" s="21" t="s">
        <v>135</v>
      </c>
      <c r="E776" s="21" t="s">
        <v>136</v>
      </c>
      <c r="F776" s="21" t="s">
        <v>5</v>
      </c>
      <c r="G776" s="21" t="s">
        <v>6</v>
      </c>
      <c r="H776" s="21" t="s">
        <v>7</v>
      </c>
      <c r="I776" s="21" t="s">
        <v>8</v>
      </c>
      <c r="J776" s="21" t="s">
        <v>403</v>
      </c>
      <c r="K776" s="21" t="s">
        <v>415</v>
      </c>
      <c r="L776" s="21" t="s">
        <v>419</v>
      </c>
      <c r="M776" s="21" t="s">
        <v>12</v>
      </c>
      <c r="N776" s="54">
        <v>37200</v>
      </c>
      <c r="O776" s="54">
        <v>0</v>
      </c>
      <c r="P776" s="54">
        <v>0</v>
      </c>
      <c r="Q776" s="54">
        <v>37200</v>
      </c>
      <c r="R776" s="54">
        <v>0</v>
      </c>
      <c r="S776" s="54">
        <v>22200</v>
      </c>
      <c r="T776" s="54">
        <v>18340.009999999998</v>
      </c>
      <c r="U776" s="54">
        <v>15000</v>
      </c>
      <c r="V776" s="54">
        <v>18859.990000000002</v>
      </c>
      <c r="W776" s="54">
        <v>15000</v>
      </c>
    </row>
    <row r="777" spans="1:23" outlineLevel="2" x14ac:dyDescent="0.2">
      <c r="A777" s="21" t="s">
        <v>402</v>
      </c>
      <c r="B777" s="21" t="s">
        <v>39</v>
      </c>
      <c r="C777" s="21" t="s">
        <v>58</v>
      </c>
      <c r="D777" s="21" t="s">
        <v>143</v>
      </c>
      <c r="E777" s="21" t="s">
        <v>144</v>
      </c>
      <c r="F777" s="21" t="s">
        <v>5</v>
      </c>
      <c r="G777" s="21" t="s">
        <v>6</v>
      </c>
      <c r="H777" s="21" t="s">
        <v>7</v>
      </c>
      <c r="I777" s="21" t="s">
        <v>8</v>
      </c>
      <c r="J777" s="21" t="s">
        <v>403</v>
      </c>
      <c r="K777" s="21" t="s">
        <v>415</v>
      </c>
      <c r="L777" s="21" t="s">
        <v>419</v>
      </c>
      <c r="M777" s="21" t="s">
        <v>12</v>
      </c>
      <c r="N777" s="54">
        <v>17000</v>
      </c>
      <c r="O777" s="54">
        <v>0</v>
      </c>
      <c r="P777" s="54">
        <v>0</v>
      </c>
      <c r="Q777" s="54">
        <v>17000</v>
      </c>
      <c r="R777" s="54">
        <v>0</v>
      </c>
      <c r="S777" s="54">
        <v>11484.31</v>
      </c>
      <c r="T777" s="54">
        <v>11463.59</v>
      </c>
      <c r="U777" s="54">
        <v>5515.69</v>
      </c>
      <c r="V777" s="54">
        <v>5536.41</v>
      </c>
      <c r="W777" s="54">
        <v>5515.69</v>
      </c>
    </row>
    <row r="778" spans="1:23" outlineLevel="2" x14ac:dyDescent="0.2">
      <c r="A778" s="21" t="s">
        <v>402</v>
      </c>
      <c r="B778" s="21" t="s">
        <v>39</v>
      </c>
      <c r="C778" s="21" t="s">
        <v>40</v>
      </c>
      <c r="D778" s="21" t="s">
        <v>77</v>
      </c>
      <c r="E778" s="21" t="s">
        <v>78</v>
      </c>
      <c r="F778" s="21" t="s">
        <v>5</v>
      </c>
      <c r="G778" s="21" t="s">
        <v>6</v>
      </c>
      <c r="H778" s="21" t="s">
        <v>7</v>
      </c>
      <c r="I778" s="21" t="s">
        <v>8</v>
      </c>
      <c r="J778" s="21" t="s">
        <v>403</v>
      </c>
      <c r="K778" s="21" t="s">
        <v>415</v>
      </c>
      <c r="L778" s="21" t="s">
        <v>417</v>
      </c>
      <c r="M778" s="21" t="s">
        <v>12</v>
      </c>
      <c r="N778" s="54">
        <v>0</v>
      </c>
      <c r="O778" s="54">
        <v>55000</v>
      </c>
      <c r="P778" s="54">
        <v>0</v>
      </c>
      <c r="Q778" s="54">
        <v>55000</v>
      </c>
      <c r="R778" s="54">
        <v>0</v>
      </c>
      <c r="S778" s="54">
        <v>55000</v>
      </c>
      <c r="T778" s="54">
        <v>32917.9</v>
      </c>
      <c r="U778" s="54">
        <v>0</v>
      </c>
      <c r="V778" s="54">
        <v>22082.1</v>
      </c>
      <c r="W778" s="54">
        <v>0</v>
      </c>
    </row>
    <row r="779" spans="1:23" outlineLevel="2" x14ac:dyDescent="0.2">
      <c r="A779" s="21" t="s">
        <v>402</v>
      </c>
      <c r="B779" s="21" t="s">
        <v>39</v>
      </c>
      <c r="C779" s="21" t="s">
        <v>58</v>
      </c>
      <c r="D779" s="21" t="s">
        <v>149</v>
      </c>
      <c r="E779" s="21" t="s">
        <v>150</v>
      </c>
      <c r="F779" s="21" t="s">
        <v>5</v>
      </c>
      <c r="G779" s="21" t="s">
        <v>6</v>
      </c>
      <c r="H779" s="21" t="s">
        <v>7</v>
      </c>
      <c r="I779" s="21" t="s">
        <v>8</v>
      </c>
      <c r="J779" s="21" t="s">
        <v>403</v>
      </c>
      <c r="K779" s="21" t="s">
        <v>415</v>
      </c>
      <c r="L779" s="21" t="s">
        <v>419</v>
      </c>
      <c r="M779" s="21" t="s">
        <v>12</v>
      </c>
      <c r="N779" s="54">
        <v>30000</v>
      </c>
      <c r="O779" s="54">
        <v>0</v>
      </c>
      <c r="P779" s="54">
        <v>0</v>
      </c>
      <c r="Q779" s="54">
        <v>30000</v>
      </c>
      <c r="R779" s="54">
        <v>0</v>
      </c>
      <c r="S779" s="54">
        <v>25624.73</v>
      </c>
      <c r="T779" s="54">
        <v>17619.669999999998</v>
      </c>
      <c r="U779" s="54">
        <v>4375.2700000000004</v>
      </c>
      <c r="V779" s="54">
        <v>12380.33</v>
      </c>
      <c r="W779" s="54">
        <v>4375.2700000000004</v>
      </c>
    </row>
    <row r="780" spans="1:23" outlineLevel="2" x14ac:dyDescent="0.2">
      <c r="A780" s="21" t="s">
        <v>402</v>
      </c>
      <c r="B780" s="21" t="s">
        <v>39</v>
      </c>
      <c r="C780" s="21" t="s">
        <v>58</v>
      </c>
      <c r="D780" s="21" t="s">
        <v>147</v>
      </c>
      <c r="E780" s="21" t="s">
        <v>148</v>
      </c>
      <c r="F780" s="21" t="s">
        <v>5</v>
      </c>
      <c r="G780" s="21" t="s">
        <v>6</v>
      </c>
      <c r="H780" s="21" t="s">
        <v>7</v>
      </c>
      <c r="I780" s="21" t="s">
        <v>8</v>
      </c>
      <c r="J780" s="21" t="s">
        <v>403</v>
      </c>
      <c r="K780" s="21" t="s">
        <v>415</v>
      </c>
      <c r="L780" s="21" t="s">
        <v>419</v>
      </c>
      <c r="M780" s="21" t="s">
        <v>12</v>
      </c>
      <c r="N780" s="54">
        <v>24000</v>
      </c>
      <c r="O780" s="54">
        <v>-7259</v>
      </c>
      <c r="P780" s="54">
        <v>0</v>
      </c>
      <c r="Q780" s="54">
        <v>16741</v>
      </c>
      <c r="R780" s="54">
        <v>0</v>
      </c>
      <c r="S780" s="54">
        <v>16741</v>
      </c>
      <c r="T780" s="54">
        <v>12941.23</v>
      </c>
      <c r="U780" s="54">
        <v>0</v>
      </c>
      <c r="V780" s="54">
        <v>3799.77</v>
      </c>
      <c r="W780" s="54">
        <v>0</v>
      </c>
    </row>
    <row r="781" spans="1:23" outlineLevel="2" x14ac:dyDescent="0.2">
      <c r="A781" s="21" t="s">
        <v>402</v>
      </c>
      <c r="B781" s="21" t="s">
        <v>31</v>
      </c>
      <c r="C781" s="21" t="s">
        <v>79</v>
      </c>
      <c r="D781" s="21" t="s">
        <v>115</v>
      </c>
      <c r="E781" s="21" t="s">
        <v>116</v>
      </c>
      <c r="F781" s="21" t="s">
        <v>5</v>
      </c>
      <c r="G781" s="21" t="s">
        <v>6</v>
      </c>
      <c r="H781" s="21" t="s">
        <v>7</v>
      </c>
      <c r="I781" s="21" t="s">
        <v>8</v>
      </c>
      <c r="J781" s="21" t="s">
        <v>403</v>
      </c>
      <c r="K781" s="21" t="s">
        <v>415</v>
      </c>
      <c r="L781" s="21" t="s">
        <v>416</v>
      </c>
      <c r="M781" s="21" t="s">
        <v>12</v>
      </c>
      <c r="N781" s="54">
        <v>6600</v>
      </c>
      <c r="O781" s="54">
        <v>0</v>
      </c>
      <c r="P781" s="54">
        <v>0</v>
      </c>
      <c r="Q781" s="54">
        <v>6600</v>
      </c>
      <c r="R781" s="54">
        <v>0</v>
      </c>
      <c r="S781" s="54">
        <v>6600</v>
      </c>
      <c r="T781" s="54">
        <v>2509.41</v>
      </c>
      <c r="U781" s="54">
        <v>0</v>
      </c>
      <c r="V781" s="54">
        <v>4090.59</v>
      </c>
      <c r="W781" s="54">
        <v>0</v>
      </c>
    </row>
    <row r="782" spans="1:23" outlineLevel="2" x14ac:dyDescent="0.2">
      <c r="A782" s="21" t="s">
        <v>402</v>
      </c>
      <c r="B782" s="21" t="s">
        <v>39</v>
      </c>
      <c r="C782" s="21" t="s">
        <v>58</v>
      </c>
      <c r="D782" s="21" t="s">
        <v>145</v>
      </c>
      <c r="E782" s="21" t="s">
        <v>146</v>
      </c>
      <c r="F782" s="21" t="s">
        <v>5</v>
      </c>
      <c r="G782" s="21" t="s">
        <v>6</v>
      </c>
      <c r="H782" s="21" t="s">
        <v>7</v>
      </c>
      <c r="I782" s="21" t="s">
        <v>8</v>
      </c>
      <c r="J782" s="21" t="s">
        <v>403</v>
      </c>
      <c r="K782" s="21" t="s">
        <v>415</v>
      </c>
      <c r="L782" s="21" t="s">
        <v>419</v>
      </c>
      <c r="M782" s="21" t="s">
        <v>12</v>
      </c>
      <c r="N782" s="54">
        <v>13050</v>
      </c>
      <c r="O782" s="54">
        <v>0</v>
      </c>
      <c r="P782" s="54">
        <v>0</v>
      </c>
      <c r="Q782" s="54">
        <v>13050</v>
      </c>
      <c r="R782" s="54">
        <v>0</v>
      </c>
      <c r="S782" s="54">
        <v>13050</v>
      </c>
      <c r="T782" s="54">
        <v>3674.7</v>
      </c>
      <c r="U782" s="54">
        <v>0</v>
      </c>
      <c r="V782" s="54">
        <v>9375.2999999999993</v>
      </c>
      <c r="W782" s="54">
        <v>0</v>
      </c>
    </row>
    <row r="783" spans="1:23" outlineLevel="2" x14ac:dyDescent="0.2">
      <c r="A783" s="21" t="s">
        <v>402</v>
      </c>
      <c r="B783" s="21" t="s">
        <v>39</v>
      </c>
      <c r="C783" s="21" t="s">
        <v>70</v>
      </c>
      <c r="D783" s="21" t="s">
        <v>89</v>
      </c>
      <c r="E783" s="21" t="s">
        <v>90</v>
      </c>
      <c r="F783" s="21" t="s">
        <v>5</v>
      </c>
      <c r="G783" s="21" t="s">
        <v>6</v>
      </c>
      <c r="H783" s="21" t="s">
        <v>7</v>
      </c>
      <c r="I783" s="21" t="s">
        <v>8</v>
      </c>
      <c r="J783" s="21" t="s">
        <v>403</v>
      </c>
      <c r="K783" s="21" t="s">
        <v>415</v>
      </c>
      <c r="L783" s="21" t="s">
        <v>418</v>
      </c>
      <c r="M783" s="21" t="s">
        <v>12</v>
      </c>
      <c r="N783" s="54">
        <v>50000</v>
      </c>
      <c r="O783" s="54">
        <v>0</v>
      </c>
      <c r="P783" s="54">
        <v>0</v>
      </c>
      <c r="Q783" s="54">
        <v>50000</v>
      </c>
      <c r="R783" s="54">
        <v>0</v>
      </c>
      <c r="S783" s="54">
        <v>50000</v>
      </c>
      <c r="T783" s="54">
        <v>39614.28</v>
      </c>
      <c r="U783" s="54">
        <v>0</v>
      </c>
      <c r="V783" s="54">
        <v>10385.719999999999</v>
      </c>
      <c r="W783" s="54">
        <v>0</v>
      </c>
    </row>
    <row r="784" spans="1:23" outlineLevel="2" x14ac:dyDescent="0.2">
      <c r="A784" s="21" t="s">
        <v>402</v>
      </c>
      <c r="B784" s="21" t="s">
        <v>39</v>
      </c>
      <c r="C784" s="21" t="s">
        <v>66</v>
      </c>
      <c r="D784" s="21" t="s">
        <v>67</v>
      </c>
      <c r="E784" s="21" t="s">
        <v>68</v>
      </c>
      <c r="F784" s="21" t="s">
        <v>5</v>
      </c>
      <c r="G784" s="21" t="s">
        <v>6</v>
      </c>
      <c r="H784" s="21" t="s">
        <v>7</v>
      </c>
      <c r="I784" s="21" t="s">
        <v>8</v>
      </c>
      <c r="J784" s="21" t="s">
        <v>403</v>
      </c>
      <c r="K784" s="21" t="s">
        <v>425</v>
      </c>
      <c r="L784" s="21" t="s">
        <v>432</v>
      </c>
      <c r="M784" s="21" t="s">
        <v>12</v>
      </c>
      <c r="N784" s="54">
        <v>10600</v>
      </c>
      <c r="O784" s="54">
        <v>-1688</v>
      </c>
      <c r="P784" s="54">
        <v>0</v>
      </c>
      <c r="Q784" s="54">
        <v>8912</v>
      </c>
      <c r="R784" s="54">
        <v>0</v>
      </c>
      <c r="S784" s="54">
        <v>8912</v>
      </c>
      <c r="T784" s="54">
        <v>5859.97</v>
      </c>
      <c r="U784" s="54">
        <v>0</v>
      </c>
      <c r="V784" s="54">
        <v>3052.03</v>
      </c>
      <c r="W784" s="54">
        <v>0</v>
      </c>
    </row>
    <row r="785" spans="1:23" outlineLevel="2" x14ac:dyDescent="0.2">
      <c r="A785" s="21" t="s">
        <v>402</v>
      </c>
      <c r="B785" s="21" t="s">
        <v>39</v>
      </c>
      <c r="C785" s="21" t="s">
        <v>58</v>
      </c>
      <c r="D785" s="21" t="s">
        <v>149</v>
      </c>
      <c r="E785" s="21" t="s">
        <v>150</v>
      </c>
      <c r="F785" s="21" t="s">
        <v>5</v>
      </c>
      <c r="G785" s="21" t="s">
        <v>6</v>
      </c>
      <c r="H785" s="21" t="s">
        <v>7</v>
      </c>
      <c r="I785" s="21" t="s">
        <v>8</v>
      </c>
      <c r="J785" s="21" t="s">
        <v>403</v>
      </c>
      <c r="K785" s="21" t="s">
        <v>425</v>
      </c>
      <c r="L785" s="21" t="s">
        <v>428</v>
      </c>
      <c r="M785" s="21" t="s">
        <v>12</v>
      </c>
      <c r="N785" s="54">
        <v>12000</v>
      </c>
      <c r="O785" s="54">
        <v>0</v>
      </c>
      <c r="P785" s="54">
        <v>0</v>
      </c>
      <c r="Q785" s="54">
        <v>12000</v>
      </c>
      <c r="R785" s="54">
        <v>0</v>
      </c>
      <c r="S785" s="54">
        <v>5647.13</v>
      </c>
      <c r="T785" s="54">
        <v>5227.33</v>
      </c>
      <c r="U785" s="54">
        <v>6352.87</v>
      </c>
      <c r="V785" s="54">
        <v>6772.67</v>
      </c>
      <c r="W785" s="54">
        <v>6352.87</v>
      </c>
    </row>
    <row r="786" spans="1:23" outlineLevel="2" x14ac:dyDescent="0.2">
      <c r="A786" s="21" t="s">
        <v>402</v>
      </c>
      <c r="B786" s="21" t="s">
        <v>39</v>
      </c>
      <c r="C786" s="21" t="s">
        <v>58</v>
      </c>
      <c r="D786" s="21" t="s">
        <v>143</v>
      </c>
      <c r="E786" s="21" t="s">
        <v>144</v>
      </c>
      <c r="F786" s="21" t="s">
        <v>5</v>
      </c>
      <c r="G786" s="21" t="s">
        <v>6</v>
      </c>
      <c r="H786" s="21" t="s">
        <v>7</v>
      </c>
      <c r="I786" s="21" t="s">
        <v>8</v>
      </c>
      <c r="J786" s="21" t="s">
        <v>403</v>
      </c>
      <c r="K786" s="21" t="s">
        <v>425</v>
      </c>
      <c r="L786" s="21" t="s">
        <v>428</v>
      </c>
      <c r="M786" s="21" t="s">
        <v>12</v>
      </c>
      <c r="N786" s="54">
        <v>8500</v>
      </c>
      <c r="O786" s="54">
        <v>2200</v>
      </c>
      <c r="P786" s="54">
        <v>0</v>
      </c>
      <c r="Q786" s="54">
        <v>10700</v>
      </c>
      <c r="R786" s="54">
        <v>0</v>
      </c>
      <c r="S786" s="54">
        <v>1993.92</v>
      </c>
      <c r="T786" s="54">
        <v>1993.92</v>
      </c>
      <c r="U786" s="54">
        <v>8706.08</v>
      </c>
      <c r="V786" s="54">
        <v>8706.08</v>
      </c>
      <c r="W786" s="54">
        <v>8706.08</v>
      </c>
    </row>
    <row r="787" spans="1:23" outlineLevel="2" x14ac:dyDescent="0.2">
      <c r="A787" s="21" t="s">
        <v>402</v>
      </c>
      <c r="B787" s="21" t="s">
        <v>1</v>
      </c>
      <c r="C787" s="21" t="s">
        <v>2</v>
      </c>
      <c r="D787" s="21" t="s">
        <v>13</v>
      </c>
      <c r="E787" s="21" t="s">
        <v>14</v>
      </c>
      <c r="F787" s="21" t="s">
        <v>5</v>
      </c>
      <c r="G787" s="21" t="s">
        <v>6</v>
      </c>
      <c r="H787" s="21" t="s">
        <v>7</v>
      </c>
      <c r="I787" s="21" t="s">
        <v>8</v>
      </c>
      <c r="J787" s="21" t="s">
        <v>403</v>
      </c>
      <c r="K787" s="21" t="s">
        <v>425</v>
      </c>
      <c r="L787" s="21" t="s">
        <v>430</v>
      </c>
      <c r="M787" s="21" t="s">
        <v>15</v>
      </c>
      <c r="N787" s="54">
        <v>12285.16</v>
      </c>
      <c r="O787" s="54">
        <v>0</v>
      </c>
      <c r="P787" s="54">
        <v>0</v>
      </c>
      <c r="Q787" s="54">
        <v>12285.16</v>
      </c>
      <c r="R787" s="54">
        <v>0</v>
      </c>
      <c r="S787" s="54">
        <v>0</v>
      </c>
      <c r="T787" s="54">
        <v>0</v>
      </c>
      <c r="U787" s="54">
        <v>12285.16</v>
      </c>
      <c r="V787" s="54">
        <v>12285.16</v>
      </c>
      <c r="W787" s="54">
        <v>12285.16</v>
      </c>
    </row>
    <row r="788" spans="1:23" outlineLevel="2" x14ac:dyDescent="0.2">
      <c r="A788" s="21" t="s">
        <v>402</v>
      </c>
      <c r="B788" s="21" t="s">
        <v>39</v>
      </c>
      <c r="C788" s="21" t="s">
        <v>58</v>
      </c>
      <c r="D788" s="21" t="s">
        <v>59</v>
      </c>
      <c r="E788" s="21" t="s">
        <v>60</v>
      </c>
      <c r="F788" s="21" t="s">
        <v>5</v>
      </c>
      <c r="G788" s="21" t="s">
        <v>6</v>
      </c>
      <c r="H788" s="21" t="s">
        <v>7</v>
      </c>
      <c r="I788" s="21" t="s">
        <v>8</v>
      </c>
      <c r="J788" s="21" t="s">
        <v>403</v>
      </c>
      <c r="K788" s="21" t="s">
        <v>425</v>
      </c>
      <c r="L788" s="21" t="s">
        <v>428</v>
      </c>
      <c r="M788" s="21" t="s">
        <v>12</v>
      </c>
      <c r="N788" s="54">
        <v>4000</v>
      </c>
      <c r="O788" s="54">
        <v>0</v>
      </c>
      <c r="P788" s="54">
        <v>0</v>
      </c>
      <c r="Q788" s="54">
        <v>4000</v>
      </c>
      <c r="R788" s="54">
        <v>0</v>
      </c>
      <c r="S788" s="54">
        <v>2500</v>
      </c>
      <c r="T788" s="54">
        <v>1032.42</v>
      </c>
      <c r="U788" s="54">
        <v>1500</v>
      </c>
      <c r="V788" s="54">
        <v>2967.58</v>
      </c>
      <c r="W788" s="54">
        <v>1500</v>
      </c>
    </row>
    <row r="789" spans="1:23" outlineLevel="2" x14ac:dyDescent="0.2">
      <c r="A789" s="21" t="s">
        <v>402</v>
      </c>
      <c r="B789" s="21" t="s">
        <v>31</v>
      </c>
      <c r="C789" s="21" t="s">
        <v>79</v>
      </c>
      <c r="D789" s="21" t="s">
        <v>133</v>
      </c>
      <c r="E789" s="21" t="s">
        <v>134</v>
      </c>
      <c r="F789" s="21" t="s">
        <v>5</v>
      </c>
      <c r="G789" s="21" t="s">
        <v>6</v>
      </c>
      <c r="H789" s="21" t="s">
        <v>7</v>
      </c>
      <c r="I789" s="21" t="s">
        <v>8</v>
      </c>
      <c r="J789" s="21" t="s">
        <v>403</v>
      </c>
      <c r="K789" s="21" t="s">
        <v>425</v>
      </c>
      <c r="L789" s="21" t="s">
        <v>429</v>
      </c>
      <c r="M789" s="21" t="s">
        <v>12</v>
      </c>
      <c r="N789" s="54">
        <v>2000</v>
      </c>
      <c r="O789" s="54">
        <v>0</v>
      </c>
      <c r="P789" s="54">
        <v>0</v>
      </c>
      <c r="Q789" s="54">
        <v>2000</v>
      </c>
      <c r="R789" s="54">
        <v>0</v>
      </c>
      <c r="S789" s="54">
        <v>2000</v>
      </c>
      <c r="T789" s="54">
        <v>395.8</v>
      </c>
      <c r="U789" s="54">
        <v>0</v>
      </c>
      <c r="V789" s="54">
        <v>1604.2</v>
      </c>
      <c r="W789" s="54">
        <v>0</v>
      </c>
    </row>
    <row r="790" spans="1:23" outlineLevel="2" x14ac:dyDescent="0.2">
      <c r="A790" s="21" t="s">
        <v>402</v>
      </c>
      <c r="B790" s="21" t="s">
        <v>31</v>
      </c>
      <c r="C790" s="21" t="s">
        <v>79</v>
      </c>
      <c r="D790" s="21" t="s">
        <v>80</v>
      </c>
      <c r="E790" s="21" t="s">
        <v>81</v>
      </c>
      <c r="F790" s="21" t="s">
        <v>5</v>
      </c>
      <c r="G790" s="21" t="s">
        <v>6</v>
      </c>
      <c r="H790" s="21" t="s">
        <v>7</v>
      </c>
      <c r="I790" s="21" t="s">
        <v>8</v>
      </c>
      <c r="J790" s="21" t="s">
        <v>403</v>
      </c>
      <c r="K790" s="21" t="s">
        <v>425</v>
      </c>
      <c r="L790" s="21" t="s">
        <v>429</v>
      </c>
      <c r="M790" s="21" t="s">
        <v>12</v>
      </c>
      <c r="N790" s="54">
        <v>20000</v>
      </c>
      <c r="O790" s="54">
        <v>0</v>
      </c>
      <c r="P790" s="54">
        <v>0</v>
      </c>
      <c r="Q790" s="54">
        <v>20000</v>
      </c>
      <c r="R790" s="54">
        <v>0</v>
      </c>
      <c r="S790" s="54">
        <v>20000</v>
      </c>
      <c r="T790" s="54">
        <v>10728.44</v>
      </c>
      <c r="U790" s="54">
        <v>0</v>
      </c>
      <c r="V790" s="54">
        <v>9271.56</v>
      </c>
      <c r="W790" s="54">
        <v>0</v>
      </c>
    </row>
    <row r="791" spans="1:23" outlineLevel="2" x14ac:dyDescent="0.2">
      <c r="A791" s="21" t="s">
        <v>402</v>
      </c>
      <c r="B791" s="21" t="s">
        <v>39</v>
      </c>
      <c r="C791" s="21" t="s">
        <v>58</v>
      </c>
      <c r="D791" s="21" t="s">
        <v>147</v>
      </c>
      <c r="E791" s="21" t="s">
        <v>148</v>
      </c>
      <c r="F791" s="21" t="s">
        <v>5</v>
      </c>
      <c r="G791" s="21" t="s">
        <v>6</v>
      </c>
      <c r="H791" s="21" t="s">
        <v>7</v>
      </c>
      <c r="I791" s="21" t="s">
        <v>8</v>
      </c>
      <c r="J791" s="21" t="s">
        <v>403</v>
      </c>
      <c r="K791" s="21" t="s">
        <v>425</v>
      </c>
      <c r="L791" s="21" t="s">
        <v>428</v>
      </c>
      <c r="M791" s="21" t="s">
        <v>12</v>
      </c>
      <c r="N791" s="54">
        <v>3700</v>
      </c>
      <c r="O791" s="54">
        <v>0</v>
      </c>
      <c r="P791" s="54">
        <v>0</v>
      </c>
      <c r="Q791" s="54">
        <v>3700</v>
      </c>
      <c r="R791" s="54">
        <v>0</v>
      </c>
      <c r="S791" s="54">
        <v>3700</v>
      </c>
      <c r="T791" s="54">
        <v>1732.41</v>
      </c>
      <c r="U791" s="54">
        <v>0</v>
      </c>
      <c r="V791" s="54">
        <v>1967.59</v>
      </c>
      <c r="W791" s="54">
        <v>0</v>
      </c>
    </row>
    <row r="792" spans="1:23" outlineLevel="2" x14ac:dyDescent="0.2">
      <c r="A792" s="21" t="s">
        <v>402</v>
      </c>
      <c r="B792" s="21" t="s">
        <v>31</v>
      </c>
      <c r="C792" s="21" t="s">
        <v>32</v>
      </c>
      <c r="D792" s="21" t="s">
        <v>33</v>
      </c>
      <c r="E792" s="21" t="s">
        <v>34</v>
      </c>
      <c r="F792" s="21" t="s">
        <v>5</v>
      </c>
      <c r="G792" s="21" t="s">
        <v>6</v>
      </c>
      <c r="H792" s="21" t="s">
        <v>7</v>
      </c>
      <c r="I792" s="21" t="s">
        <v>8</v>
      </c>
      <c r="J792" s="21" t="s">
        <v>403</v>
      </c>
      <c r="K792" s="21" t="s">
        <v>425</v>
      </c>
      <c r="L792" s="21" t="s">
        <v>433</v>
      </c>
      <c r="M792" s="21" t="s">
        <v>12</v>
      </c>
      <c r="N792" s="54">
        <v>18000</v>
      </c>
      <c r="O792" s="54">
        <v>-9000</v>
      </c>
      <c r="P792" s="54">
        <v>0</v>
      </c>
      <c r="Q792" s="54">
        <v>9000</v>
      </c>
      <c r="R792" s="54">
        <v>0</v>
      </c>
      <c r="S792" s="54">
        <v>5287</v>
      </c>
      <c r="T792" s="54">
        <v>5287</v>
      </c>
      <c r="U792" s="54">
        <v>3713</v>
      </c>
      <c r="V792" s="54">
        <v>3713</v>
      </c>
      <c r="W792" s="54">
        <v>3713</v>
      </c>
    </row>
    <row r="793" spans="1:23" outlineLevel="2" x14ac:dyDescent="0.2">
      <c r="A793" s="21" t="s">
        <v>402</v>
      </c>
      <c r="B793" s="21" t="s">
        <v>31</v>
      </c>
      <c r="C793" s="21" t="s">
        <v>32</v>
      </c>
      <c r="D793" s="21" t="s">
        <v>75</v>
      </c>
      <c r="E793" s="21" t="s">
        <v>76</v>
      </c>
      <c r="F793" s="21" t="s">
        <v>5</v>
      </c>
      <c r="G793" s="21" t="s">
        <v>6</v>
      </c>
      <c r="H793" s="21" t="s">
        <v>7</v>
      </c>
      <c r="I793" s="21" t="s">
        <v>8</v>
      </c>
      <c r="J793" s="21" t="s">
        <v>403</v>
      </c>
      <c r="K793" s="21" t="s">
        <v>425</v>
      </c>
      <c r="L793" s="21" t="s">
        <v>433</v>
      </c>
      <c r="M793" s="21" t="s">
        <v>12</v>
      </c>
      <c r="N793" s="54">
        <v>6000</v>
      </c>
      <c r="O793" s="54">
        <v>0</v>
      </c>
      <c r="P793" s="54">
        <v>0</v>
      </c>
      <c r="Q793" s="54">
        <v>6000</v>
      </c>
      <c r="R793" s="54">
        <v>0</v>
      </c>
      <c r="S793" s="54">
        <v>6000</v>
      </c>
      <c r="T793" s="54">
        <v>3924.22</v>
      </c>
      <c r="U793" s="54">
        <v>0</v>
      </c>
      <c r="V793" s="54">
        <v>2075.7800000000002</v>
      </c>
      <c r="W793" s="54">
        <v>0</v>
      </c>
    </row>
    <row r="794" spans="1:23" outlineLevel="2" x14ac:dyDescent="0.2">
      <c r="A794" s="21" t="s">
        <v>402</v>
      </c>
      <c r="B794" s="21" t="s">
        <v>1</v>
      </c>
      <c r="C794" s="21" t="s">
        <v>2</v>
      </c>
      <c r="D794" s="21" t="s">
        <v>20</v>
      </c>
      <c r="E794" s="21" t="s">
        <v>21</v>
      </c>
      <c r="F794" s="21" t="s">
        <v>5</v>
      </c>
      <c r="G794" s="21" t="s">
        <v>6</v>
      </c>
      <c r="H794" s="21" t="s">
        <v>7</v>
      </c>
      <c r="I794" s="21" t="s">
        <v>8</v>
      </c>
      <c r="J794" s="21" t="s">
        <v>403</v>
      </c>
      <c r="K794" s="21" t="s">
        <v>425</v>
      </c>
      <c r="L794" s="21" t="s">
        <v>430</v>
      </c>
      <c r="M794" s="21" t="s">
        <v>15</v>
      </c>
      <c r="N794" s="54">
        <v>1700</v>
      </c>
      <c r="O794" s="54">
        <v>0</v>
      </c>
      <c r="P794" s="54">
        <v>0</v>
      </c>
      <c r="Q794" s="54">
        <v>1700</v>
      </c>
      <c r="R794" s="54">
        <v>0</v>
      </c>
      <c r="S794" s="54">
        <v>0</v>
      </c>
      <c r="T794" s="54">
        <v>0</v>
      </c>
      <c r="U794" s="54">
        <v>1700</v>
      </c>
      <c r="V794" s="54">
        <v>1700</v>
      </c>
      <c r="W794" s="54">
        <v>1700</v>
      </c>
    </row>
    <row r="795" spans="1:23" outlineLevel="2" x14ac:dyDescent="0.2">
      <c r="A795" s="21" t="s">
        <v>402</v>
      </c>
      <c r="B795" s="21" t="s">
        <v>31</v>
      </c>
      <c r="C795" s="21" t="s">
        <v>32</v>
      </c>
      <c r="D795" s="21" t="s">
        <v>123</v>
      </c>
      <c r="E795" s="21" t="s">
        <v>124</v>
      </c>
      <c r="F795" s="21" t="s">
        <v>5</v>
      </c>
      <c r="G795" s="21" t="s">
        <v>6</v>
      </c>
      <c r="H795" s="21" t="s">
        <v>7</v>
      </c>
      <c r="I795" s="21" t="s">
        <v>8</v>
      </c>
      <c r="J795" s="21" t="s">
        <v>403</v>
      </c>
      <c r="K795" s="21" t="s">
        <v>425</v>
      </c>
      <c r="L795" s="21" t="s">
        <v>433</v>
      </c>
      <c r="M795" s="21" t="s">
        <v>12</v>
      </c>
      <c r="N795" s="54">
        <v>4000</v>
      </c>
      <c r="O795" s="54">
        <v>0</v>
      </c>
      <c r="P795" s="54">
        <v>0</v>
      </c>
      <c r="Q795" s="54">
        <v>4000</v>
      </c>
      <c r="R795" s="54">
        <v>0</v>
      </c>
      <c r="S795" s="54">
        <v>4000</v>
      </c>
      <c r="T795" s="54">
        <v>3008.12</v>
      </c>
      <c r="U795" s="54">
        <v>0</v>
      </c>
      <c r="V795" s="54">
        <v>991.88</v>
      </c>
      <c r="W795" s="54">
        <v>0</v>
      </c>
    </row>
    <row r="796" spans="1:23" outlineLevel="2" x14ac:dyDescent="0.2">
      <c r="A796" s="21" t="s">
        <v>402</v>
      </c>
      <c r="B796" s="21" t="s">
        <v>31</v>
      </c>
      <c r="C796" s="21" t="s">
        <v>79</v>
      </c>
      <c r="D796" s="21" t="s">
        <v>113</v>
      </c>
      <c r="E796" s="21" t="s">
        <v>114</v>
      </c>
      <c r="F796" s="21" t="s">
        <v>5</v>
      </c>
      <c r="G796" s="21" t="s">
        <v>6</v>
      </c>
      <c r="H796" s="21" t="s">
        <v>7</v>
      </c>
      <c r="I796" s="21" t="s">
        <v>8</v>
      </c>
      <c r="J796" s="21" t="s">
        <v>403</v>
      </c>
      <c r="K796" s="21" t="s">
        <v>425</v>
      </c>
      <c r="L796" s="21" t="s">
        <v>429</v>
      </c>
      <c r="M796" s="21" t="s">
        <v>12</v>
      </c>
      <c r="N796" s="54">
        <v>500</v>
      </c>
      <c r="O796" s="54">
        <v>0</v>
      </c>
      <c r="P796" s="54">
        <v>0</v>
      </c>
      <c r="Q796" s="54">
        <v>500</v>
      </c>
      <c r="R796" s="54">
        <v>0</v>
      </c>
      <c r="S796" s="54">
        <v>500</v>
      </c>
      <c r="T796" s="54">
        <v>415.65</v>
      </c>
      <c r="U796" s="54">
        <v>0</v>
      </c>
      <c r="V796" s="54">
        <v>84.35</v>
      </c>
      <c r="W796" s="54">
        <v>0</v>
      </c>
    </row>
    <row r="797" spans="1:23" outlineLevel="2" x14ac:dyDescent="0.2">
      <c r="A797" s="21" t="s">
        <v>402</v>
      </c>
      <c r="B797" s="21" t="s">
        <v>1</v>
      </c>
      <c r="C797" s="21" t="s">
        <v>91</v>
      </c>
      <c r="D797" s="21" t="s">
        <v>92</v>
      </c>
      <c r="E797" s="21" t="s">
        <v>93</v>
      </c>
      <c r="F797" s="21" t="s">
        <v>5</v>
      </c>
      <c r="G797" s="21" t="s">
        <v>6</v>
      </c>
      <c r="H797" s="21" t="s">
        <v>7</v>
      </c>
      <c r="I797" s="21" t="s">
        <v>8</v>
      </c>
      <c r="J797" s="21" t="s">
        <v>403</v>
      </c>
      <c r="K797" s="21" t="s">
        <v>425</v>
      </c>
      <c r="L797" s="21" t="s">
        <v>431</v>
      </c>
      <c r="M797" s="21" t="s">
        <v>15</v>
      </c>
      <c r="N797" s="54">
        <v>5000</v>
      </c>
      <c r="O797" s="54">
        <v>658.56</v>
      </c>
      <c r="P797" s="54">
        <v>0</v>
      </c>
      <c r="Q797" s="54">
        <v>5658.56</v>
      </c>
      <c r="R797" s="54">
        <v>8.85</v>
      </c>
      <c r="S797" s="54">
        <v>5649.71</v>
      </c>
      <c r="T797" s="54">
        <v>3264.83</v>
      </c>
      <c r="U797" s="54">
        <v>8.85</v>
      </c>
      <c r="V797" s="54">
        <v>2393.73</v>
      </c>
      <c r="W797" s="54">
        <v>0</v>
      </c>
    </row>
    <row r="798" spans="1:23" outlineLevel="2" x14ac:dyDescent="0.2">
      <c r="A798" s="21" t="s">
        <v>402</v>
      </c>
      <c r="B798" s="21" t="s">
        <v>39</v>
      </c>
      <c r="C798" s="21" t="s">
        <v>70</v>
      </c>
      <c r="D798" s="21" t="s">
        <v>89</v>
      </c>
      <c r="E798" s="21" t="s">
        <v>90</v>
      </c>
      <c r="F798" s="21" t="s">
        <v>5</v>
      </c>
      <c r="G798" s="21" t="s">
        <v>6</v>
      </c>
      <c r="H798" s="21" t="s">
        <v>7</v>
      </c>
      <c r="I798" s="21" t="s">
        <v>8</v>
      </c>
      <c r="J798" s="21" t="s">
        <v>403</v>
      </c>
      <c r="K798" s="21" t="s">
        <v>425</v>
      </c>
      <c r="L798" s="21" t="s">
        <v>434</v>
      </c>
      <c r="M798" s="21" t="s">
        <v>12</v>
      </c>
      <c r="N798" s="54">
        <v>20000</v>
      </c>
      <c r="O798" s="54">
        <v>0</v>
      </c>
      <c r="P798" s="54">
        <v>0</v>
      </c>
      <c r="Q798" s="54">
        <v>20000</v>
      </c>
      <c r="R798" s="54">
        <v>0</v>
      </c>
      <c r="S798" s="54">
        <v>20000</v>
      </c>
      <c r="T798" s="54">
        <v>15501.26</v>
      </c>
      <c r="U798" s="54">
        <v>0</v>
      </c>
      <c r="V798" s="54">
        <v>4498.74</v>
      </c>
      <c r="W798" s="54">
        <v>0</v>
      </c>
    </row>
    <row r="799" spans="1:23" outlineLevel="2" x14ac:dyDescent="0.2">
      <c r="A799" s="21" t="s">
        <v>402</v>
      </c>
      <c r="B799" s="21" t="s">
        <v>31</v>
      </c>
      <c r="C799" s="21" t="s">
        <v>79</v>
      </c>
      <c r="D799" s="21" t="s">
        <v>115</v>
      </c>
      <c r="E799" s="21" t="s">
        <v>116</v>
      </c>
      <c r="F799" s="21" t="s">
        <v>5</v>
      </c>
      <c r="G799" s="21" t="s">
        <v>6</v>
      </c>
      <c r="H799" s="21" t="s">
        <v>7</v>
      </c>
      <c r="I799" s="21" t="s">
        <v>8</v>
      </c>
      <c r="J799" s="21" t="s">
        <v>403</v>
      </c>
      <c r="K799" s="21" t="s">
        <v>425</v>
      </c>
      <c r="L799" s="21" t="s">
        <v>429</v>
      </c>
      <c r="M799" s="21" t="s">
        <v>12</v>
      </c>
      <c r="N799" s="54">
        <v>500</v>
      </c>
      <c r="O799" s="54">
        <v>0</v>
      </c>
      <c r="P799" s="54">
        <v>0</v>
      </c>
      <c r="Q799" s="54">
        <v>500</v>
      </c>
      <c r="R799" s="54">
        <v>0</v>
      </c>
      <c r="S799" s="54">
        <v>500</v>
      </c>
      <c r="T799" s="54">
        <v>323.18</v>
      </c>
      <c r="U799" s="54">
        <v>0</v>
      </c>
      <c r="V799" s="54">
        <v>176.82</v>
      </c>
      <c r="W799" s="54">
        <v>0</v>
      </c>
    </row>
    <row r="800" spans="1:23" outlineLevel="2" x14ac:dyDescent="0.2">
      <c r="A800" s="21" t="s">
        <v>402</v>
      </c>
      <c r="B800" s="21" t="s">
        <v>39</v>
      </c>
      <c r="C800" s="21" t="s">
        <v>58</v>
      </c>
      <c r="D800" s="21" t="s">
        <v>145</v>
      </c>
      <c r="E800" s="21" t="s">
        <v>146</v>
      </c>
      <c r="F800" s="21" t="s">
        <v>5</v>
      </c>
      <c r="G800" s="21" t="s">
        <v>6</v>
      </c>
      <c r="H800" s="21" t="s">
        <v>7</v>
      </c>
      <c r="I800" s="21" t="s">
        <v>8</v>
      </c>
      <c r="J800" s="21" t="s">
        <v>403</v>
      </c>
      <c r="K800" s="21" t="s">
        <v>425</v>
      </c>
      <c r="L800" s="21" t="s">
        <v>428</v>
      </c>
      <c r="M800" s="21" t="s">
        <v>12</v>
      </c>
      <c r="N800" s="54">
        <v>9210.66</v>
      </c>
      <c r="O800" s="54">
        <v>-921.06</v>
      </c>
      <c r="P800" s="54">
        <v>0</v>
      </c>
      <c r="Q800" s="54">
        <v>8289.6</v>
      </c>
      <c r="R800" s="54">
        <v>74.64</v>
      </c>
      <c r="S800" s="54">
        <v>8214.9599999999991</v>
      </c>
      <c r="T800" s="54">
        <v>1948.12</v>
      </c>
      <c r="U800" s="54">
        <v>74.64</v>
      </c>
      <c r="V800" s="54">
        <v>6341.48</v>
      </c>
      <c r="W800" s="54">
        <v>0</v>
      </c>
    </row>
    <row r="801" spans="1:23" outlineLevel="2" x14ac:dyDescent="0.2">
      <c r="A801" s="21" t="s">
        <v>402</v>
      </c>
      <c r="B801" s="21" t="s">
        <v>39</v>
      </c>
      <c r="C801" s="21" t="s">
        <v>58</v>
      </c>
      <c r="D801" s="21" t="s">
        <v>137</v>
      </c>
      <c r="E801" s="21" t="s">
        <v>138</v>
      </c>
      <c r="F801" s="21" t="s">
        <v>5</v>
      </c>
      <c r="G801" s="21" t="s">
        <v>6</v>
      </c>
      <c r="H801" s="21" t="s">
        <v>7</v>
      </c>
      <c r="I801" s="21" t="s">
        <v>8</v>
      </c>
      <c r="J801" s="21" t="s">
        <v>403</v>
      </c>
      <c r="K801" s="21" t="s">
        <v>425</v>
      </c>
      <c r="L801" s="21" t="s">
        <v>428</v>
      </c>
      <c r="M801" s="21" t="s">
        <v>12</v>
      </c>
      <c r="N801" s="54">
        <v>6000</v>
      </c>
      <c r="O801" s="54">
        <v>0</v>
      </c>
      <c r="P801" s="54">
        <v>0</v>
      </c>
      <c r="Q801" s="54">
        <v>6000</v>
      </c>
      <c r="R801" s="54">
        <v>0</v>
      </c>
      <c r="S801" s="54">
        <v>6000</v>
      </c>
      <c r="T801" s="54">
        <v>2805.83</v>
      </c>
      <c r="U801" s="54">
        <v>0</v>
      </c>
      <c r="V801" s="54">
        <v>3194.17</v>
      </c>
      <c r="W801" s="54">
        <v>0</v>
      </c>
    </row>
    <row r="802" spans="1:23" outlineLevel="2" x14ac:dyDescent="0.2">
      <c r="A802" s="21" t="s">
        <v>402</v>
      </c>
      <c r="B802" s="21" t="s">
        <v>31</v>
      </c>
      <c r="C802" s="21" t="s">
        <v>79</v>
      </c>
      <c r="D802" s="21" t="s">
        <v>117</v>
      </c>
      <c r="E802" s="21" t="s">
        <v>118</v>
      </c>
      <c r="F802" s="21" t="s">
        <v>5</v>
      </c>
      <c r="G802" s="21" t="s">
        <v>6</v>
      </c>
      <c r="H802" s="21" t="s">
        <v>7</v>
      </c>
      <c r="I802" s="21" t="s">
        <v>8</v>
      </c>
      <c r="J802" s="21" t="s">
        <v>403</v>
      </c>
      <c r="K802" s="21" t="s">
        <v>425</v>
      </c>
      <c r="L802" s="21" t="s">
        <v>429</v>
      </c>
      <c r="M802" s="21" t="s">
        <v>12</v>
      </c>
      <c r="N802" s="54">
        <v>5000</v>
      </c>
      <c r="O802" s="54">
        <v>0</v>
      </c>
      <c r="P802" s="54">
        <v>0</v>
      </c>
      <c r="Q802" s="54">
        <v>5000</v>
      </c>
      <c r="R802" s="54">
        <v>108</v>
      </c>
      <c r="S802" s="54">
        <v>4850</v>
      </c>
      <c r="T802" s="54">
        <v>4654.37</v>
      </c>
      <c r="U802" s="54">
        <v>150</v>
      </c>
      <c r="V802" s="54">
        <v>345.63</v>
      </c>
      <c r="W802" s="54">
        <v>42</v>
      </c>
    </row>
    <row r="803" spans="1:23" outlineLevel="2" x14ac:dyDescent="0.2">
      <c r="A803" s="21" t="s">
        <v>402</v>
      </c>
      <c r="B803" s="21" t="s">
        <v>1</v>
      </c>
      <c r="C803" s="21" t="s">
        <v>2</v>
      </c>
      <c r="D803" s="21" t="s">
        <v>410</v>
      </c>
      <c r="E803" s="21" t="s">
        <v>411</v>
      </c>
      <c r="F803" s="21" t="s">
        <v>5</v>
      </c>
      <c r="G803" s="21" t="s">
        <v>6</v>
      </c>
      <c r="H803" s="21" t="s">
        <v>7</v>
      </c>
      <c r="I803" s="21" t="s">
        <v>8</v>
      </c>
      <c r="J803" s="21" t="s">
        <v>403</v>
      </c>
      <c r="K803" s="21" t="s">
        <v>425</v>
      </c>
      <c r="L803" s="21" t="s">
        <v>430</v>
      </c>
      <c r="M803" s="21" t="s">
        <v>15</v>
      </c>
      <c r="N803" s="54">
        <v>150000</v>
      </c>
      <c r="O803" s="54">
        <v>0</v>
      </c>
      <c r="P803" s="54">
        <v>0</v>
      </c>
      <c r="Q803" s="54">
        <v>150000</v>
      </c>
      <c r="R803" s="54">
        <v>2058.15</v>
      </c>
      <c r="S803" s="54">
        <v>112380.29</v>
      </c>
      <c r="T803" s="54">
        <v>103900.69</v>
      </c>
      <c r="U803" s="54">
        <v>37619.71</v>
      </c>
      <c r="V803" s="54">
        <v>46099.31</v>
      </c>
      <c r="W803" s="54">
        <v>35561.56</v>
      </c>
    </row>
    <row r="804" spans="1:23" outlineLevel="2" x14ac:dyDescent="0.2">
      <c r="A804" s="21" t="s">
        <v>402</v>
      </c>
      <c r="B804" s="21" t="s">
        <v>53</v>
      </c>
      <c r="C804" s="21" t="s">
        <v>54</v>
      </c>
      <c r="D804" s="21" t="s">
        <v>55</v>
      </c>
      <c r="E804" s="21" t="s">
        <v>56</v>
      </c>
      <c r="F804" s="21" t="s">
        <v>5</v>
      </c>
      <c r="G804" s="21" t="s">
        <v>6</v>
      </c>
      <c r="H804" s="21" t="s">
        <v>7</v>
      </c>
      <c r="I804" s="21" t="s">
        <v>8</v>
      </c>
      <c r="J804" s="21" t="s">
        <v>403</v>
      </c>
      <c r="K804" s="21" t="s">
        <v>425</v>
      </c>
      <c r="L804" s="21" t="s">
        <v>426</v>
      </c>
      <c r="M804" s="21" t="s">
        <v>12</v>
      </c>
      <c r="N804" s="54">
        <v>1500</v>
      </c>
      <c r="O804" s="54">
        <v>1206.5999999999999</v>
      </c>
      <c r="P804" s="54">
        <v>0</v>
      </c>
      <c r="Q804" s="54">
        <v>2706.6</v>
      </c>
      <c r="R804" s="54">
        <v>0</v>
      </c>
      <c r="S804" s="54">
        <v>2706.6</v>
      </c>
      <c r="T804" s="54">
        <v>2087.9499999999998</v>
      </c>
      <c r="U804" s="54">
        <v>0</v>
      </c>
      <c r="V804" s="54">
        <v>618.65</v>
      </c>
      <c r="W804" s="54">
        <v>0</v>
      </c>
    </row>
    <row r="805" spans="1:23" outlineLevel="2" x14ac:dyDescent="0.2">
      <c r="A805" s="21" t="s">
        <v>402</v>
      </c>
      <c r="B805" s="21" t="s">
        <v>39</v>
      </c>
      <c r="C805" s="21" t="s">
        <v>58</v>
      </c>
      <c r="D805" s="21" t="s">
        <v>135</v>
      </c>
      <c r="E805" s="21" t="s">
        <v>136</v>
      </c>
      <c r="F805" s="21" t="s">
        <v>5</v>
      </c>
      <c r="G805" s="21" t="s">
        <v>6</v>
      </c>
      <c r="H805" s="21" t="s">
        <v>7</v>
      </c>
      <c r="I805" s="21" t="s">
        <v>8</v>
      </c>
      <c r="J805" s="21" t="s">
        <v>403</v>
      </c>
      <c r="K805" s="21" t="s">
        <v>425</v>
      </c>
      <c r="L805" s="21" t="s">
        <v>428</v>
      </c>
      <c r="M805" s="21" t="s">
        <v>12</v>
      </c>
      <c r="N805" s="54">
        <v>10000</v>
      </c>
      <c r="O805" s="54">
        <v>-4000</v>
      </c>
      <c r="P805" s="54">
        <v>0</v>
      </c>
      <c r="Q805" s="54">
        <v>6000</v>
      </c>
      <c r="R805" s="54">
        <v>0</v>
      </c>
      <c r="S805" s="54">
        <v>4500</v>
      </c>
      <c r="T805" s="54">
        <v>3651.49</v>
      </c>
      <c r="U805" s="54">
        <v>1500</v>
      </c>
      <c r="V805" s="54">
        <v>2348.5100000000002</v>
      </c>
      <c r="W805" s="54">
        <v>1500</v>
      </c>
    </row>
    <row r="806" spans="1:23" outlineLevel="2" x14ac:dyDescent="0.2">
      <c r="A806" s="21" t="s">
        <v>402</v>
      </c>
      <c r="B806" s="21" t="s">
        <v>39</v>
      </c>
      <c r="C806" s="21" t="s">
        <v>40</v>
      </c>
      <c r="D806" s="21" t="s">
        <v>77</v>
      </c>
      <c r="E806" s="21" t="s">
        <v>78</v>
      </c>
      <c r="F806" s="21" t="s">
        <v>5</v>
      </c>
      <c r="G806" s="21" t="s">
        <v>6</v>
      </c>
      <c r="H806" s="21" t="s">
        <v>7</v>
      </c>
      <c r="I806" s="21" t="s">
        <v>8</v>
      </c>
      <c r="J806" s="21" t="s">
        <v>403</v>
      </c>
      <c r="K806" s="21" t="s">
        <v>425</v>
      </c>
      <c r="L806" s="21" t="s">
        <v>427</v>
      </c>
      <c r="M806" s="21" t="s">
        <v>12</v>
      </c>
      <c r="N806" s="54">
        <v>273995.59000000003</v>
      </c>
      <c r="O806" s="54">
        <v>-90386</v>
      </c>
      <c r="P806" s="54">
        <v>0</v>
      </c>
      <c r="Q806" s="54">
        <v>183609.59</v>
      </c>
      <c r="R806" s="54">
        <v>0</v>
      </c>
      <c r="S806" s="54">
        <v>153000</v>
      </c>
      <c r="T806" s="54">
        <v>39403.760000000002</v>
      </c>
      <c r="U806" s="54">
        <v>30609.59</v>
      </c>
      <c r="V806" s="54">
        <v>144205.82999999999</v>
      </c>
      <c r="W806" s="54">
        <v>30609.59</v>
      </c>
    </row>
    <row r="807" spans="1:23" outlineLevel="2" x14ac:dyDescent="0.2">
      <c r="A807" s="21" t="s">
        <v>402</v>
      </c>
      <c r="B807" s="21" t="s">
        <v>39</v>
      </c>
      <c r="C807" s="21" t="s">
        <v>58</v>
      </c>
      <c r="D807" s="21" t="s">
        <v>139</v>
      </c>
      <c r="E807" s="21" t="s">
        <v>140</v>
      </c>
      <c r="F807" s="21" t="s">
        <v>5</v>
      </c>
      <c r="G807" s="21" t="s">
        <v>6</v>
      </c>
      <c r="H807" s="21" t="s">
        <v>7</v>
      </c>
      <c r="I807" s="21" t="s">
        <v>8</v>
      </c>
      <c r="J807" s="21" t="s">
        <v>403</v>
      </c>
      <c r="K807" s="21" t="s">
        <v>425</v>
      </c>
      <c r="L807" s="21" t="s">
        <v>428</v>
      </c>
      <c r="M807" s="21" t="s">
        <v>12</v>
      </c>
      <c r="N807" s="54">
        <v>5000</v>
      </c>
      <c r="O807" s="54">
        <v>0</v>
      </c>
      <c r="P807" s="54">
        <v>0</v>
      </c>
      <c r="Q807" s="54">
        <v>5000</v>
      </c>
      <c r="R807" s="54">
        <v>0</v>
      </c>
      <c r="S807" s="54">
        <v>3177.28</v>
      </c>
      <c r="T807" s="54">
        <v>2390.6</v>
      </c>
      <c r="U807" s="54">
        <v>1822.72</v>
      </c>
      <c r="V807" s="54">
        <v>2609.4</v>
      </c>
      <c r="W807" s="54">
        <v>1822.72</v>
      </c>
    </row>
    <row r="808" spans="1:23" outlineLevel="2" x14ac:dyDescent="0.2">
      <c r="A808" s="21" t="s">
        <v>402</v>
      </c>
      <c r="B808" s="21" t="s">
        <v>31</v>
      </c>
      <c r="C808" s="21" t="s">
        <v>79</v>
      </c>
      <c r="D808" s="21" t="s">
        <v>131</v>
      </c>
      <c r="E808" s="21" t="s">
        <v>132</v>
      </c>
      <c r="F808" s="21" t="s">
        <v>5</v>
      </c>
      <c r="G808" s="21" t="s">
        <v>6</v>
      </c>
      <c r="H808" s="21" t="s">
        <v>7</v>
      </c>
      <c r="I808" s="21" t="s">
        <v>8</v>
      </c>
      <c r="J808" s="21" t="s">
        <v>403</v>
      </c>
      <c r="K808" s="21" t="s">
        <v>425</v>
      </c>
      <c r="L808" s="21" t="s">
        <v>429</v>
      </c>
      <c r="M808" s="21" t="s">
        <v>12</v>
      </c>
      <c r="N808" s="54">
        <v>1400</v>
      </c>
      <c r="O808" s="54">
        <v>0</v>
      </c>
      <c r="P808" s="54">
        <v>0</v>
      </c>
      <c r="Q808" s="54">
        <v>1400</v>
      </c>
      <c r="R808" s="54">
        <v>0</v>
      </c>
      <c r="S808" s="54">
        <v>1400</v>
      </c>
      <c r="T808" s="54">
        <v>864.28</v>
      </c>
      <c r="U808" s="54">
        <v>0</v>
      </c>
      <c r="V808" s="54">
        <v>535.72</v>
      </c>
      <c r="W808" s="54">
        <v>0</v>
      </c>
    </row>
    <row r="809" spans="1:23" outlineLevel="2" x14ac:dyDescent="0.2">
      <c r="A809" s="21" t="s">
        <v>402</v>
      </c>
      <c r="B809" s="21" t="s">
        <v>31</v>
      </c>
      <c r="C809" s="21" t="s">
        <v>79</v>
      </c>
      <c r="D809" s="21" t="s">
        <v>125</v>
      </c>
      <c r="E809" s="21" t="s">
        <v>126</v>
      </c>
      <c r="F809" s="21" t="s">
        <v>5</v>
      </c>
      <c r="G809" s="21" t="s">
        <v>6</v>
      </c>
      <c r="H809" s="21" t="s">
        <v>7</v>
      </c>
      <c r="I809" s="21" t="s">
        <v>8</v>
      </c>
      <c r="J809" s="21" t="s">
        <v>403</v>
      </c>
      <c r="K809" s="21" t="s">
        <v>425</v>
      </c>
      <c r="L809" s="21" t="s">
        <v>429</v>
      </c>
      <c r="M809" s="21" t="s">
        <v>12</v>
      </c>
      <c r="N809" s="54">
        <v>700</v>
      </c>
      <c r="O809" s="54">
        <v>0</v>
      </c>
      <c r="P809" s="54">
        <v>0</v>
      </c>
      <c r="Q809" s="54">
        <v>700</v>
      </c>
      <c r="R809" s="54">
        <v>0</v>
      </c>
      <c r="S809" s="54">
        <v>540.1</v>
      </c>
      <c r="T809" s="54">
        <v>400.69</v>
      </c>
      <c r="U809" s="54">
        <v>159.9</v>
      </c>
      <c r="V809" s="54">
        <v>299.31</v>
      </c>
      <c r="W809" s="54">
        <v>159.9</v>
      </c>
    </row>
    <row r="810" spans="1:23" outlineLevel="2" x14ac:dyDescent="0.2">
      <c r="A810" s="21" t="s">
        <v>402</v>
      </c>
      <c r="B810" s="21" t="s">
        <v>39</v>
      </c>
      <c r="C810" s="21" t="s">
        <v>58</v>
      </c>
      <c r="D810" s="21" t="s">
        <v>129</v>
      </c>
      <c r="E810" s="21" t="s">
        <v>130</v>
      </c>
      <c r="F810" s="21" t="s">
        <v>5</v>
      </c>
      <c r="G810" s="21" t="s">
        <v>6</v>
      </c>
      <c r="H810" s="21" t="s">
        <v>7</v>
      </c>
      <c r="I810" s="21" t="s">
        <v>8</v>
      </c>
      <c r="J810" s="21" t="s">
        <v>403</v>
      </c>
      <c r="K810" s="21" t="s">
        <v>425</v>
      </c>
      <c r="L810" s="21" t="s">
        <v>428</v>
      </c>
      <c r="M810" s="21" t="s">
        <v>12</v>
      </c>
      <c r="N810" s="54">
        <v>250</v>
      </c>
      <c r="O810" s="54">
        <v>0</v>
      </c>
      <c r="P810" s="54">
        <v>0</v>
      </c>
      <c r="Q810" s="54">
        <v>250</v>
      </c>
      <c r="R810" s="54">
        <v>0</v>
      </c>
      <c r="S810" s="54">
        <v>97.09</v>
      </c>
      <c r="T810" s="54">
        <v>80.099999999999994</v>
      </c>
      <c r="U810" s="54">
        <v>152.91</v>
      </c>
      <c r="V810" s="54">
        <v>169.9</v>
      </c>
      <c r="W810" s="54">
        <v>152.91</v>
      </c>
    </row>
    <row r="811" spans="1:23" outlineLevel="2" x14ac:dyDescent="0.2">
      <c r="A811" s="21" t="s">
        <v>402</v>
      </c>
      <c r="B811" s="21" t="s">
        <v>31</v>
      </c>
      <c r="C811" s="21" t="s">
        <v>79</v>
      </c>
      <c r="D811" s="21" t="s">
        <v>127</v>
      </c>
      <c r="E811" s="21" t="s">
        <v>128</v>
      </c>
      <c r="F811" s="21" t="s">
        <v>5</v>
      </c>
      <c r="G811" s="21" t="s">
        <v>6</v>
      </c>
      <c r="H811" s="21" t="s">
        <v>7</v>
      </c>
      <c r="I811" s="21" t="s">
        <v>8</v>
      </c>
      <c r="J811" s="21" t="s">
        <v>403</v>
      </c>
      <c r="K811" s="21" t="s">
        <v>425</v>
      </c>
      <c r="L811" s="21" t="s">
        <v>429</v>
      </c>
      <c r="M811" s="21" t="s">
        <v>12</v>
      </c>
      <c r="N811" s="54">
        <v>4100</v>
      </c>
      <c r="O811" s="54">
        <v>0</v>
      </c>
      <c r="P811" s="54">
        <v>0</v>
      </c>
      <c r="Q811" s="54">
        <v>4100</v>
      </c>
      <c r="R811" s="54">
        <v>0</v>
      </c>
      <c r="S811" s="54">
        <v>4100</v>
      </c>
      <c r="T811" s="54">
        <v>813.12</v>
      </c>
      <c r="U811" s="54">
        <v>0</v>
      </c>
      <c r="V811" s="54">
        <v>3286.88</v>
      </c>
      <c r="W811" s="54">
        <v>0</v>
      </c>
    </row>
    <row r="812" spans="1:23" outlineLevel="2" x14ac:dyDescent="0.2">
      <c r="A812" s="21" t="s">
        <v>402</v>
      </c>
      <c r="B812" s="21" t="s">
        <v>1</v>
      </c>
      <c r="C812" s="21" t="s">
        <v>2</v>
      </c>
      <c r="D812" s="21" t="s">
        <v>3</v>
      </c>
      <c r="E812" s="21" t="s">
        <v>4</v>
      </c>
      <c r="F812" s="21" t="s">
        <v>5</v>
      </c>
      <c r="G812" s="21" t="s">
        <v>6</v>
      </c>
      <c r="H812" s="21" t="s">
        <v>7</v>
      </c>
      <c r="I812" s="21" t="s">
        <v>8</v>
      </c>
      <c r="J812" s="21" t="s">
        <v>403</v>
      </c>
      <c r="K812" s="21" t="s">
        <v>435</v>
      </c>
      <c r="L812" s="21" t="s">
        <v>439</v>
      </c>
      <c r="M812" s="21" t="s">
        <v>15</v>
      </c>
      <c r="N812" s="54">
        <v>500</v>
      </c>
      <c r="O812" s="54">
        <v>-320</v>
      </c>
      <c r="P812" s="54">
        <v>0</v>
      </c>
      <c r="Q812" s="54">
        <v>180</v>
      </c>
      <c r="R812" s="54">
        <v>0</v>
      </c>
      <c r="S812" s="54">
        <v>106.62</v>
      </c>
      <c r="T812" s="54">
        <v>106.61</v>
      </c>
      <c r="U812" s="54">
        <v>73.38</v>
      </c>
      <c r="V812" s="54">
        <v>73.39</v>
      </c>
      <c r="W812" s="54">
        <v>73.38</v>
      </c>
    </row>
    <row r="813" spans="1:23" outlineLevel="2" x14ac:dyDescent="0.2">
      <c r="A813" s="21" t="s">
        <v>402</v>
      </c>
      <c r="B813" s="21" t="s">
        <v>39</v>
      </c>
      <c r="C813" s="21" t="s">
        <v>40</v>
      </c>
      <c r="D813" s="21" t="s">
        <v>77</v>
      </c>
      <c r="E813" s="21" t="s">
        <v>78</v>
      </c>
      <c r="F813" s="21" t="s">
        <v>5</v>
      </c>
      <c r="G813" s="21" t="s">
        <v>6</v>
      </c>
      <c r="H813" s="21" t="s">
        <v>7</v>
      </c>
      <c r="I813" s="21" t="s">
        <v>8</v>
      </c>
      <c r="J813" s="21" t="s">
        <v>403</v>
      </c>
      <c r="K813" s="21" t="s">
        <v>435</v>
      </c>
      <c r="L813" s="21" t="s">
        <v>442</v>
      </c>
      <c r="M813" s="21" t="s">
        <v>12</v>
      </c>
      <c r="N813" s="54">
        <v>0</v>
      </c>
      <c r="O813" s="54">
        <v>516550.44</v>
      </c>
      <c r="P813" s="54">
        <v>0</v>
      </c>
      <c r="Q813" s="54">
        <v>516550.44</v>
      </c>
      <c r="R813" s="54">
        <v>82166.22</v>
      </c>
      <c r="S813" s="54">
        <v>146702.53</v>
      </c>
      <c r="T813" s="54">
        <v>146489.17000000001</v>
      </c>
      <c r="U813" s="54">
        <v>369847.91</v>
      </c>
      <c r="V813" s="54">
        <v>370061.27</v>
      </c>
      <c r="W813" s="54">
        <v>287681.69</v>
      </c>
    </row>
    <row r="814" spans="1:23" outlineLevel="2" x14ac:dyDescent="0.2">
      <c r="A814" s="21" t="s">
        <v>402</v>
      </c>
      <c r="B814" s="21" t="s">
        <v>39</v>
      </c>
      <c r="C814" s="21" t="s">
        <v>58</v>
      </c>
      <c r="D814" s="21" t="s">
        <v>149</v>
      </c>
      <c r="E814" s="21" t="s">
        <v>150</v>
      </c>
      <c r="F814" s="21" t="s">
        <v>5</v>
      </c>
      <c r="G814" s="21" t="s">
        <v>6</v>
      </c>
      <c r="H814" s="21" t="s">
        <v>7</v>
      </c>
      <c r="I814" s="21" t="s">
        <v>8</v>
      </c>
      <c r="J814" s="21" t="s">
        <v>403</v>
      </c>
      <c r="K814" s="21" t="s">
        <v>435</v>
      </c>
      <c r="L814" s="21" t="s">
        <v>440</v>
      </c>
      <c r="M814" s="21" t="s">
        <v>12</v>
      </c>
      <c r="N814" s="54">
        <v>25</v>
      </c>
      <c r="O814" s="54">
        <v>0</v>
      </c>
      <c r="P814" s="54">
        <v>0</v>
      </c>
      <c r="Q814" s="54">
        <v>25</v>
      </c>
      <c r="R814" s="54">
        <v>0</v>
      </c>
      <c r="S814" s="54">
        <v>0</v>
      </c>
      <c r="T814" s="54">
        <v>0</v>
      </c>
      <c r="U814" s="54">
        <v>25</v>
      </c>
      <c r="V814" s="54">
        <v>25</v>
      </c>
      <c r="W814" s="54">
        <v>25</v>
      </c>
    </row>
    <row r="815" spans="1:23" outlineLevel="2" x14ac:dyDescent="0.2">
      <c r="A815" s="21" t="s">
        <v>402</v>
      </c>
      <c r="B815" s="21" t="s">
        <v>1</v>
      </c>
      <c r="C815" s="21" t="s">
        <v>16</v>
      </c>
      <c r="D815" s="21" t="s">
        <v>62</v>
      </c>
      <c r="E815" s="21" t="s">
        <v>63</v>
      </c>
      <c r="F815" s="21" t="s">
        <v>5</v>
      </c>
      <c r="G815" s="21" t="s">
        <v>6</v>
      </c>
      <c r="H815" s="21" t="s">
        <v>7</v>
      </c>
      <c r="I815" s="21" t="s">
        <v>8</v>
      </c>
      <c r="J815" s="21" t="s">
        <v>403</v>
      </c>
      <c r="K815" s="21" t="s">
        <v>435</v>
      </c>
      <c r="L815" s="21" t="s">
        <v>438</v>
      </c>
      <c r="M815" s="21" t="s">
        <v>15</v>
      </c>
      <c r="N815" s="54">
        <v>100</v>
      </c>
      <c r="O815" s="54">
        <v>0</v>
      </c>
      <c r="P815" s="54">
        <v>0</v>
      </c>
      <c r="Q815" s="54">
        <v>100</v>
      </c>
      <c r="R815" s="54">
        <v>0</v>
      </c>
      <c r="S815" s="54">
        <v>0</v>
      </c>
      <c r="T815" s="54">
        <v>0</v>
      </c>
      <c r="U815" s="54">
        <v>100</v>
      </c>
      <c r="V815" s="54">
        <v>100</v>
      </c>
      <c r="W815" s="54">
        <v>100</v>
      </c>
    </row>
    <row r="816" spans="1:23" outlineLevel="2" x14ac:dyDescent="0.2">
      <c r="A816" s="21" t="s">
        <v>402</v>
      </c>
      <c r="B816" s="21" t="s">
        <v>39</v>
      </c>
      <c r="C816" s="21" t="s">
        <v>95</v>
      </c>
      <c r="D816" s="21" t="s">
        <v>96</v>
      </c>
      <c r="E816" s="21" t="s">
        <v>97</v>
      </c>
      <c r="F816" s="21" t="s">
        <v>5</v>
      </c>
      <c r="G816" s="21" t="s">
        <v>6</v>
      </c>
      <c r="H816" s="21" t="s">
        <v>7</v>
      </c>
      <c r="I816" s="21" t="s">
        <v>8</v>
      </c>
      <c r="J816" s="21" t="s">
        <v>403</v>
      </c>
      <c r="K816" s="21" t="s">
        <v>435</v>
      </c>
      <c r="L816" s="21" t="s">
        <v>437</v>
      </c>
      <c r="M816" s="21" t="s">
        <v>12</v>
      </c>
      <c r="N816" s="54">
        <v>46000</v>
      </c>
      <c r="O816" s="54">
        <v>0</v>
      </c>
      <c r="P816" s="54">
        <v>0</v>
      </c>
      <c r="Q816" s="54">
        <v>46000</v>
      </c>
      <c r="R816" s="54">
        <v>0</v>
      </c>
      <c r="S816" s="54">
        <v>11584</v>
      </c>
      <c r="T816" s="54">
        <v>3920</v>
      </c>
      <c r="U816" s="54">
        <v>34416</v>
      </c>
      <c r="V816" s="54">
        <v>42080</v>
      </c>
      <c r="W816" s="54">
        <v>34416</v>
      </c>
    </row>
    <row r="817" spans="1:23" outlineLevel="2" x14ac:dyDescent="0.2">
      <c r="A817" s="21" t="s">
        <v>402</v>
      </c>
      <c r="B817" s="21" t="s">
        <v>39</v>
      </c>
      <c r="C817" s="21" t="s">
        <v>58</v>
      </c>
      <c r="D817" s="21" t="s">
        <v>145</v>
      </c>
      <c r="E817" s="21" t="s">
        <v>146</v>
      </c>
      <c r="F817" s="21" t="s">
        <v>5</v>
      </c>
      <c r="G817" s="21" t="s">
        <v>6</v>
      </c>
      <c r="H817" s="21" t="s">
        <v>7</v>
      </c>
      <c r="I817" s="21" t="s">
        <v>8</v>
      </c>
      <c r="J817" s="21" t="s">
        <v>403</v>
      </c>
      <c r="K817" s="21" t="s">
        <v>435</v>
      </c>
      <c r="L817" s="21" t="s">
        <v>440</v>
      </c>
      <c r="M817" s="21" t="s">
        <v>12</v>
      </c>
      <c r="N817" s="54">
        <v>5800</v>
      </c>
      <c r="O817" s="54">
        <v>-594.24</v>
      </c>
      <c r="P817" s="54">
        <v>0</v>
      </c>
      <c r="Q817" s="54">
        <v>5205.76</v>
      </c>
      <c r="R817" s="54">
        <v>0</v>
      </c>
      <c r="S817" s="54">
        <v>5205.76</v>
      </c>
      <c r="T817" s="54">
        <v>1756.95</v>
      </c>
      <c r="U817" s="54">
        <v>0</v>
      </c>
      <c r="V817" s="54">
        <v>3448.81</v>
      </c>
      <c r="W817" s="54">
        <v>0</v>
      </c>
    </row>
    <row r="818" spans="1:23" outlineLevel="2" x14ac:dyDescent="0.2">
      <c r="A818" s="21" t="s">
        <v>402</v>
      </c>
      <c r="B818" s="21" t="s">
        <v>31</v>
      </c>
      <c r="C818" s="21" t="s">
        <v>79</v>
      </c>
      <c r="D818" s="21" t="s">
        <v>113</v>
      </c>
      <c r="E818" s="21" t="s">
        <v>114</v>
      </c>
      <c r="F818" s="21" t="s">
        <v>5</v>
      </c>
      <c r="G818" s="21" t="s">
        <v>6</v>
      </c>
      <c r="H818" s="21" t="s">
        <v>7</v>
      </c>
      <c r="I818" s="21" t="s">
        <v>8</v>
      </c>
      <c r="J818" s="21" t="s">
        <v>403</v>
      </c>
      <c r="K818" s="21" t="s">
        <v>435</v>
      </c>
      <c r="L818" s="21" t="s">
        <v>441</v>
      </c>
      <c r="M818" s="21" t="s">
        <v>12</v>
      </c>
      <c r="N818" s="54">
        <v>1000</v>
      </c>
      <c r="O818" s="54">
        <v>0</v>
      </c>
      <c r="P818" s="54">
        <v>0</v>
      </c>
      <c r="Q818" s="54">
        <v>1000</v>
      </c>
      <c r="R818" s="54">
        <v>0</v>
      </c>
      <c r="S818" s="54">
        <v>0</v>
      </c>
      <c r="T818" s="54">
        <v>0</v>
      </c>
      <c r="U818" s="54">
        <v>1000</v>
      </c>
      <c r="V818" s="54">
        <v>1000</v>
      </c>
      <c r="W818" s="54">
        <v>1000</v>
      </c>
    </row>
    <row r="819" spans="1:23" outlineLevel="2" x14ac:dyDescent="0.2">
      <c r="A819" s="21" t="s">
        <v>402</v>
      </c>
      <c r="B819" s="21" t="s">
        <v>1</v>
      </c>
      <c r="C819" s="21" t="s">
        <v>2</v>
      </c>
      <c r="D819" s="21" t="s">
        <v>410</v>
      </c>
      <c r="E819" s="21" t="s">
        <v>411</v>
      </c>
      <c r="F819" s="21" t="s">
        <v>5</v>
      </c>
      <c r="G819" s="21" t="s">
        <v>6</v>
      </c>
      <c r="H819" s="21" t="s">
        <v>7</v>
      </c>
      <c r="I819" s="21" t="s">
        <v>8</v>
      </c>
      <c r="J819" s="21" t="s">
        <v>403</v>
      </c>
      <c r="K819" s="21" t="s">
        <v>435</v>
      </c>
      <c r="L819" s="21" t="s">
        <v>439</v>
      </c>
      <c r="M819" s="21" t="s">
        <v>15</v>
      </c>
      <c r="N819" s="54">
        <v>100000</v>
      </c>
      <c r="O819" s="54">
        <v>0</v>
      </c>
      <c r="P819" s="54">
        <v>0</v>
      </c>
      <c r="Q819" s="54">
        <v>100000</v>
      </c>
      <c r="R819" s="54">
        <v>56739.15</v>
      </c>
      <c r="S819" s="54">
        <v>14330.3</v>
      </c>
      <c r="T819" s="54">
        <v>6377.46</v>
      </c>
      <c r="U819" s="54">
        <v>85669.7</v>
      </c>
      <c r="V819" s="54">
        <v>93622.54</v>
      </c>
      <c r="W819" s="54">
        <v>28930.55</v>
      </c>
    </row>
    <row r="820" spans="1:23" outlineLevel="2" x14ac:dyDescent="0.2">
      <c r="A820" s="21" t="s">
        <v>402</v>
      </c>
      <c r="B820" s="21" t="s">
        <v>1</v>
      </c>
      <c r="C820" s="21" t="s">
        <v>91</v>
      </c>
      <c r="D820" s="21" t="s">
        <v>92</v>
      </c>
      <c r="E820" s="21" t="s">
        <v>93</v>
      </c>
      <c r="F820" s="21" t="s">
        <v>5</v>
      </c>
      <c r="G820" s="21" t="s">
        <v>6</v>
      </c>
      <c r="H820" s="21" t="s">
        <v>7</v>
      </c>
      <c r="I820" s="21" t="s">
        <v>8</v>
      </c>
      <c r="J820" s="21" t="s">
        <v>403</v>
      </c>
      <c r="K820" s="21" t="s">
        <v>435</v>
      </c>
      <c r="L820" s="21" t="s">
        <v>436</v>
      </c>
      <c r="M820" s="21" t="s">
        <v>15</v>
      </c>
      <c r="N820" s="54">
        <v>273000</v>
      </c>
      <c r="O820" s="54">
        <v>-45441.24</v>
      </c>
      <c r="P820" s="54">
        <v>0</v>
      </c>
      <c r="Q820" s="54">
        <v>227558.76</v>
      </c>
      <c r="R820" s="54">
        <v>24640</v>
      </c>
      <c r="S820" s="54">
        <v>172616.68</v>
      </c>
      <c r="T820" s="54">
        <v>130044.46</v>
      </c>
      <c r="U820" s="54">
        <v>54942.080000000002</v>
      </c>
      <c r="V820" s="54">
        <v>97514.3</v>
      </c>
      <c r="W820" s="54">
        <v>30302.080000000002</v>
      </c>
    </row>
    <row r="821" spans="1:23" outlineLevel="2" x14ac:dyDescent="0.2">
      <c r="A821" s="21" t="s">
        <v>402</v>
      </c>
      <c r="B821" s="21" t="s">
        <v>39</v>
      </c>
      <c r="C821" s="21" t="s">
        <v>58</v>
      </c>
      <c r="D821" s="21" t="s">
        <v>147</v>
      </c>
      <c r="E821" s="21" t="s">
        <v>148</v>
      </c>
      <c r="F821" s="21" t="s">
        <v>5</v>
      </c>
      <c r="G821" s="21" t="s">
        <v>6</v>
      </c>
      <c r="H821" s="21" t="s">
        <v>7</v>
      </c>
      <c r="I821" s="21" t="s">
        <v>8</v>
      </c>
      <c r="J821" s="21" t="s">
        <v>403</v>
      </c>
      <c r="K821" s="21" t="s">
        <v>443</v>
      </c>
      <c r="L821" s="21" t="s">
        <v>444</v>
      </c>
      <c r="M821" s="21" t="s">
        <v>12</v>
      </c>
      <c r="N821" s="54">
        <v>33000</v>
      </c>
      <c r="O821" s="54">
        <v>0</v>
      </c>
      <c r="P821" s="54">
        <v>0</v>
      </c>
      <c r="Q821" s="54">
        <v>33000</v>
      </c>
      <c r="R821" s="54">
        <v>0</v>
      </c>
      <c r="S821" s="54">
        <v>28490</v>
      </c>
      <c r="T821" s="54">
        <v>5753.85</v>
      </c>
      <c r="U821" s="54">
        <v>4510</v>
      </c>
      <c r="V821" s="54">
        <v>27246.15</v>
      </c>
      <c r="W821" s="54">
        <v>4510</v>
      </c>
    </row>
    <row r="822" spans="1:23" outlineLevel="2" x14ac:dyDescent="0.2">
      <c r="A822" s="21" t="s">
        <v>402</v>
      </c>
      <c r="B822" s="21" t="s">
        <v>31</v>
      </c>
      <c r="C822" s="21" t="s">
        <v>32</v>
      </c>
      <c r="D822" s="21" t="s">
        <v>33</v>
      </c>
      <c r="E822" s="21" t="s">
        <v>34</v>
      </c>
      <c r="F822" s="21" t="s">
        <v>5</v>
      </c>
      <c r="G822" s="21" t="s">
        <v>6</v>
      </c>
      <c r="H822" s="21" t="s">
        <v>7</v>
      </c>
      <c r="I822" s="21" t="s">
        <v>8</v>
      </c>
      <c r="J822" s="21" t="s">
        <v>403</v>
      </c>
      <c r="K822" s="21" t="s">
        <v>443</v>
      </c>
      <c r="L822" s="21" t="s">
        <v>447</v>
      </c>
      <c r="M822" s="21" t="s">
        <v>12</v>
      </c>
      <c r="N822" s="54">
        <v>70000</v>
      </c>
      <c r="O822" s="54">
        <v>-40980</v>
      </c>
      <c r="P822" s="54">
        <v>0</v>
      </c>
      <c r="Q822" s="54">
        <v>29020</v>
      </c>
      <c r="R822" s="54">
        <v>0</v>
      </c>
      <c r="S822" s="54">
        <v>11220</v>
      </c>
      <c r="T822" s="54">
        <v>10336.81</v>
      </c>
      <c r="U822" s="54">
        <v>17800</v>
      </c>
      <c r="V822" s="54">
        <v>18683.189999999999</v>
      </c>
      <c r="W822" s="54">
        <v>17800</v>
      </c>
    </row>
    <row r="823" spans="1:23" outlineLevel="2" x14ac:dyDescent="0.2">
      <c r="A823" s="21" t="s">
        <v>402</v>
      </c>
      <c r="B823" s="21" t="s">
        <v>39</v>
      </c>
      <c r="C823" s="21" t="s">
        <v>58</v>
      </c>
      <c r="D823" s="21" t="s">
        <v>59</v>
      </c>
      <c r="E823" s="21" t="s">
        <v>60</v>
      </c>
      <c r="F823" s="21" t="s">
        <v>5</v>
      </c>
      <c r="G823" s="21" t="s">
        <v>6</v>
      </c>
      <c r="H823" s="21" t="s">
        <v>7</v>
      </c>
      <c r="I823" s="21" t="s">
        <v>8</v>
      </c>
      <c r="J823" s="21" t="s">
        <v>403</v>
      </c>
      <c r="K823" s="21" t="s">
        <v>443</v>
      </c>
      <c r="L823" s="21" t="s">
        <v>444</v>
      </c>
      <c r="M823" s="21" t="s">
        <v>12</v>
      </c>
      <c r="N823" s="54">
        <v>39000</v>
      </c>
      <c r="O823" s="54">
        <v>-8257.2000000000007</v>
      </c>
      <c r="P823" s="54">
        <v>0</v>
      </c>
      <c r="Q823" s="54">
        <v>30742.799999999999</v>
      </c>
      <c r="R823" s="54">
        <v>0</v>
      </c>
      <c r="S823" s="54">
        <v>18990</v>
      </c>
      <c r="T823" s="54">
        <v>4897.82</v>
      </c>
      <c r="U823" s="54">
        <v>11752.8</v>
      </c>
      <c r="V823" s="54">
        <v>25844.98</v>
      </c>
      <c r="W823" s="54">
        <v>11752.8</v>
      </c>
    </row>
    <row r="824" spans="1:23" outlineLevel="2" x14ac:dyDescent="0.2">
      <c r="A824" s="21" t="s">
        <v>402</v>
      </c>
      <c r="B824" s="21" t="s">
        <v>39</v>
      </c>
      <c r="C824" s="21" t="s">
        <v>58</v>
      </c>
      <c r="D824" s="21" t="s">
        <v>143</v>
      </c>
      <c r="E824" s="21" t="s">
        <v>144</v>
      </c>
      <c r="F824" s="21" t="s">
        <v>5</v>
      </c>
      <c r="G824" s="21" t="s">
        <v>6</v>
      </c>
      <c r="H824" s="21" t="s">
        <v>7</v>
      </c>
      <c r="I824" s="21" t="s">
        <v>8</v>
      </c>
      <c r="J824" s="21" t="s">
        <v>403</v>
      </c>
      <c r="K824" s="21" t="s">
        <v>443</v>
      </c>
      <c r="L824" s="21" t="s">
        <v>444</v>
      </c>
      <c r="M824" s="21" t="s">
        <v>12</v>
      </c>
      <c r="N824" s="54">
        <v>31800</v>
      </c>
      <c r="O824" s="54">
        <v>-4300</v>
      </c>
      <c r="P824" s="54">
        <v>0</v>
      </c>
      <c r="Q824" s="54">
        <v>27500</v>
      </c>
      <c r="R824" s="54">
        <v>0</v>
      </c>
      <c r="S824" s="54">
        <v>27500</v>
      </c>
      <c r="T824" s="54">
        <v>17500</v>
      </c>
      <c r="U824" s="54">
        <v>0</v>
      </c>
      <c r="V824" s="54">
        <v>10000</v>
      </c>
      <c r="W824" s="54">
        <v>0</v>
      </c>
    </row>
    <row r="825" spans="1:23" outlineLevel="2" x14ac:dyDescent="0.2">
      <c r="A825" s="21" t="s">
        <v>402</v>
      </c>
      <c r="B825" s="21" t="s">
        <v>1</v>
      </c>
      <c r="C825" s="21" t="s">
        <v>2</v>
      </c>
      <c r="D825" s="21" t="s">
        <v>410</v>
      </c>
      <c r="E825" s="21" t="s">
        <v>411</v>
      </c>
      <c r="F825" s="21" t="s">
        <v>5</v>
      </c>
      <c r="G825" s="21" t="s">
        <v>6</v>
      </c>
      <c r="H825" s="21" t="s">
        <v>7</v>
      </c>
      <c r="I825" s="21" t="s">
        <v>8</v>
      </c>
      <c r="J825" s="21" t="s">
        <v>403</v>
      </c>
      <c r="K825" s="21" t="s">
        <v>443</v>
      </c>
      <c r="L825" s="21" t="s">
        <v>445</v>
      </c>
      <c r="M825" s="21" t="s">
        <v>15</v>
      </c>
      <c r="N825" s="54">
        <v>400000</v>
      </c>
      <c r="O825" s="54">
        <v>0</v>
      </c>
      <c r="P825" s="54">
        <v>0</v>
      </c>
      <c r="Q825" s="54">
        <v>400000</v>
      </c>
      <c r="R825" s="54">
        <v>17817.71</v>
      </c>
      <c r="S825" s="54">
        <v>214795.5</v>
      </c>
      <c r="T825" s="54">
        <v>126517.84</v>
      </c>
      <c r="U825" s="54">
        <v>185204.5</v>
      </c>
      <c r="V825" s="54">
        <v>273482.15999999997</v>
      </c>
      <c r="W825" s="54">
        <v>167386.79</v>
      </c>
    </row>
    <row r="826" spans="1:23" outlineLevel="2" x14ac:dyDescent="0.2">
      <c r="A826" s="21" t="s">
        <v>402</v>
      </c>
      <c r="B826" s="21" t="s">
        <v>39</v>
      </c>
      <c r="C826" s="21" t="s">
        <v>58</v>
      </c>
      <c r="D826" s="21" t="s">
        <v>149</v>
      </c>
      <c r="E826" s="21" t="s">
        <v>150</v>
      </c>
      <c r="F826" s="21" t="s">
        <v>5</v>
      </c>
      <c r="G826" s="21" t="s">
        <v>6</v>
      </c>
      <c r="H826" s="21" t="s">
        <v>7</v>
      </c>
      <c r="I826" s="21" t="s">
        <v>8</v>
      </c>
      <c r="J826" s="21" t="s">
        <v>403</v>
      </c>
      <c r="K826" s="21" t="s">
        <v>443</v>
      </c>
      <c r="L826" s="21" t="s">
        <v>444</v>
      </c>
      <c r="M826" s="21" t="s">
        <v>12</v>
      </c>
      <c r="N826" s="54">
        <v>95000</v>
      </c>
      <c r="O826" s="54">
        <v>-8500</v>
      </c>
      <c r="P826" s="54">
        <v>0</v>
      </c>
      <c r="Q826" s="54">
        <v>86500</v>
      </c>
      <c r="R826" s="54">
        <v>0</v>
      </c>
      <c r="S826" s="54">
        <v>83136.63</v>
      </c>
      <c r="T826" s="54">
        <v>29804.91</v>
      </c>
      <c r="U826" s="54">
        <v>3363.37</v>
      </c>
      <c r="V826" s="54">
        <v>56695.09</v>
      </c>
      <c r="W826" s="54">
        <v>3363.37</v>
      </c>
    </row>
    <row r="827" spans="1:23" outlineLevel="2" x14ac:dyDescent="0.2">
      <c r="A827" s="21" t="s">
        <v>402</v>
      </c>
      <c r="B827" s="21" t="s">
        <v>31</v>
      </c>
      <c r="C827" s="21" t="s">
        <v>32</v>
      </c>
      <c r="D827" s="21" t="s">
        <v>75</v>
      </c>
      <c r="E827" s="21" t="s">
        <v>76</v>
      </c>
      <c r="F827" s="21" t="s">
        <v>5</v>
      </c>
      <c r="G827" s="21" t="s">
        <v>6</v>
      </c>
      <c r="H827" s="21" t="s">
        <v>7</v>
      </c>
      <c r="I827" s="21" t="s">
        <v>8</v>
      </c>
      <c r="J827" s="21" t="s">
        <v>403</v>
      </c>
      <c r="K827" s="21" t="s">
        <v>443</v>
      </c>
      <c r="L827" s="21" t="s">
        <v>447</v>
      </c>
      <c r="M827" s="21" t="s">
        <v>12</v>
      </c>
      <c r="N827" s="54">
        <v>30000</v>
      </c>
      <c r="O827" s="54">
        <v>0</v>
      </c>
      <c r="P827" s="54">
        <v>0</v>
      </c>
      <c r="Q827" s="54">
        <v>30000</v>
      </c>
      <c r="R827" s="54">
        <v>0</v>
      </c>
      <c r="S827" s="54">
        <v>20648.72</v>
      </c>
      <c r="T827" s="54">
        <v>15649.73</v>
      </c>
      <c r="U827" s="54">
        <v>9351.2800000000007</v>
      </c>
      <c r="V827" s="54">
        <v>14350.27</v>
      </c>
      <c r="W827" s="54">
        <v>9351.2800000000007</v>
      </c>
    </row>
    <row r="828" spans="1:23" outlineLevel="2" x14ac:dyDescent="0.2">
      <c r="A828" s="21" t="s">
        <v>402</v>
      </c>
      <c r="B828" s="21" t="s">
        <v>39</v>
      </c>
      <c r="C828" s="21" t="s">
        <v>58</v>
      </c>
      <c r="D828" s="21" t="s">
        <v>145</v>
      </c>
      <c r="E828" s="21" t="s">
        <v>146</v>
      </c>
      <c r="F828" s="21" t="s">
        <v>5</v>
      </c>
      <c r="G828" s="21" t="s">
        <v>6</v>
      </c>
      <c r="H828" s="21" t="s">
        <v>7</v>
      </c>
      <c r="I828" s="21" t="s">
        <v>8</v>
      </c>
      <c r="J828" s="21" t="s">
        <v>403</v>
      </c>
      <c r="K828" s="21" t="s">
        <v>443</v>
      </c>
      <c r="L828" s="21" t="s">
        <v>444</v>
      </c>
      <c r="M828" s="21" t="s">
        <v>12</v>
      </c>
      <c r="N828" s="54">
        <v>53170</v>
      </c>
      <c r="O828" s="54">
        <v>-11312.08</v>
      </c>
      <c r="P828" s="54">
        <v>0</v>
      </c>
      <c r="Q828" s="54">
        <v>41857.919999999998</v>
      </c>
      <c r="R828" s="54">
        <v>0</v>
      </c>
      <c r="S828" s="54">
        <v>21583.94</v>
      </c>
      <c r="T828" s="54">
        <v>1883.42</v>
      </c>
      <c r="U828" s="54">
        <v>20273.98</v>
      </c>
      <c r="V828" s="54">
        <v>39974.5</v>
      </c>
      <c r="W828" s="54">
        <v>20273.98</v>
      </c>
    </row>
    <row r="829" spans="1:23" outlineLevel="2" x14ac:dyDescent="0.2">
      <c r="A829" s="21" t="s">
        <v>402</v>
      </c>
      <c r="B829" s="21" t="s">
        <v>1</v>
      </c>
      <c r="C829" s="21" t="s">
        <v>2</v>
      </c>
      <c r="D829" s="21" t="s">
        <v>3</v>
      </c>
      <c r="E829" s="21" t="s">
        <v>4</v>
      </c>
      <c r="F829" s="21" t="s">
        <v>5</v>
      </c>
      <c r="G829" s="21" t="s">
        <v>6</v>
      </c>
      <c r="H829" s="21" t="s">
        <v>7</v>
      </c>
      <c r="I829" s="21" t="s">
        <v>8</v>
      </c>
      <c r="J829" s="21" t="s">
        <v>403</v>
      </c>
      <c r="K829" s="21" t="s">
        <v>443</v>
      </c>
      <c r="L829" s="21" t="s">
        <v>445</v>
      </c>
      <c r="M829" s="21" t="s">
        <v>15</v>
      </c>
      <c r="N829" s="54">
        <v>81500</v>
      </c>
      <c r="O829" s="54">
        <v>-2950.45</v>
      </c>
      <c r="P829" s="54">
        <v>0</v>
      </c>
      <c r="Q829" s="54">
        <v>78549.55</v>
      </c>
      <c r="R829" s="54">
        <v>2250</v>
      </c>
      <c r="S829" s="54">
        <v>75784.3</v>
      </c>
      <c r="T829" s="54">
        <v>38754.68</v>
      </c>
      <c r="U829" s="54">
        <v>2765.25</v>
      </c>
      <c r="V829" s="54">
        <v>39794.870000000003</v>
      </c>
      <c r="W829" s="54">
        <v>515.25</v>
      </c>
    </row>
    <row r="830" spans="1:23" outlineLevel="2" x14ac:dyDescent="0.2">
      <c r="A830" s="21" t="s">
        <v>402</v>
      </c>
      <c r="B830" s="21" t="s">
        <v>39</v>
      </c>
      <c r="C830" s="21" t="s">
        <v>58</v>
      </c>
      <c r="D830" s="21" t="s">
        <v>137</v>
      </c>
      <c r="E830" s="21" t="s">
        <v>138</v>
      </c>
      <c r="F830" s="21" t="s">
        <v>5</v>
      </c>
      <c r="G830" s="21" t="s">
        <v>6</v>
      </c>
      <c r="H830" s="21" t="s">
        <v>7</v>
      </c>
      <c r="I830" s="21" t="s">
        <v>8</v>
      </c>
      <c r="J830" s="21" t="s">
        <v>403</v>
      </c>
      <c r="K830" s="21" t="s">
        <v>443</v>
      </c>
      <c r="L830" s="21" t="s">
        <v>444</v>
      </c>
      <c r="M830" s="21" t="s">
        <v>12</v>
      </c>
      <c r="N830" s="54">
        <v>60000</v>
      </c>
      <c r="O830" s="54">
        <v>0</v>
      </c>
      <c r="P830" s="54">
        <v>0</v>
      </c>
      <c r="Q830" s="54">
        <v>60000</v>
      </c>
      <c r="R830" s="54">
        <v>0</v>
      </c>
      <c r="S830" s="54">
        <v>37000</v>
      </c>
      <c r="T830" s="54">
        <v>7099.68</v>
      </c>
      <c r="U830" s="54">
        <v>23000</v>
      </c>
      <c r="V830" s="54">
        <v>52900.32</v>
      </c>
      <c r="W830" s="54">
        <v>23000</v>
      </c>
    </row>
    <row r="831" spans="1:23" outlineLevel="2" x14ac:dyDescent="0.2">
      <c r="A831" s="21" t="s">
        <v>402</v>
      </c>
      <c r="B831" s="21" t="s">
        <v>1</v>
      </c>
      <c r="C831" s="21" t="s">
        <v>91</v>
      </c>
      <c r="D831" s="21" t="s">
        <v>92</v>
      </c>
      <c r="E831" s="21" t="s">
        <v>93</v>
      </c>
      <c r="F831" s="21" t="s">
        <v>5</v>
      </c>
      <c r="G831" s="21" t="s">
        <v>6</v>
      </c>
      <c r="H831" s="21" t="s">
        <v>7</v>
      </c>
      <c r="I831" s="21" t="s">
        <v>8</v>
      </c>
      <c r="J831" s="21" t="s">
        <v>403</v>
      </c>
      <c r="K831" s="21" t="s">
        <v>443</v>
      </c>
      <c r="L831" s="21" t="s">
        <v>446</v>
      </c>
      <c r="M831" s="21" t="s">
        <v>15</v>
      </c>
      <c r="N831" s="54">
        <v>59900</v>
      </c>
      <c r="O831" s="54">
        <v>-11295.52</v>
      </c>
      <c r="P831" s="54">
        <v>0</v>
      </c>
      <c r="Q831" s="54">
        <v>48604.480000000003</v>
      </c>
      <c r="R831" s="54">
        <v>0</v>
      </c>
      <c r="S831" s="54">
        <v>48152.91</v>
      </c>
      <c r="T831" s="54">
        <v>27806.61</v>
      </c>
      <c r="U831" s="54">
        <v>451.57</v>
      </c>
      <c r="V831" s="54">
        <v>20797.87</v>
      </c>
      <c r="W831" s="54">
        <v>451.57</v>
      </c>
    </row>
    <row r="832" spans="1:23" outlineLevel="2" x14ac:dyDescent="0.2">
      <c r="A832" s="21" t="s">
        <v>402</v>
      </c>
      <c r="B832" s="21" t="s">
        <v>39</v>
      </c>
      <c r="C832" s="21" t="s">
        <v>58</v>
      </c>
      <c r="D832" s="21" t="s">
        <v>129</v>
      </c>
      <c r="E832" s="21" t="s">
        <v>130</v>
      </c>
      <c r="F832" s="21" t="s">
        <v>5</v>
      </c>
      <c r="G832" s="21" t="s">
        <v>6</v>
      </c>
      <c r="H832" s="21" t="s">
        <v>7</v>
      </c>
      <c r="I832" s="21" t="s">
        <v>8</v>
      </c>
      <c r="J832" s="21" t="s">
        <v>403</v>
      </c>
      <c r="K832" s="21" t="s">
        <v>443</v>
      </c>
      <c r="L832" s="21" t="s">
        <v>444</v>
      </c>
      <c r="M832" s="21" t="s">
        <v>12</v>
      </c>
      <c r="N832" s="54">
        <v>24200</v>
      </c>
      <c r="O832" s="54">
        <v>0</v>
      </c>
      <c r="P832" s="54">
        <v>0</v>
      </c>
      <c r="Q832" s="54">
        <v>24200</v>
      </c>
      <c r="R832" s="54">
        <v>0</v>
      </c>
      <c r="S832" s="54">
        <v>9071.25</v>
      </c>
      <c r="T832" s="54">
        <v>5783.75</v>
      </c>
      <c r="U832" s="54">
        <v>15128.75</v>
      </c>
      <c r="V832" s="54">
        <v>18416.25</v>
      </c>
      <c r="W832" s="54">
        <v>15128.75</v>
      </c>
    </row>
    <row r="833" spans="1:23" outlineLevel="2" x14ac:dyDescent="0.2">
      <c r="A833" s="21" t="s">
        <v>402</v>
      </c>
      <c r="B833" s="21" t="s">
        <v>39</v>
      </c>
      <c r="C833" s="21" t="s">
        <v>58</v>
      </c>
      <c r="D833" s="21" t="s">
        <v>135</v>
      </c>
      <c r="E833" s="21" t="s">
        <v>136</v>
      </c>
      <c r="F833" s="21" t="s">
        <v>5</v>
      </c>
      <c r="G833" s="21" t="s">
        <v>6</v>
      </c>
      <c r="H833" s="21" t="s">
        <v>7</v>
      </c>
      <c r="I833" s="21" t="s">
        <v>8</v>
      </c>
      <c r="J833" s="21" t="s">
        <v>403</v>
      </c>
      <c r="K833" s="21" t="s">
        <v>443</v>
      </c>
      <c r="L833" s="21" t="s">
        <v>444</v>
      </c>
      <c r="M833" s="21" t="s">
        <v>12</v>
      </c>
      <c r="N833" s="54">
        <v>65000</v>
      </c>
      <c r="O833" s="54">
        <v>-13696.33</v>
      </c>
      <c r="P833" s="54">
        <v>0</v>
      </c>
      <c r="Q833" s="54">
        <v>51303.67</v>
      </c>
      <c r="R833" s="54">
        <v>0</v>
      </c>
      <c r="S833" s="54">
        <v>26552.53</v>
      </c>
      <c r="T833" s="54">
        <v>14037.88</v>
      </c>
      <c r="U833" s="54">
        <v>24751.14</v>
      </c>
      <c r="V833" s="54">
        <v>37265.79</v>
      </c>
      <c r="W833" s="54">
        <v>24751.14</v>
      </c>
    </row>
    <row r="834" spans="1:23" outlineLevel="2" x14ac:dyDescent="0.2">
      <c r="A834" s="21" t="s">
        <v>402</v>
      </c>
      <c r="B834" s="21" t="s">
        <v>39</v>
      </c>
      <c r="C834" s="21" t="s">
        <v>70</v>
      </c>
      <c r="D834" s="21" t="s">
        <v>89</v>
      </c>
      <c r="E834" s="21" t="s">
        <v>90</v>
      </c>
      <c r="F834" s="21" t="s">
        <v>5</v>
      </c>
      <c r="G834" s="21" t="s">
        <v>6</v>
      </c>
      <c r="H834" s="21" t="s">
        <v>7</v>
      </c>
      <c r="I834" s="21" t="s">
        <v>8</v>
      </c>
      <c r="J834" s="21" t="s">
        <v>403</v>
      </c>
      <c r="K834" s="21" t="s">
        <v>448</v>
      </c>
      <c r="L834" s="21" t="s">
        <v>450</v>
      </c>
      <c r="M834" s="21" t="s">
        <v>12</v>
      </c>
      <c r="N834" s="54">
        <v>500</v>
      </c>
      <c r="O834" s="54">
        <v>678</v>
      </c>
      <c r="P834" s="54">
        <v>0</v>
      </c>
      <c r="Q834" s="54">
        <v>1178</v>
      </c>
      <c r="R834" s="54">
        <v>0</v>
      </c>
      <c r="S834" s="54">
        <v>477.97</v>
      </c>
      <c r="T834" s="54">
        <v>111.38</v>
      </c>
      <c r="U834" s="54">
        <v>700.03</v>
      </c>
      <c r="V834" s="54">
        <v>1066.6199999999999</v>
      </c>
      <c r="W834" s="54">
        <v>700.03</v>
      </c>
    </row>
    <row r="835" spans="1:23" outlineLevel="2" x14ac:dyDescent="0.2">
      <c r="A835" s="21" t="s">
        <v>402</v>
      </c>
      <c r="B835" s="21" t="s">
        <v>31</v>
      </c>
      <c r="C835" s="21" t="s">
        <v>79</v>
      </c>
      <c r="D835" s="21" t="s">
        <v>133</v>
      </c>
      <c r="E835" s="21" t="s">
        <v>134</v>
      </c>
      <c r="F835" s="21" t="s">
        <v>5</v>
      </c>
      <c r="G835" s="21" t="s">
        <v>6</v>
      </c>
      <c r="H835" s="21" t="s">
        <v>7</v>
      </c>
      <c r="I835" s="21" t="s">
        <v>8</v>
      </c>
      <c r="J835" s="21" t="s">
        <v>403</v>
      </c>
      <c r="K835" s="21" t="s">
        <v>448</v>
      </c>
      <c r="L835" s="21" t="s">
        <v>452</v>
      </c>
      <c r="M835" s="21" t="s">
        <v>12</v>
      </c>
      <c r="N835" s="54">
        <v>180</v>
      </c>
      <c r="O835" s="54">
        <v>0</v>
      </c>
      <c r="P835" s="54">
        <v>0</v>
      </c>
      <c r="Q835" s="54">
        <v>180</v>
      </c>
      <c r="R835" s="54">
        <v>0</v>
      </c>
      <c r="S835" s="54">
        <v>60</v>
      </c>
      <c r="T835" s="54">
        <v>60</v>
      </c>
      <c r="U835" s="54">
        <v>120</v>
      </c>
      <c r="V835" s="54">
        <v>120</v>
      </c>
      <c r="W835" s="54">
        <v>120</v>
      </c>
    </row>
    <row r="836" spans="1:23" outlineLevel="2" x14ac:dyDescent="0.2">
      <c r="A836" s="21" t="s">
        <v>402</v>
      </c>
      <c r="B836" s="21" t="s">
        <v>1</v>
      </c>
      <c r="C836" s="21" t="s">
        <v>91</v>
      </c>
      <c r="D836" s="21" t="s">
        <v>92</v>
      </c>
      <c r="E836" s="21" t="s">
        <v>93</v>
      </c>
      <c r="F836" s="21" t="s">
        <v>5</v>
      </c>
      <c r="G836" s="21" t="s">
        <v>6</v>
      </c>
      <c r="H836" s="21" t="s">
        <v>7</v>
      </c>
      <c r="I836" s="21" t="s">
        <v>8</v>
      </c>
      <c r="J836" s="21" t="s">
        <v>403</v>
      </c>
      <c r="K836" s="21" t="s">
        <v>448</v>
      </c>
      <c r="L836" s="21" t="s">
        <v>449</v>
      </c>
      <c r="M836" s="21" t="s">
        <v>15</v>
      </c>
      <c r="N836" s="54">
        <v>4370</v>
      </c>
      <c r="O836" s="54">
        <v>7950.88</v>
      </c>
      <c r="P836" s="54">
        <v>0</v>
      </c>
      <c r="Q836" s="54">
        <v>12320.88</v>
      </c>
      <c r="R836" s="54">
        <v>0</v>
      </c>
      <c r="S836" s="54">
        <v>7938</v>
      </c>
      <c r="T836" s="54">
        <v>3763.2</v>
      </c>
      <c r="U836" s="54">
        <v>4382.88</v>
      </c>
      <c r="V836" s="54">
        <v>8557.68</v>
      </c>
      <c r="W836" s="54">
        <v>4382.88</v>
      </c>
    </row>
    <row r="837" spans="1:23" outlineLevel="2" x14ac:dyDescent="0.2">
      <c r="A837" s="21" t="s">
        <v>402</v>
      </c>
      <c r="B837" s="21" t="s">
        <v>1</v>
      </c>
      <c r="C837" s="21" t="s">
        <v>2</v>
      </c>
      <c r="D837" s="21" t="s">
        <v>410</v>
      </c>
      <c r="E837" s="21" t="s">
        <v>411</v>
      </c>
      <c r="F837" s="21" t="s">
        <v>5</v>
      </c>
      <c r="G837" s="21" t="s">
        <v>6</v>
      </c>
      <c r="H837" s="21" t="s">
        <v>7</v>
      </c>
      <c r="I837" s="21" t="s">
        <v>8</v>
      </c>
      <c r="J837" s="21" t="s">
        <v>403</v>
      </c>
      <c r="K837" s="21" t="s">
        <v>448</v>
      </c>
      <c r="L837" s="21" t="s">
        <v>451</v>
      </c>
      <c r="M837" s="21" t="s">
        <v>15</v>
      </c>
      <c r="N837" s="54">
        <v>1000</v>
      </c>
      <c r="O837" s="54">
        <v>0</v>
      </c>
      <c r="P837" s="54">
        <v>0</v>
      </c>
      <c r="Q837" s="54">
        <v>1000</v>
      </c>
      <c r="R837" s="54">
        <v>0</v>
      </c>
      <c r="S837" s="54">
        <v>1000</v>
      </c>
      <c r="T837" s="54">
        <v>0</v>
      </c>
      <c r="U837" s="54">
        <v>0</v>
      </c>
      <c r="V837" s="54">
        <v>1000</v>
      </c>
      <c r="W837" s="54">
        <v>0</v>
      </c>
    </row>
    <row r="838" spans="1:23" outlineLevel="2" x14ac:dyDescent="0.2">
      <c r="A838" s="21" t="s">
        <v>402</v>
      </c>
      <c r="B838" s="21" t="s">
        <v>31</v>
      </c>
      <c r="C838" s="21" t="s">
        <v>79</v>
      </c>
      <c r="D838" s="21" t="s">
        <v>80</v>
      </c>
      <c r="E838" s="21" t="s">
        <v>81</v>
      </c>
      <c r="F838" s="21" t="s">
        <v>5</v>
      </c>
      <c r="G838" s="21" t="s">
        <v>6</v>
      </c>
      <c r="H838" s="21" t="s">
        <v>7</v>
      </c>
      <c r="I838" s="21" t="s">
        <v>8</v>
      </c>
      <c r="J838" s="21" t="s">
        <v>403</v>
      </c>
      <c r="K838" s="21" t="s">
        <v>453</v>
      </c>
      <c r="L838" s="21" t="s">
        <v>454</v>
      </c>
      <c r="M838" s="21" t="s">
        <v>12</v>
      </c>
      <c r="N838" s="54">
        <v>2000</v>
      </c>
      <c r="O838" s="54">
        <v>0</v>
      </c>
      <c r="P838" s="54">
        <v>0</v>
      </c>
      <c r="Q838" s="54">
        <v>2000</v>
      </c>
      <c r="R838" s="54">
        <v>0</v>
      </c>
      <c r="S838" s="54">
        <v>0</v>
      </c>
      <c r="T838" s="54">
        <v>0</v>
      </c>
      <c r="U838" s="54">
        <v>2000</v>
      </c>
      <c r="V838" s="54">
        <v>2000</v>
      </c>
      <c r="W838" s="54">
        <v>2000</v>
      </c>
    </row>
    <row r="839" spans="1:23" outlineLevel="2" x14ac:dyDescent="0.2">
      <c r="A839" s="21" t="s">
        <v>402</v>
      </c>
      <c r="B839" s="21" t="s">
        <v>31</v>
      </c>
      <c r="C839" s="21" t="s">
        <v>79</v>
      </c>
      <c r="D839" s="21" t="s">
        <v>117</v>
      </c>
      <c r="E839" s="21" t="s">
        <v>118</v>
      </c>
      <c r="F839" s="21" t="s">
        <v>5</v>
      </c>
      <c r="G839" s="21" t="s">
        <v>6</v>
      </c>
      <c r="H839" s="21" t="s">
        <v>7</v>
      </c>
      <c r="I839" s="21" t="s">
        <v>8</v>
      </c>
      <c r="J839" s="21" t="s">
        <v>403</v>
      </c>
      <c r="K839" s="21" t="s">
        <v>453</v>
      </c>
      <c r="L839" s="21" t="s">
        <v>454</v>
      </c>
      <c r="M839" s="21" t="s">
        <v>12</v>
      </c>
      <c r="N839" s="54">
        <v>800</v>
      </c>
      <c r="O839" s="54">
        <v>0</v>
      </c>
      <c r="P839" s="54">
        <v>0</v>
      </c>
      <c r="Q839" s="54">
        <v>800</v>
      </c>
      <c r="R839" s="54">
        <v>0</v>
      </c>
      <c r="S839" s="54">
        <v>0</v>
      </c>
      <c r="T839" s="54">
        <v>0</v>
      </c>
      <c r="U839" s="54">
        <v>800</v>
      </c>
      <c r="V839" s="54">
        <v>800</v>
      </c>
      <c r="W839" s="54">
        <v>800</v>
      </c>
    </row>
    <row r="840" spans="1:23" outlineLevel="2" x14ac:dyDescent="0.2">
      <c r="A840" s="21" t="s">
        <v>402</v>
      </c>
      <c r="B840" s="21" t="s">
        <v>39</v>
      </c>
      <c r="C840" s="21" t="s">
        <v>58</v>
      </c>
      <c r="D840" s="21" t="s">
        <v>143</v>
      </c>
      <c r="E840" s="21" t="s">
        <v>144</v>
      </c>
      <c r="F840" s="21" t="s">
        <v>5</v>
      </c>
      <c r="G840" s="21" t="s">
        <v>6</v>
      </c>
      <c r="H840" s="21" t="s">
        <v>7</v>
      </c>
      <c r="I840" s="21" t="s">
        <v>8</v>
      </c>
      <c r="J840" s="21" t="s">
        <v>403</v>
      </c>
      <c r="K840" s="21" t="s">
        <v>453</v>
      </c>
      <c r="L840" s="21" t="s">
        <v>455</v>
      </c>
      <c r="M840" s="21" t="s">
        <v>12</v>
      </c>
      <c r="N840" s="54">
        <v>0</v>
      </c>
      <c r="O840" s="54">
        <v>500</v>
      </c>
      <c r="P840" s="54">
        <v>0</v>
      </c>
      <c r="Q840" s="54">
        <v>500</v>
      </c>
      <c r="R840" s="54">
        <v>0</v>
      </c>
      <c r="S840" s="54">
        <v>0</v>
      </c>
      <c r="T840" s="54">
        <v>0</v>
      </c>
      <c r="U840" s="54">
        <v>500</v>
      </c>
      <c r="V840" s="54">
        <v>500</v>
      </c>
      <c r="W840" s="54">
        <v>500</v>
      </c>
    </row>
    <row r="841" spans="1:23" outlineLevel="2" x14ac:dyDescent="0.2">
      <c r="A841" s="21" t="s">
        <v>402</v>
      </c>
      <c r="B841" s="21" t="s">
        <v>39</v>
      </c>
      <c r="C841" s="21" t="s">
        <v>58</v>
      </c>
      <c r="D841" s="21" t="s">
        <v>139</v>
      </c>
      <c r="E841" s="21" t="s">
        <v>140</v>
      </c>
      <c r="F841" s="21" t="s">
        <v>5</v>
      </c>
      <c r="G841" s="21" t="s">
        <v>6</v>
      </c>
      <c r="H841" s="21" t="s">
        <v>7</v>
      </c>
      <c r="I841" s="21" t="s">
        <v>8</v>
      </c>
      <c r="J841" s="21" t="s">
        <v>403</v>
      </c>
      <c r="K841" s="21" t="s">
        <v>453</v>
      </c>
      <c r="L841" s="21" t="s">
        <v>455</v>
      </c>
      <c r="M841" s="21" t="s">
        <v>12</v>
      </c>
      <c r="N841" s="54">
        <v>0</v>
      </c>
      <c r="O841" s="54">
        <v>2000</v>
      </c>
      <c r="P841" s="54">
        <v>0</v>
      </c>
      <c r="Q841" s="54">
        <v>2000</v>
      </c>
      <c r="R841" s="54">
        <v>0</v>
      </c>
      <c r="S841" s="54">
        <v>0</v>
      </c>
      <c r="T841" s="54">
        <v>0</v>
      </c>
      <c r="U841" s="54">
        <v>2000</v>
      </c>
      <c r="V841" s="54">
        <v>2000</v>
      </c>
      <c r="W841" s="54">
        <v>2000</v>
      </c>
    </row>
    <row r="842" spans="1:23" outlineLevel="2" x14ac:dyDescent="0.2">
      <c r="A842" s="21" t="s">
        <v>402</v>
      </c>
      <c r="B842" s="21" t="s">
        <v>39</v>
      </c>
      <c r="C842" s="21" t="s">
        <v>95</v>
      </c>
      <c r="D842" s="21" t="s">
        <v>96</v>
      </c>
      <c r="E842" s="21" t="s">
        <v>97</v>
      </c>
      <c r="F842" s="21" t="s">
        <v>5</v>
      </c>
      <c r="G842" s="21" t="s">
        <v>6</v>
      </c>
      <c r="H842" s="21" t="s">
        <v>7</v>
      </c>
      <c r="I842" s="21" t="s">
        <v>8</v>
      </c>
      <c r="J842" s="21" t="s">
        <v>403</v>
      </c>
      <c r="K842" s="21" t="s">
        <v>453</v>
      </c>
      <c r="L842" s="21" t="s">
        <v>458</v>
      </c>
      <c r="M842" s="21" t="s">
        <v>12</v>
      </c>
      <c r="N842" s="54">
        <v>19000</v>
      </c>
      <c r="O842" s="54">
        <v>-10000</v>
      </c>
      <c r="P842" s="54">
        <v>0</v>
      </c>
      <c r="Q842" s="54">
        <v>9000</v>
      </c>
      <c r="R842" s="54">
        <v>9000</v>
      </c>
      <c r="S842" s="54">
        <v>0</v>
      </c>
      <c r="T842" s="54">
        <v>0</v>
      </c>
      <c r="U842" s="54">
        <v>9000</v>
      </c>
      <c r="V842" s="54">
        <v>9000</v>
      </c>
      <c r="W842" s="54">
        <v>0</v>
      </c>
    </row>
    <row r="843" spans="1:23" outlineLevel="2" x14ac:dyDescent="0.2">
      <c r="A843" s="21" t="s">
        <v>402</v>
      </c>
      <c r="B843" s="21" t="s">
        <v>31</v>
      </c>
      <c r="C843" s="21" t="s">
        <v>32</v>
      </c>
      <c r="D843" s="21" t="s">
        <v>33</v>
      </c>
      <c r="E843" s="21" t="s">
        <v>34</v>
      </c>
      <c r="F843" s="21" t="s">
        <v>5</v>
      </c>
      <c r="G843" s="21" t="s">
        <v>6</v>
      </c>
      <c r="H843" s="21" t="s">
        <v>7</v>
      </c>
      <c r="I843" s="21" t="s">
        <v>8</v>
      </c>
      <c r="J843" s="21" t="s">
        <v>403</v>
      </c>
      <c r="K843" s="21" t="s">
        <v>453</v>
      </c>
      <c r="L843" s="21" t="s">
        <v>457</v>
      </c>
      <c r="M843" s="21" t="s">
        <v>12</v>
      </c>
      <c r="N843" s="54">
        <v>3000</v>
      </c>
      <c r="O843" s="54">
        <v>-1400</v>
      </c>
      <c r="P843" s="54">
        <v>0</v>
      </c>
      <c r="Q843" s="54">
        <v>1600</v>
      </c>
      <c r="R843" s="54">
        <v>0</v>
      </c>
      <c r="S843" s="54">
        <v>0</v>
      </c>
      <c r="T843" s="54">
        <v>0</v>
      </c>
      <c r="U843" s="54">
        <v>1600</v>
      </c>
      <c r="V843" s="54">
        <v>1600</v>
      </c>
      <c r="W843" s="54">
        <v>1600</v>
      </c>
    </row>
    <row r="844" spans="1:23" outlineLevel="2" x14ac:dyDescent="0.2">
      <c r="A844" s="21" t="s">
        <v>402</v>
      </c>
      <c r="B844" s="21" t="s">
        <v>1</v>
      </c>
      <c r="C844" s="21" t="s">
        <v>2</v>
      </c>
      <c r="D844" s="21" t="s">
        <v>410</v>
      </c>
      <c r="E844" s="21" t="s">
        <v>411</v>
      </c>
      <c r="F844" s="21" t="s">
        <v>5</v>
      </c>
      <c r="G844" s="21" t="s">
        <v>6</v>
      </c>
      <c r="H844" s="21" t="s">
        <v>7</v>
      </c>
      <c r="I844" s="21" t="s">
        <v>8</v>
      </c>
      <c r="J844" s="21" t="s">
        <v>403</v>
      </c>
      <c r="K844" s="21" t="s">
        <v>453</v>
      </c>
      <c r="L844" s="21" t="s">
        <v>456</v>
      </c>
      <c r="M844" s="21" t="s">
        <v>15</v>
      </c>
      <c r="N844" s="54">
        <v>8000</v>
      </c>
      <c r="O844" s="54">
        <v>0</v>
      </c>
      <c r="P844" s="54">
        <v>0</v>
      </c>
      <c r="Q844" s="54">
        <v>8000</v>
      </c>
      <c r="R844" s="54">
        <v>2510.48</v>
      </c>
      <c r="S844" s="54">
        <v>5489.52</v>
      </c>
      <c r="T844" s="54">
        <v>0</v>
      </c>
      <c r="U844" s="54">
        <v>2510.48</v>
      </c>
      <c r="V844" s="54">
        <v>8000</v>
      </c>
      <c r="W844" s="54">
        <v>0</v>
      </c>
    </row>
    <row r="845" spans="1:23" outlineLevel="2" x14ac:dyDescent="0.2">
      <c r="A845" s="21" t="s">
        <v>402</v>
      </c>
      <c r="B845" s="21" t="s">
        <v>39</v>
      </c>
      <c r="C845" s="21" t="s">
        <v>58</v>
      </c>
      <c r="D845" s="21" t="s">
        <v>149</v>
      </c>
      <c r="E845" s="21" t="s">
        <v>150</v>
      </c>
      <c r="F845" s="21" t="s">
        <v>5</v>
      </c>
      <c r="G845" s="21" t="s">
        <v>6</v>
      </c>
      <c r="H845" s="21" t="s">
        <v>7</v>
      </c>
      <c r="I845" s="21" t="s">
        <v>8</v>
      </c>
      <c r="J845" s="21" t="s">
        <v>403</v>
      </c>
      <c r="K845" s="21" t="s">
        <v>453</v>
      </c>
      <c r="L845" s="21" t="s">
        <v>455</v>
      </c>
      <c r="M845" s="21" t="s">
        <v>12</v>
      </c>
      <c r="N845" s="54">
        <v>2000</v>
      </c>
      <c r="O845" s="54">
        <v>0</v>
      </c>
      <c r="P845" s="54">
        <v>0</v>
      </c>
      <c r="Q845" s="54">
        <v>2000</v>
      </c>
      <c r="R845" s="54">
        <v>0</v>
      </c>
      <c r="S845" s="54">
        <v>0</v>
      </c>
      <c r="T845" s="54">
        <v>0</v>
      </c>
      <c r="U845" s="54">
        <v>2000</v>
      </c>
      <c r="V845" s="54">
        <v>2000</v>
      </c>
      <c r="W845" s="54">
        <v>2000</v>
      </c>
    </row>
    <row r="846" spans="1:23" outlineLevel="2" x14ac:dyDescent="0.2">
      <c r="A846" s="21" t="s">
        <v>402</v>
      </c>
      <c r="B846" s="21" t="s">
        <v>31</v>
      </c>
      <c r="C846" s="21" t="s">
        <v>32</v>
      </c>
      <c r="D846" s="21" t="s">
        <v>75</v>
      </c>
      <c r="E846" s="21" t="s">
        <v>76</v>
      </c>
      <c r="F846" s="21" t="s">
        <v>5</v>
      </c>
      <c r="G846" s="21" t="s">
        <v>6</v>
      </c>
      <c r="H846" s="21" t="s">
        <v>7</v>
      </c>
      <c r="I846" s="21" t="s">
        <v>8</v>
      </c>
      <c r="J846" s="21" t="s">
        <v>403</v>
      </c>
      <c r="K846" s="21" t="s">
        <v>453</v>
      </c>
      <c r="L846" s="21" t="s">
        <v>457</v>
      </c>
      <c r="M846" s="21" t="s">
        <v>12</v>
      </c>
      <c r="N846" s="54">
        <v>600</v>
      </c>
      <c r="O846" s="54">
        <v>2100</v>
      </c>
      <c r="P846" s="54">
        <v>0</v>
      </c>
      <c r="Q846" s="54">
        <v>2700</v>
      </c>
      <c r="R846" s="54">
        <v>1848.56</v>
      </c>
      <c r="S846" s="54">
        <v>0</v>
      </c>
      <c r="T846" s="54">
        <v>0</v>
      </c>
      <c r="U846" s="54">
        <v>2700</v>
      </c>
      <c r="V846" s="54">
        <v>2700</v>
      </c>
      <c r="W846" s="54">
        <v>851.44</v>
      </c>
    </row>
    <row r="847" spans="1:23" outlineLevel="2" x14ac:dyDescent="0.2">
      <c r="A847" s="21" t="s">
        <v>402</v>
      </c>
      <c r="B847" s="21" t="s">
        <v>39</v>
      </c>
      <c r="C847" s="21" t="s">
        <v>58</v>
      </c>
      <c r="D847" s="21" t="s">
        <v>135</v>
      </c>
      <c r="E847" s="21" t="s">
        <v>136</v>
      </c>
      <c r="F847" s="21" t="s">
        <v>5</v>
      </c>
      <c r="G847" s="21" t="s">
        <v>6</v>
      </c>
      <c r="H847" s="21" t="s">
        <v>7</v>
      </c>
      <c r="I847" s="21" t="s">
        <v>8</v>
      </c>
      <c r="J847" s="21" t="s">
        <v>403</v>
      </c>
      <c r="K847" s="21" t="s">
        <v>453</v>
      </c>
      <c r="L847" s="21" t="s">
        <v>455</v>
      </c>
      <c r="M847" s="21" t="s">
        <v>12</v>
      </c>
      <c r="N847" s="54">
        <v>0</v>
      </c>
      <c r="O847" s="54">
        <v>1344</v>
      </c>
      <c r="P847" s="54">
        <v>0</v>
      </c>
      <c r="Q847" s="54">
        <v>1344</v>
      </c>
      <c r="R847" s="54">
        <v>0</v>
      </c>
      <c r="S847" s="54">
        <v>0</v>
      </c>
      <c r="T847" s="54">
        <v>0</v>
      </c>
      <c r="U847" s="54">
        <v>1344</v>
      </c>
      <c r="V847" s="54">
        <v>1344</v>
      </c>
      <c r="W847" s="54">
        <v>1344</v>
      </c>
    </row>
    <row r="848" spans="1:23" outlineLevel="2" x14ac:dyDescent="0.2">
      <c r="A848" s="21" t="s">
        <v>402</v>
      </c>
      <c r="B848" s="21" t="s">
        <v>31</v>
      </c>
      <c r="C848" s="21" t="s">
        <v>79</v>
      </c>
      <c r="D848" s="21" t="s">
        <v>111</v>
      </c>
      <c r="E848" s="21" t="s">
        <v>112</v>
      </c>
      <c r="F848" s="21" t="s">
        <v>5</v>
      </c>
      <c r="G848" s="21" t="s">
        <v>6</v>
      </c>
      <c r="H848" s="21" t="s">
        <v>7</v>
      </c>
      <c r="I848" s="21" t="s">
        <v>8</v>
      </c>
      <c r="J848" s="21" t="s">
        <v>403</v>
      </c>
      <c r="K848" s="21" t="s">
        <v>453</v>
      </c>
      <c r="L848" s="21" t="s">
        <v>454</v>
      </c>
      <c r="M848" s="21" t="s">
        <v>12</v>
      </c>
      <c r="N848" s="54">
        <v>1120</v>
      </c>
      <c r="O848" s="54">
        <v>0</v>
      </c>
      <c r="P848" s="54">
        <v>0</v>
      </c>
      <c r="Q848" s="54">
        <v>1120</v>
      </c>
      <c r="R848" s="54">
        <v>0</v>
      </c>
      <c r="S848" s="54">
        <v>0</v>
      </c>
      <c r="T848" s="54">
        <v>0</v>
      </c>
      <c r="U848" s="54">
        <v>1120</v>
      </c>
      <c r="V848" s="54">
        <v>1120</v>
      </c>
      <c r="W848" s="54">
        <v>1120</v>
      </c>
    </row>
    <row r="849" spans="1:23" outlineLevel="2" x14ac:dyDescent="0.2">
      <c r="A849" s="21" t="s">
        <v>402</v>
      </c>
      <c r="B849" s="21" t="s">
        <v>31</v>
      </c>
      <c r="C849" s="21" t="s">
        <v>79</v>
      </c>
      <c r="D849" s="21" t="s">
        <v>115</v>
      </c>
      <c r="E849" s="21" t="s">
        <v>116</v>
      </c>
      <c r="F849" s="21" t="s">
        <v>5</v>
      </c>
      <c r="G849" s="21" t="s">
        <v>6</v>
      </c>
      <c r="H849" s="21" t="s">
        <v>7</v>
      </c>
      <c r="I849" s="21" t="s">
        <v>8</v>
      </c>
      <c r="J849" s="21" t="s">
        <v>403</v>
      </c>
      <c r="K849" s="21" t="s">
        <v>459</v>
      </c>
      <c r="L849" s="21" t="s">
        <v>460</v>
      </c>
      <c r="M849" s="21" t="s">
        <v>12</v>
      </c>
      <c r="N849" s="54">
        <v>1500</v>
      </c>
      <c r="O849" s="54">
        <v>0</v>
      </c>
      <c r="P849" s="54">
        <v>0</v>
      </c>
      <c r="Q849" s="54">
        <v>1500</v>
      </c>
      <c r="R849" s="54">
        <v>0</v>
      </c>
      <c r="S849" s="54">
        <v>0</v>
      </c>
      <c r="T849" s="54">
        <v>0</v>
      </c>
      <c r="U849" s="54">
        <v>1500</v>
      </c>
      <c r="V849" s="54">
        <v>1500</v>
      </c>
      <c r="W849" s="54">
        <v>1500</v>
      </c>
    </row>
    <row r="850" spans="1:23" outlineLevel="2" x14ac:dyDescent="0.2">
      <c r="A850" s="21" t="s">
        <v>402</v>
      </c>
      <c r="B850" s="21" t="s">
        <v>1</v>
      </c>
      <c r="C850" s="21" t="s">
        <v>2</v>
      </c>
      <c r="D850" s="21" t="s">
        <v>410</v>
      </c>
      <c r="E850" s="21" t="s">
        <v>411</v>
      </c>
      <c r="F850" s="21" t="s">
        <v>5</v>
      </c>
      <c r="G850" s="21" t="s">
        <v>6</v>
      </c>
      <c r="H850" s="21" t="s">
        <v>7</v>
      </c>
      <c r="I850" s="21" t="s">
        <v>8</v>
      </c>
      <c r="J850" s="21" t="s">
        <v>403</v>
      </c>
      <c r="K850" s="21" t="s">
        <v>459</v>
      </c>
      <c r="L850" s="21" t="s">
        <v>462</v>
      </c>
      <c r="M850" s="21" t="s">
        <v>15</v>
      </c>
      <c r="N850" s="54">
        <v>1000</v>
      </c>
      <c r="O850" s="54">
        <v>5264</v>
      </c>
      <c r="P850" s="54">
        <v>0</v>
      </c>
      <c r="Q850" s="54">
        <v>6264</v>
      </c>
      <c r="R850" s="54">
        <v>5264</v>
      </c>
      <c r="S850" s="54">
        <v>1000</v>
      </c>
      <c r="T850" s="54">
        <v>344.12</v>
      </c>
      <c r="U850" s="54">
        <v>5264</v>
      </c>
      <c r="V850" s="54">
        <v>5919.88</v>
      </c>
      <c r="W850" s="54">
        <v>0</v>
      </c>
    </row>
    <row r="851" spans="1:23" outlineLevel="2" x14ac:dyDescent="0.2">
      <c r="A851" s="21" t="s">
        <v>402</v>
      </c>
      <c r="B851" s="21" t="s">
        <v>1</v>
      </c>
      <c r="C851" s="21" t="s">
        <v>16</v>
      </c>
      <c r="D851" s="21" t="s">
        <v>62</v>
      </c>
      <c r="E851" s="21" t="s">
        <v>63</v>
      </c>
      <c r="F851" s="21" t="s">
        <v>5</v>
      </c>
      <c r="G851" s="21" t="s">
        <v>6</v>
      </c>
      <c r="H851" s="21" t="s">
        <v>7</v>
      </c>
      <c r="I851" s="21" t="s">
        <v>8</v>
      </c>
      <c r="J851" s="21" t="s">
        <v>403</v>
      </c>
      <c r="K851" s="21" t="s">
        <v>459</v>
      </c>
      <c r="L851" s="21" t="s">
        <v>473</v>
      </c>
      <c r="M851" s="21" t="s">
        <v>15</v>
      </c>
      <c r="N851" s="54">
        <v>300</v>
      </c>
      <c r="O851" s="54">
        <v>0</v>
      </c>
      <c r="P851" s="54">
        <v>0</v>
      </c>
      <c r="Q851" s="54">
        <v>300</v>
      </c>
      <c r="R851" s="54">
        <v>0</v>
      </c>
      <c r="S851" s="54">
        <v>0</v>
      </c>
      <c r="T851" s="54">
        <v>0</v>
      </c>
      <c r="U851" s="54">
        <v>300</v>
      </c>
      <c r="V851" s="54">
        <v>300</v>
      </c>
      <c r="W851" s="54">
        <v>300</v>
      </c>
    </row>
    <row r="852" spans="1:23" outlineLevel="2" x14ac:dyDescent="0.2">
      <c r="A852" s="21" t="s">
        <v>402</v>
      </c>
      <c r="B852" s="21" t="s">
        <v>31</v>
      </c>
      <c r="C852" s="21" t="s">
        <v>107</v>
      </c>
      <c r="D852" s="21" t="s">
        <v>108</v>
      </c>
      <c r="E852" s="21" t="s">
        <v>109</v>
      </c>
      <c r="F852" s="21" t="s">
        <v>5</v>
      </c>
      <c r="G852" s="21" t="s">
        <v>6</v>
      </c>
      <c r="H852" s="21" t="s">
        <v>7</v>
      </c>
      <c r="I852" s="21" t="s">
        <v>8</v>
      </c>
      <c r="J852" s="21" t="s">
        <v>403</v>
      </c>
      <c r="K852" s="21" t="s">
        <v>459</v>
      </c>
      <c r="L852" s="21" t="s">
        <v>471</v>
      </c>
      <c r="M852" s="21" t="s">
        <v>12</v>
      </c>
      <c r="N852" s="54">
        <v>8000</v>
      </c>
      <c r="O852" s="54">
        <v>0</v>
      </c>
      <c r="P852" s="54">
        <v>0</v>
      </c>
      <c r="Q852" s="54">
        <v>8000</v>
      </c>
      <c r="R852" s="54">
        <v>0</v>
      </c>
      <c r="S852" s="54">
        <v>0</v>
      </c>
      <c r="T852" s="54">
        <v>0</v>
      </c>
      <c r="U852" s="54">
        <v>8000</v>
      </c>
      <c r="V852" s="54">
        <v>8000</v>
      </c>
      <c r="W852" s="54">
        <v>8000</v>
      </c>
    </row>
    <row r="853" spans="1:23" outlineLevel="2" x14ac:dyDescent="0.2">
      <c r="A853" s="21" t="s">
        <v>402</v>
      </c>
      <c r="B853" s="21" t="s">
        <v>1</v>
      </c>
      <c r="C853" s="21" t="s">
        <v>2</v>
      </c>
      <c r="D853" s="21" t="s">
        <v>3</v>
      </c>
      <c r="E853" s="21" t="s">
        <v>4</v>
      </c>
      <c r="F853" s="21" t="s">
        <v>5</v>
      </c>
      <c r="G853" s="21" t="s">
        <v>6</v>
      </c>
      <c r="H853" s="21" t="s">
        <v>7</v>
      </c>
      <c r="I853" s="21" t="s">
        <v>8</v>
      </c>
      <c r="J853" s="21" t="s">
        <v>403</v>
      </c>
      <c r="K853" s="21" t="s">
        <v>459</v>
      </c>
      <c r="L853" s="21" t="s">
        <v>462</v>
      </c>
      <c r="M853" s="21" t="s">
        <v>15</v>
      </c>
      <c r="N853" s="54">
        <v>0</v>
      </c>
      <c r="O853" s="54">
        <v>768.73</v>
      </c>
      <c r="P853" s="54">
        <v>0</v>
      </c>
      <c r="Q853" s="54">
        <v>768.73</v>
      </c>
      <c r="R853" s="54">
        <v>0</v>
      </c>
      <c r="S853" s="54">
        <v>50</v>
      </c>
      <c r="T853" s="54">
        <v>50</v>
      </c>
      <c r="U853" s="54">
        <v>718.73</v>
      </c>
      <c r="V853" s="54">
        <v>718.73</v>
      </c>
      <c r="W853" s="54">
        <v>718.73</v>
      </c>
    </row>
    <row r="854" spans="1:23" outlineLevel="2" x14ac:dyDescent="0.2">
      <c r="A854" s="21" t="s">
        <v>402</v>
      </c>
      <c r="B854" s="21" t="s">
        <v>31</v>
      </c>
      <c r="C854" s="21" t="s">
        <v>79</v>
      </c>
      <c r="D854" s="21" t="s">
        <v>80</v>
      </c>
      <c r="E854" s="21" t="s">
        <v>81</v>
      </c>
      <c r="F854" s="21" t="s">
        <v>5</v>
      </c>
      <c r="G854" s="21" t="s">
        <v>6</v>
      </c>
      <c r="H854" s="21" t="s">
        <v>7</v>
      </c>
      <c r="I854" s="21" t="s">
        <v>8</v>
      </c>
      <c r="J854" s="21" t="s">
        <v>403</v>
      </c>
      <c r="K854" s="21" t="s">
        <v>459</v>
      </c>
      <c r="L854" s="21" t="s">
        <v>460</v>
      </c>
      <c r="M854" s="21" t="s">
        <v>12</v>
      </c>
      <c r="N854" s="54">
        <v>7000</v>
      </c>
      <c r="O854" s="54">
        <v>0</v>
      </c>
      <c r="P854" s="54">
        <v>0</v>
      </c>
      <c r="Q854" s="54">
        <v>7000</v>
      </c>
      <c r="R854" s="54">
        <v>0</v>
      </c>
      <c r="S854" s="54">
        <v>0</v>
      </c>
      <c r="T854" s="54">
        <v>0</v>
      </c>
      <c r="U854" s="54">
        <v>7000</v>
      </c>
      <c r="V854" s="54">
        <v>7000</v>
      </c>
      <c r="W854" s="54">
        <v>7000</v>
      </c>
    </row>
    <row r="855" spans="1:23" outlineLevel="2" x14ac:dyDescent="0.2">
      <c r="A855" s="21" t="s">
        <v>402</v>
      </c>
      <c r="B855" s="21" t="s">
        <v>39</v>
      </c>
      <c r="C855" s="21" t="s">
        <v>95</v>
      </c>
      <c r="D855" s="21" t="s">
        <v>96</v>
      </c>
      <c r="E855" s="21" t="s">
        <v>97</v>
      </c>
      <c r="F855" s="21" t="s">
        <v>5</v>
      </c>
      <c r="G855" s="21" t="s">
        <v>6</v>
      </c>
      <c r="H855" s="21" t="s">
        <v>7</v>
      </c>
      <c r="I855" s="21" t="s">
        <v>8</v>
      </c>
      <c r="J855" s="21" t="s">
        <v>403</v>
      </c>
      <c r="K855" s="21" t="s">
        <v>459</v>
      </c>
      <c r="L855" s="21" t="s">
        <v>467</v>
      </c>
      <c r="M855" s="21" t="s">
        <v>12</v>
      </c>
      <c r="N855" s="54">
        <v>18000</v>
      </c>
      <c r="O855" s="54">
        <v>-18000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</row>
    <row r="856" spans="1:23" outlineLevel="2" x14ac:dyDescent="0.2">
      <c r="A856" s="21" t="s">
        <v>402</v>
      </c>
      <c r="B856" s="21" t="s">
        <v>39</v>
      </c>
      <c r="C856" s="21" t="s">
        <v>58</v>
      </c>
      <c r="D856" s="21" t="s">
        <v>147</v>
      </c>
      <c r="E856" s="21" t="s">
        <v>148</v>
      </c>
      <c r="F856" s="21" t="s">
        <v>5</v>
      </c>
      <c r="G856" s="21" t="s">
        <v>6</v>
      </c>
      <c r="H856" s="21" t="s">
        <v>7</v>
      </c>
      <c r="I856" s="21" t="s">
        <v>8</v>
      </c>
      <c r="J856" s="21" t="s">
        <v>403</v>
      </c>
      <c r="K856" s="21" t="s">
        <v>459</v>
      </c>
      <c r="L856" s="21" t="s">
        <v>465</v>
      </c>
      <c r="M856" s="21" t="s">
        <v>12</v>
      </c>
      <c r="N856" s="54">
        <v>15000</v>
      </c>
      <c r="O856" s="54">
        <v>-3000</v>
      </c>
      <c r="P856" s="54">
        <v>0</v>
      </c>
      <c r="Q856" s="54">
        <v>12000</v>
      </c>
      <c r="R856" s="54">
        <v>4286.6400000000003</v>
      </c>
      <c r="S856" s="54">
        <v>3553.36</v>
      </c>
      <c r="T856" s="54">
        <v>3553.36</v>
      </c>
      <c r="U856" s="54">
        <v>8446.64</v>
      </c>
      <c r="V856" s="54">
        <v>8446.64</v>
      </c>
      <c r="W856" s="54">
        <v>4160</v>
      </c>
    </row>
    <row r="857" spans="1:23" outlineLevel="2" x14ac:dyDescent="0.2">
      <c r="A857" s="21" t="s">
        <v>402</v>
      </c>
      <c r="B857" s="21" t="s">
        <v>31</v>
      </c>
      <c r="C857" s="21" t="s">
        <v>79</v>
      </c>
      <c r="D857" s="21" t="s">
        <v>113</v>
      </c>
      <c r="E857" s="21" t="s">
        <v>114</v>
      </c>
      <c r="F857" s="21" t="s">
        <v>5</v>
      </c>
      <c r="G857" s="21" t="s">
        <v>6</v>
      </c>
      <c r="H857" s="21" t="s">
        <v>7</v>
      </c>
      <c r="I857" s="21" t="s">
        <v>8</v>
      </c>
      <c r="J857" s="21" t="s">
        <v>403</v>
      </c>
      <c r="K857" s="21" t="s">
        <v>459</v>
      </c>
      <c r="L857" s="21" t="s">
        <v>460</v>
      </c>
      <c r="M857" s="21" t="s">
        <v>12</v>
      </c>
      <c r="N857" s="54">
        <v>3000</v>
      </c>
      <c r="O857" s="54">
        <v>4000</v>
      </c>
      <c r="P857" s="54">
        <v>0</v>
      </c>
      <c r="Q857" s="54">
        <v>7000</v>
      </c>
      <c r="R857" s="54">
        <v>0</v>
      </c>
      <c r="S857" s="54">
        <v>3136</v>
      </c>
      <c r="T857" s="54">
        <v>3136</v>
      </c>
      <c r="U857" s="54">
        <v>3864</v>
      </c>
      <c r="V857" s="54">
        <v>3864</v>
      </c>
      <c r="W857" s="54">
        <v>3864</v>
      </c>
    </row>
    <row r="858" spans="1:23" outlineLevel="2" x14ac:dyDescent="0.2">
      <c r="A858" s="21" t="s">
        <v>402</v>
      </c>
      <c r="B858" s="21" t="s">
        <v>31</v>
      </c>
      <c r="C858" s="21" t="s">
        <v>79</v>
      </c>
      <c r="D858" s="21" t="s">
        <v>117</v>
      </c>
      <c r="E858" s="21" t="s">
        <v>118</v>
      </c>
      <c r="F858" s="21" t="s">
        <v>5</v>
      </c>
      <c r="G858" s="21" t="s">
        <v>6</v>
      </c>
      <c r="H858" s="21" t="s">
        <v>7</v>
      </c>
      <c r="I858" s="21" t="s">
        <v>8</v>
      </c>
      <c r="J858" s="21" t="s">
        <v>403</v>
      </c>
      <c r="K858" s="21" t="s">
        <v>459</v>
      </c>
      <c r="L858" s="21" t="s">
        <v>460</v>
      </c>
      <c r="M858" s="21" t="s">
        <v>12</v>
      </c>
      <c r="N858" s="54">
        <v>10000</v>
      </c>
      <c r="O858" s="54">
        <v>0</v>
      </c>
      <c r="P858" s="54">
        <v>0</v>
      </c>
      <c r="Q858" s="54">
        <v>10000</v>
      </c>
      <c r="R858" s="54">
        <v>0</v>
      </c>
      <c r="S858" s="54">
        <v>4780.6000000000004</v>
      </c>
      <c r="T858" s="54">
        <v>4780.59</v>
      </c>
      <c r="U858" s="54">
        <v>5219.3999999999996</v>
      </c>
      <c r="V858" s="54">
        <v>5219.41</v>
      </c>
      <c r="W858" s="54">
        <v>5219.3999999999996</v>
      </c>
    </row>
    <row r="859" spans="1:23" outlineLevel="2" x14ac:dyDescent="0.2">
      <c r="A859" s="21" t="s">
        <v>402</v>
      </c>
      <c r="B859" s="21" t="s">
        <v>31</v>
      </c>
      <c r="C859" s="21" t="s">
        <v>79</v>
      </c>
      <c r="D859" s="21" t="s">
        <v>127</v>
      </c>
      <c r="E859" s="21" t="s">
        <v>128</v>
      </c>
      <c r="F859" s="21" t="s">
        <v>5</v>
      </c>
      <c r="G859" s="21" t="s">
        <v>6</v>
      </c>
      <c r="H859" s="21" t="s">
        <v>7</v>
      </c>
      <c r="I859" s="21" t="s">
        <v>8</v>
      </c>
      <c r="J859" s="21" t="s">
        <v>403</v>
      </c>
      <c r="K859" s="21" t="s">
        <v>459</v>
      </c>
      <c r="L859" s="21" t="s">
        <v>460</v>
      </c>
      <c r="M859" s="21" t="s">
        <v>12</v>
      </c>
      <c r="N859" s="54">
        <v>2000</v>
      </c>
      <c r="O859" s="54">
        <v>-2000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</row>
    <row r="860" spans="1:23" outlineLevel="2" x14ac:dyDescent="0.2">
      <c r="A860" s="21" t="s">
        <v>402</v>
      </c>
      <c r="B860" s="21" t="s">
        <v>39</v>
      </c>
      <c r="C860" s="21" t="s">
        <v>70</v>
      </c>
      <c r="D860" s="21" t="s">
        <v>89</v>
      </c>
      <c r="E860" s="21" t="s">
        <v>90</v>
      </c>
      <c r="F860" s="21" t="s">
        <v>5</v>
      </c>
      <c r="G860" s="21" t="s">
        <v>6</v>
      </c>
      <c r="H860" s="21" t="s">
        <v>7</v>
      </c>
      <c r="I860" s="21" t="s">
        <v>8</v>
      </c>
      <c r="J860" s="21" t="s">
        <v>403</v>
      </c>
      <c r="K860" s="21" t="s">
        <v>459</v>
      </c>
      <c r="L860" s="21" t="s">
        <v>461</v>
      </c>
      <c r="M860" s="21" t="s">
        <v>12</v>
      </c>
      <c r="N860" s="54">
        <v>200</v>
      </c>
      <c r="O860" s="54">
        <v>0</v>
      </c>
      <c r="P860" s="54">
        <v>0</v>
      </c>
      <c r="Q860" s="54">
        <v>200</v>
      </c>
      <c r="R860" s="54">
        <v>0</v>
      </c>
      <c r="S860" s="54">
        <v>200</v>
      </c>
      <c r="T860" s="54">
        <v>31.19</v>
      </c>
      <c r="U860" s="54">
        <v>0</v>
      </c>
      <c r="V860" s="54">
        <v>168.81</v>
      </c>
      <c r="W860" s="54">
        <v>0</v>
      </c>
    </row>
    <row r="861" spans="1:23" outlineLevel="2" x14ac:dyDescent="0.2">
      <c r="A861" s="21" t="s">
        <v>402</v>
      </c>
      <c r="B861" s="21" t="s">
        <v>39</v>
      </c>
      <c r="C861" s="21" t="s">
        <v>58</v>
      </c>
      <c r="D861" s="21" t="s">
        <v>59</v>
      </c>
      <c r="E861" s="21" t="s">
        <v>60</v>
      </c>
      <c r="F861" s="21" t="s">
        <v>5</v>
      </c>
      <c r="G861" s="21" t="s">
        <v>6</v>
      </c>
      <c r="H861" s="21" t="s">
        <v>7</v>
      </c>
      <c r="I861" s="21" t="s">
        <v>8</v>
      </c>
      <c r="J861" s="21" t="s">
        <v>403</v>
      </c>
      <c r="K861" s="21" t="s">
        <v>459</v>
      </c>
      <c r="L861" s="21" t="s">
        <v>465</v>
      </c>
      <c r="M861" s="21" t="s">
        <v>12</v>
      </c>
      <c r="N861" s="54">
        <v>5700</v>
      </c>
      <c r="O861" s="54">
        <v>0</v>
      </c>
      <c r="P861" s="54">
        <v>0</v>
      </c>
      <c r="Q861" s="54">
        <v>5700</v>
      </c>
      <c r="R861" s="54">
        <v>3432.93</v>
      </c>
      <c r="S861" s="54">
        <v>0</v>
      </c>
      <c r="T861" s="54">
        <v>0</v>
      </c>
      <c r="U861" s="54">
        <v>5700</v>
      </c>
      <c r="V861" s="54">
        <v>5700</v>
      </c>
      <c r="W861" s="54">
        <v>2267.0700000000002</v>
      </c>
    </row>
    <row r="862" spans="1:23" outlineLevel="2" x14ac:dyDescent="0.2">
      <c r="A862" s="21" t="s">
        <v>402</v>
      </c>
      <c r="B862" s="21" t="s">
        <v>39</v>
      </c>
      <c r="C862" s="21" t="s">
        <v>40</v>
      </c>
      <c r="D862" s="21" t="s">
        <v>77</v>
      </c>
      <c r="E862" s="21" t="s">
        <v>78</v>
      </c>
      <c r="F862" s="21" t="s">
        <v>5</v>
      </c>
      <c r="G862" s="21" t="s">
        <v>6</v>
      </c>
      <c r="H862" s="21" t="s">
        <v>7</v>
      </c>
      <c r="I862" s="21" t="s">
        <v>8</v>
      </c>
      <c r="J862" s="21" t="s">
        <v>403</v>
      </c>
      <c r="K862" s="21" t="s">
        <v>459</v>
      </c>
      <c r="L862" s="21" t="s">
        <v>472</v>
      </c>
      <c r="M862" s="21" t="s">
        <v>12</v>
      </c>
      <c r="N862" s="54">
        <v>161055.12</v>
      </c>
      <c r="O862" s="54">
        <v>7056</v>
      </c>
      <c r="P862" s="54">
        <v>0</v>
      </c>
      <c r="Q862" s="54">
        <v>168111.12</v>
      </c>
      <c r="R862" s="54">
        <v>0</v>
      </c>
      <c r="S862" s="54">
        <v>23400.27</v>
      </c>
      <c r="T862" s="54">
        <v>15578.55</v>
      </c>
      <c r="U862" s="54">
        <v>144710.85</v>
      </c>
      <c r="V862" s="54">
        <v>152532.57</v>
      </c>
      <c r="W862" s="54">
        <v>144710.85</v>
      </c>
    </row>
    <row r="863" spans="1:23" outlineLevel="2" x14ac:dyDescent="0.2">
      <c r="A863" s="21" t="s">
        <v>402</v>
      </c>
      <c r="B863" s="21" t="s">
        <v>1</v>
      </c>
      <c r="C863" s="21" t="s">
        <v>91</v>
      </c>
      <c r="D863" s="21" t="s">
        <v>92</v>
      </c>
      <c r="E863" s="21" t="s">
        <v>93</v>
      </c>
      <c r="F863" s="21" t="s">
        <v>5</v>
      </c>
      <c r="G863" s="21" t="s">
        <v>6</v>
      </c>
      <c r="H863" s="21" t="s">
        <v>7</v>
      </c>
      <c r="I863" s="21" t="s">
        <v>8</v>
      </c>
      <c r="J863" s="21" t="s">
        <v>403</v>
      </c>
      <c r="K863" s="21" t="s">
        <v>459</v>
      </c>
      <c r="L863" s="21" t="s">
        <v>468</v>
      </c>
      <c r="M863" s="21" t="s">
        <v>15</v>
      </c>
      <c r="N863" s="54">
        <v>10000</v>
      </c>
      <c r="O863" s="54">
        <v>15000</v>
      </c>
      <c r="P863" s="54">
        <v>0</v>
      </c>
      <c r="Q863" s="54">
        <v>25000</v>
      </c>
      <c r="R863" s="54">
        <v>537.6</v>
      </c>
      <c r="S863" s="54">
        <v>8023.2</v>
      </c>
      <c r="T863" s="54">
        <v>7823.2</v>
      </c>
      <c r="U863" s="54">
        <v>16976.8</v>
      </c>
      <c r="V863" s="54">
        <v>17176.8</v>
      </c>
      <c r="W863" s="54">
        <v>16439.2</v>
      </c>
    </row>
    <row r="864" spans="1:23" outlineLevel="2" x14ac:dyDescent="0.2">
      <c r="A864" s="21" t="s">
        <v>402</v>
      </c>
      <c r="B864" s="21" t="s">
        <v>53</v>
      </c>
      <c r="C864" s="21" t="s">
        <v>54</v>
      </c>
      <c r="D864" s="21" t="s">
        <v>55</v>
      </c>
      <c r="E864" s="21" t="s">
        <v>56</v>
      </c>
      <c r="F864" s="21" t="s">
        <v>5</v>
      </c>
      <c r="G864" s="21" t="s">
        <v>6</v>
      </c>
      <c r="H864" s="21" t="s">
        <v>7</v>
      </c>
      <c r="I864" s="21" t="s">
        <v>8</v>
      </c>
      <c r="J864" s="21" t="s">
        <v>403</v>
      </c>
      <c r="K864" s="21" t="s">
        <v>459</v>
      </c>
      <c r="L864" s="21" t="s">
        <v>466</v>
      </c>
      <c r="M864" s="21" t="s">
        <v>12</v>
      </c>
      <c r="N864" s="54">
        <v>1000</v>
      </c>
      <c r="O864" s="54">
        <v>0</v>
      </c>
      <c r="P864" s="54">
        <v>0</v>
      </c>
      <c r="Q864" s="54">
        <v>1000</v>
      </c>
      <c r="R864" s="54">
        <v>0</v>
      </c>
      <c r="S864" s="54">
        <v>182.5</v>
      </c>
      <c r="T864" s="54">
        <v>0</v>
      </c>
      <c r="U864" s="54">
        <v>817.5</v>
      </c>
      <c r="V864" s="54">
        <v>1000</v>
      </c>
      <c r="W864" s="54">
        <v>817.5</v>
      </c>
    </row>
    <row r="865" spans="1:23" outlineLevel="2" x14ac:dyDescent="0.2">
      <c r="A865" s="21" t="s">
        <v>402</v>
      </c>
      <c r="B865" s="21" t="s">
        <v>39</v>
      </c>
      <c r="C865" s="21" t="s">
        <v>66</v>
      </c>
      <c r="D865" s="21" t="s">
        <v>67</v>
      </c>
      <c r="E865" s="21" t="s">
        <v>68</v>
      </c>
      <c r="F865" s="21" t="s">
        <v>5</v>
      </c>
      <c r="G865" s="21" t="s">
        <v>6</v>
      </c>
      <c r="H865" s="21" t="s">
        <v>7</v>
      </c>
      <c r="I865" s="21" t="s">
        <v>8</v>
      </c>
      <c r="J865" s="21" t="s">
        <v>403</v>
      </c>
      <c r="K865" s="21" t="s">
        <v>459</v>
      </c>
      <c r="L865" s="21" t="s">
        <v>469</v>
      </c>
      <c r="M865" s="21" t="s">
        <v>12</v>
      </c>
      <c r="N865" s="54">
        <v>7000</v>
      </c>
      <c r="O865" s="54">
        <v>2031.25</v>
      </c>
      <c r="P865" s="54">
        <v>0</v>
      </c>
      <c r="Q865" s="54">
        <v>9031.25</v>
      </c>
      <c r="R865" s="54">
        <v>0</v>
      </c>
      <c r="S865" s="54">
        <v>9031.23</v>
      </c>
      <c r="T865" s="54">
        <v>80.349999999999994</v>
      </c>
      <c r="U865" s="54">
        <v>0.02</v>
      </c>
      <c r="V865" s="54">
        <v>8950.9</v>
      </c>
      <c r="W865" s="54">
        <v>0.02</v>
      </c>
    </row>
    <row r="866" spans="1:23" outlineLevel="2" x14ac:dyDescent="0.2">
      <c r="A866" s="21" t="s">
        <v>402</v>
      </c>
      <c r="B866" s="21" t="s">
        <v>1</v>
      </c>
      <c r="C866" s="21" t="s">
        <v>2</v>
      </c>
      <c r="D866" s="21" t="s">
        <v>474</v>
      </c>
      <c r="E866" s="21" t="s">
        <v>475</v>
      </c>
      <c r="F866" s="21" t="s">
        <v>5</v>
      </c>
      <c r="G866" s="21" t="s">
        <v>6</v>
      </c>
      <c r="H866" s="21" t="s">
        <v>7</v>
      </c>
      <c r="I866" s="21" t="s">
        <v>8</v>
      </c>
      <c r="J866" s="21" t="s">
        <v>403</v>
      </c>
      <c r="K866" s="21" t="s">
        <v>459</v>
      </c>
      <c r="L866" s="21" t="s">
        <v>462</v>
      </c>
      <c r="M866" s="21" t="s">
        <v>15</v>
      </c>
      <c r="N866" s="54">
        <v>2100</v>
      </c>
      <c r="O866" s="54">
        <v>0</v>
      </c>
      <c r="P866" s="54">
        <v>0</v>
      </c>
      <c r="Q866" s="54">
        <v>2100</v>
      </c>
      <c r="R866" s="54">
        <v>0</v>
      </c>
      <c r="S866" s="54">
        <v>0</v>
      </c>
      <c r="T866" s="54">
        <v>0</v>
      </c>
      <c r="U866" s="54">
        <v>2100</v>
      </c>
      <c r="V866" s="54">
        <v>2100</v>
      </c>
      <c r="W866" s="54">
        <v>2100</v>
      </c>
    </row>
    <row r="867" spans="1:23" outlineLevel="2" x14ac:dyDescent="0.2">
      <c r="A867" s="21" t="s">
        <v>402</v>
      </c>
      <c r="B867" s="21" t="s">
        <v>1</v>
      </c>
      <c r="C867" s="21" t="s">
        <v>2</v>
      </c>
      <c r="D867" s="21" t="s">
        <v>463</v>
      </c>
      <c r="E867" s="21" t="s">
        <v>464</v>
      </c>
      <c r="F867" s="21" t="s">
        <v>5</v>
      </c>
      <c r="G867" s="21" t="s">
        <v>6</v>
      </c>
      <c r="H867" s="21" t="s">
        <v>7</v>
      </c>
      <c r="I867" s="21" t="s">
        <v>8</v>
      </c>
      <c r="J867" s="21" t="s">
        <v>403</v>
      </c>
      <c r="K867" s="21" t="s">
        <v>459</v>
      </c>
      <c r="L867" s="21" t="s">
        <v>462</v>
      </c>
      <c r="M867" s="21" t="s">
        <v>15</v>
      </c>
      <c r="N867" s="54">
        <v>12000</v>
      </c>
      <c r="O867" s="54">
        <v>0</v>
      </c>
      <c r="P867" s="54">
        <v>0</v>
      </c>
      <c r="Q867" s="54">
        <v>12000</v>
      </c>
      <c r="R867" s="54">
        <v>0</v>
      </c>
      <c r="S867" s="54">
        <v>0</v>
      </c>
      <c r="T867" s="54">
        <v>0</v>
      </c>
      <c r="U867" s="54">
        <v>12000</v>
      </c>
      <c r="V867" s="54">
        <v>12000</v>
      </c>
      <c r="W867" s="54">
        <v>12000</v>
      </c>
    </row>
    <row r="868" spans="1:23" outlineLevel="2" x14ac:dyDescent="0.2">
      <c r="A868" s="21" t="s">
        <v>402</v>
      </c>
      <c r="B868" s="21" t="s">
        <v>1</v>
      </c>
      <c r="C868" s="21" t="s">
        <v>2</v>
      </c>
      <c r="D868" s="21" t="s">
        <v>13</v>
      </c>
      <c r="E868" s="21" t="s">
        <v>14</v>
      </c>
      <c r="F868" s="21" t="s">
        <v>5</v>
      </c>
      <c r="G868" s="21" t="s">
        <v>6</v>
      </c>
      <c r="H868" s="21" t="s">
        <v>7</v>
      </c>
      <c r="I868" s="21" t="s">
        <v>8</v>
      </c>
      <c r="J868" s="21" t="s">
        <v>403</v>
      </c>
      <c r="K868" s="21" t="s">
        <v>459</v>
      </c>
      <c r="L868" s="21" t="s">
        <v>462</v>
      </c>
      <c r="M868" s="21" t="s">
        <v>15</v>
      </c>
      <c r="N868" s="54">
        <v>4900</v>
      </c>
      <c r="O868" s="54">
        <v>11666.83</v>
      </c>
      <c r="P868" s="54">
        <v>0</v>
      </c>
      <c r="Q868" s="54">
        <v>16566.830000000002</v>
      </c>
      <c r="R868" s="54">
        <v>0</v>
      </c>
      <c r="S868" s="54">
        <v>6666.03</v>
      </c>
      <c r="T868" s="54">
        <v>6666.03</v>
      </c>
      <c r="U868" s="54">
        <v>9900.7999999999993</v>
      </c>
      <c r="V868" s="54">
        <v>9900.7999999999993</v>
      </c>
      <c r="W868" s="54">
        <v>9900.7999999999993</v>
      </c>
    </row>
    <row r="869" spans="1:23" outlineLevel="2" x14ac:dyDescent="0.2">
      <c r="A869" s="21" t="s">
        <v>402</v>
      </c>
      <c r="B869" s="21" t="s">
        <v>39</v>
      </c>
      <c r="C869" s="21" t="s">
        <v>58</v>
      </c>
      <c r="D869" s="21" t="s">
        <v>135</v>
      </c>
      <c r="E869" s="21" t="s">
        <v>136</v>
      </c>
      <c r="F869" s="21" t="s">
        <v>5</v>
      </c>
      <c r="G869" s="21" t="s">
        <v>6</v>
      </c>
      <c r="H869" s="21" t="s">
        <v>7</v>
      </c>
      <c r="I869" s="21" t="s">
        <v>8</v>
      </c>
      <c r="J869" s="21" t="s">
        <v>403</v>
      </c>
      <c r="K869" s="21" t="s">
        <v>459</v>
      </c>
      <c r="L869" s="21" t="s">
        <v>465</v>
      </c>
      <c r="M869" s="21" t="s">
        <v>12</v>
      </c>
      <c r="N869" s="54">
        <v>0</v>
      </c>
      <c r="O869" s="54">
        <v>2531.0500000000002</v>
      </c>
      <c r="P869" s="54">
        <v>0</v>
      </c>
      <c r="Q869" s="54">
        <v>2531.0500000000002</v>
      </c>
      <c r="R869" s="54">
        <v>0</v>
      </c>
      <c r="S869" s="54">
        <v>0</v>
      </c>
      <c r="T869" s="54">
        <v>0</v>
      </c>
      <c r="U869" s="54">
        <v>2531.0500000000002</v>
      </c>
      <c r="V869" s="54">
        <v>2531.0500000000002</v>
      </c>
      <c r="W869" s="54">
        <v>2531.0500000000002</v>
      </c>
    </row>
    <row r="870" spans="1:23" outlineLevel="2" x14ac:dyDescent="0.2">
      <c r="A870" s="21" t="s">
        <v>402</v>
      </c>
      <c r="B870" s="21" t="s">
        <v>39</v>
      </c>
      <c r="C870" s="21" t="s">
        <v>58</v>
      </c>
      <c r="D870" s="21" t="s">
        <v>149</v>
      </c>
      <c r="E870" s="21" t="s">
        <v>150</v>
      </c>
      <c r="F870" s="21" t="s">
        <v>5</v>
      </c>
      <c r="G870" s="21" t="s">
        <v>6</v>
      </c>
      <c r="H870" s="21" t="s">
        <v>7</v>
      </c>
      <c r="I870" s="21" t="s">
        <v>8</v>
      </c>
      <c r="J870" s="21" t="s">
        <v>403</v>
      </c>
      <c r="K870" s="21" t="s">
        <v>459</v>
      </c>
      <c r="L870" s="21" t="s">
        <v>465</v>
      </c>
      <c r="M870" s="21" t="s">
        <v>12</v>
      </c>
      <c r="N870" s="54">
        <v>55000</v>
      </c>
      <c r="O870" s="54">
        <v>0</v>
      </c>
      <c r="P870" s="54">
        <v>0</v>
      </c>
      <c r="Q870" s="54">
        <v>55000</v>
      </c>
      <c r="R870" s="54">
        <v>0</v>
      </c>
      <c r="S870" s="54">
        <v>8345.01</v>
      </c>
      <c r="T870" s="54">
        <v>6340.6</v>
      </c>
      <c r="U870" s="54">
        <v>46654.99</v>
      </c>
      <c r="V870" s="54">
        <v>48659.4</v>
      </c>
      <c r="W870" s="54">
        <v>46654.99</v>
      </c>
    </row>
    <row r="871" spans="1:23" outlineLevel="2" x14ac:dyDescent="0.2">
      <c r="A871" s="21" t="s">
        <v>402</v>
      </c>
      <c r="B871" s="21" t="s">
        <v>39</v>
      </c>
      <c r="C871" s="21" t="s">
        <v>40</v>
      </c>
      <c r="D871" s="21" t="s">
        <v>41</v>
      </c>
      <c r="E871" s="21" t="s">
        <v>42</v>
      </c>
      <c r="F871" s="21" t="s">
        <v>5</v>
      </c>
      <c r="G871" s="21" t="s">
        <v>6</v>
      </c>
      <c r="H871" s="21" t="s">
        <v>7</v>
      </c>
      <c r="I871" s="21" t="s">
        <v>8</v>
      </c>
      <c r="J871" s="21" t="s">
        <v>403</v>
      </c>
      <c r="K871" s="21" t="s">
        <v>459</v>
      </c>
      <c r="L871" s="21" t="s">
        <v>472</v>
      </c>
      <c r="M871" s="21" t="s">
        <v>12</v>
      </c>
      <c r="N871" s="54">
        <v>1750</v>
      </c>
      <c r="O871" s="54">
        <v>0</v>
      </c>
      <c r="P871" s="54">
        <v>0</v>
      </c>
      <c r="Q871" s="54">
        <v>1750</v>
      </c>
      <c r="R871" s="54">
        <v>0</v>
      </c>
      <c r="S871" s="54">
        <v>0</v>
      </c>
      <c r="T871" s="54">
        <v>0</v>
      </c>
      <c r="U871" s="54">
        <v>1750</v>
      </c>
      <c r="V871" s="54">
        <v>1750</v>
      </c>
      <c r="W871" s="54">
        <v>1750</v>
      </c>
    </row>
    <row r="872" spans="1:23" outlineLevel="2" x14ac:dyDescent="0.2">
      <c r="A872" s="21" t="s">
        <v>402</v>
      </c>
      <c r="B872" s="21" t="s">
        <v>31</v>
      </c>
      <c r="C872" s="21" t="s">
        <v>79</v>
      </c>
      <c r="D872" s="21" t="s">
        <v>133</v>
      </c>
      <c r="E872" s="21" t="s">
        <v>134</v>
      </c>
      <c r="F872" s="21" t="s">
        <v>5</v>
      </c>
      <c r="G872" s="21" t="s">
        <v>6</v>
      </c>
      <c r="H872" s="21" t="s">
        <v>7</v>
      </c>
      <c r="I872" s="21" t="s">
        <v>8</v>
      </c>
      <c r="J872" s="21" t="s">
        <v>403</v>
      </c>
      <c r="K872" s="21" t="s">
        <v>459</v>
      </c>
      <c r="L872" s="21" t="s">
        <v>460</v>
      </c>
      <c r="M872" s="21" t="s">
        <v>12</v>
      </c>
      <c r="N872" s="54">
        <v>130</v>
      </c>
      <c r="O872" s="54">
        <v>0</v>
      </c>
      <c r="P872" s="54">
        <v>0</v>
      </c>
      <c r="Q872" s="54">
        <v>130</v>
      </c>
      <c r="R872" s="54">
        <v>0</v>
      </c>
      <c r="S872" s="54">
        <v>0</v>
      </c>
      <c r="T872" s="54">
        <v>0</v>
      </c>
      <c r="U872" s="54">
        <v>130</v>
      </c>
      <c r="V872" s="54">
        <v>130</v>
      </c>
      <c r="W872" s="54">
        <v>130</v>
      </c>
    </row>
    <row r="873" spans="1:23" outlineLevel="2" x14ac:dyDescent="0.2">
      <c r="A873" s="21" t="s">
        <v>402</v>
      </c>
      <c r="B873" s="21" t="s">
        <v>39</v>
      </c>
      <c r="C873" s="21" t="s">
        <v>58</v>
      </c>
      <c r="D873" s="21" t="s">
        <v>143</v>
      </c>
      <c r="E873" s="21" t="s">
        <v>144</v>
      </c>
      <c r="F873" s="21" t="s">
        <v>5</v>
      </c>
      <c r="G873" s="21" t="s">
        <v>6</v>
      </c>
      <c r="H873" s="21" t="s">
        <v>7</v>
      </c>
      <c r="I873" s="21" t="s">
        <v>8</v>
      </c>
      <c r="J873" s="21" t="s">
        <v>403</v>
      </c>
      <c r="K873" s="21" t="s">
        <v>459</v>
      </c>
      <c r="L873" s="21" t="s">
        <v>465</v>
      </c>
      <c r="M873" s="21" t="s">
        <v>12</v>
      </c>
      <c r="N873" s="54">
        <v>2000</v>
      </c>
      <c r="O873" s="54">
        <v>0</v>
      </c>
      <c r="P873" s="54">
        <v>0</v>
      </c>
      <c r="Q873" s="54">
        <v>2000</v>
      </c>
      <c r="R873" s="54">
        <v>0</v>
      </c>
      <c r="S873" s="54">
        <v>2000</v>
      </c>
      <c r="T873" s="54">
        <v>1139.19</v>
      </c>
      <c r="U873" s="54">
        <v>0</v>
      </c>
      <c r="V873" s="54">
        <v>860.81</v>
      </c>
      <c r="W873" s="54">
        <v>0</v>
      </c>
    </row>
    <row r="874" spans="1:23" outlineLevel="2" x14ac:dyDescent="0.2">
      <c r="A874" s="21" t="s">
        <v>402</v>
      </c>
      <c r="B874" s="21" t="s">
        <v>31</v>
      </c>
      <c r="C874" s="21" t="s">
        <v>32</v>
      </c>
      <c r="D874" s="21" t="s">
        <v>33</v>
      </c>
      <c r="E874" s="21" t="s">
        <v>34</v>
      </c>
      <c r="F874" s="21" t="s">
        <v>5</v>
      </c>
      <c r="G874" s="21" t="s">
        <v>6</v>
      </c>
      <c r="H874" s="21" t="s">
        <v>7</v>
      </c>
      <c r="I874" s="21" t="s">
        <v>8</v>
      </c>
      <c r="J874" s="21" t="s">
        <v>403</v>
      </c>
      <c r="K874" s="21" t="s">
        <v>459</v>
      </c>
      <c r="L874" s="21" t="s">
        <v>470</v>
      </c>
      <c r="M874" s="21" t="s">
        <v>12</v>
      </c>
      <c r="N874" s="54">
        <v>35000</v>
      </c>
      <c r="O874" s="54">
        <v>0</v>
      </c>
      <c r="P874" s="54">
        <v>0</v>
      </c>
      <c r="Q874" s="54">
        <v>35000</v>
      </c>
      <c r="R874" s="54">
        <v>0</v>
      </c>
      <c r="S874" s="54">
        <v>6804</v>
      </c>
      <c r="T874" s="54">
        <v>6804</v>
      </c>
      <c r="U874" s="54">
        <v>28196</v>
      </c>
      <c r="V874" s="54">
        <v>28196</v>
      </c>
      <c r="W874" s="54">
        <v>28196</v>
      </c>
    </row>
    <row r="875" spans="1:23" outlineLevel="2" x14ac:dyDescent="0.2">
      <c r="A875" s="21" t="s">
        <v>402</v>
      </c>
      <c r="B875" s="21" t="s">
        <v>31</v>
      </c>
      <c r="C875" s="21" t="s">
        <v>107</v>
      </c>
      <c r="D875" s="21" t="s">
        <v>108</v>
      </c>
      <c r="E875" s="21" t="s">
        <v>109</v>
      </c>
      <c r="F875" s="21" t="s">
        <v>5</v>
      </c>
      <c r="G875" s="21" t="s">
        <v>6</v>
      </c>
      <c r="H875" s="21" t="s">
        <v>7</v>
      </c>
      <c r="I875" s="21" t="s">
        <v>8</v>
      </c>
      <c r="J875" s="21" t="s">
        <v>403</v>
      </c>
      <c r="K875" s="21" t="s">
        <v>476</v>
      </c>
      <c r="L875" s="21" t="s">
        <v>477</v>
      </c>
      <c r="M875" s="21" t="s">
        <v>12</v>
      </c>
      <c r="N875" s="54">
        <v>9200</v>
      </c>
      <c r="O875" s="54">
        <v>0</v>
      </c>
      <c r="P875" s="54">
        <v>0</v>
      </c>
      <c r="Q875" s="54">
        <v>9200</v>
      </c>
      <c r="R875" s="54">
        <v>0</v>
      </c>
      <c r="S875" s="54">
        <v>0</v>
      </c>
      <c r="T875" s="54">
        <v>0</v>
      </c>
      <c r="U875" s="54">
        <v>9200</v>
      </c>
      <c r="V875" s="54">
        <v>9200</v>
      </c>
      <c r="W875" s="54">
        <v>9200</v>
      </c>
    </row>
    <row r="876" spans="1:23" outlineLevel="2" x14ac:dyDescent="0.2">
      <c r="A876" s="21" t="s">
        <v>402</v>
      </c>
      <c r="B876" s="21" t="s">
        <v>31</v>
      </c>
      <c r="C876" s="21" t="s">
        <v>79</v>
      </c>
      <c r="D876" s="21" t="s">
        <v>117</v>
      </c>
      <c r="E876" s="21" t="s">
        <v>118</v>
      </c>
      <c r="F876" s="21" t="s">
        <v>5</v>
      </c>
      <c r="G876" s="21" t="s">
        <v>6</v>
      </c>
      <c r="H876" s="21" t="s">
        <v>7</v>
      </c>
      <c r="I876" s="21" t="s">
        <v>8</v>
      </c>
      <c r="J876" s="21" t="s">
        <v>403</v>
      </c>
      <c r="K876" s="21" t="s">
        <v>476</v>
      </c>
      <c r="L876" s="21" t="s">
        <v>478</v>
      </c>
      <c r="M876" s="21" t="s">
        <v>12</v>
      </c>
      <c r="N876" s="54">
        <v>41000</v>
      </c>
      <c r="O876" s="54">
        <v>-15237</v>
      </c>
      <c r="P876" s="54">
        <v>0</v>
      </c>
      <c r="Q876" s="54">
        <v>25763</v>
      </c>
      <c r="R876" s="54">
        <v>371</v>
      </c>
      <c r="S876" s="54">
        <v>23391.200000000001</v>
      </c>
      <c r="T876" s="54">
        <v>11761.12</v>
      </c>
      <c r="U876" s="54">
        <v>2371.8000000000002</v>
      </c>
      <c r="V876" s="54">
        <v>14001.88</v>
      </c>
      <c r="W876" s="54">
        <v>2000.8</v>
      </c>
    </row>
    <row r="877" spans="1:23" outlineLevel="2" x14ac:dyDescent="0.2">
      <c r="A877" s="21" t="s">
        <v>402</v>
      </c>
      <c r="B877" s="21" t="s">
        <v>31</v>
      </c>
      <c r="C877" s="21" t="s">
        <v>79</v>
      </c>
      <c r="D877" s="21" t="s">
        <v>80</v>
      </c>
      <c r="E877" s="21" t="s">
        <v>81</v>
      </c>
      <c r="F877" s="21" t="s">
        <v>5</v>
      </c>
      <c r="G877" s="21" t="s">
        <v>6</v>
      </c>
      <c r="H877" s="21" t="s">
        <v>7</v>
      </c>
      <c r="I877" s="21" t="s">
        <v>8</v>
      </c>
      <c r="J877" s="21" t="s">
        <v>403</v>
      </c>
      <c r="K877" s="21" t="s">
        <v>476</v>
      </c>
      <c r="L877" s="21" t="s">
        <v>478</v>
      </c>
      <c r="M877" s="21" t="s">
        <v>12</v>
      </c>
      <c r="N877" s="54">
        <v>8000</v>
      </c>
      <c r="O877" s="54">
        <v>-4800</v>
      </c>
      <c r="P877" s="54">
        <v>0</v>
      </c>
      <c r="Q877" s="54">
        <v>3200</v>
      </c>
      <c r="R877" s="54">
        <v>0</v>
      </c>
      <c r="S877" s="54">
        <v>0</v>
      </c>
      <c r="T877" s="54">
        <v>0</v>
      </c>
      <c r="U877" s="54">
        <v>3200</v>
      </c>
      <c r="V877" s="54">
        <v>3200</v>
      </c>
      <c r="W877" s="54">
        <v>3200</v>
      </c>
    </row>
    <row r="878" spans="1:23" outlineLevel="2" x14ac:dyDescent="0.2">
      <c r="A878" s="21" t="s">
        <v>402</v>
      </c>
      <c r="B878" s="21" t="s">
        <v>31</v>
      </c>
      <c r="C878" s="21" t="s">
        <v>79</v>
      </c>
      <c r="D878" s="21" t="s">
        <v>113</v>
      </c>
      <c r="E878" s="21" t="s">
        <v>114</v>
      </c>
      <c r="F878" s="21" t="s">
        <v>5</v>
      </c>
      <c r="G878" s="21" t="s">
        <v>6</v>
      </c>
      <c r="H878" s="21" t="s">
        <v>7</v>
      </c>
      <c r="I878" s="21" t="s">
        <v>8</v>
      </c>
      <c r="J878" s="21" t="s">
        <v>403</v>
      </c>
      <c r="K878" s="21" t="s">
        <v>476</v>
      </c>
      <c r="L878" s="21" t="s">
        <v>478</v>
      </c>
      <c r="M878" s="21" t="s">
        <v>12</v>
      </c>
      <c r="N878" s="54">
        <v>3000</v>
      </c>
      <c r="O878" s="54">
        <v>0</v>
      </c>
      <c r="P878" s="54">
        <v>0</v>
      </c>
      <c r="Q878" s="54">
        <v>3000</v>
      </c>
      <c r="R878" s="54">
        <v>0</v>
      </c>
      <c r="S878" s="54">
        <v>0</v>
      </c>
      <c r="T878" s="54">
        <v>0</v>
      </c>
      <c r="U878" s="54">
        <v>3000</v>
      </c>
      <c r="V878" s="54">
        <v>3000</v>
      </c>
      <c r="W878" s="54">
        <v>3000</v>
      </c>
    </row>
    <row r="879" spans="1:23" outlineLevel="2" x14ac:dyDescent="0.2">
      <c r="A879" s="21" t="s">
        <v>402</v>
      </c>
      <c r="B879" s="21" t="s">
        <v>1</v>
      </c>
      <c r="C879" s="21" t="s">
        <v>91</v>
      </c>
      <c r="D879" s="21" t="s">
        <v>92</v>
      </c>
      <c r="E879" s="21" t="s">
        <v>93</v>
      </c>
      <c r="F879" s="21" t="s">
        <v>5</v>
      </c>
      <c r="G879" s="21" t="s">
        <v>6</v>
      </c>
      <c r="H879" s="21" t="s">
        <v>7</v>
      </c>
      <c r="I879" s="21" t="s">
        <v>8</v>
      </c>
      <c r="J879" s="21" t="s">
        <v>403</v>
      </c>
      <c r="K879" s="21" t="s">
        <v>476</v>
      </c>
      <c r="L879" s="21" t="s">
        <v>479</v>
      </c>
      <c r="M879" s="21" t="s">
        <v>15</v>
      </c>
      <c r="N879" s="54">
        <v>10000</v>
      </c>
      <c r="O879" s="54">
        <v>-10000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</row>
    <row r="880" spans="1:23" outlineLevel="2" x14ac:dyDescent="0.2">
      <c r="A880" s="21" t="s">
        <v>402</v>
      </c>
      <c r="B880" s="21" t="s">
        <v>31</v>
      </c>
      <c r="C880" s="21" t="s">
        <v>79</v>
      </c>
      <c r="D880" s="21" t="s">
        <v>133</v>
      </c>
      <c r="E880" s="21" t="s">
        <v>134</v>
      </c>
      <c r="F880" s="21" t="s">
        <v>5</v>
      </c>
      <c r="G880" s="21" t="s">
        <v>6</v>
      </c>
      <c r="H880" s="21" t="s">
        <v>7</v>
      </c>
      <c r="I880" s="21" t="s">
        <v>8</v>
      </c>
      <c r="J880" s="21" t="s">
        <v>403</v>
      </c>
      <c r="K880" s="21" t="s">
        <v>476</v>
      </c>
      <c r="L880" s="21" t="s">
        <v>478</v>
      </c>
      <c r="M880" s="21" t="s">
        <v>12</v>
      </c>
      <c r="N880" s="54">
        <v>7000</v>
      </c>
      <c r="O880" s="54">
        <v>0</v>
      </c>
      <c r="P880" s="54">
        <v>0</v>
      </c>
      <c r="Q880" s="54">
        <v>7000</v>
      </c>
      <c r="R880" s="54">
        <v>0</v>
      </c>
      <c r="S880" s="54">
        <v>0</v>
      </c>
      <c r="T880" s="54">
        <v>0</v>
      </c>
      <c r="U880" s="54">
        <v>7000</v>
      </c>
      <c r="V880" s="54">
        <v>7000</v>
      </c>
      <c r="W880" s="54">
        <v>7000</v>
      </c>
    </row>
    <row r="881" spans="1:23" outlineLevel="2" x14ac:dyDescent="0.2">
      <c r="A881" s="21" t="s">
        <v>402</v>
      </c>
      <c r="B881" s="21" t="s">
        <v>39</v>
      </c>
      <c r="C881" s="21" t="s">
        <v>58</v>
      </c>
      <c r="D881" s="21" t="s">
        <v>149</v>
      </c>
      <c r="E881" s="21" t="s">
        <v>150</v>
      </c>
      <c r="F881" s="21" t="s">
        <v>5</v>
      </c>
      <c r="G881" s="21" t="s">
        <v>6</v>
      </c>
      <c r="H881" s="21" t="s">
        <v>7</v>
      </c>
      <c r="I881" s="21" t="s">
        <v>8</v>
      </c>
      <c r="J881" s="21" t="s">
        <v>403</v>
      </c>
      <c r="K881" s="21" t="s">
        <v>480</v>
      </c>
      <c r="L881" s="21" t="s">
        <v>483</v>
      </c>
      <c r="M881" s="21" t="s">
        <v>12</v>
      </c>
      <c r="N881" s="54">
        <v>3000</v>
      </c>
      <c r="O881" s="54">
        <v>0</v>
      </c>
      <c r="P881" s="54">
        <v>0</v>
      </c>
      <c r="Q881" s="54">
        <v>3000</v>
      </c>
      <c r="R881" s="54">
        <v>0</v>
      </c>
      <c r="S881" s="54">
        <v>0</v>
      </c>
      <c r="T881" s="54">
        <v>0</v>
      </c>
      <c r="U881" s="54">
        <v>3000</v>
      </c>
      <c r="V881" s="54">
        <v>3000</v>
      </c>
      <c r="W881" s="54">
        <v>3000</v>
      </c>
    </row>
    <row r="882" spans="1:23" outlineLevel="2" x14ac:dyDescent="0.2">
      <c r="A882" s="21" t="s">
        <v>402</v>
      </c>
      <c r="B882" s="21" t="s">
        <v>31</v>
      </c>
      <c r="C882" s="21" t="s">
        <v>32</v>
      </c>
      <c r="D882" s="21" t="s">
        <v>33</v>
      </c>
      <c r="E882" s="21" t="s">
        <v>34</v>
      </c>
      <c r="F882" s="21" t="s">
        <v>5</v>
      </c>
      <c r="G882" s="21" t="s">
        <v>6</v>
      </c>
      <c r="H882" s="21" t="s">
        <v>7</v>
      </c>
      <c r="I882" s="21" t="s">
        <v>8</v>
      </c>
      <c r="J882" s="21" t="s">
        <v>403</v>
      </c>
      <c r="K882" s="21" t="s">
        <v>480</v>
      </c>
      <c r="L882" s="21" t="s">
        <v>482</v>
      </c>
      <c r="M882" s="21" t="s">
        <v>12</v>
      </c>
      <c r="N882" s="54">
        <v>5000</v>
      </c>
      <c r="O882" s="54">
        <v>-5000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</row>
    <row r="883" spans="1:23" outlineLevel="2" x14ac:dyDescent="0.2">
      <c r="A883" s="21" t="s">
        <v>402</v>
      </c>
      <c r="B883" s="21" t="s">
        <v>1</v>
      </c>
      <c r="C883" s="21" t="s">
        <v>2</v>
      </c>
      <c r="D883" s="21" t="s">
        <v>410</v>
      </c>
      <c r="E883" s="21" t="s">
        <v>411</v>
      </c>
      <c r="F883" s="21" t="s">
        <v>5</v>
      </c>
      <c r="G883" s="21" t="s">
        <v>6</v>
      </c>
      <c r="H883" s="21" t="s">
        <v>7</v>
      </c>
      <c r="I883" s="21" t="s">
        <v>8</v>
      </c>
      <c r="J883" s="21" t="s">
        <v>403</v>
      </c>
      <c r="K883" s="21" t="s">
        <v>480</v>
      </c>
      <c r="L883" s="21" t="s">
        <v>484</v>
      </c>
      <c r="M883" s="21" t="s">
        <v>15</v>
      </c>
      <c r="N883" s="54">
        <v>7500</v>
      </c>
      <c r="O883" s="54">
        <v>0</v>
      </c>
      <c r="P883" s="54">
        <v>0</v>
      </c>
      <c r="Q883" s="54">
        <v>7500</v>
      </c>
      <c r="R883" s="54">
        <v>0</v>
      </c>
      <c r="S883" s="54">
        <v>0</v>
      </c>
      <c r="T883" s="54">
        <v>0</v>
      </c>
      <c r="U883" s="54">
        <v>7500</v>
      </c>
      <c r="V883" s="54">
        <v>7500</v>
      </c>
      <c r="W883" s="54">
        <v>7500</v>
      </c>
    </row>
    <row r="884" spans="1:23" outlineLevel="2" x14ac:dyDescent="0.2">
      <c r="A884" s="21" t="s">
        <v>402</v>
      </c>
      <c r="B884" s="21" t="s">
        <v>31</v>
      </c>
      <c r="C884" s="21" t="s">
        <v>79</v>
      </c>
      <c r="D884" s="21" t="s">
        <v>83</v>
      </c>
      <c r="E884" s="21" t="s">
        <v>84</v>
      </c>
      <c r="F884" s="21" t="s">
        <v>5</v>
      </c>
      <c r="G884" s="21" t="s">
        <v>6</v>
      </c>
      <c r="H884" s="21" t="s">
        <v>7</v>
      </c>
      <c r="I884" s="21" t="s">
        <v>8</v>
      </c>
      <c r="J884" s="21" t="s">
        <v>403</v>
      </c>
      <c r="K884" s="21" t="s">
        <v>480</v>
      </c>
      <c r="L884" s="21" t="s">
        <v>485</v>
      </c>
      <c r="M884" s="21" t="s">
        <v>12</v>
      </c>
      <c r="N884" s="54">
        <v>2000</v>
      </c>
      <c r="O884" s="54">
        <v>0</v>
      </c>
      <c r="P884" s="54">
        <v>0</v>
      </c>
      <c r="Q884" s="54">
        <v>2000</v>
      </c>
      <c r="R884" s="54">
        <v>0</v>
      </c>
      <c r="S884" s="54">
        <v>0</v>
      </c>
      <c r="T884" s="54">
        <v>0</v>
      </c>
      <c r="U884" s="54">
        <v>2000</v>
      </c>
      <c r="V884" s="54">
        <v>2000</v>
      </c>
      <c r="W884" s="54">
        <v>2000</v>
      </c>
    </row>
    <row r="885" spans="1:23" outlineLevel="2" x14ac:dyDescent="0.2">
      <c r="A885" s="21" t="s">
        <v>402</v>
      </c>
      <c r="B885" s="21" t="s">
        <v>1</v>
      </c>
      <c r="C885" s="21" t="s">
        <v>2</v>
      </c>
      <c r="D885" s="21" t="s">
        <v>3</v>
      </c>
      <c r="E885" s="21" t="s">
        <v>4</v>
      </c>
      <c r="F885" s="21" t="s">
        <v>5</v>
      </c>
      <c r="G885" s="21" t="s">
        <v>6</v>
      </c>
      <c r="H885" s="21" t="s">
        <v>7</v>
      </c>
      <c r="I885" s="21" t="s">
        <v>8</v>
      </c>
      <c r="J885" s="21" t="s">
        <v>403</v>
      </c>
      <c r="K885" s="21" t="s">
        <v>480</v>
      </c>
      <c r="L885" s="21" t="s">
        <v>484</v>
      </c>
      <c r="M885" s="21" t="s">
        <v>15</v>
      </c>
      <c r="N885" s="54">
        <v>1200</v>
      </c>
      <c r="O885" s="54">
        <v>-1200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</row>
    <row r="886" spans="1:23" outlineLevel="2" x14ac:dyDescent="0.2">
      <c r="A886" s="21" t="s">
        <v>402</v>
      </c>
      <c r="B886" s="21" t="s">
        <v>31</v>
      </c>
      <c r="C886" s="21" t="s">
        <v>32</v>
      </c>
      <c r="D886" s="21" t="s">
        <v>75</v>
      </c>
      <c r="E886" s="21" t="s">
        <v>76</v>
      </c>
      <c r="F886" s="21" t="s">
        <v>5</v>
      </c>
      <c r="G886" s="21" t="s">
        <v>6</v>
      </c>
      <c r="H886" s="21" t="s">
        <v>7</v>
      </c>
      <c r="I886" s="21" t="s">
        <v>8</v>
      </c>
      <c r="J886" s="21" t="s">
        <v>403</v>
      </c>
      <c r="K886" s="21" t="s">
        <v>480</v>
      </c>
      <c r="L886" s="21" t="s">
        <v>482</v>
      </c>
      <c r="M886" s="21" t="s">
        <v>12</v>
      </c>
      <c r="N886" s="54">
        <v>500</v>
      </c>
      <c r="O886" s="54">
        <v>0</v>
      </c>
      <c r="P886" s="54">
        <v>0</v>
      </c>
      <c r="Q886" s="54">
        <v>500</v>
      </c>
      <c r="R886" s="54">
        <v>0</v>
      </c>
      <c r="S886" s="54">
        <v>0</v>
      </c>
      <c r="T886" s="54">
        <v>0</v>
      </c>
      <c r="U886" s="54">
        <v>500</v>
      </c>
      <c r="V886" s="54">
        <v>500</v>
      </c>
      <c r="W886" s="54">
        <v>500</v>
      </c>
    </row>
    <row r="887" spans="1:23" outlineLevel="2" x14ac:dyDescent="0.2">
      <c r="A887" s="21" t="s">
        <v>402</v>
      </c>
      <c r="B887" s="21" t="s">
        <v>39</v>
      </c>
      <c r="C887" s="21" t="s">
        <v>58</v>
      </c>
      <c r="D887" s="21" t="s">
        <v>139</v>
      </c>
      <c r="E887" s="21" t="s">
        <v>140</v>
      </c>
      <c r="F887" s="21" t="s">
        <v>5</v>
      </c>
      <c r="G887" s="21" t="s">
        <v>6</v>
      </c>
      <c r="H887" s="21" t="s">
        <v>7</v>
      </c>
      <c r="I887" s="21" t="s">
        <v>8</v>
      </c>
      <c r="J887" s="21" t="s">
        <v>403</v>
      </c>
      <c r="K887" s="21" t="s">
        <v>480</v>
      </c>
      <c r="L887" s="21" t="s">
        <v>483</v>
      </c>
      <c r="M887" s="21" t="s">
        <v>12</v>
      </c>
      <c r="N887" s="54">
        <v>1000</v>
      </c>
      <c r="O887" s="54">
        <v>0</v>
      </c>
      <c r="P887" s="54">
        <v>0</v>
      </c>
      <c r="Q887" s="54">
        <v>1000</v>
      </c>
      <c r="R887" s="54">
        <v>0</v>
      </c>
      <c r="S887" s="54">
        <v>0</v>
      </c>
      <c r="T887" s="54">
        <v>0</v>
      </c>
      <c r="U887" s="54">
        <v>1000</v>
      </c>
      <c r="V887" s="54">
        <v>1000</v>
      </c>
      <c r="W887" s="54">
        <v>1000</v>
      </c>
    </row>
    <row r="888" spans="1:23" outlineLevel="2" x14ac:dyDescent="0.2">
      <c r="A888" s="21" t="s">
        <v>402</v>
      </c>
      <c r="B888" s="21" t="s">
        <v>39</v>
      </c>
      <c r="C888" s="21" t="s">
        <v>66</v>
      </c>
      <c r="D888" s="21" t="s">
        <v>67</v>
      </c>
      <c r="E888" s="21" t="s">
        <v>68</v>
      </c>
      <c r="F888" s="21" t="s">
        <v>5</v>
      </c>
      <c r="G888" s="21" t="s">
        <v>6</v>
      </c>
      <c r="H888" s="21" t="s">
        <v>7</v>
      </c>
      <c r="I888" s="21" t="s">
        <v>8</v>
      </c>
      <c r="J888" s="21" t="s">
        <v>403</v>
      </c>
      <c r="K888" s="21" t="s">
        <v>486</v>
      </c>
      <c r="L888" s="21" t="s">
        <v>488</v>
      </c>
      <c r="M888" s="21" t="s">
        <v>15</v>
      </c>
      <c r="N888" s="54">
        <v>0</v>
      </c>
      <c r="O888" s="54">
        <v>12405.04</v>
      </c>
      <c r="P888" s="54">
        <v>0</v>
      </c>
      <c r="Q888" s="54">
        <v>12405.04</v>
      </c>
      <c r="R888" s="54">
        <v>0</v>
      </c>
      <c r="S888" s="54">
        <v>0</v>
      </c>
      <c r="T888" s="54">
        <v>0</v>
      </c>
      <c r="U888" s="54">
        <v>12405.04</v>
      </c>
      <c r="V888" s="54">
        <v>12405.04</v>
      </c>
      <c r="W888" s="54">
        <v>12405.04</v>
      </c>
    </row>
    <row r="889" spans="1:23" outlineLevel="2" x14ac:dyDescent="0.2">
      <c r="A889" s="21" t="s">
        <v>402</v>
      </c>
      <c r="B889" s="21" t="s">
        <v>39</v>
      </c>
      <c r="C889" s="21" t="s">
        <v>58</v>
      </c>
      <c r="D889" s="21" t="s">
        <v>143</v>
      </c>
      <c r="E889" s="21" t="s">
        <v>144</v>
      </c>
      <c r="F889" s="21" t="s">
        <v>5</v>
      </c>
      <c r="G889" s="21" t="s">
        <v>6</v>
      </c>
      <c r="H889" s="21" t="s">
        <v>7</v>
      </c>
      <c r="I889" s="21" t="s">
        <v>8</v>
      </c>
      <c r="J889" s="21" t="s">
        <v>403</v>
      </c>
      <c r="K889" s="21" t="s">
        <v>486</v>
      </c>
      <c r="L889" s="21" t="s">
        <v>489</v>
      </c>
      <c r="M889" s="21" t="s">
        <v>12</v>
      </c>
      <c r="N889" s="54">
        <v>400000</v>
      </c>
      <c r="O889" s="54">
        <v>26300</v>
      </c>
      <c r="P889" s="54">
        <v>0</v>
      </c>
      <c r="Q889" s="54">
        <v>426300</v>
      </c>
      <c r="R889" s="54">
        <v>0</v>
      </c>
      <c r="S889" s="54">
        <v>403110.40000000002</v>
      </c>
      <c r="T889" s="54">
        <v>403110.40000000002</v>
      </c>
      <c r="U889" s="54">
        <v>23189.599999999999</v>
      </c>
      <c r="V889" s="54">
        <v>23189.599999999999</v>
      </c>
      <c r="W889" s="54">
        <v>23189.599999999999</v>
      </c>
    </row>
    <row r="890" spans="1:23" outlineLevel="2" x14ac:dyDescent="0.2">
      <c r="A890" s="21" t="s">
        <v>402</v>
      </c>
      <c r="B890" s="21" t="s">
        <v>39</v>
      </c>
      <c r="C890" s="21" t="s">
        <v>58</v>
      </c>
      <c r="D890" s="21" t="s">
        <v>139</v>
      </c>
      <c r="E890" s="21" t="s">
        <v>140</v>
      </c>
      <c r="F890" s="21" t="s">
        <v>5</v>
      </c>
      <c r="G890" s="21" t="s">
        <v>6</v>
      </c>
      <c r="H890" s="21" t="s">
        <v>7</v>
      </c>
      <c r="I890" s="21" t="s">
        <v>8</v>
      </c>
      <c r="J890" s="21" t="s">
        <v>403</v>
      </c>
      <c r="K890" s="21" t="s">
        <v>486</v>
      </c>
      <c r="L890" s="21" t="s">
        <v>489</v>
      </c>
      <c r="M890" s="21" t="s">
        <v>12</v>
      </c>
      <c r="N890" s="54">
        <v>528000</v>
      </c>
      <c r="O890" s="54">
        <v>-58700</v>
      </c>
      <c r="P890" s="54">
        <v>0</v>
      </c>
      <c r="Q890" s="54">
        <v>469300</v>
      </c>
      <c r="R890" s="54">
        <v>105148.59</v>
      </c>
      <c r="S890" s="54">
        <v>364000</v>
      </c>
      <c r="T890" s="54">
        <v>287619.43</v>
      </c>
      <c r="U890" s="54">
        <v>105300</v>
      </c>
      <c r="V890" s="54">
        <v>181680.57</v>
      </c>
      <c r="W890" s="54">
        <v>151.41</v>
      </c>
    </row>
    <row r="891" spans="1:23" outlineLevel="2" x14ac:dyDescent="0.2">
      <c r="A891" s="21" t="s">
        <v>402</v>
      </c>
      <c r="B891" s="21" t="s">
        <v>39</v>
      </c>
      <c r="C891" s="21" t="s">
        <v>58</v>
      </c>
      <c r="D891" s="21" t="s">
        <v>135</v>
      </c>
      <c r="E891" s="21" t="s">
        <v>136</v>
      </c>
      <c r="F891" s="21" t="s">
        <v>5</v>
      </c>
      <c r="G891" s="21" t="s">
        <v>6</v>
      </c>
      <c r="H891" s="21" t="s">
        <v>7</v>
      </c>
      <c r="I891" s="21" t="s">
        <v>8</v>
      </c>
      <c r="J891" s="21" t="s">
        <v>403</v>
      </c>
      <c r="K891" s="21" t="s">
        <v>486</v>
      </c>
      <c r="L891" s="21" t="s">
        <v>489</v>
      </c>
      <c r="M891" s="21" t="s">
        <v>12</v>
      </c>
      <c r="N891" s="54">
        <v>380000</v>
      </c>
      <c r="O891" s="54">
        <v>-23569.3</v>
      </c>
      <c r="P891" s="54">
        <v>0</v>
      </c>
      <c r="Q891" s="54">
        <v>356430.7</v>
      </c>
      <c r="R891" s="54">
        <v>0</v>
      </c>
      <c r="S891" s="54">
        <v>282086.82</v>
      </c>
      <c r="T891" s="54">
        <v>201934.13</v>
      </c>
      <c r="U891" s="54">
        <v>74343.88</v>
      </c>
      <c r="V891" s="54">
        <v>154496.57</v>
      </c>
      <c r="W891" s="54">
        <v>74343.88</v>
      </c>
    </row>
    <row r="892" spans="1:23" outlineLevel="2" x14ac:dyDescent="0.2">
      <c r="A892" s="21" t="s">
        <v>402</v>
      </c>
      <c r="B892" s="21" t="s">
        <v>39</v>
      </c>
      <c r="C892" s="21" t="s">
        <v>58</v>
      </c>
      <c r="D892" s="21" t="s">
        <v>149</v>
      </c>
      <c r="E892" s="21" t="s">
        <v>150</v>
      </c>
      <c r="F892" s="21" t="s">
        <v>5</v>
      </c>
      <c r="G892" s="21" t="s">
        <v>6</v>
      </c>
      <c r="H892" s="21" t="s">
        <v>7</v>
      </c>
      <c r="I892" s="21" t="s">
        <v>8</v>
      </c>
      <c r="J892" s="21" t="s">
        <v>403</v>
      </c>
      <c r="K892" s="21" t="s">
        <v>486</v>
      </c>
      <c r="L892" s="21" t="s">
        <v>489</v>
      </c>
      <c r="M892" s="21" t="s">
        <v>12</v>
      </c>
      <c r="N892" s="54">
        <v>525000</v>
      </c>
      <c r="O892" s="54">
        <v>0</v>
      </c>
      <c r="P892" s="54">
        <v>0</v>
      </c>
      <c r="Q892" s="54">
        <v>525000</v>
      </c>
      <c r="R892" s="54">
        <v>0</v>
      </c>
      <c r="S892" s="54">
        <v>416605.12</v>
      </c>
      <c r="T892" s="54">
        <v>315749.37</v>
      </c>
      <c r="U892" s="54">
        <v>108394.88</v>
      </c>
      <c r="V892" s="54">
        <v>209250.63</v>
      </c>
      <c r="W892" s="54">
        <v>108394.88</v>
      </c>
    </row>
    <row r="893" spans="1:23" outlineLevel="2" x14ac:dyDescent="0.2">
      <c r="A893" s="21" t="s">
        <v>402</v>
      </c>
      <c r="B893" s="21" t="s">
        <v>1</v>
      </c>
      <c r="C893" s="21" t="s">
        <v>91</v>
      </c>
      <c r="D893" s="21" t="s">
        <v>92</v>
      </c>
      <c r="E893" s="21" t="s">
        <v>93</v>
      </c>
      <c r="F893" s="21" t="s">
        <v>5</v>
      </c>
      <c r="G893" s="21" t="s">
        <v>6</v>
      </c>
      <c r="H893" s="21" t="s">
        <v>7</v>
      </c>
      <c r="I893" s="21" t="s">
        <v>8</v>
      </c>
      <c r="J893" s="21" t="s">
        <v>403</v>
      </c>
      <c r="K893" s="21" t="s">
        <v>486</v>
      </c>
      <c r="L893" s="21" t="s">
        <v>492</v>
      </c>
      <c r="M893" s="21" t="s">
        <v>15</v>
      </c>
      <c r="N893" s="54">
        <v>180000</v>
      </c>
      <c r="O893" s="54">
        <v>45287.65</v>
      </c>
      <c r="P893" s="54">
        <v>0</v>
      </c>
      <c r="Q893" s="54">
        <v>225287.65</v>
      </c>
      <c r="R893" s="54">
        <v>9941.65</v>
      </c>
      <c r="S893" s="54">
        <v>214471.18</v>
      </c>
      <c r="T893" s="54">
        <v>157407.16</v>
      </c>
      <c r="U893" s="54">
        <v>10816.47</v>
      </c>
      <c r="V893" s="54">
        <v>67880.490000000005</v>
      </c>
      <c r="W893" s="54">
        <v>874.82</v>
      </c>
    </row>
    <row r="894" spans="1:23" outlineLevel="2" x14ac:dyDescent="0.2">
      <c r="A894" s="21" t="s">
        <v>402</v>
      </c>
      <c r="B894" s="21" t="s">
        <v>39</v>
      </c>
      <c r="C894" s="21" t="s">
        <v>58</v>
      </c>
      <c r="D894" s="21" t="s">
        <v>137</v>
      </c>
      <c r="E894" s="21" t="s">
        <v>138</v>
      </c>
      <c r="F894" s="21" t="s">
        <v>5</v>
      </c>
      <c r="G894" s="21" t="s">
        <v>6</v>
      </c>
      <c r="H894" s="21" t="s">
        <v>7</v>
      </c>
      <c r="I894" s="21" t="s">
        <v>8</v>
      </c>
      <c r="J894" s="21" t="s">
        <v>403</v>
      </c>
      <c r="K894" s="21" t="s">
        <v>486</v>
      </c>
      <c r="L894" s="21" t="s">
        <v>489</v>
      </c>
      <c r="M894" s="21" t="s">
        <v>12</v>
      </c>
      <c r="N894" s="54">
        <v>211000</v>
      </c>
      <c r="O894" s="54">
        <v>0</v>
      </c>
      <c r="P894" s="54">
        <v>0</v>
      </c>
      <c r="Q894" s="54">
        <v>211000</v>
      </c>
      <c r="R894" s="54">
        <v>0</v>
      </c>
      <c r="S894" s="54">
        <v>197118.88</v>
      </c>
      <c r="T894" s="54">
        <v>82132.850000000006</v>
      </c>
      <c r="U894" s="54">
        <v>13881.12</v>
      </c>
      <c r="V894" s="54">
        <v>128867.15</v>
      </c>
      <c r="W894" s="54">
        <v>13881.12</v>
      </c>
    </row>
    <row r="895" spans="1:23" outlineLevel="2" x14ac:dyDescent="0.2">
      <c r="A895" s="21" t="s">
        <v>402</v>
      </c>
      <c r="B895" s="21" t="s">
        <v>39</v>
      </c>
      <c r="C895" s="21" t="s">
        <v>58</v>
      </c>
      <c r="D895" s="21" t="s">
        <v>145</v>
      </c>
      <c r="E895" s="21" t="s">
        <v>146</v>
      </c>
      <c r="F895" s="21" t="s">
        <v>5</v>
      </c>
      <c r="G895" s="21" t="s">
        <v>6</v>
      </c>
      <c r="H895" s="21" t="s">
        <v>7</v>
      </c>
      <c r="I895" s="21" t="s">
        <v>8</v>
      </c>
      <c r="J895" s="21" t="s">
        <v>403</v>
      </c>
      <c r="K895" s="21" t="s">
        <v>486</v>
      </c>
      <c r="L895" s="21" t="s">
        <v>489</v>
      </c>
      <c r="M895" s="21" t="s">
        <v>12</v>
      </c>
      <c r="N895" s="54">
        <v>330000</v>
      </c>
      <c r="O895" s="54">
        <v>37920</v>
      </c>
      <c r="P895" s="54">
        <v>0</v>
      </c>
      <c r="Q895" s="54">
        <v>367920</v>
      </c>
      <c r="R895" s="54">
        <v>0</v>
      </c>
      <c r="S895" s="54">
        <v>260910.05</v>
      </c>
      <c r="T895" s="54">
        <v>195558.03</v>
      </c>
      <c r="U895" s="54">
        <v>107009.95</v>
      </c>
      <c r="V895" s="54">
        <v>172361.97</v>
      </c>
      <c r="W895" s="54">
        <v>107009.95</v>
      </c>
    </row>
    <row r="896" spans="1:23" outlineLevel="2" x14ac:dyDescent="0.2">
      <c r="A896" s="21" t="s">
        <v>402</v>
      </c>
      <c r="B896" s="21" t="s">
        <v>39</v>
      </c>
      <c r="C896" s="21" t="s">
        <v>58</v>
      </c>
      <c r="D896" s="21" t="s">
        <v>147</v>
      </c>
      <c r="E896" s="21" t="s">
        <v>148</v>
      </c>
      <c r="F896" s="21" t="s">
        <v>5</v>
      </c>
      <c r="G896" s="21" t="s">
        <v>6</v>
      </c>
      <c r="H896" s="21" t="s">
        <v>7</v>
      </c>
      <c r="I896" s="21" t="s">
        <v>8</v>
      </c>
      <c r="J896" s="21" t="s">
        <v>403</v>
      </c>
      <c r="K896" s="21" t="s">
        <v>486</v>
      </c>
      <c r="L896" s="21" t="s">
        <v>489</v>
      </c>
      <c r="M896" s="21" t="s">
        <v>12</v>
      </c>
      <c r="N896" s="54">
        <v>312000</v>
      </c>
      <c r="O896" s="54">
        <v>0</v>
      </c>
      <c r="P896" s="54">
        <v>0</v>
      </c>
      <c r="Q896" s="54">
        <v>312000</v>
      </c>
      <c r="R896" s="54">
        <v>4838.3999999999996</v>
      </c>
      <c r="S896" s="54">
        <v>306439.84000000003</v>
      </c>
      <c r="T896" s="54">
        <v>228589.68</v>
      </c>
      <c r="U896" s="54">
        <v>5560.16</v>
      </c>
      <c r="V896" s="54">
        <v>83410.320000000007</v>
      </c>
      <c r="W896" s="54">
        <v>721.76</v>
      </c>
    </row>
    <row r="897" spans="1:23" outlineLevel="2" x14ac:dyDescent="0.2">
      <c r="A897" s="21" t="s">
        <v>402</v>
      </c>
      <c r="B897" s="21" t="s">
        <v>31</v>
      </c>
      <c r="C897" s="21" t="s">
        <v>79</v>
      </c>
      <c r="D897" s="21" t="s">
        <v>111</v>
      </c>
      <c r="E897" s="21" t="s">
        <v>112</v>
      </c>
      <c r="F897" s="21" t="s">
        <v>5</v>
      </c>
      <c r="G897" s="21" t="s">
        <v>6</v>
      </c>
      <c r="H897" s="21" t="s">
        <v>7</v>
      </c>
      <c r="I897" s="21" t="s">
        <v>8</v>
      </c>
      <c r="J897" s="21" t="s">
        <v>403</v>
      </c>
      <c r="K897" s="21" t="s">
        <v>486</v>
      </c>
      <c r="L897" s="21" t="s">
        <v>490</v>
      </c>
      <c r="M897" s="21" t="s">
        <v>12</v>
      </c>
      <c r="N897" s="54">
        <v>60000</v>
      </c>
      <c r="O897" s="54">
        <v>0</v>
      </c>
      <c r="P897" s="54">
        <v>0</v>
      </c>
      <c r="Q897" s="54">
        <v>60000</v>
      </c>
      <c r="R897" s="54">
        <v>0</v>
      </c>
      <c r="S897" s="54">
        <v>35473.760000000002</v>
      </c>
      <c r="T897" s="54">
        <v>8899.2000000000007</v>
      </c>
      <c r="U897" s="54">
        <v>24526.240000000002</v>
      </c>
      <c r="V897" s="54">
        <v>51100.800000000003</v>
      </c>
      <c r="W897" s="54">
        <v>24526.240000000002</v>
      </c>
    </row>
    <row r="898" spans="1:23" outlineLevel="2" x14ac:dyDescent="0.2">
      <c r="A898" s="21" t="s">
        <v>402</v>
      </c>
      <c r="B898" s="21" t="s">
        <v>39</v>
      </c>
      <c r="C898" s="21" t="s">
        <v>66</v>
      </c>
      <c r="D898" s="21" t="s">
        <v>67</v>
      </c>
      <c r="E898" s="21" t="s">
        <v>68</v>
      </c>
      <c r="F898" s="21" t="s">
        <v>5</v>
      </c>
      <c r="G898" s="21" t="s">
        <v>6</v>
      </c>
      <c r="H898" s="21" t="s">
        <v>7</v>
      </c>
      <c r="I898" s="21" t="s">
        <v>8</v>
      </c>
      <c r="J898" s="21" t="s">
        <v>403</v>
      </c>
      <c r="K898" s="21" t="s">
        <v>486</v>
      </c>
      <c r="L898" s="21" t="s">
        <v>488</v>
      </c>
      <c r="M898" s="21" t="s">
        <v>12</v>
      </c>
      <c r="N898" s="54">
        <v>570990.34</v>
      </c>
      <c r="O898" s="54">
        <v>34525.620000000003</v>
      </c>
      <c r="P898" s="54">
        <v>0</v>
      </c>
      <c r="Q898" s="54">
        <v>605515.96</v>
      </c>
      <c r="R898" s="54">
        <v>40249.69</v>
      </c>
      <c r="S898" s="54">
        <v>543881.23</v>
      </c>
      <c r="T898" s="54">
        <v>488149</v>
      </c>
      <c r="U898" s="54">
        <v>61634.73</v>
      </c>
      <c r="V898" s="54">
        <v>117366.96</v>
      </c>
      <c r="W898" s="54">
        <v>21385.040000000001</v>
      </c>
    </row>
    <row r="899" spans="1:23" outlineLevel="2" x14ac:dyDescent="0.2">
      <c r="A899" s="21" t="s">
        <v>402</v>
      </c>
      <c r="B899" s="21" t="s">
        <v>31</v>
      </c>
      <c r="C899" s="21" t="s">
        <v>79</v>
      </c>
      <c r="D899" s="21" t="s">
        <v>117</v>
      </c>
      <c r="E899" s="21" t="s">
        <v>118</v>
      </c>
      <c r="F899" s="21" t="s">
        <v>5</v>
      </c>
      <c r="G899" s="21" t="s">
        <v>6</v>
      </c>
      <c r="H899" s="21" t="s">
        <v>7</v>
      </c>
      <c r="I899" s="21" t="s">
        <v>8</v>
      </c>
      <c r="J899" s="21" t="s">
        <v>403</v>
      </c>
      <c r="K899" s="21" t="s">
        <v>486</v>
      </c>
      <c r="L899" s="21" t="s">
        <v>490</v>
      </c>
      <c r="M899" s="21" t="s">
        <v>12</v>
      </c>
      <c r="N899" s="54">
        <v>184800</v>
      </c>
      <c r="O899" s="54">
        <v>-60346.720000000001</v>
      </c>
      <c r="P899" s="54">
        <v>0</v>
      </c>
      <c r="Q899" s="54">
        <v>124453.28</v>
      </c>
      <c r="R899" s="54">
        <v>0</v>
      </c>
      <c r="S899" s="54">
        <v>124453.28</v>
      </c>
      <c r="T899" s="54">
        <v>93339.9</v>
      </c>
      <c r="U899" s="54">
        <v>0</v>
      </c>
      <c r="V899" s="54">
        <v>31113.38</v>
      </c>
      <c r="W899" s="54">
        <v>0</v>
      </c>
    </row>
    <row r="900" spans="1:23" outlineLevel="2" x14ac:dyDescent="0.2">
      <c r="A900" s="21" t="s">
        <v>402</v>
      </c>
      <c r="B900" s="21" t="s">
        <v>31</v>
      </c>
      <c r="C900" s="21" t="s">
        <v>79</v>
      </c>
      <c r="D900" s="21" t="s">
        <v>133</v>
      </c>
      <c r="E900" s="21" t="s">
        <v>134</v>
      </c>
      <c r="F900" s="21" t="s">
        <v>5</v>
      </c>
      <c r="G900" s="21" t="s">
        <v>6</v>
      </c>
      <c r="H900" s="21" t="s">
        <v>7</v>
      </c>
      <c r="I900" s="21" t="s">
        <v>8</v>
      </c>
      <c r="J900" s="21" t="s">
        <v>403</v>
      </c>
      <c r="K900" s="21" t="s">
        <v>486</v>
      </c>
      <c r="L900" s="21" t="s">
        <v>490</v>
      </c>
      <c r="M900" s="21" t="s">
        <v>12</v>
      </c>
      <c r="N900" s="54">
        <v>98560</v>
      </c>
      <c r="O900" s="54">
        <v>0</v>
      </c>
      <c r="P900" s="54">
        <v>0</v>
      </c>
      <c r="Q900" s="54">
        <v>98560</v>
      </c>
      <c r="R900" s="54">
        <v>23016</v>
      </c>
      <c r="S900" s="54">
        <v>70240</v>
      </c>
      <c r="T900" s="54">
        <v>52969.63</v>
      </c>
      <c r="U900" s="54">
        <v>28320</v>
      </c>
      <c r="V900" s="54">
        <v>45590.37</v>
      </c>
      <c r="W900" s="54">
        <v>5304</v>
      </c>
    </row>
    <row r="901" spans="1:23" outlineLevel="2" x14ac:dyDescent="0.2">
      <c r="A901" s="21" t="s">
        <v>402</v>
      </c>
      <c r="B901" s="21" t="s">
        <v>31</v>
      </c>
      <c r="C901" s="21" t="s">
        <v>79</v>
      </c>
      <c r="D901" s="21" t="s">
        <v>127</v>
      </c>
      <c r="E901" s="21" t="s">
        <v>128</v>
      </c>
      <c r="F901" s="21" t="s">
        <v>5</v>
      </c>
      <c r="G901" s="21" t="s">
        <v>6</v>
      </c>
      <c r="H901" s="21" t="s">
        <v>7</v>
      </c>
      <c r="I901" s="21" t="s">
        <v>8</v>
      </c>
      <c r="J901" s="21" t="s">
        <v>403</v>
      </c>
      <c r="K901" s="21" t="s">
        <v>486</v>
      </c>
      <c r="L901" s="21" t="s">
        <v>490</v>
      </c>
      <c r="M901" s="21" t="s">
        <v>12</v>
      </c>
      <c r="N901" s="54">
        <v>167000</v>
      </c>
      <c r="O901" s="54">
        <v>-47272</v>
      </c>
      <c r="P901" s="54">
        <v>0</v>
      </c>
      <c r="Q901" s="54">
        <v>119728</v>
      </c>
      <c r="R901" s="54">
        <v>0</v>
      </c>
      <c r="S901" s="54">
        <v>119728</v>
      </c>
      <c r="T901" s="54">
        <v>85223.96</v>
      </c>
      <c r="U901" s="54">
        <v>0</v>
      </c>
      <c r="V901" s="54">
        <v>34504.04</v>
      </c>
      <c r="W901" s="54">
        <v>0</v>
      </c>
    </row>
    <row r="902" spans="1:23" outlineLevel="2" x14ac:dyDescent="0.2">
      <c r="A902" s="21" t="s">
        <v>402</v>
      </c>
      <c r="B902" s="21" t="s">
        <v>1</v>
      </c>
      <c r="C902" s="21" t="s">
        <v>2</v>
      </c>
      <c r="D902" s="21" t="s">
        <v>3</v>
      </c>
      <c r="E902" s="21" t="s">
        <v>4</v>
      </c>
      <c r="F902" s="21" t="s">
        <v>5</v>
      </c>
      <c r="G902" s="21" t="s">
        <v>6</v>
      </c>
      <c r="H902" s="21" t="s">
        <v>7</v>
      </c>
      <c r="I902" s="21" t="s">
        <v>8</v>
      </c>
      <c r="J902" s="21" t="s">
        <v>403</v>
      </c>
      <c r="K902" s="21" t="s">
        <v>486</v>
      </c>
      <c r="L902" s="21" t="s">
        <v>491</v>
      </c>
      <c r="M902" s="21" t="s">
        <v>15</v>
      </c>
      <c r="N902" s="54">
        <v>134000</v>
      </c>
      <c r="O902" s="54">
        <v>20278.68</v>
      </c>
      <c r="P902" s="54">
        <v>0</v>
      </c>
      <c r="Q902" s="54">
        <v>154278.68</v>
      </c>
      <c r="R902" s="54">
        <v>0.01</v>
      </c>
      <c r="S902" s="54">
        <v>143183.23000000001</v>
      </c>
      <c r="T902" s="54">
        <v>91618.59</v>
      </c>
      <c r="U902" s="54">
        <v>11095.45</v>
      </c>
      <c r="V902" s="54">
        <v>62660.09</v>
      </c>
      <c r="W902" s="54">
        <v>11095.44</v>
      </c>
    </row>
    <row r="903" spans="1:23" outlineLevel="2" x14ac:dyDescent="0.2">
      <c r="A903" s="21" t="s">
        <v>402</v>
      </c>
      <c r="B903" s="21" t="s">
        <v>31</v>
      </c>
      <c r="C903" s="21" t="s">
        <v>79</v>
      </c>
      <c r="D903" s="21" t="s">
        <v>115</v>
      </c>
      <c r="E903" s="21" t="s">
        <v>116</v>
      </c>
      <c r="F903" s="21" t="s">
        <v>5</v>
      </c>
      <c r="G903" s="21" t="s">
        <v>6</v>
      </c>
      <c r="H903" s="21" t="s">
        <v>7</v>
      </c>
      <c r="I903" s="21" t="s">
        <v>8</v>
      </c>
      <c r="J903" s="21" t="s">
        <v>403</v>
      </c>
      <c r="K903" s="21" t="s">
        <v>486</v>
      </c>
      <c r="L903" s="21" t="s">
        <v>490</v>
      </c>
      <c r="M903" s="21" t="s">
        <v>12</v>
      </c>
      <c r="N903" s="54">
        <v>108305</v>
      </c>
      <c r="O903" s="54">
        <v>-19713</v>
      </c>
      <c r="P903" s="54">
        <v>0</v>
      </c>
      <c r="Q903" s="54">
        <v>88592</v>
      </c>
      <c r="R903" s="54">
        <v>39326.129999999997</v>
      </c>
      <c r="S903" s="54">
        <v>49265.87</v>
      </c>
      <c r="T903" s="54">
        <v>35138.050000000003</v>
      </c>
      <c r="U903" s="54">
        <v>39326.129999999997</v>
      </c>
      <c r="V903" s="54">
        <v>53453.95</v>
      </c>
      <c r="W903" s="54">
        <v>0</v>
      </c>
    </row>
    <row r="904" spans="1:23" outlineLevel="2" x14ac:dyDescent="0.2">
      <c r="A904" s="21" t="s">
        <v>402</v>
      </c>
      <c r="B904" s="21" t="s">
        <v>39</v>
      </c>
      <c r="C904" s="21" t="s">
        <v>58</v>
      </c>
      <c r="D904" s="21" t="s">
        <v>129</v>
      </c>
      <c r="E904" s="21" t="s">
        <v>130</v>
      </c>
      <c r="F904" s="21" t="s">
        <v>5</v>
      </c>
      <c r="G904" s="21" t="s">
        <v>6</v>
      </c>
      <c r="H904" s="21" t="s">
        <v>7</v>
      </c>
      <c r="I904" s="21" t="s">
        <v>8</v>
      </c>
      <c r="J904" s="21" t="s">
        <v>403</v>
      </c>
      <c r="K904" s="21" t="s">
        <v>486</v>
      </c>
      <c r="L904" s="21" t="s">
        <v>489</v>
      </c>
      <c r="M904" s="21" t="s">
        <v>12</v>
      </c>
      <c r="N904" s="54">
        <v>33000</v>
      </c>
      <c r="O904" s="54">
        <v>0</v>
      </c>
      <c r="P904" s="54">
        <v>0</v>
      </c>
      <c r="Q904" s="54">
        <v>33000</v>
      </c>
      <c r="R904" s="54">
        <v>0</v>
      </c>
      <c r="S904" s="54">
        <v>24059.24</v>
      </c>
      <c r="T904" s="54">
        <v>18377.240000000002</v>
      </c>
      <c r="U904" s="54">
        <v>8940.76</v>
      </c>
      <c r="V904" s="54">
        <v>14622.76</v>
      </c>
      <c r="W904" s="54">
        <v>8940.76</v>
      </c>
    </row>
    <row r="905" spans="1:23" outlineLevel="2" x14ac:dyDescent="0.2">
      <c r="A905" s="21" t="s">
        <v>402</v>
      </c>
      <c r="B905" s="21" t="s">
        <v>31</v>
      </c>
      <c r="C905" s="21" t="s">
        <v>32</v>
      </c>
      <c r="D905" s="21" t="s">
        <v>33</v>
      </c>
      <c r="E905" s="21" t="s">
        <v>34</v>
      </c>
      <c r="F905" s="21" t="s">
        <v>5</v>
      </c>
      <c r="G905" s="21" t="s">
        <v>6</v>
      </c>
      <c r="H905" s="21" t="s">
        <v>7</v>
      </c>
      <c r="I905" s="21" t="s">
        <v>8</v>
      </c>
      <c r="J905" s="21" t="s">
        <v>403</v>
      </c>
      <c r="K905" s="21" t="s">
        <v>486</v>
      </c>
      <c r="L905" s="21" t="s">
        <v>493</v>
      </c>
      <c r="M905" s="21" t="s">
        <v>12</v>
      </c>
      <c r="N905" s="54">
        <v>150000</v>
      </c>
      <c r="O905" s="54">
        <v>-25154.560000000001</v>
      </c>
      <c r="P905" s="54">
        <v>0</v>
      </c>
      <c r="Q905" s="54">
        <v>124845.44</v>
      </c>
      <c r="R905" s="54">
        <v>0</v>
      </c>
      <c r="S905" s="54">
        <v>98840</v>
      </c>
      <c r="T905" s="54">
        <v>88956</v>
      </c>
      <c r="U905" s="54">
        <v>26005.439999999999</v>
      </c>
      <c r="V905" s="54">
        <v>35889.440000000002</v>
      </c>
      <c r="W905" s="54">
        <v>26005.439999999999</v>
      </c>
    </row>
    <row r="906" spans="1:23" outlineLevel="2" x14ac:dyDescent="0.2">
      <c r="A906" s="21" t="s">
        <v>402</v>
      </c>
      <c r="B906" s="21" t="s">
        <v>31</v>
      </c>
      <c r="C906" s="21" t="s">
        <v>79</v>
      </c>
      <c r="D906" s="21" t="s">
        <v>125</v>
      </c>
      <c r="E906" s="21" t="s">
        <v>126</v>
      </c>
      <c r="F906" s="21" t="s">
        <v>5</v>
      </c>
      <c r="G906" s="21" t="s">
        <v>6</v>
      </c>
      <c r="H906" s="21" t="s">
        <v>7</v>
      </c>
      <c r="I906" s="21" t="s">
        <v>8</v>
      </c>
      <c r="J906" s="21" t="s">
        <v>403</v>
      </c>
      <c r="K906" s="21" t="s">
        <v>486</v>
      </c>
      <c r="L906" s="21" t="s">
        <v>490</v>
      </c>
      <c r="M906" s="21" t="s">
        <v>12</v>
      </c>
      <c r="N906" s="54">
        <v>122000</v>
      </c>
      <c r="O906" s="54">
        <v>-188.78</v>
      </c>
      <c r="P906" s="54">
        <v>0</v>
      </c>
      <c r="Q906" s="54">
        <v>121811.22</v>
      </c>
      <c r="R906" s="54">
        <v>0</v>
      </c>
      <c r="S906" s="54">
        <v>94254.79</v>
      </c>
      <c r="T906" s="54">
        <v>70770.039999999994</v>
      </c>
      <c r="U906" s="54">
        <v>27556.43</v>
      </c>
      <c r="V906" s="54">
        <v>51041.18</v>
      </c>
      <c r="W906" s="54">
        <v>27556.43</v>
      </c>
    </row>
    <row r="907" spans="1:23" outlineLevel="2" x14ac:dyDescent="0.2">
      <c r="A907" s="21" t="s">
        <v>402</v>
      </c>
      <c r="B907" s="21" t="s">
        <v>31</v>
      </c>
      <c r="C907" s="21" t="s">
        <v>32</v>
      </c>
      <c r="D907" s="21" t="s">
        <v>123</v>
      </c>
      <c r="E907" s="21" t="s">
        <v>124</v>
      </c>
      <c r="F907" s="21" t="s">
        <v>5</v>
      </c>
      <c r="G907" s="21" t="s">
        <v>6</v>
      </c>
      <c r="H907" s="21" t="s">
        <v>7</v>
      </c>
      <c r="I907" s="21" t="s">
        <v>8</v>
      </c>
      <c r="J907" s="21" t="s">
        <v>403</v>
      </c>
      <c r="K907" s="21" t="s">
        <v>486</v>
      </c>
      <c r="L907" s="21" t="s">
        <v>493</v>
      </c>
      <c r="M907" s="21" t="s">
        <v>12</v>
      </c>
      <c r="N907" s="54">
        <v>97000</v>
      </c>
      <c r="O907" s="54">
        <v>-32708.39</v>
      </c>
      <c r="P907" s="54">
        <v>0</v>
      </c>
      <c r="Q907" s="54">
        <v>64291.61</v>
      </c>
      <c r="R907" s="54">
        <v>0</v>
      </c>
      <c r="S907" s="54">
        <v>64291.61</v>
      </c>
      <c r="T907" s="54">
        <v>47471.26</v>
      </c>
      <c r="U907" s="54">
        <v>0</v>
      </c>
      <c r="V907" s="54">
        <v>16820.349999999999</v>
      </c>
      <c r="W907" s="54">
        <v>0</v>
      </c>
    </row>
    <row r="908" spans="1:23" outlineLevel="2" x14ac:dyDescent="0.2">
      <c r="A908" s="21" t="s">
        <v>402</v>
      </c>
      <c r="B908" s="21" t="s">
        <v>31</v>
      </c>
      <c r="C908" s="21" t="s">
        <v>32</v>
      </c>
      <c r="D908" s="21" t="s">
        <v>75</v>
      </c>
      <c r="E908" s="21" t="s">
        <v>76</v>
      </c>
      <c r="F908" s="21" t="s">
        <v>5</v>
      </c>
      <c r="G908" s="21" t="s">
        <v>6</v>
      </c>
      <c r="H908" s="21" t="s">
        <v>7</v>
      </c>
      <c r="I908" s="21" t="s">
        <v>8</v>
      </c>
      <c r="J908" s="21" t="s">
        <v>403</v>
      </c>
      <c r="K908" s="21" t="s">
        <v>486</v>
      </c>
      <c r="L908" s="21" t="s">
        <v>493</v>
      </c>
      <c r="M908" s="21" t="s">
        <v>12</v>
      </c>
      <c r="N908" s="54">
        <v>92000</v>
      </c>
      <c r="O908" s="54">
        <v>41100</v>
      </c>
      <c r="P908" s="54">
        <v>0</v>
      </c>
      <c r="Q908" s="54">
        <v>133100</v>
      </c>
      <c r="R908" s="54">
        <v>6533.35</v>
      </c>
      <c r="S908" s="54">
        <v>77412.13</v>
      </c>
      <c r="T908" s="54">
        <v>57311.77</v>
      </c>
      <c r="U908" s="54">
        <v>55687.87</v>
      </c>
      <c r="V908" s="54">
        <v>75788.23</v>
      </c>
      <c r="W908" s="54">
        <v>49154.52</v>
      </c>
    </row>
    <row r="909" spans="1:23" outlineLevel="2" x14ac:dyDescent="0.2">
      <c r="A909" s="21" t="s">
        <v>402</v>
      </c>
      <c r="B909" s="21" t="s">
        <v>31</v>
      </c>
      <c r="C909" s="21" t="s">
        <v>79</v>
      </c>
      <c r="D909" s="21" t="s">
        <v>80</v>
      </c>
      <c r="E909" s="21" t="s">
        <v>81</v>
      </c>
      <c r="F909" s="21" t="s">
        <v>5</v>
      </c>
      <c r="G909" s="21" t="s">
        <v>6</v>
      </c>
      <c r="H909" s="21" t="s">
        <v>7</v>
      </c>
      <c r="I909" s="21" t="s">
        <v>8</v>
      </c>
      <c r="J909" s="21" t="s">
        <v>403</v>
      </c>
      <c r="K909" s="21" t="s">
        <v>486</v>
      </c>
      <c r="L909" s="21" t="s">
        <v>490</v>
      </c>
      <c r="M909" s="21" t="s">
        <v>12</v>
      </c>
      <c r="N909" s="54">
        <v>105000</v>
      </c>
      <c r="O909" s="54">
        <v>-25000</v>
      </c>
      <c r="P909" s="54">
        <v>0</v>
      </c>
      <c r="Q909" s="54">
        <v>80000</v>
      </c>
      <c r="R909" s="54">
        <v>0</v>
      </c>
      <c r="S909" s="54">
        <v>69437.759999999995</v>
      </c>
      <c r="T909" s="54">
        <v>52078.32</v>
      </c>
      <c r="U909" s="54">
        <v>10562.24</v>
      </c>
      <c r="V909" s="54">
        <v>27921.68</v>
      </c>
      <c r="W909" s="54">
        <v>10562.24</v>
      </c>
    </row>
    <row r="910" spans="1:23" outlineLevel="2" x14ac:dyDescent="0.2">
      <c r="A910" s="21" t="s">
        <v>402</v>
      </c>
      <c r="B910" s="21" t="s">
        <v>39</v>
      </c>
      <c r="C910" s="21" t="s">
        <v>58</v>
      </c>
      <c r="D910" s="21" t="s">
        <v>59</v>
      </c>
      <c r="E910" s="21" t="s">
        <v>60</v>
      </c>
      <c r="F910" s="21" t="s">
        <v>5</v>
      </c>
      <c r="G910" s="21" t="s">
        <v>6</v>
      </c>
      <c r="H910" s="21" t="s">
        <v>7</v>
      </c>
      <c r="I910" s="21" t="s">
        <v>8</v>
      </c>
      <c r="J910" s="21" t="s">
        <v>403</v>
      </c>
      <c r="K910" s="21" t="s">
        <v>486</v>
      </c>
      <c r="L910" s="21" t="s">
        <v>489</v>
      </c>
      <c r="M910" s="21" t="s">
        <v>12</v>
      </c>
      <c r="N910" s="54">
        <v>171000</v>
      </c>
      <c r="O910" s="54">
        <v>-1642.8</v>
      </c>
      <c r="P910" s="54">
        <v>0</v>
      </c>
      <c r="Q910" s="54">
        <v>169357.2</v>
      </c>
      <c r="R910" s="54">
        <v>0</v>
      </c>
      <c r="S910" s="54">
        <v>161733.82</v>
      </c>
      <c r="T910" s="54">
        <v>122151.36</v>
      </c>
      <c r="U910" s="54">
        <v>7623.38</v>
      </c>
      <c r="V910" s="54">
        <v>47205.84</v>
      </c>
      <c r="W910" s="54">
        <v>7623.38</v>
      </c>
    </row>
    <row r="911" spans="1:23" outlineLevel="2" x14ac:dyDescent="0.2">
      <c r="A911" s="21" t="s">
        <v>402</v>
      </c>
      <c r="B911" s="21" t="s">
        <v>31</v>
      </c>
      <c r="C911" s="21" t="s">
        <v>79</v>
      </c>
      <c r="D911" s="21" t="s">
        <v>131</v>
      </c>
      <c r="E911" s="21" t="s">
        <v>132</v>
      </c>
      <c r="F911" s="21" t="s">
        <v>5</v>
      </c>
      <c r="G911" s="21" t="s">
        <v>6</v>
      </c>
      <c r="H911" s="21" t="s">
        <v>7</v>
      </c>
      <c r="I911" s="21" t="s">
        <v>8</v>
      </c>
      <c r="J911" s="21" t="s">
        <v>403</v>
      </c>
      <c r="K911" s="21" t="s">
        <v>486</v>
      </c>
      <c r="L911" s="21" t="s">
        <v>490</v>
      </c>
      <c r="M911" s="21" t="s">
        <v>12</v>
      </c>
      <c r="N911" s="54">
        <v>200000</v>
      </c>
      <c r="O911" s="54">
        <v>0</v>
      </c>
      <c r="P911" s="54">
        <v>0</v>
      </c>
      <c r="Q911" s="54">
        <v>200000</v>
      </c>
      <c r="R911" s="54">
        <v>0</v>
      </c>
      <c r="S911" s="54">
        <v>198844.79999999999</v>
      </c>
      <c r="T911" s="54">
        <v>149133.6</v>
      </c>
      <c r="U911" s="54">
        <v>1155.2</v>
      </c>
      <c r="V911" s="54">
        <v>50866.400000000001</v>
      </c>
      <c r="W911" s="54">
        <v>1155.2</v>
      </c>
    </row>
    <row r="912" spans="1:23" outlineLevel="2" x14ac:dyDescent="0.2">
      <c r="A912" s="21" t="s">
        <v>402</v>
      </c>
      <c r="B912" s="21" t="s">
        <v>1</v>
      </c>
      <c r="C912" s="21" t="s">
        <v>2</v>
      </c>
      <c r="D912" s="21" t="s">
        <v>410</v>
      </c>
      <c r="E912" s="21" t="s">
        <v>411</v>
      </c>
      <c r="F912" s="21" t="s">
        <v>5</v>
      </c>
      <c r="G912" s="21" t="s">
        <v>6</v>
      </c>
      <c r="H912" s="21" t="s">
        <v>7</v>
      </c>
      <c r="I912" s="21" t="s">
        <v>8</v>
      </c>
      <c r="J912" s="21" t="s">
        <v>403</v>
      </c>
      <c r="K912" s="21" t="s">
        <v>486</v>
      </c>
      <c r="L912" s="21" t="s">
        <v>491</v>
      </c>
      <c r="M912" s="21" t="s">
        <v>15</v>
      </c>
      <c r="N912" s="54">
        <v>5000000</v>
      </c>
      <c r="O912" s="54">
        <v>-1314.29</v>
      </c>
      <c r="P912" s="54">
        <v>0</v>
      </c>
      <c r="Q912" s="54">
        <v>4998685.71</v>
      </c>
      <c r="R912" s="54">
        <v>0</v>
      </c>
      <c r="S912" s="54">
        <v>3461920</v>
      </c>
      <c r="T912" s="54">
        <v>2596439.9700000002</v>
      </c>
      <c r="U912" s="54">
        <v>1536765.71</v>
      </c>
      <c r="V912" s="54">
        <v>2402245.7400000002</v>
      </c>
      <c r="W912" s="54">
        <v>1536765.71</v>
      </c>
    </row>
    <row r="913" spans="1:23" outlineLevel="2" x14ac:dyDescent="0.2">
      <c r="A913" s="21" t="s">
        <v>402</v>
      </c>
      <c r="B913" s="21" t="s">
        <v>39</v>
      </c>
      <c r="C913" s="21" t="s">
        <v>40</v>
      </c>
      <c r="D913" s="21" t="s">
        <v>77</v>
      </c>
      <c r="E913" s="21" t="s">
        <v>78</v>
      </c>
      <c r="F913" s="21" t="s">
        <v>5</v>
      </c>
      <c r="G913" s="21" t="s">
        <v>6</v>
      </c>
      <c r="H913" s="21" t="s">
        <v>7</v>
      </c>
      <c r="I913" s="21" t="s">
        <v>8</v>
      </c>
      <c r="J913" s="21" t="s">
        <v>403</v>
      </c>
      <c r="K913" s="21" t="s">
        <v>486</v>
      </c>
      <c r="L913" s="21" t="s">
        <v>487</v>
      </c>
      <c r="M913" s="21" t="s">
        <v>12</v>
      </c>
      <c r="N913" s="54">
        <v>1576573.21</v>
      </c>
      <c r="O913" s="54">
        <v>-1273276.07</v>
      </c>
      <c r="P913" s="54">
        <v>0</v>
      </c>
      <c r="Q913" s="54">
        <v>303297.14</v>
      </c>
      <c r="R913" s="54">
        <v>0</v>
      </c>
      <c r="S913" s="54">
        <v>0</v>
      </c>
      <c r="T913" s="54">
        <v>0</v>
      </c>
      <c r="U913" s="54">
        <v>303297.14</v>
      </c>
      <c r="V913" s="54">
        <v>303297.14</v>
      </c>
      <c r="W913" s="54">
        <v>303297.14</v>
      </c>
    </row>
    <row r="914" spans="1:23" outlineLevel="2" x14ac:dyDescent="0.2">
      <c r="A914" s="21" t="s">
        <v>402</v>
      </c>
      <c r="B914" s="21" t="s">
        <v>31</v>
      </c>
      <c r="C914" s="21" t="s">
        <v>79</v>
      </c>
      <c r="D914" s="21" t="s">
        <v>113</v>
      </c>
      <c r="E914" s="21" t="s">
        <v>114</v>
      </c>
      <c r="F914" s="21" t="s">
        <v>5</v>
      </c>
      <c r="G914" s="21" t="s">
        <v>6</v>
      </c>
      <c r="H914" s="21" t="s">
        <v>7</v>
      </c>
      <c r="I914" s="21" t="s">
        <v>8</v>
      </c>
      <c r="J914" s="21" t="s">
        <v>403</v>
      </c>
      <c r="K914" s="21" t="s">
        <v>486</v>
      </c>
      <c r="L914" s="21" t="s">
        <v>490</v>
      </c>
      <c r="M914" s="21" t="s">
        <v>12</v>
      </c>
      <c r="N914" s="54">
        <v>150000</v>
      </c>
      <c r="O914" s="54">
        <v>-29000</v>
      </c>
      <c r="P914" s="54">
        <v>0</v>
      </c>
      <c r="Q914" s="54">
        <v>121000</v>
      </c>
      <c r="R914" s="54">
        <v>9000</v>
      </c>
      <c r="S914" s="54">
        <v>112000</v>
      </c>
      <c r="T914" s="54">
        <v>83999.97</v>
      </c>
      <c r="U914" s="54">
        <v>9000</v>
      </c>
      <c r="V914" s="54">
        <v>37000.03</v>
      </c>
      <c r="W914" s="54">
        <v>0</v>
      </c>
    </row>
    <row r="915" spans="1:23" outlineLevel="2" x14ac:dyDescent="0.2">
      <c r="A915" s="21" t="s">
        <v>402</v>
      </c>
      <c r="B915" s="21" t="s">
        <v>39</v>
      </c>
      <c r="C915" s="21" t="s">
        <v>66</v>
      </c>
      <c r="D915" s="21" t="s">
        <v>67</v>
      </c>
      <c r="E915" s="21" t="s">
        <v>68</v>
      </c>
      <c r="F915" s="21" t="s">
        <v>5</v>
      </c>
      <c r="G915" s="21" t="s">
        <v>6</v>
      </c>
      <c r="H915" s="21" t="s">
        <v>7</v>
      </c>
      <c r="I915" s="21" t="s">
        <v>8</v>
      </c>
      <c r="J915" s="21" t="s">
        <v>403</v>
      </c>
      <c r="K915" s="21" t="s">
        <v>494</v>
      </c>
      <c r="L915" s="21" t="s">
        <v>502</v>
      </c>
      <c r="M915" s="21" t="s">
        <v>12</v>
      </c>
      <c r="N915" s="54">
        <v>168000</v>
      </c>
      <c r="O915" s="54">
        <v>-11672.15</v>
      </c>
      <c r="P915" s="54">
        <v>0</v>
      </c>
      <c r="Q915" s="54">
        <v>156327.85</v>
      </c>
      <c r="R915" s="54">
        <v>6739.04</v>
      </c>
      <c r="S915" s="54">
        <v>149588.81</v>
      </c>
      <c r="T915" s="54">
        <v>112191.57</v>
      </c>
      <c r="U915" s="54">
        <v>6739.04</v>
      </c>
      <c r="V915" s="54">
        <v>44136.28</v>
      </c>
      <c r="W915" s="54">
        <v>0</v>
      </c>
    </row>
    <row r="916" spans="1:23" outlineLevel="2" x14ac:dyDescent="0.2">
      <c r="A916" s="21" t="s">
        <v>402</v>
      </c>
      <c r="B916" s="21" t="s">
        <v>39</v>
      </c>
      <c r="C916" s="21" t="s">
        <v>58</v>
      </c>
      <c r="D916" s="21" t="s">
        <v>147</v>
      </c>
      <c r="E916" s="21" t="s">
        <v>148</v>
      </c>
      <c r="F916" s="21" t="s">
        <v>5</v>
      </c>
      <c r="G916" s="21" t="s">
        <v>6</v>
      </c>
      <c r="H916" s="21" t="s">
        <v>7</v>
      </c>
      <c r="I916" s="21" t="s">
        <v>8</v>
      </c>
      <c r="J916" s="21" t="s">
        <v>403</v>
      </c>
      <c r="K916" s="21" t="s">
        <v>494</v>
      </c>
      <c r="L916" s="21" t="s">
        <v>495</v>
      </c>
      <c r="M916" s="21" t="s">
        <v>12</v>
      </c>
      <c r="N916" s="54">
        <v>186000</v>
      </c>
      <c r="O916" s="54">
        <v>-7095.2</v>
      </c>
      <c r="P916" s="54">
        <v>0</v>
      </c>
      <c r="Q916" s="54">
        <v>178904.8</v>
      </c>
      <c r="R916" s="54">
        <v>0</v>
      </c>
      <c r="S916" s="54">
        <v>172396.47</v>
      </c>
      <c r="T916" s="54">
        <v>65301.29</v>
      </c>
      <c r="U916" s="54">
        <v>6508.33</v>
      </c>
      <c r="V916" s="54">
        <v>113603.51</v>
      </c>
      <c r="W916" s="54">
        <v>6508.33</v>
      </c>
    </row>
    <row r="917" spans="1:23" outlineLevel="2" x14ac:dyDescent="0.2">
      <c r="A917" s="21" t="s">
        <v>402</v>
      </c>
      <c r="B917" s="21" t="s">
        <v>39</v>
      </c>
      <c r="C917" s="21" t="s">
        <v>58</v>
      </c>
      <c r="D917" s="21" t="s">
        <v>59</v>
      </c>
      <c r="E917" s="21" t="s">
        <v>60</v>
      </c>
      <c r="F917" s="21" t="s">
        <v>5</v>
      </c>
      <c r="G917" s="21" t="s">
        <v>6</v>
      </c>
      <c r="H917" s="21" t="s">
        <v>7</v>
      </c>
      <c r="I917" s="21" t="s">
        <v>8</v>
      </c>
      <c r="J917" s="21" t="s">
        <v>403</v>
      </c>
      <c r="K917" s="21" t="s">
        <v>494</v>
      </c>
      <c r="L917" s="21" t="s">
        <v>495</v>
      </c>
      <c r="M917" s="21" t="s">
        <v>12</v>
      </c>
      <c r="N917" s="54">
        <v>90000</v>
      </c>
      <c r="O917" s="54">
        <v>0</v>
      </c>
      <c r="P917" s="54">
        <v>0</v>
      </c>
      <c r="Q917" s="54">
        <v>90000</v>
      </c>
      <c r="R917" s="54">
        <v>0</v>
      </c>
      <c r="S917" s="54">
        <v>89989.54</v>
      </c>
      <c r="T917" s="54">
        <v>30526.11</v>
      </c>
      <c r="U917" s="54">
        <v>10.46</v>
      </c>
      <c r="V917" s="54">
        <v>59473.89</v>
      </c>
      <c r="W917" s="54">
        <v>10.46</v>
      </c>
    </row>
    <row r="918" spans="1:23" outlineLevel="2" x14ac:dyDescent="0.2">
      <c r="A918" s="21" t="s">
        <v>402</v>
      </c>
      <c r="B918" s="21" t="s">
        <v>31</v>
      </c>
      <c r="C918" s="21" t="s">
        <v>79</v>
      </c>
      <c r="D918" s="21" t="s">
        <v>117</v>
      </c>
      <c r="E918" s="21" t="s">
        <v>118</v>
      </c>
      <c r="F918" s="21" t="s">
        <v>5</v>
      </c>
      <c r="G918" s="21" t="s">
        <v>6</v>
      </c>
      <c r="H918" s="21" t="s">
        <v>7</v>
      </c>
      <c r="I918" s="21" t="s">
        <v>8</v>
      </c>
      <c r="J918" s="21" t="s">
        <v>403</v>
      </c>
      <c r="K918" s="21" t="s">
        <v>494</v>
      </c>
      <c r="L918" s="21" t="s">
        <v>498</v>
      </c>
      <c r="M918" s="21" t="s">
        <v>12</v>
      </c>
      <c r="N918" s="54">
        <v>179021</v>
      </c>
      <c r="O918" s="54">
        <v>-29000</v>
      </c>
      <c r="P918" s="54">
        <v>0</v>
      </c>
      <c r="Q918" s="54">
        <v>150021</v>
      </c>
      <c r="R918" s="54">
        <v>0</v>
      </c>
      <c r="S918" s="54">
        <v>123076.8</v>
      </c>
      <c r="T918" s="54">
        <v>104428.8</v>
      </c>
      <c r="U918" s="54">
        <v>26944.2</v>
      </c>
      <c r="V918" s="54">
        <v>45592.2</v>
      </c>
      <c r="W918" s="54">
        <v>26944.2</v>
      </c>
    </row>
    <row r="919" spans="1:23" outlineLevel="2" x14ac:dyDescent="0.2">
      <c r="A919" s="21" t="s">
        <v>402</v>
      </c>
      <c r="B919" s="21" t="s">
        <v>39</v>
      </c>
      <c r="C919" s="21" t="s">
        <v>58</v>
      </c>
      <c r="D919" s="21" t="s">
        <v>145</v>
      </c>
      <c r="E919" s="21" t="s">
        <v>146</v>
      </c>
      <c r="F919" s="21" t="s">
        <v>5</v>
      </c>
      <c r="G919" s="21" t="s">
        <v>6</v>
      </c>
      <c r="H919" s="21" t="s">
        <v>7</v>
      </c>
      <c r="I919" s="21" t="s">
        <v>8</v>
      </c>
      <c r="J919" s="21" t="s">
        <v>403</v>
      </c>
      <c r="K919" s="21" t="s">
        <v>494</v>
      </c>
      <c r="L919" s="21" t="s">
        <v>495</v>
      </c>
      <c r="M919" s="21" t="s">
        <v>12</v>
      </c>
      <c r="N919" s="54">
        <v>147000</v>
      </c>
      <c r="O919" s="54">
        <v>4873.8599999999997</v>
      </c>
      <c r="P919" s="54">
        <v>0</v>
      </c>
      <c r="Q919" s="54">
        <v>151873.85999999999</v>
      </c>
      <c r="R919" s="54">
        <v>7.4</v>
      </c>
      <c r="S919" s="54">
        <v>151866.46</v>
      </c>
      <c r="T919" s="54">
        <v>85752.63</v>
      </c>
      <c r="U919" s="54">
        <v>7.4</v>
      </c>
      <c r="V919" s="54">
        <v>66121.23</v>
      </c>
      <c r="W919" s="54">
        <v>0</v>
      </c>
    </row>
    <row r="920" spans="1:23" outlineLevel="2" x14ac:dyDescent="0.2">
      <c r="A920" s="21" t="s">
        <v>402</v>
      </c>
      <c r="B920" s="21" t="s">
        <v>31</v>
      </c>
      <c r="C920" s="21" t="s">
        <v>79</v>
      </c>
      <c r="D920" s="21" t="s">
        <v>133</v>
      </c>
      <c r="E920" s="21" t="s">
        <v>134</v>
      </c>
      <c r="F920" s="21" t="s">
        <v>5</v>
      </c>
      <c r="G920" s="21" t="s">
        <v>6</v>
      </c>
      <c r="H920" s="21" t="s">
        <v>7</v>
      </c>
      <c r="I920" s="21" t="s">
        <v>8</v>
      </c>
      <c r="J920" s="21" t="s">
        <v>403</v>
      </c>
      <c r="K920" s="21" t="s">
        <v>494</v>
      </c>
      <c r="L920" s="21" t="s">
        <v>498</v>
      </c>
      <c r="M920" s="21" t="s">
        <v>12</v>
      </c>
      <c r="N920" s="54">
        <v>113000</v>
      </c>
      <c r="O920" s="54">
        <v>0</v>
      </c>
      <c r="P920" s="54">
        <v>0</v>
      </c>
      <c r="Q920" s="54">
        <v>113000</v>
      </c>
      <c r="R920" s="54">
        <v>17799.96</v>
      </c>
      <c r="S920" s="54">
        <v>89510.399999999994</v>
      </c>
      <c r="T920" s="54">
        <v>18648</v>
      </c>
      <c r="U920" s="54">
        <v>23489.599999999999</v>
      </c>
      <c r="V920" s="54">
        <v>94352</v>
      </c>
      <c r="W920" s="54">
        <v>5689.64</v>
      </c>
    </row>
    <row r="921" spans="1:23" outlineLevel="2" x14ac:dyDescent="0.2">
      <c r="A921" s="21" t="s">
        <v>402</v>
      </c>
      <c r="B921" s="21" t="s">
        <v>31</v>
      </c>
      <c r="C921" s="21" t="s">
        <v>79</v>
      </c>
      <c r="D921" s="21" t="s">
        <v>127</v>
      </c>
      <c r="E921" s="21" t="s">
        <v>128</v>
      </c>
      <c r="F921" s="21" t="s">
        <v>5</v>
      </c>
      <c r="G921" s="21" t="s">
        <v>6</v>
      </c>
      <c r="H921" s="21" t="s">
        <v>7</v>
      </c>
      <c r="I921" s="21" t="s">
        <v>8</v>
      </c>
      <c r="J921" s="21" t="s">
        <v>403</v>
      </c>
      <c r="K921" s="21" t="s">
        <v>494</v>
      </c>
      <c r="L921" s="21" t="s">
        <v>498</v>
      </c>
      <c r="M921" s="21" t="s">
        <v>12</v>
      </c>
      <c r="N921" s="54">
        <v>110000</v>
      </c>
      <c r="O921" s="54">
        <v>-44643.33</v>
      </c>
      <c r="P921" s="54">
        <v>0</v>
      </c>
      <c r="Q921" s="54">
        <v>65356.67</v>
      </c>
      <c r="R921" s="54">
        <v>14195.9</v>
      </c>
      <c r="S921" s="54">
        <v>51160.77</v>
      </c>
      <c r="T921" s="54">
        <v>28783.17</v>
      </c>
      <c r="U921" s="54">
        <v>14195.9</v>
      </c>
      <c r="V921" s="54">
        <v>36573.5</v>
      </c>
      <c r="W921" s="54">
        <v>0</v>
      </c>
    </row>
    <row r="922" spans="1:23" outlineLevel="2" x14ac:dyDescent="0.2">
      <c r="A922" s="21" t="s">
        <v>402</v>
      </c>
      <c r="B922" s="21" t="s">
        <v>39</v>
      </c>
      <c r="C922" s="21" t="s">
        <v>70</v>
      </c>
      <c r="D922" s="21" t="s">
        <v>89</v>
      </c>
      <c r="E922" s="21" t="s">
        <v>90</v>
      </c>
      <c r="F922" s="21" t="s">
        <v>5</v>
      </c>
      <c r="G922" s="21" t="s">
        <v>6</v>
      </c>
      <c r="H922" s="21" t="s">
        <v>7</v>
      </c>
      <c r="I922" s="21" t="s">
        <v>8</v>
      </c>
      <c r="J922" s="21" t="s">
        <v>403</v>
      </c>
      <c r="K922" s="21" t="s">
        <v>494</v>
      </c>
      <c r="L922" s="21" t="s">
        <v>501</v>
      </c>
      <c r="M922" s="21" t="s">
        <v>12</v>
      </c>
      <c r="N922" s="54">
        <v>234000</v>
      </c>
      <c r="O922" s="54">
        <v>18753</v>
      </c>
      <c r="P922" s="54">
        <v>0</v>
      </c>
      <c r="Q922" s="54">
        <v>252753</v>
      </c>
      <c r="R922" s="54">
        <v>0</v>
      </c>
      <c r="S922" s="54">
        <v>252753</v>
      </c>
      <c r="T922" s="54">
        <v>193207.5</v>
      </c>
      <c r="U922" s="54">
        <v>0</v>
      </c>
      <c r="V922" s="54">
        <v>59545.5</v>
      </c>
      <c r="W922" s="54">
        <v>0</v>
      </c>
    </row>
    <row r="923" spans="1:23" outlineLevel="2" x14ac:dyDescent="0.2">
      <c r="A923" s="21" t="s">
        <v>402</v>
      </c>
      <c r="B923" s="21" t="s">
        <v>31</v>
      </c>
      <c r="C923" s="21" t="s">
        <v>79</v>
      </c>
      <c r="D923" s="21" t="s">
        <v>115</v>
      </c>
      <c r="E923" s="21" t="s">
        <v>116</v>
      </c>
      <c r="F923" s="21" t="s">
        <v>5</v>
      </c>
      <c r="G923" s="21" t="s">
        <v>6</v>
      </c>
      <c r="H923" s="21" t="s">
        <v>7</v>
      </c>
      <c r="I923" s="21" t="s">
        <v>8</v>
      </c>
      <c r="J923" s="21" t="s">
        <v>403</v>
      </c>
      <c r="K923" s="21" t="s">
        <v>494</v>
      </c>
      <c r="L923" s="21" t="s">
        <v>498</v>
      </c>
      <c r="M923" s="21" t="s">
        <v>12</v>
      </c>
      <c r="N923" s="54">
        <v>69000</v>
      </c>
      <c r="O923" s="54">
        <v>0</v>
      </c>
      <c r="P923" s="54">
        <v>0</v>
      </c>
      <c r="Q923" s="54">
        <v>69000</v>
      </c>
      <c r="R923" s="54">
        <v>0</v>
      </c>
      <c r="S923" s="54">
        <v>67101.55</v>
      </c>
      <c r="T923" s="54">
        <v>24211.15</v>
      </c>
      <c r="U923" s="54">
        <v>1898.45</v>
      </c>
      <c r="V923" s="54">
        <v>44788.85</v>
      </c>
      <c r="W923" s="54">
        <v>1898.45</v>
      </c>
    </row>
    <row r="924" spans="1:23" outlineLevel="2" x14ac:dyDescent="0.2">
      <c r="A924" s="21" t="s">
        <v>402</v>
      </c>
      <c r="B924" s="21" t="s">
        <v>1</v>
      </c>
      <c r="C924" s="21" t="s">
        <v>91</v>
      </c>
      <c r="D924" s="21" t="s">
        <v>92</v>
      </c>
      <c r="E924" s="21" t="s">
        <v>93</v>
      </c>
      <c r="F924" s="21" t="s">
        <v>5</v>
      </c>
      <c r="G924" s="21" t="s">
        <v>6</v>
      </c>
      <c r="H924" s="21" t="s">
        <v>7</v>
      </c>
      <c r="I924" s="21" t="s">
        <v>8</v>
      </c>
      <c r="J924" s="21" t="s">
        <v>403</v>
      </c>
      <c r="K924" s="21" t="s">
        <v>494</v>
      </c>
      <c r="L924" s="21" t="s">
        <v>497</v>
      </c>
      <c r="M924" s="21" t="s">
        <v>15</v>
      </c>
      <c r="N924" s="54">
        <v>68000</v>
      </c>
      <c r="O924" s="54">
        <v>-4083.35</v>
      </c>
      <c r="P924" s="54">
        <v>0</v>
      </c>
      <c r="Q924" s="54">
        <v>63916.65</v>
      </c>
      <c r="R924" s="54">
        <v>1803.2</v>
      </c>
      <c r="S924" s="54">
        <v>61980.75</v>
      </c>
      <c r="T924" s="54">
        <v>43109.09</v>
      </c>
      <c r="U924" s="54">
        <v>1935.9</v>
      </c>
      <c r="V924" s="54">
        <v>20807.560000000001</v>
      </c>
      <c r="W924" s="54">
        <v>132.69999999999999</v>
      </c>
    </row>
    <row r="925" spans="1:23" outlineLevel="2" x14ac:dyDescent="0.2">
      <c r="A925" s="21" t="s">
        <v>402</v>
      </c>
      <c r="B925" s="21" t="s">
        <v>31</v>
      </c>
      <c r="C925" s="21" t="s">
        <v>79</v>
      </c>
      <c r="D925" s="21" t="s">
        <v>113</v>
      </c>
      <c r="E925" s="21" t="s">
        <v>114</v>
      </c>
      <c r="F925" s="21" t="s">
        <v>5</v>
      </c>
      <c r="G925" s="21" t="s">
        <v>6</v>
      </c>
      <c r="H925" s="21" t="s">
        <v>7</v>
      </c>
      <c r="I925" s="21" t="s">
        <v>8</v>
      </c>
      <c r="J925" s="21" t="s">
        <v>403</v>
      </c>
      <c r="K925" s="21" t="s">
        <v>494</v>
      </c>
      <c r="L925" s="21" t="s">
        <v>498</v>
      </c>
      <c r="M925" s="21" t="s">
        <v>12</v>
      </c>
      <c r="N925" s="54">
        <v>120000</v>
      </c>
      <c r="O925" s="54">
        <v>-8000</v>
      </c>
      <c r="P925" s="54">
        <v>0</v>
      </c>
      <c r="Q925" s="54">
        <v>112000</v>
      </c>
      <c r="R925" s="54">
        <v>112</v>
      </c>
      <c r="S925" s="54">
        <v>111888</v>
      </c>
      <c r="T925" s="54">
        <v>55011.6</v>
      </c>
      <c r="U925" s="54">
        <v>112</v>
      </c>
      <c r="V925" s="54">
        <v>56988.4</v>
      </c>
      <c r="W925" s="54">
        <v>0</v>
      </c>
    </row>
    <row r="926" spans="1:23" outlineLevel="2" x14ac:dyDescent="0.2">
      <c r="A926" s="21" t="s">
        <v>402</v>
      </c>
      <c r="B926" s="21" t="s">
        <v>39</v>
      </c>
      <c r="C926" s="21" t="s">
        <v>58</v>
      </c>
      <c r="D926" s="21" t="s">
        <v>137</v>
      </c>
      <c r="E926" s="21" t="s">
        <v>138</v>
      </c>
      <c r="F926" s="21" t="s">
        <v>5</v>
      </c>
      <c r="G926" s="21" t="s">
        <v>6</v>
      </c>
      <c r="H926" s="21" t="s">
        <v>7</v>
      </c>
      <c r="I926" s="21" t="s">
        <v>8</v>
      </c>
      <c r="J926" s="21" t="s">
        <v>403</v>
      </c>
      <c r="K926" s="21" t="s">
        <v>494</v>
      </c>
      <c r="L926" s="21" t="s">
        <v>495</v>
      </c>
      <c r="M926" s="21" t="s">
        <v>12</v>
      </c>
      <c r="N926" s="54">
        <v>82000</v>
      </c>
      <c r="O926" s="54">
        <v>0</v>
      </c>
      <c r="P926" s="54">
        <v>0</v>
      </c>
      <c r="Q926" s="54">
        <v>82000</v>
      </c>
      <c r="R926" s="54">
        <v>0</v>
      </c>
      <c r="S926" s="54">
        <v>81989.509999999995</v>
      </c>
      <c r="T926" s="54">
        <v>21624.42</v>
      </c>
      <c r="U926" s="54">
        <v>10.49</v>
      </c>
      <c r="V926" s="54">
        <v>60375.58</v>
      </c>
      <c r="W926" s="54">
        <v>10.49</v>
      </c>
    </row>
    <row r="927" spans="1:23" outlineLevel="2" x14ac:dyDescent="0.2">
      <c r="A927" s="21" t="s">
        <v>402</v>
      </c>
      <c r="B927" s="21" t="s">
        <v>1</v>
      </c>
      <c r="C927" s="21" t="s">
        <v>2</v>
      </c>
      <c r="D927" s="21" t="s">
        <v>3</v>
      </c>
      <c r="E927" s="21" t="s">
        <v>4</v>
      </c>
      <c r="F927" s="21" t="s">
        <v>5</v>
      </c>
      <c r="G927" s="21" t="s">
        <v>6</v>
      </c>
      <c r="H927" s="21" t="s">
        <v>7</v>
      </c>
      <c r="I927" s="21" t="s">
        <v>8</v>
      </c>
      <c r="J927" s="21" t="s">
        <v>403</v>
      </c>
      <c r="K927" s="21" t="s">
        <v>494</v>
      </c>
      <c r="L927" s="21" t="s">
        <v>496</v>
      </c>
      <c r="M927" s="21" t="s">
        <v>15</v>
      </c>
      <c r="N927" s="54">
        <v>93000</v>
      </c>
      <c r="O927" s="54">
        <v>-11279.4</v>
      </c>
      <c r="P927" s="54">
        <v>0</v>
      </c>
      <c r="Q927" s="54">
        <v>81720.600000000006</v>
      </c>
      <c r="R927" s="54">
        <v>20143.41</v>
      </c>
      <c r="S927" s="54">
        <v>58496.14</v>
      </c>
      <c r="T927" s="54">
        <v>58496.14</v>
      </c>
      <c r="U927" s="54">
        <v>23224.46</v>
      </c>
      <c r="V927" s="54">
        <v>23224.46</v>
      </c>
      <c r="W927" s="54">
        <v>3081.05</v>
      </c>
    </row>
    <row r="928" spans="1:23" outlineLevel="2" x14ac:dyDescent="0.2">
      <c r="A928" s="21" t="s">
        <v>402</v>
      </c>
      <c r="B928" s="21" t="s">
        <v>39</v>
      </c>
      <c r="C928" s="21" t="s">
        <v>40</v>
      </c>
      <c r="D928" s="21" t="s">
        <v>77</v>
      </c>
      <c r="E928" s="21" t="s">
        <v>78</v>
      </c>
      <c r="F928" s="21" t="s">
        <v>5</v>
      </c>
      <c r="G928" s="21" t="s">
        <v>6</v>
      </c>
      <c r="H928" s="21" t="s">
        <v>7</v>
      </c>
      <c r="I928" s="21" t="s">
        <v>8</v>
      </c>
      <c r="J928" s="21" t="s">
        <v>403</v>
      </c>
      <c r="K928" s="21" t="s">
        <v>494</v>
      </c>
      <c r="L928" s="21" t="s">
        <v>499</v>
      </c>
      <c r="M928" s="21" t="s">
        <v>12</v>
      </c>
      <c r="N928" s="54">
        <v>413177.28</v>
      </c>
      <c r="O928" s="54">
        <v>149305.28</v>
      </c>
      <c r="P928" s="54">
        <v>0</v>
      </c>
      <c r="Q928" s="54">
        <v>562482.56000000006</v>
      </c>
      <c r="R928" s="54">
        <v>58077.62</v>
      </c>
      <c r="S928" s="54">
        <v>503763.05</v>
      </c>
      <c r="T928" s="54">
        <v>282561.77</v>
      </c>
      <c r="U928" s="54">
        <v>58719.51</v>
      </c>
      <c r="V928" s="54">
        <v>279920.78999999998</v>
      </c>
      <c r="W928" s="54">
        <v>641.89</v>
      </c>
    </row>
    <row r="929" spans="1:23" outlineLevel="2" x14ac:dyDescent="0.2">
      <c r="A929" s="21" t="s">
        <v>402</v>
      </c>
      <c r="B929" s="21" t="s">
        <v>31</v>
      </c>
      <c r="C929" s="21" t="s">
        <v>79</v>
      </c>
      <c r="D929" s="21" t="s">
        <v>125</v>
      </c>
      <c r="E929" s="21" t="s">
        <v>126</v>
      </c>
      <c r="F929" s="21" t="s">
        <v>5</v>
      </c>
      <c r="G929" s="21" t="s">
        <v>6</v>
      </c>
      <c r="H929" s="21" t="s">
        <v>7</v>
      </c>
      <c r="I929" s="21" t="s">
        <v>8</v>
      </c>
      <c r="J929" s="21" t="s">
        <v>403</v>
      </c>
      <c r="K929" s="21" t="s">
        <v>494</v>
      </c>
      <c r="L929" s="21" t="s">
        <v>498</v>
      </c>
      <c r="M929" s="21" t="s">
        <v>12</v>
      </c>
      <c r="N929" s="54">
        <v>63000</v>
      </c>
      <c r="O929" s="54">
        <v>0</v>
      </c>
      <c r="P929" s="54">
        <v>0</v>
      </c>
      <c r="Q929" s="54">
        <v>63000</v>
      </c>
      <c r="R929" s="54">
        <v>0</v>
      </c>
      <c r="S929" s="54">
        <v>62194.81</v>
      </c>
      <c r="T929" s="54">
        <v>27814.91</v>
      </c>
      <c r="U929" s="54">
        <v>805.19</v>
      </c>
      <c r="V929" s="54">
        <v>35185.089999999997</v>
      </c>
      <c r="W929" s="54">
        <v>805.19</v>
      </c>
    </row>
    <row r="930" spans="1:23" outlineLevel="2" x14ac:dyDescent="0.2">
      <c r="A930" s="21" t="s">
        <v>402</v>
      </c>
      <c r="B930" s="21" t="s">
        <v>39</v>
      </c>
      <c r="C930" s="21" t="s">
        <v>58</v>
      </c>
      <c r="D930" s="21" t="s">
        <v>129</v>
      </c>
      <c r="E930" s="21" t="s">
        <v>130</v>
      </c>
      <c r="F930" s="21" t="s">
        <v>5</v>
      </c>
      <c r="G930" s="21" t="s">
        <v>6</v>
      </c>
      <c r="H930" s="21" t="s">
        <v>7</v>
      </c>
      <c r="I930" s="21" t="s">
        <v>8</v>
      </c>
      <c r="J930" s="21" t="s">
        <v>403</v>
      </c>
      <c r="K930" s="21" t="s">
        <v>494</v>
      </c>
      <c r="L930" s="21" t="s">
        <v>495</v>
      </c>
      <c r="M930" s="21" t="s">
        <v>12</v>
      </c>
      <c r="N930" s="54">
        <v>11000</v>
      </c>
      <c r="O930" s="54">
        <v>0</v>
      </c>
      <c r="P930" s="54">
        <v>0</v>
      </c>
      <c r="Q930" s="54">
        <v>11000</v>
      </c>
      <c r="R930" s="54">
        <v>0</v>
      </c>
      <c r="S930" s="54">
        <v>7413.27</v>
      </c>
      <c r="T930" s="54">
        <v>5695.2</v>
      </c>
      <c r="U930" s="54">
        <v>3586.73</v>
      </c>
      <c r="V930" s="54">
        <v>5304.8</v>
      </c>
      <c r="W930" s="54">
        <v>3586.73</v>
      </c>
    </row>
    <row r="931" spans="1:23" outlineLevel="2" x14ac:dyDescent="0.2">
      <c r="A931" s="21" t="s">
        <v>402</v>
      </c>
      <c r="B931" s="21" t="s">
        <v>39</v>
      </c>
      <c r="C931" s="21" t="s">
        <v>58</v>
      </c>
      <c r="D931" s="21" t="s">
        <v>135</v>
      </c>
      <c r="E931" s="21" t="s">
        <v>136</v>
      </c>
      <c r="F931" s="21" t="s">
        <v>5</v>
      </c>
      <c r="G931" s="21" t="s">
        <v>6</v>
      </c>
      <c r="H931" s="21" t="s">
        <v>7</v>
      </c>
      <c r="I931" s="21" t="s">
        <v>8</v>
      </c>
      <c r="J931" s="21" t="s">
        <v>403</v>
      </c>
      <c r="K931" s="21" t="s">
        <v>494</v>
      </c>
      <c r="L931" s="21" t="s">
        <v>495</v>
      </c>
      <c r="M931" s="21" t="s">
        <v>12</v>
      </c>
      <c r="N931" s="54">
        <v>125000</v>
      </c>
      <c r="O931" s="54">
        <v>0</v>
      </c>
      <c r="P931" s="54">
        <v>0</v>
      </c>
      <c r="Q931" s="54">
        <v>125000</v>
      </c>
      <c r="R931" s="54">
        <v>0</v>
      </c>
      <c r="S931" s="54">
        <v>85714.06</v>
      </c>
      <c r="T931" s="54">
        <v>54608.160000000003</v>
      </c>
      <c r="U931" s="54">
        <v>39285.94</v>
      </c>
      <c r="V931" s="54">
        <v>70391.839999999997</v>
      </c>
      <c r="W931" s="54">
        <v>39285.94</v>
      </c>
    </row>
    <row r="932" spans="1:23" outlineLevel="2" x14ac:dyDescent="0.2">
      <c r="A932" s="21" t="s">
        <v>402</v>
      </c>
      <c r="B932" s="21" t="s">
        <v>31</v>
      </c>
      <c r="C932" s="21" t="s">
        <v>79</v>
      </c>
      <c r="D932" s="21" t="s">
        <v>131</v>
      </c>
      <c r="E932" s="21" t="s">
        <v>132</v>
      </c>
      <c r="F932" s="21" t="s">
        <v>5</v>
      </c>
      <c r="G932" s="21" t="s">
        <v>6</v>
      </c>
      <c r="H932" s="21" t="s">
        <v>7</v>
      </c>
      <c r="I932" s="21" t="s">
        <v>8</v>
      </c>
      <c r="J932" s="21" t="s">
        <v>403</v>
      </c>
      <c r="K932" s="21" t="s">
        <v>494</v>
      </c>
      <c r="L932" s="21" t="s">
        <v>498</v>
      </c>
      <c r="M932" s="21" t="s">
        <v>12</v>
      </c>
      <c r="N932" s="54">
        <v>180000</v>
      </c>
      <c r="O932" s="54">
        <v>0</v>
      </c>
      <c r="P932" s="54">
        <v>0</v>
      </c>
      <c r="Q932" s="54">
        <v>180000</v>
      </c>
      <c r="R932" s="54">
        <v>0</v>
      </c>
      <c r="S932" s="54">
        <v>173722.75</v>
      </c>
      <c r="T932" s="54">
        <v>65281.85</v>
      </c>
      <c r="U932" s="54">
        <v>6277.25</v>
      </c>
      <c r="V932" s="54">
        <v>114718.15</v>
      </c>
      <c r="W932" s="54">
        <v>6277.25</v>
      </c>
    </row>
    <row r="933" spans="1:23" outlineLevel="2" x14ac:dyDescent="0.2">
      <c r="A933" s="21" t="s">
        <v>402</v>
      </c>
      <c r="B933" s="21" t="s">
        <v>39</v>
      </c>
      <c r="C933" s="21" t="s">
        <v>58</v>
      </c>
      <c r="D933" s="21" t="s">
        <v>149</v>
      </c>
      <c r="E933" s="21" t="s">
        <v>150</v>
      </c>
      <c r="F933" s="21" t="s">
        <v>5</v>
      </c>
      <c r="G933" s="21" t="s">
        <v>6</v>
      </c>
      <c r="H933" s="21" t="s">
        <v>7</v>
      </c>
      <c r="I933" s="21" t="s">
        <v>8</v>
      </c>
      <c r="J933" s="21" t="s">
        <v>403</v>
      </c>
      <c r="K933" s="21" t="s">
        <v>494</v>
      </c>
      <c r="L933" s="21" t="s">
        <v>495</v>
      </c>
      <c r="M933" s="21" t="s">
        <v>12</v>
      </c>
      <c r="N933" s="54">
        <v>157000</v>
      </c>
      <c r="O933" s="54">
        <v>0</v>
      </c>
      <c r="P933" s="54">
        <v>0</v>
      </c>
      <c r="Q933" s="54">
        <v>157000</v>
      </c>
      <c r="R933" s="54">
        <v>0</v>
      </c>
      <c r="S933" s="54">
        <v>156090.41</v>
      </c>
      <c r="T933" s="54">
        <v>78045.179999999993</v>
      </c>
      <c r="U933" s="54">
        <v>909.59</v>
      </c>
      <c r="V933" s="54">
        <v>78954.820000000007</v>
      </c>
      <c r="W933" s="54">
        <v>909.59</v>
      </c>
    </row>
    <row r="934" spans="1:23" outlineLevel="2" x14ac:dyDescent="0.2">
      <c r="A934" s="21" t="s">
        <v>402</v>
      </c>
      <c r="B934" s="21" t="s">
        <v>31</v>
      </c>
      <c r="C934" s="21" t="s">
        <v>32</v>
      </c>
      <c r="D934" s="21" t="s">
        <v>123</v>
      </c>
      <c r="E934" s="21" t="s">
        <v>124</v>
      </c>
      <c r="F934" s="21" t="s">
        <v>5</v>
      </c>
      <c r="G934" s="21" t="s">
        <v>6</v>
      </c>
      <c r="H934" s="21" t="s">
        <v>7</v>
      </c>
      <c r="I934" s="21" t="s">
        <v>8</v>
      </c>
      <c r="J934" s="21" t="s">
        <v>403</v>
      </c>
      <c r="K934" s="21" t="s">
        <v>494</v>
      </c>
      <c r="L934" s="21" t="s">
        <v>500</v>
      </c>
      <c r="M934" s="21" t="s">
        <v>12</v>
      </c>
      <c r="N934" s="54">
        <v>78000</v>
      </c>
      <c r="O934" s="54">
        <v>32708.39</v>
      </c>
      <c r="P934" s="54">
        <v>0</v>
      </c>
      <c r="Q934" s="54">
        <v>110708.39</v>
      </c>
      <c r="R934" s="54">
        <v>3800.01</v>
      </c>
      <c r="S934" s="54">
        <v>68879.839999999997</v>
      </c>
      <c r="T934" s="54">
        <v>49477.73</v>
      </c>
      <c r="U934" s="54">
        <v>41828.550000000003</v>
      </c>
      <c r="V934" s="54">
        <v>61230.66</v>
      </c>
      <c r="W934" s="54">
        <v>38028.54</v>
      </c>
    </row>
    <row r="935" spans="1:23" outlineLevel="2" x14ac:dyDescent="0.2">
      <c r="A935" s="21" t="s">
        <v>402</v>
      </c>
      <c r="B935" s="21" t="s">
        <v>1</v>
      </c>
      <c r="C935" s="21" t="s">
        <v>2</v>
      </c>
      <c r="D935" s="21" t="s">
        <v>410</v>
      </c>
      <c r="E935" s="21" t="s">
        <v>411</v>
      </c>
      <c r="F935" s="21" t="s">
        <v>5</v>
      </c>
      <c r="G935" s="21" t="s">
        <v>6</v>
      </c>
      <c r="H935" s="21" t="s">
        <v>7</v>
      </c>
      <c r="I935" s="21" t="s">
        <v>8</v>
      </c>
      <c r="J935" s="21" t="s">
        <v>403</v>
      </c>
      <c r="K935" s="21" t="s">
        <v>494</v>
      </c>
      <c r="L935" s="21" t="s">
        <v>496</v>
      </c>
      <c r="M935" s="21" t="s">
        <v>15</v>
      </c>
      <c r="N935" s="54">
        <v>3200000</v>
      </c>
      <c r="O935" s="54">
        <v>0</v>
      </c>
      <c r="P935" s="54">
        <v>0</v>
      </c>
      <c r="Q935" s="54">
        <v>3200000</v>
      </c>
      <c r="R935" s="54">
        <v>0.01</v>
      </c>
      <c r="S935" s="54">
        <v>2795945.48</v>
      </c>
      <c r="T935" s="54">
        <v>2003942.67</v>
      </c>
      <c r="U935" s="54">
        <v>404054.52</v>
      </c>
      <c r="V935" s="54">
        <v>1196057.33</v>
      </c>
      <c r="W935" s="54">
        <v>404054.51</v>
      </c>
    </row>
    <row r="936" spans="1:23" outlineLevel="2" x14ac:dyDescent="0.2">
      <c r="A936" s="21" t="s">
        <v>402</v>
      </c>
      <c r="B936" s="21" t="s">
        <v>31</v>
      </c>
      <c r="C936" s="21" t="s">
        <v>32</v>
      </c>
      <c r="D936" s="21" t="s">
        <v>75</v>
      </c>
      <c r="E936" s="21" t="s">
        <v>76</v>
      </c>
      <c r="F936" s="21" t="s">
        <v>5</v>
      </c>
      <c r="G936" s="21" t="s">
        <v>6</v>
      </c>
      <c r="H936" s="21" t="s">
        <v>7</v>
      </c>
      <c r="I936" s="21" t="s">
        <v>8</v>
      </c>
      <c r="J936" s="21" t="s">
        <v>403</v>
      </c>
      <c r="K936" s="21" t="s">
        <v>494</v>
      </c>
      <c r="L936" s="21" t="s">
        <v>500</v>
      </c>
      <c r="M936" s="21" t="s">
        <v>12</v>
      </c>
      <c r="N936" s="54">
        <v>133380</v>
      </c>
      <c r="O936" s="54">
        <v>-67700</v>
      </c>
      <c r="P936" s="54">
        <v>0</v>
      </c>
      <c r="Q936" s="54">
        <v>65680</v>
      </c>
      <c r="R936" s="54">
        <v>283.88</v>
      </c>
      <c r="S936" s="54">
        <v>61201.53</v>
      </c>
      <c r="T936" s="54">
        <v>39319.85</v>
      </c>
      <c r="U936" s="54">
        <v>4478.47</v>
      </c>
      <c r="V936" s="54">
        <v>26360.15</v>
      </c>
      <c r="W936" s="54">
        <v>4194.59</v>
      </c>
    </row>
    <row r="937" spans="1:23" outlineLevel="2" x14ac:dyDescent="0.2">
      <c r="A937" s="21" t="s">
        <v>402</v>
      </c>
      <c r="B937" s="21" t="s">
        <v>39</v>
      </c>
      <c r="C937" s="21" t="s">
        <v>58</v>
      </c>
      <c r="D937" s="21" t="s">
        <v>139</v>
      </c>
      <c r="E937" s="21" t="s">
        <v>140</v>
      </c>
      <c r="F937" s="21" t="s">
        <v>5</v>
      </c>
      <c r="G937" s="21" t="s">
        <v>6</v>
      </c>
      <c r="H937" s="21" t="s">
        <v>7</v>
      </c>
      <c r="I937" s="21" t="s">
        <v>8</v>
      </c>
      <c r="J937" s="21" t="s">
        <v>403</v>
      </c>
      <c r="K937" s="21" t="s">
        <v>494</v>
      </c>
      <c r="L937" s="21" t="s">
        <v>495</v>
      </c>
      <c r="M937" s="21" t="s">
        <v>12</v>
      </c>
      <c r="N937" s="54">
        <v>196000</v>
      </c>
      <c r="O937" s="54">
        <v>0</v>
      </c>
      <c r="P937" s="54">
        <v>0</v>
      </c>
      <c r="Q937" s="54">
        <v>196000</v>
      </c>
      <c r="R937" s="54">
        <v>0</v>
      </c>
      <c r="S937" s="54">
        <v>195897.54</v>
      </c>
      <c r="T937" s="54">
        <v>100401.09</v>
      </c>
      <c r="U937" s="54">
        <v>102.46</v>
      </c>
      <c r="V937" s="54">
        <v>95598.91</v>
      </c>
      <c r="W937" s="54">
        <v>102.46</v>
      </c>
    </row>
    <row r="938" spans="1:23" outlineLevel="2" x14ac:dyDescent="0.2">
      <c r="A938" s="21" t="s">
        <v>402</v>
      </c>
      <c r="B938" s="21" t="s">
        <v>31</v>
      </c>
      <c r="C938" s="21" t="s">
        <v>79</v>
      </c>
      <c r="D938" s="21" t="s">
        <v>111</v>
      </c>
      <c r="E938" s="21" t="s">
        <v>112</v>
      </c>
      <c r="F938" s="21" t="s">
        <v>5</v>
      </c>
      <c r="G938" s="21" t="s">
        <v>6</v>
      </c>
      <c r="H938" s="21" t="s">
        <v>7</v>
      </c>
      <c r="I938" s="21" t="s">
        <v>8</v>
      </c>
      <c r="J938" s="21" t="s">
        <v>403</v>
      </c>
      <c r="K938" s="21" t="s">
        <v>494</v>
      </c>
      <c r="L938" s="21" t="s">
        <v>498</v>
      </c>
      <c r="M938" s="21" t="s">
        <v>12</v>
      </c>
      <c r="N938" s="54">
        <v>41000</v>
      </c>
      <c r="O938" s="54">
        <v>0</v>
      </c>
      <c r="P938" s="54">
        <v>0</v>
      </c>
      <c r="Q938" s="54">
        <v>41000</v>
      </c>
      <c r="R938" s="54">
        <v>0</v>
      </c>
      <c r="S938" s="54">
        <v>0</v>
      </c>
      <c r="T938" s="54">
        <v>0</v>
      </c>
      <c r="U938" s="54">
        <v>41000</v>
      </c>
      <c r="V938" s="54">
        <v>41000</v>
      </c>
      <c r="W938" s="54">
        <v>41000</v>
      </c>
    </row>
    <row r="939" spans="1:23" outlineLevel="2" x14ac:dyDescent="0.2">
      <c r="A939" s="21" t="s">
        <v>402</v>
      </c>
      <c r="B939" s="21" t="s">
        <v>31</v>
      </c>
      <c r="C939" s="21" t="s">
        <v>79</v>
      </c>
      <c r="D939" s="21" t="s">
        <v>80</v>
      </c>
      <c r="E939" s="21" t="s">
        <v>81</v>
      </c>
      <c r="F939" s="21" t="s">
        <v>5</v>
      </c>
      <c r="G939" s="21" t="s">
        <v>6</v>
      </c>
      <c r="H939" s="21" t="s">
        <v>7</v>
      </c>
      <c r="I939" s="21" t="s">
        <v>8</v>
      </c>
      <c r="J939" s="21" t="s">
        <v>403</v>
      </c>
      <c r="K939" s="21" t="s">
        <v>494</v>
      </c>
      <c r="L939" s="21" t="s">
        <v>498</v>
      </c>
      <c r="M939" s="21" t="s">
        <v>12</v>
      </c>
      <c r="N939" s="54">
        <v>121000</v>
      </c>
      <c r="O939" s="54">
        <v>-600</v>
      </c>
      <c r="P939" s="54">
        <v>0</v>
      </c>
      <c r="Q939" s="54">
        <v>120400</v>
      </c>
      <c r="R939" s="54">
        <v>0</v>
      </c>
      <c r="S939" s="54">
        <v>117957.1</v>
      </c>
      <c r="T939" s="54">
        <v>55293.61</v>
      </c>
      <c r="U939" s="54">
        <v>2442.9</v>
      </c>
      <c r="V939" s="54">
        <v>65106.39</v>
      </c>
      <c r="W939" s="54">
        <v>2442.9</v>
      </c>
    </row>
    <row r="940" spans="1:23" outlineLevel="2" x14ac:dyDescent="0.2">
      <c r="A940" s="21" t="s">
        <v>402</v>
      </c>
      <c r="B940" s="21" t="s">
        <v>39</v>
      </c>
      <c r="C940" s="21" t="s">
        <v>58</v>
      </c>
      <c r="D940" s="21" t="s">
        <v>143</v>
      </c>
      <c r="E940" s="21" t="s">
        <v>144</v>
      </c>
      <c r="F940" s="21" t="s">
        <v>5</v>
      </c>
      <c r="G940" s="21" t="s">
        <v>6</v>
      </c>
      <c r="H940" s="21" t="s">
        <v>7</v>
      </c>
      <c r="I940" s="21" t="s">
        <v>8</v>
      </c>
      <c r="J940" s="21" t="s">
        <v>403</v>
      </c>
      <c r="K940" s="21" t="s">
        <v>494</v>
      </c>
      <c r="L940" s="21" t="s">
        <v>495</v>
      </c>
      <c r="M940" s="21" t="s">
        <v>12</v>
      </c>
      <c r="N940" s="54">
        <v>94000</v>
      </c>
      <c r="O940" s="54">
        <v>-300</v>
      </c>
      <c r="P940" s="54">
        <v>0</v>
      </c>
      <c r="Q940" s="54">
        <v>93700</v>
      </c>
      <c r="R940" s="54">
        <v>0</v>
      </c>
      <c r="S940" s="54">
        <v>93687.679999999993</v>
      </c>
      <c r="T940" s="54">
        <v>50747.51</v>
      </c>
      <c r="U940" s="54">
        <v>12.32</v>
      </c>
      <c r="V940" s="54">
        <v>42952.49</v>
      </c>
      <c r="W940" s="54">
        <v>12.32</v>
      </c>
    </row>
    <row r="941" spans="1:23" outlineLevel="2" x14ac:dyDescent="0.2">
      <c r="A941" s="21" t="s">
        <v>402</v>
      </c>
      <c r="B941" s="21" t="s">
        <v>1</v>
      </c>
      <c r="C941" s="21" t="s">
        <v>2</v>
      </c>
      <c r="D941" s="21" t="s">
        <v>3</v>
      </c>
      <c r="E941" s="21" t="s">
        <v>4</v>
      </c>
      <c r="F941" s="21" t="s">
        <v>5</v>
      </c>
      <c r="G941" s="21" t="s">
        <v>6</v>
      </c>
      <c r="H941" s="21" t="s">
        <v>7</v>
      </c>
      <c r="I941" s="21" t="s">
        <v>8</v>
      </c>
      <c r="J941" s="21" t="s">
        <v>403</v>
      </c>
      <c r="K941" s="21" t="s">
        <v>2044</v>
      </c>
      <c r="L941" s="21" t="s">
        <v>2045</v>
      </c>
      <c r="M941" s="21" t="s">
        <v>15</v>
      </c>
      <c r="N941" s="54">
        <v>0</v>
      </c>
      <c r="O941" s="54">
        <v>7056</v>
      </c>
      <c r="P941" s="54">
        <v>0</v>
      </c>
      <c r="Q941" s="54">
        <v>7056</v>
      </c>
      <c r="R941" s="54">
        <v>7056</v>
      </c>
      <c r="S941" s="54">
        <v>0</v>
      </c>
      <c r="T941" s="54">
        <v>0</v>
      </c>
      <c r="U941" s="54">
        <v>7056</v>
      </c>
      <c r="V941" s="54">
        <v>7056</v>
      </c>
      <c r="W941" s="54">
        <v>0</v>
      </c>
    </row>
    <row r="942" spans="1:23" outlineLevel="2" x14ac:dyDescent="0.2">
      <c r="A942" s="21" t="s">
        <v>402</v>
      </c>
      <c r="B942" s="21" t="s">
        <v>31</v>
      </c>
      <c r="C942" s="21" t="s">
        <v>32</v>
      </c>
      <c r="D942" s="21" t="s">
        <v>33</v>
      </c>
      <c r="E942" s="21" t="s">
        <v>34</v>
      </c>
      <c r="F942" s="21" t="s">
        <v>5</v>
      </c>
      <c r="G942" s="21" t="s">
        <v>6</v>
      </c>
      <c r="H942" s="21" t="s">
        <v>7</v>
      </c>
      <c r="I942" s="21" t="s">
        <v>8</v>
      </c>
      <c r="J942" s="21" t="s">
        <v>403</v>
      </c>
      <c r="K942" s="21" t="s">
        <v>503</v>
      </c>
      <c r="L942" s="21" t="s">
        <v>504</v>
      </c>
      <c r="M942" s="21" t="s">
        <v>12</v>
      </c>
      <c r="N942" s="54">
        <v>1500</v>
      </c>
      <c r="O942" s="54">
        <v>0</v>
      </c>
      <c r="P942" s="54">
        <v>0</v>
      </c>
      <c r="Q942" s="54">
        <v>1500</v>
      </c>
      <c r="R942" s="54">
        <v>0</v>
      </c>
      <c r="S942" s="54">
        <v>0</v>
      </c>
      <c r="T942" s="54">
        <v>0</v>
      </c>
      <c r="U942" s="54">
        <v>1500</v>
      </c>
      <c r="V942" s="54">
        <v>1500</v>
      </c>
      <c r="W942" s="54">
        <v>1500</v>
      </c>
    </row>
    <row r="943" spans="1:23" outlineLevel="2" x14ac:dyDescent="0.2">
      <c r="A943" s="21" t="s">
        <v>402</v>
      </c>
      <c r="B943" s="21" t="s">
        <v>1</v>
      </c>
      <c r="C943" s="21" t="s">
        <v>2</v>
      </c>
      <c r="D943" s="21" t="s">
        <v>463</v>
      </c>
      <c r="E943" s="21" t="s">
        <v>464</v>
      </c>
      <c r="F943" s="21" t="s">
        <v>5</v>
      </c>
      <c r="G943" s="21" t="s">
        <v>6</v>
      </c>
      <c r="H943" s="21" t="s">
        <v>7</v>
      </c>
      <c r="I943" s="21" t="s">
        <v>8</v>
      </c>
      <c r="J943" s="21" t="s">
        <v>403</v>
      </c>
      <c r="K943" s="21" t="s">
        <v>507</v>
      </c>
      <c r="L943" s="21" t="s">
        <v>508</v>
      </c>
      <c r="M943" s="21" t="s">
        <v>15</v>
      </c>
      <c r="N943" s="54">
        <v>28000</v>
      </c>
      <c r="O943" s="54">
        <v>0</v>
      </c>
      <c r="P943" s="54">
        <v>0</v>
      </c>
      <c r="Q943" s="54">
        <v>28000</v>
      </c>
      <c r="R943" s="54">
        <v>0</v>
      </c>
      <c r="S943" s="54">
        <v>0</v>
      </c>
      <c r="T943" s="54">
        <v>0</v>
      </c>
      <c r="U943" s="54">
        <v>28000</v>
      </c>
      <c r="V943" s="54">
        <v>28000</v>
      </c>
      <c r="W943" s="54">
        <v>28000</v>
      </c>
    </row>
    <row r="944" spans="1:23" outlineLevel="2" x14ac:dyDescent="0.2">
      <c r="A944" s="21" t="s">
        <v>402</v>
      </c>
      <c r="B944" s="21" t="s">
        <v>1</v>
      </c>
      <c r="C944" s="21" t="s">
        <v>2</v>
      </c>
      <c r="D944" s="21" t="s">
        <v>505</v>
      </c>
      <c r="E944" s="21" t="s">
        <v>506</v>
      </c>
      <c r="F944" s="21" t="s">
        <v>5</v>
      </c>
      <c r="G944" s="21" t="s">
        <v>6</v>
      </c>
      <c r="H944" s="21" t="s">
        <v>7</v>
      </c>
      <c r="I944" s="21" t="s">
        <v>8</v>
      </c>
      <c r="J944" s="21" t="s">
        <v>403</v>
      </c>
      <c r="K944" s="21" t="s">
        <v>507</v>
      </c>
      <c r="L944" s="21" t="s">
        <v>508</v>
      </c>
      <c r="M944" s="21" t="s">
        <v>15</v>
      </c>
      <c r="N944" s="54">
        <v>16000</v>
      </c>
      <c r="O944" s="54">
        <v>0</v>
      </c>
      <c r="P944" s="54">
        <v>0</v>
      </c>
      <c r="Q944" s="54">
        <v>16000</v>
      </c>
      <c r="R944" s="54">
        <v>0</v>
      </c>
      <c r="S944" s="54">
        <v>0</v>
      </c>
      <c r="T944" s="54">
        <v>0</v>
      </c>
      <c r="U944" s="54">
        <v>16000</v>
      </c>
      <c r="V944" s="54">
        <v>16000</v>
      </c>
      <c r="W944" s="54">
        <v>16000</v>
      </c>
    </row>
    <row r="945" spans="1:23" outlineLevel="2" x14ac:dyDescent="0.2">
      <c r="A945" s="21" t="s">
        <v>402</v>
      </c>
      <c r="B945" s="21" t="s">
        <v>53</v>
      </c>
      <c r="C945" s="21" t="s">
        <v>54</v>
      </c>
      <c r="D945" s="21" t="s">
        <v>55</v>
      </c>
      <c r="E945" s="21" t="s">
        <v>56</v>
      </c>
      <c r="F945" s="21" t="s">
        <v>5</v>
      </c>
      <c r="G945" s="21" t="s">
        <v>6</v>
      </c>
      <c r="H945" s="21" t="s">
        <v>7</v>
      </c>
      <c r="I945" s="21" t="s">
        <v>8</v>
      </c>
      <c r="J945" s="21" t="s">
        <v>403</v>
      </c>
      <c r="K945" s="21" t="s">
        <v>507</v>
      </c>
      <c r="L945" s="21" t="s">
        <v>510</v>
      </c>
      <c r="M945" s="21" t="s">
        <v>12</v>
      </c>
      <c r="N945" s="54">
        <v>5400</v>
      </c>
      <c r="O945" s="54">
        <v>-4343.08</v>
      </c>
      <c r="P945" s="54">
        <v>0</v>
      </c>
      <c r="Q945" s="54">
        <v>1056.92</v>
      </c>
      <c r="R945" s="54">
        <v>0</v>
      </c>
      <c r="S945" s="54">
        <v>0</v>
      </c>
      <c r="T945" s="54">
        <v>0</v>
      </c>
      <c r="U945" s="54">
        <v>1056.92</v>
      </c>
      <c r="V945" s="54">
        <v>1056.92</v>
      </c>
      <c r="W945" s="54">
        <v>1056.92</v>
      </c>
    </row>
    <row r="946" spans="1:23" outlineLevel="2" x14ac:dyDescent="0.2">
      <c r="A946" s="21" t="s">
        <v>402</v>
      </c>
      <c r="B946" s="21" t="s">
        <v>1</v>
      </c>
      <c r="C946" s="21" t="s">
        <v>16</v>
      </c>
      <c r="D946" s="21" t="s">
        <v>17</v>
      </c>
      <c r="E946" s="21" t="s">
        <v>18</v>
      </c>
      <c r="F946" s="21" t="s">
        <v>5</v>
      </c>
      <c r="G946" s="21" t="s">
        <v>6</v>
      </c>
      <c r="H946" s="21" t="s">
        <v>7</v>
      </c>
      <c r="I946" s="21" t="s">
        <v>8</v>
      </c>
      <c r="J946" s="21" t="s">
        <v>403</v>
      </c>
      <c r="K946" s="21" t="s">
        <v>507</v>
      </c>
      <c r="L946" s="21" t="s">
        <v>509</v>
      </c>
      <c r="M946" s="21" t="s">
        <v>15</v>
      </c>
      <c r="N946" s="54">
        <v>24700</v>
      </c>
      <c r="O946" s="54">
        <v>0</v>
      </c>
      <c r="P946" s="54">
        <v>0</v>
      </c>
      <c r="Q946" s="54">
        <v>24700</v>
      </c>
      <c r="R946" s="54">
        <v>0</v>
      </c>
      <c r="S946" s="54">
        <v>0</v>
      </c>
      <c r="T946" s="54">
        <v>0</v>
      </c>
      <c r="U946" s="54">
        <v>24700</v>
      </c>
      <c r="V946" s="54">
        <v>24700</v>
      </c>
      <c r="W946" s="54">
        <v>24700</v>
      </c>
    </row>
    <row r="947" spans="1:23" outlineLevel="2" x14ac:dyDescent="0.2">
      <c r="A947" s="21" t="s">
        <v>402</v>
      </c>
      <c r="B947" s="21" t="s">
        <v>39</v>
      </c>
      <c r="C947" s="21" t="s">
        <v>95</v>
      </c>
      <c r="D947" s="21" t="s">
        <v>96</v>
      </c>
      <c r="E947" s="21" t="s">
        <v>97</v>
      </c>
      <c r="F947" s="21" t="s">
        <v>5</v>
      </c>
      <c r="G947" s="21" t="s">
        <v>6</v>
      </c>
      <c r="H947" s="21" t="s">
        <v>7</v>
      </c>
      <c r="I947" s="21" t="s">
        <v>8</v>
      </c>
      <c r="J947" s="21" t="s">
        <v>403</v>
      </c>
      <c r="K947" s="21" t="s">
        <v>507</v>
      </c>
      <c r="L947" s="21" t="s">
        <v>511</v>
      </c>
      <c r="M947" s="21" t="s">
        <v>12</v>
      </c>
      <c r="N947" s="54">
        <v>14000</v>
      </c>
      <c r="O947" s="54">
        <v>-14000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</row>
    <row r="948" spans="1:23" outlineLevel="2" x14ac:dyDescent="0.2">
      <c r="A948" s="21" t="s">
        <v>402</v>
      </c>
      <c r="B948" s="21" t="s">
        <v>39</v>
      </c>
      <c r="C948" s="21" t="s">
        <v>40</v>
      </c>
      <c r="D948" s="21" t="s">
        <v>77</v>
      </c>
      <c r="E948" s="21" t="s">
        <v>78</v>
      </c>
      <c r="F948" s="21" t="s">
        <v>5</v>
      </c>
      <c r="G948" s="21" t="s">
        <v>6</v>
      </c>
      <c r="H948" s="21" t="s">
        <v>7</v>
      </c>
      <c r="I948" s="21" t="s">
        <v>8</v>
      </c>
      <c r="J948" s="21" t="s">
        <v>403</v>
      </c>
      <c r="K948" s="21" t="s">
        <v>512</v>
      </c>
      <c r="L948" s="21" t="s">
        <v>515</v>
      </c>
      <c r="M948" s="21" t="s">
        <v>12</v>
      </c>
      <c r="N948" s="54">
        <v>282141.90000000002</v>
      </c>
      <c r="O948" s="54">
        <v>0</v>
      </c>
      <c r="P948" s="54">
        <v>0</v>
      </c>
      <c r="Q948" s="54">
        <v>282141.90000000002</v>
      </c>
      <c r="R948" s="54">
        <v>46173.599999999999</v>
      </c>
      <c r="S948" s="54">
        <v>185070.05</v>
      </c>
      <c r="T948" s="54">
        <v>175020.36</v>
      </c>
      <c r="U948" s="54">
        <v>97071.85</v>
      </c>
      <c r="V948" s="54">
        <v>107121.54</v>
      </c>
      <c r="W948" s="54">
        <v>50898.25</v>
      </c>
    </row>
    <row r="949" spans="1:23" outlineLevel="2" x14ac:dyDescent="0.2">
      <c r="A949" s="21" t="s">
        <v>402</v>
      </c>
      <c r="B949" s="21" t="s">
        <v>1</v>
      </c>
      <c r="C949" s="21" t="s">
        <v>16</v>
      </c>
      <c r="D949" s="21" t="s">
        <v>103</v>
      </c>
      <c r="E949" s="21" t="s">
        <v>104</v>
      </c>
      <c r="F949" s="21" t="s">
        <v>5</v>
      </c>
      <c r="G949" s="21" t="s">
        <v>6</v>
      </c>
      <c r="H949" s="21" t="s">
        <v>7</v>
      </c>
      <c r="I949" s="21" t="s">
        <v>8</v>
      </c>
      <c r="J949" s="21" t="s">
        <v>403</v>
      </c>
      <c r="K949" s="21" t="s">
        <v>512</v>
      </c>
      <c r="L949" s="21" t="s">
        <v>513</v>
      </c>
      <c r="M949" s="21" t="s">
        <v>15</v>
      </c>
      <c r="N949" s="54">
        <v>42272.73</v>
      </c>
      <c r="O949" s="54">
        <v>0</v>
      </c>
      <c r="P949" s="54">
        <v>0</v>
      </c>
      <c r="Q949" s="54">
        <v>42272.73</v>
      </c>
      <c r="R949" s="54">
        <v>0</v>
      </c>
      <c r="S949" s="54">
        <v>0</v>
      </c>
      <c r="T949" s="54">
        <v>0</v>
      </c>
      <c r="U949" s="54">
        <v>42272.73</v>
      </c>
      <c r="V949" s="54">
        <v>42272.73</v>
      </c>
      <c r="W949" s="54">
        <v>42272.73</v>
      </c>
    </row>
    <row r="950" spans="1:23" outlineLevel="2" x14ac:dyDescent="0.2">
      <c r="A950" s="21" t="s">
        <v>402</v>
      </c>
      <c r="B950" s="21" t="s">
        <v>31</v>
      </c>
      <c r="C950" s="21" t="s">
        <v>79</v>
      </c>
      <c r="D950" s="21" t="s">
        <v>117</v>
      </c>
      <c r="E950" s="21" t="s">
        <v>118</v>
      </c>
      <c r="F950" s="21" t="s">
        <v>5</v>
      </c>
      <c r="G950" s="21" t="s">
        <v>6</v>
      </c>
      <c r="H950" s="21" t="s">
        <v>7</v>
      </c>
      <c r="I950" s="21" t="s">
        <v>8</v>
      </c>
      <c r="J950" s="21" t="s">
        <v>403</v>
      </c>
      <c r="K950" s="21" t="s">
        <v>512</v>
      </c>
      <c r="L950" s="21" t="s">
        <v>516</v>
      </c>
      <c r="M950" s="21" t="s">
        <v>12</v>
      </c>
      <c r="N950" s="54">
        <v>800</v>
      </c>
      <c r="O950" s="54">
        <v>0</v>
      </c>
      <c r="P950" s="54">
        <v>0</v>
      </c>
      <c r="Q950" s="54">
        <v>800</v>
      </c>
      <c r="R950" s="54">
        <v>0</v>
      </c>
      <c r="S950" s="54">
        <v>0</v>
      </c>
      <c r="T950" s="54">
        <v>0</v>
      </c>
      <c r="U950" s="54">
        <v>800</v>
      </c>
      <c r="V950" s="54">
        <v>800</v>
      </c>
      <c r="W950" s="54">
        <v>800</v>
      </c>
    </row>
    <row r="951" spans="1:23" outlineLevel="2" x14ac:dyDescent="0.2">
      <c r="A951" s="21" t="s">
        <v>402</v>
      </c>
      <c r="B951" s="21" t="s">
        <v>1</v>
      </c>
      <c r="C951" s="21" t="s">
        <v>2</v>
      </c>
      <c r="D951" s="21" t="s">
        <v>20</v>
      </c>
      <c r="E951" s="21" t="s">
        <v>21</v>
      </c>
      <c r="F951" s="21" t="s">
        <v>5</v>
      </c>
      <c r="G951" s="21" t="s">
        <v>6</v>
      </c>
      <c r="H951" s="21" t="s">
        <v>7</v>
      </c>
      <c r="I951" s="21" t="s">
        <v>8</v>
      </c>
      <c r="J951" s="21" t="s">
        <v>403</v>
      </c>
      <c r="K951" s="21" t="s">
        <v>512</v>
      </c>
      <c r="L951" s="21" t="s">
        <v>514</v>
      </c>
      <c r="M951" s="21" t="s">
        <v>15</v>
      </c>
      <c r="N951" s="54">
        <v>1000</v>
      </c>
      <c r="O951" s="54">
        <v>-313.22000000000003</v>
      </c>
      <c r="P951" s="54">
        <v>0</v>
      </c>
      <c r="Q951" s="54">
        <v>686.78</v>
      </c>
      <c r="R951" s="54">
        <v>0</v>
      </c>
      <c r="S951" s="54">
        <v>0</v>
      </c>
      <c r="T951" s="54">
        <v>0</v>
      </c>
      <c r="U951" s="54">
        <v>686.78</v>
      </c>
      <c r="V951" s="54">
        <v>686.78</v>
      </c>
      <c r="W951" s="54">
        <v>686.78</v>
      </c>
    </row>
    <row r="952" spans="1:23" outlineLevel="2" x14ac:dyDescent="0.2">
      <c r="A952" s="21" t="s">
        <v>402</v>
      </c>
      <c r="B952" s="21" t="s">
        <v>39</v>
      </c>
      <c r="C952" s="21" t="s">
        <v>95</v>
      </c>
      <c r="D952" s="21" t="s">
        <v>96</v>
      </c>
      <c r="E952" s="21" t="s">
        <v>97</v>
      </c>
      <c r="F952" s="21" t="s">
        <v>5</v>
      </c>
      <c r="G952" s="21" t="s">
        <v>6</v>
      </c>
      <c r="H952" s="21" t="s">
        <v>7</v>
      </c>
      <c r="I952" s="21" t="s">
        <v>8</v>
      </c>
      <c r="J952" s="21" t="s">
        <v>403</v>
      </c>
      <c r="K952" s="21" t="s">
        <v>517</v>
      </c>
      <c r="L952" s="21" t="s">
        <v>518</v>
      </c>
      <c r="M952" s="21" t="s">
        <v>12</v>
      </c>
      <c r="N952" s="54">
        <v>5824</v>
      </c>
      <c r="O952" s="54">
        <v>-5824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</row>
    <row r="953" spans="1:23" outlineLevel="2" x14ac:dyDescent="0.2">
      <c r="A953" s="21" t="s">
        <v>402</v>
      </c>
      <c r="B953" s="21" t="s">
        <v>39</v>
      </c>
      <c r="C953" s="21" t="s">
        <v>58</v>
      </c>
      <c r="D953" s="21" t="s">
        <v>139</v>
      </c>
      <c r="E953" s="21" t="s">
        <v>140</v>
      </c>
      <c r="F953" s="21" t="s">
        <v>5</v>
      </c>
      <c r="G953" s="21" t="s">
        <v>6</v>
      </c>
      <c r="H953" s="21" t="s">
        <v>7</v>
      </c>
      <c r="I953" s="21" t="s">
        <v>8</v>
      </c>
      <c r="J953" s="21" t="s">
        <v>403</v>
      </c>
      <c r="K953" s="21" t="s">
        <v>519</v>
      </c>
      <c r="L953" s="21" t="s">
        <v>520</v>
      </c>
      <c r="M953" s="21" t="s">
        <v>12</v>
      </c>
      <c r="N953" s="54">
        <v>0</v>
      </c>
      <c r="O953" s="54">
        <v>2050</v>
      </c>
      <c r="P953" s="54">
        <v>0</v>
      </c>
      <c r="Q953" s="54">
        <v>2050</v>
      </c>
      <c r="R953" s="54">
        <v>0</v>
      </c>
      <c r="S953" s="54">
        <v>0</v>
      </c>
      <c r="T953" s="54">
        <v>0</v>
      </c>
      <c r="U953" s="54">
        <v>2050</v>
      </c>
      <c r="V953" s="54">
        <v>2050</v>
      </c>
      <c r="W953" s="54">
        <v>2050</v>
      </c>
    </row>
    <row r="954" spans="1:23" outlineLevel="2" x14ac:dyDescent="0.2">
      <c r="A954" s="21" t="s">
        <v>402</v>
      </c>
      <c r="B954" s="21" t="s">
        <v>39</v>
      </c>
      <c r="C954" s="21" t="s">
        <v>58</v>
      </c>
      <c r="D954" s="21" t="s">
        <v>143</v>
      </c>
      <c r="E954" s="21" t="s">
        <v>144</v>
      </c>
      <c r="F954" s="21" t="s">
        <v>5</v>
      </c>
      <c r="G954" s="21" t="s">
        <v>6</v>
      </c>
      <c r="H954" s="21" t="s">
        <v>7</v>
      </c>
      <c r="I954" s="21" t="s">
        <v>8</v>
      </c>
      <c r="J954" s="21" t="s">
        <v>403</v>
      </c>
      <c r="K954" s="21" t="s">
        <v>521</v>
      </c>
      <c r="L954" s="21" t="s">
        <v>522</v>
      </c>
      <c r="M954" s="21" t="s">
        <v>12</v>
      </c>
      <c r="N954" s="54">
        <v>0</v>
      </c>
      <c r="O954" s="54">
        <v>7840</v>
      </c>
      <c r="P954" s="54">
        <v>0</v>
      </c>
      <c r="Q954" s="54">
        <v>7840</v>
      </c>
      <c r="R954" s="54">
        <v>0</v>
      </c>
      <c r="S954" s="54">
        <v>7840</v>
      </c>
      <c r="T954" s="54">
        <v>3920</v>
      </c>
      <c r="U954" s="54">
        <v>0</v>
      </c>
      <c r="V954" s="54">
        <v>3920</v>
      </c>
      <c r="W954" s="54">
        <v>0</v>
      </c>
    </row>
    <row r="955" spans="1:23" outlineLevel="2" x14ac:dyDescent="0.2">
      <c r="A955" s="21" t="s">
        <v>402</v>
      </c>
      <c r="B955" s="21" t="s">
        <v>39</v>
      </c>
      <c r="C955" s="21" t="s">
        <v>58</v>
      </c>
      <c r="D955" s="21" t="s">
        <v>137</v>
      </c>
      <c r="E955" s="21" t="s">
        <v>138</v>
      </c>
      <c r="F955" s="21" t="s">
        <v>5</v>
      </c>
      <c r="G955" s="21" t="s">
        <v>6</v>
      </c>
      <c r="H955" s="21" t="s">
        <v>7</v>
      </c>
      <c r="I955" s="21" t="s">
        <v>8</v>
      </c>
      <c r="J955" s="21" t="s">
        <v>403</v>
      </c>
      <c r="K955" s="21" t="s">
        <v>521</v>
      </c>
      <c r="L955" s="21" t="s">
        <v>522</v>
      </c>
      <c r="M955" s="21" t="s">
        <v>12</v>
      </c>
      <c r="N955" s="54">
        <v>2000</v>
      </c>
      <c r="O955" s="54">
        <v>0</v>
      </c>
      <c r="P955" s="54">
        <v>0</v>
      </c>
      <c r="Q955" s="54">
        <v>2000</v>
      </c>
      <c r="R955" s="54">
        <v>212.48</v>
      </c>
      <c r="S955" s="54">
        <v>1787.52</v>
      </c>
      <c r="T955" s="54">
        <v>0</v>
      </c>
      <c r="U955" s="54">
        <v>212.48</v>
      </c>
      <c r="V955" s="54">
        <v>2000</v>
      </c>
      <c r="W955" s="54">
        <v>0</v>
      </c>
    </row>
    <row r="956" spans="1:23" outlineLevel="2" x14ac:dyDescent="0.2">
      <c r="A956" s="21" t="s">
        <v>402</v>
      </c>
      <c r="B956" s="21" t="s">
        <v>39</v>
      </c>
      <c r="C956" s="21" t="s">
        <v>58</v>
      </c>
      <c r="D956" s="21" t="s">
        <v>135</v>
      </c>
      <c r="E956" s="21" t="s">
        <v>136</v>
      </c>
      <c r="F956" s="21" t="s">
        <v>5</v>
      </c>
      <c r="G956" s="21" t="s">
        <v>6</v>
      </c>
      <c r="H956" s="21" t="s">
        <v>7</v>
      </c>
      <c r="I956" s="21" t="s">
        <v>8</v>
      </c>
      <c r="J956" s="21" t="s">
        <v>403</v>
      </c>
      <c r="K956" s="21" t="s">
        <v>521</v>
      </c>
      <c r="L956" s="21" t="s">
        <v>522</v>
      </c>
      <c r="M956" s="21" t="s">
        <v>12</v>
      </c>
      <c r="N956" s="54">
        <v>2000</v>
      </c>
      <c r="O956" s="54">
        <v>0</v>
      </c>
      <c r="P956" s="54">
        <v>0</v>
      </c>
      <c r="Q956" s="54">
        <v>2000</v>
      </c>
      <c r="R956" s="54">
        <v>0</v>
      </c>
      <c r="S956" s="54">
        <v>1456</v>
      </c>
      <c r="T956" s="54">
        <v>0</v>
      </c>
      <c r="U956" s="54">
        <v>544</v>
      </c>
      <c r="V956" s="54">
        <v>2000</v>
      </c>
      <c r="W956" s="54">
        <v>544</v>
      </c>
    </row>
    <row r="957" spans="1:23" outlineLevel="2" x14ac:dyDescent="0.2">
      <c r="A957" s="21" t="s">
        <v>402</v>
      </c>
      <c r="B957" s="21" t="s">
        <v>39</v>
      </c>
      <c r="C957" s="21" t="s">
        <v>40</v>
      </c>
      <c r="D957" s="21" t="s">
        <v>41</v>
      </c>
      <c r="E957" s="21" t="s">
        <v>42</v>
      </c>
      <c r="F957" s="21" t="s">
        <v>5</v>
      </c>
      <c r="G957" s="21" t="s">
        <v>6</v>
      </c>
      <c r="H957" s="21" t="s">
        <v>7</v>
      </c>
      <c r="I957" s="21" t="s">
        <v>8</v>
      </c>
      <c r="J957" s="21" t="s">
        <v>403</v>
      </c>
      <c r="K957" s="21" t="s">
        <v>523</v>
      </c>
      <c r="L957" s="21" t="s">
        <v>525</v>
      </c>
      <c r="M957" s="21" t="s">
        <v>12</v>
      </c>
      <c r="N957" s="54">
        <v>5500</v>
      </c>
      <c r="O957" s="54">
        <v>0</v>
      </c>
      <c r="P957" s="54">
        <v>0</v>
      </c>
      <c r="Q957" s="54">
        <v>5500</v>
      </c>
      <c r="R957" s="54">
        <v>0</v>
      </c>
      <c r="S957" s="54">
        <v>5500</v>
      </c>
      <c r="T957" s="54">
        <v>5500</v>
      </c>
      <c r="U957" s="54">
        <v>0</v>
      </c>
      <c r="V957" s="54">
        <v>0</v>
      </c>
      <c r="W957" s="54">
        <v>0</v>
      </c>
    </row>
    <row r="958" spans="1:23" outlineLevel="2" x14ac:dyDescent="0.2">
      <c r="A958" s="21" t="s">
        <v>402</v>
      </c>
      <c r="B958" s="21" t="s">
        <v>1</v>
      </c>
      <c r="C958" s="21" t="s">
        <v>2</v>
      </c>
      <c r="D958" s="21" t="s">
        <v>410</v>
      </c>
      <c r="E958" s="21" t="s">
        <v>411</v>
      </c>
      <c r="F958" s="21" t="s">
        <v>5</v>
      </c>
      <c r="G958" s="21" t="s">
        <v>6</v>
      </c>
      <c r="H958" s="21" t="s">
        <v>7</v>
      </c>
      <c r="I958" s="21" t="s">
        <v>8</v>
      </c>
      <c r="J958" s="21" t="s">
        <v>403</v>
      </c>
      <c r="K958" s="21" t="s">
        <v>523</v>
      </c>
      <c r="L958" s="21" t="s">
        <v>524</v>
      </c>
      <c r="M958" s="21" t="s">
        <v>15</v>
      </c>
      <c r="N958" s="54">
        <v>60000</v>
      </c>
      <c r="O958" s="54">
        <v>0</v>
      </c>
      <c r="P958" s="54">
        <v>0</v>
      </c>
      <c r="Q958" s="54">
        <v>60000</v>
      </c>
      <c r="R958" s="54">
        <v>0</v>
      </c>
      <c r="S958" s="54">
        <v>0</v>
      </c>
      <c r="T958" s="54">
        <v>0</v>
      </c>
      <c r="U958" s="54">
        <v>60000</v>
      </c>
      <c r="V958" s="54">
        <v>60000</v>
      </c>
      <c r="W958" s="54">
        <v>60000</v>
      </c>
    </row>
    <row r="959" spans="1:23" outlineLevel="2" x14ac:dyDescent="0.2">
      <c r="A959" s="21" t="s">
        <v>402</v>
      </c>
      <c r="B959" s="21" t="s">
        <v>1</v>
      </c>
      <c r="C959" s="21" t="s">
        <v>2</v>
      </c>
      <c r="D959" s="21" t="s">
        <v>20</v>
      </c>
      <c r="E959" s="21" t="s">
        <v>21</v>
      </c>
      <c r="F959" s="21" t="s">
        <v>5</v>
      </c>
      <c r="G959" s="21" t="s">
        <v>6</v>
      </c>
      <c r="H959" s="21" t="s">
        <v>7</v>
      </c>
      <c r="I959" s="21" t="s">
        <v>8</v>
      </c>
      <c r="J959" s="21" t="s">
        <v>403</v>
      </c>
      <c r="K959" s="21" t="s">
        <v>526</v>
      </c>
      <c r="L959" s="21" t="s">
        <v>527</v>
      </c>
      <c r="M959" s="21" t="s">
        <v>15</v>
      </c>
      <c r="N959" s="54">
        <v>4000</v>
      </c>
      <c r="O959" s="54">
        <v>313.22000000000003</v>
      </c>
      <c r="P959" s="54">
        <v>0</v>
      </c>
      <c r="Q959" s="54">
        <v>4313.22</v>
      </c>
      <c r="R959" s="54">
        <v>74.39</v>
      </c>
      <c r="S959" s="54">
        <v>1230.83</v>
      </c>
      <c r="T959" s="54">
        <v>1230.83</v>
      </c>
      <c r="U959" s="54">
        <v>3082.39</v>
      </c>
      <c r="V959" s="54">
        <v>3082.39</v>
      </c>
      <c r="W959" s="54">
        <v>3008</v>
      </c>
    </row>
    <row r="960" spans="1:23" outlineLevel="2" x14ac:dyDescent="0.2">
      <c r="A960" s="21" t="s">
        <v>402</v>
      </c>
      <c r="B960" s="21" t="s">
        <v>1</v>
      </c>
      <c r="C960" s="21" t="s">
        <v>2</v>
      </c>
      <c r="D960" s="21" t="s">
        <v>410</v>
      </c>
      <c r="E960" s="21" t="s">
        <v>411</v>
      </c>
      <c r="F960" s="21" t="s">
        <v>5</v>
      </c>
      <c r="G960" s="21" t="s">
        <v>6</v>
      </c>
      <c r="H960" s="21" t="s">
        <v>7</v>
      </c>
      <c r="I960" s="21" t="s">
        <v>8</v>
      </c>
      <c r="J960" s="21" t="s">
        <v>403</v>
      </c>
      <c r="K960" s="21" t="s">
        <v>526</v>
      </c>
      <c r="L960" s="21" t="s">
        <v>527</v>
      </c>
      <c r="M960" s="21" t="s">
        <v>15</v>
      </c>
      <c r="N960" s="54">
        <v>2000</v>
      </c>
      <c r="O960" s="54">
        <v>0</v>
      </c>
      <c r="P960" s="54">
        <v>0</v>
      </c>
      <c r="Q960" s="54">
        <v>2000</v>
      </c>
      <c r="R960" s="54">
        <v>0</v>
      </c>
      <c r="S960" s="54">
        <v>2000</v>
      </c>
      <c r="T960" s="54">
        <v>751.32</v>
      </c>
      <c r="U960" s="54">
        <v>0</v>
      </c>
      <c r="V960" s="54">
        <v>1248.68</v>
      </c>
      <c r="W960" s="54">
        <v>0</v>
      </c>
    </row>
    <row r="961" spans="1:23" outlineLevel="2" x14ac:dyDescent="0.2">
      <c r="A961" s="21" t="s">
        <v>402</v>
      </c>
      <c r="B961" s="21" t="s">
        <v>31</v>
      </c>
      <c r="C961" s="21" t="s">
        <v>32</v>
      </c>
      <c r="D961" s="21" t="s">
        <v>141</v>
      </c>
      <c r="E961" s="21" t="s">
        <v>142</v>
      </c>
      <c r="F961" s="21" t="s">
        <v>5</v>
      </c>
      <c r="G961" s="21" t="s">
        <v>6</v>
      </c>
      <c r="H961" s="21" t="s">
        <v>7</v>
      </c>
      <c r="I961" s="21" t="s">
        <v>8</v>
      </c>
      <c r="J961" s="21" t="s">
        <v>403</v>
      </c>
      <c r="K961" s="21" t="s">
        <v>526</v>
      </c>
      <c r="L961" s="21" t="s">
        <v>528</v>
      </c>
      <c r="M961" s="21" t="s">
        <v>12</v>
      </c>
      <c r="N961" s="54">
        <v>0</v>
      </c>
      <c r="O961" s="54">
        <v>700</v>
      </c>
      <c r="P961" s="54">
        <v>0</v>
      </c>
      <c r="Q961" s="54">
        <v>700</v>
      </c>
      <c r="R961" s="54">
        <v>700</v>
      </c>
      <c r="S961" s="54">
        <v>0</v>
      </c>
      <c r="T961" s="54">
        <v>0</v>
      </c>
      <c r="U961" s="54">
        <v>700</v>
      </c>
      <c r="V961" s="54">
        <v>700</v>
      </c>
      <c r="W961" s="54">
        <v>0</v>
      </c>
    </row>
    <row r="962" spans="1:23" outlineLevel="2" x14ac:dyDescent="0.2">
      <c r="A962" s="21" t="s">
        <v>402</v>
      </c>
      <c r="B962" s="21" t="s">
        <v>39</v>
      </c>
      <c r="C962" s="21" t="s">
        <v>66</v>
      </c>
      <c r="D962" s="21" t="s">
        <v>67</v>
      </c>
      <c r="E962" s="21" t="s">
        <v>68</v>
      </c>
      <c r="F962" s="21" t="s">
        <v>5</v>
      </c>
      <c r="G962" s="21" t="s">
        <v>6</v>
      </c>
      <c r="H962" s="21" t="s">
        <v>7</v>
      </c>
      <c r="I962" s="21" t="s">
        <v>8</v>
      </c>
      <c r="J962" s="21" t="s">
        <v>403</v>
      </c>
      <c r="K962" s="21" t="s">
        <v>526</v>
      </c>
      <c r="L962" s="21" t="s">
        <v>529</v>
      </c>
      <c r="M962" s="21" t="s">
        <v>12</v>
      </c>
      <c r="N962" s="54">
        <v>1000</v>
      </c>
      <c r="O962" s="54">
        <v>-992.5</v>
      </c>
      <c r="P962" s="54">
        <v>0</v>
      </c>
      <c r="Q962" s="54">
        <v>7.5</v>
      </c>
      <c r="R962" s="54">
        <v>0</v>
      </c>
      <c r="S962" s="54">
        <v>4.75</v>
      </c>
      <c r="T962" s="54">
        <v>4.75</v>
      </c>
      <c r="U962" s="54">
        <v>2.75</v>
      </c>
      <c r="V962" s="54">
        <v>2.75</v>
      </c>
      <c r="W962" s="54">
        <v>2.75</v>
      </c>
    </row>
    <row r="963" spans="1:23" outlineLevel="2" x14ac:dyDescent="0.2">
      <c r="A963" s="21" t="s">
        <v>402</v>
      </c>
      <c r="B963" s="21" t="s">
        <v>39</v>
      </c>
      <c r="C963" s="21" t="s">
        <v>66</v>
      </c>
      <c r="D963" s="21" t="s">
        <v>67</v>
      </c>
      <c r="E963" s="21" t="s">
        <v>68</v>
      </c>
      <c r="F963" s="21" t="s">
        <v>5</v>
      </c>
      <c r="G963" s="21" t="s">
        <v>6</v>
      </c>
      <c r="H963" s="21" t="s">
        <v>7</v>
      </c>
      <c r="I963" s="21" t="s">
        <v>8</v>
      </c>
      <c r="J963" s="21" t="s">
        <v>403</v>
      </c>
      <c r="K963" s="21" t="s">
        <v>530</v>
      </c>
      <c r="L963" s="21" t="s">
        <v>532</v>
      </c>
      <c r="M963" s="21" t="s">
        <v>12</v>
      </c>
      <c r="N963" s="54">
        <v>5000</v>
      </c>
      <c r="O963" s="54">
        <v>-5000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</row>
    <row r="964" spans="1:23" outlineLevel="2" x14ac:dyDescent="0.2">
      <c r="A964" s="21" t="s">
        <v>402</v>
      </c>
      <c r="B964" s="21" t="s">
        <v>1</v>
      </c>
      <c r="C964" s="21" t="s">
        <v>16</v>
      </c>
      <c r="D964" s="21" t="s">
        <v>62</v>
      </c>
      <c r="E964" s="21" t="s">
        <v>63</v>
      </c>
      <c r="F964" s="21" t="s">
        <v>5</v>
      </c>
      <c r="G964" s="21" t="s">
        <v>6</v>
      </c>
      <c r="H964" s="21" t="s">
        <v>7</v>
      </c>
      <c r="I964" s="21" t="s">
        <v>8</v>
      </c>
      <c r="J964" s="21" t="s">
        <v>403</v>
      </c>
      <c r="K964" s="21" t="s">
        <v>530</v>
      </c>
      <c r="L964" s="21" t="s">
        <v>531</v>
      </c>
      <c r="M964" s="21" t="s">
        <v>15</v>
      </c>
      <c r="N964" s="54">
        <v>30000</v>
      </c>
      <c r="O964" s="54">
        <v>0</v>
      </c>
      <c r="P964" s="54">
        <v>0</v>
      </c>
      <c r="Q964" s="54">
        <v>30000</v>
      </c>
      <c r="R964" s="54">
        <v>0</v>
      </c>
      <c r="S964" s="54">
        <v>4517.18</v>
      </c>
      <c r="T964" s="54">
        <v>4517.18</v>
      </c>
      <c r="U964" s="54">
        <v>25482.82</v>
      </c>
      <c r="V964" s="54">
        <v>25482.82</v>
      </c>
      <c r="W964" s="54">
        <v>25482.82</v>
      </c>
    </row>
    <row r="965" spans="1:23" outlineLevel="2" x14ac:dyDescent="0.2">
      <c r="A965" s="21" t="s">
        <v>402</v>
      </c>
      <c r="B965" s="21" t="s">
        <v>39</v>
      </c>
      <c r="C965" s="21" t="s">
        <v>66</v>
      </c>
      <c r="D965" s="21" t="s">
        <v>67</v>
      </c>
      <c r="E965" s="21" t="s">
        <v>68</v>
      </c>
      <c r="F965" s="21" t="s">
        <v>5</v>
      </c>
      <c r="G965" s="21" t="s">
        <v>6</v>
      </c>
      <c r="H965" s="21" t="s">
        <v>7</v>
      </c>
      <c r="I965" s="21" t="s">
        <v>8</v>
      </c>
      <c r="J965" s="21" t="s">
        <v>403</v>
      </c>
      <c r="K965" s="21" t="s">
        <v>533</v>
      </c>
      <c r="L965" s="21" t="s">
        <v>534</v>
      </c>
      <c r="M965" s="21" t="s">
        <v>12</v>
      </c>
      <c r="N965" s="54">
        <v>500</v>
      </c>
      <c r="O965" s="54">
        <v>-500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</row>
    <row r="966" spans="1:23" outlineLevel="2" x14ac:dyDescent="0.2">
      <c r="A966" s="21" t="s">
        <v>402</v>
      </c>
      <c r="B966" s="21" t="s">
        <v>1</v>
      </c>
      <c r="C966" s="21" t="s">
        <v>2</v>
      </c>
      <c r="D966" s="21" t="s">
        <v>20</v>
      </c>
      <c r="E966" s="21" t="s">
        <v>21</v>
      </c>
      <c r="F966" s="21" t="s">
        <v>5</v>
      </c>
      <c r="G966" s="21" t="s">
        <v>6</v>
      </c>
      <c r="H966" s="21" t="s">
        <v>7</v>
      </c>
      <c r="I966" s="21" t="s">
        <v>8</v>
      </c>
      <c r="J966" s="21" t="s">
        <v>403</v>
      </c>
      <c r="K966" s="21" t="s">
        <v>533</v>
      </c>
      <c r="L966" s="21" t="s">
        <v>535</v>
      </c>
      <c r="M966" s="21" t="s">
        <v>15</v>
      </c>
      <c r="N966" s="54">
        <v>6200</v>
      </c>
      <c r="O966" s="54">
        <v>0</v>
      </c>
      <c r="P966" s="54">
        <v>0</v>
      </c>
      <c r="Q966" s="54">
        <v>6200</v>
      </c>
      <c r="R966" s="54">
        <v>0</v>
      </c>
      <c r="S966" s="54">
        <v>160</v>
      </c>
      <c r="T966" s="54">
        <v>160</v>
      </c>
      <c r="U966" s="54">
        <v>6040</v>
      </c>
      <c r="V966" s="54">
        <v>6040</v>
      </c>
      <c r="W966" s="54">
        <v>6040</v>
      </c>
    </row>
    <row r="967" spans="1:23" outlineLevel="2" x14ac:dyDescent="0.2">
      <c r="A967" s="21" t="s">
        <v>402</v>
      </c>
      <c r="B967" s="21" t="s">
        <v>39</v>
      </c>
      <c r="C967" s="21" t="s">
        <v>66</v>
      </c>
      <c r="D967" s="21" t="s">
        <v>67</v>
      </c>
      <c r="E967" s="21" t="s">
        <v>68</v>
      </c>
      <c r="F967" s="21" t="s">
        <v>5</v>
      </c>
      <c r="G967" s="21" t="s">
        <v>6</v>
      </c>
      <c r="H967" s="21" t="s">
        <v>7</v>
      </c>
      <c r="I967" s="21" t="s">
        <v>8</v>
      </c>
      <c r="J967" s="21" t="s">
        <v>403</v>
      </c>
      <c r="K967" s="21" t="s">
        <v>536</v>
      </c>
      <c r="L967" s="21" t="s">
        <v>538</v>
      </c>
      <c r="M967" s="21" t="s">
        <v>12</v>
      </c>
      <c r="N967" s="54">
        <v>1500</v>
      </c>
      <c r="O967" s="54">
        <v>-1500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</row>
    <row r="968" spans="1:23" outlineLevel="2" x14ac:dyDescent="0.2">
      <c r="A968" s="21" t="s">
        <v>402</v>
      </c>
      <c r="B968" s="21" t="s">
        <v>1</v>
      </c>
      <c r="C968" s="21" t="s">
        <v>2</v>
      </c>
      <c r="D968" s="21" t="s">
        <v>20</v>
      </c>
      <c r="E968" s="21" t="s">
        <v>21</v>
      </c>
      <c r="F968" s="21" t="s">
        <v>5</v>
      </c>
      <c r="G968" s="21" t="s">
        <v>6</v>
      </c>
      <c r="H968" s="21" t="s">
        <v>7</v>
      </c>
      <c r="I968" s="21" t="s">
        <v>8</v>
      </c>
      <c r="J968" s="21" t="s">
        <v>403</v>
      </c>
      <c r="K968" s="21" t="s">
        <v>536</v>
      </c>
      <c r="L968" s="21" t="s">
        <v>537</v>
      </c>
      <c r="M968" s="21" t="s">
        <v>15</v>
      </c>
      <c r="N968" s="54">
        <v>5100</v>
      </c>
      <c r="O968" s="54">
        <v>0</v>
      </c>
      <c r="P968" s="54">
        <v>0</v>
      </c>
      <c r="Q968" s="54">
        <v>5100</v>
      </c>
      <c r="R968" s="54">
        <v>0</v>
      </c>
      <c r="S968" s="54">
        <v>2107.15</v>
      </c>
      <c r="T968" s="54">
        <v>2107.15</v>
      </c>
      <c r="U968" s="54">
        <v>2992.85</v>
      </c>
      <c r="V968" s="54">
        <v>2992.85</v>
      </c>
      <c r="W968" s="54">
        <v>2992.85</v>
      </c>
    </row>
    <row r="969" spans="1:23" outlineLevel="2" x14ac:dyDescent="0.2">
      <c r="A969" s="21" t="s">
        <v>402</v>
      </c>
      <c r="B969" s="21" t="s">
        <v>39</v>
      </c>
      <c r="C969" s="21" t="s">
        <v>58</v>
      </c>
      <c r="D969" s="21" t="s">
        <v>143</v>
      </c>
      <c r="E969" s="21" t="s">
        <v>144</v>
      </c>
      <c r="F969" s="21" t="s">
        <v>5</v>
      </c>
      <c r="G969" s="21" t="s">
        <v>6</v>
      </c>
      <c r="H969" s="21" t="s">
        <v>7</v>
      </c>
      <c r="I969" s="21" t="s">
        <v>8</v>
      </c>
      <c r="J969" s="21" t="s">
        <v>403</v>
      </c>
      <c r="K969" s="21" t="s">
        <v>539</v>
      </c>
      <c r="L969" s="21" t="s">
        <v>542</v>
      </c>
      <c r="M969" s="21" t="s">
        <v>12</v>
      </c>
      <c r="N969" s="54">
        <v>100000</v>
      </c>
      <c r="O969" s="54">
        <v>-44140</v>
      </c>
      <c r="P969" s="54">
        <v>0</v>
      </c>
      <c r="Q969" s="54">
        <v>55860</v>
      </c>
      <c r="R969" s="54">
        <v>10404.81</v>
      </c>
      <c r="S969" s="54">
        <v>19940.330000000002</v>
      </c>
      <c r="T969" s="54">
        <v>18372.330000000002</v>
      </c>
      <c r="U969" s="54">
        <v>35919.67</v>
      </c>
      <c r="V969" s="54">
        <v>37487.67</v>
      </c>
      <c r="W969" s="54">
        <v>25514.86</v>
      </c>
    </row>
    <row r="970" spans="1:23" outlineLevel="2" x14ac:dyDescent="0.2">
      <c r="A970" s="21" t="s">
        <v>402</v>
      </c>
      <c r="B970" s="21" t="s">
        <v>39</v>
      </c>
      <c r="C970" s="21" t="s">
        <v>66</v>
      </c>
      <c r="D970" s="21" t="s">
        <v>67</v>
      </c>
      <c r="E970" s="21" t="s">
        <v>68</v>
      </c>
      <c r="F970" s="21" t="s">
        <v>5</v>
      </c>
      <c r="G970" s="21" t="s">
        <v>6</v>
      </c>
      <c r="H970" s="21" t="s">
        <v>7</v>
      </c>
      <c r="I970" s="21" t="s">
        <v>8</v>
      </c>
      <c r="J970" s="21" t="s">
        <v>403</v>
      </c>
      <c r="K970" s="21" t="s">
        <v>539</v>
      </c>
      <c r="L970" s="21" t="s">
        <v>547</v>
      </c>
      <c r="M970" s="21" t="s">
        <v>12</v>
      </c>
      <c r="N970" s="54">
        <v>50</v>
      </c>
      <c r="O970" s="54">
        <v>-50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</row>
    <row r="971" spans="1:23" outlineLevel="2" x14ac:dyDescent="0.2">
      <c r="A971" s="21" t="s">
        <v>402</v>
      </c>
      <c r="B971" s="21" t="s">
        <v>1</v>
      </c>
      <c r="C971" s="21" t="s">
        <v>2</v>
      </c>
      <c r="D971" s="21" t="s">
        <v>410</v>
      </c>
      <c r="E971" s="21" t="s">
        <v>411</v>
      </c>
      <c r="F971" s="21" t="s">
        <v>5</v>
      </c>
      <c r="G971" s="21" t="s">
        <v>6</v>
      </c>
      <c r="H971" s="21" t="s">
        <v>7</v>
      </c>
      <c r="I971" s="21" t="s">
        <v>8</v>
      </c>
      <c r="J971" s="21" t="s">
        <v>403</v>
      </c>
      <c r="K971" s="21" t="s">
        <v>539</v>
      </c>
      <c r="L971" s="21" t="s">
        <v>540</v>
      </c>
      <c r="M971" s="21" t="s">
        <v>15</v>
      </c>
      <c r="N971" s="54">
        <v>325000</v>
      </c>
      <c r="O971" s="54">
        <v>7840</v>
      </c>
      <c r="P971" s="54">
        <v>0</v>
      </c>
      <c r="Q971" s="54">
        <v>332840</v>
      </c>
      <c r="R971" s="54">
        <v>478.13</v>
      </c>
      <c r="S971" s="54">
        <v>143284.5</v>
      </c>
      <c r="T971" s="54">
        <v>74588.3</v>
      </c>
      <c r="U971" s="54">
        <v>189555.5</v>
      </c>
      <c r="V971" s="54">
        <v>258251.7</v>
      </c>
      <c r="W971" s="54">
        <v>189077.37</v>
      </c>
    </row>
    <row r="972" spans="1:23" outlineLevel="2" x14ac:dyDescent="0.2">
      <c r="A972" s="21" t="s">
        <v>402</v>
      </c>
      <c r="B972" s="21" t="s">
        <v>31</v>
      </c>
      <c r="C972" s="21" t="s">
        <v>79</v>
      </c>
      <c r="D972" s="21" t="s">
        <v>131</v>
      </c>
      <c r="E972" s="21" t="s">
        <v>132</v>
      </c>
      <c r="F972" s="21" t="s">
        <v>5</v>
      </c>
      <c r="G972" s="21" t="s">
        <v>6</v>
      </c>
      <c r="H972" s="21" t="s">
        <v>7</v>
      </c>
      <c r="I972" s="21" t="s">
        <v>8</v>
      </c>
      <c r="J972" s="21" t="s">
        <v>403</v>
      </c>
      <c r="K972" s="21" t="s">
        <v>539</v>
      </c>
      <c r="L972" s="21" t="s">
        <v>544</v>
      </c>
      <c r="M972" s="21" t="s">
        <v>12</v>
      </c>
      <c r="N972" s="54">
        <v>42180</v>
      </c>
      <c r="O972" s="54">
        <v>0</v>
      </c>
      <c r="P972" s="54">
        <v>0</v>
      </c>
      <c r="Q972" s="54">
        <v>42180</v>
      </c>
      <c r="R972" s="54">
        <v>0</v>
      </c>
      <c r="S972" s="54">
        <v>0</v>
      </c>
      <c r="T972" s="54">
        <v>0</v>
      </c>
      <c r="U972" s="54">
        <v>42180</v>
      </c>
      <c r="V972" s="54">
        <v>42180</v>
      </c>
      <c r="W972" s="54">
        <v>42180</v>
      </c>
    </row>
    <row r="973" spans="1:23" outlineLevel="2" x14ac:dyDescent="0.2">
      <c r="A973" s="21" t="s">
        <v>402</v>
      </c>
      <c r="B973" s="21" t="s">
        <v>39</v>
      </c>
      <c r="C973" s="21" t="s">
        <v>58</v>
      </c>
      <c r="D973" s="21" t="s">
        <v>139</v>
      </c>
      <c r="E973" s="21" t="s">
        <v>140</v>
      </c>
      <c r="F973" s="21" t="s">
        <v>5</v>
      </c>
      <c r="G973" s="21" t="s">
        <v>6</v>
      </c>
      <c r="H973" s="21" t="s">
        <v>7</v>
      </c>
      <c r="I973" s="21" t="s">
        <v>8</v>
      </c>
      <c r="J973" s="21" t="s">
        <v>403</v>
      </c>
      <c r="K973" s="21" t="s">
        <v>539</v>
      </c>
      <c r="L973" s="21" t="s">
        <v>542</v>
      </c>
      <c r="M973" s="21" t="s">
        <v>12</v>
      </c>
      <c r="N973" s="54">
        <v>100000</v>
      </c>
      <c r="O973" s="54">
        <v>-22951.64</v>
      </c>
      <c r="P973" s="54">
        <v>0</v>
      </c>
      <c r="Q973" s="54">
        <v>77048.36</v>
      </c>
      <c r="R973" s="54">
        <v>3500</v>
      </c>
      <c r="S973" s="54">
        <v>0</v>
      </c>
      <c r="T973" s="54">
        <v>0</v>
      </c>
      <c r="U973" s="54">
        <v>77048.36</v>
      </c>
      <c r="V973" s="54">
        <v>77048.36</v>
      </c>
      <c r="W973" s="54">
        <v>73548.36</v>
      </c>
    </row>
    <row r="974" spans="1:23" outlineLevel="2" x14ac:dyDescent="0.2">
      <c r="A974" s="21" t="s">
        <v>402</v>
      </c>
      <c r="B974" s="21" t="s">
        <v>1</v>
      </c>
      <c r="C974" s="21" t="s">
        <v>2</v>
      </c>
      <c r="D974" s="21" t="s">
        <v>3</v>
      </c>
      <c r="E974" s="21" t="s">
        <v>4</v>
      </c>
      <c r="F974" s="21" t="s">
        <v>5</v>
      </c>
      <c r="G974" s="21" t="s">
        <v>6</v>
      </c>
      <c r="H974" s="21" t="s">
        <v>7</v>
      </c>
      <c r="I974" s="21" t="s">
        <v>8</v>
      </c>
      <c r="J974" s="21" t="s">
        <v>403</v>
      </c>
      <c r="K974" s="21" t="s">
        <v>539</v>
      </c>
      <c r="L974" s="21" t="s">
        <v>540</v>
      </c>
      <c r="M974" s="21" t="s">
        <v>15</v>
      </c>
      <c r="N974" s="54">
        <v>0</v>
      </c>
      <c r="O974" s="54">
        <v>12327.19</v>
      </c>
      <c r="P974" s="54">
        <v>0</v>
      </c>
      <c r="Q974" s="54">
        <v>12327.19</v>
      </c>
      <c r="R974" s="54">
        <v>0</v>
      </c>
      <c r="S974" s="54">
        <v>11968.23</v>
      </c>
      <c r="T974" s="54">
        <v>5113.47</v>
      </c>
      <c r="U974" s="54">
        <v>358.96</v>
      </c>
      <c r="V974" s="54">
        <v>7213.72</v>
      </c>
      <c r="W974" s="54">
        <v>358.96</v>
      </c>
    </row>
    <row r="975" spans="1:23" outlineLevel="2" x14ac:dyDescent="0.2">
      <c r="A975" s="21" t="s">
        <v>402</v>
      </c>
      <c r="B975" s="21" t="s">
        <v>39</v>
      </c>
      <c r="C975" s="21" t="s">
        <v>58</v>
      </c>
      <c r="D975" s="21" t="s">
        <v>129</v>
      </c>
      <c r="E975" s="21" t="s">
        <v>130</v>
      </c>
      <c r="F975" s="21" t="s">
        <v>5</v>
      </c>
      <c r="G975" s="21" t="s">
        <v>6</v>
      </c>
      <c r="H975" s="21" t="s">
        <v>7</v>
      </c>
      <c r="I975" s="21" t="s">
        <v>8</v>
      </c>
      <c r="J975" s="21" t="s">
        <v>403</v>
      </c>
      <c r="K975" s="21" t="s">
        <v>539</v>
      </c>
      <c r="L975" s="21" t="s">
        <v>542</v>
      </c>
      <c r="M975" s="21" t="s">
        <v>12</v>
      </c>
      <c r="N975" s="54">
        <v>50000</v>
      </c>
      <c r="O975" s="54">
        <v>-14000</v>
      </c>
      <c r="P975" s="54">
        <v>0</v>
      </c>
      <c r="Q975" s="54">
        <v>36000</v>
      </c>
      <c r="R975" s="54">
        <v>6000</v>
      </c>
      <c r="S975" s="54">
        <v>0</v>
      </c>
      <c r="T975" s="54">
        <v>0</v>
      </c>
      <c r="U975" s="54">
        <v>36000</v>
      </c>
      <c r="V975" s="54">
        <v>36000</v>
      </c>
      <c r="W975" s="54">
        <v>30000</v>
      </c>
    </row>
    <row r="976" spans="1:23" outlineLevel="2" x14ac:dyDescent="0.2">
      <c r="A976" s="21" t="s">
        <v>402</v>
      </c>
      <c r="B976" s="21" t="s">
        <v>39</v>
      </c>
      <c r="C976" s="21" t="s">
        <v>40</v>
      </c>
      <c r="D976" s="21" t="s">
        <v>77</v>
      </c>
      <c r="E976" s="21" t="s">
        <v>78</v>
      </c>
      <c r="F976" s="21" t="s">
        <v>5</v>
      </c>
      <c r="G976" s="21" t="s">
        <v>6</v>
      </c>
      <c r="H976" s="21" t="s">
        <v>7</v>
      </c>
      <c r="I976" s="21" t="s">
        <v>8</v>
      </c>
      <c r="J976" s="21" t="s">
        <v>403</v>
      </c>
      <c r="K976" s="21" t="s">
        <v>539</v>
      </c>
      <c r="L976" s="21" t="s">
        <v>549</v>
      </c>
      <c r="M976" s="21" t="s">
        <v>12</v>
      </c>
      <c r="N976" s="54">
        <v>0</v>
      </c>
      <c r="O976" s="54">
        <v>158333.32999999999</v>
      </c>
      <c r="P976" s="54">
        <v>0</v>
      </c>
      <c r="Q976" s="54">
        <v>158333.32999999999</v>
      </c>
      <c r="R976" s="54">
        <v>18230.59</v>
      </c>
      <c r="S976" s="54">
        <v>33675.96</v>
      </c>
      <c r="T976" s="54">
        <v>0</v>
      </c>
      <c r="U976" s="54">
        <v>124657.37</v>
      </c>
      <c r="V976" s="54">
        <v>158333.32999999999</v>
      </c>
      <c r="W976" s="54">
        <v>106426.78</v>
      </c>
    </row>
    <row r="977" spans="1:23" outlineLevel="2" x14ac:dyDescent="0.2">
      <c r="A977" s="21" t="s">
        <v>402</v>
      </c>
      <c r="B977" s="21" t="s">
        <v>39</v>
      </c>
      <c r="C977" s="21" t="s">
        <v>58</v>
      </c>
      <c r="D977" s="21" t="s">
        <v>59</v>
      </c>
      <c r="E977" s="21" t="s">
        <v>60</v>
      </c>
      <c r="F977" s="21" t="s">
        <v>5</v>
      </c>
      <c r="G977" s="21" t="s">
        <v>6</v>
      </c>
      <c r="H977" s="21" t="s">
        <v>7</v>
      </c>
      <c r="I977" s="21" t="s">
        <v>8</v>
      </c>
      <c r="J977" s="21" t="s">
        <v>403</v>
      </c>
      <c r="K977" s="21" t="s">
        <v>539</v>
      </c>
      <c r="L977" s="21" t="s">
        <v>542</v>
      </c>
      <c r="M977" s="21" t="s">
        <v>12</v>
      </c>
      <c r="N977" s="54">
        <v>24000</v>
      </c>
      <c r="O977" s="54">
        <v>0</v>
      </c>
      <c r="P977" s="54">
        <v>0</v>
      </c>
      <c r="Q977" s="54">
        <v>24000</v>
      </c>
      <c r="R977" s="54">
        <v>0</v>
      </c>
      <c r="S977" s="54">
        <v>0</v>
      </c>
      <c r="T977" s="54">
        <v>0</v>
      </c>
      <c r="U977" s="54">
        <v>24000</v>
      </c>
      <c r="V977" s="54">
        <v>24000</v>
      </c>
      <c r="W977" s="54">
        <v>24000</v>
      </c>
    </row>
    <row r="978" spans="1:23" outlineLevel="2" x14ac:dyDescent="0.2">
      <c r="A978" s="21" t="s">
        <v>402</v>
      </c>
      <c r="B978" s="21" t="s">
        <v>39</v>
      </c>
      <c r="C978" s="21" t="s">
        <v>58</v>
      </c>
      <c r="D978" s="21" t="s">
        <v>147</v>
      </c>
      <c r="E978" s="21" t="s">
        <v>148</v>
      </c>
      <c r="F978" s="21" t="s">
        <v>5</v>
      </c>
      <c r="G978" s="21" t="s">
        <v>6</v>
      </c>
      <c r="H978" s="21" t="s">
        <v>7</v>
      </c>
      <c r="I978" s="21" t="s">
        <v>8</v>
      </c>
      <c r="J978" s="21" t="s">
        <v>403</v>
      </c>
      <c r="K978" s="21" t="s">
        <v>539</v>
      </c>
      <c r="L978" s="21" t="s">
        <v>542</v>
      </c>
      <c r="M978" s="21" t="s">
        <v>12</v>
      </c>
      <c r="N978" s="54">
        <v>7000</v>
      </c>
      <c r="O978" s="54">
        <v>0</v>
      </c>
      <c r="P978" s="54">
        <v>0</v>
      </c>
      <c r="Q978" s="54">
        <v>7000</v>
      </c>
      <c r="R978" s="54">
        <v>0</v>
      </c>
      <c r="S978" s="54">
        <v>0</v>
      </c>
      <c r="T978" s="54">
        <v>0</v>
      </c>
      <c r="U978" s="54">
        <v>7000</v>
      </c>
      <c r="V978" s="54">
        <v>7000</v>
      </c>
      <c r="W978" s="54">
        <v>7000</v>
      </c>
    </row>
    <row r="979" spans="1:23" outlineLevel="2" x14ac:dyDescent="0.2">
      <c r="A979" s="21" t="s">
        <v>402</v>
      </c>
      <c r="B979" s="21" t="s">
        <v>31</v>
      </c>
      <c r="C979" s="21" t="s">
        <v>79</v>
      </c>
      <c r="D979" s="21" t="s">
        <v>111</v>
      </c>
      <c r="E979" s="21" t="s">
        <v>112</v>
      </c>
      <c r="F979" s="21" t="s">
        <v>5</v>
      </c>
      <c r="G979" s="21" t="s">
        <v>6</v>
      </c>
      <c r="H979" s="21" t="s">
        <v>7</v>
      </c>
      <c r="I979" s="21" t="s">
        <v>8</v>
      </c>
      <c r="J979" s="21" t="s">
        <v>403</v>
      </c>
      <c r="K979" s="21" t="s">
        <v>539</v>
      </c>
      <c r="L979" s="21" t="s">
        <v>544</v>
      </c>
      <c r="M979" s="21" t="s">
        <v>12</v>
      </c>
      <c r="N979" s="54">
        <v>10000</v>
      </c>
      <c r="O979" s="54">
        <v>0</v>
      </c>
      <c r="P979" s="54">
        <v>0</v>
      </c>
      <c r="Q979" s="54">
        <v>10000</v>
      </c>
      <c r="R979" s="54">
        <v>0</v>
      </c>
      <c r="S979" s="54">
        <v>0</v>
      </c>
      <c r="T979" s="54">
        <v>0</v>
      </c>
      <c r="U979" s="54">
        <v>10000</v>
      </c>
      <c r="V979" s="54">
        <v>10000</v>
      </c>
      <c r="W979" s="54">
        <v>10000</v>
      </c>
    </row>
    <row r="980" spans="1:23" outlineLevel="2" x14ac:dyDescent="0.2">
      <c r="A980" s="21" t="s">
        <v>402</v>
      </c>
      <c r="B980" s="21" t="s">
        <v>31</v>
      </c>
      <c r="C980" s="21" t="s">
        <v>79</v>
      </c>
      <c r="D980" s="21" t="s">
        <v>80</v>
      </c>
      <c r="E980" s="21" t="s">
        <v>81</v>
      </c>
      <c r="F980" s="21" t="s">
        <v>5</v>
      </c>
      <c r="G980" s="21" t="s">
        <v>6</v>
      </c>
      <c r="H980" s="21" t="s">
        <v>7</v>
      </c>
      <c r="I980" s="21" t="s">
        <v>8</v>
      </c>
      <c r="J980" s="21" t="s">
        <v>403</v>
      </c>
      <c r="K980" s="21" t="s">
        <v>539</v>
      </c>
      <c r="L980" s="21" t="s">
        <v>544</v>
      </c>
      <c r="M980" s="21" t="s">
        <v>12</v>
      </c>
      <c r="N980" s="54">
        <v>30000</v>
      </c>
      <c r="O980" s="54">
        <v>14800</v>
      </c>
      <c r="P980" s="54">
        <v>0</v>
      </c>
      <c r="Q980" s="54">
        <v>44800</v>
      </c>
      <c r="R980" s="54">
        <v>25933.599999999999</v>
      </c>
      <c r="S980" s="54">
        <v>18866.400000000001</v>
      </c>
      <c r="T980" s="54">
        <v>4406.6400000000003</v>
      </c>
      <c r="U980" s="54">
        <v>25933.599999999999</v>
      </c>
      <c r="V980" s="54">
        <v>40393.360000000001</v>
      </c>
      <c r="W980" s="54">
        <v>0</v>
      </c>
    </row>
    <row r="981" spans="1:23" outlineLevel="2" x14ac:dyDescent="0.2">
      <c r="A981" s="21" t="s">
        <v>402</v>
      </c>
      <c r="B981" s="21" t="s">
        <v>39</v>
      </c>
      <c r="C981" s="21" t="s">
        <v>66</v>
      </c>
      <c r="D981" s="21" t="s">
        <v>121</v>
      </c>
      <c r="E981" s="21" t="s">
        <v>122</v>
      </c>
      <c r="F981" s="21" t="s">
        <v>5</v>
      </c>
      <c r="G981" s="21" t="s">
        <v>6</v>
      </c>
      <c r="H981" s="21" t="s">
        <v>7</v>
      </c>
      <c r="I981" s="21" t="s">
        <v>8</v>
      </c>
      <c r="J981" s="21" t="s">
        <v>403</v>
      </c>
      <c r="K981" s="21" t="s">
        <v>539</v>
      </c>
      <c r="L981" s="21" t="s">
        <v>547</v>
      </c>
      <c r="M981" s="21" t="s">
        <v>12</v>
      </c>
      <c r="N981" s="54">
        <v>5000</v>
      </c>
      <c r="O981" s="54">
        <v>0</v>
      </c>
      <c r="P981" s="54">
        <v>0</v>
      </c>
      <c r="Q981" s="54">
        <v>5000</v>
      </c>
      <c r="R981" s="54">
        <v>0</v>
      </c>
      <c r="S981" s="54">
        <v>0</v>
      </c>
      <c r="T981" s="54">
        <v>0</v>
      </c>
      <c r="U981" s="54">
        <v>5000</v>
      </c>
      <c r="V981" s="54">
        <v>5000</v>
      </c>
      <c r="W981" s="54">
        <v>5000</v>
      </c>
    </row>
    <row r="982" spans="1:23" outlineLevel="2" x14ac:dyDescent="0.2">
      <c r="A982" s="21" t="s">
        <v>402</v>
      </c>
      <c r="B982" s="21" t="s">
        <v>31</v>
      </c>
      <c r="C982" s="21" t="s">
        <v>32</v>
      </c>
      <c r="D982" s="21" t="s">
        <v>141</v>
      </c>
      <c r="E982" s="21" t="s">
        <v>142</v>
      </c>
      <c r="F982" s="21" t="s">
        <v>5</v>
      </c>
      <c r="G982" s="21" t="s">
        <v>6</v>
      </c>
      <c r="H982" s="21" t="s">
        <v>7</v>
      </c>
      <c r="I982" s="21" t="s">
        <v>8</v>
      </c>
      <c r="J982" s="21" t="s">
        <v>403</v>
      </c>
      <c r="K982" s="21" t="s">
        <v>539</v>
      </c>
      <c r="L982" s="21" t="s">
        <v>541</v>
      </c>
      <c r="M982" s="21" t="s">
        <v>12</v>
      </c>
      <c r="N982" s="54">
        <v>100000</v>
      </c>
      <c r="O982" s="54">
        <v>-8810</v>
      </c>
      <c r="P982" s="54">
        <v>0</v>
      </c>
      <c r="Q982" s="54">
        <v>91190</v>
      </c>
      <c r="R982" s="54">
        <v>0</v>
      </c>
      <c r="S982" s="54">
        <v>0</v>
      </c>
      <c r="T982" s="54">
        <v>0</v>
      </c>
      <c r="U982" s="54">
        <v>91190</v>
      </c>
      <c r="V982" s="54">
        <v>91190</v>
      </c>
      <c r="W982" s="54">
        <v>91190</v>
      </c>
    </row>
    <row r="983" spans="1:23" outlineLevel="2" x14ac:dyDescent="0.2">
      <c r="A983" s="21" t="s">
        <v>402</v>
      </c>
      <c r="B983" s="21" t="s">
        <v>31</v>
      </c>
      <c r="C983" s="21" t="s">
        <v>32</v>
      </c>
      <c r="D983" s="21" t="s">
        <v>33</v>
      </c>
      <c r="E983" s="21" t="s">
        <v>34</v>
      </c>
      <c r="F983" s="21" t="s">
        <v>5</v>
      </c>
      <c r="G983" s="21" t="s">
        <v>6</v>
      </c>
      <c r="H983" s="21" t="s">
        <v>7</v>
      </c>
      <c r="I983" s="21" t="s">
        <v>8</v>
      </c>
      <c r="J983" s="21" t="s">
        <v>403</v>
      </c>
      <c r="K983" s="21" t="s">
        <v>539</v>
      </c>
      <c r="L983" s="21" t="s">
        <v>541</v>
      </c>
      <c r="M983" s="21" t="s">
        <v>12</v>
      </c>
      <c r="N983" s="54">
        <v>15000</v>
      </c>
      <c r="O983" s="54">
        <v>32040.959999999999</v>
      </c>
      <c r="P983" s="54">
        <v>0</v>
      </c>
      <c r="Q983" s="54">
        <v>47040.959999999999</v>
      </c>
      <c r="R983" s="54">
        <v>0</v>
      </c>
      <c r="S983" s="54">
        <v>42903.16</v>
      </c>
      <c r="T983" s="54">
        <v>42903.16</v>
      </c>
      <c r="U983" s="54">
        <v>4137.8</v>
      </c>
      <c r="V983" s="54">
        <v>4137.8</v>
      </c>
      <c r="W983" s="54">
        <v>4137.8</v>
      </c>
    </row>
    <row r="984" spans="1:23" outlineLevel="2" x14ac:dyDescent="0.2">
      <c r="A984" s="21" t="s">
        <v>402</v>
      </c>
      <c r="B984" s="21" t="s">
        <v>31</v>
      </c>
      <c r="C984" s="21" t="s">
        <v>79</v>
      </c>
      <c r="D984" s="21" t="s">
        <v>83</v>
      </c>
      <c r="E984" s="21" t="s">
        <v>84</v>
      </c>
      <c r="F984" s="21" t="s">
        <v>5</v>
      </c>
      <c r="G984" s="21" t="s">
        <v>6</v>
      </c>
      <c r="H984" s="21" t="s">
        <v>7</v>
      </c>
      <c r="I984" s="21" t="s">
        <v>8</v>
      </c>
      <c r="J984" s="21" t="s">
        <v>403</v>
      </c>
      <c r="K984" s="21" t="s">
        <v>539</v>
      </c>
      <c r="L984" s="21" t="s">
        <v>544</v>
      </c>
      <c r="M984" s="21" t="s">
        <v>12</v>
      </c>
      <c r="N984" s="54">
        <v>445300</v>
      </c>
      <c r="O984" s="54">
        <v>-268103.18</v>
      </c>
      <c r="P984" s="54">
        <v>0</v>
      </c>
      <c r="Q984" s="54">
        <v>177196.82</v>
      </c>
      <c r="R984" s="54">
        <v>0</v>
      </c>
      <c r="S984" s="54">
        <v>0</v>
      </c>
      <c r="T984" s="54">
        <v>0</v>
      </c>
      <c r="U984" s="54">
        <v>177196.82</v>
      </c>
      <c r="V984" s="54">
        <v>177196.82</v>
      </c>
      <c r="W984" s="54">
        <v>177196.82</v>
      </c>
    </row>
    <row r="985" spans="1:23" outlineLevel="2" x14ac:dyDescent="0.2">
      <c r="A985" s="21" t="s">
        <v>402</v>
      </c>
      <c r="B985" s="21" t="s">
        <v>31</v>
      </c>
      <c r="C985" s="21" t="s">
        <v>107</v>
      </c>
      <c r="D985" s="21" t="s">
        <v>108</v>
      </c>
      <c r="E985" s="21" t="s">
        <v>109</v>
      </c>
      <c r="F985" s="21" t="s">
        <v>5</v>
      </c>
      <c r="G985" s="21" t="s">
        <v>6</v>
      </c>
      <c r="H985" s="21" t="s">
        <v>7</v>
      </c>
      <c r="I985" s="21" t="s">
        <v>8</v>
      </c>
      <c r="J985" s="21" t="s">
        <v>403</v>
      </c>
      <c r="K985" s="21" t="s">
        <v>539</v>
      </c>
      <c r="L985" s="21" t="s">
        <v>545</v>
      </c>
      <c r="M985" s="21" t="s">
        <v>12</v>
      </c>
      <c r="N985" s="54">
        <v>15000</v>
      </c>
      <c r="O985" s="54">
        <v>0</v>
      </c>
      <c r="P985" s="54">
        <v>0</v>
      </c>
      <c r="Q985" s="54">
        <v>15000</v>
      </c>
      <c r="R985" s="54">
        <v>0</v>
      </c>
      <c r="S985" s="54">
        <v>0</v>
      </c>
      <c r="T985" s="54">
        <v>0</v>
      </c>
      <c r="U985" s="54">
        <v>15000</v>
      </c>
      <c r="V985" s="54">
        <v>15000</v>
      </c>
      <c r="W985" s="54">
        <v>15000</v>
      </c>
    </row>
    <row r="986" spans="1:23" outlineLevel="2" x14ac:dyDescent="0.2">
      <c r="A986" s="21" t="s">
        <v>402</v>
      </c>
      <c r="B986" s="21" t="s">
        <v>39</v>
      </c>
      <c r="C986" s="21" t="s">
        <v>95</v>
      </c>
      <c r="D986" s="21" t="s">
        <v>96</v>
      </c>
      <c r="E986" s="21" t="s">
        <v>97</v>
      </c>
      <c r="F986" s="21" t="s">
        <v>5</v>
      </c>
      <c r="G986" s="21" t="s">
        <v>6</v>
      </c>
      <c r="H986" s="21" t="s">
        <v>7</v>
      </c>
      <c r="I986" s="21" t="s">
        <v>8</v>
      </c>
      <c r="J986" s="21" t="s">
        <v>403</v>
      </c>
      <c r="K986" s="21" t="s">
        <v>539</v>
      </c>
      <c r="L986" s="21" t="s">
        <v>543</v>
      </c>
      <c r="M986" s="21" t="s">
        <v>12</v>
      </c>
      <c r="N986" s="54">
        <v>60000</v>
      </c>
      <c r="O986" s="54">
        <v>-1687.05</v>
      </c>
      <c r="P986" s="54">
        <v>0</v>
      </c>
      <c r="Q986" s="54">
        <v>58312.95</v>
      </c>
      <c r="R986" s="54">
        <v>0</v>
      </c>
      <c r="S986" s="54">
        <v>0</v>
      </c>
      <c r="T986" s="54">
        <v>0</v>
      </c>
      <c r="U986" s="54">
        <v>58312.95</v>
      </c>
      <c r="V986" s="54">
        <v>58312.95</v>
      </c>
      <c r="W986" s="54">
        <v>58312.95</v>
      </c>
    </row>
    <row r="987" spans="1:23" outlineLevel="2" x14ac:dyDescent="0.2">
      <c r="A987" s="21" t="s">
        <v>402</v>
      </c>
      <c r="B987" s="21" t="s">
        <v>39</v>
      </c>
      <c r="C987" s="21" t="s">
        <v>40</v>
      </c>
      <c r="D987" s="21" t="s">
        <v>41</v>
      </c>
      <c r="E987" s="21" t="s">
        <v>42</v>
      </c>
      <c r="F987" s="21" t="s">
        <v>5</v>
      </c>
      <c r="G987" s="21" t="s">
        <v>6</v>
      </c>
      <c r="H987" s="21" t="s">
        <v>7</v>
      </c>
      <c r="I987" s="21" t="s">
        <v>8</v>
      </c>
      <c r="J987" s="21" t="s">
        <v>403</v>
      </c>
      <c r="K987" s="21" t="s">
        <v>539</v>
      </c>
      <c r="L987" s="21" t="s">
        <v>549</v>
      </c>
      <c r="M987" s="21" t="s">
        <v>12</v>
      </c>
      <c r="N987" s="54">
        <v>50000</v>
      </c>
      <c r="O987" s="54">
        <v>0</v>
      </c>
      <c r="P987" s="54">
        <v>0</v>
      </c>
      <c r="Q987" s="54">
        <v>50000</v>
      </c>
      <c r="R987" s="54">
        <v>0</v>
      </c>
      <c r="S987" s="54">
        <v>0</v>
      </c>
      <c r="T987" s="54">
        <v>0</v>
      </c>
      <c r="U987" s="54">
        <v>50000</v>
      </c>
      <c r="V987" s="54">
        <v>50000</v>
      </c>
      <c r="W987" s="54">
        <v>50000</v>
      </c>
    </row>
    <row r="988" spans="1:23" outlineLevel="2" x14ac:dyDescent="0.2">
      <c r="A988" s="21" t="s">
        <v>402</v>
      </c>
      <c r="B988" s="21" t="s">
        <v>39</v>
      </c>
      <c r="C988" s="21" t="s">
        <v>58</v>
      </c>
      <c r="D988" s="21" t="s">
        <v>145</v>
      </c>
      <c r="E988" s="21" t="s">
        <v>146</v>
      </c>
      <c r="F988" s="21" t="s">
        <v>5</v>
      </c>
      <c r="G988" s="21" t="s">
        <v>6</v>
      </c>
      <c r="H988" s="21" t="s">
        <v>7</v>
      </c>
      <c r="I988" s="21" t="s">
        <v>8</v>
      </c>
      <c r="J988" s="21" t="s">
        <v>403</v>
      </c>
      <c r="K988" s="21" t="s">
        <v>539</v>
      </c>
      <c r="L988" s="21" t="s">
        <v>542</v>
      </c>
      <c r="M988" s="21" t="s">
        <v>12</v>
      </c>
      <c r="N988" s="54">
        <v>44500</v>
      </c>
      <c r="O988" s="54">
        <v>0</v>
      </c>
      <c r="P988" s="54">
        <v>0</v>
      </c>
      <c r="Q988" s="54">
        <v>44500</v>
      </c>
      <c r="R988" s="54">
        <v>0</v>
      </c>
      <c r="S988" s="54">
        <v>6923.3</v>
      </c>
      <c r="T988" s="54">
        <v>0</v>
      </c>
      <c r="U988" s="54">
        <v>37576.699999999997</v>
      </c>
      <c r="V988" s="54">
        <v>44500</v>
      </c>
      <c r="W988" s="54">
        <v>37576.699999999997</v>
      </c>
    </row>
    <row r="989" spans="1:23" outlineLevel="2" x14ac:dyDescent="0.2">
      <c r="A989" s="21" t="s">
        <v>402</v>
      </c>
      <c r="B989" s="21" t="s">
        <v>1</v>
      </c>
      <c r="C989" s="21" t="s">
        <v>2</v>
      </c>
      <c r="D989" s="21" t="s">
        <v>25</v>
      </c>
      <c r="E989" s="21" t="s">
        <v>26</v>
      </c>
      <c r="F989" s="21" t="s">
        <v>5</v>
      </c>
      <c r="G989" s="21" t="s">
        <v>6</v>
      </c>
      <c r="H989" s="21" t="s">
        <v>7</v>
      </c>
      <c r="I989" s="21" t="s">
        <v>8</v>
      </c>
      <c r="J989" s="21" t="s">
        <v>403</v>
      </c>
      <c r="K989" s="21" t="s">
        <v>539</v>
      </c>
      <c r="L989" s="21" t="s">
        <v>540</v>
      </c>
      <c r="M989" s="21" t="s">
        <v>15</v>
      </c>
      <c r="N989" s="54">
        <v>25000</v>
      </c>
      <c r="O989" s="54">
        <v>0</v>
      </c>
      <c r="P989" s="54">
        <v>0</v>
      </c>
      <c r="Q989" s="54">
        <v>25000</v>
      </c>
      <c r="R989" s="54">
        <v>0</v>
      </c>
      <c r="S989" s="54">
        <v>0</v>
      </c>
      <c r="T989" s="54">
        <v>0</v>
      </c>
      <c r="U989" s="54">
        <v>25000</v>
      </c>
      <c r="V989" s="54">
        <v>25000</v>
      </c>
      <c r="W989" s="54">
        <v>25000</v>
      </c>
    </row>
    <row r="990" spans="1:23" outlineLevel="2" x14ac:dyDescent="0.2">
      <c r="A990" s="21" t="s">
        <v>402</v>
      </c>
      <c r="B990" s="21" t="s">
        <v>31</v>
      </c>
      <c r="C990" s="21" t="s">
        <v>79</v>
      </c>
      <c r="D990" s="21" t="s">
        <v>113</v>
      </c>
      <c r="E990" s="21" t="s">
        <v>114</v>
      </c>
      <c r="F990" s="21" t="s">
        <v>5</v>
      </c>
      <c r="G990" s="21" t="s">
        <v>6</v>
      </c>
      <c r="H990" s="21" t="s">
        <v>7</v>
      </c>
      <c r="I990" s="21" t="s">
        <v>8</v>
      </c>
      <c r="J990" s="21" t="s">
        <v>403</v>
      </c>
      <c r="K990" s="21" t="s">
        <v>539</v>
      </c>
      <c r="L990" s="21" t="s">
        <v>544</v>
      </c>
      <c r="M990" s="21" t="s">
        <v>12</v>
      </c>
      <c r="N990" s="54">
        <v>33700</v>
      </c>
      <c r="O990" s="54">
        <v>12500</v>
      </c>
      <c r="P990" s="54">
        <v>0</v>
      </c>
      <c r="Q990" s="54">
        <v>46200</v>
      </c>
      <c r="R990" s="54">
        <v>3866</v>
      </c>
      <c r="S990" s="54">
        <v>4228</v>
      </c>
      <c r="T990" s="54">
        <v>4228</v>
      </c>
      <c r="U990" s="54">
        <v>41972</v>
      </c>
      <c r="V990" s="54">
        <v>41972</v>
      </c>
      <c r="W990" s="54">
        <v>38106</v>
      </c>
    </row>
    <row r="991" spans="1:23" outlineLevel="2" x14ac:dyDescent="0.2">
      <c r="A991" s="21" t="s">
        <v>402</v>
      </c>
      <c r="B991" s="21" t="s">
        <v>39</v>
      </c>
      <c r="C991" s="21" t="s">
        <v>70</v>
      </c>
      <c r="D991" s="21" t="s">
        <v>89</v>
      </c>
      <c r="E991" s="21" t="s">
        <v>90</v>
      </c>
      <c r="F991" s="21" t="s">
        <v>5</v>
      </c>
      <c r="G991" s="21" t="s">
        <v>6</v>
      </c>
      <c r="H991" s="21" t="s">
        <v>7</v>
      </c>
      <c r="I991" s="21" t="s">
        <v>8</v>
      </c>
      <c r="J991" s="21" t="s">
        <v>403</v>
      </c>
      <c r="K991" s="21" t="s">
        <v>539</v>
      </c>
      <c r="L991" s="21" t="s">
        <v>548</v>
      </c>
      <c r="M991" s="21" t="s">
        <v>12</v>
      </c>
      <c r="N991" s="54">
        <v>100000</v>
      </c>
      <c r="O991" s="54">
        <v>-99800</v>
      </c>
      <c r="P991" s="54">
        <v>0</v>
      </c>
      <c r="Q991" s="54">
        <v>200</v>
      </c>
      <c r="R991" s="54">
        <v>0</v>
      </c>
      <c r="S991" s="54">
        <v>200</v>
      </c>
      <c r="T991" s="54">
        <v>0</v>
      </c>
      <c r="U991" s="54">
        <v>0</v>
      </c>
      <c r="V991" s="54">
        <v>200</v>
      </c>
      <c r="W991" s="54">
        <v>0</v>
      </c>
    </row>
    <row r="992" spans="1:23" outlineLevel="2" x14ac:dyDescent="0.2">
      <c r="A992" s="21" t="s">
        <v>402</v>
      </c>
      <c r="B992" s="21" t="s">
        <v>1</v>
      </c>
      <c r="C992" s="21" t="s">
        <v>91</v>
      </c>
      <c r="D992" s="21" t="s">
        <v>92</v>
      </c>
      <c r="E992" s="21" t="s">
        <v>93</v>
      </c>
      <c r="F992" s="21" t="s">
        <v>5</v>
      </c>
      <c r="G992" s="21" t="s">
        <v>6</v>
      </c>
      <c r="H992" s="21" t="s">
        <v>7</v>
      </c>
      <c r="I992" s="21" t="s">
        <v>8</v>
      </c>
      <c r="J992" s="21" t="s">
        <v>403</v>
      </c>
      <c r="K992" s="21" t="s">
        <v>539</v>
      </c>
      <c r="L992" s="21" t="s">
        <v>546</v>
      </c>
      <c r="M992" s="21" t="s">
        <v>15</v>
      </c>
      <c r="N992" s="54">
        <v>6000</v>
      </c>
      <c r="O992" s="54">
        <v>7950.88</v>
      </c>
      <c r="P992" s="54">
        <v>0</v>
      </c>
      <c r="Q992" s="54">
        <v>13950.88</v>
      </c>
      <c r="R992" s="54">
        <v>0</v>
      </c>
      <c r="S992" s="54">
        <v>8249.92</v>
      </c>
      <c r="T992" s="54">
        <v>7424.6</v>
      </c>
      <c r="U992" s="54">
        <v>5700.96</v>
      </c>
      <c r="V992" s="54">
        <v>6526.28</v>
      </c>
      <c r="W992" s="54">
        <v>5700.96</v>
      </c>
    </row>
    <row r="993" spans="1:23" outlineLevel="2" x14ac:dyDescent="0.2">
      <c r="A993" s="21" t="s">
        <v>402</v>
      </c>
      <c r="B993" s="21" t="s">
        <v>39</v>
      </c>
      <c r="C993" s="21" t="s">
        <v>58</v>
      </c>
      <c r="D993" s="21" t="s">
        <v>135</v>
      </c>
      <c r="E993" s="21" t="s">
        <v>136</v>
      </c>
      <c r="F993" s="21" t="s">
        <v>5</v>
      </c>
      <c r="G993" s="21" t="s">
        <v>6</v>
      </c>
      <c r="H993" s="21" t="s">
        <v>7</v>
      </c>
      <c r="I993" s="21" t="s">
        <v>8</v>
      </c>
      <c r="J993" s="21" t="s">
        <v>403</v>
      </c>
      <c r="K993" s="21" t="s">
        <v>539</v>
      </c>
      <c r="L993" s="21" t="s">
        <v>542</v>
      </c>
      <c r="M993" s="21" t="s">
        <v>12</v>
      </c>
      <c r="N993" s="54">
        <v>53000</v>
      </c>
      <c r="O993" s="54">
        <v>-47861.06</v>
      </c>
      <c r="P993" s="54">
        <v>0</v>
      </c>
      <c r="Q993" s="54">
        <v>5138.9399999999996</v>
      </c>
      <c r="R993" s="54">
        <v>0</v>
      </c>
      <c r="S993" s="54">
        <v>4938.9399999999996</v>
      </c>
      <c r="T993" s="54">
        <v>3554.21</v>
      </c>
      <c r="U993" s="54">
        <v>200</v>
      </c>
      <c r="V993" s="54">
        <v>1584.73</v>
      </c>
      <c r="W993" s="54">
        <v>200</v>
      </c>
    </row>
    <row r="994" spans="1:23" outlineLevel="2" x14ac:dyDescent="0.2">
      <c r="A994" s="21" t="s">
        <v>402</v>
      </c>
      <c r="B994" s="21" t="s">
        <v>31</v>
      </c>
      <c r="C994" s="21" t="s">
        <v>79</v>
      </c>
      <c r="D994" s="21" t="s">
        <v>117</v>
      </c>
      <c r="E994" s="21" t="s">
        <v>118</v>
      </c>
      <c r="F994" s="21" t="s">
        <v>5</v>
      </c>
      <c r="G994" s="21" t="s">
        <v>6</v>
      </c>
      <c r="H994" s="21" t="s">
        <v>7</v>
      </c>
      <c r="I994" s="21" t="s">
        <v>8</v>
      </c>
      <c r="J994" s="21" t="s">
        <v>403</v>
      </c>
      <c r="K994" s="21" t="s">
        <v>539</v>
      </c>
      <c r="L994" s="21" t="s">
        <v>544</v>
      </c>
      <c r="M994" s="21" t="s">
        <v>12</v>
      </c>
      <c r="N994" s="54">
        <v>30936</v>
      </c>
      <c r="O994" s="54">
        <v>106583.72</v>
      </c>
      <c r="P994" s="54">
        <v>0</v>
      </c>
      <c r="Q994" s="54">
        <v>137519.72</v>
      </c>
      <c r="R994" s="54">
        <v>1.1200000000000001</v>
      </c>
      <c r="S994" s="54">
        <v>41120.68</v>
      </c>
      <c r="T994" s="54">
        <v>36664.980000000003</v>
      </c>
      <c r="U994" s="54">
        <v>96399.039999999994</v>
      </c>
      <c r="V994" s="54">
        <v>100854.74</v>
      </c>
      <c r="W994" s="54">
        <v>96397.92</v>
      </c>
    </row>
    <row r="995" spans="1:23" outlineLevel="2" x14ac:dyDescent="0.2">
      <c r="A995" s="21" t="s">
        <v>402</v>
      </c>
      <c r="B995" s="21" t="s">
        <v>31</v>
      </c>
      <c r="C995" s="21" t="s">
        <v>79</v>
      </c>
      <c r="D995" s="21" t="s">
        <v>127</v>
      </c>
      <c r="E995" s="21" t="s">
        <v>128</v>
      </c>
      <c r="F995" s="21" t="s">
        <v>5</v>
      </c>
      <c r="G995" s="21" t="s">
        <v>6</v>
      </c>
      <c r="H995" s="21" t="s">
        <v>7</v>
      </c>
      <c r="I995" s="21" t="s">
        <v>8</v>
      </c>
      <c r="J995" s="21" t="s">
        <v>403</v>
      </c>
      <c r="K995" s="21" t="s">
        <v>539</v>
      </c>
      <c r="L995" s="21" t="s">
        <v>544</v>
      </c>
      <c r="M995" s="21" t="s">
        <v>12</v>
      </c>
      <c r="N995" s="54">
        <v>4000</v>
      </c>
      <c r="O995" s="54">
        <v>96915.33</v>
      </c>
      <c r="P995" s="54">
        <v>0</v>
      </c>
      <c r="Q995" s="54">
        <v>100915.33</v>
      </c>
      <c r="R995" s="54">
        <v>0</v>
      </c>
      <c r="S995" s="54">
        <v>0</v>
      </c>
      <c r="T995" s="54">
        <v>0</v>
      </c>
      <c r="U995" s="54">
        <v>100915.33</v>
      </c>
      <c r="V995" s="54">
        <v>100915.33</v>
      </c>
      <c r="W995" s="54">
        <v>100915.33</v>
      </c>
    </row>
    <row r="996" spans="1:23" outlineLevel="2" x14ac:dyDescent="0.2">
      <c r="A996" s="21" t="s">
        <v>402</v>
      </c>
      <c r="B996" s="21" t="s">
        <v>31</v>
      </c>
      <c r="C996" s="21" t="s">
        <v>79</v>
      </c>
      <c r="D996" s="21" t="s">
        <v>115</v>
      </c>
      <c r="E996" s="21" t="s">
        <v>116</v>
      </c>
      <c r="F996" s="21" t="s">
        <v>5</v>
      </c>
      <c r="G996" s="21" t="s">
        <v>6</v>
      </c>
      <c r="H996" s="21" t="s">
        <v>7</v>
      </c>
      <c r="I996" s="21" t="s">
        <v>8</v>
      </c>
      <c r="J996" s="21" t="s">
        <v>403</v>
      </c>
      <c r="K996" s="21" t="s">
        <v>539</v>
      </c>
      <c r="L996" s="21" t="s">
        <v>544</v>
      </c>
      <c r="M996" s="21" t="s">
        <v>12</v>
      </c>
      <c r="N996" s="54">
        <v>13345</v>
      </c>
      <c r="O996" s="54">
        <v>19713</v>
      </c>
      <c r="P996" s="54">
        <v>0</v>
      </c>
      <c r="Q996" s="54">
        <v>33058</v>
      </c>
      <c r="R996" s="54">
        <v>32995.68</v>
      </c>
      <c r="S996" s="54">
        <v>0</v>
      </c>
      <c r="T996" s="54">
        <v>0</v>
      </c>
      <c r="U996" s="54">
        <v>33058</v>
      </c>
      <c r="V996" s="54">
        <v>33058</v>
      </c>
      <c r="W996" s="54">
        <v>62.32</v>
      </c>
    </row>
    <row r="997" spans="1:23" outlineLevel="2" x14ac:dyDescent="0.2">
      <c r="A997" s="21" t="s">
        <v>402</v>
      </c>
      <c r="B997" s="21" t="s">
        <v>39</v>
      </c>
      <c r="C997" s="21" t="s">
        <v>58</v>
      </c>
      <c r="D997" s="21" t="s">
        <v>137</v>
      </c>
      <c r="E997" s="21" t="s">
        <v>138</v>
      </c>
      <c r="F997" s="21" t="s">
        <v>5</v>
      </c>
      <c r="G997" s="21" t="s">
        <v>6</v>
      </c>
      <c r="H997" s="21" t="s">
        <v>7</v>
      </c>
      <c r="I997" s="21" t="s">
        <v>8</v>
      </c>
      <c r="J997" s="21" t="s">
        <v>403</v>
      </c>
      <c r="K997" s="21" t="s">
        <v>539</v>
      </c>
      <c r="L997" s="21" t="s">
        <v>542</v>
      </c>
      <c r="M997" s="21" t="s">
        <v>12</v>
      </c>
      <c r="N997" s="54">
        <v>100000</v>
      </c>
      <c r="O997" s="54">
        <v>-28501.26</v>
      </c>
      <c r="P997" s="54">
        <v>0</v>
      </c>
      <c r="Q997" s="54">
        <v>71498.740000000005</v>
      </c>
      <c r="R997" s="54">
        <v>0</v>
      </c>
      <c r="S997" s="54">
        <v>0</v>
      </c>
      <c r="T997" s="54">
        <v>0</v>
      </c>
      <c r="U997" s="54">
        <v>71498.740000000005</v>
      </c>
      <c r="V997" s="54">
        <v>71498.740000000005</v>
      </c>
      <c r="W997" s="54">
        <v>71498.740000000005</v>
      </c>
    </row>
    <row r="998" spans="1:23" outlineLevel="2" x14ac:dyDescent="0.2">
      <c r="A998" s="21" t="s">
        <v>402</v>
      </c>
      <c r="B998" s="21" t="s">
        <v>39</v>
      </c>
      <c r="C998" s="21" t="s">
        <v>58</v>
      </c>
      <c r="D998" s="21" t="s">
        <v>149</v>
      </c>
      <c r="E998" s="21" t="s">
        <v>150</v>
      </c>
      <c r="F998" s="21" t="s">
        <v>5</v>
      </c>
      <c r="G998" s="21" t="s">
        <v>6</v>
      </c>
      <c r="H998" s="21" t="s">
        <v>7</v>
      </c>
      <c r="I998" s="21" t="s">
        <v>8</v>
      </c>
      <c r="J998" s="21" t="s">
        <v>403</v>
      </c>
      <c r="K998" s="21" t="s">
        <v>539</v>
      </c>
      <c r="L998" s="21" t="s">
        <v>542</v>
      </c>
      <c r="M998" s="21" t="s">
        <v>12</v>
      </c>
      <c r="N998" s="54">
        <v>24000</v>
      </c>
      <c r="O998" s="54">
        <v>0</v>
      </c>
      <c r="P998" s="54">
        <v>0</v>
      </c>
      <c r="Q998" s="54">
        <v>24000</v>
      </c>
      <c r="R998" s="54">
        <v>0</v>
      </c>
      <c r="S998" s="54">
        <v>0</v>
      </c>
      <c r="T998" s="54">
        <v>0</v>
      </c>
      <c r="U998" s="54">
        <v>24000</v>
      </c>
      <c r="V998" s="54">
        <v>24000</v>
      </c>
      <c r="W998" s="54">
        <v>24000</v>
      </c>
    </row>
    <row r="999" spans="1:23" outlineLevel="2" x14ac:dyDescent="0.2">
      <c r="A999" s="21" t="s">
        <v>402</v>
      </c>
      <c r="B999" s="21" t="s">
        <v>31</v>
      </c>
      <c r="C999" s="21" t="s">
        <v>79</v>
      </c>
      <c r="D999" s="21" t="s">
        <v>113</v>
      </c>
      <c r="E999" s="21" t="s">
        <v>114</v>
      </c>
      <c r="F999" s="21" t="s">
        <v>5</v>
      </c>
      <c r="G999" s="21" t="s">
        <v>6</v>
      </c>
      <c r="H999" s="21" t="s">
        <v>7</v>
      </c>
      <c r="I999" s="21" t="s">
        <v>8</v>
      </c>
      <c r="J999" s="21" t="s">
        <v>403</v>
      </c>
      <c r="K999" s="21" t="s">
        <v>550</v>
      </c>
      <c r="L999" s="21" t="s">
        <v>551</v>
      </c>
      <c r="M999" s="21" t="s">
        <v>12</v>
      </c>
      <c r="N999" s="54">
        <v>5000</v>
      </c>
      <c r="O999" s="54">
        <v>2000</v>
      </c>
      <c r="P999" s="54">
        <v>0</v>
      </c>
      <c r="Q999" s="54">
        <v>7000</v>
      </c>
      <c r="R999" s="54">
        <v>3.25</v>
      </c>
      <c r="S999" s="54">
        <v>6940.75</v>
      </c>
      <c r="T999" s="54">
        <v>6940.75</v>
      </c>
      <c r="U999" s="54">
        <v>59.25</v>
      </c>
      <c r="V999" s="54">
        <v>59.25</v>
      </c>
      <c r="W999" s="54">
        <v>56</v>
      </c>
    </row>
    <row r="1000" spans="1:23" outlineLevel="2" x14ac:dyDescent="0.2">
      <c r="A1000" s="21" t="s">
        <v>402</v>
      </c>
      <c r="B1000" s="21" t="s">
        <v>1</v>
      </c>
      <c r="C1000" s="21" t="s">
        <v>2</v>
      </c>
      <c r="D1000" s="21" t="s">
        <v>410</v>
      </c>
      <c r="E1000" s="21" t="s">
        <v>411</v>
      </c>
      <c r="F1000" s="21" t="s">
        <v>5</v>
      </c>
      <c r="G1000" s="21" t="s">
        <v>6</v>
      </c>
      <c r="H1000" s="21" t="s">
        <v>7</v>
      </c>
      <c r="I1000" s="21" t="s">
        <v>8</v>
      </c>
      <c r="J1000" s="21" t="s">
        <v>403</v>
      </c>
      <c r="K1000" s="21" t="s">
        <v>550</v>
      </c>
      <c r="L1000" s="21" t="s">
        <v>554</v>
      </c>
      <c r="M1000" s="21" t="s">
        <v>15</v>
      </c>
      <c r="N1000" s="54">
        <v>5000</v>
      </c>
      <c r="O1000" s="54">
        <v>0</v>
      </c>
      <c r="P1000" s="54">
        <v>0</v>
      </c>
      <c r="Q1000" s="54">
        <v>5000</v>
      </c>
      <c r="R1000" s="54">
        <v>0</v>
      </c>
      <c r="S1000" s="54">
        <v>1000</v>
      </c>
      <c r="T1000" s="54">
        <v>0</v>
      </c>
      <c r="U1000" s="54">
        <v>4000</v>
      </c>
      <c r="V1000" s="54">
        <v>5000</v>
      </c>
      <c r="W1000" s="54">
        <v>4000</v>
      </c>
    </row>
    <row r="1001" spans="1:23" outlineLevel="2" x14ac:dyDescent="0.2">
      <c r="A1001" s="21" t="s">
        <v>402</v>
      </c>
      <c r="B1001" s="21" t="s">
        <v>39</v>
      </c>
      <c r="C1001" s="21" t="s">
        <v>70</v>
      </c>
      <c r="D1001" s="21" t="s">
        <v>89</v>
      </c>
      <c r="E1001" s="21" t="s">
        <v>90</v>
      </c>
      <c r="F1001" s="21" t="s">
        <v>5</v>
      </c>
      <c r="G1001" s="21" t="s">
        <v>6</v>
      </c>
      <c r="H1001" s="21" t="s">
        <v>7</v>
      </c>
      <c r="I1001" s="21" t="s">
        <v>8</v>
      </c>
      <c r="J1001" s="21" t="s">
        <v>403</v>
      </c>
      <c r="K1001" s="21" t="s">
        <v>550</v>
      </c>
      <c r="L1001" s="21" t="s">
        <v>557</v>
      </c>
      <c r="M1001" s="21" t="s">
        <v>12</v>
      </c>
      <c r="N1001" s="54">
        <v>17000</v>
      </c>
      <c r="O1001" s="54">
        <v>-1211.5</v>
      </c>
      <c r="P1001" s="54">
        <v>0</v>
      </c>
      <c r="Q1001" s="54">
        <v>15788.5</v>
      </c>
      <c r="R1001" s="54">
        <v>0</v>
      </c>
      <c r="S1001" s="54">
        <v>200</v>
      </c>
      <c r="T1001" s="54">
        <v>0</v>
      </c>
      <c r="U1001" s="54">
        <v>15588.5</v>
      </c>
      <c r="V1001" s="54">
        <v>15788.5</v>
      </c>
      <c r="W1001" s="54">
        <v>15588.5</v>
      </c>
    </row>
    <row r="1002" spans="1:23" outlineLevel="2" x14ac:dyDescent="0.2">
      <c r="A1002" s="21" t="s">
        <v>402</v>
      </c>
      <c r="B1002" s="21" t="s">
        <v>39</v>
      </c>
      <c r="C1002" s="21" t="s">
        <v>58</v>
      </c>
      <c r="D1002" s="21" t="s">
        <v>135</v>
      </c>
      <c r="E1002" s="21" t="s">
        <v>136</v>
      </c>
      <c r="F1002" s="21" t="s">
        <v>5</v>
      </c>
      <c r="G1002" s="21" t="s">
        <v>6</v>
      </c>
      <c r="H1002" s="21" t="s">
        <v>7</v>
      </c>
      <c r="I1002" s="21" t="s">
        <v>8</v>
      </c>
      <c r="J1002" s="21" t="s">
        <v>403</v>
      </c>
      <c r="K1002" s="21" t="s">
        <v>550</v>
      </c>
      <c r="L1002" s="21" t="s">
        <v>553</v>
      </c>
      <c r="M1002" s="21" t="s">
        <v>12</v>
      </c>
      <c r="N1002" s="54">
        <v>0</v>
      </c>
      <c r="O1002" s="54">
        <v>4480</v>
      </c>
      <c r="P1002" s="54">
        <v>0</v>
      </c>
      <c r="Q1002" s="54">
        <v>4480</v>
      </c>
      <c r="R1002" s="54">
        <v>0</v>
      </c>
      <c r="S1002" s="54">
        <v>0</v>
      </c>
      <c r="T1002" s="54">
        <v>0</v>
      </c>
      <c r="U1002" s="54">
        <v>4480</v>
      </c>
      <c r="V1002" s="54">
        <v>4480</v>
      </c>
      <c r="W1002" s="54">
        <v>4480</v>
      </c>
    </row>
    <row r="1003" spans="1:23" outlineLevel="2" x14ac:dyDescent="0.2">
      <c r="A1003" s="21" t="s">
        <v>402</v>
      </c>
      <c r="B1003" s="21" t="s">
        <v>39</v>
      </c>
      <c r="C1003" s="21" t="s">
        <v>66</v>
      </c>
      <c r="D1003" s="21" t="s">
        <v>67</v>
      </c>
      <c r="E1003" s="21" t="s">
        <v>68</v>
      </c>
      <c r="F1003" s="21" t="s">
        <v>5</v>
      </c>
      <c r="G1003" s="21" t="s">
        <v>6</v>
      </c>
      <c r="H1003" s="21" t="s">
        <v>7</v>
      </c>
      <c r="I1003" s="21" t="s">
        <v>8</v>
      </c>
      <c r="J1003" s="21" t="s">
        <v>403</v>
      </c>
      <c r="K1003" s="21" t="s">
        <v>550</v>
      </c>
      <c r="L1003" s="21" t="s">
        <v>556</v>
      </c>
      <c r="M1003" s="21" t="s">
        <v>12</v>
      </c>
      <c r="N1003" s="54">
        <v>50</v>
      </c>
      <c r="O1003" s="54">
        <v>-50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</row>
    <row r="1004" spans="1:23" outlineLevel="2" x14ac:dyDescent="0.2">
      <c r="A1004" s="21" t="s">
        <v>402</v>
      </c>
      <c r="B1004" s="21" t="s">
        <v>1</v>
      </c>
      <c r="C1004" s="21" t="s">
        <v>2</v>
      </c>
      <c r="D1004" s="21" t="s">
        <v>13</v>
      </c>
      <c r="E1004" s="21" t="s">
        <v>14</v>
      </c>
      <c r="F1004" s="21" t="s">
        <v>5</v>
      </c>
      <c r="G1004" s="21" t="s">
        <v>6</v>
      </c>
      <c r="H1004" s="21" t="s">
        <v>7</v>
      </c>
      <c r="I1004" s="21" t="s">
        <v>8</v>
      </c>
      <c r="J1004" s="21" t="s">
        <v>403</v>
      </c>
      <c r="K1004" s="21" t="s">
        <v>550</v>
      </c>
      <c r="L1004" s="21" t="s">
        <v>554</v>
      </c>
      <c r="M1004" s="21" t="s">
        <v>15</v>
      </c>
      <c r="N1004" s="54">
        <v>2000</v>
      </c>
      <c r="O1004" s="54">
        <v>0</v>
      </c>
      <c r="P1004" s="54">
        <v>0</v>
      </c>
      <c r="Q1004" s="54">
        <v>2000</v>
      </c>
      <c r="R1004" s="54">
        <v>0</v>
      </c>
      <c r="S1004" s="54">
        <v>0</v>
      </c>
      <c r="T1004" s="54">
        <v>0</v>
      </c>
      <c r="U1004" s="54">
        <v>2000</v>
      </c>
      <c r="V1004" s="54">
        <v>2000</v>
      </c>
      <c r="W1004" s="54">
        <v>2000</v>
      </c>
    </row>
    <row r="1005" spans="1:23" outlineLevel="2" x14ac:dyDescent="0.2">
      <c r="A1005" s="21" t="s">
        <v>402</v>
      </c>
      <c r="B1005" s="21" t="s">
        <v>39</v>
      </c>
      <c r="C1005" s="21" t="s">
        <v>58</v>
      </c>
      <c r="D1005" s="21" t="s">
        <v>149</v>
      </c>
      <c r="E1005" s="21" t="s">
        <v>150</v>
      </c>
      <c r="F1005" s="21" t="s">
        <v>5</v>
      </c>
      <c r="G1005" s="21" t="s">
        <v>6</v>
      </c>
      <c r="H1005" s="21" t="s">
        <v>7</v>
      </c>
      <c r="I1005" s="21" t="s">
        <v>8</v>
      </c>
      <c r="J1005" s="21" t="s">
        <v>403</v>
      </c>
      <c r="K1005" s="21" t="s">
        <v>550</v>
      </c>
      <c r="L1005" s="21" t="s">
        <v>553</v>
      </c>
      <c r="M1005" s="21" t="s">
        <v>12</v>
      </c>
      <c r="N1005" s="54">
        <v>3000</v>
      </c>
      <c r="O1005" s="54">
        <v>0</v>
      </c>
      <c r="P1005" s="54">
        <v>0</v>
      </c>
      <c r="Q1005" s="54">
        <v>3000</v>
      </c>
      <c r="R1005" s="54">
        <v>0</v>
      </c>
      <c r="S1005" s="54">
        <v>0</v>
      </c>
      <c r="T1005" s="54">
        <v>0</v>
      </c>
      <c r="U1005" s="54">
        <v>3000</v>
      </c>
      <c r="V1005" s="54">
        <v>3000</v>
      </c>
      <c r="W1005" s="54">
        <v>3000</v>
      </c>
    </row>
    <row r="1006" spans="1:23" outlineLevel="2" x14ac:dyDescent="0.2">
      <c r="A1006" s="21" t="s">
        <v>402</v>
      </c>
      <c r="B1006" s="21" t="s">
        <v>31</v>
      </c>
      <c r="C1006" s="21" t="s">
        <v>79</v>
      </c>
      <c r="D1006" s="21" t="s">
        <v>117</v>
      </c>
      <c r="E1006" s="21" t="s">
        <v>118</v>
      </c>
      <c r="F1006" s="21" t="s">
        <v>5</v>
      </c>
      <c r="G1006" s="21" t="s">
        <v>6</v>
      </c>
      <c r="H1006" s="21" t="s">
        <v>7</v>
      </c>
      <c r="I1006" s="21" t="s">
        <v>8</v>
      </c>
      <c r="J1006" s="21" t="s">
        <v>403</v>
      </c>
      <c r="K1006" s="21" t="s">
        <v>550</v>
      </c>
      <c r="L1006" s="21" t="s">
        <v>551</v>
      </c>
      <c r="M1006" s="21" t="s">
        <v>12</v>
      </c>
      <c r="N1006" s="54">
        <v>17000</v>
      </c>
      <c r="O1006" s="54">
        <v>0</v>
      </c>
      <c r="P1006" s="54">
        <v>0</v>
      </c>
      <c r="Q1006" s="54">
        <v>17000</v>
      </c>
      <c r="R1006" s="54">
        <v>14315.84</v>
      </c>
      <c r="S1006" s="54">
        <v>0</v>
      </c>
      <c r="T1006" s="54">
        <v>0</v>
      </c>
      <c r="U1006" s="54">
        <v>17000</v>
      </c>
      <c r="V1006" s="54">
        <v>17000</v>
      </c>
      <c r="W1006" s="54">
        <v>2684.16</v>
      </c>
    </row>
    <row r="1007" spans="1:23" outlineLevel="2" x14ac:dyDescent="0.2">
      <c r="A1007" s="21" t="s">
        <v>402</v>
      </c>
      <c r="B1007" s="21" t="s">
        <v>31</v>
      </c>
      <c r="C1007" s="21" t="s">
        <v>32</v>
      </c>
      <c r="D1007" s="21" t="s">
        <v>33</v>
      </c>
      <c r="E1007" s="21" t="s">
        <v>34</v>
      </c>
      <c r="F1007" s="21" t="s">
        <v>5</v>
      </c>
      <c r="G1007" s="21" t="s">
        <v>6</v>
      </c>
      <c r="H1007" s="21" t="s">
        <v>7</v>
      </c>
      <c r="I1007" s="21" t="s">
        <v>8</v>
      </c>
      <c r="J1007" s="21" t="s">
        <v>403</v>
      </c>
      <c r="K1007" s="21" t="s">
        <v>550</v>
      </c>
      <c r="L1007" s="21" t="s">
        <v>555</v>
      </c>
      <c r="M1007" s="21" t="s">
        <v>12</v>
      </c>
      <c r="N1007" s="54">
        <v>5000</v>
      </c>
      <c r="O1007" s="54">
        <v>-5000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</row>
    <row r="1008" spans="1:23" outlineLevel="2" x14ac:dyDescent="0.2">
      <c r="A1008" s="21" t="s">
        <v>402</v>
      </c>
      <c r="B1008" s="21" t="s">
        <v>31</v>
      </c>
      <c r="C1008" s="21" t="s">
        <v>79</v>
      </c>
      <c r="D1008" s="21" t="s">
        <v>83</v>
      </c>
      <c r="E1008" s="21" t="s">
        <v>84</v>
      </c>
      <c r="F1008" s="21" t="s">
        <v>5</v>
      </c>
      <c r="G1008" s="21" t="s">
        <v>6</v>
      </c>
      <c r="H1008" s="21" t="s">
        <v>7</v>
      </c>
      <c r="I1008" s="21" t="s">
        <v>8</v>
      </c>
      <c r="J1008" s="21" t="s">
        <v>403</v>
      </c>
      <c r="K1008" s="21" t="s">
        <v>550</v>
      </c>
      <c r="L1008" s="21" t="s">
        <v>551</v>
      </c>
      <c r="M1008" s="21" t="s">
        <v>12</v>
      </c>
      <c r="N1008" s="54">
        <v>4000</v>
      </c>
      <c r="O1008" s="54">
        <v>0</v>
      </c>
      <c r="P1008" s="54">
        <v>0</v>
      </c>
      <c r="Q1008" s="54">
        <v>4000</v>
      </c>
      <c r="R1008" s="54">
        <v>0</v>
      </c>
      <c r="S1008" s="54">
        <v>0</v>
      </c>
      <c r="T1008" s="54">
        <v>0</v>
      </c>
      <c r="U1008" s="54">
        <v>4000</v>
      </c>
      <c r="V1008" s="54">
        <v>4000</v>
      </c>
      <c r="W1008" s="54">
        <v>4000</v>
      </c>
    </row>
    <row r="1009" spans="1:23" outlineLevel="2" x14ac:dyDescent="0.2">
      <c r="A1009" s="21" t="s">
        <v>402</v>
      </c>
      <c r="B1009" s="21" t="s">
        <v>39</v>
      </c>
      <c r="C1009" s="21" t="s">
        <v>58</v>
      </c>
      <c r="D1009" s="21" t="s">
        <v>145</v>
      </c>
      <c r="E1009" s="21" t="s">
        <v>146</v>
      </c>
      <c r="F1009" s="21" t="s">
        <v>5</v>
      </c>
      <c r="G1009" s="21" t="s">
        <v>6</v>
      </c>
      <c r="H1009" s="21" t="s">
        <v>7</v>
      </c>
      <c r="I1009" s="21" t="s">
        <v>8</v>
      </c>
      <c r="J1009" s="21" t="s">
        <v>403</v>
      </c>
      <c r="K1009" s="21" t="s">
        <v>550</v>
      </c>
      <c r="L1009" s="21" t="s">
        <v>553</v>
      </c>
      <c r="M1009" s="21" t="s">
        <v>12</v>
      </c>
      <c r="N1009" s="54">
        <v>1500</v>
      </c>
      <c r="O1009" s="54">
        <v>0</v>
      </c>
      <c r="P1009" s="54">
        <v>0</v>
      </c>
      <c r="Q1009" s="54">
        <v>1500</v>
      </c>
      <c r="R1009" s="54">
        <v>0</v>
      </c>
      <c r="S1009" s="54">
        <v>0</v>
      </c>
      <c r="T1009" s="54">
        <v>0</v>
      </c>
      <c r="U1009" s="54">
        <v>1500</v>
      </c>
      <c r="V1009" s="54">
        <v>1500</v>
      </c>
      <c r="W1009" s="54">
        <v>1500</v>
      </c>
    </row>
    <row r="1010" spans="1:23" outlineLevel="2" x14ac:dyDescent="0.2">
      <c r="A1010" s="21" t="s">
        <v>402</v>
      </c>
      <c r="B1010" s="21" t="s">
        <v>31</v>
      </c>
      <c r="C1010" s="21" t="s">
        <v>79</v>
      </c>
      <c r="D1010" s="21" t="s">
        <v>127</v>
      </c>
      <c r="E1010" s="21" t="s">
        <v>128</v>
      </c>
      <c r="F1010" s="21" t="s">
        <v>5</v>
      </c>
      <c r="G1010" s="21" t="s">
        <v>6</v>
      </c>
      <c r="H1010" s="21" t="s">
        <v>7</v>
      </c>
      <c r="I1010" s="21" t="s">
        <v>8</v>
      </c>
      <c r="J1010" s="21" t="s">
        <v>403</v>
      </c>
      <c r="K1010" s="21" t="s">
        <v>550</v>
      </c>
      <c r="L1010" s="21" t="s">
        <v>551</v>
      </c>
      <c r="M1010" s="21" t="s">
        <v>12</v>
      </c>
      <c r="N1010" s="54">
        <v>600</v>
      </c>
      <c r="O1010" s="54">
        <v>-600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</row>
    <row r="1011" spans="1:23" outlineLevel="2" x14ac:dyDescent="0.2">
      <c r="A1011" s="21" t="s">
        <v>402</v>
      </c>
      <c r="B1011" s="21" t="s">
        <v>1</v>
      </c>
      <c r="C1011" s="21" t="s">
        <v>2</v>
      </c>
      <c r="D1011" s="21" t="s">
        <v>3</v>
      </c>
      <c r="E1011" s="21" t="s">
        <v>4</v>
      </c>
      <c r="F1011" s="21" t="s">
        <v>5</v>
      </c>
      <c r="G1011" s="21" t="s">
        <v>6</v>
      </c>
      <c r="H1011" s="21" t="s">
        <v>7</v>
      </c>
      <c r="I1011" s="21" t="s">
        <v>8</v>
      </c>
      <c r="J1011" s="21" t="s">
        <v>403</v>
      </c>
      <c r="K1011" s="21" t="s">
        <v>550</v>
      </c>
      <c r="L1011" s="21" t="s">
        <v>554</v>
      </c>
      <c r="M1011" s="21" t="s">
        <v>15</v>
      </c>
      <c r="N1011" s="54">
        <v>0</v>
      </c>
      <c r="O1011" s="54">
        <v>179.2</v>
      </c>
      <c r="P1011" s="54">
        <v>0</v>
      </c>
      <c r="Q1011" s="54">
        <v>179.2</v>
      </c>
      <c r="R1011" s="54">
        <v>0</v>
      </c>
      <c r="S1011" s="54">
        <v>156.80000000000001</v>
      </c>
      <c r="T1011" s="54">
        <v>78.400000000000006</v>
      </c>
      <c r="U1011" s="54">
        <v>22.4</v>
      </c>
      <c r="V1011" s="54">
        <v>100.8</v>
      </c>
      <c r="W1011" s="54">
        <v>22.4</v>
      </c>
    </row>
    <row r="1012" spans="1:23" outlineLevel="2" x14ac:dyDescent="0.2">
      <c r="A1012" s="21" t="s">
        <v>402</v>
      </c>
      <c r="B1012" s="21" t="s">
        <v>39</v>
      </c>
      <c r="C1012" s="21" t="s">
        <v>40</v>
      </c>
      <c r="D1012" s="21" t="s">
        <v>77</v>
      </c>
      <c r="E1012" s="21" t="s">
        <v>78</v>
      </c>
      <c r="F1012" s="21" t="s">
        <v>5</v>
      </c>
      <c r="G1012" s="21" t="s">
        <v>6</v>
      </c>
      <c r="H1012" s="21" t="s">
        <v>7</v>
      </c>
      <c r="I1012" s="21" t="s">
        <v>8</v>
      </c>
      <c r="J1012" s="21" t="s">
        <v>403</v>
      </c>
      <c r="K1012" s="21" t="s">
        <v>550</v>
      </c>
      <c r="L1012" s="21" t="s">
        <v>552</v>
      </c>
      <c r="M1012" s="21" t="s">
        <v>12</v>
      </c>
      <c r="N1012" s="54">
        <v>0</v>
      </c>
      <c r="O1012" s="54">
        <v>40200</v>
      </c>
      <c r="P1012" s="54">
        <v>0</v>
      </c>
      <c r="Q1012" s="54">
        <v>40200</v>
      </c>
      <c r="R1012" s="54">
        <v>0</v>
      </c>
      <c r="S1012" s="54">
        <v>200</v>
      </c>
      <c r="T1012" s="54">
        <v>48.52</v>
      </c>
      <c r="U1012" s="54">
        <v>40000</v>
      </c>
      <c r="V1012" s="54">
        <v>40151.480000000003</v>
      </c>
      <c r="W1012" s="54">
        <v>40000</v>
      </c>
    </row>
    <row r="1013" spans="1:23" outlineLevel="2" x14ac:dyDescent="0.2">
      <c r="A1013" s="21" t="s">
        <v>402</v>
      </c>
      <c r="B1013" s="21" t="s">
        <v>31</v>
      </c>
      <c r="C1013" s="21" t="s">
        <v>79</v>
      </c>
      <c r="D1013" s="21" t="s">
        <v>113</v>
      </c>
      <c r="E1013" s="21" t="s">
        <v>114</v>
      </c>
      <c r="F1013" s="21" t="s">
        <v>5</v>
      </c>
      <c r="G1013" s="21" t="s">
        <v>6</v>
      </c>
      <c r="H1013" s="21" t="s">
        <v>7</v>
      </c>
      <c r="I1013" s="21" t="s">
        <v>8</v>
      </c>
      <c r="J1013" s="21" t="s">
        <v>403</v>
      </c>
      <c r="K1013" s="21" t="s">
        <v>558</v>
      </c>
      <c r="L1013" s="21" t="s">
        <v>561</v>
      </c>
      <c r="M1013" s="21" t="s">
        <v>12</v>
      </c>
      <c r="N1013" s="54">
        <v>2000</v>
      </c>
      <c r="O1013" s="54">
        <v>1500</v>
      </c>
      <c r="P1013" s="54">
        <v>0</v>
      </c>
      <c r="Q1013" s="54">
        <v>3500</v>
      </c>
      <c r="R1013" s="54">
        <v>0.72</v>
      </c>
      <c r="S1013" s="54">
        <v>3437.28</v>
      </c>
      <c r="T1013" s="54">
        <v>3274.88</v>
      </c>
      <c r="U1013" s="54">
        <v>62.72</v>
      </c>
      <c r="V1013" s="54">
        <v>225.12</v>
      </c>
      <c r="W1013" s="54">
        <v>62</v>
      </c>
    </row>
    <row r="1014" spans="1:23" outlineLevel="2" x14ac:dyDescent="0.2">
      <c r="A1014" s="21" t="s">
        <v>402</v>
      </c>
      <c r="B1014" s="21" t="s">
        <v>31</v>
      </c>
      <c r="C1014" s="21" t="s">
        <v>79</v>
      </c>
      <c r="D1014" s="21" t="s">
        <v>80</v>
      </c>
      <c r="E1014" s="21" t="s">
        <v>81</v>
      </c>
      <c r="F1014" s="21" t="s">
        <v>5</v>
      </c>
      <c r="G1014" s="21" t="s">
        <v>6</v>
      </c>
      <c r="H1014" s="21" t="s">
        <v>7</v>
      </c>
      <c r="I1014" s="21" t="s">
        <v>8</v>
      </c>
      <c r="J1014" s="21" t="s">
        <v>403</v>
      </c>
      <c r="K1014" s="21" t="s">
        <v>558</v>
      </c>
      <c r="L1014" s="21" t="s">
        <v>561</v>
      </c>
      <c r="M1014" s="21" t="s">
        <v>12</v>
      </c>
      <c r="N1014" s="54">
        <v>5000</v>
      </c>
      <c r="O1014" s="54">
        <v>0</v>
      </c>
      <c r="P1014" s="54">
        <v>0</v>
      </c>
      <c r="Q1014" s="54">
        <v>5000</v>
      </c>
      <c r="R1014" s="54">
        <v>0</v>
      </c>
      <c r="S1014" s="54">
        <v>0</v>
      </c>
      <c r="T1014" s="54">
        <v>0</v>
      </c>
      <c r="U1014" s="54">
        <v>5000</v>
      </c>
      <c r="V1014" s="54">
        <v>5000</v>
      </c>
      <c r="W1014" s="54">
        <v>5000</v>
      </c>
    </row>
    <row r="1015" spans="1:23" outlineLevel="2" x14ac:dyDescent="0.2">
      <c r="A1015" s="21" t="s">
        <v>402</v>
      </c>
      <c r="B1015" s="21" t="s">
        <v>1</v>
      </c>
      <c r="C1015" s="21" t="s">
        <v>91</v>
      </c>
      <c r="D1015" s="21" t="s">
        <v>92</v>
      </c>
      <c r="E1015" s="21" t="s">
        <v>93</v>
      </c>
      <c r="F1015" s="21" t="s">
        <v>5</v>
      </c>
      <c r="G1015" s="21" t="s">
        <v>6</v>
      </c>
      <c r="H1015" s="21" t="s">
        <v>7</v>
      </c>
      <c r="I1015" s="21" t="s">
        <v>8</v>
      </c>
      <c r="J1015" s="21" t="s">
        <v>403</v>
      </c>
      <c r="K1015" s="21" t="s">
        <v>558</v>
      </c>
      <c r="L1015" s="21" t="s">
        <v>567</v>
      </c>
      <c r="M1015" s="21" t="s">
        <v>15</v>
      </c>
      <c r="N1015" s="54">
        <v>1300</v>
      </c>
      <c r="O1015" s="54">
        <v>1980</v>
      </c>
      <c r="P1015" s="54">
        <v>0</v>
      </c>
      <c r="Q1015" s="54">
        <v>3280</v>
      </c>
      <c r="R1015" s="54">
        <v>985.6</v>
      </c>
      <c r="S1015" s="54">
        <v>1841.28</v>
      </c>
      <c r="T1015" s="54">
        <v>1141.28</v>
      </c>
      <c r="U1015" s="54">
        <v>1438.72</v>
      </c>
      <c r="V1015" s="54">
        <v>2138.7199999999998</v>
      </c>
      <c r="W1015" s="54">
        <v>453.12</v>
      </c>
    </row>
    <row r="1016" spans="1:23" outlineLevel="2" x14ac:dyDescent="0.2">
      <c r="A1016" s="21" t="s">
        <v>402</v>
      </c>
      <c r="B1016" s="21" t="s">
        <v>39</v>
      </c>
      <c r="C1016" s="21" t="s">
        <v>58</v>
      </c>
      <c r="D1016" s="21" t="s">
        <v>147</v>
      </c>
      <c r="E1016" s="21" t="s">
        <v>148</v>
      </c>
      <c r="F1016" s="21" t="s">
        <v>5</v>
      </c>
      <c r="G1016" s="21" t="s">
        <v>6</v>
      </c>
      <c r="H1016" s="21" t="s">
        <v>7</v>
      </c>
      <c r="I1016" s="21" t="s">
        <v>8</v>
      </c>
      <c r="J1016" s="21" t="s">
        <v>403</v>
      </c>
      <c r="K1016" s="21" t="s">
        <v>558</v>
      </c>
      <c r="L1016" s="21" t="s">
        <v>559</v>
      </c>
      <c r="M1016" s="21" t="s">
        <v>12</v>
      </c>
      <c r="N1016" s="54">
        <v>5000</v>
      </c>
      <c r="O1016" s="54">
        <v>0</v>
      </c>
      <c r="P1016" s="54">
        <v>0</v>
      </c>
      <c r="Q1016" s="54">
        <v>5000</v>
      </c>
      <c r="R1016" s="54">
        <v>1196</v>
      </c>
      <c r="S1016" s="54">
        <v>1904</v>
      </c>
      <c r="T1016" s="54">
        <v>1904</v>
      </c>
      <c r="U1016" s="54">
        <v>3096</v>
      </c>
      <c r="V1016" s="54">
        <v>3096</v>
      </c>
      <c r="W1016" s="54">
        <v>1900</v>
      </c>
    </row>
    <row r="1017" spans="1:23" outlineLevel="2" x14ac:dyDescent="0.2">
      <c r="A1017" s="21" t="s">
        <v>402</v>
      </c>
      <c r="B1017" s="21" t="s">
        <v>39</v>
      </c>
      <c r="C1017" s="21" t="s">
        <v>58</v>
      </c>
      <c r="D1017" s="21" t="s">
        <v>145</v>
      </c>
      <c r="E1017" s="21" t="s">
        <v>146</v>
      </c>
      <c r="F1017" s="21" t="s">
        <v>5</v>
      </c>
      <c r="G1017" s="21" t="s">
        <v>6</v>
      </c>
      <c r="H1017" s="21" t="s">
        <v>7</v>
      </c>
      <c r="I1017" s="21" t="s">
        <v>8</v>
      </c>
      <c r="J1017" s="21" t="s">
        <v>403</v>
      </c>
      <c r="K1017" s="21" t="s">
        <v>558</v>
      </c>
      <c r="L1017" s="21" t="s">
        <v>559</v>
      </c>
      <c r="M1017" s="21" t="s">
        <v>12</v>
      </c>
      <c r="N1017" s="54">
        <v>12000</v>
      </c>
      <c r="O1017" s="54">
        <v>0</v>
      </c>
      <c r="P1017" s="54">
        <v>0</v>
      </c>
      <c r="Q1017" s="54">
        <v>12000</v>
      </c>
      <c r="R1017" s="54">
        <v>0.01</v>
      </c>
      <c r="S1017" s="54">
        <v>11757.33</v>
      </c>
      <c r="T1017" s="54">
        <v>5075.84</v>
      </c>
      <c r="U1017" s="54">
        <v>242.67</v>
      </c>
      <c r="V1017" s="54">
        <v>6924.16</v>
      </c>
      <c r="W1017" s="54">
        <v>242.66</v>
      </c>
    </row>
    <row r="1018" spans="1:23" outlineLevel="2" x14ac:dyDescent="0.2">
      <c r="A1018" s="21" t="s">
        <v>402</v>
      </c>
      <c r="B1018" s="21" t="s">
        <v>39</v>
      </c>
      <c r="C1018" s="21" t="s">
        <v>66</v>
      </c>
      <c r="D1018" s="21" t="s">
        <v>67</v>
      </c>
      <c r="E1018" s="21" t="s">
        <v>68</v>
      </c>
      <c r="F1018" s="21" t="s">
        <v>5</v>
      </c>
      <c r="G1018" s="21" t="s">
        <v>6</v>
      </c>
      <c r="H1018" s="21" t="s">
        <v>7</v>
      </c>
      <c r="I1018" s="21" t="s">
        <v>8</v>
      </c>
      <c r="J1018" s="21" t="s">
        <v>403</v>
      </c>
      <c r="K1018" s="21" t="s">
        <v>558</v>
      </c>
      <c r="L1018" s="21" t="s">
        <v>560</v>
      </c>
      <c r="M1018" s="21" t="s">
        <v>12</v>
      </c>
      <c r="N1018" s="54">
        <v>23874.22</v>
      </c>
      <c r="O1018" s="54">
        <v>-11397.24</v>
      </c>
      <c r="P1018" s="54">
        <v>0</v>
      </c>
      <c r="Q1018" s="54">
        <v>12476.98</v>
      </c>
      <c r="R1018" s="54">
        <v>0</v>
      </c>
      <c r="S1018" s="54">
        <v>12476.98</v>
      </c>
      <c r="T1018" s="54">
        <v>3191.36</v>
      </c>
      <c r="U1018" s="54">
        <v>0</v>
      </c>
      <c r="V1018" s="54">
        <v>9285.6200000000008</v>
      </c>
      <c r="W1018" s="54">
        <v>0</v>
      </c>
    </row>
    <row r="1019" spans="1:23" outlineLevel="2" x14ac:dyDescent="0.2">
      <c r="A1019" s="21" t="s">
        <v>402</v>
      </c>
      <c r="B1019" s="21" t="s">
        <v>39</v>
      </c>
      <c r="C1019" s="21" t="s">
        <v>58</v>
      </c>
      <c r="D1019" s="21" t="s">
        <v>149</v>
      </c>
      <c r="E1019" s="21" t="s">
        <v>150</v>
      </c>
      <c r="F1019" s="21" t="s">
        <v>5</v>
      </c>
      <c r="G1019" s="21" t="s">
        <v>6</v>
      </c>
      <c r="H1019" s="21" t="s">
        <v>7</v>
      </c>
      <c r="I1019" s="21" t="s">
        <v>8</v>
      </c>
      <c r="J1019" s="21" t="s">
        <v>403</v>
      </c>
      <c r="K1019" s="21" t="s">
        <v>558</v>
      </c>
      <c r="L1019" s="21" t="s">
        <v>559</v>
      </c>
      <c r="M1019" s="21" t="s">
        <v>12</v>
      </c>
      <c r="N1019" s="54">
        <v>10000</v>
      </c>
      <c r="O1019" s="54">
        <v>0</v>
      </c>
      <c r="P1019" s="54">
        <v>0</v>
      </c>
      <c r="Q1019" s="54">
        <v>10000</v>
      </c>
      <c r="R1019" s="54">
        <v>3360</v>
      </c>
      <c r="S1019" s="54">
        <v>28</v>
      </c>
      <c r="T1019" s="54">
        <v>28</v>
      </c>
      <c r="U1019" s="54">
        <v>9972</v>
      </c>
      <c r="V1019" s="54">
        <v>9972</v>
      </c>
      <c r="W1019" s="54">
        <v>6612</v>
      </c>
    </row>
    <row r="1020" spans="1:23" outlineLevel="2" x14ac:dyDescent="0.2">
      <c r="A1020" s="21" t="s">
        <v>402</v>
      </c>
      <c r="B1020" s="21" t="s">
        <v>39</v>
      </c>
      <c r="C1020" s="21" t="s">
        <v>70</v>
      </c>
      <c r="D1020" s="21" t="s">
        <v>89</v>
      </c>
      <c r="E1020" s="21" t="s">
        <v>90</v>
      </c>
      <c r="F1020" s="21" t="s">
        <v>5</v>
      </c>
      <c r="G1020" s="21" t="s">
        <v>6</v>
      </c>
      <c r="H1020" s="21" t="s">
        <v>7</v>
      </c>
      <c r="I1020" s="21" t="s">
        <v>8</v>
      </c>
      <c r="J1020" s="21" t="s">
        <v>403</v>
      </c>
      <c r="K1020" s="21" t="s">
        <v>558</v>
      </c>
      <c r="L1020" s="21" t="s">
        <v>562</v>
      </c>
      <c r="M1020" s="21" t="s">
        <v>12</v>
      </c>
      <c r="N1020" s="54">
        <v>10000</v>
      </c>
      <c r="O1020" s="54">
        <v>-1850</v>
      </c>
      <c r="P1020" s="54">
        <v>0</v>
      </c>
      <c r="Q1020" s="54">
        <v>8150</v>
      </c>
      <c r="R1020" s="54">
        <v>0</v>
      </c>
      <c r="S1020" s="54">
        <v>200</v>
      </c>
      <c r="T1020" s="54">
        <v>0</v>
      </c>
      <c r="U1020" s="54">
        <v>7950</v>
      </c>
      <c r="V1020" s="54">
        <v>8150</v>
      </c>
      <c r="W1020" s="54">
        <v>7950</v>
      </c>
    </row>
    <row r="1021" spans="1:23" outlineLevel="2" x14ac:dyDescent="0.2">
      <c r="A1021" s="21" t="s">
        <v>402</v>
      </c>
      <c r="B1021" s="21" t="s">
        <v>31</v>
      </c>
      <c r="C1021" s="21" t="s">
        <v>32</v>
      </c>
      <c r="D1021" s="21" t="s">
        <v>33</v>
      </c>
      <c r="E1021" s="21" t="s">
        <v>34</v>
      </c>
      <c r="F1021" s="21" t="s">
        <v>5</v>
      </c>
      <c r="G1021" s="21" t="s">
        <v>6</v>
      </c>
      <c r="H1021" s="21" t="s">
        <v>7</v>
      </c>
      <c r="I1021" s="21" t="s">
        <v>8</v>
      </c>
      <c r="J1021" s="21" t="s">
        <v>403</v>
      </c>
      <c r="K1021" s="21" t="s">
        <v>558</v>
      </c>
      <c r="L1021" s="21" t="s">
        <v>563</v>
      </c>
      <c r="M1021" s="21" t="s">
        <v>12</v>
      </c>
      <c r="N1021" s="54">
        <v>170000</v>
      </c>
      <c r="O1021" s="54">
        <v>-119040.96000000001</v>
      </c>
      <c r="P1021" s="54">
        <v>0</v>
      </c>
      <c r="Q1021" s="54">
        <v>50959.040000000001</v>
      </c>
      <c r="R1021" s="54">
        <v>1998.08</v>
      </c>
      <c r="S1021" s="54">
        <v>25122.66</v>
      </c>
      <c r="T1021" s="54">
        <v>15207.56</v>
      </c>
      <c r="U1021" s="54">
        <v>25836.38</v>
      </c>
      <c r="V1021" s="54">
        <v>35751.480000000003</v>
      </c>
      <c r="W1021" s="54">
        <v>23838.3</v>
      </c>
    </row>
    <row r="1022" spans="1:23" outlineLevel="2" x14ac:dyDescent="0.2">
      <c r="A1022" s="21" t="s">
        <v>402</v>
      </c>
      <c r="B1022" s="21" t="s">
        <v>31</v>
      </c>
      <c r="C1022" s="21" t="s">
        <v>79</v>
      </c>
      <c r="D1022" s="21" t="s">
        <v>127</v>
      </c>
      <c r="E1022" s="21" t="s">
        <v>128</v>
      </c>
      <c r="F1022" s="21" t="s">
        <v>5</v>
      </c>
      <c r="G1022" s="21" t="s">
        <v>6</v>
      </c>
      <c r="H1022" s="21" t="s">
        <v>7</v>
      </c>
      <c r="I1022" s="21" t="s">
        <v>8</v>
      </c>
      <c r="J1022" s="21" t="s">
        <v>403</v>
      </c>
      <c r="K1022" s="21" t="s">
        <v>558</v>
      </c>
      <c r="L1022" s="21" t="s">
        <v>561</v>
      </c>
      <c r="M1022" s="21" t="s">
        <v>12</v>
      </c>
      <c r="N1022" s="54">
        <v>500</v>
      </c>
      <c r="O1022" s="54">
        <v>-500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</row>
    <row r="1023" spans="1:23" outlineLevel="2" x14ac:dyDescent="0.2">
      <c r="A1023" s="21" t="s">
        <v>402</v>
      </c>
      <c r="B1023" s="21" t="s">
        <v>31</v>
      </c>
      <c r="C1023" s="21" t="s">
        <v>79</v>
      </c>
      <c r="D1023" s="21" t="s">
        <v>115</v>
      </c>
      <c r="E1023" s="21" t="s">
        <v>116</v>
      </c>
      <c r="F1023" s="21" t="s">
        <v>5</v>
      </c>
      <c r="G1023" s="21" t="s">
        <v>6</v>
      </c>
      <c r="H1023" s="21" t="s">
        <v>7</v>
      </c>
      <c r="I1023" s="21" t="s">
        <v>8</v>
      </c>
      <c r="J1023" s="21" t="s">
        <v>403</v>
      </c>
      <c r="K1023" s="21" t="s">
        <v>558</v>
      </c>
      <c r="L1023" s="21" t="s">
        <v>561</v>
      </c>
      <c r="M1023" s="21" t="s">
        <v>12</v>
      </c>
      <c r="N1023" s="54">
        <v>1000</v>
      </c>
      <c r="O1023" s="54">
        <v>0</v>
      </c>
      <c r="P1023" s="54">
        <v>0</v>
      </c>
      <c r="Q1023" s="54">
        <v>1000</v>
      </c>
      <c r="R1023" s="54">
        <v>0</v>
      </c>
      <c r="S1023" s="54">
        <v>0</v>
      </c>
      <c r="T1023" s="54">
        <v>0</v>
      </c>
      <c r="U1023" s="54">
        <v>1000</v>
      </c>
      <c r="V1023" s="54">
        <v>1000</v>
      </c>
      <c r="W1023" s="54">
        <v>1000</v>
      </c>
    </row>
    <row r="1024" spans="1:23" outlineLevel="2" x14ac:dyDescent="0.2">
      <c r="A1024" s="21" t="s">
        <v>402</v>
      </c>
      <c r="B1024" s="21" t="s">
        <v>1</v>
      </c>
      <c r="C1024" s="21" t="s">
        <v>2</v>
      </c>
      <c r="D1024" s="21" t="s">
        <v>410</v>
      </c>
      <c r="E1024" s="21" t="s">
        <v>411</v>
      </c>
      <c r="F1024" s="21" t="s">
        <v>5</v>
      </c>
      <c r="G1024" s="21" t="s">
        <v>6</v>
      </c>
      <c r="H1024" s="21" t="s">
        <v>7</v>
      </c>
      <c r="I1024" s="21" t="s">
        <v>8</v>
      </c>
      <c r="J1024" s="21" t="s">
        <v>403</v>
      </c>
      <c r="K1024" s="21" t="s">
        <v>558</v>
      </c>
      <c r="L1024" s="21" t="s">
        <v>566</v>
      </c>
      <c r="M1024" s="21" t="s">
        <v>15</v>
      </c>
      <c r="N1024" s="54">
        <v>184512</v>
      </c>
      <c r="O1024" s="54">
        <v>0</v>
      </c>
      <c r="P1024" s="54">
        <v>0</v>
      </c>
      <c r="Q1024" s="54">
        <v>184512</v>
      </c>
      <c r="R1024" s="54">
        <v>15462.14</v>
      </c>
      <c r="S1024" s="54">
        <v>87614.36</v>
      </c>
      <c r="T1024" s="54">
        <v>68067.33</v>
      </c>
      <c r="U1024" s="54">
        <v>96897.64</v>
      </c>
      <c r="V1024" s="54">
        <v>116444.67</v>
      </c>
      <c r="W1024" s="54">
        <v>81435.5</v>
      </c>
    </row>
    <row r="1025" spans="1:23" outlineLevel="2" x14ac:dyDescent="0.2">
      <c r="A1025" s="21" t="s">
        <v>402</v>
      </c>
      <c r="B1025" s="21" t="s">
        <v>31</v>
      </c>
      <c r="C1025" s="21" t="s">
        <v>79</v>
      </c>
      <c r="D1025" s="21" t="s">
        <v>117</v>
      </c>
      <c r="E1025" s="21" t="s">
        <v>118</v>
      </c>
      <c r="F1025" s="21" t="s">
        <v>5</v>
      </c>
      <c r="G1025" s="21" t="s">
        <v>6</v>
      </c>
      <c r="H1025" s="21" t="s">
        <v>7</v>
      </c>
      <c r="I1025" s="21" t="s">
        <v>8</v>
      </c>
      <c r="J1025" s="21" t="s">
        <v>403</v>
      </c>
      <c r="K1025" s="21" t="s">
        <v>558</v>
      </c>
      <c r="L1025" s="21" t="s">
        <v>561</v>
      </c>
      <c r="M1025" s="21" t="s">
        <v>12</v>
      </c>
      <c r="N1025" s="54">
        <v>6000</v>
      </c>
      <c r="O1025" s="54">
        <v>1000</v>
      </c>
      <c r="P1025" s="54">
        <v>0</v>
      </c>
      <c r="Q1025" s="54">
        <v>7000</v>
      </c>
      <c r="R1025" s="54">
        <v>981.73</v>
      </c>
      <c r="S1025" s="54">
        <v>3046.27</v>
      </c>
      <c r="T1025" s="54">
        <v>1657.53</v>
      </c>
      <c r="U1025" s="54">
        <v>3953.73</v>
      </c>
      <c r="V1025" s="54">
        <v>5342.47</v>
      </c>
      <c r="W1025" s="54">
        <v>2972</v>
      </c>
    </row>
    <row r="1026" spans="1:23" outlineLevel="2" x14ac:dyDescent="0.2">
      <c r="A1026" s="21" t="s">
        <v>402</v>
      </c>
      <c r="B1026" s="21" t="s">
        <v>39</v>
      </c>
      <c r="C1026" s="21" t="s">
        <v>58</v>
      </c>
      <c r="D1026" s="21" t="s">
        <v>139</v>
      </c>
      <c r="E1026" s="21" t="s">
        <v>140</v>
      </c>
      <c r="F1026" s="21" t="s">
        <v>5</v>
      </c>
      <c r="G1026" s="21" t="s">
        <v>6</v>
      </c>
      <c r="H1026" s="21" t="s">
        <v>7</v>
      </c>
      <c r="I1026" s="21" t="s">
        <v>8</v>
      </c>
      <c r="J1026" s="21" t="s">
        <v>403</v>
      </c>
      <c r="K1026" s="21" t="s">
        <v>558</v>
      </c>
      <c r="L1026" s="21" t="s">
        <v>559</v>
      </c>
      <c r="M1026" s="21" t="s">
        <v>12</v>
      </c>
      <c r="N1026" s="54">
        <v>0</v>
      </c>
      <c r="O1026" s="54">
        <v>6200</v>
      </c>
      <c r="P1026" s="54">
        <v>0</v>
      </c>
      <c r="Q1026" s="54">
        <v>6200</v>
      </c>
      <c r="R1026" s="54">
        <v>2000</v>
      </c>
      <c r="S1026" s="54">
        <v>0</v>
      </c>
      <c r="T1026" s="54">
        <v>0</v>
      </c>
      <c r="U1026" s="54">
        <v>6200</v>
      </c>
      <c r="V1026" s="54">
        <v>6200</v>
      </c>
      <c r="W1026" s="54">
        <v>4200</v>
      </c>
    </row>
    <row r="1027" spans="1:23" outlineLevel="2" x14ac:dyDescent="0.2">
      <c r="A1027" s="21" t="s">
        <v>402</v>
      </c>
      <c r="B1027" s="21" t="s">
        <v>31</v>
      </c>
      <c r="C1027" s="21" t="s">
        <v>79</v>
      </c>
      <c r="D1027" s="21" t="s">
        <v>83</v>
      </c>
      <c r="E1027" s="21" t="s">
        <v>84</v>
      </c>
      <c r="F1027" s="21" t="s">
        <v>5</v>
      </c>
      <c r="G1027" s="21" t="s">
        <v>6</v>
      </c>
      <c r="H1027" s="21" t="s">
        <v>7</v>
      </c>
      <c r="I1027" s="21" t="s">
        <v>8</v>
      </c>
      <c r="J1027" s="21" t="s">
        <v>403</v>
      </c>
      <c r="K1027" s="21" t="s">
        <v>558</v>
      </c>
      <c r="L1027" s="21" t="s">
        <v>561</v>
      </c>
      <c r="M1027" s="21" t="s">
        <v>12</v>
      </c>
      <c r="N1027" s="54">
        <v>14000</v>
      </c>
      <c r="O1027" s="54">
        <v>0</v>
      </c>
      <c r="P1027" s="54">
        <v>0</v>
      </c>
      <c r="Q1027" s="54">
        <v>14000</v>
      </c>
      <c r="R1027" s="54">
        <v>0</v>
      </c>
      <c r="S1027" s="54">
        <v>0</v>
      </c>
      <c r="T1027" s="54">
        <v>0</v>
      </c>
      <c r="U1027" s="54">
        <v>14000</v>
      </c>
      <c r="V1027" s="54">
        <v>14000</v>
      </c>
      <c r="W1027" s="54">
        <v>14000</v>
      </c>
    </row>
    <row r="1028" spans="1:23" outlineLevel="2" x14ac:dyDescent="0.2">
      <c r="A1028" s="21" t="s">
        <v>402</v>
      </c>
      <c r="B1028" s="21" t="s">
        <v>39</v>
      </c>
      <c r="C1028" s="21" t="s">
        <v>95</v>
      </c>
      <c r="D1028" s="21" t="s">
        <v>96</v>
      </c>
      <c r="E1028" s="21" t="s">
        <v>97</v>
      </c>
      <c r="F1028" s="21" t="s">
        <v>5</v>
      </c>
      <c r="G1028" s="21" t="s">
        <v>6</v>
      </c>
      <c r="H1028" s="21" t="s">
        <v>7</v>
      </c>
      <c r="I1028" s="21" t="s">
        <v>8</v>
      </c>
      <c r="J1028" s="21" t="s">
        <v>403</v>
      </c>
      <c r="K1028" s="21" t="s">
        <v>558</v>
      </c>
      <c r="L1028" s="21" t="s">
        <v>564</v>
      </c>
      <c r="M1028" s="21" t="s">
        <v>12</v>
      </c>
      <c r="N1028" s="54">
        <v>6000</v>
      </c>
      <c r="O1028" s="54">
        <v>11750</v>
      </c>
      <c r="P1028" s="54">
        <v>0</v>
      </c>
      <c r="Q1028" s="54">
        <v>17750</v>
      </c>
      <c r="R1028" s="54">
        <v>0</v>
      </c>
      <c r="S1028" s="54">
        <v>0</v>
      </c>
      <c r="T1028" s="54">
        <v>0</v>
      </c>
      <c r="U1028" s="54">
        <v>17750</v>
      </c>
      <c r="V1028" s="54">
        <v>17750</v>
      </c>
      <c r="W1028" s="54">
        <v>17750</v>
      </c>
    </row>
    <row r="1029" spans="1:23" outlineLevel="2" x14ac:dyDescent="0.2">
      <c r="A1029" s="21" t="s">
        <v>402</v>
      </c>
      <c r="B1029" s="21" t="s">
        <v>1</v>
      </c>
      <c r="C1029" s="21" t="s">
        <v>2</v>
      </c>
      <c r="D1029" s="21" t="s">
        <v>3</v>
      </c>
      <c r="E1029" s="21" t="s">
        <v>4</v>
      </c>
      <c r="F1029" s="21" t="s">
        <v>5</v>
      </c>
      <c r="G1029" s="21" t="s">
        <v>6</v>
      </c>
      <c r="H1029" s="21" t="s">
        <v>7</v>
      </c>
      <c r="I1029" s="21" t="s">
        <v>8</v>
      </c>
      <c r="J1029" s="21" t="s">
        <v>403</v>
      </c>
      <c r="K1029" s="21" t="s">
        <v>558</v>
      </c>
      <c r="L1029" s="21" t="s">
        <v>566</v>
      </c>
      <c r="M1029" s="21" t="s">
        <v>15</v>
      </c>
      <c r="N1029" s="54">
        <v>1000</v>
      </c>
      <c r="O1029" s="54">
        <v>1020.14</v>
      </c>
      <c r="P1029" s="54">
        <v>0</v>
      </c>
      <c r="Q1029" s="54">
        <v>2020.14</v>
      </c>
      <c r="R1029" s="54">
        <v>0</v>
      </c>
      <c r="S1029" s="54">
        <v>1669.74</v>
      </c>
      <c r="T1029" s="54">
        <v>901.88</v>
      </c>
      <c r="U1029" s="54">
        <v>350.4</v>
      </c>
      <c r="V1029" s="54">
        <v>1118.26</v>
      </c>
      <c r="W1029" s="54">
        <v>350.4</v>
      </c>
    </row>
    <row r="1030" spans="1:23" outlineLevel="2" x14ac:dyDescent="0.2">
      <c r="A1030" s="21" t="s">
        <v>402</v>
      </c>
      <c r="B1030" s="21" t="s">
        <v>39</v>
      </c>
      <c r="C1030" s="21" t="s">
        <v>58</v>
      </c>
      <c r="D1030" s="21" t="s">
        <v>135</v>
      </c>
      <c r="E1030" s="21" t="s">
        <v>136</v>
      </c>
      <c r="F1030" s="21" t="s">
        <v>5</v>
      </c>
      <c r="G1030" s="21" t="s">
        <v>6</v>
      </c>
      <c r="H1030" s="21" t="s">
        <v>7</v>
      </c>
      <c r="I1030" s="21" t="s">
        <v>8</v>
      </c>
      <c r="J1030" s="21" t="s">
        <v>403</v>
      </c>
      <c r="K1030" s="21" t="s">
        <v>558</v>
      </c>
      <c r="L1030" s="21" t="s">
        <v>559</v>
      </c>
      <c r="M1030" s="21" t="s">
        <v>12</v>
      </c>
      <c r="N1030" s="54">
        <v>3000</v>
      </c>
      <c r="O1030" s="54">
        <v>16734.12</v>
      </c>
      <c r="P1030" s="54">
        <v>0</v>
      </c>
      <c r="Q1030" s="54">
        <v>19734.12</v>
      </c>
      <c r="R1030" s="54">
        <v>265.44</v>
      </c>
      <c r="S1030" s="54">
        <v>6613.62</v>
      </c>
      <c r="T1030" s="54">
        <v>106</v>
      </c>
      <c r="U1030" s="54">
        <v>13120.5</v>
      </c>
      <c r="V1030" s="54">
        <v>19628.12</v>
      </c>
      <c r="W1030" s="54">
        <v>12855.06</v>
      </c>
    </row>
    <row r="1031" spans="1:23" outlineLevel="2" x14ac:dyDescent="0.2">
      <c r="A1031" s="21" t="s">
        <v>402</v>
      </c>
      <c r="B1031" s="21" t="s">
        <v>39</v>
      </c>
      <c r="C1031" s="21" t="s">
        <v>58</v>
      </c>
      <c r="D1031" s="21" t="s">
        <v>59</v>
      </c>
      <c r="E1031" s="21" t="s">
        <v>60</v>
      </c>
      <c r="F1031" s="21" t="s">
        <v>5</v>
      </c>
      <c r="G1031" s="21" t="s">
        <v>6</v>
      </c>
      <c r="H1031" s="21" t="s">
        <v>7</v>
      </c>
      <c r="I1031" s="21" t="s">
        <v>8</v>
      </c>
      <c r="J1031" s="21" t="s">
        <v>403</v>
      </c>
      <c r="K1031" s="21" t="s">
        <v>558</v>
      </c>
      <c r="L1031" s="21" t="s">
        <v>559</v>
      </c>
      <c r="M1031" s="21" t="s">
        <v>12</v>
      </c>
      <c r="N1031" s="54">
        <v>0</v>
      </c>
      <c r="O1031" s="54">
        <v>5124.3</v>
      </c>
      <c r="P1031" s="54">
        <v>0</v>
      </c>
      <c r="Q1031" s="54">
        <v>5124.3</v>
      </c>
      <c r="R1031" s="54">
        <v>0</v>
      </c>
      <c r="S1031" s="54">
        <v>5124.29</v>
      </c>
      <c r="T1031" s="54">
        <v>5124.29</v>
      </c>
      <c r="U1031" s="54">
        <v>0.01</v>
      </c>
      <c r="V1031" s="54">
        <v>0.01</v>
      </c>
      <c r="W1031" s="54">
        <v>0.01</v>
      </c>
    </row>
    <row r="1032" spans="1:23" outlineLevel="2" x14ac:dyDescent="0.2">
      <c r="A1032" s="21" t="s">
        <v>402</v>
      </c>
      <c r="B1032" s="21" t="s">
        <v>39</v>
      </c>
      <c r="C1032" s="21" t="s">
        <v>58</v>
      </c>
      <c r="D1032" s="21" t="s">
        <v>143</v>
      </c>
      <c r="E1032" s="21" t="s">
        <v>144</v>
      </c>
      <c r="F1032" s="21" t="s">
        <v>5</v>
      </c>
      <c r="G1032" s="21" t="s">
        <v>6</v>
      </c>
      <c r="H1032" s="21" t="s">
        <v>7</v>
      </c>
      <c r="I1032" s="21" t="s">
        <v>8</v>
      </c>
      <c r="J1032" s="21" t="s">
        <v>403</v>
      </c>
      <c r="K1032" s="21" t="s">
        <v>558</v>
      </c>
      <c r="L1032" s="21" t="s">
        <v>559</v>
      </c>
      <c r="M1032" s="21" t="s">
        <v>12</v>
      </c>
      <c r="N1032" s="54">
        <v>3000</v>
      </c>
      <c r="O1032" s="54">
        <v>0</v>
      </c>
      <c r="P1032" s="54">
        <v>0</v>
      </c>
      <c r="Q1032" s="54">
        <v>3000</v>
      </c>
      <c r="R1032" s="54">
        <v>0</v>
      </c>
      <c r="S1032" s="54">
        <v>560</v>
      </c>
      <c r="T1032" s="54">
        <v>560</v>
      </c>
      <c r="U1032" s="54">
        <v>2440</v>
      </c>
      <c r="V1032" s="54">
        <v>2440</v>
      </c>
      <c r="W1032" s="54">
        <v>2440</v>
      </c>
    </row>
    <row r="1033" spans="1:23" outlineLevel="2" x14ac:dyDescent="0.2">
      <c r="A1033" s="21" t="s">
        <v>402</v>
      </c>
      <c r="B1033" s="21" t="s">
        <v>53</v>
      </c>
      <c r="C1033" s="21" t="s">
        <v>54</v>
      </c>
      <c r="D1033" s="21" t="s">
        <v>55</v>
      </c>
      <c r="E1033" s="21" t="s">
        <v>56</v>
      </c>
      <c r="F1033" s="21" t="s">
        <v>5</v>
      </c>
      <c r="G1033" s="21" t="s">
        <v>6</v>
      </c>
      <c r="H1033" s="21" t="s">
        <v>7</v>
      </c>
      <c r="I1033" s="21" t="s">
        <v>8</v>
      </c>
      <c r="J1033" s="21" t="s">
        <v>403</v>
      </c>
      <c r="K1033" s="21" t="s">
        <v>558</v>
      </c>
      <c r="L1033" s="21" t="s">
        <v>565</v>
      </c>
      <c r="M1033" s="21" t="s">
        <v>12</v>
      </c>
      <c r="N1033" s="54">
        <v>7500</v>
      </c>
      <c r="O1033" s="54">
        <v>-948</v>
      </c>
      <c r="P1033" s="54">
        <v>0</v>
      </c>
      <c r="Q1033" s="54">
        <v>6552</v>
      </c>
      <c r="R1033" s="54">
        <v>0</v>
      </c>
      <c r="S1033" s="54">
        <v>6552</v>
      </c>
      <c r="T1033" s="54">
        <v>4914</v>
      </c>
      <c r="U1033" s="54">
        <v>0</v>
      </c>
      <c r="V1033" s="54">
        <v>1638</v>
      </c>
      <c r="W1033" s="54">
        <v>0</v>
      </c>
    </row>
    <row r="1034" spans="1:23" outlineLevel="2" x14ac:dyDescent="0.2">
      <c r="A1034" s="21" t="s">
        <v>402</v>
      </c>
      <c r="B1034" s="21" t="s">
        <v>1</v>
      </c>
      <c r="C1034" s="21" t="s">
        <v>91</v>
      </c>
      <c r="D1034" s="21" t="s">
        <v>92</v>
      </c>
      <c r="E1034" s="21" t="s">
        <v>93</v>
      </c>
      <c r="F1034" s="21" t="s">
        <v>5</v>
      </c>
      <c r="G1034" s="21" t="s">
        <v>6</v>
      </c>
      <c r="H1034" s="21" t="s">
        <v>7</v>
      </c>
      <c r="I1034" s="21" t="s">
        <v>8</v>
      </c>
      <c r="J1034" s="21" t="s">
        <v>403</v>
      </c>
      <c r="K1034" s="21" t="s">
        <v>568</v>
      </c>
      <c r="L1034" s="21" t="s">
        <v>569</v>
      </c>
      <c r="M1034" s="21" t="s">
        <v>15</v>
      </c>
      <c r="N1034" s="54">
        <v>0</v>
      </c>
      <c r="O1034" s="54">
        <v>14700</v>
      </c>
      <c r="P1034" s="54">
        <v>0</v>
      </c>
      <c r="Q1034" s="54">
        <v>14700</v>
      </c>
      <c r="R1034" s="54">
        <v>0</v>
      </c>
      <c r="S1034" s="54">
        <v>4081.62</v>
      </c>
      <c r="T1034" s="54">
        <v>3225.5</v>
      </c>
      <c r="U1034" s="54">
        <v>10618.38</v>
      </c>
      <c r="V1034" s="54">
        <v>11474.5</v>
      </c>
      <c r="W1034" s="54">
        <v>10618.38</v>
      </c>
    </row>
    <row r="1035" spans="1:23" outlineLevel="2" x14ac:dyDescent="0.2">
      <c r="A1035" s="21" t="s">
        <v>402</v>
      </c>
      <c r="B1035" s="21" t="s">
        <v>31</v>
      </c>
      <c r="C1035" s="21" t="s">
        <v>79</v>
      </c>
      <c r="D1035" s="21" t="s">
        <v>117</v>
      </c>
      <c r="E1035" s="21" t="s">
        <v>118</v>
      </c>
      <c r="F1035" s="21" t="s">
        <v>5</v>
      </c>
      <c r="G1035" s="21" t="s">
        <v>6</v>
      </c>
      <c r="H1035" s="21" t="s">
        <v>7</v>
      </c>
      <c r="I1035" s="21" t="s">
        <v>8</v>
      </c>
      <c r="J1035" s="21" t="s">
        <v>403</v>
      </c>
      <c r="K1035" s="21" t="s">
        <v>568</v>
      </c>
      <c r="L1035" s="21" t="s">
        <v>571</v>
      </c>
      <c r="M1035" s="21" t="s">
        <v>12</v>
      </c>
      <c r="N1035" s="54">
        <v>2000</v>
      </c>
      <c r="O1035" s="54">
        <v>0</v>
      </c>
      <c r="P1035" s="54">
        <v>0</v>
      </c>
      <c r="Q1035" s="54">
        <v>2000</v>
      </c>
      <c r="R1035" s="54">
        <v>0</v>
      </c>
      <c r="S1035" s="54">
        <v>340.48</v>
      </c>
      <c r="T1035" s="54">
        <v>340.48</v>
      </c>
      <c r="U1035" s="54">
        <v>1659.52</v>
      </c>
      <c r="V1035" s="54">
        <v>1659.52</v>
      </c>
      <c r="W1035" s="54">
        <v>1659.52</v>
      </c>
    </row>
    <row r="1036" spans="1:23" outlineLevel="2" x14ac:dyDescent="0.2">
      <c r="A1036" s="21" t="s">
        <v>402</v>
      </c>
      <c r="B1036" s="21" t="s">
        <v>39</v>
      </c>
      <c r="C1036" s="21" t="s">
        <v>58</v>
      </c>
      <c r="D1036" s="21" t="s">
        <v>59</v>
      </c>
      <c r="E1036" s="21" t="s">
        <v>60</v>
      </c>
      <c r="F1036" s="21" t="s">
        <v>5</v>
      </c>
      <c r="G1036" s="21" t="s">
        <v>6</v>
      </c>
      <c r="H1036" s="21" t="s">
        <v>7</v>
      </c>
      <c r="I1036" s="21" t="s">
        <v>8</v>
      </c>
      <c r="J1036" s="21" t="s">
        <v>403</v>
      </c>
      <c r="K1036" s="21" t="s">
        <v>568</v>
      </c>
      <c r="L1036" s="21" t="s">
        <v>570</v>
      </c>
      <c r="M1036" s="21" t="s">
        <v>12</v>
      </c>
      <c r="N1036" s="54">
        <v>5000</v>
      </c>
      <c r="O1036" s="54">
        <v>10375.700000000001</v>
      </c>
      <c r="P1036" s="54">
        <v>0</v>
      </c>
      <c r="Q1036" s="54">
        <v>15375.7</v>
      </c>
      <c r="R1036" s="54">
        <v>0</v>
      </c>
      <c r="S1036" s="54">
        <v>5463.92</v>
      </c>
      <c r="T1036" s="54">
        <v>5463.92</v>
      </c>
      <c r="U1036" s="54">
        <v>9911.7800000000007</v>
      </c>
      <c r="V1036" s="54">
        <v>9911.7800000000007</v>
      </c>
      <c r="W1036" s="54">
        <v>9911.7800000000007</v>
      </c>
    </row>
    <row r="1037" spans="1:23" outlineLevel="2" x14ac:dyDescent="0.2">
      <c r="A1037" s="21" t="s">
        <v>402</v>
      </c>
      <c r="B1037" s="21" t="s">
        <v>39</v>
      </c>
      <c r="C1037" s="21" t="s">
        <v>58</v>
      </c>
      <c r="D1037" s="21" t="s">
        <v>135</v>
      </c>
      <c r="E1037" s="21" t="s">
        <v>136</v>
      </c>
      <c r="F1037" s="21" t="s">
        <v>5</v>
      </c>
      <c r="G1037" s="21" t="s">
        <v>6</v>
      </c>
      <c r="H1037" s="21" t="s">
        <v>7</v>
      </c>
      <c r="I1037" s="21" t="s">
        <v>8</v>
      </c>
      <c r="J1037" s="21" t="s">
        <v>403</v>
      </c>
      <c r="K1037" s="21" t="s">
        <v>568</v>
      </c>
      <c r="L1037" s="21" t="s">
        <v>570</v>
      </c>
      <c r="M1037" s="21" t="s">
        <v>12</v>
      </c>
      <c r="N1037" s="54">
        <v>3000</v>
      </c>
      <c r="O1037" s="54">
        <v>7237.73</v>
      </c>
      <c r="P1037" s="54">
        <v>0</v>
      </c>
      <c r="Q1037" s="54">
        <v>10237.73</v>
      </c>
      <c r="R1037" s="54">
        <v>38.08</v>
      </c>
      <c r="S1037" s="54">
        <v>7452.03</v>
      </c>
      <c r="T1037" s="54">
        <v>30.27</v>
      </c>
      <c r="U1037" s="54">
        <v>2785.7</v>
      </c>
      <c r="V1037" s="54">
        <v>10207.459999999999</v>
      </c>
      <c r="W1037" s="54">
        <v>2747.62</v>
      </c>
    </row>
    <row r="1038" spans="1:23" outlineLevel="2" x14ac:dyDescent="0.2">
      <c r="A1038" s="21" t="s">
        <v>402</v>
      </c>
      <c r="B1038" s="21" t="s">
        <v>31</v>
      </c>
      <c r="C1038" s="21" t="s">
        <v>32</v>
      </c>
      <c r="D1038" s="21" t="s">
        <v>75</v>
      </c>
      <c r="E1038" s="21" t="s">
        <v>76</v>
      </c>
      <c r="F1038" s="21" t="s">
        <v>5</v>
      </c>
      <c r="G1038" s="21" t="s">
        <v>6</v>
      </c>
      <c r="H1038" s="21" t="s">
        <v>7</v>
      </c>
      <c r="I1038" s="21" t="s">
        <v>8</v>
      </c>
      <c r="J1038" s="21" t="s">
        <v>403</v>
      </c>
      <c r="K1038" s="21" t="s">
        <v>568</v>
      </c>
      <c r="L1038" s="21" t="s">
        <v>572</v>
      </c>
      <c r="M1038" s="21" t="s">
        <v>12</v>
      </c>
      <c r="N1038" s="54">
        <v>10000</v>
      </c>
      <c r="O1038" s="54">
        <v>2000</v>
      </c>
      <c r="P1038" s="54">
        <v>0</v>
      </c>
      <c r="Q1038" s="54">
        <v>12000</v>
      </c>
      <c r="R1038" s="54">
        <v>0</v>
      </c>
      <c r="S1038" s="54">
        <v>1220.8</v>
      </c>
      <c r="T1038" s="54">
        <v>918.4</v>
      </c>
      <c r="U1038" s="54">
        <v>10779.2</v>
      </c>
      <c r="V1038" s="54">
        <v>11081.6</v>
      </c>
      <c r="W1038" s="54">
        <v>10779.2</v>
      </c>
    </row>
    <row r="1039" spans="1:23" outlineLevel="2" x14ac:dyDescent="0.2">
      <c r="A1039" s="21" t="s">
        <v>402</v>
      </c>
      <c r="B1039" s="21" t="s">
        <v>31</v>
      </c>
      <c r="C1039" s="21" t="s">
        <v>32</v>
      </c>
      <c r="D1039" s="21" t="s">
        <v>33</v>
      </c>
      <c r="E1039" s="21" t="s">
        <v>34</v>
      </c>
      <c r="F1039" s="21" t="s">
        <v>5</v>
      </c>
      <c r="G1039" s="21" t="s">
        <v>6</v>
      </c>
      <c r="H1039" s="21" t="s">
        <v>7</v>
      </c>
      <c r="I1039" s="21" t="s">
        <v>8</v>
      </c>
      <c r="J1039" s="21" t="s">
        <v>403</v>
      </c>
      <c r="K1039" s="21" t="s">
        <v>568</v>
      </c>
      <c r="L1039" s="21" t="s">
        <v>572</v>
      </c>
      <c r="M1039" s="21" t="s">
        <v>12</v>
      </c>
      <c r="N1039" s="54">
        <v>16000</v>
      </c>
      <c r="O1039" s="54">
        <v>-3000</v>
      </c>
      <c r="P1039" s="54">
        <v>0</v>
      </c>
      <c r="Q1039" s="54">
        <v>13000</v>
      </c>
      <c r="R1039" s="54">
        <v>2084.3200000000002</v>
      </c>
      <c r="S1039" s="54">
        <v>647.4</v>
      </c>
      <c r="T1039" s="54">
        <v>67.239999999999995</v>
      </c>
      <c r="U1039" s="54">
        <v>12352.6</v>
      </c>
      <c r="V1039" s="54">
        <v>12932.76</v>
      </c>
      <c r="W1039" s="54">
        <v>10268.280000000001</v>
      </c>
    </row>
    <row r="1040" spans="1:23" outlineLevel="2" x14ac:dyDescent="0.2">
      <c r="A1040" s="21" t="s">
        <v>402</v>
      </c>
      <c r="B1040" s="21" t="s">
        <v>1</v>
      </c>
      <c r="C1040" s="21" t="s">
        <v>2</v>
      </c>
      <c r="D1040" s="21" t="s">
        <v>410</v>
      </c>
      <c r="E1040" s="21" t="s">
        <v>411</v>
      </c>
      <c r="F1040" s="21" t="s">
        <v>5</v>
      </c>
      <c r="G1040" s="21" t="s">
        <v>6</v>
      </c>
      <c r="H1040" s="21" t="s">
        <v>7</v>
      </c>
      <c r="I1040" s="21" t="s">
        <v>8</v>
      </c>
      <c r="J1040" s="21" t="s">
        <v>403</v>
      </c>
      <c r="K1040" s="21" t="s">
        <v>568</v>
      </c>
      <c r="L1040" s="21" t="s">
        <v>574</v>
      </c>
      <c r="M1040" s="21" t="s">
        <v>15</v>
      </c>
      <c r="N1040" s="54">
        <v>266406</v>
      </c>
      <c r="O1040" s="54">
        <v>0</v>
      </c>
      <c r="P1040" s="54">
        <v>0</v>
      </c>
      <c r="Q1040" s="54">
        <v>266406</v>
      </c>
      <c r="R1040" s="54">
        <v>2059.29</v>
      </c>
      <c r="S1040" s="54">
        <v>189000.82</v>
      </c>
      <c r="T1040" s="54">
        <v>61286.9</v>
      </c>
      <c r="U1040" s="54">
        <v>77405.179999999993</v>
      </c>
      <c r="V1040" s="54">
        <v>205119.1</v>
      </c>
      <c r="W1040" s="54">
        <v>75345.89</v>
      </c>
    </row>
    <row r="1041" spans="1:23" outlineLevel="2" x14ac:dyDescent="0.2">
      <c r="A1041" s="21" t="s">
        <v>402</v>
      </c>
      <c r="B1041" s="21" t="s">
        <v>31</v>
      </c>
      <c r="C1041" s="21" t="s">
        <v>79</v>
      </c>
      <c r="D1041" s="21" t="s">
        <v>80</v>
      </c>
      <c r="E1041" s="21" t="s">
        <v>81</v>
      </c>
      <c r="F1041" s="21" t="s">
        <v>5</v>
      </c>
      <c r="G1041" s="21" t="s">
        <v>6</v>
      </c>
      <c r="H1041" s="21" t="s">
        <v>7</v>
      </c>
      <c r="I1041" s="21" t="s">
        <v>8</v>
      </c>
      <c r="J1041" s="21" t="s">
        <v>403</v>
      </c>
      <c r="K1041" s="21" t="s">
        <v>568</v>
      </c>
      <c r="L1041" s="21" t="s">
        <v>571</v>
      </c>
      <c r="M1041" s="21" t="s">
        <v>12</v>
      </c>
      <c r="N1041" s="54">
        <v>4000</v>
      </c>
      <c r="O1041" s="54">
        <v>0</v>
      </c>
      <c r="P1041" s="54">
        <v>0</v>
      </c>
      <c r="Q1041" s="54">
        <v>4000</v>
      </c>
      <c r="R1041" s="54">
        <v>0</v>
      </c>
      <c r="S1041" s="54">
        <v>2000</v>
      </c>
      <c r="T1041" s="54">
        <v>1851.36</v>
      </c>
      <c r="U1041" s="54">
        <v>2000</v>
      </c>
      <c r="V1041" s="54">
        <v>2148.64</v>
      </c>
      <c r="W1041" s="54">
        <v>2000</v>
      </c>
    </row>
    <row r="1042" spans="1:23" outlineLevel="2" x14ac:dyDescent="0.2">
      <c r="A1042" s="21" t="s">
        <v>402</v>
      </c>
      <c r="B1042" s="21" t="s">
        <v>39</v>
      </c>
      <c r="C1042" s="21" t="s">
        <v>58</v>
      </c>
      <c r="D1042" s="21" t="s">
        <v>139</v>
      </c>
      <c r="E1042" s="21" t="s">
        <v>140</v>
      </c>
      <c r="F1042" s="21" t="s">
        <v>5</v>
      </c>
      <c r="G1042" s="21" t="s">
        <v>6</v>
      </c>
      <c r="H1042" s="21" t="s">
        <v>7</v>
      </c>
      <c r="I1042" s="21" t="s">
        <v>8</v>
      </c>
      <c r="J1042" s="21" t="s">
        <v>403</v>
      </c>
      <c r="K1042" s="21" t="s">
        <v>568</v>
      </c>
      <c r="L1042" s="21" t="s">
        <v>570</v>
      </c>
      <c r="M1042" s="21" t="s">
        <v>12</v>
      </c>
      <c r="N1042" s="54">
        <v>0</v>
      </c>
      <c r="O1042" s="54">
        <v>10000</v>
      </c>
      <c r="P1042" s="54">
        <v>0</v>
      </c>
      <c r="Q1042" s="54">
        <v>10000</v>
      </c>
      <c r="R1042" s="54">
        <v>0</v>
      </c>
      <c r="S1042" s="54">
        <v>10000</v>
      </c>
      <c r="T1042" s="54">
        <v>6177.57</v>
      </c>
      <c r="U1042" s="54">
        <v>0</v>
      </c>
      <c r="V1042" s="54">
        <v>3822.43</v>
      </c>
      <c r="W1042" s="54">
        <v>0</v>
      </c>
    </row>
    <row r="1043" spans="1:23" outlineLevel="2" x14ac:dyDescent="0.2">
      <c r="A1043" s="21" t="s">
        <v>402</v>
      </c>
      <c r="B1043" s="21" t="s">
        <v>31</v>
      </c>
      <c r="C1043" s="21" t="s">
        <v>79</v>
      </c>
      <c r="D1043" s="21" t="s">
        <v>113</v>
      </c>
      <c r="E1043" s="21" t="s">
        <v>114</v>
      </c>
      <c r="F1043" s="21" t="s">
        <v>5</v>
      </c>
      <c r="G1043" s="21" t="s">
        <v>6</v>
      </c>
      <c r="H1043" s="21" t="s">
        <v>7</v>
      </c>
      <c r="I1043" s="21" t="s">
        <v>8</v>
      </c>
      <c r="J1043" s="21" t="s">
        <v>403</v>
      </c>
      <c r="K1043" s="21" t="s">
        <v>568</v>
      </c>
      <c r="L1043" s="21" t="s">
        <v>571</v>
      </c>
      <c r="M1043" s="21" t="s">
        <v>12</v>
      </c>
      <c r="N1043" s="54">
        <v>600</v>
      </c>
      <c r="O1043" s="54">
        <v>0</v>
      </c>
      <c r="P1043" s="54">
        <v>0</v>
      </c>
      <c r="Q1043" s="54">
        <v>600</v>
      </c>
      <c r="R1043" s="54">
        <v>0</v>
      </c>
      <c r="S1043" s="54">
        <v>0</v>
      </c>
      <c r="T1043" s="54">
        <v>0</v>
      </c>
      <c r="U1043" s="54">
        <v>600</v>
      </c>
      <c r="V1043" s="54">
        <v>600</v>
      </c>
      <c r="W1043" s="54">
        <v>600</v>
      </c>
    </row>
    <row r="1044" spans="1:23" outlineLevel="2" x14ac:dyDescent="0.2">
      <c r="A1044" s="21" t="s">
        <v>402</v>
      </c>
      <c r="B1044" s="21" t="s">
        <v>31</v>
      </c>
      <c r="C1044" s="21" t="s">
        <v>79</v>
      </c>
      <c r="D1044" s="21" t="s">
        <v>133</v>
      </c>
      <c r="E1044" s="21" t="s">
        <v>134</v>
      </c>
      <c r="F1044" s="21" t="s">
        <v>5</v>
      </c>
      <c r="G1044" s="21" t="s">
        <v>6</v>
      </c>
      <c r="H1044" s="21" t="s">
        <v>7</v>
      </c>
      <c r="I1044" s="21" t="s">
        <v>8</v>
      </c>
      <c r="J1044" s="21" t="s">
        <v>403</v>
      </c>
      <c r="K1044" s="21" t="s">
        <v>568</v>
      </c>
      <c r="L1044" s="21" t="s">
        <v>571</v>
      </c>
      <c r="M1044" s="21" t="s">
        <v>12</v>
      </c>
      <c r="N1044" s="54">
        <v>1000</v>
      </c>
      <c r="O1044" s="54">
        <v>0</v>
      </c>
      <c r="P1044" s="54">
        <v>0</v>
      </c>
      <c r="Q1044" s="54">
        <v>1000</v>
      </c>
      <c r="R1044" s="54">
        <v>1000</v>
      </c>
      <c r="S1044" s="54">
        <v>0</v>
      </c>
      <c r="T1044" s="54">
        <v>0</v>
      </c>
      <c r="U1044" s="54">
        <v>1000</v>
      </c>
      <c r="V1044" s="54">
        <v>1000</v>
      </c>
      <c r="W1044" s="54">
        <v>0</v>
      </c>
    </row>
    <row r="1045" spans="1:23" outlineLevel="2" x14ac:dyDescent="0.2">
      <c r="A1045" s="21" t="s">
        <v>402</v>
      </c>
      <c r="B1045" s="21" t="s">
        <v>31</v>
      </c>
      <c r="C1045" s="21" t="s">
        <v>79</v>
      </c>
      <c r="D1045" s="21" t="s">
        <v>131</v>
      </c>
      <c r="E1045" s="21" t="s">
        <v>132</v>
      </c>
      <c r="F1045" s="21" t="s">
        <v>5</v>
      </c>
      <c r="G1045" s="21" t="s">
        <v>6</v>
      </c>
      <c r="H1045" s="21" t="s">
        <v>7</v>
      </c>
      <c r="I1045" s="21" t="s">
        <v>8</v>
      </c>
      <c r="J1045" s="21" t="s">
        <v>403</v>
      </c>
      <c r="K1045" s="21" t="s">
        <v>568</v>
      </c>
      <c r="L1045" s="21" t="s">
        <v>571</v>
      </c>
      <c r="M1045" s="21" t="s">
        <v>12</v>
      </c>
      <c r="N1045" s="54">
        <v>900</v>
      </c>
      <c r="O1045" s="54">
        <v>0</v>
      </c>
      <c r="P1045" s="54">
        <v>0</v>
      </c>
      <c r="Q1045" s="54">
        <v>900</v>
      </c>
      <c r="R1045" s="54">
        <v>0</v>
      </c>
      <c r="S1045" s="54">
        <v>0</v>
      </c>
      <c r="T1045" s="54">
        <v>0</v>
      </c>
      <c r="U1045" s="54">
        <v>900</v>
      </c>
      <c r="V1045" s="54">
        <v>900</v>
      </c>
      <c r="W1045" s="54">
        <v>900</v>
      </c>
    </row>
    <row r="1046" spans="1:23" outlineLevel="2" x14ac:dyDescent="0.2">
      <c r="A1046" s="21" t="s">
        <v>402</v>
      </c>
      <c r="B1046" s="21" t="s">
        <v>39</v>
      </c>
      <c r="C1046" s="21" t="s">
        <v>58</v>
      </c>
      <c r="D1046" s="21" t="s">
        <v>145</v>
      </c>
      <c r="E1046" s="21" t="s">
        <v>146</v>
      </c>
      <c r="F1046" s="21" t="s">
        <v>5</v>
      </c>
      <c r="G1046" s="21" t="s">
        <v>6</v>
      </c>
      <c r="H1046" s="21" t="s">
        <v>7</v>
      </c>
      <c r="I1046" s="21" t="s">
        <v>8</v>
      </c>
      <c r="J1046" s="21" t="s">
        <v>403</v>
      </c>
      <c r="K1046" s="21" t="s">
        <v>568</v>
      </c>
      <c r="L1046" s="21" t="s">
        <v>570</v>
      </c>
      <c r="M1046" s="21" t="s">
        <v>12</v>
      </c>
      <c r="N1046" s="54">
        <v>14000</v>
      </c>
      <c r="O1046" s="54">
        <v>1176.04</v>
      </c>
      <c r="P1046" s="54">
        <v>0</v>
      </c>
      <c r="Q1046" s="54">
        <v>15176.04</v>
      </c>
      <c r="R1046" s="54">
        <v>0</v>
      </c>
      <c r="S1046" s="54">
        <v>15176.04</v>
      </c>
      <c r="T1046" s="54">
        <v>2396.8000000000002</v>
      </c>
      <c r="U1046" s="54">
        <v>0</v>
      </c>
      <c r="V1046" s="54">
        <v>12779.24</v>
      </c>
      <c r="W1046" s="54">
        <v>0</v>
      </c>
    </row>
    <row r="1047" spans="1:23" outlineLevel="2" x14ac:dyDescent="0.2">
      <c r="A1047" s="21" t="s">
        <v>402</v>
      </c>
      <c r="B1047" s="21" t="s">
        <v>39</v>
      </c>
      <c r="C1047" s="21" t="s">
        <v>58</v>
      </c>
      <c r="D1047" s="21" t="s">
        <v>143</v>
      </c>
      <c r="E1047" s="21" t="s">
        <v>144</v>
      </c>
      <c r="F1047" s="21" t="s">
        <v>5</v>
      </c>
      <c r="G1047" s="21" t="s">
        <v>6</v>
      </c>
      <c r="H1047" s="21" t="s">
        <v>7</v>
      </c>
      <c r="I1047" s="21" t="s">
        <v>8</v>
      </c>
      <c r="J1047" s="21" t="s">
        <v>403</v>
      </c>
      <c r="K1047" s="21" t="s">
        <v>568</v>
      </c>
      <c r="L1047" s="21" t="s">
        <v>570</v>
      </c>
      <c r="M1047" s="21" t="s">
        <v>12</v>
      </c>
      <c r="N1047" s="54">
        <v>3000</v>
      </c>
      <c r="O1047" s="54">
        <v>3800</v>
      </c>
      <c r="P1047" s="54">
        <v>0</v>
      </c>
      <c r="Q1047" s="54">
        <v>6800</v>
      </c>
      <c r="R1047" s="54">
        <v>270</v>
      </c>
      <c r="S1047" s="54">
        <v>5509</v>
      </c>
      <c r="T1047" s="54">
        <v>2149</v>
      </c>
      <c r="U1047" s="54">
        <v>1291</v>
      </c>
      <c r="V1047" s="54">
        <v>4651</v>
      </c>
      <c r="W1047" s="54">
        <v>1021</v>
      </c>
    </row>
    <row r="1048" spans="1:23" outlineLevel="2" x14ac:dyDescent="0.2">
      <c r="A1048" s="21" t="s">
        <v>402</v>
      </c>
      <c r="B1048" s="21" t="s">
        <v>39</v>
      </c>
      <c r="C1048" s="21" t="s">
        <v>58</v>
      </c>
      <c r="D1048" s="21" t="s">
        <v>129</v>
      </c>
      <c r="E1048" s="21" t="s">
        <v>130</v>
      </c>
      <c r="F1048" s="21" t="s">
        <v>5</v>
      </c>
      <c r="G1048" s="21" t="s">
        <v>6</v>
      </c>
      <c r="H1048" s="21" t="s">
        <v>7</v>
      </c>
      <c r="I1048" s="21" t="s">
        <v>8</v>
      </c>
      <c r="J1048" s="21" t="s">
        <v>403</v>
      </c>
      <c r="K1048" s="21" t="s">
        <v>568</v>
      </c>
      <c r="L1048" s="21" t="s">
        <v>570</v>
      </c>
      <c r="M1048" s="21" t="s">
        <v>12</v>
      </c>
      <c r="N1048" s="54">
        <v>0</v>
      </c>
      <c r="O1048" s="54">
        <v>266</v>
      </c>
      <c r="P1048" s="54">
        <v>0</v>
      </c>
      <c r="Q1048" s="54">
        <v>266</v>
      </c>
      <c r="R1048" s="54">
        <v>84</v>
      </c>
      <c r="S1048" s="54">
        <v>182</v>
      </c>
      <c r="T1048" s="54">
        <v>182</v>
      </c>
      <c r="U1048" s="54">
        <v>84</v>
      </c>
      <c r="V1048" s="54">
        <v>84</v>
      </c>
      <c r="W1048" s="54">
        <v>0</v>
      </c>
    </row>
    <row r="1049" spans="1:23" outlineLevel="2" x14ac:dyDescent="0.2">
      <c r="A1049" s="21" t="s">
        <v>402</v>
      </c>
      <c r="B1049" s="21" t="s">
        <v>39</v>
      </c>
      <c r="C1049" s="21" t="s">
        <v>58</v>
      </c>
      <c r="D1049" s="21" t="s">
        <v>147</v>
      </c>
      <c r="E1049" s="21" t="s">
        <v>148</v>
      </c>
      <c r="F1049" s="21" t="s">
        <v>5</v>
      </c>
      <c r="G1049" s="21" t="s">
        <v>6</v>
      </c>
      <c r="H1049" s="21" t="s">
        <v>7</v>
      </c>
      <c r="I1049" s="21" t="s">
        <v>8</v>
      </c>
      <c r="J1049" s="21" t="s">
        <v>403</v>
      </c>
      <c r="K1049" s="21" t="s">
        <v>568</v>
      </c>
      <c r="L1049" s="21" t="s">
        <v>570</v>
      </c>
      <c r="M1049" s="21" t="s">
        <v>12</v>
      </c>
      <c r="N1049" s="54">
        <v>27800</v>
      </c>
      <c r="O1049" s="54">
        <v>-4000</v>
      </c>
      <c r="P1049" s="54">
        <v>0</v>
      </c>
      <c r="Q1049" s="54">
        <v>23800</v>
      </c>
      <c r="R1049" s="54">
        <v>0</v>
      </c>
      <c r="S1049" s="54">
        <v>16576</v>
      </c>
      <c r="T1049" s="54">
        <v>7659.06</v>
      </c>
      <c r="U1049" s="54">
        <v>7224</v>
      </c>
      <c r="V1049" s="54">
        <v>16140.94</v>
      </c>
      <c r="W1049" s="54">
        <v>7224</v>
      </c>
    </row>
    <row r="1050" spans="1:23" outlineLevel="2" x14ac:dyDescent="0.2">
      <c r="A1050" s="21" t="s">
        <v>402</v>
      </c>
      <c r="B1050" s="21" t="s">
        <v>39</v>
      </c>
      <c r="C1050" s="21" t="s">
        <v>58</v>
      </c>
      <c r="D1050" s="21" t="s">
        <v>137</v>
      </c>
      <c r="E1050" s="21" t="s">
        <v>138</v>
      </c>
      <c r="F1050" s="21" t="s">
        <v>5</v>
      </c>
      <c r="G1050" s="21" t="s">
        <v>6</v>
      </c>
      <c r="H1050" s="21" t="s">
        <v>7</v>
      </c>
      <c r="I1050" s="21" t="s">
        <v>8</v>
      </c>
      <c r="J1050" s="21" t="s">
        <v>403</v>
      </c>
      <c r="K1050" s="21" t="s">
        <v>568</v>
      </c>
      <c r="L1050" s="21" t="s">
        <v>570</v>
      </c>
      <c r="M1050" s="21" t="s">
        <v>12</v>
      </c>
      <c r="N1050" s="54">
        <v>0</v>
      </c>
      <c r="O1050" s="54">
        <v>18836.599999999999</v>
      </c>
      <c r="P1050" s="54">
        <v>0</v>
      </c>
      <c r="Q1050" s="54">
        <v>18836.599999999999</v>
      </c>
      <c r="R1050" s="54">
        <v>0</v>
      </c>
      <c r="S1050" s="54">
        <v>0</v>
      </c>
      <c r="T1050" s="54">
        <v>0</v>
      </c>
      <c r="U1050" s="54">
        <v>18836.599999999999</v>
      </c>
      <c r="V1050" s="54">
        <v>18836.599999999999</v>
      </c>
      <c r="W1050" s="54">
        <v>18836.599999999999</v>
      </c>
    </row>
    <row r="1051" spans="1:23" outlineLevel="2" x14ac:dyDescent="0.2">
      <c r="A1051" s="21" t="s">
        <v>402</v>
      </c>
      <c r="B1051" s="21" t="s">
        <v>39</v>
      </c>
      <c r="C1051" s="21" t="s">
        <v>58</v>
      </c>
      <c r="D1051" s="21" t="s">
        <v>149</v>
      </c>
      <c r="E1051" s="21" t="s">
        <v>150</v>
      </c>
      <c r="F1051" s="21" t="s">
        <v>5</v>
      </c>
      <c r="G1051" s="21" t="s">
        <v>6</v>
      </c>
      <c r="H1051" s="21" t="s">
        <v>7</v>
      </c>
      <c r="I1051" s="21" t="s">
        <v>8</v>
      </c>
      <c r="J1051" s="21" t="s">
        <v>403</v>
      </c>
      <c r="K1051" s="21" t="s">
        <v>568</v>
      </c>
      <c r="L1051" s="21" t="s">
        <v>570</v>
      </c>
      <c r="M1051" s="21" t="s">
        <v>12</v>
      </c>
      <c r="N1051" s="54">
        <v>11000</v>
      </c>
      <c r="O1051" s="54">
        <v>8500</v>
      </c>
      <c r="P1051" s="54">
        <v>0</v>
      </c>
      <c r="Q1051" s="54">
        <v>19500</v>
      </c>
      <c r="R1051" s="54">
        <v>0</v>
      </c>
      <c r="S1051" s="54">
        <v>6348.07</v>
      </c>
      <c r="T1051" s="54">
        <v>4457.03</v>
      </c>
      <c r="U1051" s="54">
        <v>13151.93</v>
      </c>
      <c r="V1051" s="54">
        <v>15042.97</v>
      </c>
      <c r="W1051" s="54">
        <v>13151.93</v>
      </c>
    </row>
    <row r="1052" spans="1:23" outlineLevel="2" x14ac:dyDescent="0.2">
      <c r="A1052" s="21" t="s">
        <v>402</v>
      </c>
      <c r="B1052" s="21" t="s">
        <v>53</v>
      </c>
      <c r="C1052" s="21" t="s">
        <v>54</v>
      </c>
      <c r="D1052" s="21" t="s">
        <v>55</v>
      </c>
      <c r="E1052" s="21" t="s">
        <v>56</v>
      </c>
      <c r="F1052" s="21" t="s">
        <v>5</v>
      </c>
      <c r="G1052" s="21" t="s">
        <v>6</v>
      </c>
      <c r="H1052" s="21" t="s">
        <v>7</v>
      </c>
      <c r="I1052" s="21" t="s">
        <v>8</v>
      </c>
      <c r="J1052" s="21" t="s">
        <v>403</v>
      </c>
      <c r="K1052" s="21" t="s">
        <v>568</v>
      </c>
      <c r="L1052" s="21" t="s">
        <v>573</v>
      </c>
      <c r="M1052" s="21" t="s">
        <v>12</v>
      </c>
      <c r="N1052" s="54">
        <v>7500</v>
      </c>
      <c r="O1052" s="54">
        <v>0</v>
      </c>
      <c r="P1052" s="54">
        <v>0</v>
      </c>
      <c r="Q1052" s="54">
        <v>7500</v>
      </c>
      <c r="R1052" s="54">
        <v>0</v>
      </c>
      <c r="S1052" s="54">
        <v>7498.69</v>
      </c>
      <c r="T1052" s="54">
        <v>323.69</v>
      </c>
      <c r="U1052" s="54">
        <v>1.31</v>
      </c>
      <c r="V1052" s="54">
        <v>7176.31</v>
      </c>
      <c r="W1052" s="54">
        <v>1.31</v>
      </c>
    </row>
    <row r="1053" spans="1:23" outlineLevel="2" x14ac:dyDescent="0.2">
      <c r="A1053" s="21" t="s">
        <v>402</v>
      </c>
      <c r="B1053" s="21" t="s">
        <v>39</v>
      </c>
      <c r="C1053" s="21" t="s">
        <v>66</v>
      </c>
      <c r="D1053" s="21" t="s">
        <v>67</v>
      </c>
      <c r="E1053" s="21" t="s">
        <v>68</v>
      </c>
      <c r="F1053" s="21" t="s">
        <v>5</v>
      </c>
      <c r="G1053" s="21" t="s">
        <v>6</v>
      </c>
      <c r="H1053" s="21" t="s">
        <v>7</v>
      </c>
      <c r="I1053" s="21" t="s">
        <v>8</v>
      </c>
      <c r="J1053" s="21" t="s">
        <v>403</v>
      </c>
      <c r="K1053" s="21" t="s">
        <v>568</v>
      </c>
      <c r="L1053" s="21" t="s">
        <v>575</v>
      </c>
      <c r="M1053" s="21" t="s">
        <v>12</v>
      </c>
      <c r="N1053" s="54">
        <v>7000</v>
      </c>
      <c r="O1053" s="54">
        <v>-931.84</v>
      </c>
      <c r="P1053" s="54">
        <v>0</v>
      </c>
      <c r="Q1053" s="54">
        <v>6068.16</v>
      </c>
      <c r="R1053" s="54">
        <v>0</v>
      </c>
      <c r="S1053" s="54">
        <v>6068.16</v>
      </c>
      <c r="T1053" s="54">
        <v>3302.88</v>
      </c>
      <c r="U1053" s="54">
        <v>0</v>
      </c>
      <c r="V1053" s="54">
        <v>2765.28</v>
      </c>
      <c r="W1053" s="54">
        <v>0</v>
      </c>
    </row>
    <row r="1054" spans="1:23" outlineLevel="2" x14ac:dyDescent="0.2">
      <c r="A1054" s="21" t="s">
        <v>402</v>
      </c>
      <c r="B1054" s="21" t="s">
        <v>1</v>
      </c>
      <c r="C1054" s="21" t="s">
        <v>2</v>
      </c>
      <c r="D1054" s="21" t="s">
        <v>3</v>
      </c>
      <c r="E1054" s="21" t="s">
        <v>4</v>
      </c>
      <c r="F1054" s="21" t="s">
        <v>5</v>
      </c>
      <c r="G1054" s="21" t="s">
        <v>6</v>
      </c>
      <c r="H1054" s="21" t="s">
        <v>7</v>
      </c>
      <c r="I1054" s="21" t="s">
        <v>8</v>
      </c>
      <c r="J1054" s="21" t="s">
        <v>403</v>
      </c>
      <c r="K1054" s="21" t="s">
        <v>568</v>
      </c>
      <c r="L1054" s="21" t="s">
        <v>574</v>
      </c>
      <c r="M1054" s="21" t="s">
        <v>15</v>
      </c>
      <c r="N1054" s="54">
        <v>0</v>
      </c>
      <c r="O1054" s="54">
        <v>7318.98</v>
      </c>
      <c r="P1054" s="54">
        <v>0</v>
      </c>
      <c r="Q1054" s="54">
        <v>7318.98</v>
      </c>
      <c r="R1054" s="54">
        <v>0</v>
      </c>
      <c r="S1054" s="54">
        <v>7151.98</v>
      </c>
      <c r="T1054" s="54">
        <v>2097.48</v>
      </c>
      <c r="U1054" s="54">
        <v>167</v>
      </c>
      <c r="V1054" s="54">
        <v>5221.5</v>
      </c>
      <c r="W1054" s="54">
        <v>167</v>
      </c>
    </row>
    <row r="1055" spans="1:23" outlineLevel="2" x14ac:dyDescent="0.2">
      <c r="A1055" s="21" t="s">
        <v>402</v>
      </c>
      <c r="B1055" s="21" t="s">
        <v>53</v>
      </c>
      <c r="C1055" s="21" t="s">
        <v>54</v>
      </c>
      <c r="D1055" s="21" t="s">
        <v>55</v>
      </c>
      <c r="E1055" s="21" t="s">
        <v>56</v>
      </c>
      <c r="F1055" s="21" t="s">
        <v>5</v>
      </c>
      <c r="G1055" s="21" t="s">
        <v>6</v>
      </c>
      <c r="H1055" s="21" t="s">
        <v>7</v>
      </c>
      <c r="I1055" s="21" t="s">
        <v>8</v>
      </c>
      <c r="J1055" s="21" t="s">
        <v>403</v>
      </c>
      <c r="K1055" s="21" t="s">
        <v>576</v>
      </c>
      <c r="L1055" s="21" t="s">
        <v>577</v>
      </c>
      <c r="M1055" s="21" t="s">
        <v>12</v>
      </c>
      <c r="N1055" s="54">
        <v>500</v>
      </c>
      <c r="O1055" s="54">
        <v>-500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</row>
    <row r="1056" spans="1:23" outlineLevel="2" x14ac:dyDescent="0.2">
      <c r="A1056" s="21" t="s">
        <v>402</v>
      </c>
      <c r="B1056" s="21" t="s">
        <v>39</v>
      </c>
      <c r="C1056" s="21" t="s">
        <v>66</v>
      </c>
      <c r="D1056" s="21" t="s">
        <v>121</v>
      </c>
      <c r="E1056" s="21" t="s">
        <v>122</v>
      </c>
      <c r="F1056" s="21" t="s">
        <v>5</v>
      </c>
      <c r="G1056" s="21" t="s">
        <v>6</v>
      </c>
      <c r="H1056" s="21" t="s">
        <v>7</v>
      </c>
      <c r="I1056" s="21" t="s">
        <v>8</v>
      </c>
      <c r="J1056" s="21" t="s">
        <v>403</v>
      </c>
      <c r="K1056" s="21" t="s">
        <v>578</v>
      </c>
      <c r="L1056" s="21" t="s">
        <v>580</v>
      </c>
      <c r="M1056" s="21" t="s">
        <v>12</v>
      </c>
      <c r="N1056" s="54">
        <v>2000</v>
      </c>
      <c r="O1056" s="54">
        <v>0</v>
      </c>
      <c r="P1056" s="54">
        <v>0</v>
      </c>
      <c r="Q1056" s="54">
        <v>2000</v>
      </c>
      <c r="R1056" s="54">
        <v>0</v>
      </c>
      <c r="S1056" s="54">
        <v>0</v>
      </c>
      <c r="T1056" s="54">
        <v>0</v>
      </c>
      <c r="U1056" s="54">
        <v>2000</v>
      </c>
      <c r="V1056" s="54">
        <v>2000</v>
      </c>
      <c r="W1056" s="54">
        <v>2000</v>
      </c>
    </row>
    <row r="1057" spans="1:23" outlineLevel="2" x14ac:dyDescent="0.2">
      <c r="A1057" s="21" t="s">
        <v>402</v>
      </c>
      <c r="B1057" s="21" t="s">
        <v>39</v>
      </c>
      <c r="C1057" s="21" t="s">
        <v>40</v>
      </c>
      <c r="D1057" s="21" t="s">
        <v>77</v>
      </c>
      <c r="E1057" s="21" t="s">
        <v>78</v>
      </c>
      <c r="F1057" s="21" t="s">
        <v>5</v>
      </c>
      <c r="G1057" s="21" t="s">
        <v>6</v>
      </c>
      <c r="H1057" s="21" t="s">
        <v>7</v>
      </c>
      <c r="I1057" s="21" t="s">
        <v>8</v>
      </c>
      <c r="J1057" s="21" t="s">
        <v>403</v>
      </c>
      <c r="K1057" s="21" t="s">
        <v>578</v>
      </c>
      <c r="L1057" s="21" t="s">
        <v>581</v>
      </c>
      <c r="M1057" s="21" t="s">
        <v>12</v>
      </c>
      <c r="N1057" s="54">
        <v>0</v>
      </c>
      <c r="O1057" s="54">
        <v>56000</v>
      </c>
      <c r="P1057" s="54">
        <v>0</v>
      </c>
      <c r="Q1057" s="54">
        <v>56000</v>
      </c>
      <c r="R1057" s="54">
        <v>0.46</v>
      </c>
      <c r="S1057" s="54">
        <v>55999.54</v>
      </c>
      <c r="T1057" s="54">
        <v>10500.03</v>
      </c>
      <c r="U1057" s="54">
        <v>0.46</v>
      </c>
      <c r="V1057" s="54">
        <v>45499.97</v>
      </c>
      <c r="W1057" s="54">
        <v>0</v>
      </c>
    </row>
    <row r="1058" spans="1:23" outlineLevel="2" x14ac:dyDescent="0.2">
      <c r="A1058" s="21" t="s">
        <v>402</v>
      </c>
      <c r="B1058" s="21" t="s">
        <v>31</v>
      </c>
      <c r="C1058" s="21" t="s">
        <v>79</v>
      </c>
      <c r="D1058" s="21" t="s">
        <v>113</v>
      </c>
      <c r="E1058" s="21" t="s">
        <v>114</v>
      </c>
      <c r="F1058" s="21" t="s">
        <v>5</v>
      </c>
      <c r="G1058" s="21" t="s">
        <v>6</v>
      </c>
      <c r="H1058" s="21" t="s">
        <v>7</v>
      </c>
      <c r="I1058" s="21" t="s">
        <v>8</v>
      </c>
      <c r="J1058" s="21" t="s">
        <v>403</v>
      </c>
      <c r="K1058" s="21" t="s">
        <v>578</v>
      </c>
      <c r="L1058" s="21" t="s">
        <v>579</v>
      </c>
      <c r="M1058" s="21" t="s">
        <v>12</v>
      </c>
      <c r="N1058" s="54">
        <v>0</v>
      </c>
      <c r="O1058" s="54">
        <v>4250</v>
      </c>
      <c r="P1058" s="54">
        <v>0</v>
      </c>
      <c r="Q1058" s="54">
        <v>4250</v>
      </c>
      <c r="R1058" s="54">
        <v>16.399999999999999</v>
      </c>
      <c r="S1058" s="54">
        <v>4233.6000000000004</v>
      </c>
      <c r="T1058" s="54">
        <v>2116.8000000000002</v>
      </c>
      <c r="U1058" s="54">
        <v>16.399999999999999</v>
      </c>
      <c r="V1058" s="54">
        <v>2133.1999999999998</v>
      </c>
      <c r="W1058" s="54">
        <v>0</v>
      </c>
    </row>
    <row r="1059" spans="1:23" outlineLevel="2" x14ac:dyDescent="0.2">
      <c r="A1059" s="21" t="s">
        <v>402</v>
      </c>
      <c r="B1059" s="21" t="s">
        <v>31</v>
      </c>
      <c r="C1059" s="21" t="s">
        <v>79</v>
      </c>
      <c r="D1059" s="21" t="s">
        <v>113</v>
      </c>
      <c r="E1059" s="21" t="s">
        <v>114</v>
      </c>
      <c r="F1059" s="21" t="s">
        <v>5</v>
      </c>
      <c r="G1059" s="21" t="s">
        <v>6</v>
      </c>
      <c r="H1059" s="21" t="s">
        <v>7</v>
      </c>
      <c r="I1059" s="21" t="s">
        <v>8</v>
      </c>
      <c r="J1059" s="21" t="s">
        <v>403</v>
      </c>
      <c r="K1059" s="21" t="s">
        <v>582</v>
      </c>
      <c r="L1059" s="21" t="s">
        <v>583</v>
      </c>
      <c r="M1059" s="21" t="s">
        <v>12</v>
      </c>
      <c r="N1059" s="54">
        <v>0</v>
      </c>
      <c r="O1059" s="54">
        <v>5000</v>
      </c>
      <c r="P1059" s="54">
        <v>0</v>
      </c>
      <c r="Q1059" s="54">
        <v>5000</v>
      </c>
      <c r="R1059" s="54">
        <v>0</v>
      </c>
      <c r="S1059" s="54">
        <v>0</v>
      </c>
      <c r="T1059" s="54">
        <v>0</v>
      </c>
      <c r="U1059" s="54">
        <v>5000</v>
      </c>
      <c r="V1059" s="54">
        <v>5000</v>
      </c>
      <c r="W1059" s="54">
        <v>5000</v>
      </c>
    </row>
    <row r="1060" spans="1:23" outlineLevel="2" x14ac:dyDescent="0.2">
      <c r="A1060" s="21" t="s">
        <v>402</v>
      </c>
      <c r="B1060" s="21" t="s">
        <v>39</v>
      </c>
      <c r="C1060" s="21" t="s">
        <v>58</v>
      </c>
      <c r="D1060" s="21" t="s">
        <v>139</v>
      </c>
      <c r="E1060" s="21" t="s">
        <v>140</v>
      </c>
      <c r="F1060" s="21" t="s">
        <v>5</v>
      </c>
      <c r="G1060" s="21" t="s">
        <v>6</v>
      </c>
      <c r="H1060" s="21" t="s">
        <v>7</v>
      </c>
      <c r="I1060" s="21" t="s">
        <v>8</v>
      </c>
      <c r="J1060" s="21" t="s">
        <v>403</v>
      </c>
      <c r="K1060" s="21" t="s">
        <v>584</v>
      </c>
      <c r="L1060" s="21" t="s">
        <v>587</v>
      </c>
      <c r="M1060" s="21" t="s">
        <v>12</v>
      </c>
      <c r="N1060" s="54">
        <v>18000</v>
      </c>
      <c r="O1060" s="54">
        <v>0</v>
      </c>
      <c r="P1060" s="54">
        <v>0</v>
      </c>
      <c r="Q1060" s="54">
        <v>18000</v>
      </c>
      <c r="R1060" s="54">
        <v>2338.9</v>
      </c>
      <c r="S1060" s="54">
        <v>15661.1</v>
      </c>
      <c r="T1060" s="54">
        <v>15661.1</v>
      </c>
      <c r="U1060" s="54">
        <v>2338.9</v>
      </c>
      <c r="V1060" s="54">
        <v>2338.9</v>
      </c>
      <c r="W1060" s="54">
        <v>0</v>
      </c>
    </row>
    <row r="1061" spans="1:23" outlineLevel="2" x14ac:dyDescent="0.2">
      <c r="A1061" s="21" t="s">
        <v>402</v>
      </c>
      <c r="B1061" s="21" t="s">
        <v>39</v>
      </c>
      <c r="C1061" s="21" t="s">
        <v>40</v>
      </c>
      <c r="D1061" s="21" t="s">
        <v>77</v>
      </c>
      <c r="E1061" s="21" t="s">
        <v>78</v>
      </c>
      <c r="F1061" s="21" t="s">
        <v>5</v>
      </c>
      <c r="G1061" s="21" t="s">
        <v>6</v>
      </c>
      <c r="H1061" s="21" t="s">
        <v>7</v>
      </c>
      <c r="I1061" s="21" t="s">
        <v>8</v>
      </c>
      <c r="J1061" s="21" t="s">
        <v>403</v>
      </c>
      <c r="K1061" s="21" t="s">
        <v>584</v>
      </c>
      <c r="L1061" s="21" t="s">
        <v>588</v>
      </c>
      <c r="M1061" s="21" t="s">
        <v>12</v>
      </c>
      <c r="N1061" s="54">
        <v>660156.9</v>
      </c>
      <c r="O1061" s="54">
        <v>232331.02</v>
      </c>
      <c r="P1061" s="54">
        <v>0</v>
      </c>
      <c r="Q1061" s="54">
        <v>892487.92</v>
      </c>
      <c r="R1061" s="54">
        <v>0.05</v>
      </c>
      <c r="S1061" s="54">
        <v>682205.95</v>
      </c>
      <c r="T1061" s="54">
        <v>392028.82</v>
      </c>
      <c r="U1061" s="54">
        <v>210281.97</v>
      </c>
      <c r="V1061" s="54">
        <v>500459.1</v>
      </c>
      <c r="W1061" s="54">
        <v>210281.92</v>
      </c>
    </row>
    <row r="1062" spans="1:23" outlineLevel="2" x14ac:dyDescent="0.2">
      <c r="A1062" s="21" t="s">
        <v>402</v>
      </c>
      <c r="B1062" s="21" t="s">
        <v>39</v>
      </c>
      <c r="C1062" s="21" t="s">
        <v>66</v>
      </c>
      <c r="D1062" s="21" t="s">
        <v>67</v>
      </c>
      <c r="E1062" s="21" t="s">
        <v>68</v>
      </c>
      <c r="F1062" s="21" t="s">
        <v>5</v>
      </c>
      <c r="G1062" s="21" t="s">
        <v>6</v>
      </c>
      <c r="H1062" s="21" t="s">
        <v>7</v>
      </c>
      <c r="I1062" s="21" t="s">
        <v>8</v>
      </c>
      <c r="J1062" s="21" t="s">
        <v>403</v>
      </c>
      <c r="K1062" s="21" t="s">
        <v>584</v>
      </c>
      <c r="L1062" s="21" t="s">
        <v>586</v>
      </c>
      <c r="M1062" s="21" t="s">
        <v>12</v>
      </c>
      <c r="N1062" s="54">
        <v>11201.44</v>
      </c>
      <c r="O1062" s="54">
        <v>-6021.44</v>
      </c>
      <c r="P1062" s="54">
        <v>0</v>
      </c>
      <c r="Q1062" s="54">
        <v>5180</v>
      </c>
      <c r="R1062" s="54">
        <v>0</v>
      </c>
      <c r="S1062" s="54">
        <v>5180</v>
      </c>
      <c r="T1062" s="54">
        <v>5100</v>
      </c>
      <c r="U1062" s="54">
        <v>0</v>
      </c>
      <c r="V1062" s="54">
        <v>80</v>
      </c>
      <c r="W1062" s="54">
        <v>0</v>
      </c>
    </row>
    <row r="1063" spans="1:23" outlineLevel="2" x14ac:dyDescent="0.2">
      <c r="A1063" s="21" t="s">
        <v>402</v>
      </c>
      <c r="B1063" s="21" t="s">
        <v>1</v>
      </c>
      <c r="C1063" s="21" t="s">
        <v>2</v>
      </c>
      <c r="D1063" s="21" t="s">
        <v>474</v>
      </c>
      <c r="E1063" s="21" t="s">
        <v>475</v>
      </c>
      <c r="F1063" s="21" t="s">
        <v>5</v>
      </c>
      <c r="G1063" s="21" t="s">
        <v>6</v>
      </c>
      <c r="H1063" s="21" t="s">
        <v>7</v>
      </c>
      <c r="I1063" s="21" t="s">
        <v>8</v>
      </c>
      <c r="J1063" s="21" t="s">
        <v>403</v>
      </c>
      <c r="K1063" s="21" t="s">
        <v>584</v>
      </c>
      <c r="L1063" s="21" t="s">
        <v>591</v>
      </c>
      <c r="M1063" s="21" t="s">
        <v>15</v>
      </c>
      <c r="N1063" s="54">
        <v>320</v>
      </c>
      <c r="O1063" s="54">
        <v>0</v>
      </c>
      <c r="P1063" s="54">
        <v>0</v>
      </c>
      <c r="Q1063" s="54">
        <v>320</v>
      </c>
      <c r="R1063" s="54">
        <v>0</v>
      </c>
      <c r="S1063" s="54">
        <v>0</v>
      </c>
      <c r="T1063" s="54">
        <v>0</v>
      </c>
      <c r="U1063" s="54">
        <v>320</v>
      </c>
      <c r="V1063" s="54">
        <v>320</v>
      </c>
      <c r="W1063" s="54">
        <v>320</v>
      </c>
    </row>
    <row r="1064" spans="1:23" outlineLevel="2" x14ac:dyDescent="0.2">
      <c r="A1064" s="21" t="s">
        <v>402</v>
      </c>
      <c r="B1064" s="21" t="s">
        <v>1</v>
      </c>
      <c r="C1064" s="21" t="s">
        <v>2</v>
      </c>
      <c r="D1064" s="21" t="s">
        <v>589</v>
      </c>
      <c r="E1064" s="21" t="s">
        <v>590</v>
      </c>
      <c r="F1064" s="21" t="s">
        <v>5</v>
      </c>
      <c r="G1064" s="21" t="s">
        <v>6</v>
      </c>
      <c r="H1064" s="21" t="s">
        <v>7</v>
      </c>
      <c r="I1064" s="21" t="s">
        <v>8</v>
      </c>
      <c r="J1064" s="21" t="s">
        <v>403</v>
      </c>
      <c r="K1064" s="21" t="s">
        <v>584</v>
      </c>
      <c r="L1064" s="21" t="s">
        <v>591</v>
      </c>
      <c r="M1064" s="21" t="s">
        <v>15</v>
      </c>
      <c r="N1064" s="54">
        <v>157000</v>
      </c>
      <c r="O1064" s="54">
        <v>0</v>
      </c>
      <c r="P1064" s="54">
        <v>0</v>
      </c>
      <c r="Q1064" s="54">
        <v>157000</v>
      </c>
      <c r="R1064" s="54">
        <v>0</v>
      </c>
      <c r="S1064" s="54">
        <v>46500</v>
      </c>
      <c r="T1064" s="54">
        <v>35816.54</v>
      </c>
      <c r="U1064" s="54">
        <v>110500</v>
      </c>
      <c r="V1064" s="54">
        <v>121183.46</v>
      </c>
      <c r="W1064" s="54">
        <v>110500</v>
      </c>
    </row>
    <row r="1065" spans="1:23" outlineLevel="2" x14ac:dyDescent="0.2">
      <c r="A1065" s="21" t="s">
        <v>402</v>
      </c>
      <c r="B1065" s="21" t="s">
        <v>39</v>
      </c>
      <c r="C1065" s="21" t="s">
        <v>58</v>
      </c>
      <c r="D1065" s="21" t="s">
        <v>129</v>
      </c>
      <c r="E1065" s="21" t="s">
        <v>130</v>
      </c>
      <c r="F1065" s="21" t="s">
        <v>5</v>
      </c>
      <c r="G1065" s="21" t="s">
        <v>6</v>
      </c>
      <c r="H1065" s="21" t="s">
        <v>7</v>
      </c>
      <c r="I1065" s="21" t="s">
        <v>8</v>
      </c>
      <c r="J1065" s="21" t="s">
        <v>403</v>
      </c>
      <c r="K1065" s="21" t="s">
        <v>584</v>
      </c>
      <c r="L1065" s="21" t="s">
        <v>587</v>
      </c>
      <c r="M1065" s="21" t="s">
        <v>12</v>
      </c>
      <c r="N1065" s="54">
        <v>80000</v>
      </c>
      <c r="O1065" s="54">
        <v>0</v>
      </c>
      <c r="P1065" s="54">
        <v>0</v>
      </c>
      <c r="Q1065" s="54">
        <v>80000</v>
      </c>
      <c r="R1065" s="54">
        <v>0</v>
      </c>
      <c r="S1065" s="54">
        <v>71000</v>
      </c>
      <c r="T1065" s="54">
        <v>65000</v>
      </c>
      <c r="U1065" s="54">
        <v>9000</v>
      </c>
      <c r="V1065" s="54">
        <v>15000</v>
      </c>
      <c r="W1065" s="54">
        <v>9000</v>
      </c>
    </row>
    <row r="1066" spans="1:23" outlineLevel="2" x14ac:dyDescent="0.2">
      <c r="A1066" s="21" t="s">
        <v>402</v>
      </c>
      <c r="B1066" s="21" t="s">
        <v>39</v>
      </c>
      <c r="C1066" s="21" t="s">
        <v>58</v>
      </c>
      <c r="D1066" s="21" t="s">
        <v>137</v>
      </c>
      <c r="E1066" s="21" t="s">
        <v>138</v>
      </c>
      <c r="F1066" s="21" t="s">
        <v>5</v>
      </c>
      <c r="G1066" s="21" t="s">
        <v>6</v>
      </c>
      <c r="H1066" s="21" t="s">
        <v>7</v>
      </c>
      <c r="I1066" s="21" t="s">
        <v>8</v>
      </c>
      <c r="J1066" s="21" t="s">
        <v>403</v>
      </c>
      <c r="K1066" s="21" t="s">
        <v>584</v>
      </c>
      <c r="L1066" s="21" t="s">
        <v>587</v>
      </c>
      <c r="M1066" s="21" t="s">
        <v>12</v>
      </c>
      <c r="N1066" s="54">
        <v>47000</v>
      </c>
      <c r="O1066" s="54">
        <v>5801.26</v>
      </c>
      <c r="P1066" s="54">
        <v>0</v>
      </c>
      <c r="Q1066" s="54">
        <v>52801.26</v>
      </c>
      <c r="R1066" s="54">
        <v>0</v>
      </c>
      <c r="S1066" s="54">
        <v>51386.74</v>
      </c>
      <c r="T1066" s="54">
        <v>42880.88</v>
      </c>
      <c r="U1066" s="54">
        <v>1414.52</v>
      </c>
      <c r="V1066" s="54">
        <v>9920.3799999999992</v>
      </c>
      <c r="W1066" s="54">
        <v>1414.52</v>
      </c>
    </row>
    <row r="1067" spans="1:23" outlineLevel="2" x14ac:dyDescent="0.2">
      <c r="A1067" s="21" t="s">
        <v>402</v>
      </c>
      <c r="B1067" s="21" t="s">
        <v>1</v>
      </c>
      <c r="C1067" s="21" t="s">
        <v>91</v>
      </c>
      <c r="D1067" s="21" t="s">
        <v>92</v>
      </c>
      <c r="E1067" s="21" t="s">
        <v>93</v>
      </c>
      <c r="F1067" s="21" t="s">
        <v>5</v>
      </c>
      <c r="G1067" s="21" t="s">
        <v>6</v>
      </c>
      <c r="H1067" s="21" t="s">
        <v>7</v>
      </c>
      <c r="I1067" s="21" t="s">
        <v>8</v>
      </c>
      <c r="J1067" s="21" t="s">
        <v>403</v>
      </c>
      <c r="K1067" s="21" t="s">
        <v>584</v>
      </c>
      <c r="L1067" s="21" t="s">
        <v>585</v>
      </c>
      <c r="M1067" s="21" t="s">
        <v>15</v>
      </c>
      <c r="N1067" s="54">
        <v>160000</v>
      </c>
      <c r="O1067" s="54">
        <v>81291.98</v>
      </c>
      <c r="P1067" s="54">
        <v>0</v>
      </c>
      <c r="Q1067" s="54">
        <v>241291.98</v>
      </c>
      <c r="R1067" s="54">
        <v>11065.62</v>
      </c>
      <c r="S1067" s="54">
        <v>229642.67</v>
      </c>
      <c r="T1067" s="54">
        <v>160858.6</v>
      </c>
      <c r="U1067" s="54">
        <v>11649.31</v>
      </c>
      <c r="V1067" s="54">
        <v>80433.38</v>
      </c>
      <c r="W1067" s="54">
        <v>583.69000000000005</v>
      </c>
    </row>
    <row r="1068" spans="1:23" outlineLevel="2" x14ac:dyDescent="0.2">
      <c r="A1068" s="21" t="s">
        <v>402</v>
      </c>
      <c r="B1068" s="21" t="s">
        <v>1</v>
      </c>
      <c r="C1068" s="21" t="s">
        <v>2</v>
      </c>
      <c r="D1068" s="21" t="s">
        <v>3</v>
      </c>
      <c r="E1068" s="21" t="s">
        <v>4</v>
      </c>
      <c r="F1068" s="21" t="s">
        <v>5</v>
      </c>
      <c r="G1068" s="21" t="s">
        <v>6</v>
      </c>
      <c r="H1068" s="21" t="s">
        <v>7</v>
      </c>
      <c r="I1068" s="21" t="s">
        <v>8</v>
      </c>
      <c r="J1068" s="21" t="s">
        <v>403</v>
      </c>
      <c r="K1068" s="21" t="s">
        <v>584</v>
      </c>
      <c r="L1068" s="21" t="s">
        <v>591</v>
      </c>
      <c r="M1068" s="21" t="s">
        <v>15</v>
      </c>
      <c r="N1068" s="54">
        <v>250000</v>
      </c>
      <c r="O1068" s="54">
        <v>99440</v>
      </c>
      <c r="P1068" s="54">
        <v>0</v>
      </c>
      <c r="Q1068" s="54">
        <v>349440</v>
      </c>
      <c r="R1068" s="54">
        <v>0</v>
      </c>
      <c r="S1068" s="54">
        <v>349440</v>
      </c>
      <c r="T1068" s="54">
        <v>291200</v>
      </c>
      <c r="U1068" s="54">
        <v>0</v>
      </c>
      <c r="V1068" s="54">
        <v>58240</v>
      </c>
      <c r="W1068" s="54">
        <v>0</v>
      </c>
    </row>
    <row r="1069" spans="1:23" outlineLevel="2" x14ac:dyDescent="0.2">
      <c r="A1069" s="21" t="s">
        <v>402</v>
      </c>
      <c r="B1069" s="21" t="s">
        <v>1</v>
      </c>
      <c r="C1069" s="21" t="s">
        <v>2</v>
      </c>
      <c r="D1069" s="21" t="s">
        <v>13</v>
      </c>
      <c r="E1069" s="21" t="s">
        <v>14</v>
      </c>
      <c r="F1069" s="21" t="s">
        <v>5</v>
      </c>
      <c r="G1069" s="21" t="s">
        <v>6</v>
      </c>
      <c r="H1069" s="21" t="s">
        <v>7</v>
      </c>
      <c r="I1069" s="21" t="s">
        <v>8</v>
      </c>
      <c r="J1069" s="21" t="s">
        <v>403</v>
      </c>
      <c r="K1069" s="21" t="s">
        <v>592</v>
      </c>
      <c r="L1069" s="21" t="s">
        <v>593</v>
      </c>
      <c r="M1069" s="21" t="s">
        <v>15</v>
      </c>
      <c r="N1069" s="54">
        <v>20000</v>
      </c>
      <c r="O1069" s="54">
        <v>-11666.83</v>
      </c>
      <c r="P1069" s="54">
        <v>0</v>
      </c>
      <c r="Q1069" s="54">
        <v>8333.17</v>
      </c>
      <c r="R1069" s="54">
        <v>0</v>
      </c>
      <c r="S1069" s="54">
        <v>0</v>
      </c>
      <c r="T1069" s="54">
        <v>0</v>
      </c>
      <c r="U1069" s="54">
        <v>8333.17</v>
      </c>
      <c r="V1069" s="54">
        <v>8333.17</v>
      </c>
      <c r="W1069" s="54">
        <v>8333.17</v>
      </c>
    </row>
    <row r="1070" spans="1:23" outlineLevel="2" x14ac:dyDescent="0.2">
      <c r="A1070" s="21" t="s">
        <v>402</v>
      </c>
      <c r="B1070" s="21" t="s">
        <v>1</v>
      </c>
      <c r="C1070" s="21" t="s">
        <v>2</v>
      </c>
      <c r="D1070" s="21" t="s">
        <v>410</v>
      </c>
      <c r="E1070" s="21" t="s">
        <v>411</v>
      </c>
      <c r="F1070" s="21" t="s">
        <v>5</v>
      </c>
      <c r="G1070" s="21" t="s">
        <v>6</v>
      </c>
      <c r="H1070" s="21" t="s">
        <v>7</v>
      </c>
      <c r="I1070" s="21" t="s">
        <v>8</v>
      </c>
      <c r="J1070" s="21" t="s">
        <v>403</v>
      </c>
      <c r="K1070" s="21" t="s">
        <v>594</v>
      </c>
      <c r="L1070" s="21" t="s">
        <v>595</v>
      </c>
      <c r="M1070" s="21" t="s">
        <v>15</v>
      </c>
      <c r="N1070" s="54">
        <v>76802</v>
      </c>
      <c r="O1070" s="54">
        <v>0</v>
      </c>
      <c r="P1070" s="54">
        <v>0</v>
      </c>
      <c r="Q1070" s="54">
        <v>76802</v>
      </c>
      <c r="R1070" s="54">
        <v>0</v>
      </c>
      <c r="S1070" s="54">
        <v>57138.44</v>
      </c>
      <c r="T1070" s="54">
        <v>6844.06</v>
      </c>
      <c r="U1070" s="54">
        <v>19663.560000000001</v>
      </c>
      <c r="V1070" s="54">
        <v>69957.94</v>
      </c>
      <c r="W1070" s="54">
        <v>19663.560000000001</v>
      </c>
    </row>
    <row r="1071" spans="1:23" outlineLevel="2" x14ac:dyDescent="0.2">
      <c r="A1071" s="21" t="s">
        <v>402</v>
      </c>
      <c r="B1071" s="21" t="s">
        <v>39</v>
      </c>
      <c r="C1071" s="21" t="s">
        <v>58</v>
      </c>
      <c r="D1071" s="21" t="s">
        <v>129</v>
      </c>
      <c r="E1071" s="21" t="s">
        <v>130</v>
      </c>
      <c r="F1071" s="21" t="s">
        <v>5</v>
      </c>
      <c r="G1071" s="21" t="s">
        <v>6</v>
      </c>
      <c r="H1071" s="21" t="s">
        <v>7</v>
      </c>
      <c r="I1071" s="21" t="s">
        <v>8</v>
      </c>
      <c r="J1071" s="21" t="s">
        <v>403</v>
      </c>
      <c r="K1071" s="21" t="s">
        <v>596</v>
      </c>
      <c r="L1071" s="21" t="s">
        <v>598</v>
      </c>
      <c r="M1071" s="21" t="s">
        <v>12</v>
      </c>
      <c r="N1071" s="54">
        <v>6800</v>
      </c>
      <c r="O1071" s="54">
        <v>-1051.07</v>
      </c>
      <c r="P1071" s="54">
        <v>0</v>
      </c>
      <c r="Q1071" s="54">
        <v>5748.93</v>
      </c>
      <c r="R1071" s="54">
        <v>0</v>
      </c>
      <c r="S1071" s="54">
        <v>0</v>
      </c>
      <c r="T1071" s="54">
        <v>0</v>
      </c>
      <c r="U1071" s="54">
        <v>5748.93</v>
      </c>
      <c r="V1071" s="54">
        <v>5748.93</v>
      </c>
      <c r="W1071" s="54">
        <v>5748.93</v>
      </c>
    </row>
    <row r="1072" spans="1:23" outlineLevel="2" x14ac:dyDescent="0.2">
      <c r="A1072" s="21" t="s">
        <v>402</v>
      </c>
      <c r="B1072" s="21" t="s">
        <v>31</v>
      </c>
      <c r="C1072" s="21" t="s">
        <v>32</v>
      </c>
      <c r="D1072" s="21" t="s">
        <v>75</v>
      </c>
      <c r="E1072" s="21" t="s">
        <v>76</v>
      </c>
      <c r="F1072" s="21" t="s">
        <v>5</v>
      </c>
      <c r="G1072" s="21" t="s">
        <v>6</v>
      </c>
      <c r="H1072" s="21" t="s">
        <v>7</v>
      </c>
      <c r="I1072" s="21" t="s">
        <v>8</v>
      </c>
      <c r="J1072" s="21" t="s">
        <v>403</v>
      </c>
      <c r="K1072" s="21" t="s">
        <v>596</v>
      </c>
      <c r="L1072" s="21" t="s">
        <v>600</v>
      </c>
      <c r="M1072" s="21" t="s">
        <v>12</v>
      </c>
      <c r="N1072" s="54">
        <v>100</v>
      </c>
      <c r="O1072" s="54">
        <v>0</v>
      </c>
      <c r="P1072" s="54">
        <v>0</v>
      </c>
      <c r="Q1072" s="54">
        <v>100</v>
      </c>
      <c r="R1072" s="54">
        <v>0</v>
      </c>
      <c r="S1072" s="54">
        <v>0</v>
      </c>
      <c r="T1072" s="54">
        <v>0</v>
      </c>
      <c r="U1072" s="54">
        <v>100</v>
      </c>
      <c r="V1072" s="54">
        <v>100</v>
      </c>
      <c r="W1072" s="54">
        <v>100</v>
      </c>
    </row>
    <row r="1073" spans="1:23" outlineLevel="2" x14ac:dyDescent="0.2">
      <c r="A1073" s="21" t="s">
        <v>402</v>
      </c>
      <c r="B1073" s="21" t="s">
        <v>39</v>
      </c>
      <c r="C1073" s="21" t="s">
        <v>58</v>
      </c>
      <c r="D1073" s="21" t="s">
        <v>149</v>
      </c>
      <c r="E1073" s="21" t="s">
        <v>150</v>
      </c>
      <c r="F1073" s="21" t="s">
        <v>5</v>
      </c>
      <c r="G1073" s="21" t="s">
        <v>6</v>
      </c>
      <c r="H1073" s="21" t="s">
        <v>7</v>
      </c>
      <c r="I1073" s="21" t="s">
        <v>8</v>
      </c>
      <c r="J1073" s="21" t="s">
        <v>403</v>
      </c>
      <c r="K1073" s="21" t="s">
        <v>596</v>
      </c>
      <c r="L1073" s="21" t="s">
        <v>598</v>
      </c>
      <c r="M1073" s="21" t="s">
        <v>12</v>
      </c>
      <c r="N1073" s="54">
        <v>76000</v>
      </c>
      <c r="O1073" s="54">
        <v>0</v>
      </c>
      <c r="P1073" s="54">
        <v>0</v>
      </c>
      <c r="Q1073" s="54">
        <v>76000</v>
      </c>
      <c r="R1073" s="54">
        <v>0</v>
      </c>
      <c r="S1073" s="54">
        <v>9416.34</v>
      </c>
      <c r="T1073" s="54">
        <v>9416.34</v>
      </c>
      <c r="U1073" s="54">
        <v>66583.66</v>
      </c>
      <c r="V1073" s="54">
        <v>66583.66</v>
      </c>
      <c r="W1073" s="54">
        <v>66583.66</v>
      </c>
    </row>
    <row r="1074" spans="1:23" outlineLevel="2" x14ac:dyDescent="0.2">
      <c r="A1074" s="21" t="s">
        <v>402</v>
      </c>
      <c r="B1074" s="21" t="s">
        <v>39</v>
      </c>
      <c r="C1074" s="21" t="s">
        <v>58</v>
      </c>
      <c r="D1074" s="21" t="s">
        <v>145</v>
      </c>
      <c r="E1074" s="21" t="s">
        <v>146</v>
      </c>
      <c r="F1074" s="21" t="s">
        <v>5</v>
      </c>
      <c r="G1074" s="21" t="s">
        <v>6</v>
      </c>
      <c r="H1074" s="21" t="s">
        <v>7</v>
      </c>
      <c r="I1074" s="21" t="s">
        <v>8</v>
      </c>
      <c r="J1074" s="21" t="s">
        <v>403</v>
      </c>
      <c r="K1074" s="21" t="s">
        <v>596</v>
      </c>
      <c r="L1074" s="21" t="s">
        <v>598</v>
      </c>
      <c r="M1074" s="21" t="s">
        <v>12</v>
      </c>
      <c r="N1074" s="54">
        <v>87500</v>
      </c>
      <c r="O1074" s="54">
        <v>-38874.11</v>
      </c>
      <c r="P1074" s="54">
        <v>0</v>
      </c>
      <c r="Q1074" s="54">
        <v>48625.89</v>
      </c>
      <c r="R1074" s="54">
        <v>0</v>
      </c>
      <c r="S1074" s="54">
        <v>2556.6999999999998</v>
      </c>
      <c r="T1074" s="54">
        <v>2556.6999999999998</v>
      </c>
      <c r="U1074" s="54">
        <v>46069.19</v>
      </c>
      <c r="V1074" s="54">
        <v>46069.19</v>
      </c>
      <c r="W1074" s="54">
        <v>46069.19</v>
      </c>
    </row>
    <row r="1075" spans="1:23" outlineLevel="2" x14ac:dyDescent="0.2">
      <c r="A1075" s="21" t="s">
        <v>402</v>
      </c>
      <c r="B1075" s="21" t="s">
        <v>39</v>
      </c>
      <c r="C1075" s="21" t="s">
        <v>58</v>
      </c>
      <c r="D1075" s="21" t="s">
        <v>59</v>
      </c>
      <c r="E1075" s="21" t="s">
        <v>60</v>
      </c>
      <c r="F1075" s="21" t="s">
        <v>5</v>
      </c>
      <c r="G1075" s="21" t="s">
        <v>6</v>
      </c>
      <c r="H1075" s="21" t="s">
        <v>7</v>
      </c>
      <c r="I1075" s="21" t="s">
        <v>8</v>
      </c>
      <c r="J1075" s="21" t="s">
        <v>403</v>
      </c>
      <c r="K1075" s="21" t="s">
        <v>596</v>
      </c>
      <c r="L1075" s="21" t="s">
        <v>598</v>
      </c>
      <c r="M1075" s="21" t="s">
        <v>12</v>
      </c>
      <c r="N1075" s="54">
        <v>66000</v>
      </c>
      <c r="O1075" s="54">
        <v>-7600</v>
      </c>
      <c r="P1075" s="54">
        <v>0</v>
      </c>
      <c r="Q1075" s="54">
        <v>58400</v>
      </c>
      <c r="R1075" s="54">
        <v>0</v>
      </c>
      <c r="S1075" s="54">
        <v>0</v>
      </c>
      <c r="T1075" s="54">
        <v>0</v>
      </c>
      <c r="U1075" s="54">
        <v>58400</v>
      </c>
      <c r="V1075" s="54">
        <v>58400</v>
      </c>
      <c r="W1075" s="54">
        <v>58400</v>
      </c>
    </row>
    <row r="1076" spans="1:23" outlineLevel="2" x14ac:dyDescent="0.2">
      <c r="A1076" s="21" t="s">
        <v>402</v>
      </c>
      <c r="B1076" s="21" t="s">
        <v>1</v>
      </c>
      <c r="C1076" s="21" t="s">
        <v>2</v>
      </c>
      <c r="D1076" s="21" t="s">
        <v>410</v>
      </c>
      <c r="E1076" s="21" t="s">
        <v>411</v>
      </c>
      <c r="F1076" s="21" t="s">
        <v>5</v>
      </c>
      <c r="G1076" s="21" t="s">
        <v>6</v>
      </c>
      <c r="H1076" s="21" t="s">
        <v>7</v>
      </c>
      <c r="I1076" s="21" t="s">
        <v>8</v>
      </c>
      <c r="J1076" s="21" t="s">
        <v>403</v>
      </c>
      <c r="K1076" s="21" t="s">
        <v>596</v>
      </c>
      <c r="L1076" s="21" t="s">
        <v>597</v>
      </c>
      <c r="M1076" s="21" t="s">
        <v>15</v>
      </c>
      <c r="N1076" s="54">
        <v>0</v>
      </c>
      <c r="O1076" s="54">
        <v>1314.29</v>
      </c>
      <c r="P1076" s="54">
        <v>0</v>
      </c>
      <c r="Q1076" s="54">
        <v>1314.29</v>
      </c>
      <c r="R1076" s="54">
        <v>0</v>
      </c>
      <c r="S1076" s="54">
        <v>1314.29</v>
      </c>
      <c r="T1076" s="54">
        <v>1314.29</v>
      </c>
      <c r="U1076" s="54">
        <v>0</v>
      </c>
      <c r="V1076" s="54">
        <v>0</v>
      </c>
      <c r="W1076" s="54">
        <v>0</v>
      </c>
    </row>
    <row r="1077" spans="1:23" outlineLevel="2" x14ac:dyDescent="0.2">
      <c r="A1077" s="21" t="s">
        <v>402</v>
      </c>
      <c r="B1077" s="21" t="s">
        <v>39</v>
      </c>
      <c r="C1077" s="21" t="s">
        <v>95</v>
      </c>
      <c r="D1077" s="21" t="s">
        <v>96</v>
      </c>
      <c r="E1077" s="21" t="s">
        <v>97</v>
      </c>
      <c r="F1077" s="21" t="s">
        <v>5</v>
      </c>
      <c r="G1077" s="21" t="s">
        <v>6</v>
      </c>
      <c r="H1077" s="21" t="s">
        <v>7</v>
      </c>
      <c r="I1077" s="21" t="s">
        <v>8</v>
      </c>
      <c r="J1077" s="21" t="s">
        <v>403</v>
      </c>
      <c r="K1077" s="21" t="s">
        <v>596</v>
      </c>
      <c r="L1077" s="21" t="s">
        <v>599</v>
      </c>
      <c r="M1077" s="21" t="s">
        <v>12</v>
      </c>
      <c r="N1077" s="54">
        <v>0</v>
      </c>
      <c r="O1077" s="54">
        <v>1595.05</v>
      </c>
      <c r="P1077" s="54">
        <v>0</v>
      </c>
      <c r="Q1077" s="54">
        <v>1595.05</v>
      </c>
      <c r="R1077" s="54">
        <v>0</v>
      </c>
      <c r="S1077" s="54">
        <v>1595.05</v>
      </c>
      <c r="T1077" s="54">
        <v>1595.05</v>
      </c>
      <c r="U1077" s="54">
        <v>0</v>
      </c>
      <c r="V1077" s="54">
        <v>0</v>
      </c>
      <c r="W1077" s="54">
        <v>0</v>
      </c>
    </row>
    <row r="1078" spans="1:23" outlineLevel="2" x14ac:dyDescent="0.2">
      <c r="A1078" s="21" t="s">
        <v>402</v>
      </c>
      <c r="B1078" s="21" t="s">
        <v>39</v>
      </c>
      <c r="C1078" s="21" t="s">
        <v>58</v>
      </c>
      <c r="D1078" s="21" t="s">
        <v>143</v>
      </c>
      <c r="E1078" s="21" t="s">
        <v>144</v>
      </c>
      <c r="F1078" s="21" t="s">
        <v>5</v>
      </c>
      <c r="G1078" s="21" t="s">
        <v>6</v>
      </c>
      <c r="H1078" s="21" t="s">
        <v>7</v>
      </c>
      <c r="I1078" s="21" t="s">
        <v>8</v>
      </c>
      <c r="J1078" s="21" t="s">
        <v>403</v>
      </c>
      <c r="K1078" s="21" t="s">
        <v>596</v>
      </c>
      <c r="L1078" s="21" t="s">
        <v>598</v>
      </c>
      <c r="M1078" s="21" t="s">
        <v>12</v>
      </c>
      <c r="N1078" s="54">
        <v>94000</v>
      </c>
      <c r="O1078" s="54">
        <v>-12000</v>
      </c>
      <c r="P1078" s="54">
        <v>0</v>
      </c>
      <c r="Q1078" s="54">
        <v>82000</v>
      </c>
      <c r="R1078" s="54">
        <v>5915.42</v>
      </c>
      <c r="S1078" s="54">
        <v>75421.88</v>
      </c>
      <c r="T1078" s="54">
        <v>51760.1</v>
      </c>
      <c r="U1078" s="54">
        <v>6578.12</v>
      </c>
      <c r="V1078" s="54">
        <v>30239.9</v>
      </c>
      <c r="W1078" s="54">
        <v>662.7</v>
      </c>
    </row>
    <row r="1079" spans="1:23" outlineLevel="2" x14ac:dyDescent="0.2">
      <c r="A1079" s="21" t="s">
        <v>402</v>
      </c>
      <c r="B1079" s="21" t="s">
        <v>39</v>
      </c>
      <c r="C1079" s="21" t="s">
        <v>58</v>
      </c>
      <c r="D1079" s="21" t="s">
        <v>137</v>
      </c>
      <c r="E1079" s="21" t="s">
        <v>138</v>
      </c>
      <c r="F1079" s="21" t="s">
        <v>5</v>
      </c>
      <c r="G1079" s="21" t="s">
        <v>6</v>
      </c>
      <c r="H1079" s="21" t="s">
        <v>7</v>
      </c>
      <c r="I1079" s="21" t="s">
        <v>8</v>
      </c>
      <c r="J1079" s="21" t="s">
        <v>403</v>
      </c>
      <c r="K1079" s="21" t="s">
        <v>596</v>
      </c>
      <c r="L1079" s="21" t="s">
        <v>598</v>
      </c>
      <c r="M1079" s="21" t="s">
        <v>12</v>
      </c>
      <c r="N1079" s="54">
        <v>113000</v>
      </c>
      <c r="O1079" s="54">
        <v>-18836.599999999999</v>
      </c>
      <c r="P1079" s="54">
        <v>0</v>
      </c>
      <c r="Q1079" s="54">
        <v>94163.4</v>
      </c>
      <c r="R1079" s="54">
        <v>0</v>
      </c>
      <c r="S1079" s="54">
        <v>60277.77</v>
      </c>
      <c r="T1079" s="54">
        <v>0</v>
      </c>
      <c r="U1079" s="54">
        <v>33885.629999999997</v>
      </c>
      <c r="V1079" s="54">
        <v>94163.4</v>
      </c>
      <c r="W1079" s="54">
        <v>33885.629999999997</v>
      </c>
    </row>
    <row r="1080" spans="1:23" outlineLevel="2" x14ac:dyDescent="0.2">
      <c r="A1080" s="21" t="s">
        <v>402</v>
      </c>
      <c r="B1080" s="21" t="s">
        <v>1</v>
      </c>
      <c r="C1080" s="21" t="s">
        <v>91</v>
      </c>
      <c r="D1080" s="21" t="s">
        <v>92</v>
      </c>
      <c r="E1080" s="21" t="s">
        <v>93</v>
      </c>
      <c r="F1080" s="21" t="s">
        <v>5</v>
      </c>
      <c r="G1080" s="21" t="s">
        <v>6</v>
      </c>
      <c r="H1080" s="21" t="s">
        <v>7</v>
      </c>
      <c r="I1080" s="21" t="s">
        <v>8</v>
      </c>
      <c r="J1080" s="21" t="s">
        <v>403</v>
      </c>
      <c r="K1080" s="21" t="s">
        <v>596</v>
      </c>
      <c r="L1080" s="21" t="s">
        <v>601</v>
      </c>
      <c r="M1080" s="21" t="s">
        <v>15</v>
      </c>
      <c r="N1080" s="54">
        <v>400000</v>
      </c>
      <c r="O1080" s="54">
        <v>-253185.02</v>
      </c>
      <c r="P1080" s="54">
        <v>0</v>
      </c>
      <c r="Q1080" s="54">
        <v>146814.98000000001</v>
      </c>
      <c r="R1080" s="54">
        <v>0</v>
      </c>
      <c r="S1080" s="54">
        <v>146112.53</v>
      </c>
      <c r="T1080" s="54">
        <v>146112.51</v>
      </c>
      <c r="U1080" s="54">
        <v>702.45</v>
      </c>
      <c r="V1080" s="54">
        <v>702.47</v>
      </c>
      <c r="W1080" s="54">
        <v>702.45</v>
      </c>
    </row>
    <row r="1081" spans="1:23" outlineLevel="2" x14ac:dyDescent="0.2">
      <c r="A1081" s="21" t="s">
        <v>402</v>
      </c>
      <c r="B1081" s="21" t="s">
        <v>1</v>
      </c>
      <c r="C1081" s="21" t="s">
        <v>2</v>
      </c>
      <c r="D1081" s="21" t="s">
        <v>3</v>
      </c>
      <c r="E1081" s="21" t="s">
        <v>4</v>
      </c>
      <c r="F1081" s="21" t="s">
        <v>5</v>
      </c>
      <c r="G1081" s="21" t="s">
        <v>6</v>
      </c>
      <c r="H1081" s="21" t="s">
        <v>7</v>
      </c>
      <c r="I1081" s="21" t="s">
        <v>8</v>
      </c>
      <c r="J1081" s="21" t="s">
        <v>403</v>
      </c>
      <c r="K1081" s="21" t="s">
        <v>602</v>
      </c>
      <c r="L1081" s="21" t="s">
        <v>603</v>
      </c>
      <c r="M1081" s="21" t="s">
        <v>15</v>
      </c>
      <c r="N1081" s="54">
        <v>0</v>
      </c>
      <c r="O1081" s="54">
        <v>4513.26</v>
      </c>
      <c r="P1081" s="54">
        <v>0</v>
      </c>
      <c r="Q1081" s="54">
        <v>4513.26</v>
      </c>
      <c r="R1081" s="54">
        <v>0</v>
      </c>
      <c r="S1081" s="54">
        <v>4480</v>
      </c>
      <c r="T1081" s="54">
        <v>0</v>
      </c>
      <c r="U1081" s="54">
        <v>33.26</v>
      </c>
      <c r="V1081" s="54">
        <v>4513.26</v>
      </c>
      <c r="W1081" s="54">
        <v>33.26</v>
      </c>
    </row>
    <row r="1082" spans="1:23" outlineLevel="2" x14ac:dyDescent="0.2">
      <c r="A1082" s="21" t="s">
        <v>402</v>
      </c>
      <c r="B1082" s="21" t="s">
        <v>1</v>
      </c>
      <c r="C1082" s="21" t="s">
        <v>2</v>
      </c>
      <c r="D1082" s="21" t="s">
        <v>3</v>
      </c>
      <c r="E1082" s="21" t="s">
        <v>4</v>
      </c>
      <c r="F1082" s="21" t="s">
        <v>5</v>
      </c>
      <c r="G1082" s="21" t="s">
        <v>6</v>
      </c>
      <c r="H1082" s="21" t="s">
        <v>7</v>
      </c>
      <c r="I1082" s="21" t="s">
        <v>8</v>
      </c>
      <c r="J1082" s="21" t="s">
        <v>403</v>
      </c>
      <c r="K1082" s="21" t="s">
        <v>604</v>
      </c>
      <c r="L1082" s="21" t="s">
        <v>605</v>
      </c>
      <c r="M1082" s="21" t="s">
        <v>15</v>
      </c>
      <c r="N1082" s="54">
        <v>0</v>
      </c>
      <c r="O1082" s="54">
        <v>3920</v>
      </c>
      <c r="P1082" s="54">
        <v>0</v>
      </c>
      <c r="Q1082" s="54">
        <v>3920</v>
      </c>
      <c r="R1082" s="54">
        <v>0</v>
      </c>
      <c r="S1082" s="54">
        <v>3920</v>
      </c>
      <c r="T1082" s="54">
        <v>3920</v>
      </c>
      <c r="U1082" s="54">
        <v>0</v>
      </c>
      <c r="V1082" s="54">
        <v>0</v>
      </c>
      <c r="W1082" s="54">
        <v>0</v>
      </c>
    </row>
    <row r="1083" spans="1:23" outlineLevel="2" x14ac:dyDescent="0.2">
      <c r="A1083" s="21" t="s">
        <v>402</v>
      </c>
      <c r="B1083" s="21" t="s">
        <v>39</v>
      </c>
      <c r="C1083" s="21" t="s">
        <v>95</v>
      </c>
      <c r="D1083" s="21" t="s">
        <v>96</v>
      </c>
      <c r="E1083" s="21" t="s">
        <v>97</v>
      </c>
      <c r="F1083" s="21" t="s">
        <v>5</v>
      </c>
      <c r="G1083" s="21" t="s">
        <v>6</v>
      </c>
      <c r="H1083" s="21" t="s">
        <v>7</v>
      </c>
      <c r="I1083" s="21" t="s">
        <v>8</v>
      </c>
      <c r="J1083" s="21" t="s">
        <v>403</v>
      </c>
      <c r="K1083" s="21" t="s">
        <v>604</v>
      </c>
      <c r="L1083" s="21" t="s">
        <v>606</v>
      </c>
      <c r="M1083" s="21" t="s">
        <v>12</v>
      </c>
      <c r="N1083" s="54">
        <v>0</v>
      </c>
      <c r="O1083" s="54">
        <v>1344</v>
      </c>
      <c r="P1083" s="54">
        <v>0</v>
      </c>
      <c r="Q1083" s="54">
        <v>1344</v>
      </c>
      <c r="R1083" s="54">
        <v>0</v>
      </c>
      <c r="S1083" s="54">
        <v>0</v>
      </c>
      <c r="T1083" s="54">
        <v>0</v>
      </c>
      <c r="U1083" s="54">
        <v>1344</v>
      </c>
      <c r="V1083" s="54">
        <v>1344</v>
      </c>
      <c r="W1083" s="54">
        <v>1344</v>
      </c>
    </row>
    <row r="1084" spans="1:23" outlineLevel="2" x14ac:dyDescent="0.2">
      <c r="A1084" s="21" t="s">
        <v>402</v>
      </c>
      <c r="B1084" s="21" t="s">
        <v>1</v>
      </c>
      <c r="C1084" s="21" t="s">
        <v>2</v>
      </c>
      <c r="D1084" s="21" t="s">
        <v>474</v>
      </c>
      <c r="E1084" s="21" t="s">
        <v>475</v>
      </c>
      <c r="F1084" s="21" t="s">
        <v>5</v>
      </c>
      <c r="G1084" s="21" t="s">
        <v>6</v>
      </c>
      <c r="H1084" s="21" t="s">
        <v>7</v>
      </c>
      <c r="I1084" s="21" t="s">
        <v>8</v>
      </c>
      <c r="J1084" s="21" t="s">
        <v>403</v>
      </c>
      <c r="K1084" s="21" t="s">
        <v>604</v>
      </c>
      <c r="L1084" s="21" t="s">
        <v>605</v>
      </c>
      <c r="M1084" s="21" t="s">
        <v>15</v>
      </c>
      <c r="N1084" s="54">
        <v>650000</v>
      </c>
      <c r="O1084" s="54">
        <v>-896</v>
      </c>
      <c r="P1084" s="54">
        <v>0</v>
      </c>
      <c r="Q1084" s="54">
        <v>649104</v>
      </c>
      <c r="R1084" s="54">
        <v>0</v>
      </c>
      <c r="S1084" s="54">
        <v>0</v>
      </c>
      <c r="T1084" s="54">
        <v>0</v>
      </c>
      <c r="U1084" s="54">
        <v>649104</v>
      </c>
      <c r="V1084" s="54">
        <v>649104</v>
      </c>
      <c r="W1084" s="54">
        <v>649104</v>
      </c>
    </row>
    <row r="1085" spans="1:23" outlineLevel="2" x14ac:dyDescent="0.2">
      <c r="A1085" s="21" t="s">
        <v>402</v>
      </c>
      <c r="B1085" s="21" t="s">
        <v>1</v>
      </c>
      <c r="C1085" s="21" t="s">
        <v>2</v>
      </c>
      <c r="D1085" s="21" t="s">
        <v>25</v>
      </c>
      <c r="E1085" s="21" t="s">
        <v>26</v>
      </c>
      <c r="F1085" s="21" t="s">
        <v>5</v>
      </c>
      <c r="G1085" s="21" t="s">
        <v>6</v>
      </c>
      <c r="H1085" s="21" t="s">
        <v>7</v>
      </c>
      <c r="I1085" s="21" t="s">
        <v>8</v>
      </c>
      <c r="J1085" s="21" t="s">
        <v>403</v>
      </c>
      <c r="K1085" s="21" t="s">
        <v>607</v>
      </c>
      <c r="L1085" s="21" t="s">
        <v>608</v>
      </c>
      <c r="M1085" s="21" t="s">
        <v>15</v>
      </c>
      <c r="N1085" s="54">
        <v>12000</v>
      </c>
      <c r="O1085" s="54">
        <v>0</v>
      </c>
      <c r="P1085" s="54">
        <v>0</v>
      </c>
      <c r="Q1085" s="54">
        <v>12000</v>
      </c>
      <c r="R1085" s="54">
        <v>0</v>
      </c>
      <c r="S1085" s="54">
        <v>0</v>
      </c>
      <c r="T1085" s="54">
        <v>0</v>
      </c>
      <c r="U1085" s="54">
        <v>12000</v>
      </c>
      <c r="V1085" s="54">
        <v>12000</v>
      </c>
      <c r="W1085" s="54">
        <v>12000</v>
      </c>
    </row>
    <row r="1086" spans="1:23" outlineLevel="2" x14ac:dyDescent="0.2">
      <c r="A1086" s="21" t="s">
        <v>402</v>
      </c>
      <c r="B1086" s="21" t="s">
        <v>39</v>
      </c>
      <c r="C1086" s="21" t="s">
        <v>95</v>
      </c>
      <c r="D1086" s="21" t="s">
        <v>96</v>
      </c>
      <c r="E1086" s="21" t="s">
        <v>97</v>
      </c>
      <c r="F1086" s="21" t="s">
        <v>5</v>
      </c>
      <c r="G1086" s="21" t="s">
        <v>6</v>
      </c>
      <c r="H1086" s="21" t="s">
        <v>7</v>
      </c>
      <c r="I1086" s="21" t="s">
        <v>8</v>
      </c>
      <c r="J1086" s="21" t="s">
        <v>403</v>
      </c>
      <c r="K1086" s="21" t="s">
        <v>609</v>
      </c>
      <c r="L1086" s="21" t="s">
        <v>610</v>
      </c>
      <c r="M1086" s="21" t="s">
        <v>12</v>
      </c>
      <c r="N1086" s="54">
        <v>0</v>
      </c>
      <c r="O1086" s="54">
        <v>3396</v>
      </c>
      <c r="P1086" s="54">
        <v>0</v>
      </c>
      <c r="Q1086" s="54">
        <v>3396</v>
      </c>
      <c r="R1086" s="54">
        <v>0</v>
      </c>
      <c r="S1086" s="54">
        <v>3000</v>
      </c>
      <c r="T1086" s="54">
        <v>0</v>
      </c>
      <c r="U1086" s="54">
        <v>396</v>
      </c>
      <c r="V1086" s="54">
        <v>3396</v>
      </c>
      <c r="W1086" s="54">
        <v>396</v>
      </c>
    </row>
    <row r="1087" spans="1:23" outlineLevel="2" x14ac:dyDescent="0.2">
      <c r="A1087" s="21" t="s">
        <v>402</v>
      </c>
      <c r="B1087" s="21" t="s">
        <v>1</v>
      </c>
      <c r="C1087" s="21" t="s">
        <v>2</v>
      </c>
      <c r="D1087" s="21" t="s">
        <v>25</v>
      </c>
      <c r="E1087" s="21" t="s">
        <v>26</v>
      </c>
      <c r="F1087" s="21" t="s">
        <v>5</v>
      </c>
      <c r="G1087" s="21" t="s">
        <v>6</v>
      </c>
      <c r="H1087" s="21" t="s">
        <v>7</v>
      </c>
      <c r="I1087" s="21" t="s">
        <v>8</v>
      </c>
      <c r="J1087" s="21" t="s">
        <v>403</v>
      </c>
      <c r="K1087" s="21" t="s">
        <v>611</v>
      </c>
      <c r="L1087" s="21" t="s">
        <v>612</v>
      </c>
      <c r="M1087" s="21" t="s">
        <v>15</v>
      </c>
      <c r="N1087" s="54">
        <v>15000</v>
      </c>
      <c r="O1087" s="54">
        <v>0</v>
      </c>
      <c r="P1087" s="54">
        <v>0</v>
      </c>
      <c r="Q1087" s="54">
        <v>15000</v>
      </c>
      <c r="R1087" s="54">
        <v>0</v>
      </c>
      <c r="S1087" s="54">
        <v>0</v>
      </c>
      <c r="T1087" s="54">
        <v>0</v>
      </c>
      <c r="U1087" s="54">
        <v>15000</v>
      </c>
      <c r="V1087" s="54">
        <v>15000</v>
      </c>
      <c r="W1087" s="54">
        <v>15000</v>
      </c>
    </row>
    <row r="1088" spans="1:23" outlineLevel="2" x14ac:dyDescent="0.2">
      <c r="A1088" s="21" t="s">
        <v>402</v>
      </c>
      <c r="B1088" s="21" t="s">
        <v>31</v>
      </c>
      <c r="C1088" s="21" t="s">
        <v>79</v>
      </c>
      <c r="D1088" s="21" t="s">
        <v>80</v>
      </c>
      <c r="E1088" s="21" t="s">
        <v>81</v>
      </c>
      <c r="F1088" s="21" t="s">
        <v>5</v>
      </c>
      <c r="G1088" s="21" t="s">
        <v>6</v>
      </c>
      <c r="H1088" s="21" t="s">
        <v>7</v>
      </c>
      <c r="I1088" s="21" t="s">
        <v>8</v>
      </c>
      <c r="J1088" s="21" t="s">
        <v>403</v>
      </c>
      <c r="K1088" s="21" t="s">
        <v>613</v>
      </c>
      <c r="L1088" s="21" t="s">
        <v>615</v>
      </c>
      <c r="M1088" s="21" t="s">
        <v>12</v>
      </c>
      <c r="N1088" s="54">
        <v>0</v>
      </c>
      <c r="O1088" s="54">
        <v>2300</v>
      </c>
      <c r="P1088" s="54">
        <v>0</v>
      </c>
      <c r="Q1088" s="54">
        <v>2300</v>
      </c>
      <c r="R1088" s="54">
        <v>0</v>
      </c>
      <c r="S1088" s="54">
        <v>0</v>
      </c>
      <c r="T1088" s="54">
        <v>0</v>
      </c>
      <c r="U1088" s="54">
        <v>2300</v>
      </c>
      <c r="V1088" s="54">
        <v>2300</v>
      </c>
      <c r="W1088" s="54">
        <v>2300</v>
      </c>
    </row>
    <row r="1089" spans="1:23" outlineLevel="2" x14ac:dyDescent="0.2">
      <c r="A1089" s="21" t="s">
        <v>402</v>
      </c>
      <c r="B1089" s="21" t="s">
        <v>39</v>
      </c>
      <c r="C1089" s="21" t="s">
        <v>58</v>
      </c>
      <c r="D1089" s="21" t="s">
        <v>135</v>
      </c>
      <c r="E1089" s="21" t="s">
        <v>136</v>
      </c>
      <c r="F1089" s="21" t="s">
        <v>5</v>
      </c>
      <c r="G1089" s="21" t="s">
        <v>6</v>
      </c>
      <c r="H1089" s="21" t="s">
        <v>7</v>
      </c>
      <c r="I1089" s="21" t="s">
        <v>8</v>
      </c>
      <c r="J1089" s="21" t="s">
        <v>403</v>
      </c>
      <c r="K1089" s="21" t="s">
        <v>613</v>
      </c>
      <c r="L1089" s="21" t="s">
        <v>614</v>
      </c>
      <c r="M1089" s="21" t="s">
        <v>12</v>
      </c>
      <c r="N1089" s="54">
        <v>0</v>
      </c>
      <c r="O1089" s="54">
        <v>18000</v>
      </c>
      <c r="P1089" s="54">
        <v>0</v>
      </c>
      <c r="Q1089" s="54">
        <v>18000</v>
      </c>
      <c r="R1089" s="54">
        <v>0</v>
      </c>
      <c r="S1089" s="54">
        <v>78.400000000000006</v>
      </c>
      <c r="T1089" s="54">
        <v>78.400000000000006</v>
      </c>
      <c r="U1089" s="54">
        <v>17921.599999999999</v>
      </c>
      <c r="V1089" s="54">
        <v>17921.599999999999</v>
      </c>
      <c r="W1089" s="54">
        <v>17921.599999999999</v>
      </c>
    </row>
    <row r="1090" spans="1:23" outlineLevel="2" x14ac:dyDescent="0.2">
      <c r="A1090" s="21" t="s">
        <v>402</v>
      </c>
      <c r="B1090" s="21" t="s">
        <v>39</v>
      </c>
      <c r="C1090" s="21" t="s">
        <v>58</v>
      </c>
      <c r="D1090" s="21" t="s">
        <v>139</v>
      </c>
      <c r="E1090" s="21" t="s">
        <v>140</v>
      </c>
      <c r="F1090" s="21" t="s">
        <v>5</v>
      </c>
      <c r="G1090" s="21" t="s">
        <v>6</v>
      </c>
      <c r="H1090" s="21" t="s">
        <v>7</v>
      </c>
      <c r="I1090" s="21" t="s">
        <v>8</v>
      </c>
      <c r="J1090" s="21" t="s">
        <v>403</v>
      </c>
      <c r="K1090" s="21" t="s">
        <v>616</v>
      </c>
      <c r="L1090" s="21" t="s">
        <v>620</v>
      </c>
      <c r="M1090" s="21" t="s">
        <v>12</v>
      </c>
      <c r="N1090" s="54">
        <v>0</v>
      </c>
      <c r="O1090" s="54">
        <v>7951.64</v>
      </c>
      <c r="P1090" s="54">
        <v>0</v>
      </c>
      <c r="Q1090" s="54">
        <v>7951.64</v>
      </c>
      <c r="R1090" s="54">
        <v>0</v>
      </c>
      <c r="S1090" s="54">
        <v>0</v>
      </c>
      <c r="T1090" s="54">
        <v>0</v>
      </c>
      <c r="U1090" s="54">
        <v>7951.64</v>
      </c>
      <c r="V1090" s="54">
        <v>7951.64</v>
      </c>
      <c r="W1090" s="54">
        <v>7951.64</v>
      </c>
    </row>
    <row r="1091" spans="1:23" outlineLevel="2" x14ac:dyDescent="0.2">
      <c r="A1091" s="21" t="s">
        <v>402</v>
      </c>
      <c r="B1091" s="21" t="s">
        <v>1</v>
      </c>
      <c r="C1091" s="21" t="s">
        <v>2</v>
      </c>
      <c r="D1091" s="21" t="s">
        <v>474</v>
      </c>
      <c r="E1091" s="21" t="s">
        <v>475</v>
      </c>
      <c r="F1091" s="21" t="s">
        <v>5</v>
      </c>
      <c r="G1091" s="21" t="s">
        <v>6</v>
      </c>
      <c r="H1091" s="21" t="s">
        <v>7</v>
      </c>
      <c r="I1091" s="21" t="s">
        <v>8</v>
      </c>
      <c r="J1091" s="21" t="s">
        <v>403</v>
      </c>
      <c r="K1091" s="21" t="s">
        <v>616</v>
      </c>
      <c r="L1091" s="21" t="s">
        <v>617</v>
      </c>
      <c r="M1091" s="21" t="s">
        <v>15</v>
      </c>
      <c r="N1091" s="54">
        <v>0</v>
      </c>
      <c r="O1091" s="54">
        <v>1321.6</v>
      </c>
      <c r="P1091" s="54">
        <v>0</v>
      </c>
      <c r="Q1091" s="54">
        <v>1321.6</v>
      </c>
      <c r="R1091" s="54">
        <v>0</v>
      </c>
      <c r="S1091" s="54">
        <v>0</v>
      </c>
      <c r="T1091" s="54">
        <v>0</v>
      </c>
      <c r="U1091" s="54">
        <v>1321.6</v>
      </c>
      <c r="V1091" s="54">
        <v>1321.6</v>
      </c>
      <c r="W1091" s="54">
        <v>1321.6</v>
      </c>
    </row>
    <row r="1092" spans="1:23" outlineLevel="2" x14ac:dyDescent="0.2">
      <c r="A1092" s="21" t="s">
        <v>402</v>
      </c>
      <c r="B1092" s="21" t="s">
        <v>39</v>
      </c>
      <c r="C1092" s="21" t="s">
        <v>58</v>
      </c>
      <c r="D1092" s="21" t="s">
        <v>147</v>
      </c>
      <c r="E1092" s="21" t="s">
        <v>148</v>
      </c>
      <c r="F1092" s="21" t="s">
        <v>5</v>
      </c>
      <c r="G1092" s="21" t="s">
        <v>6</v>
      </c>
      <c r="H1092" s="21" t="s">
        <v>7</v>
      </c>
      <c r="I1092" s="21" t="s">
        <v>8</v>
      </c>
      <c r="J1092" s="21" t="s">
        <v>403</v>
      </c>
      <c r="K1092" s="21" t="s">
        <v>616</v>
      </c>
      <c r="L1092" s="21" t="s">
        <v>620</v>
      </c>
      <c r="M1092" s="21" t="s">
        <v>12</v>
      </c>
      <c r="N1092" s="54">
        <v>0</v>
      </c>
      <c r="O1092" s="54">
        <v>7095.2</v>
      </c>
      <c r="P1092" s="54">
        <v>0</v>
      </c>
      <c r="Q1092" s="54">
        <v>7095.2</v>
      </c>
      <c r="R1092" s="54">
        <v>0</v>
      </c>
      <c r="S1092" s="54">
        <v>0</v>
      </c>
      <c r="T1092" s="54">
        <v>0</v>
      </c>
      <c r="U1092" s="54">
        <v>7095.2</v>
      </c>
      <c r="V1092" s="54">
        <v>7095.2</v>
      </c>
      <c r="W1092" s="54">
        <v>7095.2</v>
      </c>
    </row>
    <row r="1093" spans="1:23" outlineLevel="2" x14ac:dyDescent="0.2">
      <c r="A1093" s="21" t="s">
        <v>402</v>
      </c>
      <c r="B1093" s="21" t="s">
        <v>1</v>
      </c>
      <c r="C1093" s="21" t="s">
        <v>2</v>
      </c>
      <c r="D1093" s="21" t="s">
        <v>25</v>
      </c>
      <c r="E1093" s="21" t="s">
        <v>26</v>
      </c>
      <c r="F1093" s="21" t="s">
        <v>5</v>
      </c>
      <c r="G1093" s="21" t="s">
        <v>6</v>
      </c>
      <c r="H1093" s="21" t="s">
        <v>7</v>
      </c>
      <c r="I1093" s="21" t="s">
        <v>8</v>
      </c>
      <c r="J1093" s="21" t="s">
        <v>403</v>
      </c>
      <c r="K1093" s="21" t="s">
        <v>616</v>
      </c>
      <c r="L1093" s="21" t="s">
        <v>617</v>
      </c>
      <c r="M1093" s="21" t="s">
        <v>15</v>
      </c>
      <c r="N1093" s="54">
        <v>160000</v>
      </c>
      <c r="O1093" s="54">
        <v>0</v>
      </c>
      <c r="P1093" s="54">
        <v>0</v>
      </c>
      <c r="Q1093" s="54">
        <v>160000</v>
      </c>
      <c r="R1093" s="54">
        <v>0</v>
      </c>
      <c r="S1093" s="54">
        <v>0</v>
      </c>
      <c r="T1093" s="54">
        <v>0</v>
      </c>
      <c r="U1093" s="54">
        <v>160000</v>
      </c>
      <c r="V1093" s="54">
        <v>160000</v>
      </c>
      <c r="W1093" s="54">
        <v>160000</v>
      </c>
    </row>
    <row r="1094" spans="1:23" outlineLevel="2" x14ac:dyDescent="0.2">
      <c r="A1094" s="21" t="s">
        <v>402</v>
      </c>
      <c r="B1094" s="21" t="s">
        <v>1</v>
      </c>
      <c r="C1094" s="21" t="s">
        <v>2</v>
      </c>
      <c r="D1094" s="21" t="s">
        <v>3</v>
      </c>
      <c r="E1094" s="21" t="s">
        <v>4</v>
      </c>
      <c r="F1094" s="21" t="s">
        <v>5</v>
      </c>
      <c r="G1094" s="21" t="s">
        <v>6</v>
      </c>
      <c r="H1094" s="21" t="s">
        <v>7</v>
      </c>
      <c r="I1094" s="21" t="s">
        <v>8</v>
      </c>
      <c r="J1094" s="21" t="s">
        <v>403</v>
      </c>
      <c r="K1094" s="21" t="s">
        <v>616</v>
      </c>
      <c r="L1094" s="21" t="s">
        <v>617</v>
      </c>
      <c r="M1094" s="21" t="s">
        <v>15</v>
      </c>
      <c r="N1094" s="54">
        <v>0</v>
      </c>
      <c r="O1094" s="54">
        <v>64.989999999999995</v>
      </c>
      <c r="P1094" s="54">
        <v>0</v>
      </c>
      <c r="Q1094" s="54">
        <v>64.989999999999995</v>
      </c>
      <c r="R1094" s="54">
        <v>0</v>
      </c>
      <c r="S1094" s="54">
        <v>0</v>
      </c>
      <c r="T1094" s="54">
        <v>0</v>
      </c>
      <c r="U1094" s="54">
        <v>64.989999999999995</v>
      </c>
      <c r="V1094" s="54">
        <v>64.989999999999995</v>
      </c>
      <c r="W1094" s="54">
        <v>64.989999999999995</v>
      </c>
    </row>
    <row r="1095" spans="1:23" outlineLevel="2" x14ac:dyDescent="0.2">
      <c r="A1095" s="21" t="s">
        <v>402</v>
      </c>
      <c r="B1095" s="21" t="s">
        <v>39</v>
      </c>
      <c r="C1095" s="21" t="s">
        <v>58</v>
      </c>
      <c r="D1095" s="21" t="s">
        <v>145</v>
      </c>
      <c r="E1095" s="21" t="s">
        <v>146</v>
      </c>
      <c r="F1095" s="21" t="s">
        <v>5</v>
      </c>
      <c r="G1095" s="21" t="s">
        <v>6</v>
      </c>
      <c r="H1095" s="21" t="s">
        <v>7</v>
      </c>
      <c r="I1095" s="21" t="s">
        <v>8</v>
      </c>
      <c r="J1095" s="21" t="s">
        <v>403</v>
      </c>
      <c r="K1095" s="21" t="s">
        <v>621</v>
      </c>
      <c r="L1095" s="21" t="s">
        <v>626</v>
      </c>
      <c r="M1095" s="21" t="s">
        <v>12</v>
      </c>
      <c r="N1095" s="54">
        <v>7000</v>
      </c>
      <c r="O1095" s="54">
        <v>0</v>
      </c>
      <c r="P1095" s="54">
        <v>0</v>
      </c>
      <c r="Q1095" s="54">
        <v>7000</v>
      </c>
      <c r="R1095" s="54">
        <v>5501.74</v>
      </c>
      <c r="S1095" s="54">
        <v>1064.44</v>
      </c>
      <c r="T1095" s="54">
        <v>0</v>
      </c>
      <c r="U1095" s="54">
        <v>5935.56</v>
      </c>
      <c r="V1095" s="54">
        <v>7000</v>
      </c>
      <c r="W1095" s="54">
        <v>433.82</v>
      </c>
    </row>
    <row r="1096" spans="1:23" outlineLevel="2" x14ac:dyDescent="0.2">
      <c r="A1096" s="21" t="s">
        <v>402</v>
      </c>
      <c r="B1096" s="21" t="s">
        <v>1</v>
      </c>
      <c r="C1096" s="21" t="s">
        <v>2</v>
      </c>
      <c r="D1096" s="21" t="s">
        <v>3</v>
      </c>
      <c r="E1096" s="21" t="s">
        <v>4</v>
      </c>
      <c r="F1096" s="21" t="s">
        <v>5</v>
      </c>
      <c r="G1096" s="21" t="s">
        <v>6</v>
      </c>
      <c r="H1096" s="21" t="s">
        <v>7</v>
      </c>
      <c r="I1096" s="21" t="s">
        <v>8</v>
      </c>
      <c r="J1096" s="21" t="s">
        <v>403</v>
      </c>
      <c r="K1096" s="21" t="s">
        <v>621</v>
      </c>
      <c r="L1096" s="21" t="s">
        <v>623</v>
      </c>
      <c r="M1096" s="21" t="s">
        <v>15</v>
      </c>
      <c r="N1096" s="54">
        <v>0</v>
      </c>
      <c r="O1096" s="54">
        <v>10463.469999999999</v>
      </c>
      <c r="P1096" s="54">
        <v>0</v>
      </c>
      <c r="Q1096" s="54">
        <v>10463.469999999999</v>
      </c>
      <c r="R1096" s="54">
        <v>0</v>
      </c>
      <c r="S1096" s="54">
        <v>8940.44</v>
      </c>
      <c r="T1096" s="54">
        <v>7081.15</v>
      </c>
      <c r="U1096" s="54">
        <v>1523.03</v>
      </c>
      <c r="V1096" s="54">
        <v>3382.32</v>
      </c>
      <c r="W1096" s="54">
        <v>1523.03</v>
      </c>
    </row>
    <row r="1097" spans="1:23" outlineLevel="2" x14ac:dyDescent="0.2">
      <c r="A1097" s="21" t="s">
        <v>402</v>
      </c>
      <c r="B1097" s="21" t="s">
        <v>39</v>
      </c>
      <c r="C1097" s="21" t="s">
        <v>66</v>
      </c>
      <c r="D1097" s="21" t="s">
        <v>67</v>
      </c>
      <c r="E1097" s="21" t="s">
        <v>68</v>
      </c>
      <c r="F1097" s="21" t="s">
        <v>5</v>
      </c>
      <c r="G1097" s="21" t="s">
        <v>6</v>
      </c>
      <c r="H1097" s="21" t="s">
        <v>7</v>
      </c>
      <c r="I1097" s="21" t="s">
        <v>8</v>
      </c>
      <c r="J1097" s="21" t="s">
        <v>403</v>
      </c>
      <c r="K1097" s="21" t="s">
        <v>621</v>
      </c>
      <c r="L1097" s="21" t="s">
        <v>628</v>
      </c>
      <c r="M1097" s="21" t="s">
        <v>12</v>
      </c>
      <c r="N1097" s="54">
        <v>7250</v>
      </c>
      <c r="O1097" s="54">
        <v>-150.32</v>
      </c>
      <c r="P1097" s="54">
        <v>0</v>
      </c>
      <c r="Q1097" s="54">
        <v>7099.68</v>
      </c>
      <c r="R1097" s="54">
        <v>0</v>
      </c>
      <c r="S1097" s="54">
        <v>7099.68</v>
      </c>
      <c r="T1097" s="54">
        <v>0</v>
      </c>
      <c r="U1097" s="54">
        <v>0</v>
      </c>
      <c r="V1097" s="54">
        <v>7099.68</v>
      </c>
      <c r="W1097" s="54">
        <v>0</v>
      </c>
    </row>
    <row r="1098" spans="1:23" outlineLevel="2" x14ac:dyDescent="0.2">
      <c r="A1098" s="21" t="s">
        <v>402</v>
      </c>
      <c r="B1098" s="21" t="s">
        <v>31</v>
      </c>
      <c r="C1098" s="21" t="s">
        <v>79</v>
      </c>
      <c r="D1098" s="21" t="s">
        <v>113</v>
      </c>
      <c r="E1098" s="21" t="s">
        <v>114</v>
      </c>
      <c r="F1098" s="21" t="s">
        <v>5</v>
      </c>
      <c r="G1098" s="21" t="s">
        <v>6</v>
      </c>
      <c r="H1098" s="21" t="s">
        <v>7</v>
      </c>
      <c r="I1098" s="21" t="s">
        <v>8</v>
      </c>
      <c r="J1098" s="21" t="s">
        <v>403</v>
      </c>
      <c r="K1098" s="21" t="s">
        <v>621</v>
      </c>
      <c r="L1098" s="21" t="s">
        <v>624</v>
      </c>
      <c r="M1098" s="21" t="s">
        <v>12</v>
      </c>
      <c r="N1098" s="54">
        <v>4000</v>
      </c>
      <c r="O1098" s="54">
        <v>0</v>
      </c>
      <c r="P1098" s="54">
        <v>0</v>
      </c>
      <c r="Q1098" s="54">
        <v>4000</v>
      </c>
      <c r="R1098" s="54">
        <v>0</v>
      </c>
      <c r="S1098" s="54">
        <v>0</v>
      </c>
      <c r="T1098" s="54">
        <v>0</v>
      </c>
      <c r="U1098" s="54">
        <v>4000</v>
      </c>
      <c r="V1098" s="54">
        <v>4000</v>
      </c>
      <c r="W1098" s="54">
        <v>4000</v>
      </c>
    </row>
    <row r="1099" spans="1:23" outlineLevel="2" x14ac:dyDescent="0.2">
      <c r="A1099" s="21" t="s">
        <v>402</v>
      </c>
      <c r="B1099" s="21" t="s">
        <v>39</v>
      </c>
      <c r="C1099" s="21" t="s">
        <v>58</v>
      </c>
      <c r="D1099" s="21" t="s">
        <v>143</v>
      </c>
      <c r="E1099" s="21" t="s">
        <v>144</v>
      </c>
      <c r="F1099" s="21" t="s">
        <v>5</v>
      </c>
      <c r="G1099" s="21" t="s">
        <v>6</v>
      </c>
      <c r="H1099" s="21" t="s">
        <v>7</v>
      </c>
      <c r="I1099" s="21" t="s">
        <v>8</v>
      </c>
      <c r="J1099" s="21" t="s">
        <v>403</v>
      </c>
      <c r="K1099" s="21" t="s">
        <v>621</v>
      </c>
      <c r="L1099" s="21" t="s">
        <v>626</v>
      </c>
      <c r="M1099" s="21" t="s">
        <v>12</v>
      </c>
      <c r="N1099" s="54">
        <v>0</v>
      </c>
      <c r="O1099" s="54">
        <v>5500</v>
      </c>
      <c r="P1099" s="54">
        <v>0</v>
      </c>
      <c r="Q1099" s="54">
        <v>5500</v>
      </c>
      <c r="R1099" s="54">
        <v>0</v>
      </c>
      <c r="S1099" s="54">
        <v>67.2</v>
      </c>
      <c r="T1099" s="54">
        <v>67.2</v>
      </c>
      <c r="U1099" s="54">
        <v>5432.8</v>
      </c>
      <c r="V1099" s="54">
        <v>5432.8</v>
      </c>
      <c r="W1099" s="54">
        <v>5432.8</v>
      </c>
    </row>
    <row r="1100" spans="1:23" outlineLevel="2" x14ac:dyDescent="0.2">
      <c r="A1100" s="21" t="s">
        <v>402</v>
      </c>
      <c r="B1100" s="21" t="s">
        <v>1</v>
      </c>
      <c r="C1100" s="21" t="s">
        <v>2</v>
      </c>
      <c r="D1100" s="21" t="s">
        <v>630</v>
      </c>
      <c r="E1100" s="21" t="s">
        <v>631</v>
      </c>
      <c r="F1100" s="21" t="s">
        <v>5</v>
      </c>
      <c r="G1100" s="21" t="s">
        <v>6</v>
      </c>
      <c r="H1100" s="21" t="s">
        <v>7</v>
      </c>
      <c r="I1100" s="21" t="s">
        <v>8</v>
      </c>
      <c r="J1100" s="21" t="s">
        <v>403</v>
      </c>
      <c r="K1100" s="21" t="s">
        <v>621</v>
      </c>
      <c r="L1100" s="21" t="s">
        <v>623</v>
      </c>
      <c r="M1100" s="21" t="s">
        <v>15</v>
      </c>
      <c r="N1100" s="54">
        <v>1000</v>
      </c>
      <c r="O1100" s="54">
        <v>0</v>
      </c>
      <c r="P1100" s="54">
        <v>0</v>
      </c>
      <c r="Q1100" s="54">
        <v>1000</v>
      </c>
      <c r="R1100" s="54">
        <v>0</v>
      </c>
      <c r="S1100" s="54">
        <v>0</v>
      </c>
      <c r="T1100" s="54">
        <v>0</v>
      </c>
      <c r="U1100" s="54">
        <v>1000</v>
      </c>
      <c r="V1100" s="54">
        <v>1000</v>
      </c>
      <c r="W1100" s="54">
        <v>1000</v>
      </c>
    </row>
    <row r="1101" spans="1:23" outlineLevel="2" x14ac:dyDescent="0.2">
      <c r="A1101" s="21" t="s">
        <v>402</v>
      </c>
      <c r="B1101" s="21" t="s">
        <v>39</v>
      </c>
      <c r="C1101" s="21" t="s">
        <v>58</v>
      </c>
      <c r="D1101" s="21" t="s">
        <v>59</v>
      </c>
      <c r="E1101" s="21" t="s">
        <v>60</v>
      </c>
      <c r="F1101" s="21" t="s">
        <v>5</v>
      </c>
      <c r="G1101" s="21" t="s">
        <v>6</v>
      </c>
      <c r="H1101" s="21" t="s">
        <v>7</v>
      </c>
      <c r="I1101" s="21" t="s">
        <v>8</v>
      </c>
      <c r="J1101" s="21" t="s">
        <v>403</v>
      </c>
      <c r="K1101" s="21" t="s">
        <v>621</v>
      </c>
      <c r="L1101" s="21" t="s">
        <v>626</v>
      </c>
      <c r="M1101" s="21" t="s">
        <v>12</v>
      </c>
      <c r="N1101" s="54">
        <v>7000</v>
      </c>
      <c r="O1101" s="54">
        <v>-2500</v>
      </c>
      <c r="P1101" s="54">
        <v>0</v>
      </c>
      <c r="Q1101" s="54">
        <v>4500</v>
      </c>
      <c r="R1101" s="54">
        <v>0</v>
      </c>
      <c r="S1101" s="54">
        <v>0</v>
      </c>
      <c r="T1101" s="54">
        <v>0</v>
      </c>
      <c r="U1101" s="54">
        <v>4500</v>
      </c>
      <c r="V1101" s="54">
        <v>4500</v>
      </c>
      <c r="W1101" s="54">
        <v>4500</v>
      </c>
    </row>
    <row r="1102" spans="1:23" outlineLevel="2" x14ac:dyDescent="0.2">
      <c r="A1102" s="21" t="s">
        <v>402</v>
      </c>
      <c r="B1102" s="21" t="s">
        <v>39</v>
      </c>
      <c r="C1102" s="21" t="s">
        <v>66</v>
      </c>
      <c r="D1102" s="21" t="s">
        <v>121</v>
      </c>
      <c r="E1102" s="21" t="s">
        <v>122</v>
      </c>
      <c r="F1102" s="21" t="s">
        <v>5</v>
      </c>
      <c r="G1102" s="21" t="s">
        <v>6</v>
      </c>
      <c r="H1102" s="21" t="s">
        <v>7</v>
      </c>
      <c r="I1102" s="21" t="s">
        <v>8</v>
      </c>
      <c r="J1102" s="21" t="s">
        <v>403</v>
      </c>
      <c r="K1102" s="21" t="s">
        <v>621</v>
      </c>
      <c r="L1102" s="21" t="s">
        <v>628</v>
      </c>
      <c r="M1102" s="21" t="s">
        <v>12</v>
      </c>
      <c r="N1102" s="54">
        <v>500</v>
      </c>
      <c r="O1102" s="54">
        <v>0</v>
      </c>
      <c r="P1102" s="54">
        <v>0</v>
      </c>
      <c r="Q1102" s="54">
        <v>500</v>
      </c>
      <c r="R1102" s="54">
        <v>180</v>
      </c>
      <c r="S1102" s="54">
        <v>0</v>
      </c>
      <c r="T1102" s="54">
        <v>0</v>
      </c>
      <c r="U1102" s="54">
        <v>500</v>
      </c>
      <c r="V1102" s="54">
        <v>500</v>
      </c>
      <c r="W1102" s="54">
        <v>320</v>
      </c>
    </row>
    <row r="1103" spans="1:23" outlineLevel="2" x14ac:dyDescent="0.2">
      <c r="A1103" s="21" t="s">
        <v>402</v>
      </c>
      <c r="B1103" s="21" t="s">
        <v>31</v>
      </c>
      <c r="C1103" s="21" t="s">
        <v>79</v>
      </c>
      <c r="D1103" s="21" t="s">
        <v>117</v>
      </c>
      <c r="E1103" s="21" t="s">
        <v>118</v>
      </c>
      <c r="F1103" s="21" t="s">
        <v>5</v>
      </c>
      <c r="G1103" s="21" t="s">
        <v>6</v>
      </c>
      <c r="H1103" s="21" t="s">
        <v>7</v>
      </c>
      <c r="I1103" s="21" t="s">
        <v>8</v>
      </c>
      <c r="J1103" s="21" t="s">
        <v>403</v>
      </c>
      <c r="K1103" s="21" t="s">
        <v>621</v>
      </c>
      <c r="L1103" s="21" t="s">
        <v>624</v>
      </c>
      <c r="M1103" s="21" t="s">
        <v>12</v>
      </c>
      <c r="N1103" s="54">
        <v>3000</v>
      </c>
      <c r="O1103" s="54">
        <v>0</v>
      </c>
      <c r="P1103" s="54">
        <v>0</v>
      </c>
      <c r="Q1103" s="54">
        <v>3000</v>
      </c>
      <c r="R1103" s="54">
        <v>0</v>
      </c>
      <c r="S1103" s="54">
        <v>672</v>
      </c>
      <c r="T1103" s="54">
        <v>672</v>
      </c>
      <c r="U1103" s="54">
        <v>2328</v>
      </c>
      <c r="V1103" s="54">
        <v>2328</v>
      </c>
      <c r="W1103" s="54">
        <v>2328</v>
      </c>
    </row>
    <row r="1104" spans="1:23" outlineLevel="2" x14ac:dyDescent="0.2">
      <c r="A1104" s="21" t="s">
        <v>402</v>
      </c>
      <c r="B1104" s="21" t="s">
        <v>1</v>
      </c>
      <c r="C1104" s="21" t="s">
        <v>2</v>
      </c>
      <c r="D1104" s="21" t="s">
        <v>410</v>
      </c>
      <c r="E1104" s="21" t="s">
        <v>411</v>
      </c>
      <c r="F1104" s="21" t="s">
        <v>5</v>
      </c>
      <c r="G1104" s="21" t="s">
        <v>6</v>
      </c>
      <c r="H1104" s="21" t="s">
        <v>7</v>
      </c>
      <c r="I1104" s="21" t="s">
        <v>8</v>
      </c>
      <c r="J1104" s="21" t="s">
        <v>403</v>
      </c>
      <c r="K1104" s="21" t="s">
        <v>621</v>
      </c>
      <c r="L1104" s="21" t="s">
        <v>623</v>
      </c>
      <c r="M1104" s="21" t="s">
        <v>15</v>
      </c>
      <c r="N1104" s="54">
        <v>1000</v>
      </c>
      <c r="O1104" s="54">
        <v>0</v>
      </c>
      <c r="P1104" s="54">
        <v>0</v>
      </c>
      <c r="Q1104" s="54">
        <v>1000</v>
      </c>
      <c r="R1104" s="54">
        <v>0</v>
      </c>
      <c r="S1104" s="54">
        <v>1000</v>
      </c>
      <c r="T1104" s="54">
        <v>0</v>
      </c>
      <c r="U1104" s="54">
        <v>0</v>
      </c>
      <c r="V1104" s="54">
        <v>1000</v>
      </c>
      <c r="W1104" s="54">
        <v>0</v>
      </c>
    </row>
    <row r="1105" spans="1:23" outlineLevel="2" x14ac:dyDescent="0.2">
      <c r="A1105" s="21" t="s">
        <v>402</v>
      </c>
      <c r="B1105" s="21" t="s">
        <v>31</v>
      </c>
      <c r="C1105" s="21" t="s">
        <v>32</v>
      </c>
      <c r="D1105" s="21" t="s">
        <v>33</v>
      </c>
      <c r="E1105" s="21" t="s">
        <v>34</v>
      </c>
      <c r="F1105" s="21" t="s">
        <v>5</v>
      </c>
      <c r="G1105" s="21" t="s">
        <v>6</v>
      </c>
      <c r="H1105" s="21" t="s">
        <v>7</v>
      </c>
      <c r="I1105" s="21" t="s">
        <v>8</v>
      </c>
      <c r="J1105" s="21" t="s">
        <v>403</v>
      </c>
      <c r="K1105" s="21" t="s">
        <v>621</v>
      </c>
      <c r="L1105" s="21" t="s">
        <v>629</v>
      </c>
      <c r="M1105" s="21" t="s">
        <v>12</v>
      </c>
      <c r="N1105" s="54">
        <v>8000</v>
      </c>
      <c r="O1105" s="54">
        <v>-5751.43</v>
      </c>
      <c r="P1105" s="54">
        <v>0</v>
      </c>
      <c r="Q1105" s="54">
        <v>2248.5700000000002</v>
      </c>
      <c r="R1105" s="54">
        <v>0</v>
      </c>
      <c r="S1105" s="54">
        <v>2248.5700000000002</v>
      </c>
      <c r="T1105" s="54">
        <v>2019.97</v>
      </c>
      <c r="U1105" s="54">
        <v>0</v>
      </c>
      <c r="V1105" s="54">
        <v>228.6</v>
      </c>
      <c r="W1105" s="54">
        <v>0</v>
      </c>
    </row>
    <row r="1106" spans="1:23" outlineLevel="2" x14ac:dyDescent="0.2">
      <c r="A1106" s="21" t="s">
        <v>402</v>
      </c>
      <c r="B1106" s="21" t="s">
        <v>31</v>
      </c>
      <c r="C1106" s="21" t="s">
        <v>79</v>
      </c>
      <c r="D1106" s="21" t="s">
        <v>80</v>
      </c>
      <c r="E1106" s="21" t="s">
        <v>81</v>
      </c>
      <c r="F1106" s="21" t="s">
        <v>5</v>
      </c>
      <c r="G1106" s="21" t="s">
        <v>6</v>
      </c>
      <c r="H1106" s="21" t="s">
        <v>7</v>
      </c>
      <c r="I1106" s="21" t="s">
        <v>8</v>
      </c>
      <c r="J1106" s="21" t="s">
        <v>403</v>
      </c>
      <c r="K1106" s="21" t="s">
        <v>621</v>
      </c>
      <c r="L1106" s="21" t="s">
        <v>624</v>
      </c>
      <c r="M1106" s="21" t="s">
        <v>12</v>
      </c>
      <c r="N1106" s="54">
        <v>3000</v>
      </c>
      <c r="O1106" s="54">
        <v>4000</v>
      </c>
      <c r="P1106" s="54">
        <v>0</v>
      </c>
      <c r="Q1106" s="54">
        <v>7000</v>
      </c>
      <c r="R1106" s="54">
        <v>0</v>
      </c>
      <c r="S1106" s="54">
        <v>0</v>
      </c>
      <c r="T1106" s="54">
        <v>0</v>
      </c>
      <c r="U1106" s="54">
        <v>7000</v>
      </c>
      <c r="V1106" s="54">
        <v>7000</v>
      </c>
      <c r="W1106" s="54">
        <v>7000</v>
      </c>
    </row>
    <row r="1107" spans="1:23" outlineLevel="2" x14ac:dyDescent="0.2">
      <c r="A1107" s="21" t="s">
        <v>402</v>
      </c>
      <c r="B1107" s="21" t="s">
        <v>31</v>
      </c>
      <c r="C1107" s="21" t="s">
        <v>79</v>
      </c>
      <c r="D1107" s="21" t="s">
        <v>111</v>
      </c>
      <c r="E1107" s="21" t="s">
        <v>112</v>
      </c>
      <c r="F1107" s="21" t="s">
        <v>5</v>
      </c>
      <c r="G1107" s="21" t="s">
        <v>6</v>
      </c>
      <c r="H1107" s="21" t="s">
        <v>7</v>
      </c>
      <c r="I1107" s="21" t="s">
        <v>8</v>
      </c>
      <c r="J1107" s="21" t="s">
        <v>403</v>
      </c>
      <c r="K1107" s="21" t="s">
        <v>621</v>
      </c>
      <c r="L1107" s="21" t="s">
        <v>624</v>
      </c>
      <c r="M1107" s="21" t="s">
        <v>12</v>
      </c>
      <c r="N1107" s="54">
        <v>1200</v>
      </c>
      <c r="O1107" s="54">
        <v>0</v>
      </c>
      <c r="P1107" s="54">
        <v>0</v>
      </c>
      <c r="Q1107" s="54">
        <v>1200</v>
      </c>
      <c r="R1107" s="54">
        <v>0</v>
      </c>
      <c r="S1107" s="54">
        <v>0</v>
      </c>
      <c r="T1107" s="54">
        <v>0</v>
      </c>
      <c r="U1107" s="54">
        <v>1200</v>
      </c>
      <c r="V1107" s="54">
        <v>1200</v>
      </c>
      <c r="W1107" s="54">
        <v>1200</v>
      </c>
    </row>
    <row r="1108" spans="1:23" outlineLevel="2" x14ac:dyDescent="0.2">
      <c r="A1108" s="21" t="s">
        <v>402</v>
      </c>
      <c r="B1108" s="21" t="s">
        <v>39</v>
      </c>
      <c r="C1108" s="21" t="s">
        <v>95</v>
      </c>
      <c r="D1108" s="21" t="s">
        <v>96</v>
      </c>
      <c r="E1108" s="21" t="s">
        <v>97</v>
      </c>
      <c r="F1108" s="21" t="s">
        <v>5</v>
      </c>
      <c r="G1108" s="21" t="s">
        <v>6</v>
      </c>
      <c r="H1108" s="21" t="s">
        <v>7</v>
      </c>
      <c r="I1108" s="21" t="s">
        <v>8</v>
      </c>
      <c r="J1108" s="21" t="s">
        <v>403</v>
      </c>
      <c r="K1108" s="21" t="s">
        <v>621</v>
      </c>
      <c r="L1108" s="21" t="s">
        <v>625</v>
      </c>
      <c r="M1108" s="21" t="s">
        <v>12</v>
      </c>
      <c r="N1108" s="54">
        <v>0</v>
      </c>
      <c r="O1108" s="54">
        <v>5000</v>
      </c>
      <c r="P1108" s="54">
        <v>0</v>
      </c>
      <c r="Q1108" s="54">
        <v>5000</v>
      </c>
      <c r="R1108" s="54">
        <v>0</v>
      </c>
      <c r="S1108" s="54">
        <v>0</v>
      </c>
      <c r="T1108" s="54">
        <v>0</v>
      </c>
      <c r="U1108" s="54">
        <v>5000</v>
      </c>
      <c r="V1108" s="54">
        <v>5000</v>
      </c>
      <c r="W1108" s="54">
        <v>5000</v>
      </c>
    </row>
    <row r="1109" spans="1:23" outlineLevel="2" x14ac:dyDescent="0.2">
      <c r="A1109" s="21" t="s">
        <v>402</v>
      </c>
      <c r="B1109" s="21" t="s">
        <v>39</v>
      </c>
      <c r="C1109" s="21" t="s">
        <v>58</v>
      </c>
      <c r="D1109" s="21" t="s">
        <v>135</v>
      </c>
      <c r="E1109" s="21" t="s">
        <v>136</v>
      </c>
      <c r="F1109" s="21" t="s">
        <v>5</v>
      </c>
      <c r="G1109" s="21" t="s">
        <v>6</v>
      </c>
      <c r="H1109" s="21" t="s">
        <v>7</v>
      </c>
      <c r="I1109" s="21" t="s">
        <v>8</v>
      </c>
      <c r="J1109" s="21" t="s">
        <v>403</v>
      </c>
      <c r="K1109" s="21" t="s">
        <v>621</v>
      </c>
      <c r="L1109" s="21" t="s">
        <v>626</v>
      </c>
      <c r="M1109" s="21" t="s">
        <v>12</v>
      </c>
      <c r="N1109" s="54">
        <v>1000</v>
      </c>
      <c r="O1109" s="54">
        <v>5000</v>
      </c>
      <c r="P1109" s="54">
        <v>0</v>
      </c>
      <c r="Q1109" s="54">
        <v>6000</v>
      </c>
      <c r="R1109" s="54">
        <v>0</v>
      </c>
      <c r="S1109" s="54">
        <v>0</v>
      </c>
      <c r="T1109" s="54">
        <v>0</v>
      </c>
      <c r="U1109" s="54">
        <v>6000</v>
      </c>
      <c r="V1109" s="54">
        <v>6000</v>
      </c>
      <c r="W1109" s="54">
        <v>6000</v>
      </c>
    </row>
    <row r="1110" spans="1:23" outlineLevel="2" x14ac:dyDescent="0.2">
      <c r="A1110" s="21" t="s">
        <v>402</v>
      </c>
      <c r="B1110" s="21" t="s">
        <v>39</v>
      </c>
      <c r="C1110" s="21" t="s">
        <v>58</v>
      </c>
      <c r="D1110" s="21" t="s">
        <v>139</v>
      </c>
      <c r="E1110" s="21" t="s">
        <v>140</v>
      </c>
      <c r="F1110" s="21" t="s">
        <v>5</v>
      </c>
      <c r="G1110" s="21" t="s">
        <v>6</v>
      </c>
      <c r="H1110" s="21" t="s">
        <v>7</v>
      </c>
      <c r="I1110" s="21" t="s">
        <v>8</v>
      </c>
      <c r="J1110" s="21" t="s">
        <v>403</v>
      </c>
      <c r="K1110" s="21" t="s">
        <v>621</v>
      </c>
      <c r="L1110" s="21" t="s">
        <v>626</v>
      </c>
      <c r="M1110" s="21" t="s">
        <v>12</v>
      </c>
      <c r="N1110" s="54">
        <v>0</v>
      </c>
      <c r="O1110" s="54">
        <v>5000</v>
      </c>
      <c r="P1110" s="54">
        <v>0</v>
      </c>
      <c r="Q1110" s="54">
        <v>5000</v>
      </c>
      <c r="R1110" s="54">
        <v>0</v>
      </c>
      <c r="S1110" s="54">
        <v>0</v>
      </c>
      <c r="T1110" s="54">
        <v>0</v>
      </c>
      <c r="U1110" s="54">
        <v>5000</v>
      </c>
      <c r="V1110" s="54">
        <v>5000</v>
      </c>
      <c r="W1110" s="54">
        <v>5000</v>
      </c>
    </row>
    <row r="1111" spans="1:23" outlineLevel="2" x14ac:dyDescent="0.2">
      <c r="A1111" s="21" t="s">
        <v>402</v>
      </c>
      <c r="B1111" s="21" t="s">
        <v>39</v>
      </c>
      <c r="C1111" s="21" t="s">
        <v>58</v>
      </c>
      <c r="D1111" s="21" t="s">
        <v>129</v>
      </c>
      <c r="E1111" s="21" t="s">
        <v>130</v>
      </c>
      <c r="F1111" s="21" t="s">
        <v>5</v>
      </c>
      <c r="G1111" s="21" t="s">
        <v>6</v>
      </c>
      <c r="H1111" s="21" t="s">
        <v>7</v>
      </c>
      <c r="I1111" s="21" t="s">
        <v>8</v>
      </c>
      <c r="J1111" s="21" t="s">
        <v>403</v>
      </c>
      <c r="K1111" s="21" t="s">
        <v>621</v>
      </c>
      <c r="L1111" s="21" t="s">
        <v>626</v>
      </c>
      <c r="M1111" s="21" t="s">
        <v>12</v>
      </c>
      <c r="N1111" s="54">
        <v>700</v>
      </c>
      <c r="O1111" s="54">
        <v>0</v>
      </c>
      <c r="P1111" s="54">
        <v>0</v>
      </c>
      <c r="Q1111" s="54">
        <v>700</v>
      </c>
      <c r="R1111" s="54">
        <v>0</v>
      </c>
      <c r="S1111" s="54">
        <v>0</v>
      </c>
      <c r="T1111" s="54">
        <v>0</v>
      </c>
      <c r="U1111" s="54">
        <v>700</v>
      </c>
      <c r="V1111" s="54">
        <v>700</v>
      </c>
      <c r="W1111" s="54">
        <v>700</v>
      </c>
    </row>
    <row r="1112" spans="1:23" outlineLevel="2" x14ac:dyDescent="0.2">
      <c r="A1112" s="21" t="s">
        <v>402</v>
      </c>
      <c r="B1112" s="21" t="s">
        <v>53</v>
      </c>
      <c r="C1112" s="21" t="s">
        <v>54</v>
      </c>
      <c r="D1112" s="21" t="s">
        <v>55</v>
      </c>
      <c r="E1112" s="21" t="s">
        <v>56</v>
      </c>
      <c r="F1112" s="21" t="s">
        <v>5</v>
      </c>
      <c r="G1112" s="21" t="s">
        <v>6</v>
      </c>
      <c r="H1112" s="21" t="s">
        <v>7</v>
      </c>
      <c r="I1112" s="21" t="s">
        <v>8</v>
      </c>
      <c r="J1112" s="21" t="s">
        <v>403</v>
      </c>
      <c r="K1112" s="21" t="s">
        <v>621</v>
      </c>
      <c r="L1112" s="21" t="s">
        <v>622</v>
      </c>
      <c r="M1112" s="21" t="s">
        <v>12</v>
      </c>
      <c r="N1112" s="54">
        <v>8500</v>
      </c>
      <c r="O1112" s="54">
        <v>0</v>
      </c>
      <c r="P1112" s="54">
        <v>0</v>
      </c>
      <c r="Q1112" s="54">
        <v>8500</v>
      </c>
      <c r="R1112" s="54">
        <v>341.6</v>
      </c>
      <c r="S1112" s="54">
        <v>44.8</v>
      </c>
      <c r="T1112" s="54">
        <v>44.8</v>
      </c>
      <c r="U1112" s="54">
        <v>8455.2000000000007</v>
      </c>
      <c r="V1112" s="54">
        <v>8455.2000000000007</v>
      </c>
      <c r="W1112" s="54">
        <v>8113.6</v>
      </c>
    </row>
    <row r="1113" spans="1:23" outlineLevel="2" x14ac:dyDescent="0.2">
      <c r="A1113" s="21" t="s">
        <v>402</v>
      </c>
      <c r="B1113" s="21" t="s">
        <v>1</v>
      </c>
      <c r="C1113" s="21" t="s">
        <v>91</v>
      </c>
      <c r="D1113" s="21" t="s">
        <v>92</v>
      </c>
      <c r="E1113" s="21" t="s">
        <v>93</v>
      </c>
      <c r="F1113" s="21" t="s">
        <v>5</v>
      </c>
      <c r="G1113" s="21" t="s">
        <v>6</v>
      </c>
      <c r="H1113" s="21" t="s">
        <v>7</v>
      </c>
      <c r="I1113" s="21" t="s">
        <v>8</v>
      </c>
      <c r="J1113" s="21" t="s">
        <v>403</v>
      </c>
      <c r="K1113" s="21" t="s">
        <v>621</v>
      </c>
      <c r="L1113" s="21" t="s">
        <v>627</v>
      </c>
      <c r="M1113" s="21" t="s">
        <v>15</v>
      </c>
      <c r="N1113" s="54">
        <v>10000</v>
      </c>
      <c r="O1113" s="54">
        <v>-2000</v>
      </c>
      <c r="P1113" s="54">
        <v>0</v>
      </c>
      <c r="Q1113" s="54">
        <v>8000</v>
      </c>
      <c r="R1113" s="54">
        <v>2451.31</v>
      </c>
      <c r="S1113" s="54">
        <v>0</v>
      </c>
      <c r="T1113" s="54">
        <v>0</v>
      </c>
      <c r="U1113" s="54">
        <v>8000</v>
      </c>
      <c r="V1113" s="54">
        <v>8000</v>
      </c>
      <c r="W1113" s="54">
        <v>5548.69</v>
      </c>
    </row>
    <row r="1114" spans="1:23" outlineLevel="2" x14ac:dyDescent="0.2">
      <c r="A1114" s="21" t="s">
        <v>402</v>
      </c>
      <c r="B1114" s="21" t="s">
        <v>31</v>
      </c>
      <c r="C1114" s="21" t="s">
        <v>79</v>
      </c>
      <c r="D1114" s="21" t="s">
        <v>133</v>
      </c>
      <c r="E1114" s="21" t="s">
        <v>134</v>
      </c>
      <c r="F1114" s="21" t="s">
        <v>5</v>
      </c>
      <c r="G1114" s="21" t="s">
        <v>6</v>
      </c>
      <c r="H1114" s="21" t="s">
        <v>7</v>
      </c>
      <c r="I1114" s="21" t="s">
        <v>8</v>
      </c>
      <c r="J1114" s="21" t="s">
        <v>403</v>
      </c>
      <c r="K1114" s="21" t="s">
        <v>621</v>
      </c>
      <c r="L1114" s="21" t="s">
        <v>624</v>
      </c>
      <c r="M1114" s="21" t="s">
        <v>12</v>
      </c>
      <c r="N1114" s="54">
        <v>3000</v>
      </c>
      <c r="O1114" s="54">
        <v>0</v>
      </c>
      <c r="P1114" s="54">
        <v>0</v>
      </c>
      <c r="Q1114" s="54">
        <v>3000</v>
      </c>
      <c r="R1114" s="54">
        <v>3000</v>
      </c>
      <c r="S1114" s="54">
        <v>0</v>
      </c>
      <c r="T1114" s="54">
        <v>0</v>
      </c>
      <c r="U1114" s="54">
        <v>3000</v>
      </c>
      <c r="V1114" s="54">
        <v>3000</v>
      </c>
      <c r="W1114" s="54">
        <v>0</v>
      </c>
    </row>
    <row r="1115" spans="1:23" outlineLevel="2" x14ac:dyDescent="0.2">
      <c r="A1115" s="21" t="s">
        <v>402</v>
      </c>
      <c r="B1115" s="21" t="s">
        <v>39</v>
      </c>
      <c r="C1115" s="21" t="s">
        <v>58</v>
      </c>
      <c r="D1115" s="21" t="s">
        <v>137</v>
      </c>
      <c r="E1115" s="21" t="s">
        <v>138</v>
      </c>
      <c r="F1115" s="21" t="s">
        <v>5</v>
      </c>
      <c r="G1115" s="21" t="s">
        <v>6</v>
      </c>
      <c r="H1115" s="21" t="s">
        <v>7</v>
      </c>
      <c r="I1115" s="21" t="s">
        <v>8</v>
      </c>
      <c r="J1115" s="21" t="s">
        <v>403</v>
      </c>
      <c r="K1115" s="21" t="s">
        <v>621</v>
      </c>
      <c r="L1115" s="21" t="s">
        <v>626</v>
      </c>
      <c r="M1115" s="21" t="s">
        <v>12</v>
      </c>
      <c r="N1115" s="54">
        <v>3000</v>
      </c>
      <c r="O1115" s="54">
        <v>2700</v>
      </c>
      <c r="P1115" s="54">
        <v>0</v>
      </c>
      <c r="Q1115" s="54">
        <v>5700</v>
      </c>
      <c r="R1115" s="54">
        <v>0</v>
      </c>
      <c r="S1115" s="54">
        <v>0</v>
      </c>
      <c r="T1115" s="54">
        <v>0</v>
      </c>
      <c r="U1115" s="54">
        <v>5700</v>
      </c>
      <c r="V1115" s="54">
        <v>5700</v>
      </c>
      <c r="W1115" s="54">
        <v>5700</v>
      </c>
    </row>
    <row r="1116" spans="1:23" outlineLevel="2" x14ac:dyDescent="0.2">
      <c r="A1116" s="21" t="s">
        <v>402</v>
      </c>
      <c r="B1116" s="21" t="s">
        <v>39</v>
      </c>
      <c r="C1116" s="21" t="s">
        <v>58</v>
      </c>
      <c r="D1116" s="21" t="s">
        <v>147</v>
      </c>
      <c r="E1116" s="21" t="s">
        <v>148</v>
      </c>
      <c r="F1116" s="21" t="s">
        <v>5</v>
      </c>
      <c r="G1116" s="21" t="s">
        <v>6</v>
      </c>
      <c r="H1116" s="21" t="s">
        <v>7</v>
      </c>
      <c r="I1116" s="21" t="s">
        <v>8</v>
      </c>
      <c r="J1116" s="21" t="s">
        <v>403</v>
      </c>
      <c r="K1116" s="21" t="s">
        <v>621</v>
      </c>
      <c r="L1116" s="21" t="s">
        <v>626</v>
      </c>
      <c r="M1116" s="21" t="s">
        <v>12</v>
      </c>
      <c r="N1116" s="54">
        <v>15000</v>
      </c>
      <c r="O1116" s="54">
        <v>0</v>
      </c>
      <c r="P1116" s="54">
        <v>0</v>
      </c>
      <c r="Q1116" s="54">
        <v>15000</v>
      </c>
      <c r="R1116" s="54">
        <v>15000</v>
      </c>
      <c r="S1116" s="54">
        <v>0</v>
      </c>
      <c r="T1116" s="54">
        <v>0</v>
      </c>
      <c r="U1116" s="54">
        <v>15000</v>
      </c>
      <c r="V1116" s="54">
        <v>15000</v>
      </c>
      <c r="W1116" s="54">
        <v>0</v>
      </c>
    </row>
    <row r="1117" spans="1:23" outlineLevel="2" x14ac:dyDescent="0.2">
      <c r="A1117" s="21" t="s">
        <v>402</v>
      </c>
      <c r="B1117" s="21" t="s">
        <v>1</v>
      </c>
      <c r="C1117" s="21" t="s">
        <v>2</v>
      </c>
      <c r="D1117" s="21" t="s">
        <v>25</v>
      </c>
      <c r="E1117" s="21" t="s">
        <v>26</v>
      </c>
      <c r="F1117" s="21" t="s">
        <v>5</v>
      </c>
      <c r="G1117" s="21" t="s">
        <v>6</v>
      </c>
      <c r="H1117" s="21" t="s">
        <v>7</v>
      </c>
      <c r="I1117" s="21" t="s">
        <v>8</v>
      </c>
      <c r="J1117" s="21" t="s">
        <v>403</v>
      </c>
      <c r="K1117" s="21" t="s">
        <v>621</v>
      </c>
      <c r="L1117" s="21" t="s">
        <v>623</v>
      </c>
      <c r="M1117" s="21" t="s">
        <v>15</v>
      </c>
      <c r="N1117" s="54">
        <v>25000</v>
      </c>
      <c r="O1117" s="54">
        <v>0</v>
      </c>
      <c r="P1117" s="54">
        <v>0</v>
      </c>
      <c r="Q1117" s="54">
        <v>25000</v>
      </c>
      <c r="R1117" s="54">
        <v>0</v>
      </c>
      <c r="S1117" s="54">
        <v>0</v>
      </c>
      <c r="T1117" s="54">
        <v>0</v>
      </c>
      <c r="U1117" s="54">
        <v>25000</v>
      </c>
      <c r="V1117" s="54">
        <v>25000</v>
      </c>
      <c r="W1117" s="54">
        <v>25000</v>
      </c>
    </row>
    <row r="1118" spans="1:23" outlineLevel="2" x14ac:dyDescent="0.2">
      <c r="A1118" s="21" t="s">
        <v>402</v>
      </c>
      <c r="B1118" s="21" t="s">
        <v>31</v>
      </c>
      <c r="C1118" s="21" t="s">
        <v>79</v>
      </c>
      <c r="D1118" s="21" t="s">
        <v>115</v>
      </c>
      <c r="E1118" s="21" t="s">
        <v>116</v>
      </c>
      <c r="F1118" s="21" t="s">
        <v>5</v>
      </c>
      <c r="G1118" s="21" t="s">
        <v>6</v>
      </c>
      <c r="H1118" s="21" t="s">
        <v>7</v>
      </c>
      <c r="I1118" s="21" t="s">
        <v>8</v>
      </c>
      <c r="J1118" s="21" t="s">
        <v>403</v>
      </c>
      <c r="K1118" s="21" t="s">
        <v>621</v>
      </c>
      <c r="L1118" s="21" t="s">
        <v>624</v>
      </c>
      <c r="M1118" s="21" t="s">
        <v>12</v>
      </c>
      <c r="N1118" s="54">
        <v>3000</v>
      </c>
      <c r="O1118" s="54">
        <v>0</v>
      </c>
      <c r="P1118" s="54">
        <v>0</v>
      </c>
      <c r="Q1118" s="54">
        <v>3000</v>
      </c>
      <c r="R1118" s="54">
        <v>0</v>
      </c>
      <c r="S1118" s="54">
        <v>0</v>
      </c>
      <c r="T1118" s="54">
        <v>0</v>
      </c>
      <c r="U1118" s="54">
        <v>3000</v>
      </c>
      <c r="V1118" s="54">
        <v>3000</v>
      </c>
      <c r="W1118" s="54">
        <v>3000</v>
      </c>
    </row>
    <row r="1119" spans="1:23" outlineLevel="2" x14ac:dyDescent="0.2">
      <c r="A1119" s="21" t="s">
        <v>402</v>
      </c>
      <c r="B1119" s="21" t="s">
        <v>39</v>
      </c>
      <c r="C1119" s="21" t="s">
        <v>70</v>
      </c>
      <c r="D1119" s="21" t="s">
        <v>89</v>
      </c>
      <c r="E1119" s="21" t="s">
        <v>90</v>
      </c>
      <c r="F1119" s="21" t="s">
        <v>5</v>
      </c>
      <c r="G1119" s="21" t="s">
        <v>6</v>
      </c>
      <c r="H1119" s="21" t="s">
        <v>7</v>
      </c>
      <c r="I1119" s="21" t="s">
        <v>8</v>
      </c>
      <c r="J1119" s="21" t="s">
        <v>403</v>
      </c>
      <c r="K1119" s="21" t="s">
        <v>632</v>
      </c>
      <c r="L1119" s="21" t="s">
        <v>638</v>
      </c>
      <c r="M1119" s="21" t="s">
        <v>12</v>
      </c>
      <c r="N1119" s="54">
        <v>200</v>
      </c>
      <c r="O1119" s="54">
        <v>0</v>
      </c>
      <c r="P1119" s="54">
        <v>0</v>
      </c>
      <c r="Q1119" s="54">
        <v>200</v>
      </c>
      <c r="R1119" s="54">
        <v>0</v>
      </c>
      <c r="S1119" s="54">
        <v>200</v>
      </c>
      <c r="T1119" s="54">
        <v>131.31</v>
      </c>
      <c r="U1119" s="54">
        <v>0</v>
      </c>
      <c r="V1119" s="54">
        <v>68.69</v>
      </c>
      <c r="W1119" s="54">
        <v>0</v>
      </c>
    </row>
    <row r="1120" spans="1:23" outlineLevel="2" x14ac:dyDescent="0.2">
      <c r="A1120" s="21" t="s">
        <v>402</v>
      </c>
      <c r="B1120" s="21" t="s">
        <v>1</v>
      </c>
      <c r="C1120" s="21" t="s">
        <v>16</v>
      </c>
      <c r="D1120" s="21" t="s">
        <v>62</v>
      </c>
      <c r="E1120" s="21" t="s">
        <v>63</v>
      </c>
      <c r="F1120" s="21" t="s">
        <v>5</v>
      </c>
      <c r="G1120" s="21" t="s">
        <v>6</v>
      </c>
      <c r="H1120" s="21" t="s">
        <v>7</v>
      </c>
      <c r="I1120" s="21" t="s">
        <v>8</v>
      </c>
      <c r="J1120" s="21" t="s">
        <v>403</v>
      </c>
      <c r="K1120" s="21" t="s">
        <v>632</v>
      </c>
      <c r="L1120" s="21" t="s">
        <v>634</v>
      </c>
      <c r="M1120" s="21" t="s">
        <v>15</v>
      </c>
      <c r="N1120" s="54">
        <v>14400</v>
      </c>
      <c r="O1120" s="54">
        <v>0</v>
      </c>
      <c r="P1120" s="54">
        <v>0</v>
      </c>
      <c r="Q1120" s="54">
        <v>14400</v>
      </c>
      <c r="R1120" s="54">
        <v>0</v>
      </c>
      <c r="S1120" s="54">
        <v>0</v>
      </c>
      <c r="T1120" s="54">
        <v>0</v>
      </c>
      <c r="U1120" s="54">
        <v>14400</v>
      </c>
      <c r="V1120" s="54">
        <v>14400</v>
      </c>
      <c r="W1120" s="54">
        <v>14400</v>
      </c>
    </row>
    <row r="1121" spans="1:23" outlineLevel="2" x14ac:dyDescent="0.2">
      <c r="A1121" s="21" t="s">
        <v>402</v>
      </c>
      <c r="B1121" s="21" t="s">
        <v>39</v>
      </c>
      <c r="C1121" s="21" t="s">
        <v>58</v>
      </c>
      <c r="D1121" s="21" t="s">
        <v>149</v>
      </c>
      <c r="E1121" s="21" t="s">
        <v>150</v>
      </c>
      <c r="F1121" s="21" t="s">
        <v>5</v>
      </c>
      <c r="G1121" s="21" t="s">
        <v>6</v>
      </c>
      <c r="H1121" s="21" t="s">
        <v>7</v>
      </c>
      <c r="I1121" s="21" t="s">
        <v>8</v>
      </c>
      <c r="J1121" s="21" t="s">
        <v>403</v>
      </c>
      <c r="K1121" s="21" t="s">
        <v>632</v>
      </c>
      <c r="L1121" s="21" t="s">
        <v>635</v>
      </c>
      <c r="M1121" s="21" t="s">
        <v>12</v>
      </c>
      <c r="N1121" s="54">
        <v>20</v>
      </c>
      <c r="O1121" s="54">
        <v>0</v>
      </c>
      <c r="P1121" s="54">
        <v>0</v>
      </c>
      <c r="Q1121" s="54">
        <v>20</v>
      </c>
      <c r="R1121" s="54">
        <v>0</v>
      </c>
      <c r="S1121" s="54">
        <v>0</v>
      </c>
      <c r="T1121" s="54">
        <v>0</v>
      </c>
      <c r="U1121" s="54">
        <v>20</v>
      </c>
      <c r="V1121" s="54">
        <v>20</v>
      </c>
      <c r="W1121" s="54">
        <v>20</v>
      </c>
    </row>
    <row r="1122" spans="1:23" outlineLevel="2" x14ac:dyDescent="0.2">
      <c r="A1122" s="21" t="s">
        <v>402</v>
      </c>
      <c r="B1122" s="21" t="s">
        <v>1</v>
      </c>
      <c r="C1122" s="21" t="s">
        <v>91</v>
      </c>
      <c r="D1122" s="21" t="s">
        <v>92</v>
      </c>
      <c r="E1122" s="21" t="s">
        <v>93</v>
      </c>
      <c r="F1122" s="21" t="s">
        <v>5</v>
      </c>
      <c r="G1122" s="21" t="s">
        <v>6</v>
      </c>
      <c r="H1122" s="21" t="s">
        <v>7</v>
      </c>
      <c r="I1122" s="21" t="s">
        <v>8</v>
      </c>
      <c r="J1122" s="21" t="s">
        <v>403</v>
      </c>
      <c r="K1122" s="21" t="s">
        <v>632</v>
      </c>
      <c r="L1122" s="21" t="s">
        <v>637</v>
      </c>
      <c r="M1122" s="21" t="s">
        <v>15</v>
      </c>
      <c r="N1122" s="54">
        <v>200</v>
      </c>
      <c r="O1122" s="54">
        <v>1843</v>
      </c>
      <c r="P1122" s="54">
        <v>0</v>
      </c>
      <c r="Q1122" s="54">
        <v>2043</v>
      </c>
      <c r="R1122" s="54">
        <v>0</v>
      </c>
      <c r="S1122" s="54">
        <v>316.51</v>
      </c>
      <c r="T1122" s="54">
        <v>316.51</v>
      </c>
      <c r="U1122" s="54">
        <v>1726.49</v>
      </c>
      <c r="V1122" s="54">
        <v>1726.49</v>
      </c>
      <c r="W1122" s="54">
        <v>1726.49</v>
      </c>
    </row>
    <row r="1123" spans="1:23" outlineLevel="2" x14ac:dyDescent="0.2">
      <c r="A1123" s="21" t="s">
        <v>402</v>
      </c>
      <c r="B1123" s="21" t="s">
        <v>39</v>
      </c>
      <c r="C1123" s="21" t="s">
        <v>58</v>
      </c>
      <c r="D1123" s="21" t="s">
        <v>135</v>
      </c>
      <c r="E1123" s="21" t="s">
        <v>136</v>
      </c>
      <c r="F1123" s="21" t="s">
        <v>5</v>
      </c>
      <c r="G1123" s="21" t="s">
        <v>6</v>
      </c>
      <c r="H1123" s="21" t="s">
        <v>7</v>
      </c>
      <c r="I1123" s="21" t="s">
        <v>8</v>
      </c>
      <c r="J1123" s="21" t="s">
        <v>403</v>
      </c>
      <c r="K1123" s="21" t="s">
        <v>632</v>
      </c>
      <c r="L1123" s="21" t="s">
        <v>635</v>
      </c>
      <c r="M1123" s="21" t="s">
        <v>12</v>
      </c>
      <c r="N1123" s="54">
        <v>0</v>
      </c>
      <c r="O1123" s="54">
        <v>120</v>
      </c>
      <c r="P1123" s="54">
        <v>0</v>
      </c>
      <c r="Q1123" s="54">
        <v>120</v>
      </c>
      <c r="R1123" s="54">
        <v>0</v>
      </c>
      <c r="S1123" s="54">
        <v>0</v>
      </c>
      <c r="T1123" s="54">
        <v>0</v>
      </c>
      <c r="U1123" s="54">
        <v>120</v>
      </c>
      <c r="V1123" s="54">
        <v>120</v>
      </c>
      <c r="W1123" s="54">
        <v>120</v>
      </c>
    </row>
    <row r="1124" spans="1:23" outlineLevel="2" x14ac:dyDescent="0.2">
      <c r="A1124" s="21" t="s">
        <v>402</v>
      </c>
      <c r="B1124" s="21" t="s">
        <v>1</v>
      </c>
      <c r="C1124" s="21" t="s">
        <v>2</v>
      </c>
      <c r="D1124" s="21" t="s">
        <v>20</v>
      </c>
      <c r="E1124" s="21" t="s">
        <v>21</v>
      </c>
      <c r="F1124" s="21" t="s">
        <v>5</v>
      </c>
      <c r="G1124" s="21" t="s">
        <v>6</v>
      </c>
      <c r="H1124" s="21" t="s">
        <v>7</v>
      </c>
      <c r="I1124" s="21" t="s">
        <v>8</v>
      </c>
      <c r="J1124" s="21" t="s">
        <v>403</v>
      </c>
      <c r="K1124" s="21" t="s">
        <v>632</v>
      </c>
      <c r="L1124" s="21" t="s">
        <v>633</v>
      </c>
      <c r="M1124" s="21" t="s">
        <v>15</v>
      </c>
      <c r="N1124" s="54">
        <v>6000</v>
      </c>
      <c r="O1124" s="54">
        <v>0</v>
      </c>
      <c r="P1124" s="54">
        <v>0</v>
      </c>
      <c r="Q1124" s="54">
        <v>6000</v>
      </c>
      <c r="R1124" s="54">
        <v>0</v>
      </c>
      <c r="S1124" s="54">
        <v>0</v>
      </c>
      <c r="T1124" s="54">
        <v>0</v>
      </c>
      <c r="U1124" s="54">
        <v>6000</v>
      </c>
      <c r="V1124" s="54">
        <v>6000</v>
      </c>
      <c r="W1124" s="54">
        <v>6000</v>
      </c>
    </row>
    <row r="1125" spans="1:23" outlineLevel="2" x14ac:dyDescent="0.2">
      <c r="A1125" s="21" t="s">
        <v>402</v>
      </c>
      <c r="B1125" s="21" t="s">
        <v>39</v>
      </c>
      <c r="C1125" s="21" t="s">
        <v>58</v>
      </c>
      <c r="D1125" s="21" t="s">
        <v>147</v>
      </c>
      <c r="E1125" s="21" t="s">
        <v>148</v>
      </c>
      <c r="F1125" s="21" t="s">
        <v>5</v>
      </c>
      <c r="G1125" s="21" t="s">
        <v>6</v>
      </c>
      <c r="H1125" s="21" t="s">
        <v>7</v>
      </c>
      <c r="I1125" s="21" t="s">
        <v>8</v>
      </c>
      <c r="J1125" s="21" t="s">
        <v>403</v>
      </c>
      <c r="K1125" s="21" t="s">
        <v>632</v>
      </c>
      <c r="L1125" s="21" t="s">
        <v>635</v>
      </c>
      <c r="M1125" s="21" t="s">
        <v>12</v>
      </c>
      <c r="N1125" s="54">
        <v>3000</v>
      </c>
      <c r="O1125" s="54">
        <v>0</v>
      </c>
      <c r="P1125" s="54">
        <v>0</v>
      </c>
      <c r="Q1125" s="54">
        <v>3000</v>
      </c>
      <c r="R1125" s="54">
        <v>2000</v>
      </c>
      <c r="S1125" s="54">
        <v>0</v>
      </c>
      <c r="T1125" s="54">
        <v>0</v>
      </c>
      <c r="U1125" s="54">
        <v>3000</v>
      </c>
      <c r="V1125" s="54">
        <v>3000</v>
      </c>
      <c r="W1125" s="54">
        <v>1000</v>
      </c>
    </row>
    <row r="1126" spans="1:23" outlineLevel="2" x14ac:dyDescent="0.2">
      <c r="A1126" s="21" t="s">
        <v>402</v>
      </c>
      <c r="B1126" s="21" t="s">
        <v>31</v>
      </c>
      <c r="C1126" s="21" t="s">
        <v>79</v>
      </c>
      <c r="D1126" s="21" t="s">
        <v>113</v>
      </c>
      <c r="E1126" s="21" t="s">
        <v>114</v>
      </c>
      <c r="F1126" s="21" t="s">
        <v>5</v>
      </c>
      <c r="G1126" s="21" t="s">
        <v>6</v>
      </c>
      <c r="H1126" s="21" t="s">
        <v>7</v>
      </c>
      <c r="I1126" s="21" t="s">
        <v>8</v>
      </c>
      <c r="J1126" s="21" t="s">
        <v>403</v>
      </c>
      <c r="K1126" s="21" t="s">
        <v>632</v>
      </c>
      <c r="L1126" s="21" t="s">
        <v>640</v>
      </c>
      <c r="M1126" s="21" t="s">
        <v>12</v>
      </c>
      <c r="N1126" s="54">
        <v>500</v>
      </c>
      <c r="O1126" s="54">
        <v>0</v>
      </c>
      <c r="P1126" s="54">
        <v>0</v>
      </c>
      <c r="Q1126" s="54">
        <v>500</v>
      </c>
      <c r="R1126" s="54">
        <v>0</v>
      </c>
      <c r="S1126" s="54">
        <v>0</v>
      </c>
      <c r="T1126" s="54">
        <v>0</v>
      </c>
      <c r="U1126" s="54">
        <v>500</v>
      </c>
      <c r="V1126" s="54">
        <v>500</v>
      </c>
      <c r="W1126" s="54">
        <v>500</v>
      </c>
    </row>
    <row r="1127" spans="1:23" outlineLevel="2" x14ac:dyDescent="0.2">
      <c r="A1127" s="21" t="s">
        <v>402</v>
      </c>
      <c r="B1127" s="21" t="s">
        <v>39</v>
      </c>
      <c r="C1127" s="21" t="s">
        <v>40</v>
      </c>
      <c r="D1127" s="21" t="s">
        <v>77</v>
      </c>
      <c r="E1127" s="21" t="s">
        <v>78</v>
      </c>
      <c r="F1127" s="21" t="s">
        <v>5</v>
      </c>
      <c r="G1127" s="21" t="s">
        <v>6</v>
      </c>
      <c r="H1127" s="21" t="s">
        <v>7</v>
      </c>
      <c r="I1127" s="21" t="s">
        <v>8</v>
      </c>
      <c r="J1127" s="21" t="s">
        <v>403</v>
      </c>
      <c r="K1127" s="21" t="s">
        <v>632</v>
      </c>
      <c r="L1127" s="21" t="s">
        <v>636</v>
      </c>
      <c r="M1127" s="21" t="s">
        <v>12</v>
      </c>
      <c r="N1127" s="54">
        <v>0</v>
      </c>
      <c r="O1127" s="54">
        <v>600</v>
      </c>
      <c r="P1127" s="54">
        <v>0</v>
      </c>
      <c r="Q1127" s="54">
        <v>600</v>
      </c>
      <c r="R1127" s="54">
        <v>0</v>
      </c>
      <c r="S1127" s="54">
        <v>600</v>
      </c>
      <c r="T1127" s="54">
        <v>217.44</v>
      </c>
      <c r="U1127" s="54">
        <v>0</v>
      </c>
      <c r="V1127" s="54">
        <v>382.56</v>
      </c>
      <c r="W1127" s="54">
        <v>0</v>
      </c>
    </row>
    <row r="1128" spans="1:23" outlineLevel="2" x14ac:dyDescent="0.2">
      <c r="A1128" s="21" t="s">
        <v>402</v>
      </c>
      <c r="B1128" s="21" t="s">
        <v>1</v>
      </c>
      <c r="C1128" s="21" t="s">
        <v>2</v>
      </c>
      <c r="D1128" s="21" t="s">
        <v>3</v>
      </c>
      <c r="E1128" s="21" t="s">
        <v>4</v>
      </c>
      <c r="F1128" s="21" t="s">
        <v>5</v>
      </c>
      <c r="G1128" s="21" t="s">
        <v>6</v>
      </c>
      <c r="H1128" s="21" t="s">
        <v>7</v>
      </c>
      <c r="I1128" s="21" t="s">
        <v>8</v>
      </c>
      <c r="J1128" s="21" t="s">
        <v>403</v>
      </c>
      <c r="K1128" s="21" t="s">
        <v>632</v>
      </c>
      <c r="L1128" s="21" t="s">
        <v>633</v>
      </c>
      <c r="M1128" s="21" t="s">
        <v>15</v>
      </c>
      <c r="N1128" s="54">
        <v>3600</v>
      </c>
      <c r="O1128" s="54">
        <v>-140.96</v>
      </c>
      <c r="P1128" s="54">
        <v>0</v>
      </c>
      <c r="Q1128" s="54">
        <v>3459.04</v>
      </c>
      <c r="R1128" s="54">
        <v>0</v>
      </c>
      <c r="S1128" s="54">
        <v>738.49</v>
      </c>
      <c r="T1128" s="54">
        <v>19.45</v>
      </c>
      <c r="U1128" s="54">
        <v>2720.55</v>
      </c>
      <c r="V1128" s="54">
        <v>3439.59</v>
      </c>
      <c r="W1128" s="54">
        <v>2720.55</v>
      </c>
    </row>
    <row r="1129" spans="1:23" outlineLevel="2" x14ac:dyDescent="0.2">
      <c r="A1129" s="21" t="s">
        <v>402</v>
      </c>
      <c r="B1129" s="21" t="s">
        <v>39</v>
      </c>
      <c r="C1129" s="21" t="s">
        <v>66</v>
      </c>
      <c r="D1129" s="21" t="s">
        <v>67</v>
      </c>
      <c r="E1129" s="21" t="s">
        <v>68</v>
      </c>
      <c r="F1129" s="21" t="s">
        <v>5</v>
      </c>
      <c r="G1129" s="21" t="s">
        <v>6</v>
      </c>
      <c r="H1129" s="21" t="s">
        <v>7</v>
      </c>
      <c r="I1129" s="21" t="s">
        <v>8</v>
      </c>
      <c r="J1129" s="21" t="s">
        <v>403</v>
      </c>
      <c r="K1129" s="21" t="s">
        <v>632</v>
      </c>
      <c r="L1129" s="21" t="s">
        <v>639</v>
      </c>
      <c r="M1129" s="21" t="s">
        <v>12</v>
      </c>
      <c r="N1129" s="54">
        <v>50</v>
      </c>
      <c r="O1129" s="54">
        <v>-50</v>
      </c>
      <c r="P1129" s="54">
        <v>0</v>
      </c>
      <c r="Q1129" s="54">
        <v>0</v>
      </c>
      <c r="R1129" s="54">
        <v>0</v>
      </c>
      <c r="S1129" s="54">
        <v>0</v>
      </c>
      <c r="T1129" s="54">
        <v>0</v>
      </c>
      <c r="U1129" s="54">
        <v>0</v>
      </c>
      <c r="V1129" s="54">
        <v>0</v>
      </c>
      <c r="W1129" s="54">
        <v>0</v>
      </c>
    </row>
    <row r="1130" spans="1:23" outlineLevel="2" x14ac:dyDescent="0.2">
      <c r="A1130" s="21" t="s">
        <v>402</v>
      </c>
      <c r="B1130" s="21" t="s">
        <v>1</v>
      </c>
      <c r="C1130" s="21" t="s">
        <v>2</v>
      </c>
      <c r="D1130" s="21" t="s">
        <v>410</v>
      </c>
      <c r="E1130" s="21" t="s">
        <v>411</v>
      </c>
      <c r="F1130" s="21" t="s">
        <v>5</v>
      </c>
      <c r="G1130" s="21" t="s">
        <v>6</v>
      </c>
      <c r="H1130" s="21" t="s">
        <v>7</v>
      </c>
      <c r="I1130" s="21" t="s">
        <v>8</v>
      </c>
      <c r="J1130" s="21" t="s">
        <v>403</v>
      </c>
      <c r="K1130" s="21" t="s">
        <v>632</v>
      </c>
      <c r="L1130" s="21" t="s">
        <v>633</v>
      </c>
      <c r="M1130" s="21" t="s">
        <v>15</v>
      </c>
      <c r="N1130" s="54">
        <v>6400</v>
      </c>
      <c r="O1130" s="54">
        <v>0</v>
      </c>
      <c r="P1130" s="54">
        <v>0</v>
      </c>
      <c r="Q1130" s="54">
        <v>6400</v>
      </c>
      <c r="R1130" s="54">
        <v>0</v>
      </c>
      <c r="S1130" s="54">
        <v>2000</v>
      </c>
      <c r="T1130" s="54">
        <v>208.8</v>
      </c>
      <c r="U1130" s="54">
        <v>4400</v>
      </c>
      <c r="V1130" s="54">
        <v>6191.2</v>
      </c>
      <c r="W1130" s="54">
        <v>4400</v>
      </c>
    </row>
    <row r="1131" spans="1:23" outlineLevel="2" x14ac:dyDescent="0.2">
      <c r="A1131" s="21" t="s">
        <v>402</v>
      </c>
      <c r="B1131" s="21" t="s">
        <v>53</v>
      </c>
      <c r="C1131" s="21" t="s">
        <v>54</v>
      </c>
      <c r="D1131" s="21" t="s">
        <v>55</v>
      </c>
      <c r="E1131" s="21" t="s">
        <v>56</v>
      </c>
      <c r="F1131" s="21" t="s">
        <v>5</v>
      </c>
      <c r="G1131" s="21" t="s">
        <v>6</v>
      </c>
      <c r="H1131" s="21" t="s">
        <v>7</v>
      </c>
      <c r="I1131" s="21" t="s">
        <v>8</v>
      </c>
      <c r="J1131" s="21" t="s">
        <v>403</v>
      </c>
      <c r="K1131" s="21" t="s">
        <v>632</v>
      </c>
      <c r="L1131" s="21" t="s">
        <v>2046</v>
      </c>
      <c r="M1131" s="21" t="s">
        <v>12</v>
      </c>
      <c r="N1131" s="54">
        <v>0</v>
      </c>
      <c r="O1131" s="54">
        <v>200</v>
      </c>
      <c r="P1131" s="54">
        <v>0</v>
      </c>
      <c r="Q1131" s="54">
        <v>200</v>
      </c>
      <c r="R1131" s="54">
        <v>0</v>
      </c>
      <c r="S1131" s="54">
        <v>0</v>
      </c>
      <c r="T1131" s="54">
        <v>0</v>
      </c>
      <c r="U1131" s="54">
        <v>200</v>
      </c>
      <c r="V1131" s="54">
        <v>200</v>
      </c>
      <c r="W1131" s="54">
        <v>200</v>
      </c>
    </row>
    <row r="1132" spans="1:23" outlineLevel="2" x14ac:dyDescent="0.2">
      <c r="A1132" s="21" t="s">
        <v>402</v>
      </c>
      <c r="B1132" s="21" t="s">
        <v>39</v>
      </c>
      <c r="C1132" s="21" t="s">
        <v>58</v>
      </c>
      <c r="D1132" s="21" t="s">
        <v>143</v>
      </c>
      <c r="E1132" s="21" t="s">
        <v>144</v>
      </c>
      <c r="F1132" s="21" t="s">
        <v>5</v>
      </c>
      <c r="G1132" s="21" t="s">
        <v>6</v>
      </c>
      <c r="H1132" s="21" t="s">
        <v>7</v>
      </c>
      <c r="I1132" s="21" t="s">
        <v>8</v>
      </c>
      <c r="J1132" s="21" t="s">
        <v>403</v>
      </c>
      <c r="K1132" s="21" t="s">
        <v>641</v>
      </c>
      <c r="L1132" s="21" t="s">
        <v>646</v>
      </c>
      <c r="M1132" s="21" t="s">
        <v>12</v>
      </c>
      <c r="N1132" s="54">
        <v>0</v>
      </c>
      <c r="O1132" s="54">
        <v>200</v>
      </c>
      <c r="P1132" s="54">
        <v>0</v>
      </c>
      <c r="Q1132" s="54">
        <v>200</v>
      </c>
      <c r="R1132" s="54">
        <v>0</v>
      </c>
      <c r="S1132" s="54">
        <v>0</v>
      </c>
      <c r="T1132" s="54">
        <v>0</v>
      </c>
      <c r="U1132" s="54">
        <v>200</v>
      </c>
      <c r="V1132" s="54">
        <v>200</v>
      </c>
      <c r="W1132" s="54">
        <v>200</v>
      </c>
    </row>
    <row r="1133" spans="1:23" outlineLevel="2" x14ac:dyDescent="0.2">
      <c r="A1133" s="21" t="s">
        <v>402</v>
      </c>
      <c r="B1133" s="21" t="s">
        <v>1</v>
      </c>
      <c r="C1133" s="21" t="s">
        <v>2</v>
      </c>
      <c r="D1133" s="21" t="s">
        <v>25</v>
      </c>
      <c r="E1133" s="21" t="s">
        <v>26</v>
      </c>
      <c r="F1133" s="21" t="s">
        <v>5</v>
      </c>
      <c r="G1133" s="21" t="s">
        <v>6</v>
      </c>
      <c r="H1133" s="21" t="s">
        <v>7</v>
      </c>
      <c r="I1133" s="21" t="s">
        <v>8</v>
      </c>
      <c r="J1133" s="21" t="s">
        <v>403</v>
      </c>
      <c r="K1133" s="21" t="s">
        <v>641</v>
      </c>
      <c r="L1133" s="21" t="s">
        <v>642</v>
      </c>
      <c r="M1133" s="21" t="s">
        <v>15</v>
      </c>
      <c r="N1133" s="54">
        <v>955000</v>
      </c>
      <c r="O1133" s="54">
        <v>-247000</v>
      </c>
      <c r="P1133" s="54">
        <v>0</v>
      </c>
      <c r="Q1133" s="54">
        <v>708000</v>
      </c>
      <c r="R1133" s="54">
        <v>76198.759999999995</v>
      </c>
      <c r="S1133" s="54">
        <v>59723.35</v>
      </c>
      <c r="T1133" s="54">
        <v>59723.35</v>
      </c>
      <c r="U1133" s="54">
        <v>648276.65</v>
      </c>
      <c r="V1133" s="54">
        <v>648276.65</v>
      </c>
      <c r="W1133" s="54">
        <v>572077.89</v>
      </c>
    </row>
    <row r="1134" spans="1:23" outlineLevel="2" x14ac:dyDescent="0.2">
      <c r="A1134" s="21" t="s">
        <v>402</v>
      </c>
      <c r="B1134" s="21" t="s">
        <v>1</v>
      </c>
      <c r="C1134" s="21" t="s">
        <v>2</v>
      </c>
      <c r="D1134" s="21" t="s">
        <v>3</v>
      </c>
      <c r="E1134" s="21" t="s">
        <v>4</v>
      </c>
      <c r="F1134" s="21" t="s">
        <v>5</v>
      </c>
      <c r="G1134" s="21" t="s">
        <v>6</v>
      </c>
      <c r="H1134" s="21" t="s">
        <v>7</v>
      </c>
      <c r="I1134" s="21" t="s">
        <v>8</v>
      </c>
      <c r="J1134" s="21" t="s">
        <v>403</v>
      </c>
      <c r="K1134" s="21" t="s">
        <v>641</v>
      </c>
      <c r="L1134" s="21" t="s">
        <v>642</v>
      </c>
      <c r="M1134" s="21" t="s">
        <v>15</v>
      </c>
      <c r="N1134" s="54">
        <v>0</v>
      </c>
      <c r="O1134" s="54">
        <v>20493.04</v>
      </c>
      <c r="P1134" s="54">
        <v>0</v>
      </c>
      <c r="Q1134" s="54">
        <v>20493.04</v>
      </c>
      <c r="R1134" s="54">
        <v>3528</v>
      </c>
      <c r="S1134" s="54">
        <v>16965.04</v>
      </c>
      <c r="T1134" s="54">
        <v>16965.04</v>
      </c>
      <c r="U1134" s="54">
        <v>3528</v>
      </c>
      <c r="V1134" s="54">
        <v>3528</v>
      </c>
      <c r="W1134" s="54">
        <v>0</v>
      </c>
    </row>
    <row r="1135" spans="1:23" outlineLevel="2" x14ac:dyDescent="0.2">
      <c r="A1135" s="21" t="s">
        <v>402</v>
      </c>
      <c r="B1135" s="21" t="s">
        <v>39</v>
      </c>
      <c r="C1135" s="21" t="s">
        <v>66</v>
      </c>
      <c r="D1135" s="21" t="s">
        <v>67</v>
      </c>
      <c r="E1135" s="21" t="s">
        <v>68</v>
      </c>
      <c r="F1135" s="21" t="s">
        <v>5</v>
      </c>
      <c r="G1135" s="21" t="s">
        <v>6</v>
      </c>
      <c r="H1135" s="21" t="s">
        <v>7</v>
      </c>
      <c r="I1135" s="21" t="s">
        <v>8</v>
      </c>
      <c r="J1135" s="21" t="s">
        <v>403</v>
      </c>
      <c r="K1135" s="21" t="s">
        <v>641</v>
      </c>
      <c r="L1135" s="21" t="s">
        <v>643</v>
      </c>
      <c r="M1135" s="21" t="s">
        <v>12</v>
      </c>
      <c r="N1135" s="54">
        <v>100</v>
      </c>
      <c r="O1135" s="54">
        <v>-75</v>
      </c>
      <c r="P1135" s="54">
        <v>0</v>
      </c>
      <c r="Q1135" s="54">
        <v>25</v>
      </c>
      <c r="R1135" s="54">
        <v>0</v>
      </c>
      <c r="S1135" s="54">
        <v>17.64</v>
      </c>
      <c r="T1135" s="54">
        <v>17.64</v>
      </c>
      <c r="U1135" s="54">
        <v>7.36</v>
      </c>
      <c r="V1135" s="54">
        <v>7.36</v>
      </c>
      <c r="W1135" s="54">
        <v>7.36</v>
      </c>
    </row>
    <row r="1136" spans="1:23" outlineLevel="2" x14ac:dyDescent="0.2">
      <c r="A1136" s="21" t="s">
        <v>402</v>
      </c>
      <c r="B1136" s="21" t="s">
        <v>1</v>
      </c>
      <c r="C1136" s="21" t="s">
        <v>91</v>
      </c>
      <c r="D1136" s="21" t="s">
        <v>92</v>
      </c>
      <c r="E1136" s="21" t="s">
        <v>93</v>
      </c>
      <c r="F1136" s="21" t="s">
        <v>5</v>
      </c>
      <c r="G1136" s="21" t="s">
        <v>6</v>
      </c>
      <c r="H1136" s="21" t="s">
        <v>7</v>
      </c>
      <c r="I1136" s="21" t="s">
        <v>8</v>
      </c>
      <c r="J1136" s="21" t="s">
        <v>403</v>
      </c>
      <c r="K1136" s="21" t="s">
        <v>641</v>
      </c>
      <c r="L1136" s="21" t="s">
        <v>644</v>
      </c>
      <c r="M1136" s="21" t="s">
        <v>15</v>
      </c>
      <c r="N1136" s="54">
        <v>20000</v>
      </c>
      <c r="O1136" s="54">
        <v>22173.54</v>
      </c>
      <c r="P1136" s="54">
        <v>0</v>
      </c>
      <c r="Q1136" s="54">
        <v>42173.54</v>
      </c>
      <c r="R1136" s="54">
        <v>623.73</v>
      </c>
      <c r="S1136" s="54">
        <v>10074.780000000001</v>
      </c>
      <c r="T1136" s="54">
        <v>8013.98</v>
      </c>
      <c r="U1136" s="54">
        <v>32098.76</v>
      </c>
      <c r="V1136" s="54">
        <v>34159.56</v>
      </c>
      <c r="W1136" s="54">
        <v>31475.03</v>
      </c>
    </row>
    <row r="1137" spans="1:23" outlineLevel="2" x14ac:dyDescent="0.2">
      <c r="A1137" s="21" t="s">
        <v>402</v>
      </c>
      <c r="B1137" s="21" t="s">
        <v>31</v>
      </c>
      <c r="C1137" s="21" t="s">
        <v>79</v>
      </c>
      <c r="D1137" s="21" t="s">
        <v>80</v>
      </c>
      <c r="E1137" s="21" t="s">
        <v>81</v>
      </c>
      <c r="F1137" s="21" t="s">
        <v>5</v>
      </c>
      <c r="G1137" s="21" t="s">
        <v>6</v>
      </c>
      <c r="H1137" s="21" t="s">
        <v>7</v>
      </c>
      <c r="I1137" s="21" t="s">
        <v>8</v>
      </c>
      <c r="J1137" s="21" t="s">
        <v>403</v>
      </c>
      <c r="K1137" s="21" t="s">
        <v>641</v>
      </c>
      <c r="L1137" s="21" t="s">
        <v>645</v>
      </c>
      <c r="M1137" s="21" t="s">
        <v>12</v>
      </c>
      <c r="N1137" s="54">
        <v>0</v>
      </c>
      <c r="O1137" s="54">
        <v>1500</v>
      </c>
      <c r="P1137" s="54">
        <v>0</v>
      </c>
      <c r="Q1137" s="54">
        <v>1500</v>
      </c>
      <c r="R1137" s="54">
        <v>0</v>
      </c>
      <c r="S1137" s="54">
        <v>0</v>
      </c>
      <c r="T1137" s="54">
        <v>0</v>
      </c>
      <c r="U1137" s="54">
        <v>1500</v>
      </c>
      <c r="V1137" s="54">
        <v>1500</v>
      </c>
      <c r="W1137" s="54">
        <v>1500</v>
      </c>
    </row>
    <row r="1138" spans="1:23" outlineLevel="2" x14ac:dyDescent="0.2">
      <c r="A1138" s="21" t="s">
        <v>402</v>
      </c>
      <c r="B1138" s="21" t="s">
        <v>39</v>
      </c>
      <c r="C1138" s="21" t="s">
        <v>58</v>
      </c>
      <c r="D1138" s="21" t="s">
        <v>139</v>
      </c>
      <c r="E1138" s="21" t="s">
        <v>140</v>
      </c>
      <c r="F1138" s="21" t="s">
        <v>5</v>
      </c>
      <c r="G1138" s="21" t="s">
        <v>6</v>
      </c>
      <c r="H1138" s="21" t="s">
        <v>7</v>
      </c>
      <c r="I1138" s="21" t="s">
        <v>8</v>
      </c>
      <c r="J1138" s="21" t="s">
        <v>403</v>
      </c>
      <c r="K1138" s="21" t="s">
        <v>647</v>
      </c>
      <c r="L1138" s="21" t="s">
        <v>648</v>
      </c>
      <c r="M1138" s="21" t="s">
        <v>12</v>
      </c>
      <c r="N1138" s="54">
        <v>10000</v>
      </c>
      <c r="O1138" s="54">
        <v>-1000</v>
      </c>
      <c r="P1138" s="54">
        <v>0</v>
      </c>
      <c r="Q1138" s="54">
        <v>9000</v>
      </c>
      <c r="R1138" s="54">
        <v>0</v>
      </c>
      <c r="S1138" s="54">
        <v>5000</v>
      </c>
      <c r="T1138" s="54">
        <v>4280.22</v>
      </c>
      <c r="U1138" s="54">
        <v>4000</v>
      </c>
      <c r="V1138" s="54">
        <v>4719.78</v>
      </c>
      <c r="W1138" s="54">
        <v>4000</v>
      </c>
    </row>
    <row r="1139" spans="1:23" outlineLevel="2" x14ac:dyDescent="0.2">
      <c r="A1139" s="21" t="s">
        <v>402</v>
      </c>
      <c r="B1139" s="21" t="s">
        <v>39</v>
      </c>
      <c r="C1139" s="21" t="s">
        <v>58</v>
      </c>
      <c r="D1139" s="21" t="s">
        <v>59</v>
      </c>
      <c r="E1139" s="21" t="s">
        <v>60</v>
      </c>
      <c r="F1139" s="21" t="s">
        <v>5</v>
      </c>
      <c r="G1139" s="21" t="s">
        <v>6</v>
      </c>
      <c r="H1139" s="21" t="s">
        <v>7</v>
      </c>
      <c r="I1139" s="21" t="s">
        <v>8</v>
      </c>
      <c r="J1139" s="21" t="s">
        <v>403</v>
      </c>
      <c r="K1139" s="21" t="s">
        <v>647</v>
      </c>
      <c r="L1139" s="21" t="s">
        <v>648</v>
      </c>
      <c r="M1139" s="21" t="s">
        <v>12</v>
      </c>
      <c r="N1139" s="54">
        <v>5000</v>
      </c>
      <c r="O1139" s="54">
        <v>0</v>
      </c>
      <c r="P1139" s="54">
        <v>0</v>
      </c>
      <c r="Q1139" s="54">
        <v>5000</v>
      </c>
      <c r="R1139" s="54">
        <v>0</v>
      </c>
      <c r="S1139" s="54">
        <v>0</v>
      </c>
      <c r="T1139" s="54">
        <v>0</v>
      </c>
      <c r="U1139" s="54">
        <v>5000</v>
      </c>
      <c r="V1139" s="54">
        <v>5000</v>
      </c>
      <c r="W1139" s="54">
        <v>5000</v>
      </c>
    </row>
    <row r="1140" spans="1:23" outlineLevel="2" x14ac:dyDescent="0.2">
      <c r="A1140" s="21" t="s">
        <v>402</v>
      </c>
      <c r="B1140" s="21" t="s">
        <v>1</v>
      </c>
      <c r="C1140" s="21" t="s">
        <v>91</v>
      </c>
      <c r="D1140" s="21" t="s">
        <v>92</v>
      </c>
      <c r="E1140" s="21" t="s">
        <v>93</v>
      </c>
      <c r="F1140" s="21" t="s">
        <v>5</v>
      </c>
      <c r="G1140" s="21" t="s">
        <v>6</v>
      </c>
      <c r="H1140" s="21" t="s">
        <v>7</v>
      </c>
      <c r="I1140" s="21" t="s">
        <v>8</v>
      </c>
      <c r="J1140" s="21" t="s">
        <v>403</v>
      </c>
      <c r="K1140" s="21" t="s">
        <v>647</v>
      </c>
      <c r="L1140" s="21" t="s">
        <v>655</v>
      </c>
      <c r="M1140" s="21" t="s">
        <v>15</v>
      </c>
      <c r="N1140" s="54">
        <v>8000</v>
      </c>
      <c r="O1140" s="54">
        <v>15500</v>
      </c>
      <c r="P1140" s="54">
        <v>0</v>
      </c>
      <c r="Q1140" s="54">
        <v>23500</v>
      </c>
      <c r="R1140" s="54">
        <v>0</v>
      </c>
      <c r="S1140" s="54">
        <v>16463.009999999998</v>
      </c>
      <c r="T1140" s="54">
        <v>10333.18</v>
      </c>
      <c r="U1140" s="54">
        <v>7036.99</v>
      </c>
      <c r="V1140" s="54">
        <v>13166.82</v>
      </c>
      <c r="W1140" s="54">
        <v>7036.99</v>
      </c>
    </row>
    <row r="1141" spans="1:23" outlineLevel="2" x14ac:dyDescent="0.2">
      <c r="A1141" s="21" t="s">
        <v>402</v>
      </c>
      <c r="B1141" s="21" t="s">
        <v>39</v>
      </c>
      <c r="C1141" s="21" t="s">
        <v>58</v>
      </c>
      <c r="D1141" s="21" t="s">
        <v>137</v>
      </c>
      <c r="E1141" s="21" t="s">
        <v>138</v>
      </c>
      <c r="F1141" s="21" t="s">
        <v>5</v>
      </c>
      <c r="G1141" s="21" t="s">
        <v>6</v>
      </c>
      <c r="H1141" s="21" t="s">
        <v>7</v>
      </c>
      <c r="I1141" s="21" t="s">
        <v>8</v>
      </c>
      <c r="J1141" s="21" t="s">
        <v>403</v>
      </c>
      <c r="K1141" s="21" t="s">
        <v>647</v>
      </c>
      <c r="L1141" s="21" t="s">
        <v>648</v>
      </c>
      <c r="M1141" s="21" t="s">
        <v>12</v>
      </c>
      <c r="N1141" s="54">
        <v>8400</v>
      </c>
      <c r="O1141" s="54">
        <v>0</v>
      </c>
      <c r="P1141" s="54">
        <v>0</v>
      </c>
      <c r="Q1141" s="54">
        <v>8400</v>
      </c>
      <c r="R1141" s="54">
        <v>4200</v>
      </c>
      <c r="S1141" s="54">
        <v>4200</v>
      </c>
      <c r="T1141" s="54">
        <v>2987.48</v>
      </c>
      <c r="U1141" s="54">
        <v>4200</v>
      </c>
      <c r="V1141" s="54">
        <v>5412.52</v>
      </c>
      <c r="W1141" s="54">
        <v>0</v>
      </c>
    </row>
    <row r="1142" spans="1:23" outlineLevel="2" x14ac:dyDescent="0.2">
      <c r="A1142" s="21" t="s">
        <v>402</v>
      </c>
      <c r="B1142" s="21" t="s">
        <v>39</v>
      </c>
      <c r="C1142" s="21" t="s">
        <v>58</v>
      </c>
      <c r="D1142" s="21" t="s">
        <v>129</v>
      </c>
      <c r="E1142" s="21" t="s">
        <v>130</v>
      </c>
      <c r="F1142" s="21" t="s">
        <v>5</v>
      </c>
      <c r="G1142" s="21" t="s">
        <v>6</v>
      </c>
      <c r="H1142" s="21" t="s">
        <v>7</v>
      </c>
      <c r="I1142" s="21" t="s">
        <v>8</v>
      </c>
      <c r="J1142" s="21" t="s">
        <v>403</v>
      </c>
      <c r="K1142" s="21" t="s">
        <v>647</v>
      </c>
      <c r="L1142" s="21" t="s">
        <v>648</v>
      </c>
      <c r="M1142" s="21" t="s">
        <v>12</v>
      </c>
      <c r="N1142" s="54">
        <v>1000</v>
      </c>
      <c r="O1142" s="54">
        <v>0</v>
      </c>
      <c r="P1142" s="54">
        <v>0</v>
      </c>
      <c r="Q1142" s="54">
        <v>1000</v>
      </c>
      <c r="R1142" s="54">
        <v>0</v>
      </c>
      <c r="S1142" s="54">
        <v>1000</v>
      </c>
      <c r="T1142" s="54">
        <v>877.5</v>
      </c>
      <c r="U1142" s="54">
        <v>0</v>
      </c>
      <c r="V1142" s="54">
        <v>122.5</v>
      </c>
      <c r="W1142" s="54">
        <v>0</v>
      </c>
    </row>
    <row r="1143" spans="1:23" outlineLevel="2" x14ac:dyDescent="0.2">
      <c r="A1143" s="21" t="s">
        <v>402</v>
      </c>
      <c r="B1143" s="21" t="s">
        <v>31</v>
      </c>
      <c r="C1143" s="21" t="s">
        <v>32</v>
      </c>
      <c r="D1143" s="21" t="s">
        <v>123</v>
      </c>
      <c r="E1143" s="21" t="s">
        <v>124</v>
      </c>
      <c r="F1143" s="21" t="s">
        <v>5</v>
      </c>
      <c r="G1143" s="21" t="s">
        <v>6</v>
      </c>
      <c r="H1143" s="21" t="s">
        <v>7</v>
      </c>
      <c r="I1143" s="21" t="s">
        <v>8</v>
      </c>
      <c r="J1143" s="21" t="s">
        <v>403</v>
      </c>
      <c r="K1143" s="21" t="s">
        <v>647</v>
      </c>
      <c r="L1143" s="21" t="s">
        <v>649</v>
      </c>
      <c r="M1143" s="21" t="s">
        <v>12</v>
      </c>
      <c r="N1143" s="54">
        <v>4000</v>
      </c>
      <c r="O1143" s="54">
        <v>0</v>
      </c>
      <c r="P1143" s="54">
        <v>0</v>
      </c>
      <c r="Q1143" s="54">
        <v>4000</v>
      </c>
      <c r="R1143" s="54">
        <v>0</v>
      </c>
      <c r="S1143" s="54">
        <v>4000</v>
      </c>
      <c r="T1143" s="54">
        <v>2259</v>
      </c>
      <c r="U1143" s="54">
        <v>0</v>
      </c>
      <c r="V1143" s="54">
        <v>1741</v>
      </c>
      <c r="W1143" s="54">
        <v>0</v>
      </c>
    </row>
    <row r="1144" spans="1:23" outlineLevel="2" x14ac:dyDescent="0.2">
      <c r="A1144" s="21" t="s">
        <v>402</v>
      </c>
      <c r="B1144" s="21" t="s">
        <v>31</v>
      </c>
      <c r="C1144" s="21" t="s">
        <v>79</v>
      </c>
      <c r="D1144" s="21" t="s">
        <v>131</v>
      </c>
      <c r="E1144" s="21" t="s">
        <v>132</v>
      </c>
      <c r="F1144" s="21" t="s">
        <v>5</v>
      </c>
      <c r="G1144" s="21" t="s">
        <v>6</v>
      </c>
      <c r="H1144" s="21" t="s">
        <v>7</v>
      </c>
      <c r="I1144" s="21" t="s">
        <v>8</v>
      </c>
      <c r="J1144" s="21" t="s">
        <v>403</v>
      </c>
      <c r="K1144" s="21" t="s">
        <v>647</v>
      </c>
      <c r="L1144" s="21" t="s">
        <v>651</v>
      </c>
      <c r="M1144" s="21" t="s">
        <v>12</v>
      </c>
      <c r="N1144" s="54">
        <v>400</v>
      </c>
      <c r="O1144" s="54">
        <v>0</v>
      </c>
      <c r="P1144" s="54">
        <v>0</v>
      </c>
      <c r="Q1144" s="54">
        <v>400</v>
      </c>
      <c r="R1144" s="54">
        <v>0</v>
      </c>
      <c r="S1144" s="54">
        <v>0</v>
      </c>
      <c r="T1144" s="54">
        <v>0</v>
      </c>
      <c r="U1144" s="54">
        <v>400</v>
      </c>
      <c r="V1144" s="54">
        <v>400</v>
      </c>
      <c r="W1144" s="54">
        <v>400</v>
      </c>
    </row>
    <row r="1145" spans="1:23" outlineLevel="2" x14ac:dyDescent="0.2">
      <c r="A1145" s="21" t="s">
        <v>402</v>
      </c>
      <c r="B1145" s="21" t="s">
        <v>31</v>
      </c>
      <c r="C1145" s="21" t="s">
        <v>79</v>
      </c>
      <c r="D1145" s="21" t="s">
        <v>117</v>
      </c>
      <c r="E1145" s="21" t="s">
        <v>118</v>
      </c>
      <c r="F1145" s="21" t="s">
        <v>5</v>
      </c>
      <c r="G1145" s="21" t="s">
        <v>6</v>
      </c>
      <c r="H1145" s="21" t="s">
        <v>7</v>
      </c>
      <c r="I1145" s="21" t="s">
        <v>8</v>
      </c>
      <c r="J1145" s="21" t="s">
        <v>403</v>
      </c>
      <c r="K1145" s="21" t="s">
        <v>647</v>
      </c>
      <c r="L1145" s="21" t="s">
        <v>651</v>
      </c>
      <c r="M1145" s="21" t="s">
        <v>12</v>
      </c>
      <c r="N1145" s="54">
        <v>500</v>
      </c>
      <c r="O1145" s="54">
        <v>0</v>
      </c>
      <c r="P1145" s="54">
        <v>0</v>
      </c>
      <c r="Q1145" s="54">
        <v>500</v>
      </c>
      <c r="R1145" s="54">
        <v>0</v>
      </c>
      <c r="S1145" s="54">
        <v>0</v>
      </c>
      <c r="T1145" s="54">
        <v>0</v>
      </c>
      <c r="U1145" s="54">
        <v>500</v>
      </c>
      <c r="V1145" s="54">
        <v>500</v>
      </c>
      <c r="W1145" s="54">
        <v>500</v>
      </c>
    </row>
    <row r="1146" spans="1:23" outlineLevel="2" x14ac:dyDescent="0.2">
      <c r="A1146" s="21" t="s">
        <v>402</v>
      </c>
      <c r="B1146" s="21" t="s">
        <v>31</v>
      </c>
      <c r="C1146" s="21" t="s">
        <v>79</v>
      </c>
      <c r="D1146" s="21" t="s">
        <v>80</v>
      </c>
      <c r="E1146" s="21" t="s">
        <v>81</v>
      </c>
      <c r="F1146" s="21" t="s">
        <v>5</v>
      </c>
      <c r="G1146" s="21" t="s">
        <v>6</v>
      </c>
      <c r="H1146" s="21" t="s">
        <v>7</v>
      </c>
      <c r="I1146" s="21" t="s">
        <v>8</v>
      </c>
      <c r="J1146" s="21" t="s">
        <v>403</v>
      </c>
      <c r="K1146" s="21" t="s">
        <v>647</v>
      </c>
      <c r="L1146" s="21" t="s">
        <v>651</v>
      </c>
      <c r="M1146" s="21" t="s">
        <v>12</v>
      </c>
      <c r="N1146" s="54">
        <v>1000</v>
      </c>
      <c r="O1146" s="54">
        <v>-1000</v>
      </c>
      <c r="P1146" s="54">
        <v>0</v>
      </c>
      <c r="Q1146" s="54">
        <v>0</v>
      </c>
      <c r="R1146" s="54">
        <v>0</v>
      </c>
      <c r="S1146" s="54">
        <v>0</v>
      </c>
      <c r="T1146" s="54">
        <v>0</v>
      </c>
      <c r="U1146" s="54">
        <v>0</v>
      </c>
      <c r="V1146" s="54">
        <v>0</v>
      </c>
      <c r="W1146" s="54">
        <v>0</v>
      </c>
    </row>
    <row r="1147" spans="1:23" outlineLevel="2" x14ac:dyDescent="0.2">
      <c r="A1147" s="21" t="s">
        <v>402</v>
      </c>
      <c r="B1147" s="21" t="s">
        <v>1</v>
      </c>
      <c r="C1147" s="21" t="s">
        <v>2</v>
      </c>
      <c r="D1147" s="21" t="s">
        <v>3</v>
      </c>
      <c r="E1147" s="21" t="s">
        <v>4</v>
      </c>
      <c r="F1147" s="21" t="s">
        <v>5</v>
      </c>
      <c r="G1147" s="21" t="s">
        <v>6</v>
      </c>
      <c r="H1147" s="21" t="s">
        <v>7</v>
      </c>
      <c r="I1147" s="21" t="s">
        <v>8</v>
      </c>
      <c r="J1147" s="21" t="s">
        <v>403</v>
      </c>
      <c r="K1147" s="21" t="s">
        <v>647</v>
      </c>
      <c r="L1147" s="21" t="s">
        <v>653</v>
      </c>
      <c r="M1147" s="21" t="s">
        <v>15</v>
      </c>
      <c r="N1147" s="54">
        <v>1700</v>
      </c>
      <c r="O1147" s="54">
        <v>-110</v>
      </c>
      <c r="P1147" s="54">
        <v>0</v>
      </c>
      <c r="Q1147" s="54">
        <v>1590</v>
      </c>
      <c r="R1147" s="54">
        <v>0</v>
      </c>
      <c r="S1147" s="54">
        <v>1581.43</v>
      </c>
      <c r="T1147" s="54">
        <v>1081.43</v>
      </c>
      <c r="U1147" s="54">
        <v>8.57</v>
      </c>
      <c r="V1147" s="54">
        <v>508.57</v>
      </c>
      <c r="W1147" s="54">
        <v>8.57</v>
      </c>
    </row>
    <row r="1148" spans="1:23" outlineLevel="2" x14ac:dyDescent="0.2">
      <c r="A1148" s="21" t="s">
        <v>402</v>
      </c>
      <c r="B1148" s="21" t="s">
        <v>1</v>
      </c>
      <c r="C1148" s="21" t="s">
        <v>2</v>
      </c>
      <c r="D1148" s="21" t="s">
        <v>410</v>
      </c>
      <c r="E1148" s="21" t="s">
        <v>411</v>
      </c>
      <c r="F1148" s="21" t="s">
        <v>5</v>
      </c>
      <c r="G1148" s="21" t="s">
        <v>6</v>
      </c>
      <c r="H1148" s="21" t="s">
        <v>7</v>
      </c>
      <c r="I1148" s="21" t="s">
        <v>8</v>
      </c>
      <c r="J1148" s="21" t="s">
        <v>403</v>
      </c>
      <c r="K1148" s="21" t="s">
        <v>647</v>
      </c>
      <c r="L1148" s="21" t="s">
        <v>653</v>
      </c>
      <c r="M1148" s="21" t="s">
        <v>15</v>
      </c>
      <c r="N1148" s="54">
        <v>150000</v>
      </c>
      <c r="O1148" s="54">
        <v>0</v>
      </c>
      <c r="P1148" s="54">
        <v>0</v>
      </c>
      <c r="Q1148" s="54">
        <v>150000</v>
      </c>
      <c r="R1148" s="54">
        <v>0</v>
      </c>
      <c r="S1148" s="54">
        <v>144659.98000000001</v>
      </c>
      <c r="T1148" s="54">
        <v>67096.570000000007</v>
      </c>
      <c r="U1148" s="54">
        <v>5340.02</v>
      </c>
      <c r="V1148" s="54">
        <v>82903.429999999993</v>
      </c>
      <c r="W1148" s="54">
        <v>5340.02</v>
      </c>
    </row>
    <row r="1149" spans="1:23" outlineLevel="2" x14ac:dyDescent="0.2">
      <c r="A1149" s="21" t="s">
        <v>402</v>
      </c>
      <c r="B1149" s="21" t="s">
        <v>39</v>
      </c>
      <c r="C1149" s="21" t="s">
        <v>58</v>
      </c>
      <c r="D1149" s="21" t="s">
        <v>143</v>
      </c>
      <c r="E1149" s="21" t="s">
        <v>144</v>
      </c>
      <c r="F1149" s="21" t="s">
        <v>5</v>
      </c>
      <c r="G1149" s="21" t="s">
        <v>6</v>
      </c>
      <c r="H1149" s="21" t="s">
        <v>7</v>
      </c>
      <c r="I1149" s="21" t="s">
        <v>8</v>
      </c>
      <c r="J1149" s="21" t="s">
        <v>403</v>
      </c>
      <c r="K1149" s="21" t="s">
        <v>647</v>
      </c>
      <c r="L1149" s="21" t="s">
        <v>648</v>
      </c>
      <c r="M1149" s="21" t="s">
        <v>12</v>
      </c>
      <c r="N1149" s="54">
        <v>4000</v>
      </c>
      <c r="O1149" s="54">
        <v>0</v>
      </c>
      <c r="P1149" s="54">
        <v>0</v>
      </c>
      <c r="Q1149" s="54">
        <v>4000</v>
      </c>
      <c r="R1149" s="54">
        <v>0</v>
      </c>
      <c r="S1149" s="54">
        <v>417.9</v>
      </c>
      <c r="T1149" s="54">
        <v>292.85000000000002</v>
      </c>
      <c r="U1149" s="54">
        <v>3582.1</v>
      </c>
      <c r="V1149" s="54">
        <v>3707.15</v>
      </c>
      <c r="W1149" s="54">
        <v>3582.1</v>
      </c>
    </row>
    <row r="1150" spans="1:23" outlineLevel="2" x14ac:dyDescent="0.2">
      <c r="A1150" s="21" t="s">
        <v>402</v>
      </c>
      <c r="B1150" s="21" t="s">
        <v>31</v>
      </c>
      <c r="C1150" s="21" t="s">
        <v>79</v>
      </c>
      <c r="D1150" s="21" t="s">
        <v>113</v>
      </c>
      <c r="E1150" s="21" t="s">
        <v>114</v>
      </c>
      <c r="F1150" s="21" t="s">
        <v>5</v>
      </c>
      <c r="G1150" s="21" t="s">
        <v>6</v>
      </c>
      <c r="H1150" s="21" t="s">
        <v>7</v>
      </c>
      <c r="I1150" s="21" t="s">
        <v>8</v>
      </c>
      <c r="J1150" s="21" t="s">
        <v>403</v>
      </c>
      <c r="K1150" s="21" t="s">
        <v>647</v>
      </c>
      <c r="L1150" s="21" t="s">
        <v>651</v>
      </c>
      <c r="M1150" s="21" t="s">
        <v>12</v>
      </c>
      <c r="N1150" s="54">
        <v>400</v>
      </c>
      <c r="O1150" s="54">
        <v>0</v>
      </c>
      <c r="P1150" s="54">
        <v>0</v>
      </c>
      <c r="Q1150" s="54">
        <v>400</v>
      </c>
      <c r="R1150" s="54">
        <v>0</v>
      </c>
      <c r="S1150" s="54">
        <v>400</v>
      </c>
      <c r="T1150" s="54">
        <v>0</v>
      </c>
      <c r="U1150" s="54">
        <v>0</v>
      </c>
      <c r="V1150" s="54">
        <v>400</v>
      </c>
      <c r="W1150" s="54">
        <v>0</v>
      </c>
    </row>
    <row r="1151" spans="1:23" outlineLevel="2" x14ac:dyDescent="0.2">
      <c r="A1151" s="21" t="s">
        <v>402</v>
      </c>
      <c r="B1151" s="21" t="s">
        <v>39</v>
      </c>
      <c r="C1151" s="21" t="s">
        <v>70</v>
      </c>
      <c r="D1151" s="21" t="s">
        <v>89</v>
      </c>
      <c r="E1151" s="21" t="s">
        <v>90</v>
      </c>
      <c r="F1151" s="21" t="s">
        <v>5</v>
      </c>
      <c r="G1151" s="21" t="s">
        <v>6</v>
      </c>
      <c r="H1151" s="21" t="s">
        <v>7</v>
      </c>
      <c r="I1151" s="21" t="s">
        <v>8</v>
      </c>
      <c r="J1151" s="21" t="s">
        <v>403</v>
      </c>
      <c r="K1151" s="21" t="s">
        <v>647</v>
      </c>
      <c r="L1151" s="21" t="s">
        <v>652</v>
      </c>
      <c r="M1151" s="21" t="s">
        <v>12</v>
      </c>
      <c r="N1151" s="54">
        <v>5000</v>
      </c>
      <c r="O1151" s="54">
        <v>10000</v>
      </c>
      <c r="P1151" s="54">
        <v>0</v>
      </c>
      <c r="Q1151" s="54">
        <v>15000</v>
      </c>
      <c r="R1151" s="54">
        <v>0</v>
      </c>
      <c r="S1151" s="54">
        <v>5000</v>
      </c>
      <c r="T1151" s="54">
        <v>1234.53</v>
      </c>
      <c r="U1151" s="54">
        <v>10000</v>
      </c>
      <c r="V1151" s="54">
        <v>13765.47</v>
      </c>
      <c r="W1151" s="54">
        <v>10000</v>
      </c>
    </row>
    <row r="1152" spans="1:23" outlineLevel="2" x14ac:dyDescent="0.2">
      <c r="A1152" s="21" t="s">
        <v>402</v>
      </c>
      <c r="B1152" s="21" t="s">
        <v>31</v>
      </c>
      <c r="C1152" s="21" t="s">
        <v>32</v>
      </c>
      <c r="D1152" s="21" t="s">
        <v>75</v>
      </c>
      <c r="E1152" s="21" t="s">
        <v>76</v>
      </c>
      <c r="F1152" s="21" t="s">
        <v>5</v>
      </c>
      <c r="G1152" s="21" t="s">
        <v>6</v>
      </c>
      <c r="H1152" s="21" t="s">
        <v>7</v>
      </c>
      <c r="I1152" s="21" t="s">
        <v>8</v>
      </c>
      <c r="J1152" s="21" t="s">
        <v>403</v>
      </c>
      <c r="K1152" s="21" t="s">
        <v>647</v>
      </c>
      <c r="L1152" s="21" t="s">
        <v>649</v>
      </c>
      <c r="M1152" s="21" t="s">
        <v>12</v>
      </c>
      <c r="N1152" s="54">
        <v>7000</v>
      </c>
      <c r="O1152" s="54">
        <v>500</v>
      </c>
      <c r="P1152" s="54">
        <v>0</v>
      </c>
      <c r="Q1152" s="54">
        <v>7500</v>
      </c>
      <c r="R1152" s="54">
        <v>0.01</v>
      </c>
      <c r="S1152" s="54">
        <v>4652.72</v>
      </c>
      <c r="T1152" s="54">
        <v>2843.94</v>
      </c>
      <c r="U1152" s="54">
        <v>2847.28</v>
      </c>
      <c r="V1152" s="54">
        <v>4656.0600000000004</v>
      </c>
      <c r="W1152" s="54">
        <v>2847.27</v>
      </c>
    </row>
    <row r="1153" spans="1:23" outlineLevel="2" x14ac:dyDescent="0.2">
      <c r="A1153" s="21" t="s">
        <v>402</v>
      </c>
      <c r="B1153" s="21" t="s">
        <v>53</v>
      </c>
      <c r="C1153" s="21" t="s">
        <v>54</v>
      </c>
      <c r="D1153" s="21" t="s">
        <v>55</v>
      </c>
      <c r="E1153" s="21" t="s">
        <v>56</v>
      </c>
      <c r="F1153" s="21" t="s">
        <v>5</v>
      </c>
      <c r="G1153" s="21" t="s">
        <v>6</v>
      </c>
      <c r="H1153" s="21" t="s">
        <v>7</v>
      </c>
      <c r="I1153" s="21" t="s">
        <v>8</v>
      </c>
      <c r="J1153" s="21" t="s">
        <v>403</v>
      </c>
      <c r="K1153" s="21" t="s">
        <v>647</v>
      </c>
      <c r="L1153" s="21" t="s">
        <v>654</v>
      </c>
      <c r="M1153" s="21" t="s">
        <v>12</v>
      </c>
      <c r="N1153" s="54">
        <v>2000</v>
      </c>
      <c r="O1153" s="54">
        <v>5328</v>
      </c>
      <c r="P1153" s="54">
        <v>0</v>
      </c>
      <c r="Q1153" s="54">
        <v>7328</v>
      </c>
      <c r="R1153" s="54">
        <v>0.06</v>
      </c>
      <c r="S1153" s="54">
        <v>7327.51</v>
      </c>
      <c r="T1153" s="54">
        <v>3641.89</v>
      </c>
      <c r="U1153" s="54">
        <v>0.49</v>
      </c>
      <c r="V1153" s="54">
        <v>3686.11</v>
      </c>
      <c r="W1153" s="54">
        <v>0.43</v>
      </c>
    </row>
    <row r="1154" spans="1:23" outlineLevel="2" x14ac:dyDescent="0.2">
      <c r="A1154" s="21" t="s">
        <v>402</v>
      </c>
      <c r="B1154" s="21" t="s">
        <v>31</v>
      </c>
      <c r="C1154" s="21" t="s">
        <v>79</v>
      </c>
      <c r="D1154" s="21" t="s">
        <v>133</v>
      </c>
      <c r="E1154" s="21" t="s">
        <v>134</v>
      </c>
      <c r="F1154" s="21" t="s">
        <v>5</v>
      </c>
      <c r="G1154" s="21" t="s">
        <v>6</v>
      </c>
      <c r="H1154" s="21" t="s">
        <v>7</v>
      </c>
      <c r="I1154" s="21" t="s">
        <v>8</v>
      </c>
      <c r="J1154" s="21" t="s">
        <v>403</v>
      </c>
      <c r="K1154" s="21" t="s">
        <v>647</v>
      </c>
      <c r="L1154" s="21" t="s">
        <v>651</v>
      </c>
      <c r="M1154" s="21" t="s">
        <v>12</v>
      </c>
      <c r="N1154" s="54">
        <v>15000</v>
      </c>
      <c r="O1154" s="54">
        <v>0</v>
      </c>
      <c r="P1154" s="54">
        <v>0</v>
      </c>
      <c r="Q1154" s="54">
        <v>15000</v>
      </c>
      <c r="R1154" s="54">
        <v>5400</v>
      </c>
      <c r="S1154" s="54">
        <v>9600</v>
      </c>
      <c r="T1154" s="54">
        <v>4728.8500000000004</v>
      </c>
      <c r="U1154" s="54">
        <v>5400</v>
      </c>
      <c r="V1154" s="54">
        <v>10271.15</v>
      </c>
      <c r="W1154" s="54">
        <v>0</v>
      </c>
    </row>
    <row r="1155" spans="1:23" outlineLevel="2" x14ac:dyDescent="0.2">
      <c r="A1155" s="21" t="s">
        <v>402</v>
      </c>
      <c r="B1155" s="21" t="s">
        <v>39</v>
      </c>
      <c r="C1155" s="21" t="s">
        <v>58</v>
      </c>
      <c r="D1155" s="21" t="s">
        <v>147</v>
      </c>
      <c r="E1155" s="21" t="s">
        <v>148</v>
      </c>
      <c r="F1155" s="21" t="s">
        <v>5</v>
      </c>
      <c r="G1155" s="21" t="s">
        <v>6</v>
      </c>
      <c r="H1155" s="21" t="s">
        <v>7</v>
      </c>
      <c r="I1155" s="21" t="s">
        <v>8</v>
      </c>
      <c r="J1155" s="21" t="s">
        <v>403</v>
      </c>
      <c r="K1155" s="21" t="s">
        <v>647</v>
      </c>
      <c r="L1155" s="21" t="s">
        <v>648</v>
      </c>
      <c r="M1155" s="21" t="s">
        <v>12</v>
      </c>
      <c r="N1155" s="54">
        <v>15000</v>
      </c>
      <c r="O1155" s="54">
        <v>0</v>
      </c>
      <c r="P1155" s="54">
        <v>0</v>
      </c>
      <c r="Q1155" s="54">
        <v>15000</v>
      </c>
      <c r="R1155" s="54">
        <v>5188.88</v>
      </c>
      <c r="S1155" s="54">
        <v>3811.12</v>
      </c>
      <c r="T1155" s="54">
        <v>3430.49</v>
      </c>
      <c r="U1155" s="54">
        <v>11188.88</v>
      </c>
      <c r="V1155" s="54">
        <v>11569.51</v>
      </c>
      <c r="W1155" s="54">
        <v>6000</v>
      </c>
    </row>
    <row r="1156" spans="1:23" outlineLevel="2" x14ac:dyDescent="0.2">
      <c r="A1156" s="21" t="s">
        <v>402</v>
      </c>
      <c r="B1156" s="21" t="s">
        <v>31</v>
      </c>
      <c r="C1156" s="21" t="s">
        <v>32</v>
      </c>
      <c r="D1156" s="21" t="s">
        <v>33</v>
      </c>
      <c r="E1156" s="21" t="s">
        <v>34</v>
      </c>
      <c r="F1156" s="21" t="s">
        <v>5</v>
      </c>
      <c r="G1156" s="21" t="s">
        <v>6</v>
      </c>
      <c r="H1156" s="21" t="s">
        <v>7</v>
      </c>
      <c r="I1156" s="21" t="s">
        <v>8</v>
      </c>
      <c r="J1156" s="21" t="s">
        <v>403</v>
      </c>
      <c r="K1156" s="21" t="s">
        <v>647</v>
      </c>
      <c r="L1156" s="21" t="s">
        <v>649</v>
      </c>
      <c r="M1156" s="21" t="s">
        <v>12</v>
      </c>
      <c r="N1156" s="54">
        <v>10000</v>
      </c>
      <c r="O1156" s="54">
        <v>-3800</v>
      </c>
      <c r="P1156" s="54">
        <v>0</v>
      </c>
      <c r="Q1156" s="54">
        <v>6200</v>
      </c>
      <c r="R1156" s="54">
        <v>0</v>
      </c>
      <c r="S1156" s="54">
        <v>5199.6400000000003</v>
      </c>
      <c r="T1156" s="54">
        <v>4087.41</v>
      </c>
      <c r="U1156" s="54">
        <v>1000.36</v>
      </c>
      <c r="V1156" s="54">
        <v>2112.59</v>
      </c>
      <c r="W1156" s="54">
        <v>1000.36</v>
      </c>
    </row>
    <row r="1157" spans="1:23" outlineLevel="2" x14ac:dyDescent="0.2">
      <c r="A1157" s="21" t="s">
        <v>402</v>
      </c>
      <c r="B1157" s="21" t="s">
        <v>39</v>
      </c>
      <c r="C1157" s="21" t="s">
        <v>66</v>
      </c>
      <c r="D1157" s="21" t="s">
        <v>67</v>
      </c>
      <c r="E1157" s="21" t="s">
        <v>68</v>
      </c>
      <c r="F1157" s="21" t="s">
        <v>5</v>
      </c>
      <c r="G1157" s="21" t="s">
        <v>6</v>
      </c>
      <c r="H1157" s="21" t="s">
        <v>7</v>
      </c>
      <c r="I1157" s="21" t="s">
        <v>8</v>
      </c>
      <c r="J1157" s="21" t="s">
        <v>403</v>
      </c>
      <c r="K1157" s="21" t="s">
        <v>647</v>
      </c>
      <c r="L1157" s="21" t="s">
        <v>650</v>
      </c>
      <c r="M1157" s="21" t="s">
        <v>12</v>
      </c>
      <c r="N1157" s="54">
        <v>7000</v>
      </c>
      <c r="O1157" s="54">
        <v>971.7</v>
      </c>
      <c r="P1157" s="54">
        <v>0</v>
      </c>
      <c r="Q1157" s="54">
        <v>7971.7</v>
      </c>
      <c r="R1157" s="54">
        <v>0</v>
      </c>
      <c r="S1157" s="54">
        <v>7961.79</v>
      </c>
      <c r="T1157" s="54">
        <v>4441.92</v>
      </c>
      <c r="U1157" s="54">
        <v>9.91</v>
      </c>
      <c r="V1157" s="54">
        <v>3529.78</v>
      </c>
      <c r="W1157" s="54">
        <v>9.91</v>
      </c>
    </row>
    <row r="1158" spans="1:23" outlineLevel="2" x14ac:dyDescent="0.2">
      <c r="A1158" s="21" t="s">
        <v>402</v>
      </c>
      <c r="B1158" s="21" t="s">
        <v>39</v>
      </c>
      <c r="C1158" s="21" t="s">
        <v>58</v>
      </c>
      <c r="D1158" s="21" t="s">
        <v>145</v>
      </c>
      <c r="E1158" s="21" t="s">
        <v>146</v>
      </c>
      <c r="F1158" s="21" t="s">
        <v>5</v>
      </c>
      <c r="G1158" s="21" t="s">
        <v>6</v>
      </c>
      <c r="H1158" s="21" t="s">
        <v>7</v>
      </c>
      <c r="I1158" s="21" t="s">
        <v>8</v>
      </c>
      <c r="J1158" s="21" t="s">
        <v>403</v>
      </c>
      <c r="K1158" s="21" t="s">
        <v>647</v>
      </c>
      <c r="L1158" s="21" t="s">
        <v>648</v>
      </c>
      <c r="M1158" s="21" t="s">
        <v>12</v>
      </c>
      <c r="N1158" s="54">
        <v>15000</v>
      </c>
      <c r="O1158" s="54">
        <v>-1458.1</v>
      </c>
      <c r="P1158" s="54">
        <v>0</v>
      </c>
      <c r="Q1158" s="54">
        <v>13541.9</v>
      </c>
      <c r="R1158" s="54">
        <v>0</v>
      </c>
      <c r="S1158" s="54">
        <v>13541.89</v>
      </c>
      <c r="T1158" s="54">
        <v>8283</v>
      </c>
      <c r="U1158" s="54">
        <v>0.01</v>
      </c>
      <c r="V1158" s="54">
        <v>5258.9</v>
      </c>
      <c r="W1158" s="54">
        <v>0.01</v>
      </c>
    </row>
    <row r="1159" spans="1:23" outlineLevel="2" x14ac:dyDescent="0.2">
      <c r="A1159" s="21" t="s">
        <v>402</v>
      </c>
      <c r="B1159" s="21" t="s">
        <v>39</v>
      </c>
      <c r="C1159" s="21" t="s">
        <v>58</v>
      </c>
      <c r="D1159" s="21" t="s">
        <v>149</v>
      </c>
      <c r="E1159" s="21" t="s">
        <v>150</v>
      </c>
      <c r="F1159" s="21" t="s">
        <v>5</v>
      </c>
      <c r="G1159" s="21" t="s">
        <v>6</v>
      </c>
      <c r="H1159" s="21" t="s">
        <v>7</v>
      </c>
      <c r="I1159" s="21" t="s">
        <v>8</v>
      </c>
      <c r="J1159" s="21" t="s">
        <v>403</v>
      </c>
      <c r="K1159" s="21" t="s">
        <v>647</v>
      </c>
      <c r="L1159" s="21" t="s">
        <v>648</v>
      </c>
      <c r="M1159" s="21" t="s">
        <v>12</v>
      </c>
      <c r="N1159" s="54">
        <v>16000</v>
      </c>
      <c r="O1159" s="54">
        <v>0</v>
      </c>
      <c r="P1159" s="54">
        <v>0</v>
      </c>
      <c r="Q1159" s="54">
        <v>16000</v>
      </c>
      <c r="R1159" s="54">
        <v>0</v>
      </c>
      <c r="S1159" s="54">
        <v>7951.64</v>
      </c>
      <c r="T1159" s="54">
        <v>6760.98</v>
      </c>
      <c r="U1159" s="54">
        <v>8048.36</v>
      </c>
      <c r="V1159" s="54">
        <v>9239.02</v>
      </c>
      <c r="W1159" s="54">
        <v>8048.36</v>
      </c>
    </row>
    <row r="1160" spans="1:23" outlineLevel="2" x14ac:dyDescent="0.2">
      <c r="A1160" s="21" t="s">
        <v>402</v>
      </c>
      <c r="B1160" s="21" t="s">
        <v>39</v>
      </c>
      <c r="C1160" s="21" t="s">
        <v>58</v>
      </c>
      <c r="D1160" s="21" t="s">
        <v>135</v>
      </c>
      <c r="E1160" s="21" t="s">
        <v>136</v>
      </c>
      <c r="F1160" s="21" t="s">
        <v>5</v>
      </c>
      <c r="G1160" s="21" t="s">
        <v>6</v>
      </c>
      <c r="H1160" s="21" t="s">
        <v>7</v>
      </c>
      <c r="I1160" s="21" t="s">
        <v>8</v>
      </c>
      <c r="J1160" s="21" t="s">
        <v>403</v>
      </c>
      <c r="K1160" s="21" t="s">
        <v>647</v>
      </c>
      <c r="L1160" s="21" t="s">
        <v>648</v>
      </c>
      <c r="M1160" s="21" t="s">
        <v>12</v>
      </c>
      <c r="N1160" s="54">
        <v>16000</v>
      </c>
      <c r="O1160" s="54">
        <v>-320</v>
      </c>
      <c r="P1160" s="54">
        <v>0</v>
      </c>
      <c r="Q1160" s="54">
        <v>15680</v>
      </c>
      <c r="R1160" s="54">
        <v>0</v>
      </c>
      <c r="S1160" s="54">
        <v>7840</v>
      </c>
      <c r="T1160" s="54">
        <v>3967.27</v>
      </c>
      <c r="U1160" s="54">
        <v>7840</v>
      </c>
      <c r="V1160" s="54">
        <v>11712.73</v>
      </c>
      <c r="W1160" s="54">
        <v>7840</v>
      </c>
    </row>
    <row r="1161" spans="1:23" outlineLevel="2" x14ac:dyDescent="0.2">
      <c r="A1161" s="21" t="s">
        <v>402</v>
      </c>
      <c r="B1161" s="21" t="s">
        <v>31</v>
      </c>
      <c r="C1161" s="21" t="s">
        <v>79</v>
      </c>
      <c r="D1161" s="21" t="s">
        <v>125</v>
      </c>
      <c r="E1161" s="21" t="s">
        <v>126</v>
      </c>
      <c r="F1161" s="21" t="s">
        <v>5</v>
      </c>
      <c r="G1161" s="21" t="s">
        <v>6</v>
      </c>
      <c r="H1161" s="21" t="s">
        <v>7</v>
      </c>
      <c r="I1161" s="21" t="s">
        <v>8</v>
      </c>
      <c r="J1161" s="21" t="s">
        <v>403</v>
      </c>
      <c r="K1161" s="21" t="s">
        <v>656</v>
      </c>
      <c r="L1161" s="21" t="s">
        <v>662</v>
      </c>
      <c r="M1161" s="21" t="s">
        <v>12</v>
      </c>
      <c r="N1161" s="54">
        <v>2000</v>
      </c>
      <c r="O1161" s="54">
        <v>0</v>
      </c>
      <c r="P1161" s="54">
        <v>0</v>
      </c>
      <c r="Q1161" s="54">
        <v>2000</v>
      </c>
      <c r="R1161" s="54">
        <v>392.17</v>
      </c>
      <c r="S1161" s="54">
        <v>1202.98</v>
      </c>
      <c r="T1161" s="54">
        <v>1202.98</v>
      </c>
      <c r="U1161" s="54">
        <v>797.02</v>
      </c>
      <c r="V1161" s="54">
        <v>797.02</v>
      </c>
      <c r="W1161" s="54">
        <v>404.85</v>
      </c>
    </row>
    <row r="1162" spans="1:23" outlineLevel="2" x14ac:dyDescent="0.2">
      <c r="A1162" s="21" t="s">
        <v>402</v>
      </c>
      <c r="B1162" s="21" t="s">
        <v>39</v>
      </c>
      <c r="C1162" s="21" t="s">
        <v>58</v>
      </c>
      <c r="D1162" s="21" t="s">
        <v>147</v>
      </c>
      <c r="E1162" s="21" t="s">
        <v>148</v>
      </c>
      <c r="F1162" s="21" t="s">
        <v>5</v>
      </c>
      <c r="G1162" s="21" t="s">
        <v>6</v>
      </c>
      <c r="H1162" s="21" t="s">
        <v>7</v>
      </c>
      <c r="I1162" s="21" t="s">
        <v>8</v>
      </c>
      <c r="J1162" s="21" t="s">
        <v>403</v>
      </c>
      <c r="K1162" s="21" t="s">
        <v>656</v>
      </c>
      <c r="L1162" s="21" t="s">
        <v>659</v>
      </c>
      <c r="M1162" s="21" t="s">
        <v>12</v>
      </c>
      <c r="N1162" s="54">
        <v>10000</v>
      </c>
      <c r="O1162" s="54">
        <v>0</v>
      </c>
      <c r="P1162" s="54">
        <v>0</v>
      </c>
      <c r="Q1162" s="54">
        <v>10000</v>
      </c>
      <c r="R1162" s="54">
        <v>3595.46</v>
      </c>
      <c r="S1162" s="54">
        <v>6404.54</v>
      </c>
      <c r="T1162" s="54">
        <v>6404.54</v>
      </c>
      <c r="U1162" s="54">
        <v>3595.46</v>
      </c>
      <c r="V1162" s="54">
        <v>3595.46</v>
      </c>
      <c r="W1162" s="54">
        <v>0</v>
      </c>
    </row>
    <row r="1163" spans="1:23" outlineLevel="2" x14ac:dyDescent="0.2">
      <c r="A1163" s="21" t="s">
        <v>402</v>
      </c>
      <c r="B1163" s="21" t="s">
        <v>39</v>
      </c>
      <c r="C1163" s="21" t="s">
        <v>58</v>
      </c>
      <c r="D1163" s="21" t="s">
        <v>143</v>
      </c>
      <c r="E1163" s="21" t="s">
        <v>144</v>
      </c>
      <c r="F1163" s="21" t="s">
        <v>5</v>
      </c>
      <c r="G1163" s="21" t="s">
        <v>6</v>
      </c>
      <c r="H1163" s="21" t="s">
        <v>7</v>
      </c>
      <c r="I1163" s="21" t="s">
        <v>8</v>
      </c>
      <c r="J1163" s="21" t="s">
        <v>403</v>
      </c>
      <c r="K1163" s="21" t="s">
        <v>656</v>
      </c>
      <c r="L1163" s="21" t="s">
        <v>659</v>
      </c>
      <c r="M1163" s="21" t="s">
        <v>12</v>
      </c>
      <c r="N1163" s="54">
        <v>2500</v>
      </c>
      <c r="O1163" s="54">
        <v>4000</v>
      </c>
      <c r="P1163" s="54">
        <v>0</v>
      </c>
      <c r="Q1163" s="54">
        <v>6500</v>
      </c>
      <c r="R1163" s="54">
        <v>1487.7</v>
      </c>
      <c r="S1163" s="54">
        <v>3878.72</v>
      </c>
      <c r="T1163" s="54">
        <v>3878.72</v>
      </c>
      <c r="U1163" s="54">
        <v>2621.2800000000002</v>
      </c>
      <c r="V1163" s="54">
        <v>2621.2800000000002</v>
      </c>
      <c r="W1163" s="54">
        <v>1133.58</v>
      </c>
    </row>
    <row r="1164" spans="1:23" outlineLevel="2" x14ac:dyDescent="0.2">
      <c r="A1164" s="21" t="s">
        <v>402</v>
      </c>
      <c r="B1164" s="21" t="s">
        <v>31</v>
      </c>
      <c r="C1164" s="21" t="s">
        <v>79</v>
      </c>
      <c r="D1164" s="21" t="s">
        <v>80</v>
      </c>
      <c r="E1164" s="21" t="s">
        <v>81</v>
      </c>
      <c r="F1164" s="21" t="s">
        <v>5</v>
      </c>
      <c r="G1164" s="21" t="s">
        <v>6</v>
      </c>
      <c r="H1164" s="21" t="s">
        <v>7</v>
      </c>
      <c r="I1164" s="21" t="s">
        <v>8</v>
      </c>
      <c r="J1164" s="21" t="s">
        <v>403</v>
      </c>
      <c r="K1164" s="21" t="s">
        <v>656</v>
      </c>
      <c r="L1164" s="21" t="s">
        <v>662</v>
      </c>
      <c r="M1164" s="21" t="s">
        <v>12</v>
      </c>
      <c r="N1164" s="54">
        <v>500</v>
      </c>
      <c r="O1164" s="54">
        <v>500</v>
      </c>
      <c r="P1164" s="54">
        <v>0</v>
      </c>
      <c r="Q1164" s="54">
        <v>1000</v>
      </c>
      <c r="R1164" s="54">
        <v>0</v>
      </c>
      <c r="S1164" s="54">
        <v>0</v>
      </c>
      <c r="T1164" s="54">
        <v>0</v>
      </c>
      <c r="U1164" s="54">
        <v>1000</v>
      </c>
      <c r="V1164" s="54">
        <v>1000</v>
      </c>
      <c r="W1164" s="54">
        <v>1000</v>
      </c>
    </row>
    <row r="1165" spans="1:23" outlineLevel="2" x14ac:dyDescent="0.2">
      <c r="A1165" s="21" t="s">
        <v>402</v>
      </c>
      <c r="B1165" s="21" t="s">
        <v>39</v>
      </c>
      <c r="C1165" s="21" t="s">
        <v>58</v>
      </c>
      <c r="D1165" s="21" t="s">
        <v>149</v>
      </c>
      <c r="E1165" s="21" t="s">
        <v>150</v>
      </c>
      <c r="F1165" s="21" t="s">
        <v>5</v>
      </c>
      <c r="G1165" s="21" t="s">
        <v>6</v>
      </c>
      <c r="H1165" s="21" t="s">
        <v>7</v>
      </c>
      <c r="I1165" s="21" t="s">
        <v>8</v>
      </c>
      <c r="J1165" s="21" t="s">
        <v>403</v>
      </c>
      <c r="K1165" s="21" t="s">
        <v>656</v>
      </c>
      <c r="L1165" s="21" t="s">
        <v>659</v>
      </c>
      <c r="M1165" s="21" t="s">
        <v>12</v>
      </c>
      <c r="N1165" s="54">
        <v>6000</v>
      </c>
      <c r="O1165" s="54">
        <v>0</v>
      </c>
      <c r="P1165" s="54">
        <v>0</v>
      </c>
      <c r="Q1165" s="54">
        <v>6000</v>
      </c>
      <c r="R1165" s="54">
        <v>283.32</v>
      </c>
      <c r="S1165" s="54">
        <v>3858.88</v>
      </c>
      <c r="T1165" s="54">
        <v>3546.18</v>
      </c>
      <c r="U1165" s="54">
        <v>2141.12</v>
      </c>
      <c r="V1165" s="54">
        <v>2453.8200000000002</v>
      </c>
      <c r="W1165" s="54">
        <v>1857.8</v>
      </c>
    </row>
    <row r="1166" spans="1:23" outlineLevel="2" x14ac:dyDescent="0.2">
      <c r="A1166" s="21" t="s">
        <v>402</v>
      </c>
      <c r="B1166" s="21" t="s">
        <v>31</v>
      </c>
      <c r="C1166" s="21" t="s">
        <v>79</v>
      </c>
      <c r="D1166" s="21" t="s">
        <v>131</v>
      </c>
      <c r="E1166" s="21" t="s">
        <v>132</v>
      </c>
      <c r="F1166" s="21" t="s">
        <v>5</v>
      </c>
      <c r="G1166" s="21" t="s">
        <v>6</v>
      </c>
      <c r="H1166" s="21" t="s">
        <v>7</v>
      </c>
      <c r="I1166" s="21" t="s">
        <v>8</v>
      </c>
      <c r="J1166" s="21" t="s">
        <v>403</v>
      </c>
      <c r="K1166" s="21" t="s">
        <v>656</v>
      </c>
      <c r="L1166" s="21" t="s">
        <v>662</v>
      </c>
      <c r="M1166" s="21" t="s">
        <v>12</v>
      </c>
      <c r="N1166" s="54">
        <v>2800</v>
      </c>
      <c r="O1166" s="54">
        <v>0</v>
      </c>
      <c r="P1166" s="54">
        <v>0</v>
      </c>
      <c r="Q1166" s="54">
        <v>2800</v>
      </c>
      <c r="R1166" s="54">
        <v>962.71</v>
      </c>
      <c r="S1166" s="54">
        <v>1822.08</v>
      </c>
      <c r="T1166" s="54">
        <v>660.92</v>
      </c>
      <c r="U1166" s="54">
        <v>977.92</v>
      </c>
      <c r="V1166" s="54">
        <v>2139.08</v>
      </c>
      <c r="W1166" s="54">
        <v>15.21</v>
      </c>
    </row>
    <row r="1167" spans="1:23" outlineLevel="2" x14ac:dyDescent="0.2">
      <c r="A1167" s="21" t="s">
        <v>402</v>
      </c>
      <c r="B1167" s="21" t="s">
        <v>53</v>
      </c>
      <c r="C1167" s="21" t="s">
        <v>54</v>
      </c>
      <c r="D1167" s="21" t="s">
        <v>55</v>
      </c>
      <c r="E1167" s="21" t="s">
        <v>56</v>
      </c>
      <c r="F1167" s="21" t="s">
        <v>5</v>
      </c>
      <c r="G1167" s="21" t="s">
        <v>6</v>
      </c>
      <c r="H1167" s="21" t="s">
        <v>7</v>
      </c>
      <c r="I1167" s="21" t="s">
        <v>8</v>
      </c>
      <c r="J1167" s="21" t="s">
        <v>403</v>
      </c>
      <c r="K1167" s="21" t="s">
        <v>656</v>
      </c>
      <c r="L1167" s="21" t="s">
        <v>657</v>
      </c>
      <c r="M1167" s="21" t="s">
        <v>12</v>
      </c>
      <c r="N1167" s="54">
        <v>1000</v>
      </c>
      <c r="O1167" s="54">
        <v>0</v>
      </c>
      <c r="P1167" s="54">
        <v>0</v>
      </c>
      <c r="Q1167" s="54">
        <v>1000</v>
      </c>
      <c r="R1167" s="54">
        <v>0</v>
      </c>
      <c r="S1167" s="54">
        <v>0</v>
      </c>
      <c r="T1167" s="54">
        <v>0</v>
      </c>
      <c r="U1167" s="54">
        <v>1000</v>
      </c>
      <c r="V1167" s="54">
        <v>1000</v>
      </c>
      <c r="W1167" s="54">
        <v>1000</v>
      </c>
    </row>
    <row r="1168" spans="1:23" outlineLevel="2" x14ac:dyDescent="0.2">
      <c r="A1168" s="21" t="s">
        <v>402</v>
      </c>
      <c r="B1168" s="21" t="s">
        <v>39</v>
      </c>
      <c r="C1168" s="21" t="s">
        <v>58</v>
      </c>
      <c r="D1168" s="21" t="s">
        <v>145</v>
      </c>
      <c r="E1168" s="21" t="s">
        <v>146</v>
      </c>
      <c r="F1168" s="21" t="s">
        <v>5</v>
      </c>
      <c r="G1168" s="21" t="s">
        <v>6</v>
      </c>
      <c r="H1168" s="21" t="s">
        <v>7</v>
      </c>
      <c r="I1168" s="21" t="s">
        <v>8</v>
      </c>
      <c r="J1168" s="21" t="s">
        <v>403</v>
      </c>
      <c r="K1168" s="21" t="s">
        <v>656</v>
      </c>
      <c r="L1168" s="21" t="s">
        <v>659</v>
      </c>
      <c r="M1168" s="21" t="s">
        <v>12</v>
      </c>
      <c r="N1168" s="54">
        <v>2000</v>
      </c>
      <c r="O1168" s="54">
        <v>1910.1</v>
      </c>
      <c r="P1168" s="54">
        <v>0</v>
      </c>
      <c r="Q1168" s="54">
        <v>3910.1</v>
      </c>
      <c r="R1168" s="54">
        <v>0</v>
      </c>
      <c r="S1168" s="54">
        <v>2213.0100000000002</v>
      </c>
      <c r="T1168" s="54">
        <v>2213.0100000000002</v>
      </c>
      <c r="U1168" s="54">
        <v>1697.09</v>
      </c>
      <c r="V1168" s="54">
        <v>1697.09</v>
      </c>
      <c r="W1168" s="54">
        <v>1697.09</v>
      </c>
    </row>
    <row r="1169" spans="1:23" outlineLevel="2" x14ac:dyDescent="0.2">
      <c r="A1169" s="21" t="s">
        <v>402</v>
      </c>
      <c r="B1169" s="21" t="s">
        <v>39</v>
      </c>
      <c r="C1169" s="21" t="s">
        <v>70</v>
      </c>
      <c r="D1169" s="21" t="s">
        <v>89</v>
      </c>
      <c r="E1169" s="21" t="s">
        <v>90</v>
      </c>
      <c r="F1169" s="21" t="s">
        <v>5</v>
      </c>
      <c r="G1169" s="21" t="s">
        <v>6</v>
      </c>
      <c r="H1169" s="21" t="s">
        <v>7</v>
      </c>
      <c r="I1169" s="21" t="s">
        <v>8</v>
      </c>
      <c r="J1169" s="21" t="s">
        <v>403</v>
      </c>
      <c r="K1169" s="21" t="s">
        <v>656</v>
      </c>
      <c r="L1169" s="21" t="s">
        <v>660</v>
      </c>
      <c r="M1169" s="21" t="s">
        <v>12</v>
      </c>
      <c r="N1169" s="54">
        <v>13000</v>
      </c>
      <c r="O1169" s="54">
        <v>7000</v>
      </c>
      <c r="P1169" s="54">
        <v>0</v>
      </c>
      <c r="Q1169" s="54">
        <v>20000</v>
      </c>
      <c r="R1169" s="54">
        <v>0</v>
      </c>
      <c r="S1169" s="54">
        <v>7821.73</v>
      </c>
      <c r="T1169" s="54">
        <v>7687.89</v>
      </c>
      <c r="U1169" s="54">
        <v>12178.27</v>
      </c>
      <c r="V1169" s="54">
        <v>12312.11</v>
      </c>
      <c r="W1169" s="54">
        <v>12178.27</v>
      </c>
    </row>
    <row r="1170" spans="1:23" outlineLevel="2" x14ac:dyDescent="0.2">
      <c r="A1170" s="21" t="s">
        <v>402</v>
      </c>
      <c r="B1170" s="21" t="s">
        <v>1</v>
      </c>
      <c r="C1170" s="21" t="s">
        <v>2</v>
      </c>
      <c r="D1170" s="21" t="s">
        <v>410</v>
      </c>
      <c r="E1170" s="21" t="s">
        <v>411</v>
      </c>
      <c r="F1170" s="21" t="s">
        <v>5</v>
      </c>
      <c r="G1170" s="21" t="s">
        <v>6</v>
      </c>
      <c r="H1170" s="21" t="s">
        <v>7</v>
      </c>
      <c r="I1170" s="21" t="s">
        <v>8</v>
      </c>
      <c r="J1170" s="21" t="s">
        <v>403</v>
      </c>
      <c r="K1170" s="21" t="s">
        <v>656</v>
      </c>
      <c r="L1170" s="21" t="s">
        <v>658</v>
      </c>
      <c r="M1170" s="21" t="s">
        <v>15</v>
      </c>
      <c r="N1170" s="54">
        <v>150000</v>
      </c>
      <c r="O1170" s="54">
        <v>0</v>
      </c>
      <c r="P1170" s="54">
        <v>0</v>
      </c>
      <c r="Q1170" s="54">
        <v>150000</v>
      </c>
      <c r="R1170" s="54">
        <v>50509.24</v>
      </c>
      <c r="S1170" s="54">
        <v>6888</v>
      </c>
      <c r="T1170" s="54">
        <v>5423</v>
      </c>
      <c r="U1170" s="54">
        <v>143112</v>
      </c>
      <c r="V1170" s="54">
        <v>144577</v>
      </c>
      <c r="W1170" s="54">
        <v>92602.76</v>
      </c>
    </row>
    <row r="1171" spans="1:23" outlineLevel="2" x14ac:dyDescent="0.2">
      <c r="A1171" s="21" t="s">
        <v>402</v>
      </c>
      <c r="B1171" s="21" t="s">
        <v>31</v>
      </c>
      <c r="C1171" s="21" t="s">
        <v>79</v>
      </c>
      <c r="D1171" s="21" t="s">
        <v>115</v>
      </c>
      <c r="E1171" s="21" t="s">
        <v>116</v>
      </c>
      <c r="F1171" s="21" t="s">
        <v>5</v>
      </c>
      <c r="G1171" s="21" t="s">
        <v>6</v>
      </c>
      <c r="H1171" s="21" t="s">
        <v>7</v>
      </c>
      <c r="I1171" s="21" t="s">
        <v>8</v>
      </c>
      <c r="J1171" s="21" t="s">
        <v>403</v>
      </c>
      <c r="K1171" s="21" t="s">
        <v>656</v>
      </c>
      <c r="L1171" s="21" t="s">
        <v>662</v>
      </c>
      <c r="M1171" s="21" t="s">
        <v>12</v>
      </c>
      <c r="N1171" s="54">
        <v>3000</v>
      </c>
      <c r="O1171" s="54">
        <v>0</v>
      </c>
      <c r="P1171" s="54">
        <v>0</v>
      </c>
      <c r="Q1171" s="54">
        <v>3000</v>
      </c>
      <c r="R1171" s="54">
        <v>0</v>
      </c>
      <c r="S1171" s="54">
        <v>0</v>
      </c>
      <c r="T1171" s="54">
        <v>0</v>
      </c>
      <c r="U1171" s="54">
        <v>3000</v>
      </c>
      <c r="V1171" s="54">
        <v>3000</v>
      </c>
      <c r="W1171" s="54">
        <v>3000</v>
      </c>
    </row>
    <row r="1172" spans="1:23" outlineLevel="2" x14ac:dyDescent="0.2">
      <c r="A1172" s="21" t="s">
        <v>402</v>
      </c>
      <c r="B1172" s="21" t="s">
        <v>31</v>
      </c>
      <c r="C1172" s="21" t="s">
        <v>32</v>
      </c>
      <c r="D1172" s="21" t="s">
        <v>33</v>
      </c>
      <c r="E1172" s="21" t="s">
        <v>34</v>
      </c>
      <c r="F1172" s="21" t="s">
        <v>5</v>
      </c>
      <c r="G1172" s="21" t="s">
        <v>6</v>
      </c>
      <c r="H1172" s="21" t="s">
        <v>7</v>
      </c>
      <c r="I1172" s="21" t="s">
        <v>8</v>
      </c>
      <c r="J1172" s="21" t="s">
        <v>403</v>
      </c>
      <c r="K1172" s="21" t="s">
        <v>656</v>
      </c>
      <c r="L1172" s="21" t="s">
        <v>661</v>
      </c>
      <c r="M1172" s="21" t="s">
        <v>12</v>
      </c>
      <c r="N1172" s="54">
        <v>10000</v>
      </c>
      <c r="O1172" s="54">
        <v>0</v>
      </c>
      <c r="P1172" s="54">
        <v>0</v>
      </c>
      <c r="Q1172" s="54">
        <v>10000</v>
      </c>
      <c r="R1172" s="54">
        <v>8123.39</v>
      </c>
      <c r="S1172" s="54">
        <v>0</v>
      </c>
      <c r="T1172" s="54">
        <v>0</v>
      </c>
      <c r="U1172" s="54">
        <v>10000</v>
      </c>
      <c r="V1172" s="54">
        <v>10000</v>
      </c>
      <c r="W1172" s="54">
        <v>1876.61</v>
      </c>
    </row>
    <row r="1173" spans="1:23" outlineLevel="2" x14ac:dyDescent="0.2">
      <c r="A1173" s="21" t="s">
        <v>402</v>
      </c>
      <c r="B1173" s="21" t="s">
        <v>31</v>
      </c>
      <c r="C1173" s="21" t="s">
        <v>79</v>
      </c>
      <c r="D1173" s="21" t="s">
        <v>117</v>
      </c>
      <c r="E1173" s="21" t="s">
        <v>118</v>
      </c>
      <c r="F1173" s="21" t="s">
        <v>5</v>
      </c>
      <c r="G1173" s="21" t="s">
        <v>6</v>
      </c>
      <c r="H1173" s="21" t="s">
        <v>7</v>
      </c>
      <c r="I1173" s="21" t="s">
        <v>8</v>
      </c>
      <c r="J1173" s="21" t="s">
        <v>403</v>
      </c>
      <c r="K1173" s="21" t="s">
        <v>656</v>
      </c>
      <c r="L1173" s="21" t="s">
        <v>662</v>
      </c>
      <c r="M1173" s="21" t="s">
        <v>12</v>
      </c>
      <c r="N1173" s="54">
        <v>4000</v>
      </c>
      <c r="O1173" s="54">
        <v>0</v>
      </c>
      <c r="P1173" s="54">
        <v>0</v>
      </c>
      <c r="Q1173" s="54">
        <v>4000</v>
      </c>
      <c r="R1173" s="54">
        <v>0</v>
      </c>
      <c r="S1173" s="54">
        <v>0</v>
      </c>
      <c r="T1173" s="54">
        <v>0</v>
      </c>
      <c r="U1173" s="54">
        <v>4000</v>
      </c>
      <c r="V1173" s="54">
        <v>4000</v>
      </c>
      <c r="W1173" s="54">
        <v>4000</v>
      </c>
    </row>
    <row r="1174" spans="1:23" outlineLevel="2" x14ac:dyDescent="0.2">
      <c r="A1174" s="21" t="s">
        <v>402</v>
      </c>
      <c r="B1174" s="21" t="s">
        <v>39</v>
      </c>
      <c r="C1174" s="21" t="s">
        <v>58</v>
      </c>
      <c r="D1174" s="21" t="s">
        <v>137</v>
      </c>
      <c r="E1174" s="21" t="s">
        <v>138</v>
      </c>
      <c r="F1174" s="21" t="s">
        <v>5</v>
      </c>
      <c r="G1174" s="21" t="s">
        <v>6</v>
      </c>
      <c r="H1174" s="21" t="s">
        <v>7</v>
      </c>
      <c r="I1174" s="21" t="s">
        <v>8</v>
      </c>
      <c r="J1174" s="21" t="s">
        <v>403</v>
      </c>
      <c r="K1174" s="21" t="s">
        <v>656</v>
      </c>
      <c r="L1174" s="21" t="s">
        <v>659</v>
      </c>
      <c r="M1174" s="21" t="s">
        <v>12</v>
      </c>
      <c r="N1174" s="54">
        <v>2000</v>
      </c>
      <c r="O1174" s="54">
        <v>0</v>
      </c>
      <c r="P1174" s="54">
        <v>0</v>
      </c>
      <c r="Q1174" s="54">
        <v>2000</v>
      </c>
      <c r="R1174" s="54">
        <v>0</v>
      </c>
      <c r="S1174" s="54">
        <v>0</v>
      </c>
      <c r="T1174" s="54">
        <v>0</v>
      </c>
      <c r="U1174" s="54">
        <v>2000</v>
      </c>
      <c r="V1174" s="54">
        <v>2000</v>
      </c>
      <c r="W1174" s="54">
        <v>2000</v>
      </c>
    </row>
    <row r="1175" spans="1:23" outlineLevel="2" x14ac:dyDescent="0.2">
      <c r="A1175" s="21" t="s">
        <v>402</v>
      </c>
      <c r="B1175" s="21" t="s">
        <v>39</v>
      </c>
      <c r="C1175" s="21" t="s">
        <v>40</v>
      </c>
      <c r="D1175" s="21" t="s">
        <v>77</v>
      </c>
      <c r="E1175" s="21" t="s">
        <v>78</v>
      </c>
      <c r="F1175" s="21" t="s">
        <v>5</v>
      </c>
      <c r="G1175" s="21" t="s">
        <v>6</v>
      </c>
      <c r="H1175" s="21" t="s">
        <v>7</v>
      </c>
      <c r="I1175" s="21" t="s">
        <v>8</v>
      </c>
      <c r="J1175" s="21" t="s">
        <v>403</v>
      </c>
      <c r="K1175" s="21" t="s">
        <v>656</v>
      </c>
      <c r="L1175" s="21" t="s">
        <v>665</v>
      </c>
      <c r="M1175" s="21" t="s">
        <v>12</v>
      </c>
      <c r="N1175" s="54">
        <v>0</v>
      </c>
      <c r="O1175" s="54">
        <v>536</v>
      </c>
      <c r="P1175" s="54">
        <v>0</v>
      </c>
      <c r="Q1175" s="54">
        <v>536</v>
      </c>
      <c r="R1175" s="54">
        <v>0</v>
      </c>
      <c r="S1175" s="54">
        <v>200</v>
      </c>
      <c r="T1175" s="54">
        <v>100.52</v>
      </c>
      <c r="U1175" s="54">
        <v>336</v>
      </c>
      <c r="V1175" s="54">
        <v>435.48</v>
      </c>
      <c r="W1175" s="54">
        <v>336</v>
      </c>
    </row>
    <row r="1176" spans="1:23" outlineLevel="2" x14ac:dyDescent="0.2">
      <c r="A1176" s="21" t="s">
        <v>402</v>
      </c>
      <c r="B1176" s="21" t="s">
        <v>31</v>
      </c>
      <c r="C1176" s="21" t="s">
        <v>79</v>
      </c>
      <c r="D1176" s="21" t="s">
        <v>113</v>
      </c>
      <c r="E1176" s="21" t="s">
        <v>114</v>
      </c>
      <c r="F1176" s="21" t="s">
        <v>5</v>
      </c>
      <c r="G1176" s="21" t="s">
        <v>6</v>
      </c>
      <c r="H1176" s="21" t="s">
        <v>7</v>
      </c>
      <c r="I1176" s="21" t="s">
        <v>8</v>
      </c>
      <c r="J1176" s="21" t="s">
        <v>403</v>
      </c>
      <c r="K1176" s="21" t="s">
        <v>656</v>
      </c>
      <c r="L1176" s="21" t="s">
        <v>662</v>
      </c>
      <c r="M1176" s="21" t="s">
        <v>12</v>
      </c>
      <c r="N1176" s="54">
        <v>2000</v>
      </c>
      <c r="O1176" s="54">
        <v>0</v>
      </c>
      <c r="P1176" s="54">
        <v>0</v>
      </c>
      <c r="Q1176" s="54">
        <v>2000</v>
      </c>
      <c r="R1176" s="54">
        <v>384.93</v>
      </c>
      <c r="S1176" s="54">
        <v>1615.07</v>
      </c>
      <c r="T1176" s="54">
        <v>1456.93</v>
      </c>
      <c r="U1176" s="54">
        <v>384.93</v>
      </c>
      <c r="V1176" s="54">
        <v>543.07000000000005</v>
      </c>
      <c r="W1176" s="54">
        <v>0</v>
      </c>
    </row>
    <row r="1177" spans="1:23" outlineLevel="2" x14ac:dyDescent="0.2">
      <c r="A1177" s="21" t="s">
        <v>402</v>
      </c>
      <c r="B1177" s="21" t="s">
        <v>31</v>
      </c>
      <c r="C1177" s="21" t="s">
        <v>79</v>
      </c>
      <c r="D1177" s="21" t="s">
        <v>127</v>
      </c>
      <c r="E1177" s="21" t="s">
        <v>128</v>
      </c>
      <c r="F1177" s="21" t="s">
        <v>5</v>
      </c>
      <c r="G1177" s="21" t="s">
        <v>6</v>
      </c>
      <c r="H1177" s="21" t="s">
        <v>7</v>
      </c>
      <c r="I1177" s="21" t="s">
        <v>8</v>
      </c>
      <c r="J1177" s="21" t="s">
        <v>403</v>
      </c>
      <c r="K1177" s="21" t="s">
        <v>656</v>
      </c>
      <c r="L1177" s="21" t="s">
        <v>662</v>
      </c>
      <c r="M1177" s="21" t="s">
        <v>12</v>
      </c>
      <c r="N1177" s="54">
        <v>1000</v>
      </c>
      <c r="O1177" s="54">
        <v>-1000</v>
      </c>
      <c r="P1177" s="54">
        <v>0</v>
      </c>
      <c r="Q1177" s="54">
        <v>0</v>
      </c>
      <c r="R1177" s="54">
        <v>0</v>
      </c>
      <c r="S1177" s="54">
        <v>0</v>
      </c>
      <c r="T1177" s="54">
        <v>0</v>
      </c>
      <c r="U1177" s="54">
        <v>0</v>
      </c>
      <c r="V1177" s="54">
        <v>0</v>
      </c>
      <c r="W1177" s="54">
        <v>0</v>
      </c>
    </row>
    <row r="1178" spans="1:23" outlineLevel="2" x14ac:dyDescent="0.2">
      <c r="A1178" s="21" t="s">
        <v>402</v>
      </c>
      <c r="B1178" s="21" t="s">
        <v>31</v>
      </c>
      <c r="C1178" s="21" t="s">
        <v>79</v>
      </c>
      <c r="D1178" s="21" t="s">
        <v>111</v>
      </c>
      <c r="E1178" s="21" t="s">
        <v>112</v>
      </c>
      <c r="F1178" s="21" t="s">
        <v>5</v>
      </c>
      <c r="G1178" s="21" t="s">
        <v>6</v>
      </c>
      <c r="H1178" s="21" t="s">
        <v>7</v>
      </c>
      <c r="I1178" s="21" t="s">
        <v>8</v>
      </c>
      <c r="J1178" s="21" t="s">
        <v>403</v>
      </c>
      <c r="K1178" s="21" t="s">
        <v>656</v>
      </c>
      <c r="L1178" s="21" t="s">
        <v>662</v>
      </c>
      <c r="M1178" s="21" t="s">
        <v>12</v>
      </c>
      <c r="N1178" s="54">
        <v>4000</v>
      </c>
      <c r="O1178" s="54">
        <v>0</v>
      </c>
      <c r="P1178" s="54">
        <v>0</v>
      </c>
      <c r="Q1178" s="54">
        <v>4000</v>
      </c>
      <c r="R1178" s="54">
        <v>0</v>
      </c>
      <c r="S1178" s="54">
        <v>0</v>
      </c>
      <c r="T1178" s="54">
        <v>0</v>
      </c>
      <c r="U1178" s="54">
        <v>4000</v>
      </c>
      <c r="V1178" s="54">
        <v>4000</v>
      </c>
      <c r="W1178" s="54">
        <v>4000</v>
      </c>
    </row>
    <row r="1179" spans="1:23" outlineLevel="2" x14ac:dyDescent="0.2">
      <c r="A1179" s="21" t="s">
        <v>402</v>
      </c>
      <c r="B1179" s="21" t="s">
        <v>39</v>
      </c>
      <c r="C1179" s="21" t="s">
        <v>58</v>
      </c>
      <c r="D1179" s="21" t="s">
        <v>135</v>
      </c>
      <c r="E1179" s="21" t="s">
        <v>136</v>
      </c>
      <c r="F1179" s="21" t="s">
        <v>5</v>
      </c>
      <c r="G1179" s="21" t="s">
        <v>6</v>
      </c>
      <c r="H1179" s="21" t="s">
        <v>7</v>
      </c>
      <c r="I1179" s="21" t="s">
        <v>8</v>
      </c>
      <c r="J1179" s="21" t="s">
        <v>403</v>
      </c>
      <c r="K1179" s="21" t="s">
        <v>656</v>
      </c>
      <c r="L1179" s="21" t="s">
        <v>659</v>
      </c>
      <c r="M1179" s="21" t="s">
        <v>12</v>
      </c>
      <c r="N1179" s="54">
        <v>20000</v>
      </c>
      <c r="O1179" s="54">
        <v>-11626.32</v>
      </c>
      <c r="P1179" s="54">
        <v>0</v>
      </c>
      <c r="Q1179" s="54">
        <v>8373.68</v>
      </c>
      <c r="R1179" s="54">
        <v>0</v>
      </c>
      <c r="S1179" s="54">
        <v>0</v>
      </c>
      <c r="T1179" s="54">
        <v>0</v>
      </c>
      <c r="U1179" s="54">
        <v>8373.68</v>
      </c>
      <c r="V1179" s="54">
        <v>8373.68</v>
      </c>
      <c r="W1179" s="54">
        <v>8373.68</v>
      </c>
    </row>
    <row r="1180" spans="1:23" outlineLevel="2" x14ac:dyDescent="0.2">
      <c r="A1180" s="21" t="s">
        <v>402</v>
      </c>
      <c r="B1180" s="21" t="s">
        <v>31</v>
      </c>
      <c r="C1180" s="21" t="s">
        <v>32</v>
      </c>
      <c r="D1180" s="21" t="s">
        <v>75</v>
      </c>
      <c r="E1180" s="21" t="s">
        <v>76</v>
      </c>
      <c r="F1180" s="21" t="s">
        <v>5</v>
      </c>
      <c r="G1180" s="21" t="s">
        <v>6</v>
      </c>
      <c r="H1180" s="21" t="s">
        <v>7</v>
      </c>
      <c r="I1180" s="21" t="s">
        <v>8</v>
      </c>
      <c r="J1180" s="21" t="s">
        <v>403</v>
      </c>
      <c r="K1180" s="21" t="s">
        <v>656</v>
      </c>
      <c r="L1180" s="21" t="s">
        <v>661</v>
      </c>
      <c r="M1180" s="21" t="s">
        <v>12</v>
      </c>
      <c r="N1180" s="54">
        <v>6000</v>
      </c>
      <c r="O1180" s="54">
        <v>-1000</v>
      </c>
      <c r="P1180" s="54">
        <v>0</v>
      </c>
      <c r="Q1180" s="54">
        <v>5000</v>
      </c>
      <c r="R1180" s="54">
        <v>366.36</v>
      </c>
      <c r="S1180" s="54">
        <v>830.64</v>
      </c>
      <c r="T1180" s="54">
        <v>830.64</v>
      </c>
      <c r="U1180" s="54">
        <v>4169.3599999999997</v>
      </c>
      <c r="V1180" s="54">
        <v>4169.3599999999997</v>
      </c>
      <c r="W1180" s="54">
        <v>3803</v>
      </c>
    </row>
    <row r="1181" spans="1:23" outlineLevel="2" x14ac:dyDescent="0.2">
      <c r="A1181" s="21" t="s">
        <v>402</v>
      </c>
      <c r="B1181" s="21" t="s">
        <v>31</v>
      </c>
      <c r="C1181" s="21" t="s">
        <v>79</v>
      </c>
      <c r="D1181" s="21" t="s">
        <v>133</v>
      </c>
      <c r="E1181" s="21" t="s">
        <v>134</v>
      </c>
      <c r="F1181" s="21" t="s">
        <v>5</v>
      </c>
      <c r="G1181" s="21" t="s">
        <v>6</v>
      </c>
      <c r="H1181" s="21" t="s">
        <v>7</v>
      </c>
      <c r="I1181" s="21" t="s">
        <v>8</v>
      </c>
      <c r="J1181" s="21" t="s">
        <v>403</v>
      </c>
      <c r="K1181" s="21" t="s">
        <v>656</v>
      </c>
      <c r="L1181" s="21" t="s">
        <v>662</v>
      </c>
      <c r="M1181" s="21" t="s">
        <v>12</v>
      </c>
      <c r="N1181" s="54">
        <v>3000</v>
      </c>
      <c r="O1181" s="54">
        <v>0</v>
      </c>
      <c r="P1181" s="54">
        <v>0</v>
      </c>
      <c r="Q1181" s="54">
        <v>3000</v>
      </c>
      <c r="R1181" s="54">
        <v>1438.07</v>
      </c>
      <c r="S1181" s="54">
        <v>561.92999999999995</v>
      </c>
      <c r="T1181" s="54">
        <v>561.92999999999995</v>
      </c>
      <c r="U1181" s="54">
        <v>2438.0700000000002</v>
      </c>
      <c r="V1181" s="54">
        <v>2438.0700000000002</v>
      </c>
      <c r="W1181" s="54">
        <v>1000</v>
      </c>
    </row>
    <row r="1182" spans="1:23" outlineLevel="2" x14ac:dyDescent="0.2">
      <c r="A1182" s="21" t="s">
        <v>402</v>
      </c>
      <c r="B1182" s="21" t="s">
        <v>39</v>
      </c>
      <c r="C1182" s="21" t="s">
        <v>58</v>
      </c>
      <c r="D1182" s="21" t="s">
        <v>139</v>
      </c>
      <c r="E1182" s="21" t="s">
        <v>140</v>
      </c>
      <c r="F1182" s="21" t="s">
        <v>5</v>
      </c>
      <c r="G1182" s="21" t="s">
        <v>6</v>
      </c>
      <c r="H1182" s="21" t="s">
        <v>7</v>
      </c>
      <c r="I1182" s="21" t="s">
        <v>8</v>
      </c>
      <c r="J1182" s="21" t="s">
        <v>403</v>
      </c>
      <c r="K1182" s="21" t="s">
        <v>656</v>
      </c>
      <c r="L1182" s="21" t="s">
        <v>659</v>
      </c>
      <c r="M1182" s="21" t="s">
        <v>12</v>
      </c>
      <c r="N1182" s="54">
        <v>1000</v>
      </c>
      <c r="O1182" s="54">
        <v>0</v>
      </c>
      <c r="P1182" s="54">
        <v>0</v>
      </c>
      <c r="Q1182" s="54">
        <v>1000</v>
      </c>
      <c r="R1182" s="54">
        <v>0</v>
      </c>
      <c r="S1182" s="54">
        <v>0</v>
      </c>
      <c r="T1182" s="54">
        <v>0</v>
      </c>
      <c r="U1182" s="54">
        <v>1000</v>
      </c>
      <c r="V1182" s="54">
        <v>1000</v>
      </c>
      <c r="W1182" s="54">
        <v>1000</v>
      </c>
    </row>
    <row r="1183" spans="1:23" outlineLevel="2" x14ac:dyDescent="0.2">
      <c r="A1183" s="21" t="s">
        <v>402</v>
      </c>
      <c r="B1183" s="21" t="s">
        <v>1</v>
      </c>
      <c r="C1183" s="21" t="s">
        <v>91</v>
      </c>
      <c r="D1183" s="21" t="s">
        <v>92</v>
      </c>
      <c r="E1183" s="21" t="s">
        <v>93</v>
      </c>
      <c r="F1183" s="21" t="s">
        <v>5</v>
      </c>
      <c r="G1183" s="21" t="s">
        <v>6</v>
      </c>
      <c r="H1183" s="21" t="s">
        <v>7</v>
      </c>
      <c r="I1183" s="21" t="s">
        <v>8</v>
      </c>
      <c r="J1183" s="21" t="s">
        <v>403</v>
      </c>
      <c r="K1183" s="21" t="s">
        <v>656</v>
      </c>
      <c r="L1183" s="21" t="s">
        <v>664</v>
      </c>
      <c r="M1183" s="21" t="s">
        <v>15</v>
      </c>
      <c r="N1183" s="54">
        <v>35000</v>
      </c>
      <c r="O1183" s="54">
        <v>-8017.31</v>
      </c>
      <c r="P1183" s="54">
        <v>0</v>
      </c>
      <c r="Q1183" s="54">
        <v>26982.69</v>
      </c>
      <c r="R1183" s="54">
        <v>1571.86</v>
      </c>
      <c r="S1183" s="54">
        <v>5118.76</v>
      </c>
      <c r="T1183" s="54">
        <v>5068.76</v>
      </c>
      <c r="U1183" s="54">
        <v>21863.93</v>
      </c>
      <c r="V1183" s="54">
        <v>21913.93</v>
      </c>
      <c r="W1183" s="54">
        <v>20292.07</v>
      </c>
    </row>
    <row r="1184" spans="1:23" outlineLevel="2" x14ac:dyDescent="0.2">
      <c r="A1184" s="21" t="s">
        <v>402</v>
      </c>
      <c r="B1184" s="21" t="s">
        <v>39</v>
      </c>
      <c r="C1184" s="21" t="s">
        <v>66</v>
      </c>
      <c r="D1184" s="21" t="s">
        <v>67</v>
      </c>
      <c r="E1184" s="21" t="s">
        <v>68</v>
      </c>
      <c r="F1184" s="21" t="s">
        <v>5</v>
      </c>
      <c r="G1184" s="21" t="s">
        <v>6</v>
      </c>
      <c r="H1184" s="21" t="s">
        <v>7</v>
      </c>
      <c r="I1184" s="21" t="s">
        <v>8</v>
      </c>
      <c r="J1184" s="21" t="s">
        <v>403</v>
      </c>
      <c r="K1184" s="21" t="s">
        <v>656</v>
      </c>
      <c r="L1184" s="21" t="s">
        <v>666</v>
      </c>
      <c r="M1184" s="21" t="s">
        <v>12</v>
      </c>
      <c r="N1184" s="54">
        <v>1000</v>
      </c>
      <c r="O1184" s="54">
        <v>-1000</v>
      </c>
      <c r="P1184" s="54">
        <v>0</v>
      </c>
      <c r="Q1184" s="54">
        <v>0</v>
      </c>
      <c r="R1184" s="54">
        <v>0</v>
      </c>
      <c r="S1184" s="54">
        <v>0</v>
      </c>
      <c r="T1184" s="54">
        <v>0</v>
      </c>
      <c r="U1184" s="54">
        <v>0</v>
      </c>
      <c r="V1184" s="54">
        <v>0</v>
      </c>
      <c r="W1184" s="54">
        <v>0</v>
      </c>
    </row>
    <row r="1185" spans="1:23" outlineLevel="2" x14ac:dyDescent="0.2">
      <c r="A1185" s="21" t="s">
        <v>402</v>
      </c>
      <c r="B1185" s="21" t="s">
        <v>1</v>
      </c>
      <c r="C1185" s="21" t="s">
        <v>2</v>
      </c>
      <c r="D1185" s="21" t="s">
        <v>3</v>
      </c>
      <c r="E1185" s="21" t="s">
        <v>4</v>
      </c>
      <c r="F1185" s="21" t="s">
        <v>5</v>
      </c>
      <c r="G1185" s="21" t="s">
        <v>6</v>
      </c>
      <c r="H1185" s="21" t="s">
        <v>7</v>
      </c>
      <c r="I1185" s="21" t="s">
        <v>8</v>
      </c>
      <c r="J1185" s="21" t="s">
        <v>403</v>
      </c>
      <c r="K1185" s="21" t="s">
        <v>656</v>
      </c>
      <c r="L1185" s="21" t="s">
        <v>658</v>
      </c>
      <c r="M1185" s="21" t="s">
        <v>15</v>
      </c>
      <c r="N1185" s="54">
        <v>8000</v>
      </c>
      <c r="O1185" s="54">
        <v>-6261.15</v>
      </c>
      <c r="P1185" s="54">
        <v>0</v>
      </c>
      <c r="Q1185" s="54">
        <v>1738.85</v>
      </c>
      <c r="R1185" s="54">
        <v>0</v>
      </c>
      <c r="S1185" s="54">
        <v>38.85</v>
      </c>
      <c r="T1185" s="54">
        <v>38.85</v>
      </c>
      <c r="U1185" s="54">
        <v>1700</v>
      </c>
      <c r="V1185" s="54">
        <v>1700</v>
      </c>
      <c r="W1185" s="54">
        <v>1700</v>
      </c>
    </row>
    <row r="1186" spans="1:23" outlineLevel="2" x14ac:dyDescent="0.2">
      <c r="A1186" s="21" t="s">
        <v>402</v>
      </c>
      <c r="B1186" s="21" t="s">
        <v>1</v>
      </c>
      <c r="C1186" s="21" t="s">
        <v>16</v>
      </c>
      <c r="D1186" s="21" t="s">
        <v>62</v>
      </c>
      <c r="E1186" s="21" t="s">
        <v>63</v>
      </c>
      <c r="F1186" s="21" t="s">
        <v>5</v>
      </c>
      <c r="G1186" s="21" t="s">
        <v>6</v>
      </c>
      <c r="H1186" s="21" t="s">
        <v>7</v>
      </c>
      <c r="I1186" s="21" t="s">
        <v>8</v>
      </c>
      <c r="J1186" s="21" t="s">
        <v>403</v>
      </c>
      <c r="K1186" s="21" t="s">
        <v>656</v>
      </c>
      <c r="L1186" s="21" t="s">
        <v>663</v>
      </c>
      <c r="M1186" s="21" t="s">
        <v>15</v>
      </c>
      <c r="N1186" s="54">
        <v>200</v>
      </c>
      <c r="O1186" s="54">
        <v>0</v>
      </c>
      <c r="P1186" s="54">
        <v>0</v>
      </c>
      <c r="Q1186" s="54">
        <v>200</v>
      </c>
      <c r="R1186" s="54">
        <v>0</v>
      </c>
      <c r="S1186" s="54">
        <v>0</v>
      </c>
      <c r="T1186" s="54">
        <v>0</v>
      </c>
      <c r="U1186" s="54">
        <v>200</v>
      </c>
      <c r="V1186" s="54">
        <v>200</v>
      </c>
      <c r="W1186" s="54">
        <v>200</v>
      </c>
    </row>
    <row r="1187" spans="1:23" outlineLevel="2" x14ac:dyDescent="0.2">
      <c r="A1187" s="21" t="s">
        <v>402</v>
      </c>
      <c r="B1187" s="21" t="s">
        <v>39</v>
      </c>
      <c r="C1187" s="21" t="s">
        <v>58</v>
      </c>
      <c r="D1187" s="21" t="s">
        <v>129</v>
      </c>
      <c r="E1187" s="21" t="s">
        <v>130</v>
      </c>
      <c r="F1187" s="21" t="s">
        <v>5</v>
      </c>
      <c r="G1187" s="21" t="s">
        <v>6</v>
      </c>
      <c r="H1187" s="21" t="s">
        <v>7</v>
      </c>
      <c r="I1187" s="21" t="s">
        <v>8</v>
      </c>
      <c r="J1187" s="21" t="s">
        <v>403</v>
      </c>
      <c r="K1187" s="21" t="s">
        <v>656</v>
      </c>
      <c r="L1187" s="21" t="s">
        <v>659</v>
      </c>
      <c r="M1187" s="21" t="s">
        <v>12</v>
      </c>
      <c r="N1187" s="54">
        <v>800</v>
      </c>
      <c r="O1187" s="54">
        <v>0</v>
      </c>
      <c r="P1187" s="54">
        <v>0</v>
      </c>
      <c r="Q1187" s="54">
        <v>800</v>
      </c>
      <c r="R1187" s="54">
        <v>247.42</v>
      </c>
      <c r="S1187" s="54">
        <v>552.58000000000004</v>
      </c>
      <c r="T1187" s="54">
        <v>552.58000000000004</v>
      </c>
      <c r="U1187" s="54">
        <v>247.42</v>
      </c>
      <c r="V1187" s="54">
        <v>247.42</v>
      </c>
      <c r="W1187" s="54">
        <v>0</v>
      </c>
    </row>
    <row r="1188" spans="1:23" outlineLevel="2" x14ac:dyDescent="0.2">
      <c r="A1188" s="21" t="s">
        <v>402</v>
      </c>
      <c r="B1188" s="21" t="s">
        <v>39</v>
      </c>
      <c r="C1188" s="21" t="s">
        <v>58</v>
      </c>
      <c r="D1188" s="21" t="s">
        <v>59</v>
      </c>
      <c r="E1188" s="21" t="s">
        <v>60</v>
      </c>
      <c r="F1188" s="21" t="s">
        <v>5</v>
      </c>
      <c r="G1188" s="21" t="s">
        <v>6</v>
      </c>
      <c r="H1188" s="21" t="s">
        <v>7</v>
      </c>
      <c r="I1188" s="21" t="s">
        <v>8</v>
      </c>
      <c r="J1188" s="21" t="s">
        <v>403</v>
      </c>
      <c r="K1188" s="21" t="s">
        <v>656</v>
      </c>
      <c r="L1188" s="21" t="s">
        <v>659</v>
      </c>
      <c r="M1188" s="21" t="s">
        <v>12</v>
      </c>
      <c r="N1188" s="54">
        <v>3000</v>
      </c>
      <c r="O1188" s="54">
        <v>0</v>
      </c>
      <c r="P1188" s="54">
        <v>0</v>
      </c>
      <c r="Q1188" s="54">
        <v>3000</v>
      </c>
      <c r="R1188" s="54">
        <v>0</v>
      </c>
      <c r="S1188" s="54">
        <v>0</v>
      </c>
      <c r="T1188" s="54">
        <v>0</v>
      </c>
      <c r="U1188" s="54">
        <v>3000</v>
      </c>
      <c r="V1188" s="54">
        <v>3000</v>
      </c>
      <c r="W1188" s="54">
        <v>3000</v>
      </c>
    </row>
    <row r="1189" spans="1:23" outlineLevel="2" x14ac:dyDescent="0.2">
      <c r="A1189" s="21" t="s">
        <v>402</v>
      </c>
      <c r="B1189" s="21" t="s">
        <v>1</v>
      </c>
      <c r="C1189" s="21" t="s">
        <v>91</v>
      </c>
      <c r="D1189" s="21" t="s">
        <v>92</v>
      </c>
      <c r="E1189" s="21" t="s">
        <v>93</v>
      </c>
      <c r="F1189" s="21" t="s">
        <v>5</v>
      </c>
      <c r="G1189" s="21" t="s">
        <v>6</v>
      </c>
      <c r="H1189" s="21" t="s">
        <v>7</v>
      </c>
      <c r="I1189" s="21" t="s">
        <v>8</v>
      </c>
      <c r="J1189" s="21" t="s">
        <v>403</v>
      </c>
      <c r="K1189" s="21" t="s">
        <v>667</v>
      </c>
      <c r="L1189" s="21" t="s">
        <v>675</v>
      </c>
      <c r="M1189" s="21" t="s">
        <v>15</v>
      </c>
      <c r="N1189" s="54">
        <v>1500</v>
      </c>
      <c r="O1189" s="54">
        <v>3669.57</v>
      </c>
      <c r="P1189" s="54">
        <v>0</v>
      </c>
      <c r="Q1189" s="54">
        <v>5169.57</v>
      </c>
      <c r="R1189" s="54">
        <v>0</v>
      </c>
      <c r="S1189" s="54">
        <v>3638.87</v>
      </c>
      <c r="T1189" s="54">
        <v>3588.87</v>
      </c>
      <c r="U1189" s="54">
        <v>1530.7</v>
      </c>
      <c r="V1189" s="54">
        <v>1580.7</v>
      </c>
      <c r="W1189" s="54">
        <v>1530.7</v>
      </c>
    </row>
    <row r="1190" spans="1:23" outlineLevel="2" x14ac:dyDescent="0.2">
      <c r="A1190" s="21" t="s">
        <v>402</v>
      </c>
      <c r="B1190" s="21" t="s">
        <v>39</v>
      </c>
      <c r="C1190" s="21" t="s">
        <v>70</v>
      </c>
      <c r="D1190" s="21" t="s">
        <v>89</v>
      </c>
      <c r="E1190" s="21" t="s">
        <v>90</v>
      </c>
      <c r="F1190" s="21" t="s">
        <v>5</v>
      </c>
      <c r="G1190" s="21" t="s">
        <v>6</v>
      </c>
      <c r="H1190" s="21" t="s">
        <v>7</v>
      </c>
      <c r="I1190" s="21" t="s">
        <v>8</v>
      </c>
      <c r="J1190" s="21" t="s">
        <v>403</v>
      </c>
      <c r="K1190" s="21" t="s">
        <v>667</v>
      </c>
      <c r="L1190" s="21" t="s">
        <v>676</v>
      </c>
      <c r="M1190" s="21" t="s">
        <v>12</v>
      </c>
      <c r="N1190" s="54">
        <v>3500</v>
      </c>
      <c r="O1190" s="54">
        <v>34780.5</v>
      </c>
      <c r="P1190" s="54">
        <v>0</v>
      </c>
      <c r="Q1190" s="54">
        <v>38280.5</v>
      </c>
      <c r="R1190" s="54">
        <v>0</v>
      </c>
      <c r="S1190" s="54">
        <v>36630.839999999997</v>
      </c>
      <c r="T1190" s="54">
        <v>36630.839999999997</v>
      </c>
      <c r="U1190" s="54">
        <v>1649.66</v>
      </c>
      <c r="V1190" s="54">
        <v>1649.66</v>
      </c>
      <c r="W1190" s="54">
        <v>1649.66</v>
      </c>
    </row>
    <row r="1191" spans="1:23" outlineLevel="2" x14ac:dyDescent="0.2">
      <c r="A1191" s="21" t="s">
        <v>402</v>
      </c>
      <c r="B1191" s="21" t="s">
        <v>39</v>
      </c>
      <c r="C1191" s="21" t="s">
        <v>58</v>
      </c>
      <c r="D1191" s="21" t="s">
        <v>149</v>
      </c>
      <c r="E1191" s="21" t="s">
        <v>150</v>
      </c>
      <c r="F1191" s="21" t="s">
        <v>5</v>
      </c>
      <c r="G1191" s="21" t="s">
        <v>6</v>
      </c>
      <c r="H1191" s="21" t="s">
        <v>7</v>
      </c>
      <c r="I1191" s="21" t="s">
        <v>8</v>
      </c>
      <c r="J1191" s="21" t="s">
        <v>403</v>
      </c>
      <c r="K1191" s="21" t="s">
        <v>667</v>
      </c>
      <c r="L1191" s="21" t="s">
        <v>668</v>
      </c>
      <c r="M1191" s="21" t="s">
        <v>12</v>
      </c>
      <c r="N1191" s="54">
        <v>600</v>
      </c>
      <c r="O1191" s="54">
        <v>0</v>
      </c>
      <c r="P1191" s="54">
        <v>0</v>
      </c>
      <c r="Q1191" s="54">
        <v>600</v>
      </c>
      <c r="R1191" s="54">
        <v>50.98</v>
      </c>
      <c r="S1191" s="54">
        <v>383.2</v>
      </c>
      <c r="T1191" s="54">
        <v>371.87</v>
      </c>
      <c r="U1191" s="54">
        <v>216.8</v>
      </c>
      <c r="V1191" s="54">
        <v>228.13</v>
      </c>
      <c r="W1191" s="54">
        <v>165.82</v>
      </c>
    </row>
    <row r="1192" spans="1:23" outlineLevel="2" x14ac:dyDescent="0.2">
      <c r="A1192" s="21" t="s">
        <v>402</v>
      </c>
      <c r="B1192" s="21" t="s">
        <v>39</v>
      </c>
      <c r="C1192" s="21" t="s">
        <v>58</v>
      </c>
      <c r="D1192" s="21" t="s">
        <v>137</v>
      </c>
      <c r="E1192" s="21" t="s">
        <v>138</v>
      </c>
      <c r="F1192" s="21" t="s">
        <v>5</v>
      </c>
      <c r="G1192" s="21" t="s">
        <v>6</v>
      </c>
      <c r="H1192" s="21" t="s">
        <v>7</v>
      </c>
      <c r="I1192" s="21" t="s">
        <v>8</v>
      </c>
      <c r="J1192" s="21" t="s">
        <v>403</v>
      </c>
      <c r="K1192" s="21" t="s">
        <v>667</v>
      </c>
      <c r="L1192" s="21" t="s">
        <v>668</v>
      </c>
      <c r="M1192" s="21" t="s">
        <v>12</v>
      </c>
      <c r="N1192" s="54">
        <v>1000</v>
      </c>
      <c r="O1192" s="54">
        <v>0</v>
      </c>
      <c r="P1192" s="54">
        <v>0</v>
      </c>
      <c r="Q1192" s="54">
        <v>1000</v>
      </c>
      <c r="R1192" s="54">
        <v>1.2</v>
      </c>
      <c r="S1192" s="54">
        <v>268.8</v>
      </c>
      <c r="T1192" s="54">
        <v>0</v>
      </c>
      <c r="U1192" s="54">
        <v>731.2</v>
      </c>
      <c r="V1192" s="54">
        <v>1000</v>
      </c>
      <c r="W1192" s="54">
        <v>730</v>
      </c>
    </row>
    <row r="1193" spans="1:23" outlineLevel="2" x14ac:dyDescent="0.2">
      <c r="A1193" s="21" t="s">
        <v>402</v>
      </c>
      <c r="B1193" s="21" t="s">
        <v>53</v>
      </c>
      <c r="C1193" s="21" t="s">
        <v>54</v>
      </c>
      <c r="D1193" s="21" t="s">
        <v>55</v>
      </c>
      <c r="E1193" s="21" t="s">
        <v>56</v>
      </c>
      <c r="F1193" s="21" t="s">
        <v>5</v>
      </c>
      <c r="G1193" s="21" t="s">
        <v>6</v>
      </c>
      <c r="H1193" s="21" t="s">
        <v>7</v>
      </c>
      <c r="I1193" s="21" t="s">
        <v>8</v>
      </c>
      <c r="J1193" s="21" t="s">
        <v>403</v>
      </c>
      <c r="K1193" s="21" t="s">
        <v>667</v>
      </c>
      <c r="L1193" s="21" t="s">
        <v>669</v>
      </c>
      <c r="M1193" s="21" t="s">
        <v>12</v>
      </c>
      <c r="N1193" s="54">
        <v>1000</v>
      </c>
      <c r="O1193" s="54">
        <v>6500</v>
      </c>
      <c r="P1193" s="54">
        <v>0</v>
      </c>
      <c r="Q1193" s="54">
        <v>7500</v>
      </c>
      <c r="R1193" s="54">
        <v>1466.19</v>
      </c>
      <c r="S1193" s="54">
        <v>1722.11</v>
      </c>
      <c r="T1193" s="54">
        <v>1722.11</v>
      </c>
      <c r="U1193" s="54">
        <v>5777.89</v>
      </c>
      <c r="V1193" s="54">
        <v>5777.89</v>
      </c>
      <c r="W1193" s="54">
        <v>4311.7</v>
      </c>
    </row>
    <row r="1194" spans="1:23" outlineLevel="2" x14ac:dyDescent="0.2">
      <c r="A1194" s="21" t="s">
        <v>402</v>
      </c>
      <c r="B1194" s="21" t="s">
        <v>39</v>
      </c>
      <c r="C1194" s="21" t="s">
        <v>58</v>
      </c>
      <c r="D1194" s="21" t="s">
        <v>135</v>
      </c>
      <c r="E1194" s="21" t="s">
        <v>136</v>
      </c>
      <c r="F1194" s="21" t="s">
        <v>5</v>
      </c>
      <c r="G1194" s="21" t="s">
        <v>6</v>
      </c>
      <c r="H1194" s="21" t="s">
        <v>7</v>
      </c>
      <c r="I1194" s="21" t="s">
        <v>8</v>
      </c>
      <c r="J1194" s="21" t="s">
        <v>403</v>
      </c>
      <c r="K1194" s="21" t="s">
        <v>667</v>
      </c>
      <c r="L1194" s="21" t="s">
        <v>668</v>
      </c>
      <c r="M1194" s="21" t="s">
        <v>12</v>
      </c>
      <c r="N1194" s="54">
        <v>13000</v>
      </c>
      <c r="O1194" s="54">
        <v>3136</v>
      </c>
      <c r="P1194" s="54">
        <v>0</v>
      </c>
      <c r="Q1194" s="54">
        <v>16136</v>
      </c>
      <c r="R1194" s="54">
        <v>837.76</v>
      </c>
      <c r="S1194" s="54">
        <v>4167.62</v>
      </c>
      <c r="T1194" s="54">
        <v>4067.63</v>
      </c>
      <c r="U1194" s="54">
        <v>11968.38</v>
      </c>
      <c r="V1194" s="54">
        <v>12068.37</v>
      </c>
      <c r="W1194" s="54">
        <v>11130.62</v>
      </c>
    </row>
    <row r="1195" spans="1:23" outlineLevel="2" x14ac:dyDescent="0.2">
      <c r="A1195" s="21" t="s">
        <v>402</v>
      </c>
      <c r="B1195" s="21" t="s">
        <v>39</v>
      </c>
      <c r="C1195" s="21" t="s">
        <v>58</v>
      </c>
      <c r="D1195" s="21" t="s">
        <v>139</v>
      </c>
      <c r="E1195" s="21" t="s">
        <v>140</v>
      </c>
      <c r="F1195" s="21" t="s">
        <v>5</v>
      </c>
      <c r="G1195" s="21" t="s">
        <v>6</v>
      </c>
      <c r="H1195" s="21" t="s">
        <v>7</v>
      </c>
      <c r="I1195" s="21" t="s">
        <v>8</v>
      </c>
      <c r="J1195" s="21" t="s">
        <v>403</v>
      </c>
      <c r="K1195" s="21" t="s">
        <v>667</v>
      </c>
      <c r="L1195" s="21" t="s">
        <v>668</v>
      </c>
      <c r="M1195" s="21" t="s">
        <v>12</v>
      </c>
      <c r="N1195" s="54">
        <v>1000</v>
      </c>
      <c r="O1195" s="54">
        <v>0</v>
      </c>
      <c r="P1195" s="54">
        <v>0</v>
      </c>
      <c r="Q1195" s="54">
        <v>1000</v>
      </c>
      <c r="R1195" s="54">
        <v>0</v>
      </c>
      <c r="S1195" s="54">
        <v>0</v>
      </c>
      <c r="T1195" s="54">
        <v>0</v>
      </c>
      <c r="U1195" s="54">
        <v>1000</v>
      </c>
      <c r="V1195" s="54">
        <v>1000</v>
      </c>
      <c r="W1195" s="54">
        <v>1000</v>
      </c>
    </row>
    <row r="1196" spans="1:23" outlineLevel="2" x14ac:dyDescent="0.2">
      <c r="A1196" s="21" t="s">
        <v>402</v>
      </c>
      <c r="B1196" s="21" t="s">
        <v>1</v>
      </c>
      <c r="C1196" s="21" t="s">
        <v>2</v>
      </c>
      <c r="D1196" s="21" t="s">
        <v>3</v>
      </c>
      <c r="E1196" s="21" t="s">
        <v>4</v>
      </c>
      <c r="F1196" s="21" t="s">
        <v>5</v>
      </c>
      <c r="G1196" s="21" t="s">
        <v>6</v>
      </c>
      <c r="H1196" s="21" t="s">
        <v>7</v>
      </c>
      <c r="I1196" s="21" t="s">
        <v>8</v>
      </c>
      <c r="J1196" s="21" t="s">
        <v>403</v>
      </c>
      <c r="K1196" s="21" t="s">
        <v>667</v>
      </c>
      <c r="L1196" s="21" t="s">
        <v>671</v>
      </c>
      <c r="M1196" s="21" t="s">
        <v>15</v>
      </c>
      <c r="N1196" s="54">
        <v>850</v>
      </c>
      <c r="O1196" s="54">
        <v>1523.07</v>
      </c>
      <c r="P1196" s="54">
        <v>0</v>
      </c>
      <c r="Q1196" s="54">
        <v>2373.0700000000002</v>
      </c>
      <c r="R1196" s="54">
        <v>97.66</v>
      </c>
      <c r="S1196" s="54">
        <v>1988.38</v>
      </c>
      <c r="T1196" s="54">
        <v>1988.38</v>
      </c>
      <c r="U1196" s="54">
        <v>384.69</v>
      </c>
      <c r="V1196" s="54">
        <v>384.69</v>
      </c>
      <c r="W1196" s="54">
        <v>287.02999999999997</v>
      </c>
    </row>
    <row r="1197" spans="1:23" outlineLevel="2" x14ac:dyDescent="0.2">
      <c r="A1197" s="21" t="s">
        <v>402</v>
      </c>
      <c r="B1197" s="21" t="s">
        <v>39</v>
      </c>
      <c r="C1197" s="21" t="s">
        <v>58</v>
      </c>
      <c r="D1197" s="21" t="s">
        <v>143</v>
      </c>
      <c r="E1197" s="21" t="s">
        <v>144</v>
      </c>
      <c r="F1197" s="21" t="s">
        <v>5</v>
      </c>
      <c r="G1197" s="21" t="s">
        <v>6</v>
      </c>
      <c r="H1197" s="21" t="s">
        <v>7</v>
      </c>
      <c r="I1197" s="21" t="s">
        <v>8</v>
      </c>
      <c r="J1197" s="21" t="s">
        <v>403</v>
      </c>
      <c r="K1197" s="21" t="s">
        <v>667</v>
      </c>
      <c r="L1197" s="21" t="s">
        <v>668</v>
      </c>
      <c r="M1197" s="21" t="s">
        <v>12</v>
      </c>
      <c r="N1197" s="54">
        <v>0</v>
      </c>
      <c r="O1197" s="54">
        <v>1000</v>
      </c>
      <c r="P1197" s="54">
        <v>0</v>
      </c>
      <c r="Q1197" s="54">
        <v>1000</v>
      </c>
      <c r="R1197" s="54">
        <v>144.58000000000001</v>
      </c>
      <c r="S1197" s="54">
        <v>711.81</v>
      </c>
      <c r="T1197" s="54">
        <v>711.81</v>
      </c>
      <c r="U1197" s="54">
        <v>288.19</v>
      </c>
      <c r="V1197" s="54">
        <v>288.19</v>
      </c>
      <c r="W1197" s="54">
        <v>143.61000000000001</v>
      </c>
    </row>
    <row r="1198" spans="1:23" outlineLevel="2" x14ac:dyDescent="0.2">
      <c r="A1198" s="21" t="s">
        <v>402</v>
      </c>
      <c r="B1198" s="21" t="s">
        <v>31</v>
      </c>
      <c r="C1198" s="21" t="s">
        <v>79</v>
      </c>
      <c r="D1198" s="21" t="s">
        <v>117</v>
      </c>
      <c r="E1198" s="21" t="s">
        <v>118</v>
      </c>
      <c r="F1198" s="21" t="s">
        <v>5</v>
      </c>
      <c r="G1198" s="21" t="s">
        <v>6</v>
      </c>
      <c r="H1198" s="21" t="s">
        <v>7</v>
      </c>
      <c r="I1198" s="21" t="s">
        <v>8</v>
      </c>
      <c r="J1198" s="21" t="s">
        <v>403</v>
      </c>
      <c r="K1198" s="21" t="s">
        <v>667</v>
      </c>
      <c r="L1198" s="21" t="s">
        <v>672</v>
      </c>
      <c r="M1198" s="21" t="s">
        <v>12</v>
      </c>
      <c r="N1198" s="54">
        <v>1000</v>
      </c>
      <c r="O1198" s="54">
        <v>6000</v>
      </c>
      <c r="P1198" s="54">
        <v>0</v>
      </c>
      <c r="Q1198" s="54">
        <v>7000</v>
      </c>
      <c r="R1198" s="54">
        <v>0</v>
      </c>
      <c r="S1198" s="54">
        <v>0</v>
      </c>
      <c r="T1198" s="54">
        <v>0</v>
      </c>
      <c r="U1198" s="54">
        <v>7000</v>
      </c>
      <c r="V1198" s="54">
        <v>7000</v>
      </c>
      <c r="W1198" s="54">
        <v>7000</v>
      </c>
    </row>
    <row r="1199" spans="1:23" outlineLevel="2" x14ac:dyDescent="0.2">
      <c r="A1199" s="21" t="s">
        <v>402</v>
      </c>
      <c r="B1199" s="21" t="s">
        <v>31</v>
      </c>
      <c r="C1199" s="21" t="s">
        <v>79</v>
      </c>
      <c r="D1199" s="21" t="s">
        <v>113</v>
      </c>
      <c r="E1199" s="21" t="s">
        <v>114</v>
      </c>
      <c r="F1199" s="21" t="s">
        <v>5</v>
      </c>
      <c r="G1199" s="21" t="s">
        <v>6</v>
      </c>
      <c r="H1199" s="21" t="s">
        <v>7</v>
      </c>
      <c r="I1199" s="21" t="s">
        <v>8</v>
      </c>
      <c r="J1199" s="21" t="s">
        <v>403</v>
      </c>
      <c r="K1199" s="21" t="s">
        <v>667</v>
      </c>
      <c r="L1199" s="21" t="s">
        <v>672</v>
      </c>
      <c r="M1199" s="21" t="s">
        <v>12</v>
      </c>
      <c r="N1199" s="54">
        <v>0</v>
      </c>
      <c r="O1199" s="54">
        <v>750</v>
      </c>
      <c r="P1199" s="54">
        <v>0</v>
      </c>
      <c r="Q1199" s="54">
        <v>750</v>
      </c>
      <c r="R1199" s="54">
        <v>707.44</v>
      </c>
      <c r="S1199" s="54">
        <v>42.56</v>
      </c>
      <c r="T1199" s="54">
        <v>42.56</v>
      </c>
      <c r="U1199" s="54">
        <v>707.44</v>
      </c>
      <c r="V1199" s="54">
        <v>707.44</v>
      </c>
      <c r="W1199" s="54">
        <v>0</v>
      </c>
    </row>
    <row r="1200" spans="1:23" outlineLevel="2" x14ac:dyDescent="0.2">
      <c r="A1200" s="21" t="s">
        <v>402</v>
      </c>
      <c r="B1200" s="21" t="s">
        <v>39</v>
      </c>
      <c r="C1200" s="21" t="s">
        <v>58</v>
      </c>
      <c r="D1200" s="21" t="s">
        <v>129</v>
      </c>
      <c r="E1200" s="21" t="s">
        <v>130</v>
      </c>
      <c r="F1200" s="21" t="s">
        <v>5</v>
      </c>
      <c r="G1200" s="21" t="s">
        <v>6</v>
      </c>
      <c r="H1200" s="21" t="s">
        <v>7</v>
      </c>
      <c r="I1200" s="21" t="s">
        <v>8</v>
      </c>
      <c r="J1200" s="21" t="s">
        <v>403</v>
      </c>
      <c r="K1200" s="21" t="s">
        <v>667</v>
      </c>
      <c r="L1200" s="21" t="s">
        <v>668</v>
      </c>
      <c r="M1200" s="21" t="s">
        <v>12</v>
      </c>
      <c r="N1200" s="54">
        <v>400</v>
      </c>
      <c r="O1200" s="54">
        <v>0</v>
      </c>
      <c r="P1200" s="54">
        <v>0</v>
      </c>
      <c r="Q1200" s="54">
        <v>400</v>
      </c>
      <c r="R1200" s="54">
        <v>202.03</v>
      </c>
      <c r="S1200" s="54">
        <v>197.97</v>
      </c>
      <c r="T1200" s="54">
        <v>197.97</v>
      </c>
      <c r="U1200" s="54">
        <v>202.03</v>
      </c>
      <c r="V1200" s="54">
        <v>202.03</v>
      </c>
      <c r="W1200" s="54">
        <v>0</v>
      </c>
    </row>
    <row r="1201" spans="1:23" outlineLevel="2" x14ac:dyDescent="0.2">
      <c r="A1201" s="21" t="s">
        <v>402</v>
      </c>
      <c r="B1201" s="21" t="s">
        <v>31</v>
      </c>
      <c r="C1201" s="21" t="s">
        <v>79</v>
      </c>
      <c r="D1201" s="21" t="s">
        <v>133</v>
      </c>
      <c r="E1201" s="21" t="s">
        <v>134</v>
      </c>
      <c r="F1201" s="21" t="s">
        <v>5</v>
      </c>
      <c r="G1201" s="21" t="s">
        <v>6</v>
      </c>
      <c r="H1201" s="21" t="s">
        <v>7</v>
      </c>
      <c r="I1201" s="21" t="s">
        <v>8</v>
      </c>
      <c r="J1201" s="21" t="s">
        <v>403</v>
      </c>
      <c r="K1201" s="21" t="s">
        <v>667</v>
      </c>
      <c r="L1201" s="21" t="s">
        <v>672</v>
      </c>
      <c r="M1201" s="21" t="s">
        <v>12</v>
      </c>
      <c r="N1201" s="54">
        <v>300</v>
      </c>
      <c r="O1201" s="54">
        <v>0</v>
      </c>
      <c r="P1201" s="54">
        <v>0</v>
      </c>
      <c r="Q1201" s="54">
        <v>300</v>
      </c>
      <c r="R1201" s="54">
        <v>200</v>
      </c>
      <c r="S1201" s="54">
        <v>0</v>
      </c>
      <c r="T1201" s="54">
        <v>0</v>
      </c>
      <c r="U1201" s="54">
        <v>300</v>
      </c>
      <c r="V1201" s="54">
        <v>300</v>
      </c>
      <c r="W1201" s="54">
        <v>100</v>
      </c>
    </row>
    <row r="1202" spans="1:23" outlineLevel="2" x14ac:dyDescent="0.2">
      <c r="A1202" s="21" t="s">
        <v>402</v>
      </c>
      <c r="B1202" s="21" t="s">
        <v>39</v>
      </c>
      <c r="C1202" s="21" t="s">
        <v>58</v>
      </c>
      <c r="D1202" s="21" t="s">
        <v>59</v>
      </c>
      <c r="E1202" s="21" t="s">
        <v>60</v>
      </c>
      <c r="F1202" s="21" t="s">
        <v>5</v>
      </c>
      <c r="G1202" s="21" t="s">
        <v>6</v>
      </c>
      <c r="H1202" s="21" t="s">
        <v>7</v>
      </c>
      <c r="I1202" s="21" t="s">
        <v>8</v>
      </c>
      <c r="J1202" s="21" t="s">
        <v>403</v>
      </c>
      <c r="K1202" s="21" t="s">
        <v>667</v>
      </c>
      <c r="L1202" s="21" t="s">
        <v>668</v>
      </c>
      <c r="M1202" s="21" t="s">
        <v>12</v>
      </c>
      <c r="N1202" s="54">
        <v>0</v>
      </c>
      <c r="O1202" s="54">
        <v>2500</v>
      </c>
      <c r="P1202" s="54">
        <v>0</v>
      </c>
      <c r="Q1202" s="54">
        <v>2500</v>
      </c>
      <c r="R1202" s="54">
        <v>0</v>
      </c>
      <c r="S1202" s="54">
        <v>1279.3800000000001</v>
      </c>
      <c r="T1202" s="54">
        <v>1279.3800000000001</v>
      </c>
      <c r="U1202" s="54">
        <v>1220.6199999999999</v>
      </c>
      <c r="V1202" s="54">
        <v>1220.6199999999999</v>
      </c>
      <c r="W1202" s="54">
        <v>1220.6199999999999</v>
      </c>
    </row>
    <row r="1203" spans="1:23" outlineLevel="2" x14ac:dyDescent="0.2">
      <c r="A1203" s="21" t="s">
        <v>402</v>
      </c>
      <c r="B1203" s="21" t="s">
        <v>39</v>
      </c>
      <c r="C1203" s="21" t="s">
        <v>66</v>
      </c>
      <c r="D1203" s="21" t="s">
        <v>67</v>
      </c>
      <c r="E1203" s="21" t="s">
        <v>68</v>
      </c>
      <c r="F1203" s="21" t="s">
        <v>5</v>
      </c>
      <c r="G1203" s="21" t="s">
        <v>6</v>
      </c>
      <c r="H1203" s="21" t="s">
        <v>7</v>
      </c>
      <c r="I1203" s="21" t="s">
        <v>8</v>
      </c>
      <c r="J1203" s="21" t="s">
        <v>403</v>
      </c>
      <c r="K1203" s="21" t="s">
        <v>667</v>
      </c>
      <c r="L1203" s="21" t="s">
        <v>673</v>
      </c>
      <c r="M1203" s="21" t="s">
        <v>12</v>
      </c>
      <c r="N1203" s="54">
        <v>200</v>
      </c>
      <c r="O1203" s="54">
        <v>-200</v>
      </c>
      <c r="P1203" s="54">
        <v>0</v>
      </c>
      <c r="Q1203" s="54">
        <v>0</v>
      </c>
      <c r="R1203" s="54">
        <v>0</v>
      </c>
      <c r="S1203" s="54">
        <v>0</v>
      </c>
      <c r="T1203" s="54">
        <v>0</v>
      </c>
      <c r="U1203" s="54">
        <v>0</v>
      </c>
      <c r="V1203" s="54">
        <v>0</v>
      </c>
      <c r="W1203" s="54">
        <v>0</v>
      </c>
    </row>
    <row r="1204" spans="1:23" outlineLevel="2" x14ac:dyDescent="0.2">
      <c r="A1204" s="21" t="s">
        <v>402</v>
      </c>
      <c r="B1204" s="21" t="s">
        <v>31</v>
      </c>
      <c r="C1204" s="21" t="s">
        <v>79</v>
      </c>
      <c r="D1204" s="21" t="s">
        <v>111</v>
      </c>
      <c r="E1204" s="21" t="s">
        <v>112</v>
      </c>
      <c r="F1204" s="21" t="s">
        <v>5</v>
      </c>
      <c r="G1204" s="21" t="s">
        <v>6</v>
      </c>
      <c r="H1204" s="21" t="s">
        <v>7</v>
      </c>
      <c r="I1204" s="21" t="s">
        <v>8</v>
      </c>
      <c r="J1204" s="21" t="s">
        <v>403</v>
      </c>
      <c r="K1204" s="21" t="s">
        <v>667</v>
      </c>
      <c r="L1204" s="21" t="s">
        <v>672</v>
      </c>
      <c r="M1204" s="21" t="s">
        <v>12</v>
      </c>
      <c r="N1204" s="54">
        <v>2555.84</v>
      </c>
      <c r="O1204" s="54">
        <v>0</v>
      </c>
      <c r="P1204" s="54">
        <v>0</v>
      </c>
      <c r="Q1204" s="54">
        <v>2555.84</v>
      </c>
      <c r="R1204" s="54">
        <v>0</v>
      </c>
      <c r="S1204" s="54">
        <v>0</v>
      </c>
      <c r="T1204" s="54">
        <v>0</v>
      </c>
      <c r="U1204" s="54">
        <v>2555.84</v>
      </c>
      <c r="V1204" s="54">
        <v>2555.84</v>
      </c>
      <c r="W1204" s="54">
        <v>2555.84</v>
      </c>
    </row>
    <row r="1205" spans="1:23" outlineLevel="2" x14ac:dyDescent="0.2">
      <c r="A1205" s="21" t="s">
        <v>402</v>
      </c>
      <c r="B1205" s="21" t="s">
        <v>31</v>
      </c>
      <c r="C1205" s="21" t="s">
        <v>32</v>
      </c>
      <c r="D1205" s="21" t="s">
        <v>33</v>
      </c>
      <c r="E1205" s="21" t="s">
        <v>34</v>
      </c>
      <c r="F1205" s="21" t="s">
        <v>5</v>
      </c>
      <c r="G1205" s="21" t="s">
        <v>6</v>
      </c>
      <c r="H1205" s="21" t="s">
        <v>7</v>
      </c>
      <c r="I1205" s="21" t="s">
        <v>8</v>
      </c>
      <c r="J1205" s="21" t="s">
        <v>403</v>
      </c>
      <c r="K1205" s="21" t="s">
        <v>667</v>
      </c>
      <c r="L1205" s="21" t="s">
        <v>670</v>
      </c>
      <c r="M1205" s="21" t="s">
        <v>12</v>
      </c>
      <c r="N1205" s="54">
        <v>30000</v>
      </c>
      <c r="O1205" s="54">
        <v>-11000</v>
      </c>
      <c r="P1205" s="54">
        <v>0</v>
      </c>
      <c r="Q1205" s="54">
        <v>19000</v>
      </c>
      <c r="R1205" s="54">
        <v>0</v>
      </c>
      <c r="S1205" s="54">
        <v>4129.7700000000004</v>
      </c>
      <c r="T1205" s="54">
        <v>3471.86</v>
      </c>
      <c r="U1205" s="54">
        <v>14870.23</v>
      </c>
      <c r="V1205" s="54">
        <v>15528.14</v>
      </c>
      <c r="W1205" s="54">
        <v>14870.23</v>
      </c>
    </row>
    <row r="1206" spans="1:23" outlineLevel="2" x14ac:dyDescent="0.2">
      <c r="A1206" s="21" t="s">
        <v>402</v>
      </c>
      <c r="B1206" s="21" t="s">
        <v>1</v>
      </c>
      <c r="C1206" s="21" t="s">
        <v>2</v>
      </c>
      <c r="D1206" s="21" t="s">
        <v>410</v>
      </c>
      <c r="E1206" s="21" t="s">
        <v>411</v>
      </c>
      <c r="F1206" s="21" t="s">
        <v>5</v>
      </c>
      <c r="G1206" s="21" t="s">
        <v>6</v>
      </c>
      <c r="H1206" s="21" t="s">
        <v>7</v>
      </c>
      <c r="I1206" s="21" t="s">
        <v>8</v>
      </c>
      <c r="J1206" s="21" t="s">
        <v>403</v>
      </c>
      <c r="K1206" s="21" t="s">
        <v>667</v>
      </c>
      <c r="L1206" s="21" t="s">
        <v>671</v>
      </c>
      <c r="M1206" s="21" t="s">
        <v>15</v>
      </c>
      <c r="N1206" s="54">
        <v>14000</v>
      </c>
      <c r="O1206" s="54">
        <v>-5264</v>
      </c>
      <c r="P1206" s="54">
        <v>0</v>
      </c>
      <c r="Q1206" s="54">
        <v>8736</v>
      </c>
      <c r="R1206" s="54">
        <v>0</v>
      </c>
      <c r="S1206" s="54">
        <v>1000</v>
      </c>
      <c r="T1206" s="54">
        <v>25.31</v>
      </c>
      <c r="U1206" s="54">
        <v>7736</v>
      </c>
      <c r="V1206" s="54">
        <v>8710.69</v>
      </c>
      <c r="W1206" s="54">
        <v>7736</v>
      </c>
    </row>
    <row r="1207" spans="1:23" outlineLevel="2" x14ac:dyDescent="0.2">
      <c r="A1207" s="21" t="s">
        <v>402</v>
      </c>
      <c r="B1207" s="21" t="s">
        <v>39</v>
      </c>
      <c r="C1207" s="21" t="s">
        <v>95</v>
      </c>
      <c r="D1207" s="21" t="s">
        <v>96</v>
      </c>
      <c r="E1207" s="21" t="s">
        <v>97</v>
      </c>
      <c r="F1207" s="21" t="s">
        <v>5</v>
      </c>
      <c r="G1207" s="21" t="s">
        <v>6</v>
      </c>
      <c r="H1207" s="21" t="s">
        <v>7</v>
      </c>
      <c r="I1207" s="21" t="s">
        <v>8</v>
      </c>
      <c r="J1207" s="21" t="s">
        <v>403</v>
      </c>
      <c r="K1207" s="21" t="s">
        <v>667</v>
      </c>
      <c r="L1207" s="21" t="s">
        <v>674</v>
      </c>
      <c r="M1207" s="21" t="s">
        <v>12</v>
      </c>
      <c r="N1207" s="54">
        <v>220</v>
      </c>
      <c r="O1207" s="54">
        <v>0</v>
      </c>
      <c r="P1207" s="54">
        <v>0</v>
      </c>
      <c r="Q1207" s="54">
        <v>220</v>
      </c>
      <c r="R1207" s="54">
        <v>0</v>
      </c>
      <c r="S1207" s="54">
        <v>0</v>
      </c>
      <c r="T1207" s="54">
        <v>0</v>
      </c>
      <c r="U1207" s="54">
        <v>220</v>
      </c>
      <c r="V1207" s="54">
        <v>220</v>
      </c>
      <c r="W1207" s="54">
        <v>220</v>
      </c>
    </row>
    <row r="1208" spans="1:23" outlineLevel="2" x14ac:dyDescent="0.2">
      <c r="A1208" s="21" t="s">
        <v>402</v>
      </c>
      <c r="B1208" s="21" t="s">
        <v>31</v>
      </c>
      <c r="C1208" s="21" t="s">
        <v>79</v>
      </c>
      <c r="D1208" s="21" t="s">
        <v>115</v>
      </c>
      <c r="E1208" s="21" t="s">
        <v>116</v>
      </c>
      <c r="F1208" s="21" t="s">
        <v>5</v>
      </c>
      <c r="G1208" s="21" t="s">
        <v>6</v>
      </c>
      <c r="H1208" s="21" t="s">
        <v>7</v>
      </c>
      <c r="I1208" s="21" t="s">
        <v>8</v>
      </c>
      <c r="J1208" s="21" t="s">
        <v>403</v>
      </c>
      <c r="K1208" s="21" t="s">
        <v>667</v>
      </c>
      <c r="L1208" s="21" t="s">
        <v>672</v>
      </c>
      <c r="M1208" s="21" t="s">
        <v>12</v>
      </c>
      <c r="N1208" s="54">
        <v>2000</v>
      </c>
      <c r="O1208" s="54">
        <v>1120</v>
      </c>
      <c r="P1208" s="54">
        <v>0</v>
      </c>
      <c r="Q1208" s="54">
        <v>3120</v>
      </c>
      <c r="R1208" s="54">
        <v>0</v>
      </c>
      <c r="S1208" s="54">
        <v>0</v>
      </c>
      <c r="T1208" s="54">
        <v>0</v>
      </c>
      <c r="U1208" s="54">
        <v>3120</v>
      </c>
      <c r="V1208" s="54">
        <v>3120</v>
      </c>
      <c r="W1208" s="54">
        <v>3120</v>
      </c>
    </row>
    <row r="1209" spans="1:23" outlineLevel="2" x14ac:dyDescent="0.2">
      <c r="A1209" s="21" t="s">
        <v>402</v>
      </c>
      <c r="B1209" s="21" t="s">
        <v>31</v>
      </c>
      <c r="C1209" s="21" t="s">
        <v>32</v>
      </c>
      <c r="D1209" s="21" t="s">
        <v>75</v>
      </c>
      <c r="E1209" s="21" t="s">
        <v>76</v>
      </c>
      <c r="F1209" s="21" t="s">
        <v>5</v>
      </c>
      <c r="G1209" s="21" t="s">
        <v>6</v>
      </c>
      <c r="H1209" s="21" t="s">
        <v>7</v>
      </c>
      <c r="I1209" s="21" t="s">
        <v>8</v>
      </c>
      <c r="J1209" s="21" t="s">
        <v>403</v>
      </c>
      <c r="K1209" s="21" t="s">
        <v>667</v>
      </c>
      <c r="L1209" s="21" t="s">
        <v>670</v>
      </c>
      <c r="M1209" s="21" t="s">
        <v>12</v>
      </c>
      <c r="N1209" s="54">
        <v>11000</v>
      </c>
      <c r="O1209" s="54">
        <v>0</v>
      </c>
      <c r="P1209" s="54">
        <v>0</v>
      </c>
      <c r="Q1209" s="54">
        <v>11000</v>
      </c>
      <c r="R1209" s="54">
        <v>0</v>
      </c>
      <c r="S1209" s="54">
        <v>2148.08</v>
      </c>
      <c r="T1209" s="54">
        <v>1501.59</v>
      </c>
      <c r="U1209" s="54">
        <v>8851.92</v>
      </c>
      <c r="V1209" s="54">
        <v>9498.41</v>
      </c>
      <c r="W1209" s="54">
        <v>8851.92</v>
      </c>
    </row>
    <row r="1210" spans="1:23" outlineLevel="2" x14ac:dyDescent="0.2">
      <c r="A1210" s="21" t="s">
        <v>402</v>
      </c>
      <c r="B1210" s="21" t="s">
        <v>39</v>
      </c>
      <c r="C1210" s="21" t="s">
        <v>58</v>
      </c>
      <c r="D1210" s="21" t="s">
        <v>147</v>
      </c>
      <c r="E1210" s="21" t="s">
        <v>148</v>
      </c>
      <c r="F1210" s="21" t="s">
        <v>5</v>
      </c>
      <c r="G1210" s="21" t="s">
        <v>6</v>
      </c>
      <c r="H1210" s="21" t="s">
        <v>7</v>
      </c>
      <c r="I1210" s="21" t="s">
        <v>8</v>
      </c>
      <c r="J1210" s="21" t="s">
        <v>403</v>
      </c>
      <c r="K1210" s="21" t="s">
        <v>667</v>
      </c>
      <c r="L1210" s="21" t="s">
        <v>668</v>
      </c>
      <c r="M1210" s="21" t="s">
        <v>12</v>
      </c>
      <c r="N1210" s="54">
        <v>3000</v>
      </c>
      <c r="O1210" s="54">
        <v>0</v>
      </c>
      <c r="P1210" s="54">
        <v>0</v>
      </c>
      <c r="Q1210" s="54">
        <v>3000</v>
      </c>
      <c r="R1210" s="54">
        <v>282.39999999999998</v>
      </c>
      <c r="S1210" s="54">
        <v>377.53</v>
      </c>
      <c r="T1210" s="54">
        <v>377.53</v>
      </c>
      <c r="U1210" s="54">
        <v>2622.47</v>
      </c>
      <c r="V1210" s="54">
        <v>2622.47</v>
      </c>
      <c r="W1210" s="54">
        <v>2340.0700000000002</v>
      </c>
    </row>
    <row r="1211" spans="1:23" outlineLevel="2" x14ac:dyDescent="0.2">
      <c r="A1211" s="21" t="s">
        <v>402</v>
      </c>
      <c r="B1211" s="21" t="s">
        <v>39</v>
      </c>
      <c r="C1211" s="21" t="s">
        <v>58</v>
      </c>
      <c r="D1211" s="21" t="s">
        <v>145</v>
      </c>
      <c r="E1211" s="21" t="s">
        <v>146</v>
      </c>
      <c r="F1211" s="21" t="s">
        <v>5</v>
      </c>
      <c r="G1211" s="21" t="s">
        <v>6</v>
      </c>
      <c r="H1211" s="21" t="s">
        <v>7</v>
      </c>
      <c r="I1211" s="21" t="s">
        <v>8</v>
      </c>
      <c r="J1211" s="21" t="s">
        <v>403</v>
      </c>
      <c r="K1211" s="21" t="s">
        <v>667</v>
      </c>
      <c r="L1211" s="21" t="s">
        <v>668</v>
      </c>
      <c r="M1211" s="21" t="s">
        <v>12</v>
      </c>
      <c r="N1211" s="54">
        <v>250</v>
      </c>
      <c r="O1211" s="54">
        <v>0</v>
      </c>
      <c r="P1211" s="54">
        <v>0</v>
      </c>
      <c r="Q1211" s="54">
        <v>250</v>
      </c>
      <c r="R1211" s="54">
        <v>0</v>
      </c>
      <c r="S1211" s="54">
        <v>0</v>
      </c>
      <c r="T1211" s="54">
        <v>0</v>
      </c>
      <c r="U1211" s="54">
        <v>250</v>
      </c>
      <c r="V1211" s="54">
        <v>250</v>
      </c>
      <c r="W1211" s="54">
        <v>250</v>
      </c>
    </row>
    <row r="1212" spans="1:23" outlineLevel="2" x14ac:dyDescent="0.2">
      <c r="A1212" s="21" t="s">
        <v>402</v>
      </c>
      <c r="B1212" s="21" t="s">
        <v>31</v>
      </c>
      <c r="C1212" s="21" t="s">
        <v>79</v>
      </c>
      <c r="D1212" s="21" t="s">
        <v>80</v>
      </c>
      <c r="E1212" s="21" t="s">
        <v>81</v>
      </c>
      <c r="F1212" s="21" t="s">
        <v>5</v>
      </c>
      <c r="G1212" s="21" t="s">
        <v>6</v>
      </c>
      <c r="H1212" s="21" t="s">
        <v>7</v>
      </c>
      <c r="I1212" s="21" t="s">
        <v>8</v>
      </c>
      <c r="J1212" s="21" t="s">
        <v>403</v>
      </c>
      <c r="K1212" s="21" t="s">
        <v>667</v>
      </c>
      <c r="L1212" s="21" t="s">
        <v>672</v>
      </c>
      <c r="M1212" s="21" t="s">
        <v>12</v>
      </c>
      <c r="N1212" s="54">
        <v>800</v>
      </c>
      <c r="O1212" s="54">
        <v>400</v>
      </c>
      <c r="P1212" s="54">
        <v>0</v>
      </c>
      <c r="Q1212" s="54">
        <v>1200</v>
      </c>
      <c r="R1212" s="54">
        <v>0</v>
      </c>
      <c r="S1212" s="54">
        <v>0</v>
      </c>
      <c r="T1212" s="54">
        <v>0</v>
      </c>
      <c r="U1212" s="54">
        <v>1200</v>
      </c>
      <c r="V1212" s="54">
        <v>1200</v>
      </c>
      <c r="W1212" s="54">
        <v>1200</v>
      </c>
    </row>
    <row r="1213" spans="1:23" outlineLevel="2" x14ac:dyDescent="0.2">
      <c r="A1213" s="21" t="s">
        <v>402</v>
      </c>
      <c r="B1213" s="21" t="s">
        <v>31</v>
      </c>
      <c r="C1213" s="21" t="s">
        <v>79</v>
      </c>
      <c r="D1213" s="21" t="s">
        <v>131</v>
      </c>
      <c r="E1213" s="21" t="s">
        <v>132</v>
      </c>
      <c r="F1213" s="21" t="s">
        <v>5</v>
      </c>
      <c r="G1213" s="21" t="s">
        <v>6</v>
      </c>
      <c r="H1213" s="21" t="s">
        <v>7</v>
      </c>
      <c r="I1213" s="21" t="s">
        <v>8</v>
      </c>
      <c r="J1213" s="21" t="s">
        <v>403</v>
      </c>
      <c r="K1213" s="21" t="s">
        <v>667</v>
      </c>
      <c r="L1213" s="21" t="s">
        <v>672</v>
      </c>
      <c r="M1213" s="21" t="s">
        <v>12</v>
      </c>
      <c r="N1213" s="54">
        <v>1000</v>
      </c>
      <c r="O1213" s="54">
        <v>0</v>
      </c>
      <c r="P1213" s="54">
        <v>0</v>
      </c>
      <c r="Q1213" s="54">
        <v>1000</v>
      </c>
      <c r="R1213" s="54">
        <v>0</v>
      </c>
      <c r="S1213" s="54">
        <v>0</v>
      </c>
      <c r="T1213" s="54">
        <v>0</v>
      </c>
      <c r="U1213" s="54">
        <v>1000</v>
      </c>
      <c r="V1213" s="54">
        <v>1000</v>
      </c>
      <c r="W1213" s="54">
        <v>1000</v>
      </c>
    </row>
    <row r="1214" spans="1:23" outlineLevel="2" x14ac:dyDescent="0.2">
      <c r="A1214" s="21" t="s">
        <v>402</v>
      </c>
      <c r="B1214" s="21" t="s">
        <v>39</v>
      </c>
      <c r="C1214" s="21" t="s">
        <v>58</v>
      </c>
      <c r="D1214" s="21" t="s">
        <v>143</v>
      </c>
      <c r="E1214" s="21" t="s">
        <v>144</v>
      </c>
      <c r="F1214" s="21" t="s">
        <v>5</v>
      </c>
      <c r="G1214" s="21" t="s">
        <v>6</v>
      </c>
      <c r="H1214" s="21" t="s">
        <v>7</v>
      </c>
      <c r="I1214" s="21" t="s">
        <v>8</v>
      </c>
      <c r="J1214" s="21" t="s">
        <v>403</v>
      </c>
      <c r="K1214" s="21" t="s">
        <v>2047</v>
      </c>
      <c r="L1214" s="21" t="s">
        <v>2048</v>
      </c>
      <c r="M1214" s="21" t="s">
        <v>12</v>
      </c>
      <c r="N1214" s="54">
        <v>0</v>
      </c>
      <c r="O1214" s="54">
        <v>200</v>
      </c>
      <c r="P1214" s="54">
        <v>0</v>
      </c>
      <c r="Q1214" s="54">
        <v>200</v>
      </c>
      <c r="R1214" s="54">
        <v>0</v>
      </c>
      <c r="S1214" s="54">
        <v>0</v>
      </c>
      <c r="T1214" s="54">
        <v>0</v>
      </c>
      <c r="U1214" s="54">
        <v>200</v>
      </c>
      <c r="V1214" s="54">
        <v>200</v>
      </c>
      <c r="W1214" s="54">
        <v>200</v>
      </c>
    </row>
    <row r="1215" spans="1:23" outlineLevel="2" x14ac:dyDescent="0.2">
      <c r="A1215" s="21" t="s">
        <v>402</v>
      </c>
      <c r="B1215" s="21" t="s">
        <v>1</v>
      </c>
      <c r="C1215" s="21" t="s">
        <v>2</v>
      </c>
      <c r="D1215" s="21" t="s">
        <v>3</v>
      </c>
      <c r="E1215" s="21" t="s">
        <v>4</v>
      </c>
      <c r="F1215" s="21" t="s">
        <v>5</v>
      </c>
      <c r="G1215" s="21" t="s">
        <v>6</v>
      </c>
      <c r="H1215" s="21" t="s">
        <v>7</v>
      </c>
      <c r="I1215" s="21" t="s">
        <v>8</v>
      </c>
      <c r="J1215" s="21" t="s">
        <v>403</v>
      </c>
      <c r="K1215" s="21" t="s">
        <v>677</v>
      </c>
      <c r="L1215" s="21" t="s">
        <v>683</v>
      </c>
      <c r="M1215" s="21" t="s">
        <v>15</v>
      </c>
      <c r="N1215" s="54">
        <v>26000</v>
      </c>
      <c r="O1215" s="54">
        <v>-26000</v>
      </c>
      <c r="P1215" s="54">
        <v>0</v>
      </c>
      <c r="Q1215" s="54">
        <v>0</v>
      </c>
      <c r="R1215" s="54">
        <v>0</v>
      </c>
      <c r="S1215" s="54">
        <v>0</v>
      </c>
      <c r="T1215" s="54">
        <v>0</v>
      </c>
      <c r="U1215" s="54">
        <v>0</v>
      </c>
      <c r="V1215" s="54">
        <v>0</v>
      </c>
      <c r="W1215" s="54">
        <v>0</v>
      </c>
    </row>
    <row r="1216" spans="1:23" outlineLevel="2" x14ac:dyDescent="0.2">
      <c r="A1216" s="21" t="s">
        <v>402</v>
      </c>
      <c r="B1216" s="21" t="s">
        <v>31</v>
      </c>
      <c r="C1216" s="21" t="s">
        <v>79</v>
      </c>
      <c r="D1216" s="21" t="s">
        <v>111</v>
      </c>
      <c r="E1216" s="21" t="s">
        <v>112</v>
      </c>
      <c r="F1216" s="21" t="s">
        <v>5</v>
      </c>
      <c r="G1216" s="21" t="s">
        <v>6</v>
      </c>
      <c r="H1216" s="21" t="s">
        <v>7</v>
      </c>
      <c r="I1216" s="21" t="s">
        <v>8</v>
      </c>
      <c r="J1216" s="21" t="s">
        <v>403</v>
      </c>
      <c r="K1216" s="21" t="s">
        <v>677</v>
      </c>
      <c r="L1216" s="21" t="s">
        <v>682</v>
      </c>
      <c r="M1216" s="21" t="s">
        <v>12</v>
      </c>
      <c r="N1216" s="54">
        <v>9500</v>
      </c>
      <c r="O1216" s="54">
        <v>0</v>
      </c>
      <c r="P1216" s="54">
        <v>0</v>
      </c>
      <c r="Q1216" s="54">
        <v>9500</v>
      </c>
      <c r="R1216" s="54">
        <v>0</v>
      </c>
      <c r="S1216" s="54">
        <v>0</v>
      </c>
      <c r="T1216" s="54">
        <v>0</v>
      </c>
      <c r="U1216" s="54">
        <v>9500</v>
      </c>
      <c r="V1216" s="54">
        <v>9500</v>
      </c>
      <c r="W1216" s="54">
        <v>9500</v>
      </c>
    </row>
    <row r="1217" spans="1:23" outlineLevel="2" x14ac:dyDescent="0.2">
      <c r="A1217" s="21" t="s">
        <v>402</v>
      </c>
      <c r="B1217" s="21" t="s">
        <v>39</v>
      </c>
      <c r="C1217" s="21" t="s">
        <v>58</v>
      </c>
      <c r="D1217" s="21" t="s">
        <v>147</v>
      </c>
      <c r="E1217" s="21" t="s">
        <v>148</v>
      </c>
      <c r="F1217" s="21" t="s">
        <v>5</v>
      </c>
      <c r="G1217" s="21" t="s">
        <v>6</v>
      </c>
      <c r="H1217" s="21" t="s">
        <v>7</v>
      </c>
      <c r="I1217" s="21" t="s">
        <v>8</v>
      </c>
      <c r="J1217" s="21" t="s">
        <v>403</v>
      </c>
      <c r="K1217" s="21" t="s">
        <v>677</v>
      </c>
      <c r="L1217" s="21" t="s">
        <v>678</v>
      </c>
      <c r="M1217" s="21" t="s">
        <v>12</v>
      </c>
      <c r="N1217" s="54">
        <v>29000</v>
      </c>
      <c r="O1217" s="54">
        <v>0</v>
      </c>
      <c r="P1217" s="54">
        <v>0</v>
      </c>
      <c r="Q1217" s="54">
        <v>29000</v>
      </c>
      <c r="R1217" s="54">
        <v>29000</v>
      </c>
      <c r="S1217" s="54">
        <v>0</v>
      </c>
      <c r="T1217" s="54">
        <v>0</v>
      </c>
      <c r="U1217" s="54">
        <v>29000</v>
      </c>
      <c r="V1217" s="54">
        <v>29000</v>
      </c>
      <c r="W1217" s="54">
        <v>0</v>
      </c>
    </row>
    <row r="1218" spans="1:23" outlineLevel="2" x14ac:dyDescent="0.2">
      <c r="A1218" s="21" t="s">
        <v>402</v>
      </c>
      <c r="B1218" s="21" t="s">
        <v>1</v>
      </c>
      <c r="C1218" s="21" t="s">
        <v>91</v>
      </c>
      <c r="D1218" s="21" t="s">
        <v>92</v>
      </c>
      <c r="E1218" s="21" t="s">
        <v>93</v>
      </c>
      <c r="F1218" s="21" t="s">
        <v>5</v>
      </c>
      <c r="G1218" s="21" t="s">
        <v>6</v>
      </c>
      <c r="H1218" s="21" t="s">
        <v>7</v>
      </c>
      <c r="I1218" s="21" t="s">
        <v>8</v>
      </c>
      <c r="J1218" s="21" t="s">
        <v>403</v>
      </c>
      <c r="K1218" s="21" t="s">
        <v>677</v>
      </c>
      <c r="L1218" s="21" t="s">
        <v>685</v>
      </c>
      <c r="M1218" s="21" t="s">
        <v>15</v>
      </c>
      <c r="N1218" s="54">
        <v>30000</v>
      </c>
      <c r="O1218" s="54">
        <v>0</v>
      </c>
      <c r="P1218" s="54">
        <v>0</v>
      </c>
      <c r="Q1218" s="54">
        <v>30000</v>
      </c>
      <c r="R1218" s="54">
        <v>0</v>
      </c>
      <c r="S1218" s="54">
        <v>20230.57</v>
      </c>
      <c r="T1218" s="54">
        <v>20230.57</v>
      </c>
      <c r="U1218" s="54">
        <v>9769.43</v>
      </c>
      <c r="V1218" s="54">
        <v>9769.43</v>
      </c>
      <c r="W1218" s="54">
        <v>9769.43</v>
      </c>
    </row>
    <row r="1219" spans="1:23" outlineLevel="2" x14ac:dyDescent="0.2">
      <c r="A1219" s="21" t="s">
        <v>402</v>
      </c>
      <c r="B1219" s="21" t="s">
        <v>53</v>
      </c>
      <c r="C1219" s="21" t="s">
        <v>54</v>
      </c>
      <c r="D1219" s="21" t="s">
        <v>55</v>
      </c>
      <c r="E1219" s="21" t="s">
        <v>56</v>
      </c>
      <c r="F1219" s="21" t="s">
        <v>5</v>
      </c>
      <c r="G1219" s="21" t="s">
        <v>6</v>
      </c>
      <c r="H1219" s="21" t="s">
        <v>7</v>
      </c>
      <c r="I1219" s="21" t="s">
        <v>8</v>
      </c>
      <c r="J1219" s="21" t="s">
        <v>403</v>
      </c>
      <c r="K1219" s="21" t="s">
        <v>677</v>
      </c>
      <c r="L1219" s="21" t="s">
        <v>679</v>
      </c>
      <c r="M1219" s="21" t="s">
        <v>12</v>
      </c>
      <c r="N1219" s="54">
        <v>10000</v>
      </c>
      <c r="O1219" s="54">
        <v>0</v>
      </c>
      <c r="P1219" s="54">
        <v>0</v>
      </c>
      <c r="Q1219" s="54">
        <v>10000</v>
      </c>
      <c r="R1219" s="54">
        <v>7917.06</v>
      </c>
      <c r="S1219" s="54">
        <v>0</v>
      </c>
      <c r="T1219" s="54">
        <v>0</v>
      </c>
      <c r="U1219" s="54">
        <v>10000</v>
      </c>
      <c r="V1219" s="54">
        <v>10000</v>
      </c>
      <c r="W1219" s="54">
        <v>2082.94</v>
      </c>
    </row>
    <row r="1220" spans="1:23" outlineLevel="2" x14ac:dyDescent="0.2">
      <c r="A1220" s="21" t="s">
        <v>402</v>
      </c>
      <c r="B1220" s="21" t="s">
        <v>31</v>
      </c>
      <c r="C1220" s="21" t="s">
        <v>79</v>
      </c>
      <c r="D1220" s="21" t="s">
        <v>113</v>
      </c>
      <c r="E1220" s="21" t="s">
        <v>114</v>
      </c>
      <c r="F1220" s="21" t="s">
        <v>5</v>
      </c>
      <c r="G1220" s="21" t="s">
        <v>6</v>
      </c>
      <c r="H1220" s="21" t="s">
        <v>7</v>
      </c>
      <c r="I1220" s="21" t="s">
        <v>8</v>
      </c>
      <c r="J1220" s="21" t="s">
        <v>403</v>
      </c>
      <c r="K1220" s="21" t="s">
        <v>677</v>
      </c>
      <c r="L1220" s="21" t="s">
        <v>682</v>
      </c>
      <c r="M1220" s="21" t="s">
        <v>12</v>
      </c>
      <c r="N1220" s="54">
        <v>5000</v>
      </c>
      <c r="O1220" s="54">
        <v>0</v>
      </c>
      <c r="P1220" s="54">
        <v>0</v>
      </c>
      <c r="Q1220" s="54">
        <v>5000</v>
      </c>
      <c r="R1220" s="54">
        <v>9.06</v>
      </c>
      <c r="S1220" s="54">
        <v>4990.9399999999996</v>
      </c>
      <c r="T1220" s="54">
        <v>4990.9399999999996</v>
      </c>
      <c r="U1220" s="54">
        <v>9.06</v>
      </c>
      <c r="V1220" s="54">
        <v>9.06</v>
      </c>
      <c r="W1220" s="54">
        <v>0</v>
      </c>
    </row>
    <row r="1221" spans="1:23" outlineLevel="2" x14ac:dyDescent="0.2">
      <c r="A1221" s="21" t="s">
        <v>402</v>
      </c>
      <c r="B1221" s="21" t="s">
        <v>31</v>
      </c>
      <c r="C1221" s="21" t="s">
        <v>32</v>
      </c>
      <c r="D1221" s="21" t="s">
        <v>33</v>
      </c>
      <c r="E1221" s="21" t="s">
        <v>34</v>
      </c>
      <c r="F1221" s="21" t="s">
        <v>5</v>
      </c>
      <c r="G1221" s="21" t="s">
        <v>6</v>
      </c>
      <c r="H1221" s="21" t="s">
        <v>7</v>
      </c>
      <c r="I1221" s="21" t="s">
        <v>8</v>
      </c>
      <c r="J1221" s="21" t="s">
        <v>403</v>
      </c>
      <c r="K1221" s="21" t="s">
        <v>677</v>
      </c>
      <c r="L1221" s="21" t="s">
        <v>680</v>
      </c>
      <c r="M1221" s="21" t="s">
        <v>12</v>
      </c>
      <c r="N1221" s="54">
        <v>40000</v>
      </c>
      <c r="O1221" s="54">
        <v>-17809.66</v>
      </c>
      <c r="P1221" s="54">
        <v>0</v>
      </c>
      <c r="Q1221" s="54">
        <v>22190.34</v>
      </c>
      <c r="R1221" s="54">
        <v>0</v>
      </c>
      <c r="S1221" s="54">
        <v>20730.080000000002</v>
      </c>
      <c r="T1221" s="54">
        <v>20730.080000000002</v>
      </c>
      <c r="U1221" s="54">
        <v>1460.26</v>
      </c>
      <c r="V1221" s="54">
        <v>1460.26</v>
      </c>
      <c r="W1221" s="54">
        <v>1460.26</v>
      </c>
    </row>
    <row r="1222" spans="1:23" outlineLevel="2" x14ac:dyDescent="0.2">
      <c r="A1222" s="21" t="s">
        <v>402</v>
      </c>
      <c r="B1222" s="21" t="s">
        <v>39</v>
      </c>
      <c r="C1222" s="21" t="s">
        <v>70</v>
      </c>
      <c r="D1222" s="21" t="s">
        <v>89</v>
      </c>
      <c r="E1222" s="21" t="s">
        <v>90</v>
      </c>
      <c r="F1222" s="21" t="s">
        <v>5</v>
      </c>
      <c r="G1222" s="21" t="s">
        <v>6</v>
      </c>
      <c r="H1222" s="21" t="s">
        <v>7</v>
      </c>
      <c r="I1222" s="21" t="s">
        <v>8</v>
      </c>
      <c r="J1222" s="21" t="s">
        <v>403</v>
      </c>
      <c r="K1222" s="21" t="s">
        <v>677</v>
      </c>
      <c r="L1222" s="21" t="s">
        <v>684</v>
      </c>
      <c r="M1222" s="21" t="s">
        <v>12</v>
      </c>
      <c r="N1222" s="54">
        <v>44000</v>
      </c>
      <c r="O1222" s="54">
        <v>26000</v>
      </c>
      <c r="P1222" s="54">
        <v>0</v>
      </c>
      <c r="Q1222" s="54">
        <v>70000</v>
      </c>
      <c r="R1222" s="54">
        <v>0</v>
      </c>
      <c r="S1222" s="54">
        <v>0</v>
      </c>
      <c r="T1222" s="54">
        <v>0</v>
      </c>
      <c r="U1222" s="54">
        <v>70000</v>
      </c>
      <c r="V1222" s="54">
        <v>70000</v>
      </c>
      <c r="W1222" s="54">
        <v>70000</v>
      </c>
    </row>
    <row r="1223" spans="1:23" outlineLevel="2" x14ac:dyDescent="0.2">
      <c r="A1223" s="21" t="s">
        <v>402</v>
      </c>
      <c r="B1223" s="21" t="s">
        <v>31</v>
      </c>
      <c r="C1223" s="21" t="s">
        <v>79</v>
      </c>
      <c r="D1223" s="21" t="s">
        <v>117</v>
      </c>
      <c r="E1223" s="21" t="s">
        <v>118</v>
      </c>
      <c r="F1223" s="21" t="s">
        <v>5</v>
      </c>
      <c r="G1223" s="21" t="s">
        <v>6</v>
      </c>
      <c r="H1223" s="21" t="s">
        <v>7</v>
      </c>
      <c r="I1223" s="21" t="s">
        <v>8</v>
      </c>
      <c r="J1223" s="21" t="s">
        <v>403</v>
      </c>
      <c r="K1223" s="21" t="s">
        <v>677</v>
      </c>
      <c r="L1223" s="21" t="s">
        <v>682</v>
      </c>
      <c r="M1223" s="21" t="s">
        <v>12</v>
      </c>
      <c r="N1223" s="54">
        <v>40000</v>
      </c>
      <c r="O1223" s="54">
        <v>-15000</v>
      </c>
      <c r="P1223" s="54">
        <v>0</v>
      </c>
      <c r="Q1223" s="54">
        <v>25000</v>
      </c>
      <c r="R1223" s="54">
        <v>0</v>
      </c>
      <c r="S1223" s="54">
        <v>0</v>
      </c>
      <c r="T1223" s="54">
        <v>0</v>
      </c>
      <c r="U1223" s="54">
        <v>25000</v>
      </c>
      <c r="V1223" s="54">
        <v>25000</v>
      </c>
      <c r="W1223" s="54">
        <v>25000</v>
      </c>
    </row>
    <row r="1224" spans="1:23" outlineLevel="2" x14ac:dyDescent="0.2">
      <c r="A1224" s="21" t="s">
        <v>402</v>
      </c>
      <c r="B1224" s="21" t="s">
        <v>31</v>
      </c>
      <c r="C1224" s="21" t="s">
        <v>79</v>
      </c>
      <c r="D1224" s="21" t="s">
        <v>115</v>
      </c>
      <c r="E1224" s="21" t="s">
        <v>116</v>
      </c>
      <c r="F1224" s="21" t="s">
        <v>5</v>
      </c>
      <c r="G1224" s="21" t="s">
        <v>6</v>
      </c>
      <c r="H1224" s="21" t="s">
        <v>7</v>
      </c>
      <c r="I1224" s="21" t="s">
        <v>8</v>
      </c>
      <c r="J1224" s="21" t="s">
        <v>403</v>
      </c>
      <c r="K1224" s="21" t="s">
        <v>677</v>
      </c>
      <c r="L1224" s="21" t="s">
        <v>682</v>
      </c>
      <c r="M1224" s="21" t="s">
        <v>12</v>
      </c>
      <c r="N1224" s="54">
        <v>8000</v>
      </c>
      <c r="O1224" s="54">
        <v>0</v>
      </c>
      <c r="P1224" s="54">
        <v>0</v>
      </c>
      <c r="Q1224" s="54">
        <v>8000</v>
      </c>
      <c r="R1224" s="54">
        <v>0</v>
      </c>
      <c r="S1224" s="54">
        <v>0</v>
      </c>
      <c r="T1224" s="54">
        <v>0</v>
      </c>
      <c r="U1224" s="54">
        <v>8000</v>
      </c>
      <c r="V1224" s="54">
        <v>8000</v>
      </c>
      <c r="W1224" s="54">
        <v>8000</v>
      </c>
    </row>
    <row r="1225" spans="1:23" outlineLevel="2" x14ac:dyDescent="0.2">
      <c r="A1225" s="21" t="s">
        <v>402</v>
      </c>
      <c r="B1225" s="21" t="s">
        <v>31</v>
      </c>
      <c r="C1225" s="21" t="s">
        <v>79</v>
      </c>
      <c r="D1225" s="21" t="s">
        <v>125</v>
      </c>
      <c r="E1225" s="21" t="s">
        <v>126</v>
      </c>
      <c r="F1225" s="21" t="s">
        <v>5</v>
      </c>
      <c r="G1225" s="21" t="s">
        <v>6</v>
      </c>
      <c r="H1225" s="21" t="s">
        <v>7</v>
      </c>
      <c r="I1225" s="21" t="s">
        <v>8</v>
      </c>
      <c r="J1225" s="21" t="s">
        <v>403</v>
      </c>
      <c r="K1225" s="21" t="s">
        <v>677</v>
      </c>
      <c r="L1225" s="21" t="s">
        <v>682</v>
      </c>
      <c r="M1225" s="21" t="s">
        <v>12</v>
      </c>
      <c r="N1225" s="54">
        <v>3000</v>
      </c>
      <c r="O1225" s="54">
        <v>0</v>
      </c>
      <c r="P1225" s="54">
        <v>0</v>
      </c>
      <c r="Q1225" s="54">
        <v>3000</v>
      </c>
      <c r="R1225" s="54">
        <v>0</v>
      </c>
      <c r="S1225" s="54">
        <v>0</v>
      </c>
      <c r="T1225" s="54">
        <v>0</v>
      </c>
      <c r="U1225" s="54">
        <v>3000</v>
      </c>
      <c r="V1225" s="54">
        <v>3000</v>
      </c>
      <c r="W1225" s="54">
        <v>3000</v>
      </c>
    </row>
    <row r="1226" spans="1:23" outlineLevel="2" x14ac:dyDescent="0.2">
      <c r="A1226" s="21" t="s">
        <v>402</v>
      </c>
      <c r="B1226" s="21" t="s">
        <v>39</v>
      </c>
      <c r="C1226" s="21" t="s">
        <v>58</v>
      </c>
      <c r="D1226" s="21" t="s">
        <v>145</v>
      </c>
      <c r="E1226" s="21" t="s">
        <v>146</v>
      </c>
      <c r="F1226" s="21" t="s">
        <v>5</v>
      </c>
      <c r="G1226" s="21" t="s">
        <v>6</v>
      </c>
      <c r="H1226" s="21" t="s">
        <v>7</v>
      </c>
      <c r="I1226" s="21" t="s">
        <v>8</v>
      </c>
      <c r="J1226" s="21" t="s">
        <v>403</v>
      </c>
      <c r="K1226" s="21" t="s">
        <v>677</v>
      </c>
      <c r="L1226" s="21" t="s">
        <v>678</v>
      </c>
      <c r="M1226" s="21" t="s">
        <v>12</v>
      </c>
      <c r="N1226" s="54">
        <v>8000</v>
      </c>
      <c r="O1226" s="54">
        <v>0</v>
      </c>
      <c r="P1226" s="54">
        <v>0</v>
      </c>
      <c r="Q1226" s="54">
        <v>8000</v>
      </c>
      <c r="R1226" s="54">
        <v>0</v>
      </c>
      <c r="S1226" s="54">
        <v>7807.71</v>
      </c>
      <c r="T1226" s="54">
        <v>7807.71</v>
      </c>
      <c r="U1226" s="54">
        <v>192.29</v>
      </c>
      <c r="V1226" s="54">
        <v>192.29</v>
      </c>
      <c r="W1226" s="54">
        <v>192.29</v>
      </c>
    </row>
    <row r="1227" spans="1:23" outlineLevel="2" x14ac:dyDescent="0.2">
      <c r="A1227" s="21" t="s">
        <v>402</v>
      </c>
      <c r="B1227" s="21" t="s">
        <v>31</v>
      </c>
      <c r="C1227" s="21" t="s">
        <v>79</v>
      </c>
      <c r="D1227" s="21" t="s">
        <v>80</v>
      </c>
      <c r="E1227" s="21" t="s">
        <v>81</v>
      </c>
      <c r="F1227" s="21" t="s">
        <v>5</v>
      </c>
      <c r="G1227" s="21" t="s">
        <v>6</v>
      </c>
      <c r="H1227" s="21" t="s">
        <v>7</v>
      </c>
      <c r="I1227" s="21" t="s">
        <v>8</v>
      </c>
      <c r="J1227" s="21" t="s">
        <v>403</v>
      </c>
      <c r="K1227" s="21" t="s">
        <v>677</v>
      </c>
      <c r="L1227" s="21" t="s">
        <v>682</v>
      </c>
      <c r="M1227" s="21" t="s">
        <v>12</v>
      </c>
      <c r="N1227" s="54">
        <v>1000</v>
      </c>
      <c r="O1227" s="54">
        <v>6000</v>
      </c>
      <c r="P1227" s="54">
        <v>0</v>
      </c>
      <c r="Q1227" s="54">
        <v>7000</v>
      </c>
      <c r="R1227" s="54">
        <v>0</v>
      </c>
      <c r="S1227" s="54">
        <v>0</v>
      </c>
      <c r="T1227" s="54">
        <v>0</v>
      </c>
      <c r="U1227" s="54">
        <v>7000</v>
      </c>
      <c r="V1227" s="54">
        <v>7000</v>
      </c>
      <c r="W1227" s="54">
        <v>7000</v>
      </c>
    </row>
    <row r="1228" spans="1:23" outlineLevel="2" x14ac:dyDescent="0.2">
      <c r="A1228" s="21" t="s">
        <v>402</v>
      </c>
      <c r="B1228" s="21" t="s">
        <v>39</v>
      </c>
      <c r="C1228" s="21" t="s">
        <v>58</v>
      </c>
      <c r="D1228" s="21" t="s">
        <v>143</v>
      </c>
      <c r="E1228" s="21" t="s">
        <v>144</v>
      </c>
      <c r="F1228" s="21" t="s">
        <v>5</v>
      </c>
      <c r="G1228" s="21" t="s">
        <v>6</v>
      </c>
      <c r="H1228" s="21" t="s">
        <v>7</v>
      </c>
      <c r="I1228" s="21" t="s">
        <v>8</v>
      </c>
      <c r="J1228" s="21" t="s">
        <v>403</v>
      </c>
      <c r="K1228" s="21" t="s">
        <v>677</v>
      </c>
      <c r="L1228" s="21" t="s">
        <v>678</v>
      </c>
      <c r="M1228" s="21" t="s">
        <v>12</v>
      </c>
      <c r="N1228" s="54">
        <v>5000</v>
      </c>
      <c r="O1228" s="54">
        <v>0</v>
      </c>
      <c r="P1228" s="54">
        <v>0</v>
      </c>
      <c r="Q1228" s="54">
        <v>5000</v>
      </c>
      <c r="R1228" s="54">
        <v>0.01</v>
      </c>
      <c r="S1228" s="54">
        <v>4999.4799999999996</v>
      </c>
      <c r="T1228" s="54">
        <v>4999.4799999999996</v>
      </c>
      <c r="U1228" s="54">
        <v>0.52</v>
      </c>
      <c r="V1228" s="54">
        <v>0.52</v>
      </c>
      <c r="W1228" s="54">
        <v>0.51</v>
      </c>
    </row>
    <row r="1229" spans="1:23" outlineLevel="2" x14ac:dyDescent="0.2">
      <c r="A1229" s="21" t="s">
        <v>402</v>
      </c>
      <c r="B1229" s="21" t="s">
        <v>1</v>
      </c>
      <c r="C1229" s="21" t="s">
        <v>2</v>
      </c>
      <c r="D1229" s="21" t="s">
        <v>25</v>
      </c>
      <c r="E1229" s="21" t="s">
        <v>26</v>
      </c>
      <c r="F1229" s="21" t="s">
        <v>5</v>
      </c>
      <c r="G1229" s="21" t="s">
        <v>6</v>
      </c>
      <c r="H1229" s="21" t="s">
        <v>7</v>
      </c>
      <c r="I1229" s="21" t="s">
        <v>8</v>
      </c>
      <c r="J1229" s="21" t="s">
        <v>403</v>
      </c>
      <c r="K1229" s="21" t="s">
        <v>677</v>
      </c>
      <c r="L1229" s="21" t="s">
        <v>683</v>
      </c>
      <c r="M1229" s="21" t="s">
        <v>15</v>
      </c>
      <c r="N1229" s="54">
        <v>0</v>
      </c>
      <c r="O1229" s="54">
        <v>2400</v>
      </c>
      <c r="P1229" s="54">
        <v>0</v>
      </c>
      <c r="Q1229" s="54">
        <v>2400</v>
      </c>
      <c r="R1229" s="54">
        <v>0</v>
      </c>
      <c r="S1229" s="54">
        <v>1899.52</v>
      </c>
      <c r="T1229" s="54">
        <v>1899.52</v>
      </c>
      <c r="U1229" s="54">
        <v>500.48</v>
      </c>
      <c r="V1229" s="54">
        <v>500.48</v>
      </c>
      <c r="W1229" s="54">
        <v>500.48</v>
      </c>
    </row>
    <row r="1230" spans="1:23" outlineLevel="2" x14ac:dyDescent="0.2">
      <c r="A1230" s="21" t="s">
        <v>402</v>
      </c>
      <c r="B1230" s="21" t="s">
        <v>31</v>
      </c>
      <c r="C1230" s="21" t="s">
        <v>79</v>
      </c>
      <c r="D1230" s="21" t="s">
        <v>133</v>
      </c>
      <c r="E1230" s="21" t="s">
        <v>134</v>
      </c>
      <c r="F1230" s="21" t="s">
        <v>5</v>
      </c>
      <c r="G1230" s="21" t="s">
        <v>6</v>
      </c>
      <c r="H1230" s="21" t="s">
        <v>7</v>
      </c>
      <c r="I1230" s="21" t="s">
        <v>8</v>
      </c>
      <c r="J1230" s="21" t="s">
        <v>403</v>
      </c>
      <c r="K1230" s="21" t="s">
        <v>677</v>
      </c>
      <c r="L1230" s="21" t="s">
        <v>682</v>
      </c>
      <c r="M1230" s="21" t="s">
        <v>12</v>
      </c>
      <c r="N1230" s="54">
        <v>6000</v>
      </c>
      <c r="O1230" s="54">
        <v>0</v>
      </c>
      <c r="P1230" s="54">
        <v>0</v>
      </c>
      <c r="Q1230" s="54">
        <v>6000</v>
      </c>
      <c r="R1230" s="54">
        <v>0</v>
      </c>
      <c r="S1230" s="54">
        <v>0</v>
      </c>
      <c r="T1230" s="54">
        <v>0</v>
      </c>
      <c r="U1230" s="54">
        <v>6000</v>
      </c>
      <c r="V1230" s="54">
        <v>6000</v>
      </c>
      <c r="W1230" s="54">
        <v>6000</v>
      </c>
    </row>
    <row r="1231" spans="1:23" outlineLevel="2" x14ac:dyDescent="0.2">
      <c r="A1231" s="21" t="s">
        <v>402</v>
      </c>
      <c r="B1231" s="21" t="s">
        <v>1</v>
      </c>
      <c r="C1231" s="21" t="s">
        <v>2</v>
      </c>
      <c r="D1231" s="21" t="s">
        <v>410</v>
      </c>
      <c r="E1231" s="21" t="s">
        <v>411</v>
      </c>
      <c r="F1231" s="21" t="s">
        <v>5</v>
      </c>
      <c r="G1231" s="21" t="s">
        <v>6</v>
      </c>
      <c r="H1231" s="21" t="s">
        <v>7</v>
      </c>
      <c r="I1231" s="21" t="s">
        <v>8</v>
      </c>
      <c r="J1231" s="21" t="s">
        <v>403</v>
      </c>
      <c r="K1231" s="21" t="s">
        <v>677</v>
      </c>
      <c r="L1231" s="21" t="s">
        <v>683</v>
      </c>
      <c r="M1231" s="21" t="s">
        <v>15</v>
      </c>
      <c r="N1231" s="54">
        <v>600000</v>
      </c>
      <c r="O1231" s="54">
        <v>0</v>
      </c>
      <c r="P1231" s="54">
        <v>0</v>
      </c>
      <c r="Q1231" s="54">
        <v>600000</v>
      </c>
      <c r="R1231" s="54">
        <v>0</v>
      </c>
      <c r="S1231" s="54">
        <v>1000</v>
      </c>
      <c r="T1231" s="54">
        <v>298.76</v>
      </c>
      <c r="U1231" s="54">
        <v>599000</v>
      </c>
      <c r="V1231" s="54">
        <v>599701.24</v>
      </c>
      <c r="W1231" s="54">
        <v>599000</v>
      </c>
    </row>
    <row r="1232" spans="1:23" outlineLevel="2" x14ac:dyDescent="0.2">
      <c r="A1232" s="21" t="s">
        <v>402</v>
      </c>
      <c r="B1232" s="21" t="s">
        <v>39</v>
      </c>
      <c r="C1232" s="21" t="s">
        <v>58</v>
      </c>
      <c r="D1232" s="21" t="s">
        <v>139</v>
      </c>
      <c r="E1232" s="21" t="s">
        <v>140</v>
      </c>
      <c r="F1232" s="21" t="s">
        <v>5</v>
      </c>
      <c r="G1232" s="21" t="s">
        <v>6</v>
      </c>
      <c r="H1232" s="21" t="s">
        <v>7</v>
      </c>
      <c r="I1232" s="21" t="s">
        <v>8</v>
      </c>
      <c r="J1232" s="21" t="s">
        <v>403</v>
      </c>
      <c r="K1232" s="21" t="s">
        <v>677</v>
      </c>
      <c r="L1232" s="21" t="s">
        <v>678</v>
      </c>
      <c r="M1232" s="21" t="s">
        <v>12</v>
      </c>
      <c r="N1232" s="54">
        <v>0</v>
      </c>
      <c r="O1232" s="54">
        <v>45000</v>
      </c>
      <c r="P1232" s="54">
        <v>0</v>
      </c>
      <c r="Q1232" s="54">
        <v>45000</v>
      </c>
      <c r="R1232" s="54">
        <v>0</v>
      </c>
      <c r="S1232" s="54">
        <v>0</v>
      </c>
      <c r="T1232" s="54">
        <v>0</v>
      </c>
      <c r="U1232" s="54">
        <v>45000</v>
      </c>
      <c r="V1232" s="54">
        <v>45000</v>
      </c>
      <c r="W1232" s="54">
        <v>45000</v>
      </c>
    </row>
    <row r="1233" spans="1:23" outlineLevel="2" x14ac:dyDescent="0.2">
      <c r="A1233" s="21" t="s">
        <v>402</v>
      </c>
      <c r="B1233" s="21" t="s">
        <v>31</v>
      </c>
      <c r="C1233" s="21" t="s">
        <v>32</v>
      </c>
      <c r="D1233" s="21" t="s">
        <v>141</v>
      </c>
      <c r="E1233" s="21" t="s">
        <v>142</v>
      </c>
      <c r="F1233" s="21" t="s">
        <v>5</v>
      </c>
      <c r="G1233" s="21" t="s">
        <v>6</v>
      </c>
      <c r="H1233" s="21" t="s">
        <v>7</v>
      </c>
      <c r="I1233" s="21" t="s">
        <v>8</v>
      </c>
      <c r="J1233" s="21" t="s">
        <v>403</v>
      </c>
      <c r="K1233" s="21" t="s">
        <v>677</v>
      </c>
      <c r="L1233" s="21" t="s">
        <v>680</v>
      </c>
      <c r="M1233" s="21" t="s">
        <v>12</v>
      </c>
      <c r="N1233" s="54">
        <v>0</v>
      </c>
      <c r="O1233" s="54">
        <v>5500</v>
      </c>
      <c r="P1233" s="54">
        <v>0</v>
      </c>
      <c r="Q1233" s="54">
        <v>5500</v>
      </c>
      <c r="R1233" s="54">
        <v>0</v>
      </c>
      <c r="S1233" s="54">
        <v>0</v>
      </c>
      <c r="T1233" s="54">
        <v>0</v>
      </c>
      <c r="U1233" s="54">
        <v>5500</v>
      </c>
      <c r="V1233" s="54">
        <v>5500</v>
      </c>
      <c r="W1233" s="54">
        <v>5500</v>
      </c>
    </row>
    <row r="1234" spans="1:23" outlineLevel="2" x14ac:dyDescent="0.2">
      <c r="A1234" s="21" t="s">
        <v>402</v>
      </c>
      <c r="B1234" s="21" t="s">
        <v>39</v>
      </c>
      <c r="C1234" s="21" t="s">
        <v>58</v>
      </c>
      <c r="D1234" s="21" t="s">
        <v>149</v>
      </c>
      <c r="E1234" s="21" t="s">
        <v>150</v>
      </c>
      <c r="F1234" s="21" t="s">
        <v>5</v>
      </c>
      <c r="G1234" s="21" t="s">
        <v>6</v>
      </c>
      <c r="H1234" s="21" t="s">
        <v>7</v>
      </c>
      <c r="I1234" s="21" t="s">
        <v>8</v>
      </c>
      <c r="J1234" s="21" t="s">
        <v>403</v>
      </c>
      <c r="K1234" s="21" t="s">
        <v>677</v>
      </c>
      <c r="L1234" s="21" t="s">
        <v>678</v>
      </c>
      <c r="M1234" s="21" t="s">
        <v>12</v>
      </c>
      <c r="N1234" s="54">
        <v>0</v>
      </c>
      <c r="O1234" s="54">
        <v>7950.88</v>
      </c>
      <c r="P1234" s="54">
        <v>0</v>
      </c>
      <c r="Q1234" s="54">
        <v>7950.88</v>
      </c>
      <c r="R1234" s="54">
        <v>0.01</v>
      </c>
      <c r="S1234" s="54">
        <v>7950.87</v>
      </c>
      <c r="T1234" s="54">
        <v>7950.87</v>
      </c>
      <c r="U1234" s="54">
        <v>0.01</v>
      </c>
      <c r="V1234" s="54">
        <v>0.01</v>
      </c>
      <c r="W1234" s="54">
        <v>0</v>
      </c>
    </row>
    <row r="1235" spans="1:23" outlineLevel="2" x14ac:dyDescent="0.2">
      <c r="A1235" s="21" t="s">
        <v>402</v>
      </c>
      <c r="B1235" s="21" t="s">
        <v>39</v>
      </c>
      <c r="C1235" s="21" t="s">
        <v>58</v>
      </c>
      <c r="D1235" s="21" t="s">
        <v>137</v>
      </c>
      <c r="E1235" s="21" t="s">
        <v>138</v>
      </c>
      <c r="F1235" s="21" t="s">
        <v>5</v>
      </c>
      <c r="G1235" s="21" t="s">
        <v>6</v>
      </c>
      <c r="H1235" s="21" t="s">
        <v>7</v>
      </c>
      <c r="I1235" s="21" t="s">
        <v>8</v>
      </c>
      <c r="J1235" s="21" t="s">
        <v>403</v>
      </c>
      <c r="K1235" s="21" t="s">
        <v>677</v>
      </c>
      <c r="L1235" s="21" t="s">
        <v>678</v>
      </c>
      <c r="M1235" s="21" t="s">
        <v>12</v>
      </c>
      <c r="N1235" s="54">
        <v>0</v>
      </c>
      <c r="O1235" s="54">
        <v>20000</v>
      </c>
      <c r="P1235" s="54">
        <v>0</v>
      </c>
      <c r="Q1235" s="54">
        <v>20000</v>
      </c>
      <c r="R1235" s="54">
        <v>20000</v>
      </c>
      <c r="S1235" s="54">
        <v>0</v>
      </c>
      <c r="T1235" s="54">
        <v>0</v>
      </c>
      <c r="U1235" s="54">
        <v>20000</v>
      </c>
      <c r="V1235" s="54">
        <v>20000</v>
      </c>
      <c r="W1235" s="54">
        <v>0</v>
      </c>
    </row>
    <row r="1236" spans="1:23" outlineLevel="2" x14ac:dyDescent="0.2">
      <c r="A1236" s="21" t="s">
        <v>402</v>
      </c>
      <c r="B1236" s="21" t="s">
        <v>39</v>
      </c>
      <c r="C1236" s="21" t="s">
        <v>58</v>
      </c>
      <c r="D1236" s="21" t="s">
        <v>135</v>
      </c>
      <c r="E1236" s="21" t="s">
        <v>136</v>
      </c>
      <c r="F1236" s="21" t="s">
        <v>5</v>
      </c>
      <c r="G1236" s="21" t="s">
        <v>6</v>
      </c>
      <c r="H1236" s="21" t="s">
        <v>7</v>
      </c>
      <c r="I1236" s="21" t="s">
        <v>8</v>
      </c>
      <c r="J1236" s="21" t="s">
        <v>403</v>
      </c>
      <c r="K1236" s="21" t="s">
        <v>677</v>
      </c>
      <c r="L1236" s="21" t="s">
        <v>678</v>
      </c>
      <c r="M1236" s="21" t="s">
        <v>12</v>
      </c>
      <c r="N1236" s="54">
        <v>17000</v>
      </c>
      <c r="O1236" s="54">
        <v>30940.19</v>
      </c>
      <c r="P1236" s="54">
        <v>0</v>
      </c>
      <c r="Q1236" s="54">
        <v>47940.19</v>
      </c>
      <c r="R1236" s="54">
        <v>0</v>
      </c>
      <c r="S1236" s="54">
        <v>0</v>
      </c>
      <c r="T1236" s="54">
        <v>0</v>
      </c>
      <c r="U1236" s="54">
        <v>47940.19</v>
      </c>
      <c r="V1236" s="54">
        <v>47940.19</v>
      </c>
      <c r="W1236" s="54">
        <v>47940.19</v>
      </c>
    </row>
    <row r="1237" spans="1:23" outlineLevel="2" x14ac:dyDescent="0.2">
      <c r="A1237" s="21" t="s">
        <v>402</v>
      </c>
      <c r="B1237" s="21" t="s">
        <v>39</v>
      </c>
      <c r="C1237" s="21" t="s">
        <v>58</v>
      </c>
      <c r="D1237" s="21" t="s">
        <v>59</v>
      </c>
      <c r="E1237" s="21" t="s">
        <v>60</v>
      </c>
      <c r="F1237" s="21" t="s">
        <v>5</v>
      </c>
      <c r="G1237" s="21" t="s">
        <v>6</v>
      </c>
      <c r="H1237" s="21" t="s">
        <v>7</v>
      </c>
      <c r="I1237" s="21" t="s">
        <v>8</v>
      </c>
      <c r="J1237" s="21" t="s">
        <v>403</v>
      </c>
      <c r="K1237" s="21" t="s">
        <v>677</v>
      </c>
      <c r="L1237" s="21" t="s">
        <v>678</v>
      </c>
      <c r="M1237" s="21" t="s">
        <v>12</v>
      </c>
      <c r="N1237" s="54">
        <v>15000</v>
      </c>
      <c r="O1237" s="54">
        <v>0</v>
      </c>
      <c r="P1237" s="54">
        <v>0</v>
      </c>
      <c r="Q1237" s="54">
        <v>15000</v>
      </c>
      <c r="R1237" s="54">
        <v>0</v>
      </c>
      <c r="S1237" s="54">
        <v>0</v>
      </c>
      <c r="T1237" s="54">
        <v>0</v>
      </c>
      <c r="U1237" s="54">
        <v>15000</v>
      </c>
      <c r="V1237" s="54">
        <v>15000</v>
      </c>
      <c r="W1237" s="54">
        <v>15000</v>
      </c>
    </row>
    <row r="1238" spans="1:23" outlineLevel="2" x14ac:dyDescent="0.2">
      <c r="A1238" s="21" t="s">
        <v>402</v>
      </c>
      <c r="B1238" s="21" t="s">
        <v>39</v>
      </c>
      <c r="C1238" s="21" t="s">
        <v>58</v>
      </c>
      <c r="D1238" s="21" t="s">
        <v>129</v>
      </c>
      <c r="E1238" s="21" t="s">
        <v>130</v>
      </c>
      <c r="F1238" s="21" t="s">
        <v>5</v>
      </c>
      <c r="G1238" s="21" t="s">
        <v>6</v>
      </c>
      <c r="H1238" s="21" t="s">
        <v>7</v>
      </c>
      <c r="I1238" s="21" t="s">
        <v>8</v>
      </c>
      <c r="J1238" s="21" t="s">
        <v>403</v>
      </c>
      <c r="K1238" s="21" t="s">
        <v>677</v>
      </c>
      <c r="L1238" s="21" t="s">
        <v>678</v>
      </c>
      <c r="M1238" s="21" t="s">
        <v>12</v>
      </c>
      <c r="N1238" s="54">
        <v>5000</v>
      </c>
      <c r="O1238" s="54">
        <v>0</v>
      </c>
      <c r="P1238" s="54">
        <v>0</v>
      </c>
      <c r="Q1238" s="54">
        <v>5000</v>
      </c>
      <c r="R1238" s="54">
        <v>0</v>
      </c>
      <c r="S1238" s="54">
        <v>4989.38</v>
      </c>
      <c r="T1238" s="54">
        <v>4989.38</v>
      </c>
      <c r="U1238" s="54">
        <v>10.62</v>
      </c>
      <c r="V1238" s="54">
        <v>10.62</v>
      </c>
      <c r="W1238" s="54">
        <v>10.62</v>
      </c>
    </row>
    <row r="1239" spans="1:23" outlineLevel="2" x14ac:dyDescent="0.2">
      <c r="A1239" s="21" t="s">
        <v>402</v>
      </c>
      <c r="B1239" s="21" t="s">
        <v>31</v>
      </c>
      <c r="C1239" s="21" t="s">
        <v>79</v>
      </c>
      <c r="D1239" s="21" t="s">
        <v>131</v>
      </c>
      <c r="E1239" s="21" t="s">
        <v>132</v>
      </c>
      <c r="F1239" s="21" t="s">
        <v>5</v>
      </c>
      <c r="G1239" s="21" t="s">
        <v>6</v>
      </c>
      <c r="H1239" s="21" t="s">
        <v>7</v>
      </c>
      <c r="I1239" s="21" t="s">
        <v>8</v>
      </c>
      <c r="J1239" s="21" t="s">
        <v>403</v>
      </c>
      <c r="K1239" s="21" t="s">
        <v>677</v>
      </c>
      <c r="L1239" s="21" t="s">
        <v>682</v>
      </c>
      <c r="M1239" s="21" t="s">
        <v>12</v>
      </c>
      <c r="N1239" s="54">
        <v>18000</v>
      </c>
      <c r="O1239" s="54">
        <v>0</v>
      </c>
      <c r="P1239" s="54">
        <v>0</v>
      </c>
      <c r="Q1239" s="54">
        <v>18000</v>
      </c>
      <c r="R1239" s="54">
        <v>0</v>
      </c>
      <c r="S1239" s="54">
        <v>0</v>
      </c>
      <c r="T1239" s="54">
        <v>0</v>
      </c>
      <c r="U1239" s="54">
        <v>18000</v>
      </c>
      <c r="V1239" s="54">
        <v>18000</v>
      </c>
      <c r="W1239" s="54">
        <v>18000</v>
      </c>
    </row>
    <row r="1240" spans="1:23" outlineLevel="2" x14ac:dyDescent="0.2">
      <c r="A1240" s="21" t="s">
        <v>402</v>
      </c>
      <c r="B1240" s="21" t="s">
        <v>39</v>
      </c>
      <c r="C1240" s="21" t="s">
        <v>66</v>
      </c>
      <c r="D1240" s="21" t="s">
        <v>67</v>
      </c>
      <c r="E1240" s="21" t="s">
        <v>68</v>
      </c>
      <c r="F1240" s="21" t="s">
        <v>5</v>
      </c>
      <c r="G1240" s="21" t="s">
        <v>6</v>
      </c>
      <c r="H1240" s="21" t="s">
        <v>7</v>
      </c>
      <c r="I1240" s="21" t="s">
        <v>8</v>
      </c>
      <c r="J1240" s="21" t="s">
        <v>403</v>
      </c>
      <c r="K1240" s="21" t="s">
        <v>677</v>
      </c>
      <c r="L1240" s="21" t="s">
        <v>686</v>
      </c>
      <c r="M1240" s="21" t="s">
        <v>12</v>
      </c>
      <c r="N1240" s="54">
        <v>100</v>
      </c>
      <c r="O1240" s="54">
        <v>-100</v>
      </c>
      <c r="P1240" s="54">
        <v>0</v>
      </c>
      <c r="Q1240" s="54">
        <v>0</v>
      </c>
      <c r="R1240" s="54">
        <v>0</v>
      </c>
      <c r="S1240" s="54">
        <v>0</v>
      </c>
      <c r="T1240" s="54">
        <v>0</v>
      </c>
      <c r="U1240" s="54">
        <v>0</v>
      </c>
      <c r="V1240" s="54">
        <v>0</v>
      </c>
      <c r="W1240" s="54">
        <v>0</v>
      </c>
    </row>
    <row r="1241" spans="1:23" outlineLevel="2" x14ac:dyDescent="0.2">
      <c r="A1241" s="21" t="s">
        <v>402</v>
      </c>
      <c r="B1241" s="21" t="s">
        <v>31</v>
      </c>
      <c r="C1241" s="21" t="s">
        <v>79</v>
      </c>
      <c r="D1241" s="21" t="s">
        <v>127</v>
      </c>
      <c r="E1241" s="21" t="s">
        <v>128</v>
      </c>
      <c r="F1241" s="21" t="s">
        <v>5</v>
      </c>
      <c r="G1241" s="21" t="s">
        <v>6</v>
      </c>
      <c r="H1241" s="21" t="s">
        <v>7</v>
      </c>
      <c r="I1241" s="21" t="s">
        <v>8</v>
      </c>
      <c r="J1241" s="21" t="s">
        <v>403</v>
      </c>
      <c r="K1241" s="21" t="s">
        <v>677</v>
      </c>
      <c r="L1241" s="21" t="s">
        <v>682</v>
      </c>
      <c r="M1241" s="21" t="s">
        <v>12</v>
      </c>
      <c r="N1241" s="54">
        <v>3000</v>
      </c>
      <c r="O1241" s="54">
        <v>0</v>
      </c>
      <c r="P1241" s="54">
        <v>0</v>
      </c>
      <c r="Q1241" s="54">
        <v>3000</v>
      </c>
      <c r="R1241" s="54">
        <v>0.06</v>
      </c>
      <c r="S1241" s="54">
        <v>2999.94</v>
      </c>
      <c r="T1241" s="54">
        <v>2999.94</v>
      </c>
      <c r="U1241" s="54">
        <v>0.06</v>
      </c>
      <c r="V1241" s="54">
        <v>0.06</v>
      </c>
      <c r="W1241" s="54">
        <v>0</v>
      </c>
    </row>
    <row r="1242" spans="1:23" outlineLevel="2" x14ac:dyDescent="0.2">
      <c r="A1242" s="21" t="s">
        <v>402</v>
      </c>
      <c r="B1242" s="21" t="s">
        <v>39</v>
      </c>
      <c r="C1242" s="21" t="s">
        <v>95</v>
      </c>
      <c r="D1242" s="21" t="s">
        <v>96</v>
      </c>
      <c r="E1242" s="21" t="s">
        <v>97</v>
      </c>
      <c r="F1242" s="21" t="s">
        <v>5</v>
      </c>
      <c r="G1242" s="21" t="s">
        <v>6</v>
      </c>
      <c r="H1242" s="21" t="s">
        <v>7</v>
      </c>
      <c r="I1242" s="21" t="s">
        <v>8</v>
      </c>
      <c r="J1242" s="21" t="s">
        <v>403</v>
      </c>
      <c r="K1242" s="21" t="s">
        <v>677</v>
      </c>
      <c r="L1242" s="21" t="s">
        <v>681</v>
      </c>
      <c r="M1242" s="21" t="s">
        <v>12</v>
      </c>
      <c r="N1242" s="54">
        <v>0</v>
      </c>
      <c r="O1242" s="54">
        <v>3000</v>
      </c>
      <c r="P1242" s="54">
        <v>0</v>
      </c>
      <c r="Q1242" s="54">
        <v>3000</v>
      </c>
      <c r="R1242" s="54">
        <v>0</v>
      </c>
      <c r="S1242" s="54">
        <v>0</v>
      </c>
      <c r="T1242" s="54">
        <v>0</v>
      </c>
      <c r="U1242" s="54">
        <v>3000</v>
      </c>
      <c r="V1242" s="54">
        <v>3000</v>
      </c>
      <c r="W1242" s="54">
        <v>3000</v>
      </c>
    </row>
    <row r="1243" spans="1:23" outlineLevel="2" x14ac:dyDescent="0.2">
      <c r="A1243" s="21" t="s">
        <v>402</v>
      </c>
      <c r="B1243" s="21" t="s">
        <v>31</v>
      </c>
      <c r="C1243" s="21" t="s">
        <v>32</v>
      </c>
      <c r="D1243" s="21" t="s">
        <v>75</v>
      </c>
      <c r="E1243" s="21" t="s">
        <v>76</v>
      </c>
      <c r="F1243" s="21" t="s">
        <v>5</v>
      </c>
      <c r="G1243" s="21" t="s">
        <v>6</v>
      </c>
      <c r="H1243" s="21" t="s">
        <v>7</v>
      </c>
      <c r="I1243" s="21" t="s">
        <v>8</v>
      </c>
      <c r="J1243" s="21" t="s">
        <v>403</v>
      </c>
      <c r="K1243" s="21" t="s">
        <v>677</v>
      </c>
      <c r="L1243" s="21" t="s">
        <v>680</v>
      </c>
      <c r="M1243" s="21" t="s">
        <v>12</v>
      </c>
      <c r="N1243" s="54">
        <v>5000</v>
      </c>
      <c r="O1243" s="54">
        <v>0</v>
      </c>
      <c r="P1243" s="54">
        <v>0</v>
      </c>
      <c r="Q1243" s="54">
        <v>5000</v>
      </c>
      <c r="R1243" s="54">
        <v>0.01</v>
      </c>
      <c r="S1243" s="54">
        <v>4999.99</v>
      </c>
      <c r="T1243" s="54">
        <v>4999.99</v>
      </c>
      <c r="U1243" s="54">
        <v>0.01</v>
      </c>
      <c r="V1243" s="54">
        <v>0.01</v>
      </c>
      <c r="W1243" s="54">
        <v>0</v>
      </c>
    </row>
    <row r="1244" spans="1:23" outlineLevel="2" x14ac:dyDescent="0.2">
      <c r="A1244" s="21" t="s">
        <v>402</v>
      </c>
      <c r="B1244" s="21" t="s">
        <v>1</v>
      </c>
      <c r="C1244" s="21" t="s">
        <v>2</v>
      </c>
      <c r="D1244" s="21" t="s">
        <v>410</v>
      </c>
      <c r="E1244" s="21" t="s">
        <v>411</v>
      </c>
      <c r="F1244" s="21" t="s">
        <v>5</v>
      </c>
      <c r="G1244" s="21" t="s">
        <v>6</v>
      </c>
      <c r="H1244" s="21" t="s">
        <v>7</v>
      </c>
      <c r="I1244" s="21" t="s">
        <v>8</v>
      </c>
      <c r="J1244" s="21" t="s">
        <v>403</v>
      </c>
      <c r="K1244" s="21" t="s">
        <v>687</v>
      </c>
      <c r="L1244" s="21" t="s">
        <v>688</v>
      </c>
      <c r="M1244" s="21" t="s">
        <v>15</v>
      </c>
      <c r="N1244" s="54">
        <v>1000</v>
      </c>
      <c r="O1244" s="54">
        <v>0</v>
      </c>
      <c r="P1244" s="54">
        <v>0</v>
      </c>
      <c r="Q1244" s="54">
        <v>1000</v>
      </c>
      <c r="R1244" s="54">
        <v>0</v>
      </c>
      <c r="S1244" s="54">
        <v>1000</v>
      </c>
      <c r="T1244" s="54">
        <v>105.03</v>
      </c>
      <c r="U1244" s="54">
        <v>0</v>
      </c>
      <c r="V1244" s="54">
        <v>894.97</v>
      </c>
      <c r="W1244" s="54">
        <v>0</v>
      </c>
    </row>
    <row r="1245" spans="1:23" outlineLevel="2" x14ac:dyDescent="0.2">
      <c r="A1245" s="21" t="s">
        <v>402</v>
      </c>
      <c r="B1245" s="21" t="s">
        <v>39</v>
      </c>
      <c r="C1245" s="21" t="s">
        <v>58</v>
      </c>
      <c r="D1245" s="21" t="s">
        <v>143</v>
      </c>
      <c r="E1245" s="21" t="s">
        <v>144</v>
      </c>
      <c r="F1245" s="21" t="s">
        <v>5</v>
      </c>
      <c r="G1245" s="21" t="s">
        <v>6</v>
      </c>
      <c r="H1245" s="21" t="s">
        <v>7</v>
      </c>
      <c r="I1245" s="21" t="s">
        <v>8</v>
      </c>
      <c r="J1245" s="21" t="s">
        <v>403</v>
      </c>
      <c r="K1245" s="21" t="s">
        <v>689</v>
      </c>
      <c r="L1245" s="21" t="s">
        <v>692</v>
      </c>
      <c r="M1245" s="21" t="s">
        <v>12</v>
      </c>
      <c r="N1245" s="54">
        <v>0</v>
      </c>
      <c r="O1245" s="54">
        <v>1000</v>
      </c>
      <c r="P1245" s="54">
        <v>0</v>
      </c>
      <c r="Q1245" s="54">
        <v>1000</v>
      </c>
      <c r="R1245" s="54">
        <v>0</v>
      </c>
      <c r="S1245" s="54">
        <v>85.12</v>
      </c>
      <c r="T1245" s="54">
        <v>85.12</v>
      </c>
      <c r="U1245" s="54">
        <v>914.88</v>
      </c>
      <c r="V1245" s="54">
        <v>914.88</v>
      </c>
      <c r="W1245" s="54">
        <v>914.88</v>
      </c>
    </row>
    <row r="1246" spans="1:23" outlineLevel="2" x14ac:dyDescent="0.2">
      <c r="A1246" s="21" t="s">
        <v>402</v>
      </c>
      <c r="B1246" s="21" t="s">
        <v>53</v>
      </c>
      <c r="C1246" s="21" t="s">
        <v>54</v>
      </c>
      <c r="D1246" s="21" t="s">
        <v>55</v>
      </c>
      <c r="E1246" s="21" t="s">
        <v>56</v>
      </c>
      <c r="F1246" s="21" t="s">
        <v>5</v>
      </c>
      <c r="G1246" s="21" t="s">
        <v>6</v>
      </c>
      <c r="H1246" s="21" t="s">
        <v>7</v>
      </c>
      <c r="I1246" s="21" t="s">
        <v>8</v>
      </c>
      <c r="J1246" s="21" t="s">
        <v>403</v>
      </c>
      <c r="K1246" s="21" t="s">
        <v>689</v>
      </c>
      <c r="L1246" s="21" t="s">
        <v>2049</v>
      </c>
      <c r="M1246" s="21" t="s">
        <v>12</v>
      </c>
      <c r="N1246" s="54">
        <v>0</v>
      </c>
      <c r="O1246" s="54">
        <v>1000</v>
      </c>
      <c r="P1246" s="54">
        <v>0</v>
      </c>
      <c r="Q1246" s="54">
        <v>1000</v>
      </c>
      <c r="R1246" s="54">
        <v>0</v>
      </c>
      <c r="S1246" s="54">
        <v>0</v>
      </c>
      <c r="T1246" s="54">
        <v>0</v>
      </c>
      <c r="U1246" s="54">
        <v>1000</v>
      </c>
      <c r="V1246" s="54">
        <v>1000</v>
      </c>
      <c r="W1246" s="54">
        <v>1000</v>
      </c>
    </row>
    <row r="1247" spans="1:23" outlineLevel="2" x14ac:dyDescent="0.2">
      <c r="A1247" s="21" t="s">
        <v>402</v>
      </c>
      <c r="B1247" s="21" t="s">
        <v>39</v>
      </c>
      <c r="C1247" s="21" t="s">
        <v>70</v>
      </c>
      <c r="D1247" s="21" t="s">
        <v>89</v>
      </c>
      <c r="E1247" s="21" t="s">
        <v>90</v>
      </c>
      <c r="F1247" s="21" t="s">
        <v>5</v>
      </c>
      <c r="G1247" s="21" t="s">
        <v>6</v>
      </c>
      <c r="H1247" s="21" t="s">
        <v>7</v>
      </c>
      <c r="I1247" s="21" t="s">
        <v>8</v>
      </c>
      <c r="J1247" s="21" t="s">
        <v>403</v>
      </c>
      <c r="K1247" s="21" t="s">
        <v>689</v>
      </c>
      <c r="L1247" s="21" t="s">
        <v>690</v>
      </c>
      <c r="M1247" s="21" t="s">
        <v>12</v>
      </c>
      <c r="N1247" s="54">
        <v>0</v>
      </c>
      <c r="O1247" s="54">
        <v>1650</v>
      </c>
      <c r="P1247" s="54">
        <v>0</v>
      </c>
      <c r="Q1247" s="54">
        <v>1650</v>
      </c>
      <c r="R1247" s="54">
        <v>0</v>
      </c>
      <c r="S1247" s="54">
        <v>1641.02</v>
      </c>
      <c r="T1247" s="54">
        <v>1641.02</v>
      </c>
      <c r="U1247" s="54">
        <v>8.98</v>
      </c>
      <c r="V1247" s="54">
        <v>8.98</v>
      </c>
      <c r="W1247" s="54">
        <v>8.98</v>
      </c>
    </row>
    <row r="1248" spans="1:23" outlineLevel="2" x14ac:dyDescent="0.2">
      <c r="A1248" s="21" t="s">
        <v>402</v>
      </c>
      <c r="B1248" s="21" t="s">
        <v>1</v>
      </c>
      <c r="C1248" s="21" t="s">
        <v>2</v>
      </c>
      <c r="D1248" s="21" t="s">
        <v>410</v>
      </c>
      <c r="E1248" s="21" t="s">
        <v>411</v>
      </c>
      <c r="F1248" s="21" t="s">
        <v>5</v>
      </c>
      <c r="G1248" s="21" t="s">
        <v>6</v>
      </c>
      <c r="H1248" s="21" t="s">
        <v>7</v>
      </c>
      <c r="I1248" s="21" t="s">
        <v>8</v>
      </c>
      <c r="J1248" s="21" t="s">
        <v>403</v>
      </c>
      <c r="K1248" s="21" t="s">
        <v>689</v>
      </c>
      <c r="L1248" s="21" t="s">
        <v>691</v>
      </c>
      <c r="M1248" s="21" t="s">
        <v>15</v>
      </c>
      <c r="N1248" s="54">
        <v>1000</v>
      </c>
      <c r="O1248" s="54">
        <v>0</v>
      </c>
      <c r="P1248" s="54">
        <v>0</v>
      </c>
      <c r="Q1248" s="54">
        <v>1000</v>
      </c>
      <c r="R1248" s="54">
        <v>0</v>
      </c>
      <c r="S1248" s="54">
        <v>1000</v>
      </c>
      <c r="T1248" s="54">
        <v>0</v>
      </c>
      <c r="U1248" s="54">
        <v>0</v>
      </c>
      <c r="V1248" s="54">
        <v>1000</v>
      </c>
      <c r="W1248" s="54">
        <v>0</v>
      </c>
    </row>
    <row r="1249" spans="1:23" outlineLevel="2" x14ac:dyDescent="0.2">
      <c r="A1249" s="21" t="s">
        <v>402</v>
      </c>
      <c r="B1249" s="21" t="s">
        <v>39</v>
      </c>
      <c r="C1249" s="21" t="s">
        <v>95</v>
      </c>
      <c r="D1249" s="21" t="s">
        <v>96</v>
      </c>
      <c r="E1249" s="21" t="s">
        <v>97</v>
      </c>
      <c r="F1249" s="21" t="s">
        <v>5</v>
      </c>
      <c r="G1249" s="21" t="s">
        <v>6</v>
      </c>
      <c r="H1249" s="21" t="s">
        <v>7</v>
      </c>
      <c r="I1249" s="21" t="s">
        <v>8</v>
      </c>
      <c r="J1249" s="21" t="s">
        <v>403</v>
      </c>
      <c r="K1249" s="21" t="s">
        <v>693</v>
      </c>
      <c r="L1249" s="21" t="s">
        <v>694</v>
      </c>
      <c r="M1249" s="21" t="s">
        <v>12</v>
      </c>
      <c r="N1249" s="54">
        <v>18000</v>
      </c>
      <c r="O1249" s="54">
        <v>17291.599999999999</v>
      </c>
      <c r="P1249" s="54">
        <v>0</v>
      </c>
      <c r="Q1249" s="54">
        <v>35291.599999999999</v>
      </c>
      <c r="R1249" s="54">
        <v>26291.56</v>
      </c>
      <c r="S1249" s="54">
        <v>0</v>
      </c>
      <c r="T1249" s="54">
        <v>0</v>
      </c>
      <c r="U1249" s="54">
        <v>35291.599999999999</v>
      </c>
      <c r="V1249" s="54">
        <v>35291.599999999999</v>
      </c>
      <c r="W1249" s="54">
        <v>9000.0400000000009</v>
      </c>
    </row>
    <row r="1250" spans="1:23" outlineLevel="2" x14ac:dyDescent="0.2">
      <c r="A1250" s="21" t="s">
        <v>402</v>
      </c>
      <c r="B1250" s="21" t="s">
        <v>39</v>
      </c>
      <c r="C1250" s="21" t="s">
        <v>58</v>
      </c>
      <c r="D1250" s="21" t="s">
        <v>149</v>
      </c>
      <c r="E1250" s="21" t="s">
        <v>150</v>
      </c>
      <c r="F1250" s="21" t="s">
        <v>5</v>
      </c>
      <c r="G1250" s="21" t="s">
        <v>6</v>
      </c>
      <c r="H1250" s="21" t="s">
        <v>7</v>
      </c>
      <c r="I1250" s="21" t="s">
        <v>8</v>
      </c>
      <c r="J1250" s="21" t="s">
        <v>403</v>
      </c>
      <c r="K1250" s="21" t="s">
        <v>693</v>
      </c>
      <c r="L1250" s="21" t="s">
        <v>695</v>
      </c>
      <c r="M1250" s="21" t="s">
        <v>12</v>
      </c>
      <c r="N1250" s="54">
        <v>300</v>
      </c>
      <c r="O1250" s="54">
        <v>0</v>
      </c>
      <c r="P1250" s="54">
        <v>0</v>
      </c>
      <c r="Q1250" s="54">
        <v>300</v>
      </c>
      <c r="R1250" s="54">
        <v>0</v>
      </c>
      <c r="S1250" s="54">
        <v>0</v>
      </c>
      <c r="T1250" s="54">
        <v>0</v>
      </c>
      <c r="U1250" s="54">
        <v>300</v>
      </c>
      <c r="V1250" s="54">
        <v>300</v>
      </c>
      <c r="W1250" s="54">
        <v>300</v>
      </c>
    </row>
    <row r="1251" spans="1:23" outlineLevel="2" x14ac:dyDescent="0.2">
      <c r="A1251" s="21" t="s">
        <v>402</v>
      </c>
      <c r="B1251" s="21" t="s">
        <v>39</v>
      </c>
      <c r="C1251" s="21" t="s">
        <v>40</v>
      </c>
      <c r="D1251" s="21" t="s">
        <v>77</v>
      </c>
      <c r="E1251" s="21" t="s">
        <v>78</v>
      </c>
      <c r="F1251" s="21" t="s">
        <v>5</v>
      </c>
      <c r="G1251" s="21" t="s">
        <v>6</v>
      </c>
      <c r="H1251" s="21" t="s">
        <v>7</v>
      </c>
      <c r="I1251" s="21" t="s">
        <v>8</v>
      </c>
      <c r="J1251" s="21" t="s">
        <v>403</v>
      </c>
      <c r="K1251" s="21" t="s">
        <v>696</v>
      </c>
      <c r="L1251" s="21" t="s">
        <v>700</v>
      </c>
      <c r="M1251" s="21" t="s">
        <v>12</v>
      </c>
      <c r="N1251" s="54">
        <v>0</v>
      </c>
      <c r="O1251" s="54">
        <v>1450</v>
      </c>
      <c r="P1251" s="54">
        <v>0</v>
      </c>
      <c r="Q1251" s="54">
        <v>1450</v>
      </c>
      <c r="R1251" s="54">
        <v>0</v>
      </c>
      <c r="S1251" s="54">
        <v>1450</v>
      </c>
      <c r="T1251" s="54">
        <v>906.19</v>
      </c>
      <c r="U1251" s="54">
        <v>0</v>
      </c>
      <c r="V1251" s="54">
        <v>543.80999999999995</v>
      </c>
      <c r="W1251" s="54">
        <v>0</v>
      </c>
    </row>
    <row r="1252" spans="1:23" outlineLevel="2" x14ac:dyDescent="0.2">
      <c r="A1252" s="21" t="s">
        <v>402</v>
      </c>
      <c r="B1252" s="21" t="s">
        <v>31</v>
      </c>
      <c r="C1252" s="21" t="s">
        <v>32</v>
      </c>
      <c r="D1252" s="21" t="s">
        <v>33</v>
      </c>
      <c r="E1252" s="21" t="s">
        <v>34</v>
      </c>
      <c r="F1252" s="21" t="s">
        <v>5</v>
      </c>
      <c r="G1252" s="21" t="s">
        <v>6</v>
      </c>
      <c r="H1252" s="21" t="s">
        <v>7</v>
      </c>
      <c r="I1252" s="21" t="s">
        <v>8</v>
      </c>
      <c r="J1252" s="21" t="s">
        <v>403</v>
      </c>
      <c r="K1252" s="21" t="s">
        <v>696</v>
      </c>
      <c r="L1252" s="21" t="s">
        <v>702</v>
      </c>
      <c r="M1252" s="21" t="s">
        <v>12</v>
      </c>
      <c r="N1252" s="54">
        <v>10000</v>
      </c>
      <c r="O1252" s="54">
        <v>-584.35</v>
      </c>
      <c r="P1252" s="54">
        <v>0</v>
      </c>
      <c r="Q1252" s="54">
        <v>9415.65</v>
      </c>
      <c r="R1252" s="54">
        <v>0</v>
      </c>
      <c r="S1252" s="54">
        <v>0</v>
      </c>
      <c r="T1252" s="54">
        <v>0</v>
      </c>
      <c r="U1252" s="54">
        <v>9415.65</v>
      </c>
      <c r="V1252" s="54">
        <v>9415.65</v>
      </c>
      <c r="W1252" s="54">
        <v>9415.65</v>
      </c>
    </row>
    <row r="1253" spans="1:23" outlineLevel="2" x14ac:dyDescent="0.2">
      <c r="A1253" s="21" t="s">
        <v>402</v>
      </c>
      <c r="B1253" s="21" t="s">
        <v>39</v>
      </c>
      <c r="C1253" s="21" t="s">
        <v>58</v>
      </c>
      <c r="D1253" s="21" t="s">
        <v>145</v>
      </c>
      <c r="E1253" s="21" t="s">
        <v>146</v>
      </c>
      <c r="F1253" s="21" t="s">
        <v>5</v>
      </c>
      <c r="G1253" s="21" t="s">
        <v>6</v>
      </c>
      <c r="H1253" s="21" t="s">
        <v>7</v>
      </c>
      <c r="I1253" s="21" t="s">
        <v>8</v>
      </c>
      <c r="J1253" s="21" t="s">
        <v>403</v>
      </c>
      <c r="K1253" s="21" t="s">
        <v>696</v>
      </c>
      <c r="L1253" s="21" t="s">
        <v>699</v>
      </c>
      <c r="M1253" s="21" t="s">
        <v>12</v>
      </c>
      <c r="N1253" s="54">
        <v>2000</v>
      </c>
      <c r="O1253" s="54">
        <v>0</v>
      </c>
      <c r="P1253" s="54">
        <v>0</v>
      </c>
      <c r="Q1253" s="54">
        <v>2000</v>
      </c>
      <c r="R1253" s="54">
        <v>0</v>
      </c>
      <c r="S1253" s="54">
        <v>0</v>
      </c>
      <c r="T1253" s="54">
        <v>0</v>
      </c>
      <c r="U1253" s="54">
        <v>2000</v>
      </c>
      <c r="V1253" s="54">
        <v>2000</v>
      </c>
      <c r="W1253" s="54">
        <v>2000</v>
      </c>
    </row>
    <row r="1254" spans="1:23" outlineLevel="2" x14ac:dyDescent="0.2">
      <c r="A1254" s="21" t="s">
        <v>402</v>
      </c>
      <c r="B1254" s="21" t="s">
        <v>53</v>
      </c>
      <c r="C1254" s="21" t="s">
        <v>54</v>
      </c>
      <c r="D1254" s="21" t="s">
        <v>55</v>
      </c>
      <c r="E1254" s="21" t="s">
        <v>56</v>
      </c>
      <c r="F1254" s="21" t="s">
        <v>5</v>
      </c>
      <c r="G1254" s="21" t="s">
        <v>6</v>
      </c>
      <c r="H1254" s="21" t="s">
        <v>7</v>
      </c>
      <c r="I1254" s="21" t="s">
        <v>8</v>
      </c>
      <c r="J1254" s="21" t="s">
        <v>403</v>
      </c>
      <c r="K1254" s="21" t="s">
        <v>696</v>
      </c>
      <c r="L1254" s="21" t="s">
        <v>704</v>
      </c>
      <c r="M1254" s="21" t="s">
        <v>12</v>
      </c>
      <c r="N1254" s="54">
        <v>7500</v>
      </c>
      <c r="O1254" s="54">
        <v>-7500</v>
      </c>
      <c r="P1254" s="54">
        <v>0</v>
      </c>
      <c r="Q1254" s="54">
        <v>0</v>
      </c>
      <c r="R1254" s="54">
        <v>0</v>
      </c>
      <c r="S1254" s="54">
        <v>0</v>
      </c>
      <c r="T1254" s="54">
        <v>0</v>
      </c>
      <c r="U1254" s="54">
        <v>0</v>
      </c>
      <c r="V1254" s="54">
        <v>0</v>
      </c>
      <c r="W1254" s="54">
        <v>0</v>
      </c>
    </row>
    <row r="1255" spans="1:23" outlineLevel="2" x14ac:dyDescent="0.2">
      <c r="A1255" s="21" t="s">
        <v>402</v>
      </c>
      <c r="B1255" s="21" t="s">
        <v>1</v>
      </c>
      <c r="C1255" s="21" t="s">
        <v>2</v>
      </c>
      <c r="D1255" s="21" t="s">
        <v>410</v>
      </c>
      <c r="E1255" s="21" t="s">
        <v>411</v>
      </c>
      <c r="F1255" s="21" t="s">
        <v>5</v>
      </c>
      <c r="G1255" s="21" t="s">
        <v>6</v>
      </c>
      <c r="H1255" s="21" t="s">
        <v>7</v>
      </c>
      <c r="I1255" s="21" t="s">
        <v>8</v>
      </c>
      <c r="J1255" s="21" t="s">
        <v>403</v>
      </c>
      <c r="K1255" s="21" t="s">
        <v>696</v>
      </c>
      <c r="L1255" s="21" t="s">
        <v>701</v>
      </c>
      <c r="M1255" s="21" t="s">
        <v>15</v>
      </c>
      <c r="N1255" s="54">
        <v>34000</v>
      </c>
      <c r="O1255" s="54">
        <v>0</v>
      </c>
      <c r="P1255" s="54">
        <v>0</v>
      </c>
      <c r="Q1255" s="54">
        <v>34000</v>
      </c>
      <c r="R1255" s="54">
        <v>31000</v>
      </c>
      <c r="S1255" s="54">
        <v>3000</v>
      </c>
      <c r="T1255" s="54">
        <v>246.12</v>
      </c>
      <c r="U1255" s="54">
        <v>31000</v>
      </c>
      <c r="V1255" s="54">
        <v>33753.879999999997</v>
      </c>
      <c r="W1255" s="54">
        <v>0</v>
      </c>
    </row>
    <row r="1256" spans="1:23" outlineLevel="2" x14ac:dyDescent="0.2">
      <c r="A1256" s="21" t="s">
        <v>402</v>
      </c>
      <c r="B1256" s="21" t="s">
        <v>39</v>
      </c>
      <c r="C1256" s="21" t="s">
        <v>58</v>
      </c>
      <c r="D1256" s="21" t="s">
        <v>135</v>
      </c>
      <c r="E1256" s="21" t="s">
        <v>136</v>
      </c>
      <c r="F1256" s="21" t="s">
        <v>5</v>
      </c>
      <c r="G1256" s="21" t="s">
        <v>6</v>
      </c>
      <c r="H1256" s="21" t="s">
        <v>7</v>
      </c>
      <c r="I1256" s="21" t="s">
        <v>8</v>
      </c>
      <c r="J1256" s="21" t="s">
        <v>403</v>
      </c>
      <c r="K1256" s="21" t="s">
        <v>696</v>
      </c>
      <c r="L1256" s="21" t="s">
        <v>699</v>
      </c>
      <c r="M1256" s="21" t="s">
        <v>12</v>
      </c>
      <c r="N1256" s="54">
        <v>0</v>
      </c>
      <c r="O1256" s="54">
        <v>7000</v>
      </c>
      <c r="P1256" s="54">
        <v>0</v>
      </c>
      <c r="Q1256" s="54">
        <v>7000</v>
      </c>
      <c r="R1256" s="54">
        <v>3423</v>
      </c>
      <c r="S1256" s="54">
        <v>342.26</v>
      </c>
      <c r="T1256" s="54">
        <v>242.4</v>
      </c>
      <c r="U1256" s="54">
        <v>6657.74</v>
      </c>
      <c r="V1256" s="54">
        <v>6757.6</v>
      </c>
      <c r="W1256" s="54">
        <v>3234.74</v>
      </c>
    </row>
    <row r="1257" spans="1:23" outlineLevel="2" x14ac:dyDescent="0.2">
      <c r="A1257" s="21" t="s">
        <v>402</v>
      </c>
      <c r="B1257" s="21" t="s">
        <v>1</v>
      </c>
      <c r="C1257" s="21" t="s">
        <v>2</v>
      </c>
      <c r="D1257" s="21" t="s">
        <v>25</v>
      </c>
      <c r="E1257" s="21" t="s">
        <v>26</v>
      </c>
      <c r="F1257" s="21" t="s">
        <v>5</v>
      </c>
      <c r="G1257" s="21" t="s">
        <v>6</v>
      </c>
      <c r="H1257" s="21" t="s">
        <v>7</v>
      </c>
      <c r="I1257" s="21" t="s">
        <v>8</v>
      </c>
      <c r="J1257" s="21" t="s">
        <v>403</v>
      </c>
      <c r="K1257" s="21" t="s">
        <v>696</v>
      </c>
      <c r="L1257" s="21" t="s">
        <v>701</v>
      </c>
      <c r="M1257" s="21" t="s">
        <v>15</v>
      </c>
      <c r="N1257" s="54">
        <v>8000</v>
      </c>
      <c r="O1257" s="54">
        <v>-2400</v>
      </c>
      <c r="P1257" s="54">
        <v>0</v>
      </c>
      <c r="Q1257" s="54">
        <v>5600</v>
      </c>
      <c r="R1257" s="54">
        <v>0</v>
      </c>
      <c r="S1257" s="54">
        <v>0</v>
      </c>
      <c r="T1257" s="54">
        <v>0</v>
      </c>
      <c r="U1257" s="54">
        <v>5600</v>
      </c>
      <c r="V1257" s="54">
        <v>5600</v>
      </c>
      <c r="W1257" s="54">
        <v>5600</v>
      </c>
    </row>
    <row r="1258" spans="1:23" outlineLevel="2" x14ac:dyDescent="0.2">
      <c r="A1258" s="21" t="s">
        <v>402</v>
      </c>
      <c r="B1258" s="21" t="s">
        <v>31</v>
      </c>
      <c r="C1258" s="21" t="s">
        <v>79</v>
      </c>
      <c r="D1258" s="21" t="s">
        <v>117</v>
      </c>
      <c r="E1258" s="21" t="s">
        <v>118</v>
      </c>
      <c r="F1258" s="21" t="s">
        <v>5</v>
      </c>
      <c r="G1258" s="21" t="s">
        <v>6</v>
      </c>
      <c r="H1258" s="21" t="s">
        <v>7</v>
      </c>
      <c r="I1258" s="21" t="s">
        <v>8</v>
      </c>
      <c r="J1258" s="21" t="s">
        <v>403</v>
      </c>
      <c r="K1258" s="21" t="s">
        <v>696</v>
      </c>
      <c r="L1258" s="21" t="s">
        <v>697</v>
      </c>
      <c r="M1258" s="21" t="s">
        <v>12</v>
      </c>
      <c r="N1258" s="54">
        <v>8000</v>
      </c>
      <c r="O1258" s="54">
        <v>0</v>
      </c>
      <c r="P1258" s="54">
        <v>0</v>
      </c>
      <c r="Q1258" s="54">
        <v>8000</v>
      </c>
      <c r="R1258" s="54">
        <v>0.35</v>
      </c>
      <c r="S1258" s="54">
        <v>517.65</v>
      </c>
      <c r="T1258" s="54">
        <v>517.65</v>
      </c>
      <c r="U1258" s="54">
        <v>7482.35</v>
      </c>
      <c r="V1258" s="54">
        <v>7482.35</v>
      </c>
      <c r="W1258" s="54">
        <v>7482</v>
      </c>
    </row>
    <row r="1259" spans="1:23" outlineLevel="2" x14ac:dyDescent="0.2">
      <c r="A1259" s="21" t="s">
        <v>402</v>
      </c>
      <c r="B1259" s="21" t="s">
        <v>1</v>
      </c>
      <c r="C1259" s="21" t="s">
        <v>91</v>
      </c>
      <c r="D1259" s="21" t="s">
        <v>92</v>
      </c>
      <c r="E1259" s="21" t="s">
        <v>93</v>
      </c>
      <c r="F1259" s="21" t="s">
        <v>5</v>
      </c>
      <c r="G1259" s="21" t="s">
        <v>6</v>
      </c>
      <c r="H1259" s="21" t="s">
        <v>7</v>
      </c>
      <c r="I1259" s="21" t="s">
        <v>8</v>
      </c>
      <c r="J1259" s="21" t="s">
        <v>403</v>
      </c>
      <c r="K1259" s="21" t="s">
        <v>696</v>
      </c>
      <c r="L1259" s="21" t="s">
        <v>703</v>
      </c>
      <c r="M1259" s="21" t="s">
        <v>15</v>
      </c>
      <c r="N1259" s="54">
        <v>250</v>
      </c>
      <c r="O1259" s="54">
        <v>1477.44</v>
      </c>
      <c r="P1259" s="54">
        <v>0</v>
      </c>
      <c r="Q1259" s="54">
        <v>1727.44</v>
      </c>
      <c r="R1259" s="54">
        <v>0</v>
      </c>
      <c r="S1259" s="54">
        <v>0</v>
      </c>
      <c r="T1259" s="54">
        <v>0</v>
      </c>
      <c r="U1259" s="54">
        <v>1727.44</v>
      </c>
      <c r="V1259" s="54">
        <v>1727.44</v>
      </c>
      <c r="W1259" s="54">
        <v>1727.44</v>
      </c>
    </row>
    <row r="1260" spans="1:23" outlineLevel="2" x14ac:dyDescent="0.2">
      <c r="A1260" s="21" t="s">
        <v>402</v>
      </c>
      <c r="B1260" s="21" t="s">
        <v>31</v>
      </c>
      <c r="C1260" s="21" t="s">
        <v>79</v>
      </c>
      <c r="D1260" s="21" t="s">
        <v>127</v>
      </c>
      <c r="E1260" s="21" t="s">
        <v>128</v>
      </c>
      <c r="F1260" s="21" t="s">
        <v>5</v>
      </c>
      <c r="G1260" s="21" t="s">
        <v>6</v>
      </c>
      <c r="H1260" s="21" t="s">
        <v>7</v>
      </c>
      <c r="I1260" s="21" t="s">
        <v>8</v>
      </c>
      <c r="J1260" s="21" t="s">
        <v>403</v>
      </c>
      <c r="K1260" s="21" t="s">
        <v>696</v>
      </c>
      <c r="L1260" s="21" t="s">
        <v>697</v>
      </c>
      <c r="M1260" s="21" t="s">
        <v>12</v>
      </c>
      <c r="N1260" s="54">
        <v>400</v>
      </c>
      <c r="O1260" s="54">
        <v>-400</v>
      </c>
      <c r="P1260" s="54">
        <v>0</v>
      </c>
      <c r="Q1260" s="54">
        <v>0</v>
      </c>
      <c r="R1260" s="54">
        <v>0</v>
      </c>
      <c r="S1260" s="54">
        <v>0</v>
      </c>
      <c r="T1260" s="54">
        <v>0</v>
      </c>
      <c r="U1260" s="54">
        <v>0</v>
      </c>
      <c r="V1260" s="54">
        <v>0</v>
      </c>
      <c r="W1260" s="54">
        <v>0</v>
      </c>
    </row>
    <row r="1261" spans="1:23" outlineLevel="2" x14ac:dyDescent="0.2">
      <c r="A1261" s="21" t="s">
        <v>402</v>
      </c>
      <c r="B1261" s="21" t="s">
        <v>39</v>
      </c>
      <c r="C1261" s="21" t="s">
        <v>58</v>
      </c>
      <c r="D1261" s="21" t="s">
        <v>147</v>
      </c>
      <c r="E1261" s="21" t="s">
        <v>148</v>
      </c>
      <c r="F1261" s="21" t="s">
        <v>5</v>
      </c>
      <c r="G1261" s="21" t="s">
        <v>6</v>
      </c>
      <c r="H1261" s="21" t="s">
        <v>7</v>
      </c>
      <c r="I1261" s="21" t="s">
        <v>8</v>
      </c>
      <c r="J1261" s="21" t="s">
        <v>403</v>
      </c>
      <c r="K1261" s="21" t="s">
        <v>696</v>
      </c>
      <c r="L1261" s="21" t="s">
        <v>699</v>
      </c>
      <c r="M1261" s="21" t="s">
        <v>12</v>
      </c>
      <c r="N1261" s="54">
        <v>31000</v>
      </c>
      <c r="O1261" s="54">
        <v>0</v>
      </c>
      <c r="P1261" s="54">
        <v>0</v>
      </c>
      <c r="Q1261" s="54">
        <v>31000</v>
      </c>
      <c r="R1261" s="54">
        <v>5058.07</v>
      </c>
      <c r="S1261" s="54">
        <v>25941.93</v>
      </c>
      <c r="T1261" s="54">
        <v>0</v>
      </c>
      <c r="U1261" s="54">
        <v>5058.07</v>
      </c>
      <c r="V1261" s="54">
        <v>31000</v>
      </c>
      <c r="W1261" s="54">
        <v>0</v>
      </c>
    </row>
    <row r="1262" spans="1:23" outlineLevel="2" x14ac:dyDescent="0.2">
      <c r="A1262" s="21" t="s">
        <v>402</v>
      </c>
      <c r="B1262" s="21" t="s">
        <v>31</v>
      </c>
      <c r="C1262" s="21" t="s">
        <v>32</v>
      </c>
      <c r="D1262" s="21" t="s">
        <v>75</v>
      </c>
      <c r="E1262" s="21" t="s">
        <v>76</v>
      </c>
      <c r="F1262" s="21" t="s">
        <v>5</v>
      </c>
      <c r="G1262" s="21" t="s">
        <v>6</v>
      </c>
      <c r="H1262" s="21" t="s">
        <v>7</v>
      </c>
      <c r="I1262" s="21" t="s">
        <v>8</v>
      </c>
      <c r="J1262" s="21" t="s">
        <v>403</v>
      </c>
      <c r="K1262" s="21" t="s">
        <v>696</v>
      </c>
      <c r="L1262" s="21" t="s">
        <v>702</v>
      </c>
      <c r="M1262" s="21" t="s">
        <v>12</v>
      </c>
      <c r="N1262" s="54">
        <v>7000</v>
      </c>
      <c r="O1262" s="54">
        <v>17000</v>
      </c>
      <c r="P1262" s="54">
        <v>0</v>
      </c>
      <c r="Q1262" s="54">
        <v>24000</v>
      </c>
      <c r="R1262" s="54">
        <v>6583.38</v>
      </c>
      <c r="S1262" s="54">
        <v>0</v>
      </c>
      <c r="T1262" s="54">
        <v>0</v>
      </c>
      <c r="U1262" s="54">
        <v>24000</v>
      </c>
      <c r="V1262" s="54">
        <v>24000</v>
      </c>
      <c r="W1262" s="54">
        <v>17416.62</v>
      </c>
    </row>
    <row r="1263" spans="1:23" outlineLevel="2" x14ac:dyDescent="0.2">
      <c r="A1263" s="21" t="s">
        <v>402</v>
      </c>
      <c r="B1263" s="21" t="s">
        <v>39</v>
      </c>
      <c r="C1263" s="21" t="s">
        <v>70</v>
      </c>
      <c r="D1263" s="21" t="s">
        <v>89</v>
      </c>
      <c r="E1263" s="21" t="s">
        <v>90</v>
      </c>
      <c r="F1263" s="21" t="s">
        <v>5</v>
      </c>
      <c r="G1263" s="21" t="s">
        <v>6</v>
      </c>
      <c r="H1263" s="21" t="s">
        <v>7</v>
      </c>
      <c r="I1263" s="21" t="s">
        <v>8</v>
      </c>
      <c r="J1263" s="21" t="s">
        <v>403</v>
      </c>
      <c r="K1263" s="21" t="s">
        <v>696</v>
      </c>
      <c r="L1263" s="21" t="s">
        <v>705</v>
      </c>
      <c r="M1263" s="21" t="s">
        <v>12</v>
      </c>
      <c r="N1263" s="54">
        <v>0</v>
      </c>
      <c r="O1263" s="54">
        <v>4000</v>
      </c>
      <c r="P1263" s="54">
        <v>0</v>
      </c>
      <c r="Q1263" s="54">
        <v>4000</v>
      </c>
      <c r="R1263" s="54">
        <v>0</v>
      </c>
      <c r="S1263" s="54">
        <v>0</v>
      </c>
      <c r="T1263" s="54">
        <v>0</v>
      </c>
      <c r="U1263" s="54">
        <v>4000</v>
      </c>
      <c r="V1263" s="54">
        <v>4000</v>
      </c>
      <c r="W1263" s="54">
        <v>4000</v>
      </c>
    </row>
    <row r="1264" spans="1:23" outlineLevel="2" x14ac:dyDescent="0.2">
      <c r="A1264" s="21" t="s">
        <v>402</v>
      </c>
      <c r="B1264" s="21" t="s">
        <v>1</v>
      </c>
      <c r="C1264" s="21" t="s">
        <v>2</v>
      </c>
      <c r="D1264" s="21" t="s">
        <v>3</v>
      </c>
      <c r="E1264" s="21" t="s">
        <v>4</v>
      </c>
      <c r="F1264" s="21" t="s">
        <v>5</v>
      </c>
      <c r="G1264" s="21" t="s">
        <v>6</v>
      </c>
      <c r="H1264" s="21" t="s">
        <v>7</v>
      </c>
      <c r="I1264" s="21" t="s">
        <v>8</v>
      </c>
      <c r="J1264" s="21" t="s">
        <v>403</v>
      </c>
      <c r="K1264" s="21" t="s">
        <v>696</v>
      </c>
      <c r="L1264" s="21" t="s">
        <v>701</v>
      </c>
      <c r="M1264" s="21" t="s">
        <v>15</v>
      </c>
      <c r="N1264" s="54">
        <v>200</v>
      </c>
      <c r="O1264" s="54">
        <v>0</v>
      </c>
      <c r="P1264" s="54">
        <v>0</v>
      </c>
      <c r="Q1264" s="54">
        <v>200</v>
      </c>
      <c r="R1264" s="54">
        <v>0</v>
      </c>
      <c r="S1264" s="54">
        <v>5.6</v>
      </c>
      <c r="T1264" s="54">
        <v>5.6</v>
      </c>
      <c r="U1264" s="54">
        <v>194.4</v>
      </c>
      <c r="V1264" s="54">
        <v>194.4</v>
      </c>
      <c r="W1264" s="54">
        <v>194.4</v>
      </c>
    </row>
    <row r="1265" spans="1:23" outlineLevel="2" x14ac:dyDescent="0.2">
      <c r="A1265" s="21" t="s">
        <v>402</v>
      </c>
      <c r="B1265" s="21" t="s">
        <v>31</v>
      </c>
      <c r="C1265" s="21" t="s">
        <v>32</v>
      </c>
      <c r="D1265" s="21" t="s">
        <v>141</v>
      </c>
      <c r="E1265" s="21" t="s">
        <v>142</v>
      </c>
      <c r="F1265" s="21" t="s">
        <v>5</v>
      </c>
      <c r="G1265" s="21" t="s">
        <v>6</v>
      </c>
      <c r="H1265" s="21" t="s">
        <v>7</v>
      </c>
      <c r="I1265" s="21" t="s">
        <v>8</v>
      </c>
      <c r="J1265" s="21" t="s">
        <v>403</v>
      </c>
      <c r="K1265" s="21" t="s">
        <v>696</v>
      </c>
      <c r="L1265" s="21" t="s">
        <v>702</v>
      </c>
      <c r="M1265" s="21" t="s">
        <v>12</v>
      </c>
      <c r="N1265" s="54">
        <v>0</v>
      </c>
      <c r="O1265" s="54">
        <v>2050</v>
      </c>
      <c r="P1265" s="54">
        <v>0</v>
      </c>
      <c r="Q1265" s="54">
        <v>2050</v>
      </c>
      <c r="R1265" s="54">
        <v>0</v>
      </c>
      <c r="S1265" s="54">
        <v>0</v>
      </c>
      <c r="T1265" s="54">
        <v>0</v>
      </c>
      <c r="U1265" s="54">
        <v>2050</v>
      </c>
      <c r="V1265" s="54">
        <v>2050</v>
      </c>
      <c r="W1265" s="54">
        <v>2050</v>
      </c>
    </row>
    <row r="1266" spans="1:23" outlineLevel="2" x14ac:dyDescent="0.2">
      <c r="A1266" s="21" t="s">
        <v>402</v>
      </c>
      <c r="B1266" s="21" t="s">
        <v>39</v>
      </c>
      <c r="C1266" s="21" t="s">
        <v>58</v>
      </c>
      <c r="D1266" s="21" t="s">
        <v>149</v>
      </c>
      <c r="E1266" s="21" t="s">
        <v>150</v>
      </c>
      <c r="F1266" s="21" t="s">
        <v>5</v>
      </c>
      <c r="G1266" s="21" t="s">
        <v>6</v>
      </c>
      <c r="H1266" s="21" t="s">
        <v>7</v>
      </c>
      <c r="I1266" s="21" t="s">
        <v>8</v>
      </c>
      <c r="J1266" s="21" t="s">
        <v>403</v>
      </c>
      <c r="K1266" s="21" t="s">
        <v>696</v>
      </c>
      <c r="L1266" s="21" t="s">
        <v>699</v>
      </c>
      <c r="M1266" s="21" t="s">
        <v>12</v>
      </c>
      <c r="N1266" s="54">
        <v>1000</v>
      </c>
      <c r="O1266" s="54">
        <v>0</v>
      </c>
      <c r="P1266" s="54">
        <v>0</v>
      </c>
      <c r="Q1266" s="54">
        <v>1000</v>
      </c>
      <c r="R1266" s="54">
        <v>0</v>
      </c>
      <c r="S1266" s="54">
        <v>380.86</v>
      </c>
      <c r="T1266" s="54">
        <v>188.86</v>
      </c>
      <c r="U1266" s="54">
        <v>619.14</v>
      </c>
      <c r="V1266" s="54">
        <v>811.14</v>
      </c>
      <c r="W1266" s="54">
        <v>619.14</v>
      </c>
    </row>
    <row r="1267" spans="1:23" outlineLevel="2" x14ac:dyDescent="0.2">
      <c r="A1267" s="21" t="s">
        <v>402</v>
      </c>
      <c r="B1267" s="21" t="s">
        <v>39</v>
      </c>
      <c r="C1267" s="21" t="s">
        <v>58</v>
      </c>
      <c r="D1267" s="21" t="s">
        <v>59</v>
      </c>
      <c r="E1267" s="21" t="s">
        <v>60</v>
      </c>
      <c r="F1267" s="21" t="s">
        <v>5</v>
      </c>
      <c r="G1267" s="21" t="s">
        <v>6</v>
      </c>
      <c r="H1267" s="21" t="s">
        <v>7</v>
      </c>
      <c r="I1267" s="21" t="s">
        <v>8</v>
      </c>
      <c r="J1267" s="21" t="s">
        <v>403</v>
      </c>
      <c r="K1267" s="21" t="s">
        <v>696</v>
      </c>
      <c r="L1267" s="21" t="s">
        <v>699</v>
      </c>
      <c r="M1267" s="21" t="s">
        <v>12</v>
      </c>
      <c r="N1267" s="54">
        <v>30</v>
      </c>
      <c r="O1267" s="54">
        <v>0</v>
      </c>
      <c r="P1267" s="54">
        <v>0</v>
      </c>
      <c r="Q1267" s="54">
        <v>30</v>
      </c>
      <c r="R1267" s="54">
        <v>0</v>
      </c>
      <c r="S1267" s="54">
        <v>0</v>
      </c>
      <c r="T1267" s="54">
        <v>0</v>
      </c>
      <c r="U1267" s="54">
        <v>30</v>
      </c>
      <c r="V1267" s="54">
        <v>30</v>
      </c>
      <c r="W1267" s="54">
        <v>30</v>
      </c>
    </row>
    <row r="1268" spans="1:23" outlineLevel="2" x14ac:dyDescent="0.2">
      <c r="A1268" s="21" t="s">
        <v>402</v>
      </c>
      <c r="B1268" s="21" t="s">
        <v>39</v>
      </c>
      <c r="C1268" s="21" t="s">
        <v>66</v>
      </c>
      <c r="D1268" s="21" t="s">
        <v>67</v>
      </c>
      <c r="E1268" s="21" t="s">
        <v>68</v>
      </c>
      <c r="F1268" s="21" t="s">
        <v>5</v>
      </c>
      <c r="G1268" s="21" t="s">
        <v>6</v>
      </c>
      <c r="H1268" s="21" t="s">
        <v>7</v>
      </c>
      <c r="I1268" s="21" t="s">
        <v>8</v>
      </c>
      <c r="J1268" s="21" t="s">
        <v>403</v>
      </c>
      <c r="K1268" s="21" t="s">
        <v>696</v>
      </c>
      <c r="L1268" s="21" t="s">
        <v>698</v>
      </c>
      <c r="M1268" s="21" t="s">
        <v>12</v>
      </c>
      <c r="N1268" s="54">
        <v>2874</v>
      </c>
      <c r="O1268" s="54">
        <v>-2793.5</v>
      </c>
      <c r="P1268" s="54">
        <v>0</v>
      </c>
      <c r="Q1268" s="54">
        <v>80.5</v>
      </c>
      <c r="R1268" s="54">
        <v>0</v>
      </c>
      <c r="S1268" s="54">
        <v>42.56</v>
      </c>
      <c r="T1268" s="54">
        <v>42.56</v>
      </c>
      <c r="U1268" s="54">
        <v>37.94</v>
      </c>
      <c r="V1268" s="54">
        <v>37.94</v>
      </c>
      <c r="W1268" s="54">
        <v>37.94</v>
      </c>
    </row>
    <row r="1269" spans="1:23" outlineLevel="2" x14ac:dyDescent="0.2">
      <c r="A1269" s="21" t="s">
        <v>402</v>
      </c>
      <c r="B1269" s="21" t="s">
        <v>31</v>
      </c>
      <c r="C1269" s="21" t="s">
        <v>79</v>
      </c>
      <c r="D1269" s="21" t="s">
        <v>113</v>
      </c>
      <c r="E1269" s="21" t="s">
        <v>114</v>
      </c>
      <c r="F1269" s="21" t="s">
        <v>5</v>
      </c>
      <c r="G1269" s="21" t="s">
        <v>6</v>
      </c>
      <c r="H1269" s="21" t="s">
        <v>7</v>
      </c>
      <c r="I1269" s="21" t="s">
        <v>8</v>
      </c>
      <c r="J1269" s="21" t="s">
        <v>403</v>
      </c>
      <c r="K1269" s="21" t="s">
        <v>696</v>
      </c>
      <c r="L1269" s="21" t="s">
        <v>697</v>
      </c>
      <c r="M1269" s="21" t="s">
        <v>12</v>
      </c>
      <c r="N1269" s="54">
        <v>2500</v>
      </c>
      <c r="O1269" s="54">
        <v>0</v>
      </c>
      <c r="P1269" s="54">
        <v>0</v>
      </c>
      <c r="Q1269" s="54">
        <v>2500</v>
      </c>
      <c r="R1269" s="54">
        <v>0.39</v>
      </c>
      <c r="S1269" s="54">
        <v>2499.61</v>
      </c>
      <c r="T1269" s="54">
        <v>2499.61</v>
      </c>
      <c r="U1269" s="54">
        <v>0.39</v>
      </c>
      <c r="V1269" s="54">
        <v>0.39</v>
      </c>
      <c r="W1269" s="54">
        <v>0</v>
      </c>
    </row>
    <row r="1270" spans="1:23" outlineLevel="2" x14ac:dyDescent="0.2">
      <c r="A1270" s="21" t="s">
        <v>402</v>
      </c>
      <c r="B1270" s="21" t="s">
        <v>31</v>
      </c>
      <c r="C1270" s="21" t="s">
        <v>79</v>
      </c>
      <c r="D1270" s="21" t="s">
        <v>80</v>
      </c>
      <c r="E1270" s="21" t="s">
        <v>81</v>
      </c>
      <c r="F1270" s="21" t="s">
        <v>5</v>
      </c>
      <c r="G1270" s="21" t="s">
        <v>6</v>
      </c>
      <c r="H1270" s="21" t="s">
        <v>7</v>
      </c>
      <c r="I1270" s="21" t="s">
        <v>8</v>
      </c>
      <c r="J1270" s="21" t="s">
        <v>403</v>
      </c>
      <c r="K1270" s="21" t="s">
        <v>696</v>
      </c>
      <c r="L1270" s="21" t="s">
        <v>697</v>
      </c>
      <c r="M1270" s="21" t="s">
        <v>12</v>
      </c>
      <c r="N1270" s="54">
        <v>1000</v>
      </c>
      <c r="O1270" s="54">
        <v>0</v>
      </c>
      <c r="P1270" s="54">
        <v>0</v>
      </c>
      <c r="Q1270" s="54">
        <v>1000</v>
      </c>
      <c r="R1270" s="54">
        <v>0</v>
      </c>
      <c r="S1270" s="54">
        <v>0</v>
      </c>
      <c r="T1270" s="54">
        <v>0</v>
      </c>
      <c r="U1270" s="54">
        <v>1000</v>
      </c>
      <c r="V1270" s="54">
        <v>1000</v>
      </c>
      <c r="W1270" s="54">
        <v>1000</v>
      </c>
    </row>
    <row r="1271" spans="1:23" outlineLevel="2" x14ac:dyDescent="0.2">
      <c r="A1271" s="21" t="s">
        <v>402</v>
      </c>
      <c r="B1271" s="21" t="s">
        <v>39</v>
      </c>
      <c r="C1271" s="21" t="s">
        <v>58</v>
      </c>
      <c r="D1271" s="21" t="s">
        <v>139</v>
      </c>
      <c r="E1271" s="21" t="s">
        <v>140</v>
      </c>
      <c r="F1271" s="21" t="s">
        <v>5</v>
      </c>
      <c r="G1271" s="21" t="s">
        <v>6</v>
      </c>
      <c r="H1271" s="21" t="s">
        <v>7</v>
      </c>
      <c r="I1271" s="21" t="s">
        <v>8</v>
      </c>
      <c r="J1271" s="21" t="s">
        <v>403</v>
      </c>
      <c r="K1271" s="21" t="s">
        <v>696</v>
      </c>
      <c r="L1271" s="21" t="s">
        <v>699</v>
      </c>
      <c r="M1271" s="21" t="s">
        <v>12</v>
      </c>
      <c r="N1271" s="54">
        <v>0</v>
      </c>
      <c r="O1271" s="54">
        <v>3000</v>
      </c>
      <c r="P1271" s="54">
        <v>0</v>
      </c>
      <c r="Q1271" s="54">
        <v>3000</v>
      </c>
      <c r="R1271" s="54">
        <v>0</v>
      </c>
      <c r="S1271" s="54">
        <v>0</v>
      </c>
      <c r="T1271" s="54">
        <v>0</v>
      </c>
      <c r="U1271" s="54">
        <v>3000</v>
      </c>
      <c r="V1271" s="54">
        <v>3000</v>
      </c>
      <c r="W1271" s="54">
        <v>3000</v>
      </c>
    </row>
    <row r="1272" spans="1:23" outlineLevel="2" x14ac:dyDescent="0.2">
      <c r="A1272" s="21" t="s">
        <v>402</v>
      </c>
      <c r="B1272" s="21" t="s">
        <v>39</v>
      </c>
      <c r="C1272" s="21" t="s">
        <v>58</v>
      </c>
      <c r="D1272" s="21" t="s">
        <v>143</v>
      </c>
      <c r="E1272" s="21" t="s">
        <v>144</v>
      </c>
      <c r="F1272" s="21" t="s">
        <v>5</v>
      </c>
      <c r="G1272" s="21" t="s">
        <v>6</v>
      </c>
      <c r="H1272" s="21" t="s">
        <v>7</v>
      </c>
      <c r="I1272" s="21" t="s">
        <v>8</v>
      </c>
      <c r="J1272" s="21" t="s">
        <v>403</v>
      </c>
      <c r="K1272" s="21" t="s">
        <v>696</v>
      </c>
      <c r="L1272" s="21" t="s">
        <v>699</v>
      </c>
      <c r="M1272" s="21" t="s">
        <v>12</v>
      </c>
      <c r="N1272" s="54">
        <v>200</v>
      </c>
      <c r="O1272" s="54">
        <v>3500</v>
      </c>
      <c r="P1272" s="54">
        <v>0</v>
      </c>
      <c r="Q1272" s="54">
        <v>3700</v>
      </c>
      <c r="R1272" s="54">
        <v>38.700000000000003</v>
      </c>
      <c r="S1272" s="54">
        <v>119.62</v>
      </c>
      <c r="T1272" s="54">
        <v>119.62</v>
      </c>
      <c r="U1272" s="54">
        <v>3580.38</v>
      </c>
      <c r="V1272" s="54">
        <v>3580.38</v>
      </c>
      <c r="W1272" s="54">
        <v>3541.68</v>
      </c>
    </row>
    <row r="1273" spans="1:23" outlineLevel="2" x14ac:dyDescent="0.2">
      <c r="A1273" s="21" t="s">
        <v>402</v>
      </c>
      <c r="B1273" s="21" t="s">
        <v>31</v>
      </c>
      <c r="C1273" s="21" t="s">
        <v>79</v>
      </c>
      <c r="D1273" s="21" t="s">
        <v>80</v>
      </c>
      <c r="E1273" s="21" t="s">
        <v>81</v>
      </c>
      <c r="F1273" s="21" t="s">
        <v>5</v>
      </c>
      <c r="G1273" s="21" t="s">
        <v>6</v>
      </c>
      <c r="H1273" s="21" t="s">
        <v>7</v>
      </c>
      <c r="I1273" s="21" t="s">
        <v>8</v>
      </c>
      <c r="J1273" s="21" t="s">
        <v>403</v>
      </c>
      <c r="K1273" s="21" t="s">
        <v>706</v>
      </c>
      <c r="L1273" s="21" t="s">
        <v>708</v>
      </c>
      <c r="M1273" s="21" t="s">
        <v>12</v>
      </c>
      <c r="N1273" s="54">
        <v>2000</v>
      </c>
      <c r="O1273" s="54">
        <v>-1200</v>
      </c>
      <c r="P1273" s="54">
        <v>0</v>
      </c>
      <c r="Q1273" s="54">
        <v>800</v>
      </c>
      <c r="R1273" s="54">
        <v>0</v>
      </c>
      <c r="S1273" s="54">
        <v>0</v>
      </c>
      <c r="T1273" s="54">
        <v>0</v>
      </c>
      <c r="U1273" s="54">
        <v>800</v>
      </c>
      <c r="V1273" s="54">
        <v>800</v>
      </c>
      <c r="W1273" s="54">
        <v>800</v>
      </c>
    </row>
    <row r="1274" spans="1:23" outlineLevel="2" x14ac:dyDescent="0.2">
      <c r="A1274" s="21" t="s">
        <v>402</v>
      </c>
      <c r="B1274" s="21" t="s">
        <v>39</v>
      </c>
      <c r="C1274" s="21" t="s">
        <v>66</v>
      </c>
      <c r="D1274" s="21" t="s">
        <v>67</v>
      </c>
      <c r="E1274" s="21" t="s">
        <v>68</v>
      </c>
      <c r="F1274" s="21" t="s">
        <v>5</v>
      </c>
      <c r="G1274" s="21" t="s">
        <v>6</v>
      </c>
      <c r="H1274" s="21" t="s">
        <v>7</v>
      </c>
      <c r="I1274" s="21" t="s">
        <v>8</v>
      </c>
      <c r="J1274" s="21" t="s">
        <v>403</v>
      </c>
      <c r="K1274" s="21" t="s">
        <v>706</v>
      </c>
      <c r="L1274" s="21" t="s">
        <v>707</v>
      </c>
      <c r="M1274" s="21" t="s">
        <v>12</v>
      </c>
      <c r="N1274" s="54">
        <v>1000</v>
      </c>
      <c r="O1274" s="54">
        <v>-1000</v>
      </c>
      <c r="P1274" s="54">
        <v>0</v>
      </c>
      <c r="Q1274" s="54">
        <v>0</v>
      </c>
      <c r="R1274" s="54">
        <v>0</v>
      </c>
      <c r="S1274" s="54">
        <v>0</v>
      </c>
      <c r="T1274" s="54">
        <v>0</v>
      </c>
      <c r="U1274" s="54">
        <v>0</v>
      </c>
      <c r="V1274" s="54">
        <v>0</v>
      </c>
      <c r="W1274" s="54">
        <v>0</v>
      </c>
    </row>
    <row r="1275" spans="1:23" outlineLevel="2" x14ac:dyDescent="0.2">
      <c r="A1275" s="21" t="s">
        <v>402</v>
      </c>
      <c r="B1275" s="21" t="s">
        <v>31</v>
      </c>
      <c r="C1275" s="21" t="s">
        <v>79</v>
      </c>
      <c r="D1275" s="21" t="s">
        <v>111</v>
      </c>
      <c r="E1275" s="21" t="s">
        <v>112</v>
      </c>
      <c r="F1275" s="21" t="s">
        <v>5</v>
      </c>
      <c r="G1275" s="21" t="s">
        <v>6</v>
      </c>
      <c r="H1275" s="21" t="s">
        <v>7</v>
      </c>
      <c r="I1275" s="21" t="s">
        <v>8</v>
      </c>
      <c r="J1275" s="21" t="s">
        <v>403</v>
      </c>
      <c r="K1275" s="21" t="s">
        <v>706</v>
      </c>
      <c r="L1275" s="21" t="s">
        <v>708</v>
      </c>
      <c r="M1275" s="21" t="s">
        <v>12</v>
      </c>
      <c r="N1275" s="54">
        <v>1000</v>
      </c>
      <c r="O1275" s="54">
        <v>0</v>
      </c>
      <c r="P1275" s="54">
        <v>0</v>
      </c>
      <c r="Q1275" s="54">
        <v>1000</v>
      </c>
      <c r="R1275" s="54">
        <v>0</v>
      </c>
      <c r="S1275" s="54">
        <v>0</v>
      </c>
      <c r="T1275" s="54">
        <v>0</v>
      </c>
      <c r="U1275" s="54">
        <v>1000</v>
      </c>
      <c r="V1275" s="54">
        <v>1000</v>
      </c>
      <c r="W1275" s="54">
        <v>1000</v>
      </c>
    </row>
    <row r="1276" spans="1:23" outlineLevel="2" x14ac:dyDescent="0.2">
      <c r="A1276" s="21" t="s">
        <v>402</v>
      </c>
      <c r="B1276" s="21" t="s">
        <v>31</v>
      </c>
      <c r="C1276" s="21" t="s">
        <v>79</v>
      </c>
      <c r="D1276" s="21" t="s">
        <v>133</v>
      </c>
      <c r="E1276" s="21" t="s">
        <v>134</v>
      </c>
      <c r="F1276" s="21" t="s">
        <v>5</v>
      </c>
      <c r="G1276" s="21" t="s">
        <v>6</v>
      </c>
      <c r="H1276" s="21" t="s">
        <v>7</v>
      </c>
      <c r="I1276" s="21" t="s">
        <v>8</v>
      </c>
      <c r="J1276" s="21" t="s">
        <v>403</v>
      </c>
      <c r="K1276" s="21" t="s">
        <v>706</v>
      </c>
      <c r="L1276" s="21" t="s">
        <v>708</v>
      </c>
      <c r="M1276" s="21" t="s">
        <v>12</v>
      </c>
      <c r="N1276" s="54">
        <v>500</v>
      </c>
      <c r="O1276" s="54">
        <v>0</v>
      </c>
      <c r="P1276" s="54">
        <v>0</v>
      </c>
      <c r="Q1276" s="54">
        <v>500</v>
      </c>
      <c r="R1276" s="54">
        <v>0</v>
      </c>
      <c r="S1276" s="54">
        <v>0</v>
      </c>
      <c r="T1276" s="54">
        <v>0</v>
      </c>
      <c r="U1276" s="54">
        <v>500</v>
      </c>
      <c r="V1276" s="54">
        <v>500</v>
      </c>
      <c r="W1276" s="54">
        <v>500</v>
      </c>
    </row>
    <row r="1277" spans="1:23" outlineLevel="2" x14ac:dyDescent="0.2">
      <c r="A1277" s="21" t="s">
        <v>402</v>
      </c>
      <c r="B1277" s="21" t="s">
        <v>31</v>
      </c>
      <c r="C1277" s="21" t="s">
        <v>79</v>
      </c>
      <c r="D1277" s="21" t="s">
        <v>115</v>
      </c>
      <c r="E1277" s="21" t="s">
        <v>116</v>
      </c>
      <c r="F1277" s="21" t="s">
        <v>5</v>
      </c>
      <c r="G1277" s="21" t="s">
        <v>6</v>
      </c>
      <c r="H1277" s="21" t="s">
        <v>7</v>
      </c>
      <c r="I1277" s="21" t="s">
        <v>8</v>
      </c>
      <c r="J1277" s="21" t="s">
        <v>403</v>
      </c>
      <c r="K1277" s="21" t="s">
        <v>706</v>
      </c>
      <c r="L1277" s="21" t="s">
        <v>708</v>
      </c>
      <c r="M1277" s="21" t="s">
        <v>12</v>
      </c>
      <c r="N1277" s="54">
        <v>2000</v>
      </c>
      <c r="O1277" s="54">
        <v>0</v>
      </c>
      <c r="P1277" s="54">
        <v>0</v>
      </c>
      <c r="Q1277" s="54">
        <v>2000</v>
      </c>
      <c r="R1277" s="54">
        <v>0</v>
      </c>
      <c r="S1277" s="54">
        <v>0</v>
      </c>
      <c r="T1277" s="54">
        <v>0</v>
      </c>
      <c r="U1277" s="54">
        <v>2000</v>
      </c>
      <c r="V1277" s="54">
        <v>2000</v>
      </c>
      <c r="W1277" s="54">
        <v>2000</v>
      </c>
    </row>
    <row r="1278" spans="1:23" outlineLevel="2" x14ac:dyDescent="0.2">
      <c r="A1278" s="21" t="s">
        <v>402</v>
      </c>
      <c r="B1278" s="21" t="s">
        <v>31</v>
      </c>
      <c r="C1278" s="21" t="s">
        <v>79</v>
      </c>
      <c r="D1278" s="21" t="s">
        <v>117</v>
      </c>
      <c r="E1278" s="21" t="s">
        <v>118</v>
      </c>
      <c r="F1278" s="21" t="s">
        <v>5</v>
      </c>
      <c r="G1278" s="21" t="s">
        <v>6</v>
      </c>
      <c r="H1278" s="21" t="s">
        <v>7</v>
      </c>
      <c r="I1278" s="21" t="s">
        <v>8</v>
      </c>
      <c r="J1278" s="21" t="s">
        <v>403</v>
      </c>
      <c r="K1278" s="21" t="s">
        <v>706</v>
      </c>
      <c r="L1278" s="21" t="s">
        <v>708</v>
      </c>
      <c r="M1278" s="21" t="s">
        <v>12</v>
      </c>
      <c r="N1278" s="54">
        <v>3000</v>
      </c>
      <c r="O1278" s="54">
        <v>0</v>
      </c>
      <c r="P1278" s="54">
        <v>0</v>
      </c>
      <c r="Q1278" s="54">
        <v>3000</v>
      </c>
      <c r="R1278" s="54">
        <v>0</v>
      </c>
      <c r="S1278" s="54">
        <v>0</v>
      </c>
      <c r="T1278" s="54">
        <v>0</v>
      </c>
      <c r="U1278" s="54">
        <v>3000</v>
      </c>
      <c r="V1278" s="54">
        <v>3000</v>
      </c>
      <c r="W1278" s="54">
        <v>3000</v>
      </c>
    </row>
    <row r="1279" spans="1:23" outlineLevel="2" x14ac:dyDescent="0.2">
      <c r="A1279" s="21" t="s">
        <v>402</v>
      </c>
      <c r="B1279" s="21" t="s">
        <v>39</v>
      </c>
      <c r="C1279" s="21" t="s">
        <v>58</v>
      </c>
      <c r="D1279" s="21" t="s">
        <v>143</v>
      </c>
      <c r="E1279" s="21" t="s">
        <v>144</v>
      </c>
      <c r="F1279" s="21" t="s">
        <v>5</v>
      </c>
      <c r="G1279" s="21" t="s">
        <v>6</v>
      </c>
      <c r="H1279" s="21" t="s">
        <v>7</v>
      </c>
      <c r="I1279" s="21" t="s">
        <v>8</v>
      </c>
      <c r="J1279" s="21" t="s">
        <v>403</v>
      </c>
      <c r="K1279" s="21" t="s">
        <v>709</v>
      </c>
      <c r="L1279" s="21" t="s">
        <v>711</v>
      </c>
      <c r="M1279" s="21" t="s">
        <v>12</v>
      </c>
      <c r="N1279" s="54">
        <v>1000</v>
      </c>
      <c r="O1279" s="54">
        <v>0</v>
      </c>
      <c r="P1279" s="54">
        <v>0</v>
      </c>
      <c r="Q1279" s="54">
        <v>1000</v>
      </c>
      <c r="R1279" s="54">
        <v>0</v>
      </c>
      <c r="S1279" s="54">
        <v>660.8</v>
      </c>
      <c r="T1279" s="54">
        <v>660.8</v>
      </c>
      <c r="U1279" s="54">
        <v>339.2</v>
      </c>
      <c r="V1279" s="54">
        <v>339.2</v>
      </c>
      <c r="W1279" s="54">
        <v>339.2</v>
      </c>
    </row>
    <row r="1280" spans="1:23" outlineLevel="2" x14ac:dyDescent="0.2">
      <c r="A1280" s="21" t="s">
        <v>402</v>
      </c>
      <c r="B1280" s="21" t="s">
        <v>31</v>
      </c>
      <c r="C1280" s="21" t="s">
        <v>79</v>
      </c>
      <c r="D1280" s="21" t="s">
        <v>113</v>
      </c>
      <c r="E1280" s="21" t="s">
        <v>114</v>
      </c>
      <c r="F1280" s="21" t="s">
        <v>5</v>
      </c>
      <c r="G1280" s="21" t="s">
        <v>6</v>
      </c>
      <c r="H1280" s="21" t="s">
        <v>7</v>
      </c>
      <c r="I1280" s="21" t="s">
        <v>8</v>
      </c>
      <c r="J1280" s="21" t="s">
        <v>403</v>
      </c>
      <c r="K1280" s="21" t="s">
        <v>709</v>
      </c>
      <c r="L1280" s="21" t="s">
        <v>713</v>
      </c>
      <c r="M1280" s="21" t="s">
        <v>12</v>
      </c>
      <c r="N1280" s="54">
        <v>1000</v>
      </c>
      <c r="O1280" s="54">
        <v>0</v>
      </c>
      <c r="P1280" s="54">
        <v>0</v>
      </c>
      <c r="Q1280" s="54">
        <v>1000</v>
      </c>
      <c r="R1280" s="54">
        <v>0</v>
      </c>
      <c r="S1280" s="54">
        <v>0</v>
      </c>
      <c r="T1280" s="54">
        <v>0</v>
      </c>
      <c r="U1280" s="54">
        <v>1000</v>
      </c>
      <c r="V1280" s="54">
        <v>1000</v>
      </c>
      <c r="W1280" s="54">
        <v>1000</v>
      </c>
    </row>
    <row r="1281" spans="1:23" outlineLevel="2" x14ac:dyDescent="0.2">
      <c r="A1281" s="21" t="s">
        <v>402</v>
      </c>
      <c r="B1281" s="21" t="s">
        <v>31</v>
      </c>
      <c r="C1281" s="21" t="s">
        <v>107</v>
      </c>
      <c r="D1281" s="21" t="s">
        <v>108</v>
      </c>
      <c r="E1281" s="21" t="s">
        <v>109</v>
      </c>
      <c r="F1281" s="21" t="s">
        <v>5</v>
      </c>
      <c r="G1281" s="21" t="s">
        <v>6</v>
      </c>
      <c r="H1281" s="21" t="s">
        <v>7</v>
      </c>
      <c r="I1281" s="21" t="s">
        <v>8</v>
      </c>
      <c r="J1281" s="21" t="s">
        <v>403</v>
      </c>
      <c r="K1281" s="21" t="s">
        <v>709</v>
      </c>
      <c r="L1281" s="21" t="s">
        <v>715</v>
      </c>
      <c r="M1281" s="21" t="s">
        <v>12</v>
      </c>
      <c r="N1281" s="54">
        <v>5000</v>
      </c>
      <c r="O1281" s="54">
        <v>0</v>
      </c>
      <c r="P1281" s="54">
        <v>0</v>
      </c>
      <c r="Q1281" s="54">
        <v>5000</v>
      </c>
      <c r="R1281" s="54">
        <v>0</v>
      </c>
      <c r="S1281" s="54">
        <v>0</v>
      </c>
      <c r="T1281" s="54">
        <v>0</v>
      </c>
      <c r="U1281" s="54">
        <v>5000</v>
      </c>
      <c r="V1281" s="54">
        <v>5000</v>
      </c>
      <c r="W1281" s="54">
        <v>5000</v>
      </c>
    </row>
    <row r="1282" spans="1:23" outlineLevel="2" x14ac:dyDescent="0.2">
      <c r="A1282" s="21" t="s">
        <v>402</v>
      </c>
      <c r="B1282" s="21" t="s">
        <v>39</v>
      </c>
      <c r="C1282" s="21" t="s">
        <v>58</v>
      </c>
      <c r="D1282" s="21" t="s">
        <v>145</v>
      </c>
      <c r="E1282" s="21" t="s">
        <v>146</v>
      </c>
      <c r="F1282" s="21" t="s">
        <v>5</v>
      </c>
      <c r="G1282" s="21" t="s">
        <v>6</v>
      </c>
      <c r="H1282" s="21" t="s">
        <v>7</v>
      </c>
      <c r="I1282" s="21" t="s">
        <v>8</v>
      </c>
      <c r="J1282" s="21" t="s">
        <v>403</v>
      </c>
      <c r="K1282" s="21" t="s">
        <v>709</v>
      </c>
      <c r="L1282" s="21" t="s">
        <v>711</v>
      </c>
      <c r="M1282" s="21" t="s">
        <v>12</v>
      </c>
      <c r="N1282" s="54">
        <v>28000</v>
      </c>
      <c r="O1282" s="54">
        <v>3633.01</v>
      </c>
      <c r="P1282" s="54">
        <v>0</v>
      </c>
      <c r="Q1282" s="54">
        <v>31633.01</v>
      </c>
      <c r="R1282" s="54">
        <v>0</v>
      </c>
      <c r="S1282" s="54">
        <v>31633.01</v>
      </c>
      <c r="T1282" s="54">
        <v>11159.84</v>
      </c>
      <c r="U1282" s="54">
        <v>0</v>
      </c>
      <c r="V1282" s="54">
        <v>20473.169999999998</v>
      </c>
      <c r="W1282" s="54">
        <v>0</v>
      </c>
    </row>
    <row r="1283" spans="1:23" outlineLevel="2" x14ac:dyDescent="0.2">
      <c r="A1283" s="21" t="s">
        <v>402</v>
      </c>
      <c r="B1283" s="21" t="s">
        <v>31</v>
      </c>
      <c r="C1283" s="21" t="s">
        <v>79</v>
      </c>
      <c r="D1283" s="21" t="s">
        <v>80</v>
      </c>
      <c r="E1283" s="21" t="s">
        <v>81</v>
      </c>
      <c r="F1283" s="21" t="s">
        <v>5</v>
      </c>
      <c r="G1283" s="21" t="s">
        <v>6</v>
      </c>
      <c r="H1283" s="21" t="s">
        <v>7</v>
      </c>
      <c r="I1283" s="21" t="s">
        <v>8</v>
      </c>
      <c r="J1283" s="21" t="s">
        <v>403</v>
      </c>
      <c r="K1283" s="21" t="s">
        <v>709</v>
      </c>
      <c r="L1283" s="21" t="s">
        <v>713</v>
      </c>
      <c r="M1283" s="21" t="s">
        <v>12</v>
      </c>
      <c r="N1283" s="54">
        <v>900</v>
      </c>
      <c r="O1283" s="54">
        <v>3000</v>
      </c>
      <c r="P1283" s="54">
        <v>0</v>
      </c>
      <c r="Q1283" s="54">
        <v>3900</v>
      </c>
      <c r="R1283" s="54">
        <v>0</v>
      </c>
      <c r="S1283" s="54">
        <v>3000</v>
      </c>
      <c r="T1283" s="54">
        <v>2713.23</v>
      </c>
      <c r="U1283" s="54">
        <v>900</v>
      </c>
      <c r="V1283" s="54">
        <v>1186.77</v>
      </c>
      <c r="W1283" s="54">
        <v>900</v>
      </c>
    </row>
    <row r="1284" spans="1:23" outlineLevel="2" x14ac:dyDescent="0.2">
      <c r="A1284" s="21" t="s">
        <v>402</v>
      </c>
      <c r="B1284" s="21" t="s">
        <v>31</v>
      </c>
      <c r="C1284" s="21" t="s">
        <v>79</v>
      </c>
      <c r="D1284" s="21" t="s">
        <v>117</v>
      </c>
      <c r="E1284" s="21" t="s">
        <v>118</v>
      </c>
      <c r="F1284" s="21" t="s">
        <v>5</v>
      </c>
      <c r="G1284" s="21" t="s">
        <v>6</v>
      </c>
      <c r="H1284" s="21" t="s">
        <v>7</v>
      </c>
      <c r="I1284" s="21" t="s">
        <v>8</v>
      </c>
      <c r="J1284" s="21" t="s">
        <v>403</v>
      </c>
      <c r="K1284" s="21" t="s">
        <v>709</v>
      </c>
      <c r="L1284" s="21" t="s">
        <v>713</v>
      </c>
      <c r="M1284" s="21" t="s">
        <v>12</v>
      </c>
      <c r="N1284" s="54">
        <v>3000</v>
      </c>
      <c r="O1284" s="54">
        <v>6000</v>
      </c>
      <c r="P1284" s="54">
        <v>0</v>
      </c>
      <c r="Q1284" s="54">
        <v>9000</v>
      </c>
      <c r="R1284" s="54">
        <v>76</v>
      </c>
      <c r="S1284" s="54">
        <v>2612.4</v>
      </c>
      <c r="T1284" s="54">
        <v>2612.4</v>
      </c>
      <c r="U1284" s="54">
        <v>6387.6</v>
      </c>
      <c r="V1284" s="54">
        <v>6387.6</v>
      </c>
      <c r="W1284" s="54">
        <v>6311.6</v>
      </c>
    </row>
    <row r="1285" spans="1:23" outlineLevel="2" x14ac:dyDescent="0.2">
      <c r="A1285" s="21" t="s">
        <v>402</v>
      </c>
      <c r="B1285" s="21" t="s">
        <v>39</v>
      </c>
      <c r="C1285" s="21" t="s">
        <v>95</v>
      </c>
      <c r="D1285" s="21" t="s">
        <v>96</v>
      </c>
      <c r="E1285" s="21" t="s">
        <v>97</v>
      </c>
      <c r="F1285" s="21" t="s">
        <v>5</v>
      </c>
      <c r="G1285" s="21" t="s">
        <v>6</v>
      </c>
      <c r="H1285" s="21" t="s">
        <v>7</v>
      </c>
      <c r="I1285" s="21" t="s">
        <v>8</v>
      </c>
      <c r="J1285" s="21" t="s">
        <v>403</v>
      </c>
      <c r="K1285" s="21" t="s">
        <v>709</v>
      </c>
      <c r="L1285" s="21" t="s">
        <v>710</v>
      </c>
      <c r="M1285" s="21" t="s">
        <v>12</v>
      </c>
      <c r="N1285" s="54">
        <v>37000</v>
      </c>
      <c r="O1285" s="54">
        <v>6134.4</v>
      </c>
      <c r="P1285" s="54">
        <v>0</v>
      </c>
      <c r="Q1285" s="54">
        <v>43134.400000000001</v>
      </c>
      <c r="R1285" s="54">
        <v>21014.400000000001</v>
      </c>
      <c r="S1285" s="54">
        <v>14880.32</v>
      </c>
      <c r="T1285" s="54">
        <v>14880.32</v>
      </c>
      <c r="U1285" s="54">
        <v>28254.080000000002</v>
      </c>
      <c r="V1285" s="54">
        <v>28254.080000000002</v>
      </c>
      <c r="W1285" s="54">
        <v>7239.68</v>
      </c>
    </row>
    <row r="1286" spans="1:23" outlineLevel="2" x14ac:dyDescent="0.2">
      <c r="A1286" s="21" t="s">
        <v>402</v>
      </c>
      <c r="B1286" s="21" t="s">
        <v>1</v>
      </c>
      <c r="C1286" s="21" t="s">
        <v>2</v>
      </c>
      <c r="D1286" s="21" t="s">
        <v>3</v>
      </c>
      <c r="E1286" s="21" t="s">
        <v>4</v>
      </c>
      <c r="F1286" s="21" t="s">
        <v>5</v>
      </c>
      <c r="G1286" s="21" t="s">
        <v>6</v>
      </c>
      <c r="H1286" s="21" t="s">
        <v>7</v>
      </c>
      <c r="I1286" s="21" t="s">
        <v>8</v>
      </c>
      <c r="J1286" s="21" t="s">
        <v>403</v>
      </c>
      <c r="K1286" s="21" t="s">
        <v>709</v>
      </c>
      <c r="L1286" s="21" t="s">
        <v>717</v>
      </c>
      <c r="M1286" s="21" t="s">
        <v>15</v>
      </c>
      <c r="N1286" s="54">
        <v>5000</v>
      </c>
      <c r="O1286" s="54">
        <v>-4188.3999999999996</v>
      </c>
      <c r="P1286" s="54">
        <v>0</v>
      </c>
      <c r="Q1286" s="54">
        <v>811.6</v>
      </c>
      <c r="R1286" s="54">
        <v>0</v>
      </c>
      <c r="S1286" s="54">
        <v>811.6</v>
      </c>
      <c r="T1286" s="54">
        <v>811.6</v>
      </c>
      <c r="U1286" s="54">
        <v>0</v>
      </c>
      <c r="V1286" s="54">
        <v>0</v>
      </c>
      <c r="W1286" s="54">
        <v>0</v>
      </c>
    </row>
    <row r="1287" spans="1:23" outlineLevel="2" x14ac:dyDescent="0.2">
      <c r="A1287" s="21" t="s">
        <v>402</v>
      </c>
      <c r="B1287" s="21" t="s">
        <v>31</v>
      </c>
      <c r="C1287" s="21" t="s">
        <v>32</v>
      </c>
      <c r="D1287" s="21" t="s">
        <v>33</v>
      </c>
      <c r="E1287" s="21" t="s">
        <v>34</v>
      </c>
      <c r="F1287" s="21" t="s">
        <v>5</v>
      </c>
      <c r="G1287" s="21" t="s">
        <v>6</v>
      </c>
      <c r="H1287" s="21" t="s">
        <v>7</v>
      </c>
      <c r="I1287" s="21" t="s">
        <v>8</v>
      </c>
      <c r="J1287" s="21" t="s">
        <v>403</v>
      </c>
      <c r="K1287" s="21" t="s">
        <v>709</v>
      </c>
      <c r="L1287" s="21" t="s">
        <v>716</v>
      </c>
      <c r="M1287" s="21" t="s">
        <v>12</v>
      </c>
      <c r="N1287" s="54">
        <v>180000</v>
      </c>
      <c r="O1287" s="54">
        <v>-150000</v>
      </c>
      <c r="P1287" s="54">
        <v>0</v>
      </c>
      <c r="Q1287" s="54">
        <v>30000</v>
      </c>
      <c r="R1287" s="54">
        <v>1006.21</v>
      </c>
      <c r="S1287" s="54">
        <v>7813.34</v>
      </c>
      <c r="T1287" s="54">
        <v>4228.5600000000004</v>
      </c>
      <c r="U1287" s="54">
        <v>22186.66</v>
      </c>
      <c r="V1287" s="54">
        <v>25771.439999999999</v>
      </c>
      <c r="W1287" s="54">
        <v>21180.45</v>
      </c>
    </row>
    <row r="1288" spans="1:23" outlineLevel="2" x14ac:dyDescent="0.2">
      <c r="A1288" s="21" t="s">
        <v>402</v>
      </c>
      <c r="B1288" s="21" t="s">
        <v>39</v>
      </c>
      <c r="C1288" s="21" t="s">
        <v>58</v>
      </c>
      <c r="D1288" s="21" t="s">
        <v>135</v>
      </c>
      <c r="E1288" s="21" t="s">
        <v>136</v>
      </c>
      <c r="F1288" s="21" t="s">
        <v>5</v>
      </c>
      <c r="G1288" s="21" t="s">
        <v>6</v>
      </c>
      <c r="H1288" s="21" t="s">
        <v>7</v>
      </c>
      <c r="I1288" s="21" t="s">
        <v>8</v>
      </c>
      <c r="J1288" s="21" t="s">
        <v>403</v>
      </c>
      <c r="K1288" s="21" t="s">
        <v>709</v>
      </c>
      <c r="L1288" s="21" t="s">
        <v>711</v>
      </c>
      <c r="M1288" s="21" t="s">
        <v>12</v>
      </c>
      <c r="N1288" s="54">
        <v>9000</v>
      </c>
      <c r="O1288" s="54">
        <v>6781.92</v>
      </c>
      <c r="P1288" s="54">
        <v>0</v>
      </c>
      <c r="Q1288" s="54">
        <v>15781.92</v>
      </c>
      <c r="R1288" s="54">
        <v>2.2400000000000002</v>
      </c>
      <c r="S1288" s="54">
        <v>13167.85</v>
      </c>
      <c r="T1288" s="54">
        <v>300.17</v>
      </c>
      <c r="U1288" s="54">
        <v>2614.0700000000002</v>
      </c>
      <c r="V1288" s="54">
        <v>15481.75</v>
      </c>
      <c r="W1288" s="54">
        <v>2611.83</v>
      </c>
    </row>
    <row r="1289" spans="1:23" outlineLevel="2" x14ac:dyDescent="0.2">
      <c r="A1289" s="21" t="s">
        <v>402</v>
      </c>
      <c r="B1289" s="21" t="s">
        <v>31</v>
      </c>
      <c r="C1289" s="21" t="s">
        <v>32</v>
      </c>
      <c r="D1289" s="21" t="s">
        <v>75</v>
      </c>
      <c r="E1289" s="21" t="s">
        <v>76</v>
      </c>
      <c r="F1289" s="21" t="s">
        <v>5</v>
      </c>
      <c r="G1289" s="21" t="s">
        <v>6</v>
      </c>
      <c r="H1289" s="21" t="s">
        <v>7</v>
      </c>
      <c r="I1289" s="21" t="s">
        <v>8</v>
      </c>
      <c r="J1289" s="21" t="s">
        <v>403</v>
      </c>
      <c r="K1289" s="21" t="s">
        <v>709</v>
      </c>
      <c r="L1289" s="21" t="s">
        <v>716</v>
      </c>
      <c r="M1289" s="21" t="s">
        <v>12</v>
      </c>
      <c r="N1289" s="54">
        <v>5000</v>
      </c>
      <c r="O1289" s="54">
        <v>5000</v>
      </c>
      <c r="P1289" s="54">
        <v>0</v>
      </c>
      <c r="Q1289" s="54">
        <v>10000</v>
      </c>
      <c r="R1289" s="54">
        <v>0</v>
      </c>
      <c r="S1289" s="54">
        <v>806.4</v>
      </c>
      <c r="T1289" s="54">
        <v>477.12</v>
      </c>
      <c r="U1289" s="54">
        <v>9193.6</v>
      </c>
      <c r="V1289" s="54">
        <v>9522.8799999999992</v>
      </c>
      <c r="W1289" s="54">
        <v>9193.6</v>
      </c>
    </row>
    <row r="1290" spans="1:23" outlineLevel="2" x14ac:dyDescent="0.2">
      <c r="A1290" s="21" t="s">
        <v>402</v>
      </c>
      <c r="B1290" s="21" t="s">
        <v>39</v>
      </c>
      <c r="C1290" s="21" t="s">
        <v>95</v>
      </c>
      <c r="D1290" s="21" t="s">
        <v>96</v>
      </c>
      <c r="E1290" s="21" t="s">
        <v>97</v>
      </c>
      <c r="F1290" s="21" t="s">
        <v>5</v>
      </c>
      <c r="G1290" s="21" t="s">
        <v>6</v>
      </c>
      <c r="H1290" s="21" t="s">
        <v>7</v>
      </c>
      <c r="I1290" s="21" t="s">
        <v>8</v>
      </c>
      <c r="J1290" s="21" t="s">
        <v>403</v>
      </c>
      <c r="K1290" s="21" t="s">
        <v>709</v>
      </c>
      <c r="L1290" s="21" t="s">
        <v>710</v>
      </c>
      <c r="M1290" s="21" t="s">
        <v>15</v>
      </c>
      <c r="N1290" s="54">
        <v>12000</v>
      </c>
      <c r="O1290" s="54">
        <v>0</v>
      </c>
      <c r="P1290" s="54">
        <v>0</v>
      </c>
      <c r="Q1290" s="54">
        <v>12000</v>
      </c>
      <c r="R1290" s="54">
        <v>0</v>
      </c>
      <c r="S1290" s="54">
        <v>11999.68</v>
      </c>
      <c r="T1290" s="54">
        <v>11999.68</v>
      </c>
      <c r="U1290" s="54">
        <v>0.32</v>
      </c>
      <c r="V1290" s="54">
        <v>0.32</v>
      </c>
      <c r="W1290" s="54">
        <v>0.32</v>
      </c>
    </row>
    <row r="1291" spans="1:23" outlineLevel="2" x14ac:dyDescent="0.2">
      <c r="A1291" s="21" t="s">
        <v>402</v>
      </c>
      <c r="B1291" s="21" t="s">
        <v>39</v>
      </c>
      <c r="C1291" s="21" t="s">
        <v>58</v>
      </c>
      <c r="D1291" s="21" t="s">
        <v>139</v>
      </c>
      <c r="E1291" s="21" t="s">
        <v>140</v>
      </c>
      <c r="F1291" s="21" t="s">
        <v>5</v>
      </c>
      <c r="G1291" s="21" t="s">
        <v>6</v>
      </c>
      <c r="H1291" s="21" t="s">
        <v>7</v>
      </c>
      <c r="I1291" s="21" t="s">
        <v>8</v>
      </c>
      <c r="J1291" s="21" t="s">
        <v>403</v>
      </c>
      <c r="K1291" s="21" t="s">
        <v>709</v>
      </c>
      <c r="L1291" s="21" t="s">
        <v>711</v>
      </c>
      <c r="M1291" s="21" t="s">
        <v>12</v>
      </c>
      <c r="N1291" s="54">
        <v>3000</v>
      </c>
      <c r="O1291" s="54">
        <v>0</v>
      </c>
      <c r="P1291" s="54">
        <v>0</v>
      </c>
      <c r="Q1291" s="54">
        <v>3000</v>
      </c>
      <c r="R1291" s="54">
        <v>0</v>
      </c>
      <c r="S1291" s="54">
        <v>0</v>
      </c>
      <c r="T1291" s="54">
        <v>0</v>
      </c>
      <c r="U1291" s="54">
        <v>3000</v>
      </c>
      <c r="V1291" s="54">
        <v>3000</v>
      </c>
      <c r="W1291" s="54">
        <v>3000</v>
      </c>
    </row>
    <row r="1292" spans="1:23" outlineLevel="2" x14ac:dyDescent="0.2">
      <c r="A1292" s="21" t="s">
        <v>402</v>
      </c>
      <c r="B1292" s="21" t="s">
        <v>39</v>
      </c>
      <c r="C1292" s="21" t="s">
        <v>66</v>
      </c>
      <c r="D1292" s="21" t="s">
        <v>67</v>
      </c>
      <c r="E1292" s="21" t="s">
        <v>68</v>
      </c>
      <c r="F1292" s="21" t="s">
        <v>5</v>
      </c>
      <c r="G1292" s="21" t="s">
        <v>6</v>
      </c>
      <c r="H1292" s="21" t="s">
        <v>7</v>
      </c>
      <c r="I1292" s="21" t="s">
        <v>8</v>
      </c>
      <c r="J1292" s="21" t="s">
        <v>403</v>
      </c>
      <c r="K1292" s="21" t="s">
        <v>709</v>
      </c>
      <c r="L1292" s="21" t="s">
        <v>712</v>
      </c>
      <c r="M1292" s="21" t="s">
        <v>12</v>
      </c>
      <c r="N1292" s="54">
        <v>10000</v>
      </c>
      <c r="O1292" s="54">
        <v>10366.09</v>
      </c>
      <c r="P1292" s="54">
        <v>0</v>
      </c>
      <c r="Q1292" s="54">
        <v>20366.09</v>
      </c>
      <c r="R1292" s="54">
        <v>0</v>
      </c>
      <c r="S1292" s="54">
        <v>20366.09</v>
      </c>
      <c r="T1292" s="54">
        <v>17756.509999999998</v>
      </c>
      <c r="U1292" s="54">
        <v>0</v>
      </c>
      <c r="V1292" s="54">
        <v>2609.58</v>
      </c>
      <c r="W1292" s="54">
        <v>0</v>
      </c>
    </row>
    <row r="1293" spans="1:23" outlineLevel="2" x14ac:dyDescent="0.2">
      <c r="A1293" s="21" t="s">
        <v>402</v>
      </c>
      <c r="B1293" s="21" t="s">
        <v>1</v>
      </c>
      <c r="C1293" s="21" t="s">
        <v>2</v>
      </c>
      <c r="D1293" s="21" t="s">
        <v>410</v>
      </c>
      <c r="E1293" s="21" t="s">
        <v>411</v>
      </c>
      <c r="F1293" s="21" t="s">
        <v>5</v>
      </c>
      <c r="G1293" s="21" t="s">
        <v>6</v>
      </c>
      <c r="H1293" s="21" t="s">
        <v>7</v>
      </c>
      <c r="I1293" s="21" t="s">
        <v>8</v>
      </c>
      <c r="J1293" s="21" t="s">
        <v>403</v>
      </c>
      <c r="K1293" s="21" t="s">
        <v>709</v>
      </c>
      <c r="L1293" s="21" t="s">
        <v>717</v>
      </c>
      <c r="M1293" s="21" t="s">
        <v>15</v>
      </c>
      <c r="N1293" s="54">
        <v>361780</v>
      </c>
      <c r="O1293" s="54">
        <v>0</v>
      </c>
      <c r="P1293" s="54">
        <v>0</v>
      </c>
      <c r="Q1293" s="54">
        <v>361780</v>
      </c>
      <c r="R1293" s="54">
        <v>12489.95</v>
      </c>
      <c r="S1293" s="54">
        <v>303071.02</v>
      </c>
      <c r="T1293" s="54">
        <v>137718.57</v>
      </c>
      <c r="U1293" s="54">
        <v>58708.98</v>
      </c>
      <c r="V1293" s="54">
        <v>224061.43</v>
      </c>
      <c r="W1293" s="54">
        <v>46219.03</v>
      </c>
    </row>
    <row r="1294" spans="1:23" outlineLevel="2" x14ac:dyDescent="0.2">
      <c r="A1294" s="21" t="s">
        <v>402</v>
      </c>
      <c r="B1294" s="21" t="s">
        <v>39</v>
      </c>
      <c r="C1294" s="21" t="s">
        <v>58</v>
      </c>
      <c r="D1294" s="21" t="s">
        <v>149</v>
      </c>
      <c r="E1294" s="21" t="s">
        <v>150</v>
      </c>
      <c r="F1294" s="21" t="s">
        <v>5</v>
      </c>
      <c r="G1294" s="21" t="s">
        <v>6</v>
      </c>
      <c r="H1294" s="21" t="s">
        <v>7</v>
      </c>
      <c r="I1294" s="21" t="s">
        <v>8</v>
      </c>
      <c r="J1294" s="21" t="s">
        <v>403</v>
      </c>
      <c r="K1294" s="21" t="s">
        <v>709</v>
      </c>
      <c r="L1294" s="21" t="s">
        <v>711</v>
      </c>
      <c r="M1294" s="21" t="s">
        <v>12</v>
      </c>
      <c r="N1294" s="54">
        <v>2455</v>
      </c>
      <c r="O1294" s="54">
        <v>0</v>
      </c>
      <c r="P1294" s="54">
        <v>0</v>
      </c>
      <c r="Q1294" s="54">
        <v>2455</v>
      </c>
      <c r="R1294" s="54">
        <v>0</v>
      </c>
      <c r="S1294" s="54">
        <v>2455</v>
      </c>
      <c r="T1294" s="54">
        <v>1047.2</v>
      </c>
      <c r="U1294" s="54">
        <v>0</v>
      </c>
      <c r="V1294" s="54">
        <v>1407.8</v>
      </c>
      <c r="W1294" s="54">
        <v>0</v>
      </c>
    </row>
    <row r="1295" spans="1:23" outlineLevel="2" x14ac:dyDescent="0.2">
      <c r="A1295" s="21" t="s">
        <v>402</v>
      </c>
      <c r="B1295" s="21" t="s">
        <v>1</v>
      </c>
      <c r="C1295" s="21" t="s">
        <v>91</v>
      </c>
      <c r="D1295" s="21" t="s">
        <v>92</v>
      </c>
      <c r="E1295" s="21" t="s">
        <v>93</v>
      </c>
      <c r="F1295" s="21" t="s">
        <v>5</v>
      </c>
      <c r="G1295" s="21" t="s">
        <v>6</v>
      </c>
      <c r="H1295" s="21" t="s">
        <v>7</v>
      </c>
      <c r="I1295" s="21" t="s">
        <v>8</v>
      </c>
      <c r="J1295" s="21" t="s">
        <v>403</v>
      </c>
      <c r="K1295" s="21" t="s">
        <v>709</v>
      </c>
      <c r="L1295" s="21" t="s">
        <v>714</v>
      </c>
      <c r="M1295" s="21" t="s">
        <v>15</v>
      </c>
      <c r="N1295" s="54">
        <v>3000</v>
      </c>
      <c r="O1295" s="54">
        <v>12480</v>
      </c>
      <c r="P1295" s="54">
        <v>0</v>
      </c>
      <c r="Q1295" s="54">
        <v>15480</v>
      </c>
      <c r="R1295" s="54">
        <v>0</v>
      </c>
      <c r="S1295" s="54">
        <v>3076.64</v>
      </c>
      <c r="T1295" s="54">
        <v>3054.74</v>
      </c>
      <c r="U1295" s="54">
        <v>12403.36</v>
      </c>
      <c r="V1295" s="54">
        <v>12425.26</v>
      </c>
      <c r="W1295" s="54">
        <v>12403.36</v>
      </c>
    </row>
    <row r="1296" spans="1:23" outlineLevel="2" x14ac:dyDescent="0.2">
      <c r="A1296" s="21" t="s">
        <v>402</v>
      </c>
      <c r="B1296" s="21" t="s">
        <v>39</v>
      </c>
      <c r="C1296" s="21" t="s">
        <v>66</v>
      </c>
      <c r="D1296" s="21" t="s">
        <v>121</v>
      </c>
      <c r="E1296" s="21" t="s">
        <v>122</v>
      </c>
      <c r="F1296" s="21" t="s">
        <v>5</v>
      </c>
      <c r="G1296" s="21" t="s">
        <v>6</v>
      </c>
      <c r="H1296" s="21" t="s">
        <v>7</v>
      </c>
      <c r="I1296" s="21" t="s">
        <v>8</v>
      </c>
      <c r="J1296" s="21" t="s">
        <v>403</v>
      </c>
      <c r="K1296" s="21" t="s">
        <v>709</v>
      </c>
      <c r="L1296" s="21" t="s">
        <v>712</v>
      </c>
      <c r="M1296" s="21" t="s">
        <v>12</v>
      </c>
      <c r="N1296" s="54">
        <v>2000</v>
      </c>
      <c r="O1296" s="54">
        <v>0</v>
      </c>
      <c r="P1296" s="54">
        <v>0</v>
      </c>
      <c r="Q1296" s="54">
        <v>2000</v>
      </c>
      <c r="R1296" s="54">
        <v>0</v>
      </c>
      <c r="S1296" s="54">
        <v>0</v>
      </c>
      <c r="T1296" s="54">
        <v>0</v>
      </c>
      <c r="U1296" s="54">
        <v>2000</v>
      </c>
      <c r="V1296" s="54">
        <v>2000</v>
      </c>
      <c r="W1296" s="54">
        <v>2000</v>
      </c>
    </row>
    <row r="1297" spans="1:23" outlineLevel="2" x14ac:dyDescent="0.2">
      <c r="A1297" s="21" t="s">
        <v>402</v>
      </c>
      <c r="B1297" s="21" t="s">
        <v>39</v>
      </c>
      <c r="C1297" s="21" t="s">
        <v>58</v>
      </c>
      <c r="D1297" s="21" t="s">
        <v>129</v>
      </c>
      <c r="E1297" s="21" t="s">
        <v>130</v>
      </c>
      <c r="F1297" s="21" t="s">
        <v>5</v>
      </c>
      <c r="G1297" s="21" t="s">
        <v>6</v>
      </c>
      <c r="H1297" s="21" t="s">
        <v>7</v>
      </c>
      <c r="I1297" s="21" t="s">
        <v>8</v>
      </c>
      <c r="J1297" s="21" t="s">
        <v>403</v>
      </c>
      <c r="K1297" s="21" t="s">
        <v>709</v>
      </c>
      <c r="L1297" s="21" t="s">
        <v>711</v>
      </c>
      <c r="M1297" s="21" t="s">
        <v>12</v>
      </c>
      <c r="N1297" s="54">
        <v>200</v>
      </c>
      <c r="O1297" s="54">
        <v>642</v>
      </c>
      <c r="P1297" s="54">
        <v>0</v>
      </c>
      <c r="Q1297" s="54">
        <v>842</v>
      </c>
      <c r="R1297" s="54">
        <v>197.12</v>
      </c>
      <c r="S1297" s="54">
        <v>644.78</v>
      </c>
      <c r="T1297" s="54">
        <v>644.78</v>
      </c>
      <c r="U1297" s="54">
        <v>197.22</v>
      </c>
      <c r="V1297" s="54">
        <v>197.22</v>
      </c>
      <c r="W1297" s="54">
        <v>0.1</v>
      </c>
    </row>
    <row r="1298" spans="1:23" outlineLevel="2" x14ac:dyDescent="0.2">
      <c r="A1298" s="21" t="s">
        <v>402</v>
      </c>
      <c r="B1298" s="21" t="s">
        <v>31</v>
      </c>
      <c r="C1298" s="21" t="s">
        <v>79</v>
      </c>
      <c r="D1298" s="21" t="s">
        <v>133</v>
      </c>
      <c r="E1298" s="21" t="s">
        <v>134</v>
      </c>
      <c r="F1298" s="21" t="s">
        <v>5</v>
      </c>
      <c r="G1298" s="21" t="s">
        <v>6</v>
      </c>
      <c r="H1298" s="21" t="s">
        <v>7</v>
      </c>
      <c r="I1298" s="21" t="s">
        <v>8</v>
      </c>
      <c r="J1298" s="21" t="s">
        <v>403</v>
      </c>
      <c r="K1298" s="21" t="s">
        <v>709</v>
      </c>
      <c r="L1298" s="21" t="s">
        <v>713</v>
      </c>
      <c r="M1298" s="21" t="s">
        <v>12</v>
      </c>
      <c r="N1298" s="54">
        <v>1000</v>
      </c>
      <c r="O1298" s="54">
        <v>0</v>
      </c>
      <c r="P1298" s="54">
        <v>0</v>
      </c>
      <c r="Q1298" s="54">
        <v>1000</v>
      </c>
      <c r="R1298" s="54">
        <v>1000</v>
      </c>
      <c r="S1298" s="54">
        <v>0</v>
      </c>
      <c r="T1298" s="54">
        <v>0</v>
      </c>
      <c r="U1298" s="54">
        <v>1000</v>
      </c>
      <c r="V1298" s="54">
        <v>1000</v>
      </c>
      <c r="W1298" s="54">
        <v>0</v>
      </c>
    </row>
    <row r="1299" spans="1:23" outlineLevel="2" x14ac:dyDescent="0.2">
      <c r="A1299" s="21" t="s">
        <v>402</v>
      </c>
      <c r="B1299" s="21" t="s">
        <v>39</v>
      </c>
      <c r="C1299" s="21" t="s">
        <v>66</v>
      </c>
      <c r="D1299" s="21" t="s">
        <v>67</v>
      </c>
      <c r="E1299" s="21" t="s">
        <v>68</v>
      </c>
      <c r="F1299" s="21" t="s">
        <v>5</v>
      </c>
      <c r="G1299" s="21" t="s">
        <v>6</v>
      </c>
      <c r="H1299" s="21" t="s">
        <v>7</v>
      </c>
      <c r="I1299" s="21" t="s">
        <v>8</v>
      </c>
      <c r="J1299" s="21" t="s">
        <v>403</v>
      </c>
      <c r="K1299" s="21" t="s">
        <v>718</v>
      </c>
      <c r="L1299" s="21" t="s">
        <v>719</v>
      </c>
      <c r="M1299" s="21" t="s">
        <v>12</v>
      </c>
      <c r="N1299" s="54">
        <v>115</v>
      </c>
      <c r="O1299" s="54">
        <v>-115</v>
      </c>
      <c r="P1299" s="54">
        <v>0</v>
      </c>
      <c r="Q1299" s="54">
        <v>0</v>
      </c>
      <c r="R1299" s="54">
        <v>0</v>
      </c>
      <c r="S1299" s="54">
        <v>0</v>
      </c>
      <c r="T1299" s="54">
        <v>0</v>
      </c>
      <c r="U1299" s="54">
        <v>0</v>
      </c>
      <c r="V1299" s="54">
        <v>0</v>
      </c>
      <c r="W1299" s="54">
        <v>0</v>
      </c>
    </row>
    <row r="1300" spans="1:23" outlineLevel="2" x14ac:dyDescent="0.2">
      <c r="A1300" s="21" t="s">
        <v>402</v>
      </c>
      <c r="B1300" s="21" t="s">
        <v>31</v>
      </c>
      <c r="C1300" s="21" t="s">
        <v>79</v>
      </c>
      <c r="D1300" s="21" t="s">
        <v>83</v>
      </c>
      <c r="E1300" s="21" t="s">
        <v>84</v>
      </c>
      <c r="F1300" s="21" t="s">
        <v>5</v>
      </c>
      <c r="G1300" s="21" t="s">
        <v>6</v>
      </c>
      <c r="H1300" s="21" t="s">
        <v>7</v>
      </c>
      <c r="I1300" s="21" t="s">
        <v>8</v>
      </c>
      <c r="J1300" s="21" t="s">
        <v>403</v>
      </c>
      <c r="K1300" s="21" t="s">
        <v>720</v>
      </c>
      <c r="L1300" s="21" t="s">
        <v>721</v>
      </c>
      <c r="M1300" s="21" t="s">
        <v>12</v>
      </c>
      <c r="N1300" s="54">
        <v>4500</v>
      </c>
      <c r="O1300" s="54">
        <v>0</v>
      </c>
      <c r="P1300" s="54">
        <v>0</v>
      </c>
      <c r="Q1300" s="54">
        <v>4500</v>
      </c>
      <c r="R1300" s="54">
        <v>0</v>
      </c>
      <c r="S1300" s="54">
        <v>0</v>
      </c>
      <c r="T1300" s="54">
        <v>0</v>
      </c>
      <c r="U1300" s="54">
        <v>4500</v>
      </c>
      <c r="V1300" s="54">
        <v>4500</v>
      </c>
      <c r="W1300" s="54">
        <v>4500</v>
      </c>
    </row>
    <row r="1301" spans="1:23" outlineLevel="2" x14ac:dyDescent="0.2">
      <c r="A1301" s="21" t="s">
        <v>402</v>
      </c>
      <c r="B1301" s="21" t="s">
        <v>39</v>
      </c>
      <c r="C1301" s="21" t="s">
        <v>58</v>
      </c>
      <c r="D1301" s="21" t="s">
        <v>149</v>
      </c>
      <c r="E1301" s="21" t="s">
        <v>150</v>
      </c>
      <c r="F1301" s="21" t="s">
        <v>5</v>
      </c>
      <c r="G1301" s="21" t="s">
        <v>6</v>
      </c>
      <c r="H1301" s="21" t="s">
        <v>7</v>
      </c>
      <c r="I1301" s="21" t="s">
        <v>8</v>
      </c>
      <c r="J1301" s="21" t="s">
        <v>403</v>
      </c>
      <c r="K1301" s="21" t="s">
        <v>720</v>
      </c>
      <c r="L1301" s="21" t="s">
        <v>722</v>
      </c>
      <c r="M1301" s="21" t="s">
        <v>12</v>
      </c>
      <c r="N1301" s="54">
        <v>360</v>
      </c>
      <c r="O1301" s="54">
        <v>0</v>
      </c>
      <c r="P1301" s="54">
        <v>0</v>
      </c>
      <c r="Q1301" s="54">
        <v>360</v>
      </c>
      <c r="R1301" s="54">
        <v>0</v>
      </c>
      <c r="S1301" s="54">
        <v>0</v>
      </c>
      <c r="T1301" s="54">
        <v>0</v>
      </c>
      <c r="U1301" s="54">
        <v>360</v>
      </c>
      <c r="V1301" s="54">
        <v>360</v>
      </c>
      <c r="W1301" s="54">
        <v>360</v>
      </c>
    </row>
    <row r="1302" spans="1:23" outlineLevel="2" x14ac:dyDescent="0.2">
      <c r="A1302" s="21" t="s">
        <v>402</v>
      </c>
      <c r="B1302" s="21" t="s">
        <v>1</v>
      </c>
      <c r="C1302" s="21" t="s">
        <v>91</v>
      </c>
      <c r="D1302" s="21" t="s">
        <v>92</v>
      </c>
      <c r="E1302" s="21" t="s">
        <v>93</v>
      </c>
      <c r="F1302" s="21" t="s">
        <v>5</v>
      </c>
      <c r="G1302" s="21" t="s">
        <v>6</v>
      </c>
      <c r="H1302" s="21" t="s">
        <v>7</v>
      </c>
      <c r="I1302" s="21" t="s">
        <v>8</v>
      </c>
      <c r="J1302" s="21" t="s">
        <v>403</v>
      </c>
      <c r="K1302" s="21" t="s">
        <v>723</v>
      </c>
      <c r="L1302" s="21" t="s">
        <v>727</v>
      </c>
      <c r="M1302" s="21" t="s">
        <v>15</v>
      </c>
      <c r="N1302" s="54">
        <v>0</v>
      </c>
      <c r="O1302" s="54">
        <v>2092.16</v>
      </c>
      <c r="P1302" s="54">
        <v>0</v>
      </c>
      <c r="Q1302" s="54">
        <v>2092.16</v>
      </c>
      <c r="R1302" s="54">
        <v>0</v>
      </c>
      <c r="S1302" s="54">
        <v>1540</v>
      </c>
      <c r="T1302" s="54">
        <v>1540</v>
      </c>
      <c r="U1302" s="54">
        <v>552.16</v>
      </c>
      <c r="V1302" s="54">
        <v>552.16</v>
      </c>
      <c r="W1302" s="54">
        <v>552.16</v>
      </c>
    </row>
    <row r="1303" spans="1:23" outlineLevel="2" x14ac:dyDescent="0.2">
      <c r="A1303" s="21" t="s">
        <v>402</v>
      </c>
      <c r="B1303" s="21" t="s">
        <v>39</v>
      </c>
      <c r="C1303" s="21" t="s">
        <v>66</v>
      </c>
      <c r="D1303" s="21" t="s">
        <v>67</v>
      </c>
      <c r="E1303" s="21" t="s">
        <v>68</v>
      </c>
      <c r="F1303" s="21" t="s">
        <v>5</v>
      </c>
      <c r="G1303" s="21" t="s">
        <v>6</v>
      </c>
      <c r="H1303" s="21" t="s">
        <v>7</v>
      </c>
      <c r="I1303" s="21" t="s">
        <v>8</v>
      </c>
      <c r="J1303" s="21" t="s">
        <v>403</v>
      </c>
      <c r="K1303" s="21" t="s">
        <v>723</v>
      </c>
      <c r="L1303" s="21" t="s">
        <v>726</v>
      </c>
      <c r="M1303" s="21" t="s">
        <v>12</v>
      </c>
      <c r="N1303" s="54">
        <v>80</v>
      </c>
      <c r="O1303" s="54">
        <v>-80</v>
      </c>
      <c r="P1303" s="54">
        <v>0</v>
      </c>
      <c r="Q1303" s="54">
        <v>0</v>
      </c>
      <c r="R1303" s="54">
        <v>0</v>
      </c>
      <c r="S1303" s="54">
        <v>0</v>
      </c>
      <c r="T1303" s="54">
        <v>0</v>
      </c>
      <c r="U1303" s="54">
        <v>0</v>
      </c>
      <c r="V1303" s="54">
        <v>0</v>
      </c>
      <c r="W1303" s="54">
        <v>0</v>
      </c>
    </row>
    <row r="1304" spans="1:23" outlineLevel="2" x14ac:dyDescent="0.2">
      <c r="A1304" s="21" t="s">
        <v>402</v>
      </c>
      <c r="B1304" s="21" t="s">
        <v>39</v>
      </c>
      <c r="C1304" s="21" t="s">
        <v>40</v>
      </c>
      <c r="D1304" s="21" t="s">
        <v>77</v>
      </c>
      <c r="E1304" s="21" t="s">
        <v>78</v>
      </c>
      <c r="F1304" s="21" t="s">
        <v>5</v>
      </c>
      <c r="G1304" s="21" t="s">
        <v>6</v>
      </c>
      <c r="H1304" s="21" t="s">
        <v>7</v>
      </c>
      <c r="I1304" s="21" t="s">
        <v>8</v>
      </c>
      <c r="J1304" s="21" t="s">
        <v>403</v>
      </c>
      <c r="K1304" s="21" t="s">
        <v>723</v>
      </c>
      <c r="L1304" s="21" t="s">
        <v>724</v>
      </c>
      <c r="M1304" s="21" t="s">
        <v>12</v>
      </c>
      <c r="N1304" s="54">
        <v>0</v>
      </c>
      <c r="O1304" s="54">
        <v>3000</v>
      </c>
      <c r="P1304" s="54">
        <v>0</v>
      </c>
      <c r="Q1304" s="54">
        <v>3000</v>
      </c>
      <c r="R1304" s="54">
        <v>0</v>
      </c>
      <c r="S1304" s="54">
        <v>0</v>
      </c>
      <c r="T1304" s="54">
        <v>0</v>
      </c>
      <c r="U1304" s="54">
        <v>3000</v>
      </c>
      <c r="V1304" s="54">
        <v>3000</v>
      </c>
      <c r="W1304" s="54">
        <v>3000</v>
      </c>
    </row>
    <row r="1305" spans="1:23" outlineLevel="2" x14ac:dyDescent="0.2">
      <c r="A1305" s="21" t="s">
        <v>402</v>
      </c>
      <c r="B1305" s="21" t="s">
        <v>31</v>
      </c>
      <c r="C1305" s="21" t="s">
        <v>32</v>
      </c>
      <c r="D1305" s="21" t="s">
        <v>33</v>
      </c>
      <c r="E1305" s="21" t="s">
        <v>34</v>
      </c>
      <c r="F1305" s="21" t="s">
        <v>5</v>
      </c>
      <c r="G1305" s="21" t="s">
        <v>6</v>
      </c>
      <c r="H1305" s="21" t="s">
        <v>7</v>
      </c>
      <c r="I1305" s="21" t="s">
        <v>8</v>
      </c>
      <c r="J1305" s="21" t="s">
        <v>403</v>
      </c>
      <c r="K1305" s="21" t="s">
        <v>723</v>
      </c>
      <c r="L1305" s="21" t="s">
        <v>725</v>
      </c>
      <c r="M1305" s="21" t="s">
        <v>12</v>
      </c>
      <c r="N1305" s="54">
        <v>3000</v>
      </c>
      <c r="O1305" s="54">
        <v>-1000</v>
      </c>
      <c r="P1305" s="54">
        <v>0</v>
      </c>
      <c r="Q1305" s="54">
        <v>2000</v>
      </c>
      <c r="R1305" s="54">
        <v>0</v>
      </c>
      <c r="S1305" s="54">
        <v>0</v>
      </c>
      <c r="T1305" s="54">
        <v>0</v>
      </c>
      <c r="U1305" s="54">
        <v>2000</v>
      </c>
      <c r="V1305" s="54">
        <v>2000</v>
      </c>
      <c r="W1305" s="54">
        <v>2000</v>
      </c>
    </row>
    <row r="1306" spans="1:23" outlineLevel="2" x14ac:dyDescent="0.2">
      <c r="A1306" s="21" t="s">
        <v>402</v>
      </c>
      <c r="B1306" s="21" t="s">
        <v>31</v>
      </c>
      <c r="C1306" s="21" t="s">
        <v>32</v>
      </c>
      <c r="D1306" s="21" t="s">
        <v>75</v>
      </c>
      <c r="E1306" s="21" t="s">
        <v>76</v>
      </c>
      <c r="F1306" s="21" t="s">
        <v>5</v>
      </c>
      <c r="G1306" s="21" t="s">
        <v>6</v>
      </c>
      <c r="H1306" s="21" t="s">
        <v>7</v>
      </c>
      <c r="I1306" s="21" t="s">
        <v>8</v>
      </c>
      <c r="J1306" s="21" t="s">
        <v>403</v>
      </c>
      <c r="K1306" s="21" t="s">
        <v>723</v>
      </c>
      <c r="L1306" s="21" t="s">
        <v>725</v>
      </c>
      <c r="M1306" s="21" t="s">
        <v>12</v>
      </c>
      <c r="N1306" s="54">
        <v>0</v>
      </c>
      <c r="O1306" s="54">
        <v>1000</v>
      </c>
      <c r="P1306" s="54">
        <v>0</v>
      </c>
      <c r="Q1306" s="54">
        <v>1000</v>
      </c>
      <c r="R1306" s="54">
        <v>0</v>
      </c>
      <c r="S1306" s="54">
        <v>0</v>
      </c>
      <c r="T1306" s="54">
        <v>0</v>
      </c>
      <c r="U1306" s="54">
        <v>1000</v>
      </c>
      <c r="V1306" s="54">
        <v>1000</v>
      </c>
      <c r="W1306" s="54">
        <v>1000</v>
      </c>
    </row>
    <row r="1307" spans="1:23" outlineLevel="2" x14ac:dyDescent="0.2">
      <c r="A1307" s="21" t="s">
        <v>402</v>
      </c>
      <c r="B1307" s="21" t="s">
        <v>1</v>
      </c>
      <c r="C1307" s="21" t="s">
        <v>2</v>
      </c>
      <c r="D1307" s="21" t="s">
        <v>410</v>
      </c>
      <c r="E1307" s="21" t="s">
        <v>411</v>
      </c>
      <c r="F1307" s="21" t="s">
        <v>5</v>
      </c>
      <c r="G1307" s="21" t="s">
        <v>6</v>
      </c>
      <c r="H1307" s="21" t="s">
        <v>7</v>
      </c>
      <c r="I1307" s="21" t="s">
        <v>8</v>
      </c>
      <c r="J1307" s="21" t="s">
        <v>403</v>
      </c>
      <c r="K1307" s="21" t="s">
        <v>728</v>
      </c>
      <c r="L1307" s="21" t="s">
        <v>729</v>
      </c>
      <c r="M1307" s="21" t="s">
        <v>15</v>
      </c>
      <c r="N1307" s="54">
        <v>0</v>
      </c>
      <c r="O1307" s="54">
        <v>1000</v>
      </c>
      <c r="P1307" s="54">
        <v>0</v>
      </c>
      <c r="Q1307" s="54">
        <v>1000</v>
      </c>
      <c r="R1307" s="54">
        <v>0</v>
      </c>
      <c r="S1307" s="54">
        <v>1000</v>
      </c>
      <c r="T1307" s="54">
        <v>291.2</v>
      </c>
      <c r="U1307" s="54">
        <v>0</v>
      </c>
      <c r="V1307" s="54">
        <v>708.8</v>
      </c>
      <c r="W1307" s="54">
        <v>0</v>
      </c>
    </row>
    <row r="1308" spans="1:23" outlineLevel="2" x14ac:dyDescent="0.2">
      <c r="A1308" s="21" t="s">
        <v>402</v>
      </c>
      <c r="B1308" s="21" t="s">
        <v>1</v>
      </c>
      <c r="C1308" s="21" t="s">
        <v>2</v>
      </c>
      <c r="D1308" s="21" t="s">
        <v>3</v>
      </c>
      <c r="E1308" s="21" t="s">
        <v>4</v>
      </c>
      <c r="F1308" s="21" t="s">
        <v>5</v>
      </c>
      <c r="G1308" s="21" t="s">
        <v>6</v>
      </c>
      <c r="H1308" s="21" t="s">
        <v>7</v>
      </c>
      <c r="I1308" s="21" t="s">
        <v>8</v>
      </c>
      <c r="J1308" s="21" t="s">
        <v>403</v>
      </c>
      <c r="K1308" s="21" t="s">
        <v>730</v>
      </c>
      <c r="L1308" s="21" t="s">
        <v>731</v>
      </c>
      <c r="M1308" s="21" t="s">
        <v>15</v>
      </c>
      <c r="N1308" s="54">
        <v>250</v>
      </c>
      <c r="O1308" s="54">
        <v>88.8</v>
      </c>
      <c r="P1308" s="54">
        <v>0</v>
      </c>
      <c r="Q1308" s="54">
        <v>338.8</v>
      </c>
      <c r="R1308" s="54">
        <v>0</v>
      </c>
      <c r="S1308" s="54">
        <v>268.8</v>
      </c>
      <c r="T1308" s="54">
        <v>156.80000000000001</v>
      </c>
      <c r="U1308" s="54">
        <v>70</v>
      </c>
      <c r="V1308" s="54">
        <v>182</v>
      </c>
      <c r="W1308" s="54">
        <v>70</v>
      </c>
    </row>
    <row r="1309" spans="1:23" outlineLevel="2" x14ac:dyDescent="0.2">
      <c r="A1309" s="21" t="s">
        <v>402</v>
      </c>
      <c r="B1309" s="21" t="s">
        <v>39</v>
      </c>
      <c r="C1309" s="21" t="s">
        <v>66</v>
      </c>
      <c r="D1309" s="21" t="s">
        <v>67</v>
      </c>
      <c r="E1309" s="21" t="s">
        <v>68</v>
      </c>
      <c r="F1309" s="21" t="s">
        <v>5</v>
      </c>
      <c r="G1309" s="21" t="s">
        <v>6</v>
      </c>
      <c r="H1309" s="21" t="s">
        <v>7</v>
      </c>
      <c r="I1309" s="21" t="s">
        <v>8</v>
      </c>
      <c r="J1309" s="21" t="s">
        <v>403</v>
      </c>
      <c r="K1309" s="21" t="s">
        <v>732</v>
      </c>
      <c r="L1309" s="21" t="s">
        <v>735</v>
      </c>
      <c r="M1309" s="21" t="s">
        <v>12</v>
      </c>
      <c r="N1309" s="54">
        <v>20</v>
      </c>
      <c r="O1309" s="54">
        <v>-20</v>
      </c>
      <c r="P1309" s="54">
        <v>0</v>
      </c>
      <c r="Q1309" s="54">
        <v>0</v>
      </c>
      <c r="R1309" s="54">
        <v>0</v>
      </c>
      <c r="S1309" s="54">
        <v>0</v>
      </c>
      <c r="T1309" s="54">
        <v>0</v>
      </c>
      <c r="U1309" s="54">
        <v>0</v>
      </c>
      <c r="V1309" s="54">
        <v>0</v>
      </c>
      <c r="W1309" s="54">
        <v>0</v>
      </c>
    </row>
    <row r="1310" spans="1:23" outlineLevel="2" x14ac:dyDescent="0.2">
      <c r="A1310" s="21" t="s">
        <v>402</v>
      </c>
      <c r="B1310" s="21" t="s">
        <v>1</v>
      </c>
      <c r="C1310" s="21" t="s">
        <v>91</v>
      </c>
      <c r="D1310" s="21" t="s">
        <v>92</v>
      </c>
      <c r="E1310" s="21" t="s">
        <v>93</v>
      </c>
      <c r="F1310" s="21" t="s">
        <v>5</v>
      </c>
      <c r="G1310" s="21" t="s">
        <v>6</v>
      </c>
      <c r="H1310" s="21" t="s">
        <v>7</v>
      </c>
      <c r="I1310" s="21" t="s">
        <v>8</v>
      </c>
      <c r="J1310" s="21" t="s">
        <v>403</v>
      </c>
      <c r="K1310" s="21" t="s">
        <v>732</v>
      </c>
      <c r="L1310" s="21" t="s">
        <v>733</v>
      </c>
      <c r="M1310" s="21" t="s">
        <v>15</v>
      </c>
      <c r="N1310" s="54">
        <v>0</v>
      </c>
      <c r="O1310" s="54">
        <v>82753.78</v>
      </c>
      <c r="P1310" s="54">
        <v>0</v>
      </c>
      <c r="Q1310" s="54">
        <v>82753.78</v>
      </c>
      <c r="R1310" s="54">
        <v>0</v>
      </c>
      <c r="S1310" s="54">
        <v>78408.179999999993</v>
      </c>
      <c r="T1310" s="54">
        <v>78408.179999999993</v>
      </c>
      <c r="U1310" s="54">
        <v>4345.6000000000004</v>
      </c>
      <c r="V1310" s="54">
        <v>4345.6000000000004</v>
      </c>
      <c r="W1310" s="54">
        <v>4345.6000000000004</v>
      </c>
    </row>
    <row r="1311" spans="1:23" outlineLevel="2" x14ac:dyDescent="0.2">
      <c r="A1311" s="21" t="s">
        <v>402</v>
      </c>
      <c r="B1311" s="21" t="s">
        <v>1</v>
      </c>
      <c r="C1311" s="21" t="s">
        <v>2</v>
      </c>
      <c r="D1311" s="21" t="s">
        <v>3</v>
      </c>
      <c r="E1311" s="21" t="s">
        <v>4</v>
      </c>
      <c r="F1311" s="21" t="s">
        <v>5</v>
      </c>
      <c r="G1311" s="21" t="s">
        <v>6</v>
      </c>
      <c r="H1311" s="21" t="s">
        <v>7</v>
      </c>
      <c r="I1311" s="21" t="s">
        <v>8</v>
      </c>
      <c r="J1311" s="21" t="s">
        <v>403</v>
      </c>
      <c r="K1311" s="21" t="s">
        <v>732</v>
      </c>
      <c r="L1311" s="21" t="s">
        <v>734</v>
      </c>
      <c r="M1311" s="21" t="s">
        <v>15</v>
      </c>
      <c r="N1311" s="54">
        <v>0</v>
      </c>
      <c r="O1311" s="54">
        <v>2153</v>
      </c>
      <c r="P1311" s="54">
        <v>0</v>
      </c>
      <c r="Q1311" s="54">
        <v>2153</v>
      </c>
      <c r="R1311" s="54">
        <v>215.04</v>
      </c>
      <c r="S1311" s="54">
        <v>1937.96</v>
      </c>
      <c r="T1311" s="54">
        <v>1937.96</v>
      </c>
      <c r="U1311" s="54">
        <v>215.04</v>
      </c>
      <c r="V1311" s="54">
        <v>215.04</v>
      </c>
      <c r="W1311" s="54">
        <v>0</v>
      </c>
    </row>
    <row r="1312" spans="1:23" outlineLevel="2" x14ac:dyDescent="0.2">
      <c r="A1312" s="21" t="s">
        <v>402</v>
      </c>
      <c r="B1312" s="21" t="s">
        <v>31</v>
      </c>
      <c r="C1312" s="21" t="s">
        <v>79</v>
      </c>
      <c r="D1312" s="21" t="s">
        <v>80</v>
      </c>
      <c r="E1312" s="21" t="s">
        <v>81</v>
      </c>
      <c r="F1312" s="21" t="s">
        <v>5</v>
      </c>
      <c r="G1312" s="21" t="s">
        <v>6</v>
      </c>
      <c r="H1312" s="21" t="s">
        <v>7</v>
      </c>
      <c r="I1312" s="21" t="s">
        <v>8</v>
      </c>
      <c r="J1312" s="21" t="s">
        <v>403</v>
      </c>
      <c r="K1312" s="21" t="s">
        <v>732</v>
      </c>
      <c r="L1312" s="21" t="s">
        <v>736</v>
      </c>
      <c r="M1312" s="21" t="s">
        <v>12</v>
      </c>
      <c r="N1312" s="54">
        <v>0</v>
      </c>
      <c r="O1312" s="54">
        <v>600</v>
      </c>
      <c r="P1312" s="54">
        <v>0</v>
      </c>
      <c r="Q1312" s="54">
        <v>600</v>
      </c>
      <c r="R1312" s="54">
        <v>0</v>
      </c>
      <c r="S1312" s="54">
        <v>0</v>
      </c>
      <c r="T1312" s="54">
        <v>0</v>
      </c>
      <c r="U1312" s="54">
        <v>600</v>
      </c>
      <c r="V1312" s="54">
        <v>600</v>
      </c>
      <c r="W1312" s="54">
        <v>600</v>
      </c>
    </row>
    <row r="1313" spans="1:23" outlineLevel="2" x14ac:dyDescent="0.2">
      <c r="A1313" s="21" t="s">
        <v>402</v>
      </c>
      <c r="B1313" s="21" t="s">
        <v>31</v>
      </c>
      <c r="C1313" s="21" t="s">
        <v>79</v>
      </c>
      <c r="D1313" s="21" t="s">
        <v>117</v>
      </c>
      <c r="E1313" s="21" t="s">
        <v>118</v>
      </c>
      <c r="F1313" s="21" t="s">
        <v>5</v>
      </c>
      <c r="G1313" s="21" t="s">
        <v>6</v>
      </c>
      <c r="H1313" s="21" t="s">
        <v>7</v>
      </c>
      <c r="I1313" s="21" t="s">
        <v>8</v>
      </c>
      <c r="J1313" s="21" t="s">
        <v>403</v>
      </c>
      <c r="K1313" s="21" t="s">
        <v>737</v>
      </c>
      <c r="L1313" s="21" t="s">
        <v>738</v>
      </c>
      <c r="M1313" s="21" t="s">
        <v>12</v>
      </c>
      <c r="N1313" s="54">
        <v>4000</v>
      </c>
      <c r="O1313" s="54">
        <v>0</v>
      </c>
      <c r="P1313" s="54">
        <v>0</v>
      </c>
      <c r="Q1313" s="54">
        <v>4000</v>
      </c>
      <c r="R1313" s="54">
        <v>0</v>
      </c>
      <c r="S1313" s="54">
        <v>0</v>
      </c>
      <c r="T1313" s="54">
        <v>0</v>
      </c>
      <c r="U1313" s="54">
        <v>4000</v>
      </c>
      <c r="V1313" s="54">
        <v>4000</v>
      </c>
      <c r="W1313" s="54">
        <v>4000</v>
      </c>
    </row>
    <row r="1314" spans="1:23" outlineLevel="2" x14ac:dyDescent="0.2">
      <c r="A1314" s="21" t="s">
        <v>402</v>
      </c>
      <c r="B1314" s="21" t="s">
        <v>31</v>
      </c>
      <c r="C1314" s="21" t="s">
        <v>79</v>
      </c>
      <c r="D1314" s="21" t="s">
        <v>80</v>
      </c>
      <c r="E1314" s="21" t="s">
        <v>81</v>
      </c>
      <c r="F1314" s="21" t="s">
        <v>5</v>
      </c>
      <c r="G1314" s="21" t="s">
        <v>6</v>
      </c>
      <c r="H1314" s="21" t="s">
        <v>7</v>
      </c>
      <c r="I1314" s="21" t="s">
        <v>8</v>
      </c>
      <c r="J1314" s="21" t="s">
        <v>403</v>
      </c>
      <c r="K1314" s="21" t="s">
        <v>737</v>
      </c>
      <c r="L1314" s="21" t="s">
        <v>738</v>
      </c>
      <c r="M1314" s="21" t="s">
        <v>12</v>
      </c>
      <c r="N1314" s="54">
        <v>2000</v>
      </c>
      <c r="O1314" s="54">
        <v>-1200</v>
      </c>
      <c r="P1314" s="54">
        <v>0</v>
      </c>
      <c r="Q1314" s="54">
        <v>800</v>
      </c>
      <c r="R1314" s="54">
        <v>0</v>
      </c>
      <c r="S1314" s="54">
        <v>0</v>
      </c>
      <c r="T1314" s="54">
        <v>0</v>
      </c>
      <c r="U1314" s="54">
        <v>800</v>
      </c>
      <c r="V1314" s="54">
        <v>800</v>
      </c>
      <c r="W1314" s="54">
        <v>800</v>
      </c>
    </row>
    <row r="1315" spans="1:23" outlineLevel="2" x14ac:dyDescent="0.2">
      <c r="A1315" s="21" t="s">
        <v>402</v>
      </c>
      <c r="B1315" s="21" t="s">
        <v>39</v>
      </c>
      <c r="C1315" s="21" t="s">
        <v>66</v>
      </c>
      <c r="D1315" s="21" t="s">
        <v>67</v>
      </c>
      <c r="E1315" s="21" t="s">
        <v>68</v>
      </c>
      <c r="F1315" s="21" t="s">
        <v>5</v>
      </c>
      <c r="G1315" s="21" t="s">
        <v>6</v>
      </c>
      <c r="H1315" s="21" t="s">
        <v>7</v>
      </c>
      <c r="I1315" s="21" t="s">
        <v>8</v>
      </c>
      <c r="J1315" s="21" t="s">
        <v>403</v>
      </c>
      <c r="K1315" s="21" t="s">
        <v>739</v>
      </c>
      <c r="L1315" s="21" t="s">
        <v>740</v>
      </c>
      <c r="M1315" s="21" t="s">
        <v>12</v>
      </c>
      <c r="N1315" s="54">
        <v>400</v>
      </c>
      <c r="O1315" s="54">
        <v>-400</v>
      </c>
      <c r="P1315" s="54">
        <v>0</v>
      </c>
      <c r="Q1315" s="54">
        <v>0</v>
      </c>
      <c r="R1315" s="54">
        <v>0</v>
      </c>
      <c r="S1315" s="54">
        <v>0</v>
      </c>
      <c r="T1315" s="54">
        <v>0</v>
      </c>
      <c r="U1315" s="54">
        <v>0</v>
      </c>
      <c r="V1315" s="54">
        <v>0</v>
      </c>
      <c r="W1315" s="54">
        <v>0</v>
      </c>
    </row>
    <row r="1316" spans="1:23" outlineLevel="2" x14ac:dyDescent="0.2">
      <c r="A1316" s="21" t="s">
        <v>402</v>
      </c>
      <c r="B1316" s="21" t="s">
        <v>31</v>
      </c>
      <c r="C1316" s="21" t="s">
        <v>79</v>
      </c>
      <c r="D1316" s="21" t="s">
        <v>111</v>
      </c>
      <c r="E1316" s="21" t="s">
        <v>112</v>
      </c>
      <c r="F1316" s="21" t="s">
        <v>5</v>
      </c>
      <c r="G1316" s="21" t="s">
        <v>6</v>
      </c>
      <c r="H1316" s="21" t="s">
        <v>7</v>
      </c>
      <c r="I1316" s="21" t="s">
        <v>8</v>
      </c>
      <c r="J1316" s="21" t="s">
        <v>403</v>
      </c>
      <c r="K1316" s="21" t="s">
        <v>741</v>
      </c>
      <c r="L1316" s="21" t="s">
        <v>742</v>
      </c>
      <c r="M1316" s="21" t="s">
        <v>12</v>
      </c>
      <c r="N1316" s="54">
        <v>7001.16</v>
      </c>
      <c r="O1316" s="54">
        <v>0</v>
      </c>
      <c r="P1316" s="54">
        <v>0</v>
      </c>
      <c r="Q1316" s="54">
        <v>7001.16</v>
      </c>
      <c r="R1316" s="54">
        <v>0</v>
      </c>
      <c r="S1316" s="54">
        <v>0</v>
      </c>
      <c r="T1316" s="54">
        <v>0</v>
      </c>
      <c r="U1316" s="54">
        <v>7001.16</v>
      </c>
      <c r="V1316" s="54">
        <v>7001.16</v>
      </c>
      <c r="W1316" s="54">
        <v>7001.16</v>
      </c>
    </row>
    <row r="1317" spans="1:23" outlineLevel="2" x14ac:dyDescent="0.2">
      <c r="A1317" s="21" t="s">
        <v>402</v>
      </c>
      <c r="B1317" s="21" t="s">
        <v>31</v>
      </c>
      <c r="C1317" s="21" t="s">
        <v>79</v>
      </c>
      <c r="D1317" s="21" t="s">
        <v>117</v>
      </c>
      <c r="E1317" s="21" t="s">
        <v>118</v>
      </c>
      <c r="F1317" s="21" t="s">
        <v>5</v>
      </c>
      <c r="G1317" s="21" t="s">
        <v>6</v>
      </c>
      <c r="H1317" s="21" t="s">
        <v>7</v>
      </c>
      <c r="I1317" s="21" t="s">
        <v>8</v>
      </c>
      <c r="J1317" s="21" t="s">
        <v>403</v>
      </c>
      <c r="K1317" s="21" t="s">
        <v>741</v>
      </c>
      <c r="L1317" s="21" t="s">
        <v>742</v>
      </c>
      <c r="M1317" s="21" t="s">
        <v>12</v>
      </c>
      <c r="N1317" s="54">
        <v>4000</v>
      </c>
      <c r="O1317" s="54">
        <v>0</v>
      </c>
      <c r="P1317" s="54">
        <v>0</v>
      </c>
      <c r="Q1317" s="54">
        <v>4000</v>
      </c>
      <c r="R1317" s="54">
        <v>0</v>
      </c>
      <c r="S1317" s="54">
        <v>0</v>
      </c>
      <c r="T1317" s="54">
        <v>0</v>
      </c>
      <c r="U1317" s="54">
        <v>4000</v>
      </c>
      <c r="V1317" s="54">
        <v>4000</v>
      </c>
      <c r="W1317" s="54">
        <v>4000</v>
      </c>
    </row>
    <row r="1318" spans="1:23" outlineLevel="2" x14ac:dyDescent="0.2">
      <c r="A1318" s="21" t="s">
        <v>402</v>
      </c>
      <c r="B1318" s="21" t="s">
        <v>1</v>
      </c>
      <c r="C1318" s="21" t="s">
        <v>2</v>
      </c>
      <c r="D1318" s="21" t="s">
        <v>410</v>
      </c>
      <c r="E1318" s="21" t="s">
        <v>411</v>
      </c>
      <c r="F1318" s="21" t="s">
        <v>5</v>
      </c>
      <c r="G1318" s="21" t="s">
        <v>6</v>
      </c>
      <c r="H1318" s="21" t="s">
        <v>7</v>
      </c>
      <c r="I1318" s="21" t="s">
        <v>8</v>
      </c>
      <c r="J1318" s="21" t="s">
        <v>403</v>
      </c>
      <c r="K1318" s="21" t="s">
        <v>741</v>
      </c>
      <c r="L1318" s="21" t="s">
        <v>744</v>
      </c>
      <c r="M1318" s="21" t="s">
        <v>15</v>
      </c>
      <c r="N1318" s="54">
        <v>3000</v>
      </c>
      <c r="O1318" s="54">
        <v>1431.09</v>
      </c>
      <c r="P1318" s="54">
        <v>0</v>
      </c>
      <c r="Q1318" s="54">
        <v>4431.09</v>
      </c>
      <c r="R1318" s="54">
        <v>0</v>
      </c>
      <c r="S1318" s="54">
        <v>0</v>
      </c>
      <c r="T1318" s="54">
        <v>0</v>
      </c>
      <c r="U1318" s="54">
        <v>4431.09</v>
      </c>
      <c r="V1318" s="54">
        <v>4431.09</v>
      </c>
      <c r="W1318" s="54">
        <v>4431.09</v>
      </c>
    </row>
    <row r="1319" spans="1:23" outlineLevel="2" x14ac:dyDescent="0.2">
      <c r="A1319" s="21" t="s">
        <v>402</v>
      </c>
      <c r="B1319" s="21" t="s">
        <v>31</v>
      </c>
      <c r="C1319" s="21" t="s">
        <v>79</v>
      </c>
      <c r="D1319" s="21" t="s">
        <v>127</v>
      </c>
      <c r="E1319" s="21" t="s">
        <v>128</v>
      </c>
      <c r="F1319" s="21" t="s">
        <v>5</v>
      </c>
      <c r="G1319" s="21" t="s">
        <v>6</v>
      </c>
      <c r="H1319" s="21" t="s">
        <v>7</v>
      </c>
      <c r="I1319" s="21" t="s">
        <v>8</v>
      </c>
      <c r="J1319" s="21" t="s">
        <v>403</v>
      </c>
      <c r="K1319" s="21" t="s">
        <v>741</v>
      </c>
      <c r="L1319" s="21" t="s">
        <v>742</v>
      </c>
      <c r="M1319" s="21" t="s">
        <v>12</v>
      </c>
      <c r="N1319" s="54">
        <v>500</v>
      </c>
      <c r="O1319" s="54">
        <v>-500</v>
      </c>
      <c r="P1319" s="54">
        <v>0</v>
      </c>
      <c r="Q1319" s="54">
        <v>0</v>
      </c>
      <c r="R1319" s="54">
        <v>0</v>
      </c>
      <c r="S1319" s="54">
        <v>0</v>
      </c>
      <c r="T1319" s="54">
        <v>0</v>
      </c>
      <c r="U1319" s="54">
        <v>0</v>
      </c>
      <c r="V1319" s="54">
        <v>0</v>
      </c>
      <c r="W1319" s="54">
        <v>0</v>
      </c>
    </row>
    <row r="1320" spans="1:23" outlineLevel="2" x14ac:dyDescent="0.2">
      <c r="A1320" s="21" t="s">
        <v>402</v>
      </c>
      <c r="B1320" s="21" t="s">
        <v>31</v>
      </c>
      <c r="C1320" s="21" t="s">
        <v>32</v>
      </c>
      <c r="D1320" s="21" t="s">
        <v>33</v>
      </c>
      <c r="E1320" s="21" t="s">
        <v>34</v>
      </c>
      <c r="F1320" s="21" t="s">
        <v>5</v>
      </c>
      <c r="G1320" s="21" t="s">
        <v>6</v>
      </c>
      <c r="H1320" s="21" t="s">
        <v>7</v>
      </c>
      <c r="I1320" s="21" t="s">
        <v>8</v>
      </c>
      <c r="J1320" s="21" t="s">
        <v>403</v>
      </c>
      <c r="K1320" s="21" t="s">
        <v>741</v>
      </c>
      <c r="L1320" s="21" t="s">
        <v>743</v>
      </c>
      <c r="M1320" s="21" t="s">
        <v>12</v>
      </c>
      <c r="N1320" s="54">
        <v>5000</v>
      </c>
      <c r="O1320" s="54">
        <v>-3000</v>
      </c>
      <c r="P1320" s="54">
        <v>0</v>
      </c>
      <c r="Q1320" s="54">
        <v>2000</v>
      </c>
      <c r="R1320" s="54">
        <v>0</v>
      </c>
      <c r="S1320" s="54">
        <v>0</v>
      </c>
      <c r="T1320" s="54">
        <v>0</v>
      </c>
      <c r="U1320" s="54">
        <v>2000</v>
      </c>
      <c r="V1320" s="54">
        <v>2000</v>
      </c>
      <c r="W1320" s="54">
        <v>2000</v>
      </c>
    </row>
    <row r="1321" spans="1:23" outlineLevel="2" x14ac:dyDescent="0.2">
      <c r="A1321" s="21" t="s">
        <v>402</v>
      </c>
      <c r="B1321" s="21" t="s">
        <v>1</v>
      </c>
      <c r="C1321" s="21" t="s">
        <v>2</v>
      </c>
      <c r="D1321" s="21" t="s">
        <v>3</v>
      </c>
      <c r="E1321" s="21" t="s">
        <v>4</v>
      </c>
      <c r="F1321" s="21" t="s">
        <v>5</v>
      </c>
      <c r="G1321" s="21" t="s">
        <v>6</v>
      </c>
      <c r="H1321" s="21" t="s">
        <v>7</v>
      </c>
      <c r="I1321" s="21" t="s">
        <v>8</v>
      </c>
      <c r="J1321" s="21" t="s">
        <v>403</v>
      </c>
      <c r="K1321" s="21" t="s">
        <v>741</v>
      </c>
      <c r="L1321" s="21" t="s">
        <v>744</v>
      </c>
      <c r="M1321" s="21" t="s">
        <v>15</v>
      </c>
      <c r="N1321" s="54">
        <v>800</v>
      </c>
      <c r="O1321" s="54">
        <v>-800</v>
      </c>
      <c r="P1321" s="54">
        <v>0</v>
      </c>
      <c r="Q1321" s="54">
        <v>0</v>
      </c>
      <c r="R1321" s="54">
        <v>0</v>
      </c>
      <c r="S1321" s="54">
        <v>0</v>
      </c>
      <c r="T1321" s="54">
        <v>0</v>
      </c>
      <c r="U1321" s="54">
        <v>0</v>
      </c>
      <c r="V1321" s="54">
        <v>0</v>
      </c>
      <c r="W1321" s="54">
        <v>0</v>
      </c>
    </row>
    <row r="1322" spans="1:23" outlineLevel="2" x14ac:dyDescent="0.2">
      <c r="A1322" s="21" t="s">
        <v>402</v>
      </c>
      <c r="B1322" s="21" t="s">
        <v>31</v>
      </c>
      <c r="C1322" s="21" t="s">
        <v>79</v>
      </c>
      <c r="D1322" s="21" t="s">
        <v>115</v>
      </c>
      <c r="E1322" s="21" t="s">
        <v>116</v>
      </c>
      <c r="F1322" s="21" t="s">
        <v>5</v>
      </c>
      <c r="G1322" s="21" t="s">
        <v>6</v>
      </c>
      <c r="H1322" s="21" t="s">
        <v>7</v>
      </c>
      <c r="I1322" s="21" t="s">
        <v>8</v>
      </c>
      <c r="J1322" s="21" t="s">
        <v>403</v>
      </c>
      <c r="K1322" s="21" t="s">
        <v>741</v>
      </c>
      <c r="L1322" s="21" t="s">
        <v>742</v>
      </c>
      <c r="M1322" s="21" t="s">
        <v>12</v>
      </c>
      <c r="N1322" s="54">
        <v>1500</v>
      </c>
      <c r="O1322" s="54">
        <v>0</v>
      </c>
      <c r="P1322" s="54">
        <v>0</v>
      </c>
      <c r="Q1322" s="54">
        <v>1500</v>
      </c>
      <c r="R1322" s="54">
        <v>0</v>
      </c>
      <c r="S1322" s="54">
        <v>0</v>
      </c>
      <c r="T1322" s="54">
        <v>0</v>
      </c>
      <c r="U1322" s="54">
        <v>1500</v>
      </c>
      <c r="V1322" s="54">
        <v>1500</v>
      </c>
      <c r="W1322" s="54">
        <v>1500</v>
      </c>
    </row>
    <row r="1323" spans="1:23" outlineLevel="2" x14ac:dyDescent="0.2">
      <c r="A1323" s="21" t="s">
        <v>402</v>
      </c>
      <c r="B1323" s="21" t="s">
        <v>31</v>
      </c>
      <c r="C1323" s="21" t="s">
        <v>32</v>
      </c>
      <c r="D1323" s="21" t="s">
        <v>33</v>
      </c>
      <c r="E1323" s="21" t="s">
        <v>34</v>
      </c>
      <c r="F1323" s="21" t="s">
        <v>5</v>
      </c>
      <c r="G1323" s="21" t="s">
        <v>6</v>
      </c>
      <c r="H1323" s="21" t="s">
        <v>7</v>
      </c>
      <c r="I1323" s="21" t="s">
        <v>8</v>
      </c>
      <c r="J1323" s="21" t="s">
        <v>403</v>
      </c>
      <c r="K1323" s="21" t="s">
        <v>745</v>
      </c>
      <c r="L1323" s="21" t="s">
        <v>750</v>
      </c>
      <c r="M1323" s="21" t="s">
        <v>12</v>
      </c>
      <c r="N1323" s="54">
        <v>2000</v>
      </c>
      <c r="O1323" s="54">
        <v>0</v>
      </c>
      <c r="P1323" s="54">
        <v>0</v>
      </c>
      <c r="Q1323" s="54">
        <v>2000</v>
      </c>
      <c r="R1323" s="54">
        <v>0</v>
      </c>
      <c r="S1323" s="54">
        <v>0</v>
      </c>
      <c r="T1323" s="54">
        <v>0</v>
      </c>
      <c r="U1323" s="54">
        <v>2000</v>
      </c>
      <c r="V1323" s="54">
        <v>2000</v>
      </c>
      <c r="W1323" s="54">
        <v>2000</v>
      </c>
    </row>
    <row r="1324" spans="1:23" outlineLevel="2" x14ac:dyDescent="0.2">
      <c r="A1324" s="21" t="s">
        <v>402</v>
      </c>
      <c r="B1324" s="21" t="s">
        <v>31</v>
      </c>
      <c r="C1324" s="21" t="s">
        <v>79</v>
      </c>
      <c r="D1324" s="21" t="s">
        <v>80</v>
      </c>
      <c r="E1324" s="21" t="s">
        <v>81</v>
      </c>
      <c r="F1324" s="21" t="s">
        <v>5</v>
      </c>
      <c r="G1324" s="21" t="s">
        <v>6</v>
      </c>
      <c r="H1324" s="21" t="s">
        <v>7</v>
      </c>
      <c r="I1324" s="21" t="s">
        <v>8</v>
      </c>
      <c r="J1324" s="21" t="s">
        <v>403</v>
      </c>
      <c r="K1324" s="21" t="s">
        <v>745</v>
      </c>
      <c r="L1324" s="21" t="s">
        <v>746</v>
      </c>
      <c r="M1324" s="21" t="s">
        <v>12</v>
      </c>
      <c r="N1324" s="54">
        <v>0</v>
      </c>
      <c r="O1324" s="54">
        <v>700</v>
      </c>
      <c r="P1324" s="54">
        <v>0</v>
      </c>
      <c r="Q1324" s="54">
        <v>700</v>
      </c>
      <c r="R1324" s="54">
        <v>0</v>
      </c>
      <c r="S1324" s="54">
        <v>0</v>
      </c>
      <c r="T1324" s="54">
        <v>0</v>
      </c>
      <c r="U1324" s="54">
        <v>700</v>
      </c>
      <c r="V1324" s="54">
        <v>700</v>
      </c>
      <c r="W1324" s="54">
        <v>700</v>
      </c>
    </row>
    <row r="1325" spans="1:23" outlineLevel="2" x14ac:dyDescent="0.2">
      <c r="A1325" s="21" t="s">
        <v>402</v>
      </c>
      <c r="B1325" s="21" t="s">
        <v>31</v>
      </c>
      <c r="C1325" s="21" t="s">
        <v>79</v>
      </c>
      <c r="D1325" s="21" t="s">
        <v>115</v>
      </c>
      <c r="E1325" s="21" t="s">
        <v>116</v>
      </c>
      <c r="F1325" s="21" t="s">
        <v>5</v>
      </c>
      <c r="G1325" s="21" t="s">
        <v>6</v>
      </c>
      <c r="H1325" s="21" t="s">
        <v>7</v>
      </c>
      <c r="I1325" s="21" t="s">
        <v>8</v>
      </c>
      <c r="J1325" s="21" t="s">
        <v>403</v>
      </c>
      <c r="K1325" s="21" t="s">
        <v>745</v>
      </c>
      <c r="L1325" s="21" t="s">
        <v>746</v>
      </c>
      <c r="M1325" s="21" t="s">
        <v>12</v>
      </c>
      <c r="N1325" s="54">
        <v>4000</v>
      </c>
      <c r="O1325" s="54">
        <v>-1120</v>
      </c>
      <c r="P1325" s="54">
        <v>0</v>
      </c>
      <c r="Q1325" s="54">
        <v>2880</v>
      </c>
      <c r="R1325" s="54">
        <v>0</v>
      </c>
      <c r="S1325" s="54">
        <v>0</v>
      </c>
      <c r="T1325" s="54">
        <v>0</v>
      </c>
      <c r="U1325" s="54">
        <v>2880</v>
      </c>
      <c r="V1325" s="54">
        <v>2880</v>
      </c>
      <c r="W1325" s="54">
        <v>2880</v>
      </c>
    </row>
    <row r="1326" spans="1:23" outlineLevel="2" x14ac:dyDescent="0.2">
      <c r="A1326" s="21" t="s">
        <v>402</v>
      </c>
      <c r="B1326" s="21" t="s">
        <v>1</v>
      </c>
      <c r="C1326" s="21" t="s">
        <v>91</v>
      </c>
      <c r="D1326" s="21" t="s">
        <v>92</v>
      </c>
      <c r="E1326" s="21" t="s">
        <v>93</v>
      </c>
      <c r="F1326" s="21" t="s">
        <v>5</v>
      </c>
      <c r="G1326" s="21" t="s">
        <v>6</v>
      </c>
      <c r="H1326" s="21" t="s">
        <v>7</v>
      </c>
      <c r="I1326" s="21" t="s">
        <v>8</v>
      </c>
      <c r="J1326" s="21" t="s">
        <v>403</v>
      </c>
      <c r="K1326" s="21" t="s">
        <v>745</v>
      </c>
      <c r="L1326" s="21" t="s">
        <v>749</v>
      </c>
      <c r="M1326" s="21" t="s">
        <v>15</v>
      </c>
      <c r="N1326" s="54">
        <v>1000</v>
      </c>
      <c r="O1326" s="54">
        <v>2688</v>
      </c>
      <c r="P1326" s="54">
        <v>0</v>
      </c>
      <c r="Q1326" s="54">
        <v>3688</v>
      </c>
      <c r="R1326" s="54">
        <v>0</v>
      </c>
      <c r="S1326" s="54">
        <v>2688</v>
      </c>
      <c r="T1326" s="54">
        <v>2688</v>
      </c>
      <c r="U1326" s="54">
        <v>1000</v>
      </c>
      <c r="V1326" s="54">
        <v>1000</v>
      </c>
      <c r="W1326" s="54">
        <v>1000</v>
      </c>
    </row>
    <row r="1327" spans="1:23" outlineLevel="2" x14ac:dyDescent="0.2">
      <c r="A1327" s="21" t="s">
        <v>402</v>
      </c>
      <c r="B1327" s="21" t="s">
        <v>39</v>
      </c>
      <c r="C1327" s="21" t="s">
        <v>58</v>
      </c>
      <c r="D1327" s="21" t="s">
        <v>149</v>
      </c>
      <c r="E1327" s="21" t="s">
        <v>150</v>
      </c>
      <c r="F1327" s="21" t="s">
        <v>5</v>
      </c>
      <c r="G1327" s="21" t="s">
        <v>6</v>
      </c>
      <c r="H1327" s="21" t="s">
        <v>7</v>
      </c>
      <c r="I1327" s="21" t="s">
        <v>8</v>
      </c>
      <c r="J1327" s="21" t="s">
        <v>403</v>
      </c>
      <c r="K1327" s="21" t="s">
        <v>745</v>
      </c>
      <c r="L1327" s="21" t="s">
        <v>748</v>
      </c>
      <c r="M1327" s="21" t="s">
        <v>12</v>
      </c>
      <c r="N1327" s="54">
        <v>100</v>
      </c>
      <c r="O1327" s="54">
        <v>0</v>
      </c>
      <c r="P1327" s="54">
        <v>0</v>
      </c>
      <c r="Q1327" s="54">
        <v>100</v>
      </c>
      <c r="R1327" s="54">
        <v>0</v>
      </c>
      <c r="S1327" s="54">
        <v>0</v>
      </c>
      <c r="T1327" s="54">
        <v>0</v>
      </c>
      <c r="U1327" s="54">
        <v>100</v>
      </c>
      <c r="V1327" s="54">
        <v>100</v>
      </c>
      <c r="W1327" s="54">
        <v>100</v>
      </c>
    </row>
    <row r="1328" spans="1:23" outlineLevel="2" x14ac:dyDescent="0.2">
      <c r="A1328" s="21" t="s">
        <v>402</v>
      </c>
      <c r="B1328" s="21" t="s">
        <v>39</v>
      </c>
      <c r="C1328" s="21" t="s">
        <v>66</v>
      </c>
      <c r="D1328" s="21" t="s">
        <v>67</v>
      </c>
      <c r="E1328" s="21" t="s">
        <v>68</v>
      </c>
      <c r="F1328" s="21" t="s">
        <v>5</v>
      </c>
      <c r="G1328" s="21" t="s">
        <v>6</v>
      </c>
      <c r="H1328" s="21" t="s">
        <v>7</v>
      </c>
      <c r="I1328" s="21" t="s">
        <v>8</v>
      </c>
      <c r="J1328" s="21" t="s">
        <v>403</v>
      </c>
      <c r="K1328" s="21" t="s">
        <v>745</v>
      </c>
      <c r="L1328" s="21" t="s">
        <v>747</v>
      </c>
      <c r="M1328" s="21" t="s">
        <v>12</v>
      </c>
      <c r="N1328" s="54">
        <v>70</v>
      </c>
      <c r="O1328" s="54">
        <v>-70</v>
      </c>
      <c r="P1328" s="54">
        <v>0</v>
      </c>
      <c r="Q1328" s="54">
        <v>0</v>
      </c>
      <c r="R1328" s="54">
        <v>0</v>
      </c>
      <c r="S1328" s="54">
        <v>0</v>
      </c>
      <c r="T1328" s="54">
        <v>0</v>
      </c>
      <c r="U1328" s="54">
        <v>0</v>
      </c>
      <c r="V1328" s="54">
        <v>0</v>
      </c>
      <c r="W1328" s="54">
        <v>0</v>
      </c>
    </row>
    <row r="1329" spans="1:23" outlineLevel="2" x14ac:dyDescent="0.2">
      <c r="A1329" s="21" t="s">
        <v>402</v>
      </c>
      <c r="B1329" s="21" t="s">
        <v>31</v>
      </c>
      <c r="C1329" s="21" t="s">
        <v>32</v>
      </c>
      <c r="D1329" s="21" t="s">
        <v>141</v>
      </c>
      <c r="E1329" s="21" t="s">
        <v>142</v>
      </c>
      <c r="F1329" s="21" t="s">
        <v>5</v>
      </c>
      <c r="G1329" s="21" t="s">
        <v>6</v>
      </c>
      <c r="H1329" s="21" t="s">
        <v>7</v>
      </c>
      <c r="I1329" s="21" t="s">
        <v>8</v>
      </c>
      <c r="J1329" s="21" t="s">
        <v>403</v>
      </c>
      <c r="K1329" s="21" t="s">
        <v>751</v>
      </c>
      <c r="L1329" s="21" t="s">
        <v>752</v>
      </c>
      <c r="M1329" s="21" t="s">
        <v>12</v>
      </c>
      <c r="N1329" s="54">
        <v>0</v>
      </c>
      <c r="O1329" s="54">
        <v>560</v>
      </c>
      <c r="P1329" s="54">
        <v>0</v>
      </c>
      <c r="Q1329" s="54">
        <v>560</v>
      </c>
      <c r="R1329" s="54">
        <v>0</v>
      </c>
      <c r="S1329" s="54">
        <v>0</v>
      </c>
      <c r="T1329" s="54">
        <v>0</v>
      </c>
      <c r="U1329" s="54">
        <v>560</v>
      </c>
      <c r="V1329" s="54">
        <v>560</v>
      </c>
      <c r="W1329" s="54">
        <v>560</v>
      </c>
    </row>
    <row r="1330" spans="1:23" outlineLevel="2" x14ac:dyDescent="0.2">
      <c r="A1330" s="21" t="s">
        <v>402</v>
      </c>
      <c r="B1330" s="21" t="s">
        <v>39</v>
      </c>
      <c r="C1330" s="21" t="s">
        <v>58</v>
      </c>
      <c r="D1330" s="21" t="s">
        <v>149</v>
      </c>
      <c r="E1330" s="21" t="s">
        <v>150</v>
      </c>
      <c r="F1330" s="21" t="s">
        <v>5</v>
      </c>
      <c r="G1330" s="21" t="s">
        <v>6</v>
      </c>
      <c r="H1330" s="21" t="s">
        <v>7</v>
      </c>
      <c r="I1330" s="21" t="s">
        <v>8</v>
      </c>
      <c r="J1330" s="21" t="s">
        <v>403</v>
      </c>
      <c r="K1330" s="21" t="s">
        <v>751</v>
      </c>
      <c r="L1330" s="21" t="s">
        <v>753</v>
      </c>
      <c r="M1330" s="21" t="s">
        <v>12</v>
      </c>
      <c r="N1330" s="54">
        <v>100</v>
      </c>
      <c r="O1330" s="54">
        <v>0</v>
      </c>
      <c r="P1330" s="54">
        <v>0</v>
      </c>
      <c r="Q1330" s="54">
        <v>100</v>
      </c>
      <c r="R1330" s="54">
        <v>0</v>
      </c>
      <c r="S1330" s="54">
        <v>0</v>
      </c>
      <c r="T1330" s="54">
        <v>0</v>
      </c>
      <c r="U1330" s="54">
        <v>100</v>
      </c>
      <c r="V1330" s="54">
        <v>100</v>
      </c>
      <c r="W1330" s="54">
        <v>100</v>
      </c>
    </row>
    <row r="1331" spans="1:23" outlineLevel="2" x14ac:dyDescent="0.2">
      <c r="A1331" s="21" t="s">
        <v>402</v>
      </c>
      <c r="B1331" s="21" t="s">
        <v>31</v>
      </c>
      <c r="C1331" s="21" t="s">
        <v>32</v>
      </c>
      <c r="D1331" s="21" t="s">
        <v>33</v>
      </c>
      <c r="E1331" s="21" t="s">
        <v>34</v>
      </c>
      <c r="F1331" s="21" t="s">
        <v>5</v>
      </c>
      <c r="G1331" s="21" t="s">
        <v>6</v>
      </c>
      <c r="H1331" s="21" t="s">
        <v>7</v>
      </c>
      <c r="I1331" s="21" t="s">
        <v>8</v>
      </c>
      <c r="J1331" s="21" t="s">
        <v>403</v>
      </c>
      <c r="K1331" s="21" t="s">
        <v>751</v>
      </c>
      <c r="L1331" s="21" t="s">
        <v>752</v>
      </c>
      <c r="M1331" s="21" t="s">
        <v>12</v>
      </c>
      <c r="N1331" s="54">
        <v>7000</v>
      </c>
      <c r="O1331" s="54">
        <v>-7000</v>
      </c>
      <c r="P1331" s="54">
        <v>0</v>
      </c>
      <c r="Q1331" s="54">
        <v>0</v>
      </c>
      <c r="R1331" s="54">
        <v>0</v>
      </c>
      <c r="S1331" s="54">
        <v>0</v>
      </c>
      <c r="T1331" s="54">
        <v>0</v>
      </c>
      <c r="U1331" s="54">
        <v>0</v>
      </c>
      <c r="V1331" s="54">
        <v>0</v>
      </c>
      <c r="W1331" s="54">
        <v>0</v>
      </c>
    </row>
    <row r="1332" spans="1:23" outlineLevel="2" x14ac:dyDescent="0.2">
      <c r="A1332" s="21" t="s">
        <v>402</v>
      </c>
      <c r="B1332" s="21" t="s">
        <v>39</v>
      </c>
      <c r="C1332" s="21" t="s">
        <v>58</v>
      </c>
      <c r="D1332" s="21" t="s">
        <v>139</v>
      </c>
      <c r="E1332" s="21" t="s">
        <v>140</v>
      </c>
      <c r="F1332" s="21" t="s">
        <v>5</v>
      </c>
      <c r="G1332" s="21" t="s">
        <v>6</v>
      </c>
      <c r="H1332" s="21" t="s">
        <v>7</v>
      </c>
      <c r="I1332" s="21" t="s">
        <v>8</v>
      </c>
      <c r="J1332" s="21" t="s">
        <v>403</v>
      </c>
      <c r="K1332" s="21" t="s">
        <v>751</v>
      </c>
      <c r="L1332" s="21" t="s">
        <v>753</v>
      </c>
      <c r="M1332" s="21" t="s">
        <v>12</v>
      </c>
      <c r="N1332" s="54">
        <v>0</v>
      </c>
      <c r="O1332" s="54">
        <v>1000</v>
      </c>
      <c r="P1332" s="54">
        <v>0</v>
      </c>
      <c r="Q1332" s="54">
        <v>1000</v>
      </c>
      <c r="R1332" s="54">
        <v>0</v>
      </c>
      <c r="S1332" s="54">
        <v>0</v>
      </c>
      <c r="T1332" s="54">
        <v>0</v>
      </c>
      <c r="U1332" s="54">
        <v>1000</v>
      </c>
      <c r="V1332" s="54">
        <v>1000</v>
      </c>
      <c r="W1332" s="54">
        <v>1000</v>
      </c>
    </row>
    <row r="1333" spans="1:23" outlineLevel="2" x14ac:dyDescent="0.2">
      <c r="A1333" s="21" t="s">
        <v>402</v>
      </c>
      <c r="B1333" s="21" t="s">
        <v>31</v>
      </c>
      <c r="C1333" s="21" t="s">
        <v>79</v>
      </c>
      <c r="D1333" s="21" t="s">
        <v>113</v>
      </c>
      <c r="E1333" s="21" t="s">
        <v>114</v>
      </c>
      <c r="F1333" s="21" t="s">
        <v>5</v>
      </c>
      <c r="G1333" s="21" t="s">
        <v>6</v>
      </c>
      <c r="H1333" s="21" t="s">
        <v>7</v>
      </c>
      <c r="I1333" s="21" t="s">
        <v>8</v>
      </c>
      <c r="J1333" s="21" t="s">
        <v>403</v>
      </c>
      <c r="K1333" s="21" t="s">
        <v>754</v>
      </c>
      <c r="L1333" s="21" t="s">
        <v>757</v>
      </c>
      <c r="M1333" s="21" t="s">
        <v>12</v>
      </c>
      <c r="N1333" s="54">
        <v>1000</v>
      </c>
      <c r="O1333" s="54">
        <v>0</v>
      </c>
      <c r="P1333" s="54">
        <v>0</v>
      </c>
      <c r="Q1333" s="54">
        <v>1000</v>
      </c>
      <c r="R1333" s="54">
        <v>0</v>
      </c>
      <c r="S1333" s="54">
        <v>0</v>
      </c>
      <c r="T1333" s="54">
        <v>0</v>
      </c>
      <c r="U1333" s="54">
        <v>1000</v>
      </c>
      <c r="V1333" s="54">
        <v>1000</v>
      </c>
      <c r="W1333" s="54">
        <v>1000</v>
      </c>
    </row>
    <row r="1334" spans="1:23" outlineLevel="2" x14ac:dyDescent="0.2">
      <c r="A1334" s="21" t="s">
        <v>402</v>
      </c>
      <c r="B1334" s="21" t="s">
        <v>1</v>
      </c>
      <c r="C1334" s="21" t="s">
        <v>91</v>
      </c>
      <c r="D1334" s="21" t="s">
        <v>92</v>
      </c>
      <c r="E1334" s="21" t="s">
        <v>93</v>
      </c>
      <c r="F1334" s="21" t="s">
        <v>5</v>
      </c>
      <c r="G1334" s="21" t="s">
        <v>6</v>
      </c>
      <c r="H1334" s="21" t="s">
        <v>7</v>
      </c>
      <c r="I1334" s="21" t="s">
        <v>8</v>
      </c>
      <c r="J1334" s="21" t="s">
        <v>403</v>
      </c>
      <c r="K1334" s="21" t="s">
        <v>754</v>
      </c>
      <c r="L1334" s="21" t="s">
        <v>758</v>
      </c>
      <c r="M1334" s="21" t="s">
        <v>15</v>
      </c>
      <c r="N1334" s="54">
        <v>1100</v>
      </c>
      <c r="O1334" s="54">
        <v>0</v>
      </c>
      <c r="P1334" s="54">
        <v>0</v>
      </c>
      <c r="Q1334" s="54">
        <v>1100</v>
      </c>
      <c r="R1334" s="54">
        <v>0</v>
      </c>
      <c r="S1334" s="54">
        <v>0</v>
      </c>
      <c r="T1334" s="54">
        <v>0</v>
      </c>
      <c r="U1334" s="54">
        <v>1100</v>
      </c>
      <c r="V1334" s="54">
        <v>1100</v>
      </c>
      <c r="W1334" s="54">
        <v>1100</v>
      </c>
    </row>
    <row r="1335" spans="1:23" outlineLevel="2" x14ac:dyDescent="0.2">
      <c r="A1335" s="21" t="s">
        <v>402</v>
      </c>
      <c r="B1335" s="21" t="s">
        <v>53</v>
      </c>
      <c r="C1335" s="21" t="s">
        <v>54</v>
      </c>
      <c r="D1335" s="21" t="s">
        <v>55</v>
      </c>
      <c r="E1335" s="21" t="s">
        <v>56</v>
      </c>
      <c r="F1335" s="21" t="s">
        <v>5</v>
      </c>
      <c r="G1335" s="21" t="s">
        <v>6</v>
      </c>
      <c r="H1335" s="21" t="s">
        <v>7</v>
      </c>
      <c r="I1335" s="21" t="s">
        <v>8</v>
      </c>
      <c r="J1335" s="21" t="s">
        <v>403</v>
      </c>
      <c r="K1335" s="21" t="s">
        <v>754</v>
      </c>
      <c r="L1335" s="21" t="s">
        <v>756</v>
      </c>
      <c r="M1335" s="21" t="s">
        <v>12</v>
      </c>
      <c r="N1335" s="54">
        <v>0</v>
      </c>
      <c r="O1335" s="54">
        <v>1015.08</v>
      </c>
      <c r="P1335" s="54">
        <v>0</v>
      </c>
      <c r="Q1335" s="54">
        <v>1015.08</v>
      </c>
      <c r="R1335" s="54">
        <v>1014.72</v>
      </c>
      <c r="S1335" s="54">
        <v>0</v>
      </c>
      <c r="T1335" s="54">
        <v>0</v>
      </c>
      <c r="U1335" s="54">
        <v>1015.08</v>
      </c>
      <c r="V1335" s="54">
        <v>1015.08</v>
      </c>
      <c r="W1335" s="54">
        <v>0.36</v>
      </c>
    </row>
    <row r="1336" spans="1:23" outlineLevel="2" x14ac:dyDescent="0.2">
      <c r="A1336" s="21" t="s">
        <v>402</v>
      </c>
      <c r="B1336" s="21" t="s">
        <v>39</v>
      </c>
      <c r="C1336" s="21" t="s">
        <v>58</v>
      </c>
      <c r="D1336" s="21" t="s">
        <v>135</v>
      </c>
      <c r="E1336" s="21" t="s">
        <v>136</v>
      </c>
      <c r="F1336" s="21" t="s">
        <v>5</v>
      </c>
      <c r="G1336" s="21" t="s">
        <v>6</v>
      </c>
      <c r="H1336" s="21" t="s">
        <v>7</v>
      </c>
      <c r="I1336" s="21" t="s">
        <v>8</v>
      </c>
      <c r="J1336" s="21" t="s">
        <v>403</v>
      </c>
      <c r="K1336" s="21" t="s">
        <v>2050</v>
      </c>
      <c r="L1336" s="21" t="s">
        <v>2051</v>
      </c>
      <c r="M1336" s="21" t="s">
        <v>12</v>
      </c>
      <c r="N1336" s="54">
        <v>0</v>
      </c>
      <c r="O1336" s="54">
        <v>1568</v>
      </c>
      <c r="P1336" s="54">
        <v>0</v>
      </c>
      <c r="Q1336" s="54">
        <v>1568</v>
      </c>
      <c r="R1336" s="54">
        <v>0</v>
      </c>
      <c r="S1336" s="54">
        <v>0</v>
      </c>
      <c r="T1336" s="54">
        <v>0</v>
      </c>
      <c r="U1336" s="54">
        <v>1568</v>
      </c>
      <c r="V1336" s="54">
        <v>1568</v>
      </c>
      <c r="W1336" s="54">
        <v>1568</v>
      </c>
    </row>
    <row r="1337" spans="1:23" outlineLevel="2" x14ac:dyDescent="0.2">
      <c r="A1337" s="21" t="s">
        <v>402</v>
      </c>
      <c r="B1337" s="21" t="s">
        <v>31</v>
      </c>
      <c r="C1337" s="21" t="s">
        <v>79</v>
      </c>
      <c r="D1337" s="21" t="s">
        <v>113</v>
      </c>
      <c r="E1337" s="21" t="s">
        <v>114</v>
      </c>
      <c r="F1337" s="21" t="s">
        <v>5</v>
      </c>
      <c r="G1337" s="21" t="s">
        <v>6</v>
      </c>
      <c r="H1337" s="21" t="s">
        <v>7</v>
      </c>
      <c r="I1337" s="21" t="s">
        <v>8</v>
      </c>
      <c r="J1337" s="21" t="s">
        <v>403</v>
      </c>
      <c r="K1337" s="21" t="s">
        <v>759</v>
      </c>
      <c r="L1337" s="21" t="s">
        <v>760</v>
      </c>
      <c r="M1337" s="21" t="s">
        <v>12</v>
      </c>
      <c r="N1337" s="54">
        <v>2500</v>
      </c>
      <c r="O1337" s="54">
        <v>0</v>
      </c>
      <c r="P1337" s="54">
        <v>0</v>
      </c>
      <c r="Q1337" s="54">
        <v>2500</v>
      </c>
      <c r="R1337" s="54">
        <v>0</v>
      </c>
      <c r="S1337" s="54">
        <v>0</v>
      </c>
      <c r="T1337" s="54">
        <v>0</v>
      </c>
      <c r="U1337" s="54">
        <v>2500</v>
      </c>
      <c r="V1337" s="54">
        <v>2500</v>
      </c>
      <c r="W1337" s="54">
        <v>2500</v>
      </c>
    </row>
    <row r="1338" spans="1:23" outlineLevel="2" x14ac:dyDescent="0.2">
      <c r="A1338" s="21" t="s">
        <v>402</v>
      </c>
      <c r="B1338" s="21" t="s">
        <v>39</v>
      </c>
      <c r="C1338" s="21" t="s">
        <v>58</v>
      </c>
      <c r="D1338" s="21" t="s">
        <v>139</v>
      </c>
      <c r="E1338" s="21" t="s">
        <v>140</v>
      </c>
      <c r="F1338" s="21" t="s">
        <v>5</v>
      </c>
      <c r="G1338" s="21" t="s">
        <v>6</v>
      </c>
      <c r="H1338" s="21" t="s">
        <v>7</v>
      </c>
      <c r="I1338" s="21" t="s">
        <v>8</v>
      </c>
      <c r="J1338" s="21" t="s">
        <v>403</v>
      </c>
      <c r="K1338" s="21" t="s">
        <v>761</v>
      </c>
      <c r="L1338" s="21" t="s">
        <v>762</v>
      </c>
      <c r="M1338" s="21" t="s">
        <v>12</v>
      </c>
      <c r="N1338" s="54">
        <v>0</v>
      </c>
      <c r="O1338" s="54">
        <v>450</v>
      </c>
      <c r="P1338" s="54">
        <v>0</v>
      </c>
      <c r="Q1338" s="54">
        <v>450</v>
      </c>
      <c r="R1338" s="54">
        <v>318.62</v>
      </c>
      <c r="S1338" s="54">
        <v>0</v>
      </c>
      <c r="T1338" s="54">
        <v>0</v>
      </c>
      <c r="U1338" s="54">
        <v>450</v>
      </c>
      <c r="V1338" s="54">
        <v>450</v>
      </c>
      <c r="W1338" s="54">
        <v>131.38</v>
      </c>
    </row>
    <row r="1339" spans="1:23" outlineLevel="2" x14ac:dyDescent="0.2">
      <c r="A1339" s="21" t="s">
        <v>763</v>
      </c>
      <c r="B1339" s="21" t="s">
        <v>1</v>
      </c>
      <c r="C1339" s="21" t="s">
        <v>2</v>
      </c>
      <c r="D1339" s="21" t="s">
        <v>474</v>
      </c>
      <c r="E1339" s="21" t="s">
        <v>475</v>
      </c>
      <c r="F1339" s="21" t="s">
        <v>5</v>
      </c>
      <c r="G1339" s="21" t="s">
        <v>6</v>
      </c>
      <c r="H1339" s="21" t="s">
        <v>7</v>
      </c>
      <c r="I1339" s="21" t="s">
        <v>8</v>
      </c>
      <c r="J1339" s="21" t="s">
        <v>764</v>
      </c>
      <c r="K1339" s="21" t="s">
        <v>765</v>
      </c>
      <c r="L1339" s="21" t="s">
        <v>766</v>
      </c>
      <c r="M1339" s="21" t="s">
        <v>15</v>
      </c>
      <c r="N1339" s="54">
        <v>1327109.6000000001</v>
      </c>
      <c r="O1339" s="54">
        <v>0</v>
      </c>
      <c r="P1339" s="54">
        <v>0</v>
      </c>
      <c r="Q1339" s="54">
        <v>1327109.6000000001</v>
      </c>
      <c r="R1339" s="54">
        <v>0</v>
      </c>
      <c r="S1339" s="54">
        <v>1106438.6599999999</v>
      </c>
      <c r="T1339" s="54">
        <v>1106438.6599999999</v>
      </c>
      <c r="U1339" s="54">
        <v>220670.94</v>
      </c>
      <c r="V1339" s="54">
        <v>220670.94</v>
      </c>
      <c r="W1339" s="54">
        <v>220670.94</v>
      </c>
    </row>
    <row r="1340" spans="1:23" outlineLevel="2" x14ac:dyDescent="0.2">
      <c r="A1340" s="21" t="s">
        <v>763</v>
      </c>
      <c r="B1340" s="21" t="s">
        <v>1</v>
      </c>
      <c r="C1340" s="21" t="s">
        <v>2</v>
      </c>
      <c r="D1340" s="21" t="s">
        <v>474</v>
      </c>
      <c r="E1340" s="21" t="s">
        <v>475</v>
      </c>
      <c r="F1340" s="21" t="s">
        <v>5</v>
      </c>
      <c r="G1340" s="21" t="s">
        <v>6</v>
      </c>
      <c r="H1340" s="21" t="s">
        <v>7</v>
      </c>
      <c r="I1340" s="21" t="s">
        <v>8</v>
      </c>
      <c r="J1340" s="21" t="s">
        <v>764</v>
      </c>
      <c r="K1340" s="21" t="s">
        <v>767</v>
      </c>
      <c r="L1340" s="21" t="s">
        <v>768</v>
      </c>
      <c r="M1340" s="21" t="s">
        <v>15</v>
      </c>
      <c r="N1340" s="54">
        <v>45017521.619999997</v>
      </c>
      <c r="O1340" s="54">
        <v>0</v>
      </c>
      <c r="P1340" s="54">
        <v>0</v>
      </c>
      <c r="Q1340" s="54">
        <v>45017521.619999997</v>
      </c>
      <c r="R1340" s="54">
        <v>0</v>
      </c>
      <c r="S1340" s="54">
        <v>19672080.199999999</v>
      </c>
      <c r="T1340" s="54">
        <v>19672080.199999999</v>
      </c>
      <c r="U1340" s="54">
        <v>25345441.420000002</v>
      </c>
      <c r="V1340" s="54">
        <v>25345441.420000002</v>
      </c>
      <c r="W1340" s="54">
        <v>25345441.420000002</v>
      </c>
    </row>
    <row r="1341" spans="1:23" outlineLevel="2" x14ac:dyDescent="0.2">
      <c r="A1341" s="21" t="s">
        <v>763</v>
      </c>
      <c r="B1341" s="21" t="s">
        <v>1</v>
      </c>
      <c r="C1341" s="21" t="s">
        <v>2</v>
      </c>
      <c r="D1341" s="21" t="s">
        <v>474</v>
      </c>
      <c r="E1341" s="21" t="s">
        <v>475</v>
      </c>
      <c r="F1341" s="21" t="s">
        <v>5</v>
      </c>
      <c r="G1341" s="21" t="s">
        <v>6</v>
      </c>
      <c r="H1341" s="21" t="s">
        <v>7</v>
      </c>
      <c r="I1341" s="21" t="s">
        <v>8</v>
      </c>
      <c r="J1341" s="21" t="s">
        <v>764</v>
      </c>
      <c r="K1341" s="21" t="s">
        <v>769</v>
      </c>
      <c r="L1341" s="21" t="s">
        <v>770</v>
      </c>
      <c r="M1341" s="21" t="s">
        <v>15</v>
      </c>
      <c r="N1341" s="54">
        <v>1509762</v>
      </c>
      <c r="O1341" s="54">
        <v>0</v>
      </c>
      <c r="P1341" s="54">
        <v>0</v>
      </c>
      <c r="Q1341" s="54">
        <v>1509762</v>
      </c>
      <c r="R1341" s="54">
        <v>0</v>
      </c>
      <c r="S1341" s="54">
        <v>1486762</v>
      </c>
      <c r="T1341" s="54">
        <v>1486762</v>
      </c>
      <c r="U1341" s="54">
        <v>23000</v>
      </c>
      <c r="V1341" s="54">
        <v>23000</v>
      </c>
      <c r="W1341" s="54">
        <v>23000</v>
      </c>
    </row>
    <row r="1342" spans="1:23" outlineLevel="2" x14ac:dyDescent="0.2">
      <c r="A1342" s="21" t="s">
        <v>771</v>
      </c>
      <c r="B1342" s="21" t="s">
        <v>39</v>
      </c>
      <c r="C1342" s="21" t="s">
        <v>58</v>
      </c>
      <c r="D1342" s="21" t="s">
        <v>137</v>
      </c>
      <c r="E1342" s="21" t="s">
        <v>138</v>
      </c>
      <c r="F1342" s="21" t="s">
        <v>5</v>
      </c>
      <c r="G1342" s="21" t="s">
        <v>6</v>
      </c>
      <c r="H1342" s="21" t="s">
        <v>7</v>
      </c>
      <c r="I1342" s="21" t="s">
        <v>8</v>
      </c>
      <c r="J1342" s="21" t="s">
        <v>772</v>
      </c>
      <c r="K1342" s="21" t="s">
        <v>773</v>
      </c>
      <c r="L1342" s="21" t="s">
        <v>775</v>
      </c>
      <c r="M1342" s="21" t="s">
        <v>12</v>
      </c>
      <c r="N1342" s="54">
        <v>1000</v>
      </c>
      <c r="O1342" s="54">
        <v>0</v>
      </c>
      <c r="P1342" s="54">
        <v>0</v>
      </c>
      <c r="Q1342" s="54">
        <v>1000</v>
      </c>
      <c r="R1342" s="54">
        <v>0</v>
      </c>
      <c r="S1342" s="54">
        <v>766.81</v>
      </c>
      <c r="T1342" s="54">
        <v>766.81</v>
      </c>
      <c r="U1342" s="54">
        <v>233.19</v>
      </c>
      <c r="V1342" s="54">
        <v>233.19</v>
      </c>
      <c r="W1342" s="54">
        <v>233.19</v>
      </c>
    </row>
    <row r="1343" spans="1:23" outlineLevel="2" x14ac:dyDescent="0.2">
      <c r="A1343" s="21" t="s">
        <v>771</v>
      </c>
      <c r="B1343" s="21" t="s">
        <v>39</v>
      </c>
      <c r="C1343" s="21" t="s">
        <v>58</v>
      </c>
      <c r="D1343" s="21" t="s">
        <v>135</v>
      </c>
      <c r="E1343" s="21" t="s">
        <v>136</v>
      </c>
      <c r="F1343" s="21" t="s">
        <v>5</v>
      </c>
      <c r="G1343" s="21" t="s">
        <v>6</v>
      </c>
      <c r="H1343" s="21" t="s">
        <v>7</v>
      </c>
      <c r="I1343" s="21" t="s">
        <v>8</v>
      </c>
      <c r="J1343" s="21" t="s">
        <v>772</v>
      </c>
      <c r="K1343" s="21" t="s">
        <v>773</v>
      </c>
      <c r="L1343" s="21" t="s">
        <v>775</v>
      </c>
      <c r="M1343" s="21" t="s">
        <v>12</v>
      </c>
      <c r="N1343" s="54">
        <v>6500</v>
      </c>
      <c r="O1343" s="54">
        <v>0</v>
      </c>
      <c r="P1343" s="54">
        <v>0</v>
      </c>
      <c r="Q1343" s="54">
        <v>6500</v>
      </c>
      <c r="R1343" s="54">
        <v>2876.63</v>
      </c>
      <c r="S1343" s="54">
        <v>38.25</v>
      </c>
      <c r="T1343" s="54">
        <v>38.25</v>
      </c>
      <c r="U1343" s="54">
        <v>6461.75</v>
      </c>
      <c r="V1343" s="54">
        <v>6461.75</v>
      </c>
      <c r="W1343" s="54">
        <v>3585.12</v>
      </c>
    </row>
    <row r="1344" spans="1:23" outlineLevel="2" x14ac:dyDescent="0.2">
      <c r="A1344" s="21" t="s">
        <v>771</v>
      </c>
      <c r="B1344" s="21" t="s">
        <v>31</v>
      </c>
      <c r="C1344" s="21" t="s">
        <v>79</v>
      </c>
      <c r="D1344" s="21" t="s">
        <v>133</v>
      </c>
      <c r="E1344" s="21" t="s">
        <v>134</v>
      </c>
      <c r="F1344" s="21" t="s">
        <v>5</v>
      </c>
      <c r="G1344" s="21" t="s">
        <v>6</v>
      </c>
      <c r="H1344" s="21" t="s">
        <v>7</v>
      </c>
      <c r="I1344" s="21" t="s">
        <v>8</v>
      </c>
      <c r="J1344" s="21" t="s">
        <v>772</v>
      </c>
      <c r="K1344" s="21" t="s">
        <v>773</v>
      </c>
      <c r="L1344" s="21" t="s">
        <v>777</v>
      </c>
      <c r="M1344" s="21" t="s">
        <v>12</v>
      </c>
      <c r="N1344" s="54">
        <v>500</v>
      </c>
      <c r="O1344" s="54">
        <v>0</v>
      </c>
      <c r="P1344" s="54">
        <v>0</v>
      </c>
      <c r="Q1344" s="54">
        <v>500</v>
      </c>
      <c r="R1344" s="54">
        <v>0</v>
      </c>
      <c r="S1344" s="54">
        <v>418.88</v>
      </c>
      <c r="T1344" s="54">
        <v>418.88</v>
      </c>
      <c r="U1344" s="54">
        <v>81.12</v>
      </c>
      <c r="V1344" s="54">
        <v>81.12</v>
      </c>
      <c r="W1344" s="54">
        <v>81.12</v>
      </c>
    </row>
    <row r="1345" spans="1:23" outlineLevel="2" x14ac:dyDescent="0.2">
      <c r="A1345" s="21" t="s">
        <v>771</v>
      </c>
      <c r="B1345" s="21" t="s">
        <v>53</v>
      </c>
      <c r="C1345" s="21" t="s">
        <v>54</v>
      </c>
      <c r="D1345" s="21" t="s">
        <v>55</v>
      </c>
      <c r="E1345" s="21" t="s">
        <v>56</v>
      </c>
      <c r="F1345" s="21" t="s">
        <v>5</v>
      </c>
      <c r="G1345" s="21" t="s">
        <v>6</v>
      </c>
      <c r="H1345" s="21" t="s">
        <v>7</v>
      </c>
      <c r="I1345" s="21" t="s">
        <v>8</v>
      </c>
      <c r="J1345" s="21" t="s">
        <v>772</v>
      </c>
      <c r="K1345" s="21" t="s">
        <v>773</v>
      </c>
      <c r="L1345" s="21" t="s">
        <v>779</v>
      </c>
      <c r="M1345" s="21" t="s">
        <v>12</v>
      </c>
      <c r="N1345" s="54">
        <v>2000</v>
      </c>
      <c r="O1345" s="54">
        <v>0</v>
      </c>
      <c r="P1345" s="54">
        <v>0</v>
      </c>
      <c r="Q1345" s="54">
        <v>2000</v>
      </c>
      <c r="R1345" s="54">
        <v>0</v>
      </c>
      <c r="S1345" s="54">
        <v>0</v>
      </c>
      <c r="T1345" s="54">
        <v>0</v>
      </c>
      <c r="U1345" s="54">
        <v>2000</v>
      </c>
      <c r="V1345" s="54">
        <v>2000</v>
      </c>
      <c r="W1345" s="54">
        <v>2000</v>
      </c>
    </row>
    <row r="1346" spans="1:23" outlineLevel="2" x14ac:dyDescent="0.2">
      <c r="A1346" s="21" t="s">
        <v>771</v>
      </c>
      <c r="B1346" s="21" t="s">
        <v>39</v>
      </c>
      <c r="C1346" s="21" t="s">
        <v>58</v>
      </c>
      <c r="D1346" s="21" t="s">
        <v>143</v>
      </c>
      <c r="E1346" s="21" t="s">
        <v>144</v>
      </c>
      <c r="F1346" s="21" t="s">
        <v>5</v>
      </c>
      <c r="G1346" s="21" t="s">
        <v>6</v>
      </c>
      <c r="H1346" s="21" t="s">
        <v>7</v>
      </c>
      <c r="I1346" s="21" t="s">
        <v>8</v>
      </c>
      <c r="J1346" s="21" t="s">
        <v>772</v>
      </c>
      <c r="K1346" s="21" t="s">
        <v>773</v>
      </c>
      <c r="L1346" s="21" t="s">
        <v>775</v>
      </c>
      <c r="M1346" s="21" t="s">
        <v>12</v>
      </c>
      <c r="N1346" s="54">
        <v>1400</v>
      </c>
      <c r="O1346" s="54">
        <v>1000</v>
      </c>
      <c r="P1346" s="54">
        <v>0</v>
      </c>
      <c r="Q1346" s="54">
        <v>2400</v>
      </c>
      <c r="R1346" s="54">
        <v>0</v>
      </c>
      <c r="S1346" s="54">
        <v>1204.2</v>
      </c>
      <c r="T1346" s="54">
        <v>1202.46</v>
      </c>
      <c r="U1346" s="54">
        <v>1195.8</v>
      </c>
      <c r="V1346" s="54">
        <v>1197.54</v>
      </c>
      <c r="W1346" s="54">
        <v>1195.8</v>
      </c>
    </row>
    <row r="1347" spans="1:23" outlineLevel="2" x14ac:dyDescent="0.2">
      <c r="A1347" s="21" t="s">
        <v>771</v>
      </c>
      <c r="B1347" s="21" t="s">
        <v>1</v>
      </c>
      <c r="C1347" s="21" t="s">
        <v>2</v>
      </c>
      <c r="D1347" s="21" t="s">
        <v>474</v>
      </c>
      <c r="E1347" s="21" t="s">
        <v>475</v>
      </c>
      <c r="F1347" s="21" t="s">
        <v>5</v>
      </c>
      <c r="G1347" s="21" t="s">
        <v>6</v>
      </c>
      <c r="H1347" s="21" t="s">
        <v>7</v>
      </c>
      <c r="I1347" s="21" t="s">
        <v>8</v>
      </c>
      <c r="J1347" s="21" t="s">
        <v>772</v>
      </c>
      <c r="K1347" s="21" t="s">
        <v>773</v>
      </c>
      <c r="L1347" s="21" t="s">
        <v>776</v>
      </c>
      <c r="M1347" s="21" t="s">
        <v>15</v>
      </c>
      <c r="N1347" s="54">
        <v>2400</v>
      </c>
      <c r="O1347" s="54">
        <v>0</v>
      </c>
      <c r="P1347" s="54">
        <v>0</v>
      </c>
      <c r="Q1347" s="54">
        <v>2400</v>
      </c>
      <c r="R1347" s="54">
        <v>0</v>
      </c>
      <c r="S1347" s="54">
        <v>0</v>
      </c>
      <c r="T1347" s="54">
        <v>0</v>
      </c>
      <c r="U1347" s="54">
        <v>2400</v>
      </c>
      <c r="V1347" s="54">
        <v>2400</v>
      </c>
      <c r="W1347" s="54">
        <v>2400</v>
      </c>
    </row>
    <row r="1348" spans="1:23" outlineLevel="2" x14ac:dyDescent="0.2">
      <c r="A1348" s="21" t="s">
        <v>771</v>
      </c>
      <c r="B1348" s="21" t="s">
        <v>31</v>
      </c>
      <c r="C1348" s="21" t="s">
        <v>32</v>
      </c>
      <c r="D1348" s="21" t="s">
        <v>75</v>
      </c>
      <c r="E1348" s="21" t="s">
        <v>76</v>
      </c>
      <c r="F1348" s="21" t="s">
        <v>5</v>
      </c>
      <c r="G1348" s="21" t="s">
        <v>6</v>
      </c>
      <c r="H1348" s="21" t="s">
        <v>7</v>
      </c>
      <c r="I1348" s="21" t="s">
        <v>8</v>
      </c>
      <c r="J1348" s="21" t="s">
        <v>772</v>
      </c>
      <c r="K1348" s="21" t="s">
        <v>773</v>
      </c>
      <c r="L1348" s="21" t="s">
        <v>774</v>
      </c>
      <c r="M1348" s="21" t="s">
        <v>12</v>
      </c>
      <c r="N1348" s="54">
        <v>5700</v>
      </c>
      <c r="O1348" s="54">
        <v>0</v>
      </c>
      <c r="P1348" s="54">
        <v>0</v>
      </c>
      <c r="Q1348" s="54">
        <v>5700</v>
      </c>
      <c r="R1348" s="54">
        <v>0</v>
      </c>
      <c r="S1348" s="54">
        <v>1025.8900000000001</v>
      </c>
      <c r="T1348" s="54">
        <v>705.55</v>
      </c>
      <c r="U1348" s="54">
        <v>4674.1099999999997</v>
      </c>
      <c r="V1348" s="54">
        <v>4994.45</v>
      </c>
      <c r="W1348" s="54">
        <v>4674.1099999999997</v>
      </c>
    </row>
    <row r="1349" spans="1:23" outlineLevel="2" x14ac:dyDescent="0.2">
      <c r="A1349" s="21" t="s">
        <v>771</v>
      </c>
      <c r="B1349" s="21" t="s">
        <v>39</v>
      </c>
      <c r="C1349" s="21" t="s">
        <v>66</v>
      </c>
      <c r="D1349" s="21" t="s">
        <v>67</v>
      </c>
      <c r="E1349" s="21" t="s">
        <v>68</v>
      </c>
      <c r="F1349" s="21" t="s">
        <v>5</v>
      </c>
      <c r="G1349" s="21" t="s">
        <v>6</v>
      </c>
      <c r="H1349" s="21" t="s">
        <v>7</v>
      </c>
      <c r="I1349" s="21" t="s">
        <v>8</v>
      </c>
      <c r="J1349" s="21" t="s">
        <v>772</v>
      </c>
      <c r="K1349" s="21" t="s">
        <v>773</v>
      </c>
      <c r="L1349" s="21" t="s">
        <v>780</v>
      </c>
      <c r="M1349" s="21" t="s">
        <v>12</v>
      </c>
      <c r="N1349" s="54">
        <v>2500</v>
      </c>
      <c r="O1349" s="54">
        <v>-37.67</v>
      </c>
      <c r="P1349" s="54">
        <v>0</v>
      </c>
      <c r="Q1349" s="54">
        <v>2462.33</v>
      </c>
      <c r="R1349" s="54">
        <v>0</v>
      </c>
      <c r="S1349" s="54">
        <v>2314.42</v>
      </c>
      <c r="T1349" s="54">
        <v>2304.64</v>
      </c>
      <c r="U1349" s="54">
        <v>147.91</v>
      </c>
      <c r="V1349" s="54">
        <v>157.69</v>
      </c>
      <c r="W1349" s="54">
        <v>147.91</v>
      </c>
    </row>
    <row r="1350" spans="1:23" outlineLevel="2" x14ac:dyDescent="0.2">
      <c r="A1350" s="21" t="s">
        <v>771</v>
      </c>
      <c r="B1350" s="21" t="s">
        <v>39</v>
      </c>
      <c r="C1350" s="21" t="s">
        <v>58</v>
      </c>
      <c r="D1350" s="21" t="s">
        <v>59</v>
      </c>
      <c r="E1350" s="21" t="s">
        <v>60</v>
      </c>
      <c r="F1350" s="21" t="s">
        <v>5</v>
      </c>
      <c r="G1350" s="21" t="s">
        <v>6</v>
      </c>
      <c r="H1350" s="21" t="s">
        <v>7</v>
      </c>
      <c r="I1350" s="21" t="s">
        <v>8</v>
      </c>
      <c r="J1350" s="21" t="s">
        <v>772</v>
      </c>
      <c r="K1350" s="21" t="s">
        <v>773</v>
      </c>
      <c r="L1350" s="21" t="s">
        <v>775</v>
      </c>
      <c r="M1350" s="21" t="s">
        <v>12</v>
      </c>
      <c r="N1350" s="54">
        <v>2500</v>
      </c>
      <c r="O1350" s="54">
        <v>2000</v>
      </c>
      <c r="P1350" s="54">
        <v>0</v>
      </c>
      <c r="Q1350" s="54">
        <v>4500</v>
      </c>
      <c r="R1350" s="54">
        <v>0</v>
      </c>
      <c r="S1350" s="54">
        <v>2142.7199999999998</v>
      </c>
      <c r="T1350" s="54">
        <v>1686.72</v>
      </c>
      <c r="U1350" s="54">
        <v>2357.2800000000002</v>
      </c>
      <c r="V1350" s="54">
        <v>2813.28</v>
      </c>
      <c r="W1350" s="54">
        <v>2357.2800000000002</v>
      </c>
    </row>
    <row r="1351" spans="1:23" outlineLevel="2" x14ac:dyDescent="0.2">
      <c r="A1351" s="21" t="s">
        <v>771</v>
      </c>
      <c r="B1351" s="21" t="s">
        <v>39</v>
      </c>
      <c r="C1351" s="21" t="s">
        <v>58</v>
      </c>
      <c r="D1351" s="21" t="s">
        <v>147</v>
      </c>
      <c r="E1351" s="21" t="s">
        <v>148</v>
      </c>
      <c r="F1351" s="21" t="s">
        <v>5</v>
      </c>
      <c r="G1351" s="21" t="s">
        <v>6</v>
      </c>
      <c r="H1351" s="21" t="s">
        <v>7</v>
      </c>
      <c r="I1351" s="21" t="s">
        <v>8</v>
      </c>
      <c r="J1351" s="21" t="s">
        <v>772</v>
      </c>
      <c r="K1351" s="21" t="s">
        <v>773</v>
      </c>
      <c r="L1351" s="21" t="s">
        <v>775</v>
      </c>
      <c r="M1351" s="21" t="s">
        <v>12</v>
      </c>
      <c r="N1351" s="54">
        <v>4000</v>
      </c>
      <c r="O1351" s="54">
        <v>0</v>
      </c>
      <c r="P1351" s="54">
        <v>0</v>
      </c>
      <c r="Q1351" s="54">
        <v>4000</v>
      </c>
      <c r="R1351" s="54">
        <v>4000</v>
      </c>
      <c r="S1351" s="54">
        <v>0</v>
      </c>
      <c r="T1351" s="54">
        <v>0</v>
      </c>
      <c r="U1351" s="54">
        <v>4000</v>
      </c>
      <c r="V1351" s="54">
        <v>4000</v>
      </c>
      <c r="W1351" s="54">
        <v>0</v>
      </c>
    </row>
    <row r="1352" spans="1:23" outlineLevel="2" x14ac:dyDescent="0.2">
      <c r="A1352" s="21" t="s">
        <v>771</v>
      </c>
      <c r="B1352" s="21" t="s">
        <v>31</v>
      </c>
      <c r="C1352" s="21" t="s">
        <v>79</v>
      </c>
      <c r="D1352" s="21" t="s">
        <v>117</v>
      </c>
      <c r="E1352" s="21" t="s">
        <v>118</v>
      </c>
      <c r="F1352" s="21" t="s">
        <v>5</v>
      </c>
      <c r="G1352" s="21" t="s">
        <v>6</v>
      </c>
      <c r="H1352" s="21" t="s">
        <v>7</v>
      </c>
      <c r="I1352" s="21" t="s">
        <v>8</v>
      </c>
      <c r="J1352" s="21" t="s">
        <v>772</v>
      </c>
      <c r="K1352" s="21" t="s">
        <v>773</v>
      </c>
      <c r="L1352" s="21" t="s">
        <v>777</v>
      </c>
      <c r="M1352" s="21" t="s">
        <v>12</v>
      </c>
      <c r="N1352" s="54">
        <v>1000</v>
      </c>
      <c r="O1352" s="54">
        <v>0</v>
      </c>
      <c r="P1352" s="54">
        <v>0</v>
      </c>
      <c r="Q1352" s="54">
        <v>1000</v>
      </c>
      <c r="R1352" s="54">
        <v>0</v>
      </c>
      <c r="S1352" s="54">
        <v>282.60000000000002</v>
      </c>
      <c r="T1352" s="54">
        <v>0</v>
      </c>
      <c r="U1352" s="54">
        <v>717.4</v>
      </c>
      <c r="V1352" s="54">
        <v>1000</v>
      </c>
      <c r="W1352" s="54">
        <v>717.4</v>
      </c>
    </row>
    <row r="1353" spans="1:23" outlineLevel="2" x14ac:dyDescent="0.2">
      <c r="A1353" s="21" t="s">
        <v>771</v>
      </c>
      <c r="B1353" s="21" t="s">
        <v>1</v>
      </c>
      <c r="C1353" s="21" t="s">
        <v>91</v>
      </c>
      <c r="D1353" s="21" t="s">
        <v>92</v>
      </c>
      <c r="E1353" s="21" t="s">
        <v>93</v>
      </c>
      <c r="F1353" s="21" t="s">
        <v>5</v>
      </c>
      <c r="G1353" s="21" t="s">
        <v>6</v>
      </c>
      <c r="H1353" s="21" t="s">
        <v>7</v>
      </c>
      <c r="I1353" s="21" t="s">
        <v>8</v>
      </c>
      <c r="J1353" s="21" t="s">
        <v>772</v>
      </c>
      <c r="K1353" s="21" t="s">
        <v>773</v>
      </c>
      <c r="L1353" s="21" t="s">
        <v>781</v>
      </c>
      <c r="M1353" s="21" t="s">
        <v>15</v>
      </c>
      <c r="N1353" s="54">
        <v>800</v>
      </c>
      <c r="O1353" s="54">
        <v>1500</v>
      </c>
      <c r="P1353" s="54">
        <v>0</v>
      </c>
      <c r="Q1353" s="54">
        <v>2300</v>
      </c>
      <c r="R1353" s="54">
        <v>0</v>
      </c>
      <c r="S1353" s="54">
        <v>1590.88</v>
      </c>
      <c r="T1353" s="54">
        <v>100.36</v>
      </c>
      <c r="U1353" s="54">
        <v>709.12</v>
      </c>
      <c r="V1353" s="54">
        <v>2199.64</v>
      </c>
      <c r="W1353" s="54">
        <v>709.12</v>
      </c>
    </row>
    <row r="1354" spans="1:23" outlineLevel="2" x14ac:dyDescent="0.2">
      <c r="A1354" s="21" t="s">
        <v>771</v>
      </c>
      <c r="B1354" s="21" t="s">
        <v>39</v>
      </c>
      <c r="C1354" s="21" t="s">
        <v>58</v>
      </c>
      <c r="D1354" s="21" t="s">
        <v>149</v>
      </c>
      <c r="E1354" s="21" t="s">
        <v>150</v>
      </c>
      <c r="F1354" s="21" t="s">
        <v>5</v>
      </c>
      <c r="G1354" s="21" t="s">
        <v>6</v>
      </c>
      <c r="H1354" s="21" t="s">
        <v>7</v>
      </c>
      <c r="I1354" s="21" t="s">
        <v>8</v>
      </c>
      <c r="J1354" s="21" t="s">
        <v>772</v>
      </c>
      <c r="K1354" s="21" t="s">
        <v>773</v>
      </c>
      <c r="L1354" s="21" t="s">
        <v>775</v>
      </c>
      <c r="M1354" s="21" t="s">
        <v>12</v>
      </c>
      <c r="N1354" s="54">
        <v>2500</v>
      </c>
      <c r="O1354" s="54">
        <v>0</v>
      </c>
      <c r="P1354" s="54">
        <v>0</v>
      </c>
      <c r="Q1354" s="54">
        <v>2500</v>
      </c>
      <c r="R1354" s="54">
        <v>0</v>
      </c>
      <c r="S1354" s="54">
        <v>871.62</v>
      </c>
      <c r="T1354" s="54">
        <v>5.4</v>
      </c>
      <c r="U1354" s="54">
        <v>1628.38</v>
      </c>
      <c r="V1354" s="54">
        <v>2494.6</v>
      </c>
      <c r="W1354" s="54">
        <v>1628.38</v>
      </c>
    </row>
    <row r="1355" spans="1:23" outlineLevel="2" x14ac:dyDescent="0.2">
      <c r="A1355" s="21" t="s">
        <v>771</v>
      </c>
      <c r="B1355" s="21" t="s">
        <v>31</v>
      </c>
      <c r="C1355" s="21" t="s">
        <v>32</v>
      </c>
      <c r="D1355" s="21" t="s">
        <v>33</v>
      </c>
      <c r="E1355" s="21" t="s">
        <v>34</v>
      </c>
      <c r="F1355" s="21" t="s">
        <v>5</v>
      </c>
      <c r="G1355" s="21" t="s">
        <v>6</v>
      </c>
      <c r="H1355" s="21" t="s">
        <v>7</v>
      </c>
      <c r="I1355" s="21" t="s">
        <v>8</v>
      </c>
      <c r="J1355" s="21" t="s">
        <v>772</v>
      </c>
      <c r="K1355" s="21" t="s">
        <v>773</v>
      </c>
      <c r="L1355" s="21" t="s">
        <v>774</v>
      </c>
      <c r="M1355" s="21" t="s">
        <v>12</v>
      </c>
      <c r="N1355" s="54">
        <v>5000</v>
      </c>
      <c r="O1355" s="54">
        <v>-2500</v>
      </c>
      <c r="P1355" s="54">
        <v>0</v>
      </c>
      <c r="Q1355" s="54">
        <v>2500</v>
      </c>
      <c r="R1355" s="54">
        <v>0</v>
      </c>
      <c r="S1355" s="54">
        <v>1500</v>
      </c>
      <c r="T1355" s="54">
        <v>0</v>
      </c>
      <c r="U1355" s="54">
        <v>1000</v>
      </c>
      <c r="V1355" s="54">
        <v>2500</v>
      </c>
      <c r="W1355" s="54">
        <v>1000</v>
      </c>
    </row>
    <row r="1356" spans="1:23" outlineLevel="2" x14ac:dyDescent="0.2">
      <c r="A1356" s="21" t="s">
        <v>771</v>
      </c>
      <c r="B1356" s="21" t="s">
        <v>39</v>
      </c>
      <c r="C1356" s="21" t="s">
        <v>58</v>
      </c>
      <c r="D1356" s="21" t="s">
        <v>139</v>
      </c>
      <c r="E1356" s="21" t="s">
        <v>140</v>
      </c>
      <c r="F1356" s="21" t="s">
        <v>5</v>
      </c>
      <c r="G1356" s="21" t="s">
        <v>6</v>
      </c>
      <c r="H1356" s="21" t="s">
        <v>7</v>
      </c>
      <c r="I1356" s="21" t="s">
        <v>8</v>
      </c>
      <c r="J1356" s="21" t="s">
        <v>772</v>
      </c>
      <c r="K1356" s="21" t="s">
        <v>773</v>
      </c>
      <c r="L1356" s="21" t="s">
        <v>775</v>
      </c>
      <c r="M1356" s="21" t="s">
        <v>12</v>
      </c>
      <c r="N1356" s="54">
        <v>2500</v>
      </c>
      <c r="O1356" s="54">
        <v>0</v>
      </c>
      <c r="P1356" s="54">
        <v>0</v>
      </c>
      <c r="Q1356" s="54">
        <v>2500</v>
      </c>
      <c r="R1356" s="54">
        <v>0</v>
      </c>
      <c r="S1356" s="54">
        <v>2138.3000000000002</v>
      </c>
      <c r="T1356" s="54">
        <v>2116.4899999999998</v>
      </c>
      <c r="U1356" s="54">
        <v>361.7</v>
      </c>
      <c r="V1356" s="54">
        <v>383.51</v>
      </c>
      <c r="W1356" s="54">
        <v>361.7</v>
      </c>
    </row>
    <row r="1357" spans="1:23" outlineLevel="2" x14ac:dyDescent="0.2">
      <c r="A1357" s="21" t="s">
        <v>771</v>
      </c>
      <c r="B1357" s="21" t="s">
        <v>39</v>
      </c>
      <c r="C1357" s="21" t="s">
        <v>58</v>
      </c>
      <c r="D1357" s="21" t="s">
        <v>145</v>
      </c>
      <c r="E1357" s="21" t="s">
        <v>146</v>
      </c>
      <c r="F1357" s="21" t="s">
        <v>5</v>
      </c>
      <c r="G1357" s="21" t="s">
        <v>6</v>
      </c>
      <c r="H1357" s="21" t="s">
        <v>7</v>
      </c>
      <c r="I1357" s="21" t="s">
        <v>8</v>
      </c>
      <c r="J1357" s="21" t="s">
        <v>772</v>
      </c>
      <c r="K1357" s="21" t="s">
        <v>773</v>
      </c>
      <c r="L1357" s="21" t="s">
        <v>775</v>
      </c>
      <c r="M1357" s="21" t="s">
        <v>12</v>
      </c>
      <c r="N1357" s="54">
        <v>0</v>
      </c>
      <c r="O1357" s="54">
        <v>3646.58</v>
      </c>
      <c r="P1357" s="54">
        <v>0</v>
      </c>
      <c r="Q1357" s="54">
        <v>3646.58</v>
      </c>
      <c r="R1357" s="54">
        <v>1401.82</v>
      </c>
      <c r="S1357" s="54">
        <v>1541.7</v>
      </c>
      <c r="T1357" s="54">
        <v>1504.96</v>
      </c>
      <c r="U1357" s="54">
        <v>2104.88</v>
      </c>
      <c r="V1357" s="54">
        <v>2141.62</v>
      </c>
      <c r="W1357" s="54">
        <v>703.06</v>
      </c>
    </row>
    <row r="1358" spans="1:23" outlineLevel="2" x14ac:dyDescent="0.2">
      <c r="A1358" s="21" t="s">
        <v>771</v>
      </c>
      <c r="B1358" s="21" t="s">
        <v>31</v>
      </c>
      <c r="C1358" s="21" t="s">
        <v>79</v>
      </c>
      <c r="D1358" s="21" t="s">
        <v>125</v>
      </c>
      <c r="E1358" s="21" t="s">
        <v>126</v>
      </c>
      <c r="F1358" s="21" t="s">
        <v>5</v>
      </c>
      <c r="G1358" s="21" t="s">
        <v>6</v>
      </c>
      <c r="H1358" s="21" t="s">
        <v>7</v>
      </c>
      <c r="I1358" s="21" t="s">
        <v>8</v>
      </c>
      <c r="J1358" s="21" t="s">
        <v>772</v>
      </c>
      <c r="K1358" s="21" t="s">
        <v>773</v>
      </c>
      <c r="L1358" s="21" t="s">
        <v>777</v>
      </c>
      <c r="M1358" s="21" t="s">
        <v>12</v>
      </c>
      <c r="N1358" s="54">
        <v>0</v>
      </c>
      <c r="O1358" s="54">
        <v>188.78</v>
      </c>
      <c r="P1358" s="54">
        <v>0</v>
      </c>
      <c r="Q1358" s="54">
        <v>188.78</v>
      </c>
      <c r="R1358" s="54">
        <v>0</v>
      </c>
      <c r="S1358" s="54">
        <v>188.78</v>
      </c>
      <c r="T1358" s="54">
        <v>0</v>
      </c>
      <c r="U1358" s="54">
        <v>0</v>
      </c>
      <c r="V1358" s="54">
        <v>188.78</v>
      </c>
      <c r="W1358" s="54">
        <v>0</v>
      </c>
    </row>
    <row r="1359" spans="1:23" outlineLevel="2" x14ac:dyDescent="0.2">
      <c r="A1359" s="21" t="s">
        <v>771</v>
      </c>
      <c r="B1359" s="21" t="s">
        <v>39</v>
      </c>
      <c r="C1359" s="21" t="s">
        <v>58</v>
      </c>
      <c r="D1359" s="21" t="s">
        <v>129</v>
      </c>
      <c r="E1359" s="21" t="s">
        <v>130</v>
      </c>
      <c r="F1359" s="21" t="s">
        <v>5</v>
      </c>
      <c r="G1359" s="21" t="s">
        <v>6</v>
      </c>
      <c r="H1359" s="21" t="s">
        <v>7</v>
      </c>
      <c r="I1359" s="21" t="s">
        <v>8</v>
      </c>
      <c r="J1359" s="21" t="s">
        <v>772</v>
      </c>
      <c r="K1359" s="21" t="s">
        <v>773</v>
      </c>
      <c r="L1359" s="21" t="s">
        <v>775</v>
      </c>
      <c r="M1359" s="21" t="s">
        <v>12</v>
      </c>
      <c r="N1359" s="54">
        <v>0</v>
      </c>
      <c r="O1359" s="54">
        <v>143.07</v>
      </c>
      <c r="P1359" s="54">
        <v>0</v>
      </c>
      <c r="Q1359" s="54">
        <v>143.07</v>
      </c>
      <c r="R1359" s="54">
        <v>0</v>
      </c>
      <c r="S1359" s="54">
        <v>109.19</v>
      </c>
      <c r="T1359" s="54">
        <v>109.19</v>
      </c>
      <c r="U1359" s="54">
        <v>33.880000000000003</v>
      </c>
      <c r="V1359" s="54">
        <v>33.880000000000003</v>
      </c>
      <c r="W1359" s="54">
        <v>33.880000000000003</v>
      </c>
    </row>
    <row r="1360" spans="1:23" outlineLevel="2" x14ac:dyDescent="0.2">
      <c r="A1360" s="21" t="s">
        <v>771</v>
      </c>
      <c r="B1360" s="21" t="s">
        <v>31</v>
      </c>
      <c r="C1360" s="21" t="s">
        <v>79</v>
      </c>
      <c r="D1360" s="21" t="s">
        <v>113</v>
      </c>
      <c r="E1360" s="21" t="s">
        <v>114</v>
      </c>
      <c r="F1360" s="21" t="s">
        <v>5</v>
      </c>
      <c r="G1360" s="21" t="s">
        <v>6</v>
      </c>
      <c r="H1360" s="21" t="s">
        <v>7</v>
      </c>
      <c r="I1360" s="21" t="s">
        <v>8</v>
      </c>
      <c r="J1360" s="21" t="s">
        <v>772</v>
      </c>
      <c r="K1360" s="21" t="s">
        <v>773</v>
      </c>
      <c r="L1360" s="21" t="s">
        <v>777</v>
      </c>
      <c r="M1360" s="21" t="s">
        <v>12</v>
      </c>
      <c r="N1360" s="54">
        <v>300</v>
      </c>
      <c r="O1360" s="54">
        <v>0</v>
      </c>
      <c r="P1360" s="54">
        <v>0</v>
      </c>
      <c r="Q1360" s="54">
        <v>300</v>
      </c>
      <c r="R1360" s="54">
        <v>0</v>
      </c>
      <c r="S1360" s="54">
        <v>0</v>
      </c>
      <c r="T1360" s="54">
        <v>0</v>
      </c>
      <c r="U1360" s="54">
        <v>300</v>
      </c>
      <c r="V1360" s="54">
        <v>300</v>
      </c>
      <c r="W1360" s="54">
        <v>300</v>
      </c>
    </row>
    <row r="1361" spans="1:23" outlineLevel="2" x14ac:dyDescent="0.2">
      <c r="A1361" s="21" t="s">
        <v>771</v>
      </c>
      <c r="B1361" s="21" t="s">
        <v>31</v>
      </c>
      <c r="C1361" s="21" t="s">
        <v>79</v>
      </c>
      <c r="D1361" s="21" t="s">
        <v>80</v>
      </c>
      <c r="E1361" s="21" t="s">
        <v>81</v>
      </c>
      <c r="F1361" s="21" t="s">
        <v>5</v>
      </c>
      <c r="G1361" s="21" t="s">
        <v>6</v>
      </c>
      <c r="H1361" s="21" t="s">
        <v>7</v>
      </c>
      <c r="I1361" s="21" t="s">
        <v>8</v>
      </c>
      <c r="J1361" s="21" t="s">
        <v>772</v>
      </c>
      <c r="K1361" s="21" t="s">
        <v>773</v>
      </c>
      <c r="L1361" s="21" t="s">
        <v>777</v>
      </c>
      <c r="M1361" s="21" t="s">
        <v>12</v>
      </c>
      <c r="N1361" s="54">
        <v>1000</v>
      </c>
      <c r="O1361" s="54">
        <v>0</v>
      </c>
      <c r="P1361" s="54">
        <v>0</v>
      </c>
      <c r="Q1361" s="54">
        <v>1000</v>
      </c>
      <c r="R1361" s="54">
        <v>0</v>
      </c>
      <c r="S1361" s="54">
        <v>806.67</v>
      </c>
      <c r="T1361" s="54">
        <v>806.67</v>
      </c>
      <c r="U1361" s="54">
        <v>193.33</v>
      </c>
      <c r="V1361" s="54">
        <v>193.33</v>
      </c>
      <c r="W1361" s="54">
        <v>193.33</v>
      </c>
    </row>
    <row r="1362" spans="1:23" outlineLevel="2" x14ac:dyDescent="0.2">
      <c r="A1362" s="21" t="s">
        <v>771</v>
      </c>
      <c r="B1362" s="21" t="s">
        <v>1</v>
      </c>
      <c r="C1362" s="21" t="s">
        <v>2</v>
      </c>
      <c r="D1362" s="21" t="s">
        <v>3</v>
      </c>
      <c r="E1362" s="21" t="s">
        <v>4</v>
      </c>
      <c r="F1362" s="21" t="s">
        <v>5</v>
      </c>
      <c r="G1362" s="21" t="s">
        <v>6</v>
      </c>
      <c r="H1362" s="21" t="s">
        <v>7</v>
      </c>
      <c r="I1362" s="21" t="s">
        <v>8</v>
      </c>
      <c r="J1362" s="21" t="s">
        <v>772</v>
      </c>
      <c r="K1362" s="21" t="s">
        <v>773</v>
      </c>
      <c r="L1362" s="21" t="s">
        <v>776</v>
      </c>
      <c r="M1362" s="21" t="s">
        <v>15</v>
      </c>
      <c r="N1362" s="54">
        <v>100</v>
      </c>
      <c r="O1362" s="54">
        <v>100</v>
      </c>
      <c r="P1362" s="54">
        <v>0</v>
      </c>
      <c r="Q1362" s="54">
        <v>200</v>
      </c>
      <c r="R1362" s="54">
        <v>0</v>
      </c>
      <c r="S1362" s="54">
        <v>101.62</v>
      </c>
      <c r="T1362" s="54">
        <v>101.62</v>
      </c>
      <c r="U1362" s="54">
        <v>98.38</v>
      </c>
      <c r="V1362" s="54">
        <v>98.38</v>
      </c>
      <c r="W1362" s="54">
        <v>98.38</v>
      </c>
    </row>
    <row r="1363" spans="1:23" outlineLevel="2" x14ac:dyDescent="0.2">
      <c r="A1363" s="21" t="s">
        <v>771</v>
      </c>
      <c r="B1363" s="21" t="s">
        <v>1</v>
      </c>
      <c r="C1363" s="21" t="s">
        <v>2</v>
      </c>
      <c r="D1363" s="21" t="s">
        <v>410</v>
      </c>
      <c r="E1363" s="21" t="s">
        <v>411</v>
      </c>
      <c r="F1363" s="21" t="s">
        <v>5</v>
      </c>
      <c r="G1363" s="21" t="s">
        <v>6</v>
      </c>
      <c r="H1363" s="21" t="s">
        <v>7</v>
      </c>
      <c r="I1363" s="21" t="s">
        <v>8</v>
      </c>
      <c r="J1363" s="21" t="s">
        <v>772</v>
      </c>
      <c r="K1363" s="21" t="s">
        <v>773</v>
      </c>
      <c r="L1363" s="21" t="s">
        <v>776</v>
      </c>
      <c r="M1363" s="21" t="s">
        <v>15</v>
      </c>
      <c r="N1363" s="54">
        <v>29000</v>
      </c>
      <c r="O1363" s="54">
        <v>0</v>
      </c>
      <c r="P1363" s="54">
        <v>0</v>
      </c>
      <c r="Q1363" s="54">
        <v>29000</v>
      </c>
      <c r="R1363" s="54">
        <v>14604.33</v>
      </c>
      <c r="S1363" s="54">
        <v>0</v>
      </c>
      <c r="T1363" s="54">
        <v>0</v>
      </c>
      <c r="U1363" s="54">
        <v>29000</v>
      </c>
      <c r="V1363" s="54">
        <v>29000</v>
      </c>
      <c r="W1363" s="54">
        <v>14395.67</v>
      </c>
    </row>
    <row r="1364" spans="1:23" outlineLevel="2" x14ac:dyDescent="0.2">
      <c r="A1364" s="21" t="s">
        <v>771</v>
      </c>
      <c r="B1364" s="21" t="s">
        <v>39</v>
      </c>
      <c r="C1364" s="21" t="s">
        <v>40</v>
      </c>
      <c r="D1364" s="21" t="s">
        <v>77</v>
      </c>
      <c r="E1364" s="21" t="s">
        <v>78</v>
      </c>
      <c r="F1364" s="21" t="s">
        <v>5</v>
      </c>
      <c r="G1364" s="21" t="s">
        <v>6</v>
      </c>
      <c r="H1364" s="21" t="s">
        <v>7</v>
      </c>
      <c r="I1364" s="21" t="s">
        <v>8</v>
      </c>
      <c r="J1364" s="21" t="s">
        <v>772</v>
      </c>
      <c r="K1364" s="21" t="s">
        <v>773</v>
      </c>
      <c r="L1364" s="21" t="s">
        <v>778</v>
      </c>
      <c r="M1364" s="21" t="s">
        <v>12</v>
      </c>
      <c r="N1364" s="54">
        <v>0</v>
      </c>
      <c r="O1364" s="54">
        <v>108800</v>
      </c>
      <c r="P1364" s="54">
        <v>0</v>
      </c>
      <c r="Q1364" s="54">
        <v>108800</v>
      </c>
      <c r="R1364" s="54">
        <v>0</v>
      </c>
      <c r="S1364" s="54">
        <v>80070.94</v>
      </c>
      <c r="T1364" s="54">
        <v>62037.75</v>
      </c>
      <c r="U1364" s="54">
        <v>28729.06</v>
      </c>
      <c r="V1364" s="54">
        <v>46762.25</v>
      </c>
      <c r="W1364" s="54">
        <v>28729.06</v>
      </c>
    </row>
    <row r="1365" spans="1:23" outlineLevel="2" x14ac:dyDescent="0.2">
      <c r="A1365" s="21" t="s">
        <v>771</v>
      </c>
      <c r="B1365" s="21" t="s">
        <v>1</v>
      </c>
      <c r="C1365" s="21" t="s">
        <v>2</v>
      </c>
      <c r="D1365" s="21" t="s">
        <v>410</v>
      </c>
      <c r="E1365" s="21" t="s">
        <v>411</v>
      </c>
      <c r="F1365" s="21" t="s">
        <v>5</v>
      </c>
      <c r="G1365" s="21" t="s">
        <v>6</v>
      </c>
      <c r="H1365" s="21" t="s">
        <v>7</v>
      </c>
      <c r="I1365" s="21" t="s">
        <v>8</v>
      </c>
      <c r="J1365" s="21" t="s">
        <v>772</v>
      </c>
      <c r="K1365" s="21" t="s">
        <v>782</v>
      </c>
      <c r="L1365" s="21" t="s">
        <v>783</v>
      </c>
      <c r="M1365" s="21" t="s">
        <v>15</v>
      </c>
      <c r="N1365" s="54">
        <v>2175000</v>
      </c>
      <c r="O1365" s="54">
        <v>-1431.09</v>
      </c>
      <c r="P1365" s="54">
        <v>0</v>
      </c>
      <c r="Q1365" s="54">
        <v>2173568.91</v>
      </c>
      <c r="R1365" s="54">
        <v>2049.2399999999998</v>
      </c>
      <c r="S1365" s="54">
        <v>1602827.82</v>
      </c>
      <c r="T1365" s="54">
        <v>1602826.87</v>
      </c>
      <c r="U1365" s="54">
        <v>570741.09</v>
      </c>
      <c r="V1365" s="54">
        <v>570742.04</v>
      </c>
      <c r="W1365" s="54">
        <v>568691.85</v>
      </c>
    </row>
    <row r="1366" spans="1:23" outlineLevel="2" x14ac:dyDescent="0.2">
      <c r="A1366" s="21" t="s">
        <v>771</v>
      </c>
      <c r="B1366" s="21" t="s">
        <v>39</v>
      </c>
      <c r="C1366" s="21" t="s">
        <v>70</v>
      </c>
      <c r="D1366" s="21" t="s">
        <v>89</v>
      </c>
      <c r="E1366" s="21" t="s">
        <v>90</v>
      </c>
      <c r="F1366" s="21" t="s">
        <v>5</v>
      </c>
      <c r="G1366" s="21" t="s">
        <v>6</v>
      </c>
      <c r="H1366" s="21" t="s">
        <v>7</v>
      </c>
      <c r="I1366" s="21" t="s">
        <v>8</v>
      </c>
      <c r="J1366" s="21" t="s">
        <v>772</v>
      </c>
      <c r="K1366" s="21" t="s">
        <v>782</v>
      </c>
      <c r="L1366" s="21" t="s">
        <v>784</v>
      </c>
      <c r="M1366" s="21" t="s">
        <v>12</v>
      </c>
      <c r="N1366" s="54">
        <v>4000</v>
      </c>
      <c r="O1366" s="54">
        <v>0</v>
      </c>
      <c r="P1366" s="54">
        <v>0</v>
      </c>
      <c r="Q1366" s="54">
        <v>4000</v>
      </c>
      <c r="R1366" s="54">
        <v>0</v>
      </c>
      <c r="S1366" s="54">
        <v>100</v>
      </c>
      <c r="T1366" s="54">
        <v>100</v>
      </c>
      <c r="U1366" s="54">
        <v>3900</v>
      </c>
      <c r="V1366" s="54">
        <v>3900</v>
      </c>
      <c r="W1366" s="54">
        <v>3900</v>
      </c>
    </row>
    <row r="1367" spans="1:23" outlineLevel="2" x14ac:dyDescent="0.2">
      <c r="A1367" s="21" t="s">
        <v>771</v>
      </c>
      <c r="B1367" s="21" t="s">
        <v>39</v>
      </c>
      <c r="C1367" s="21" t="s">
        <v>58</v>
      </c>
      <c r="D1367" s="21" t="s">
        <v>59</v>
      </c>
      <c r="E1367" s="21" t="s">
        <v>60</v>
      </c>
      <c r="F1367" s="21" t="s">
        <v>5</v>
      </c>
      <c r="G1367" s="21" t="s">
        <v>6</v>
      </c>
      <c r="H1367" s="21" t="s">
        <v>7</v>
      </c>
      <c r="I1367" s="21" t="s">
        <v>8</v>
      </c>
      <c r="J1367" s="21" t="s">
        <v>772</v>
      </c>
      <c r="K1367" s="21" t="s">
        <v>785</v>
      </c>
      <c r="L1367" s="21" t="s">
        <v>786</v>
      </c>
      <c r="M1367" s="21" t="s">
        <v>12</v>
      </c>
      <c r="N1367" s="54">
        <v>100</v>
      </c>
      <c r="O1367" s="54">
        <v>0</v>
      </c>
      <c r="P1367" s="54">
        <v>0</v>
      </c>
      <c r="Q1367" s="54">
        <v>100</v>
      </c>
      <c r="R1367" s="54">
        <v>0</v>
      </c>
      <c r="S1367" s="54">
        <v>0</v>
      </c>
      <c r="T1367" s="54">
        <v>0</v>
      </c>
      <c r="U1367" s="54">
        <v>100</v>
      </c>
      <c r="V1367" s="54">
        <v>100</v>
      </c>
      <c r="W1367" s="54">
        <v>100</v>
      </c>
    </row>
    <row r="1368" spans="1:23" outlineLevel="2" x14ac:dyDescent="0.2">
      <c r="A1368" s="21" t="s">
        <v>771</v>
      </c>
      <c r="B1368" s="21" t="s">
        <v>39</v>
      </c>
      <c r="C1368" s="21" t="s">
        <v>58</v>
      </c>
      <c r="D1368" s="21" t="s">
        <v>147</v>
      </c>
      <c r="E1368" s="21" t="s">
        <v>148</v>
      </c>
      <c r="F1368" s="21" t="s">
        <v>5</v>
      </c>
      <c r="G1368" s="21" t="s">
        <v>6</v>
      </c>
      <c r="H1368" s="21" t="s">
        <v>7</v>
      </c>
      <c r="I1368" s="21" t="s">
        <v>8</v>
      </c>
      <c r="J1368" s="21" t="s">
        <v>772</v>
      </c>
      <c r="K1368" s="21" t="s">
        <v>785</v>
      </c>
      <c r="L1368" s="21" t="s">
        <v>786</v>
      </c>
      <c r="M1368" s="21" t="s">
        <v>12</v>
      </c>
      <c r="N1368" s="54">
        <v>100</v>
      </c>
      <c r="O1368" s="54">
        <v>0</v>
      </c>
      <c r="P1368" s="54">
        <v>0</v>
      </c>
      <c r="Q1368" s="54">
        <v>100</v>
      </c>
      <c r="R1368" s="54">
        <v>0</v>
      </c>
      <c r="S1368" s="54">
        <v>0</v>
      </c>
      <c r="T1368" s="54">
        <v>0</v>
      </c>
      <c r="U1368" s="54">
        <v>100</v>
      </c>
      <c r="V1368" s="54">
        <v>100</v>
      </c>
      <c r="W1368" s="54">
        <v>100</v>
      </c>
    </row>
    <row r="1369" spans="1:23" outlineLevel="2" x14ac:dyDescent="0.2">
      <c r="A1369" s="21" t="s">
        <v>771</v>
      </c>
      <c r="B1369" s="21" t="s">
        <v>31</v>
      </c>
      <c r="C1369" s="21" t="s">
        <v>32</v>
      </c>
      <c r="D1369" s="21" t="s">
        <v>33</v>
      </c>
      <c r="E1369" s="21" t="s">
        <v>34</v>
      </c>
      <c r="F1369" s="21" t="s">
        <v>5</v>
      </c>
      <c r="G1369" s="21" t="s">
        <v>6</v>
      </c>
      <c r="H1369" s="21" t="s">
        <v>7</v>
      </c>
      <c r="I1369" s="21" t="s">
        <v>8</v>
      </c>
      <c r="J1369" s="21" t="s">
        <v>772</v>
      </c>
      <c r="K1369" s="21" t="s">
        <v>785</v>
      </c>
      <c r="L1369" s="21" t="s">
        <v>792</v>
      </c>
      <c r="M1369" s="21" t="s">
        <v>12</v>
      </c>
      <c r="N1369" s="54">
        <v>550</v>
      </c>
      <c r="O1369" s="54">
        <v>0</v>
      </c>
      <c r="P1369" s="54">
        <v>0</v>
      </c>
      <c r="Q1369" s="54">
        <v>550</v>
      </c>
      <c r="R1369" s="54">
        <v>0</v>
      </c>
      <c r="S1369" s="54">
        <v>0</v>
      </c>
      <c r="T1369" s="54">
        <v>0</v>
      </c>
      <c r="U1369" s="54">
        <v>550</v>
      </c>
      <c r="V1369" s="54">
        <v>550</v>
      </c>
      <c r="W1369" s="54">
        <v>550</v>
      </c>
    </row>
    <row r="1370" spans="1:23" outlineLevel="2" x14ac:dyDescent="0.2">
      <c r="A1370" s="21" t="s">
        <v>771</v>
      </c>
      <c r="B1370" s="21" t="s">
        <v>39</v>
      </c>
      <c r="C1370" s="21" t="s">
        <v>58</v>
      </c>
      <c r="D1370" s="21" t="s">
        <v>143</v>
      </c>
      <c r="E1370" s="21" t="s">
        <v>144</v>
      </c>
      <c r="F1370" s="21" t="s">
        <v>5</v>
      </c>
      <c r="G1370" s="21" t="s">
        <v>6</v>
      </c>
      <c r="H1370" s="21" t="s">
        <v>7</v>
      </c>
      <c r="I1370" s="21" t="s">
        <v>8</v>
      </c>
      <c r="J1370" s="21" t="s">
        <v>772</v>
      </c>
      <c r="K1370" s="21" t="s">
        <v>785</v>
      </c>
      <c r="L1370" s="21" t="s">
        <v>786</v>
      </c>
      <c r="M1370" s="21" t="s">
        <v>12</v>
      </c>
      <c r="N1370" s="54">
        <v>100</v>
      </c>
      <c r="O1370" s="54">
        <v>200</v>
      </c>
      <c r="P1370" s="54">
        <v>0</v>
      </c>
      <c r="Q1370" s="54">
        <v>300</v>
      </c>
      <c r="R1370" s="54">
        <v>0</v>
      </c>
      <c r="S1370" s="54">
        <v>31.8</v>
      </c>
      <c r="T1370" s="54">
        <v>31.8</v>
      </c>
      <c r="U1370" s="54">
        <v>268.2</v>
      </c>
      <c r="V1370" s="54">
        <v>268.2</v>
      </c>
      <c r="W1370" s="54">
        <v>268.2</v>
      </c>
    </row>
    <row r="1371" spans="1:23" outlineLevel="2" x14ac:dyDescent="0.2">
      <c r="A1371" s="21" t="s">
        <v>771</v>
      </c>
      <c r="B1371" s="21" t="s">
        <v>1</v>
      </c>
      <c r="C1371" s="21" t="s">
        <v>91</v>
      </c>
      <c r="D1371" s="21" t="s">
        <v>92</v>
      </c>
      <c r="E1371" s="21" t="s">
        <v>93</v>
      </c>
      <c r="F1371" s="21" t="s">
        <v>5</v>
      </c>
      <c r="G1371" s="21" t="s">
        <v>6</v>
      </c>
      <c r="H1371" s="21" t="s">
        <v>7</v>
      </c>
      <c r="I1371" s="21" t="s">
        <v>8</v>
      </c>
      <c r="J1371" s="21" t="s">
        <v>772</v>
      </c>
      <c r="K1371" s="21" t="s">
        <v>785</v>
      </c>
      <c r="L1371" s="21" t="s">
        <v>787</v>
      </c>
      <c r="M1371" s="21" t="s">
        <v>15</v>
      </c>
      <c r="N1371" s="54">
        <v>0</v>
      </c>
      <c r="O1371" s="54">
        <v>25</v>
      </c>
      <c r="P1371" s="54">
        <v>0</v>
      </c>
      <c r="Q1371" s="54">
        <v>25</v>
      </c>
      <c r="R1371" s="54">
        <v>0</v>
      </c>
      <c r="S1371" s="54">
        <v>19.8</v>
      </c>
      <c r="T1371" s="54">
        <v>0</v>
      </c>
      <c r="U1371" s="54">
        <v>5.2</v>
      </c>
      <c r="V1371" s="54">
        <v>25</v>
      </c>
      <c r="W1371" s="54">
        <v>5.2</v>
      </c>
    </row>
    <row r="1372" spans="1:23" outlineLevel="2" x14ac:dyDescent="0.2">
      <c r="A1372" s="21" t="s">
        <v>771</v>
      </c>
      <c r="B1372" s="21" t="s">
        <v>39</v>
      </c>
      <c r="C1372" s="21" t="s">
        <v>58</v>
      </c>
      <c r="D1372" s="21" t="s">
        <v>139</v>
      </c>
      <c r="E1372" s="21" t="s">
        <v>140</v>
      </c>
      <c r="F1372" s="21" t="s">
        <v>5</v>
      </c>
      <c r="G1372" s="21" t="s">
        <v>6</v>
      </c>
      <c r="H1372" s="21" t="s">
        <v>7</v>
      </c>
      <c r="I1372" s="21" t="s">
        <v>8</v>
      </c>
      <c r="J1372" s="21" t="s">
        <v>772</v>
      </c>
      <c r="K1372" s="21" t="s">
        <v>785</v>
      </c>
      <c r="L1372" s="21" t="s">
        <v>786</v>
      </c>
      <c r="M1372" s="21" t="s">
        <v>12</v>
      </c>
      <c r="N1372" s="54">
        <v>170</v>
      </c>
      <c r="O1372" s="54">
        <v>0</v>
      </c>
      <c r="P1372" s="54">
        <v>0</v>
      </c>
      <c r="Q1372" s="54">
        <v>170</v>
      </c>
      <c r="R1372" s="54">
        <v>0</v>
      </c>
      <c r="S1372" s="54">
        <v>48</v>
      </c>
      <c r="T1372" s="54">
        <v>0</v>
      </c>
      <c r="U1372" s="54">
        <v>122</v>
      </c>
      <c r="V1372" s="54">
        <v>170</v>
      </c>
      <c r="W1372" s="54">
        <v>122</v>
      </c>
    </row>
    <row r="1373" spans="1:23" outlineLevel="2" x14ac:dyDescent="0.2">
      <c r="A1373" s="21" t="s">
        <v>771</v>
      </c>
      <c r="B1373" s="21" t="s">
        <v>39</v>
      </c>
      <c r="C1373" s="21" t="s">
        <v>58</v>
      </c>
      <c r="D1373" s="21" t="s">
        <v>137</v>
      </c>
      <c r="E1373" s="21" t="s">
        <v>138</v>
      </c>
      <c r="F1373" s="21" t="s">
        <v>5</v>
      </c>
      <c r="G1373" s="21" t="s">
        <v>6</v>
      </c>
      <c r="H1373" s="21" t="s">
        <v>7</v>
      </c>
      <c r="I1373" s="21" t="s">
        <v>8</v>
      </c>
      <c r="J1373" s="21" t="s">
        <v>772</v>
      </c>
      <c r="K1373" s="21" t="s">
        <v>785</v>
      </c>
      <c r="L1373" s="21" t="s">
        <v>786</v>
      </c>
      <c r="M1373" s="21" t="s">
        <v>12</v>
      </c>
      <c r="N1373" s="54">
        <v>100</v>
      </c>
      <c r="O1373" s="54">
        <v>0</v>
      </c>
      <c r="P1373" s="54">
        <v>0</v>
      </c>
      <c r="Q1373" s="54">
        <v>100</v>
      </c>
      <c r="R1373" s="54">
        <v>0</v>
      </c>
      <c r="S1373" s="54">
        <v>0</v>
      </c>
      <c r="T1373" s="54">
        <v>0</v>
      </c>
      <c r="U1373" s="54">
        <v>100</v>
      </c>
      <c r="V1373" s="54">
        <v>100</v>
      </c>
      <c r="W1373" s="54">
        <v>100</v>
      </c>
    </row>
    <row r="1374" spans="1:23" outlineLevel="2" x14ac:dyDescent="0.2">
      <c r="A1374" s="21" t="s">
        <v>771</v>
      </c>
      <c r="B1374" s="21" t="s">
        <v>39</v>
      </c>
      <c r="C1374" s="21" t="s">
        <v>58</v>
      </c>
      <c r="D1374" s="21" t="s">
        <v>149</v>
      </c>
      <c r="E1374" s="21" t="s">
        <v>150</v>
      </c>
      <c r="F1374" s="21" t="s">
        <v>5</v>
      </c>
      <c r="G1374" s="21" t="s">
        <v>6</v>
      </c>
      <c r="H1374" s="21" t="s">
        <v>7</v>
      </c>
      <c r="I1374" s="21" t="s">
        <v>8</v>
      </c>
      <c r="J1374" s="21" t="s">
        <v>772</v>
      </c>
      <c r="K1374" s="21" t="s">
        <v>785</v>
      </c>
      <c r="L1374" s="21" t="s">
        <v>786</v>
      </c>
      <c r="M1374" s="21" t="s">
        <v>12</v>
      </c>
      <c r="N1374" s="54">
        <v>200</v>
      </c>
      <c r="O1374" s="54">
        <v>0</v>
      </c>
      <c r="P1374" s="54">
        <v>0</v>
      </c>
      <c r="Q1374" s="54">
        <v>200</v>
      </c>
      <c r="R1374" s="54">
        <v>0</v>
      </c>
      <c r="S1374" s="54">
        <v>200</v>
      </c>
      <c r="T1374" s="54">
        <v>52.2</v>
      </c>
      <c r="U1374" s="54">
        <v>0</v>
      </c>
      <c r="V1374" s="54">
        <v>147.80000000000001</v>
      </c>
      <c r="W1374" s="54">
        <v>0</v>
      </c>
    </row>
    <row r="1375" spans="1:23" outlineLevel="2" x14ac:dyDescent="0.2">
      <c r="A1375" s="21" t="s">
        <v>771</v>
      </c>
      <c r="B1375" s="21" t="s">
        <v>31</v>
      </c>
      <c r="C1375" s="21" t="s">
        <v>32</v>
      </c>
      <c r="D1375" s="21" t="s">
        <v>75</v>
      </c>
      <c r="E1375" s="21" t="s">
        <v>76</v>
      </c>
      <c r="F1375" s="21" t="s">
        <v>5</v>
      </c>
      <c r="G1375" s="21" t="s">
        <v>6</v>
      </c>
      <c r="H1375" s="21" t="s">
        <v>7</v>
      </c>
      <c r="I1375" s="21" t="s">
        <v>8</v>
      </c>
      <c r="J1375" s="21" t="s">
        <v>772</v>
      </c>
      <c r="K1375" s="21" t="s">
        <v>785</v>
      </c>
      <c r="L1375" s="21" t="s">
        <v>792</v>
      </c>
      <c r="M1375" s="21" t="s">
        <v>12</v>
      </c>
      <c r="N1375" s="54">
        <v>100</v>
      </c>
      <c r="O1375" s="54">
        <v>0</v>
      </c>
      <c r="P1375" s="54">
        <v>0</v>
      </c>
      <c r="Q1375" s="54">
        <v>100</v>
      </c>
      <c r="R1375" s="54">
        <v>0</v>
      </c>
      <c r="S1375" s="54">
        <v>12.21</v>
      </c>
      <c r="T1375" s="54">
        <v>10.5</v>
      </c>
      <c r="U1375" s="54">
        <v>87.79</v>
      </c>
      <c r="V1375" s="54">
        <v>89.5</v>
      </c>
      <c r="W1375" s="54">
        <v>87.79</v>
      </c>
    </row>
    <row r="1376" spans="1:23" outlineLevel="2" x14ac:dyDescent="0.2">
      <c r="A1376" s="21" t="s">
        <v>771</v>
      </c>
      <c r="B1376" s="21" t="s">
        <v>1</v>
      </c>
      <c r="C1376" s="21" t="s">
        <v>2</v>
      </c>
      <c r="D1376" s="21" t="s">
        <v>3</v>
      </c>
      <c r="E1376" s="21" t="s">
        <v>4</v>
      </c>
      <c r="F1376" s="21" t="s">
        <v>5</v>
      </c>
      <c r="G1376" s="21" t="s">
        <v>6</v>
      </c>
      <c r="H1376" s="21" t="s">
        <v>7</v>
      </c>
      <c r="I1376" s="21" t="s">
        <v>8</v>
      </c>
      <c r="J1376" s="21" t="s">
        <v>772</v>
      </c>
      <c r="K1376" s="21" t="s">
        <v>785</v>
      </c>
      <c r="L1376" s="21" t="s">
        <v>789</v>
      </c>
      <c r="M1376" s="21" t="s">
        <v>15</v>
      </c>
      <c r="N1376" s="54">
        <v>500</v>
      </c>
      <c r="O1376" s="54">
        <v>-170</v>
      </c>
      <c r="P1376" s="54">
        <v>0</v>
      </c>
      <c r="Q1376" s="54">
        <v>330</v>
      </c>
      <c r="R1376" s="54">
        <v>0</v>
      </c>
      <c r="S1376" s="54">
        <v>92.4</v>
      </c>
      <c r="T1376" s="54">
        <v>73.2</v>
      </c>
      <c r="U1376" s="54">
        <v>237.6</v>
      </c>
      <c r="V1376" s="54">
        <v>256.8</v>
      </c>
      <c r="W1376" s="54">
        <v>237.6</v>
      </c>
    </row>
    <row r="1377" spans="1:23" outlineLevel="2" x14ac:dyDescent="0.2">
      <c r="A1377" s="21" t="s">
        <v>771</v>
      </c>
      <c r="B1377" s="21" t="s">
        <v>39</v>
      </c>
      <c r="C1377" s="21" t="s">
        <v>66</v>
      </c>
      <c r="D1377" s="21" t="s">
        <v>67</v>
      </c>
      <c r="E1377" s="21" t="s">
        <v>68</v>
      </c>
      <c r="F1377" s="21" t="s">
        <v>5</v>
      </c>
      <c r="G1377" s="21" t="s">
        <v>6</v>
      </c>
      <c r="H1377" s="21" t="s">
        <v>7</v>
      </c>
      <c r="I1377" s="21" t="s">
        <v>8</v>
      </c>
      <c r="J1377" s="21" t="s">
        <v>772</v>
      </c>
      <c r="K1377" s="21" t="s">
        <v>785</v>
      </c>
      <c r="L1377" s="21" t="s">
        <v>790</v>
      </c>
      <c r="M1377" s="21" t="s">
        <v>12</v>
      </c>
      <c r="N1377" s="54">
        <v>20</v>
      </c>
      <c r="O1377" s="54">
        <v>0</v>
      </c>
      <c r="P1377" s="54">
        <v>0</v>
      </c>
      <c r="Q1377" s="54">
        <v>20</v>
      </c>
      <c r="R1377" s="54">
        <v>0</v>
      </c>
      <c r="S1377" s="54">
        <v>2.2000000000000002</v>
      </c>
      <c r="T1377" s="54">
        <v>2.19</v>
      </c>
      <c r="U1377" s="54">
        <v>17.8</v>
      </c>
      <c r="V1377" s="54">
        <v>17.809999999999999</v>
      </c>
      <c r="W1377" s="54">
        <v>17.8</v>
      </c>
    </row>
    <row r="1378" spans="1:23" outlineLevel="2" x14ac:dyDescent="0.2">
      <c r="A1378" s="21" t="s">
        <v>771</v>
      </c>
      <c r="B1378" s="21" t="s">
        <v>1</v>
      </c>
      <c r="C1378" s="21" t="s">
        <v>2</v>
      </c>
      <c r="D1378" s="21" t="s">
        <v>474</v>
      </c>
      <c r="E1378" s="21" t="s">
        <v>475</v>
      </c>
      <c r="F1378" s="21" t="s">
        <v>5</v>
      </c>
      <c r="G1378" s="21" t="s">
        <v>6</v>
      </c>
      <c r="H1378" s="21" t="s">
        <v>7</v>
      </c>
      <c r="I1378" s="21" t="s">
        <v>8</v>
      </c>
      <c r="J1378" s="21" t="s">
        <v>772</v>
      </c>
      <c r="K1378" s="21" t="s">
        <v>785</v>
      </c>
      <c r="L1378" s="21" t="s">
        <v>789</v>
      </c>
      <c r="M1378" s="21" t="s">
        <v>15</v>
      </c>
      <c r="N1378" s="54">
        <v>781922.17</v>
      </c>
      <c r="O1378" s="54">
        <v>0</v>
      </c>
      <c r="P1378" s="54">
        <v>0</v>
      </c>
      <c r="Q1378" s="54">
        <v>781922.17</v>
      </c>
      <c r="R1378" s="54">
        <v>0</v>
      </c>
      <c r="S1378" s="54">
        <v>397298.28</v>
      </c>
      <c r="T1378" s="54">
        <v>372116.36</v>
      </c>
      <c r="U1378" s="54">
        <v>384623.89</v>
      </c>
      <c r="V1378" s="54">
        <v>409805.81</v>
      </c>
      <c r="W1378" s="54">
        <v>384623.89</v>
      </c>
    </row>
    <row r="1379" spans="1:23" outlineLevel="2" x14ac:dyDescent="0.2">
      <c r="A1379" s="21" t="s">
        <v>771</v>
      </c>
      <c r="B1379" s="21" t="s">
        <v>39</v>
      </c>
      <c r="C1379" s="21" t="s">
        <v>40</v>
      </c>
      <c r="D1379" s="21" t="s">
        <v>77</v>
      </c>
      <c r="E1379" s="21" t="s">
        <v>78</v>
      </c>
      <c r="F1379" s="21" t="s">
        <v>5</v>
      </c>
      <c r="G1379" s="21" t="s">
        <v>6</v>
      </c>
      <c r="H1379" s="21" t="s">
        <v>7</v>
      </c>
      <c r="I1379" s="21" t="s">
        <v>8</v>
      </c>
      <c r="J1379" s="21" t="s">
        <v>772</v>
      </c>
      <c r="K1379" s="21" t="s">
        <v>785</v>
      </c>
      <c r="L1379" s="21" t="s">
        <v>791</v>
      </c>
      <c r="M1379" s="21" t="s">
        <v>12</v>
      </c>
      <c r="N1379" s="54">
        <v>0</v>
      </c>
      <c r="O1379" s="54">
        <v>500</v>
      </c>
      <c r="P1379" s="54">
        <v>0</v>
      </c>
      <c r="Q1379" s="54">
        <v>500</v>
      </c>
      <c r="R1379" s="54">
        <v>0</v>
      </c>
      <c r="S1379" s="54">
        <v>3.3</v>
      </c>
      <c r="T1379" s="54">
        <v>3.3</v>
      </c>
      <c r="U1379" s="54">
        <v>496.7</v>
      </c>
      <c r="V1379" s="54">
        <v>496.7</v>
      </c>
      <c r="W1379" s="54">
        <v>496.7</v>
      </c>
    </row>
    <row r="1380" spans="1:23" outlineLevel="2" x14ac:dyDescent="0.2">
      <c r="A1380" s="21" t="s">
        <v>771</v>
      </c>
      <c r="B1380" s="21" t="s">
        <v>1</v>
      </c>
      <c r="C1380" s="21" t="s">
        <v>2</v>
      </c>
      <c r="D1380" s="21" t="s">
        <v>589</v>
      </c>
      <c r="E1380" s="21" t="s">
        <v>590</v>
      </c>
      <c r="F1380" s="21" t="s">
        <v>5</v>
      </c>
      <c r="G1380" s="21" t="s">
        <v>6</v>
      </c>
      <c r="H1380" s="21" t="s">
        <v>7</v>
      </c>
      <c r="I1380" s="21" t="s">
        <v>8</v>
      </c>
      <c r="J1380" s="21" t="s">
        <v>772</v>
      </c>
      <c r="K1380" s="21" t="s">
        <v>793</v>
      </c>
      <c r="L1380" s="21" t="s">
        <v>795</v>
      </c>
      <c r="M1380" s="21" t="s">
        <v>15</v>
      </c>
      <c r="N1380" s="54">
        <v>10500</v>
      </c>
      <c r="O1380" s="54">
        <v>0</v>
      </c>
      <c r="P1380" s="54">
        <v>0</v>
      </c>
      <c r="Q1380" s="54">
        <v>10500</v>
      </c>
      <c r="R1380" s="54">
        <v>0</v>
      </c>
      <c r="S1380" s="54">
        <v>10000</v>
      </c>
      <c r="T1380" s="54">
        <v>7112.15</v>
      </c>
      <c r="U1380" s="54">
        <v>500</v>
      </c>
      <c r="V1380" s="54">
        <v>3387.85</v>
      </c>
      <c r="W1380" s="54">
        <v>500</v>
      </c>
    </row>
    <row r="1381" spans="1:23" outlineLevel="2" x14ac:dyDescent="0.2">
      <c r="A1381" s="21" t="s">
        <v>771</v>
      </c>
      <c r="B1381" s="21" t="s">
        <v>39</v>
      </c>
      <c r="C1381" s="21" t="s">
        <v>58</v>
      </c>
      <c r="D1381" s="21" t="s">
        <v>139</v>
      </c>
      <c r="E1381" s="21" t="s">
        <v>140</v>
      </c>
      <c r="F1381" s="21" t="s">
        <v>5</v>
      </c>
      <c r="G1381" s="21" t="s">
        <v>6</v>
      </c>
      <c r="H1381" s="21" t="s">
        <v>7</v>
      </c>
      <c r="I1381" s="21" t="s">
        <v>8</v>
      </c>
      <c r="J1381" s="21" t="s">
        <v>772</v>
      </c>
      <c r="K1381" s="21" t="s">
        <v>793</v>
      </c>
      <c r="L1381" s="21" t="s">
        <v>796</v>
      </c>
      <c r="M1381" s="21" t="s">
        <v>12</v>
      </c>
      <c r="N1381" s="54">
        <v>100</v>
      </c>
      <c r="O1381" s="54">
        <v>0</v>
      </c>
      <c r="P1381" s="54">
        <v>0</v>
      </c>
      <c r="Q1381" s="54">
        <v>100</v>
      </c>
      <c r="R1381" s="54">
        <v>0</v>
      </c>
      <c r="S1381" s="54">
        <v>0</v>
      </c>
      <c r="T1381" s="54">
        <v>0</v>
      </c>
      <c r="U1381" s="54">
        <v>100</v>
      </c>
      <c r="V1381" s="54">
        <v>100</v>
      </c>
      <c r="W1381" s="54">
        <v>100</v>
      </c>
    </row>
    <row r="1382" spans="1:23" outlineLevel="2" x14ac:dyDescent="0.2">
      <c r="A1382" s="21" t="s">
        <v>771</v>
      </c>
      <c r="B1382" s="21" t="s">
        <v>39</v>
      </c>
      <c r="C1382" s="21" t="s">
        <v>58</v>
      </c>
      <c r="D1382" s="21" t="s">
        <v>137</v>
      </c>
      <c r="E1382" s="21" t="s">
        <v>138</v>
      </c>
      <c r="F1382" s="21" t="s">
        <v>5</v>
      </c>
      <c r="G1382" s="21" t="s">
        <v>6</v>
      </c>
      <c r="H1382" s="21" t="s">
        <v>7</v>
      </c>
      <c r="I1382" s="21" t="s">
        <v>8</v>
      </c>
      <c r="J1382" s="21" t="s">
        <v>772</v>
      </c>
      <c r="K1382" s="21" t="s">
        <v>793</v>
      </c>
      <c r="L1382" s="21" t="s">
        <v>796</v>
      </c>
      <c r="M1382" s="21" t="s">
        <v>12</v>
      </c>
      <c r="N1382" s="54">
        <v>30</v>
      </c>
      <c r="O1382" s="54">
        <v>0</v>
      </c>
      <c r="P1382" s="54">
        <v>0</v>
      </c>
      <c r="Q1382" s="54">
        <v>30</v>
      </c>
      <c r="R1382" s="54">
        <v>0</v>
      </c>
      <c r="S1382" s="54">
        <v>0</v>
      </c>
      <c r="T1382" s="54">
        <v>0</v>
      </c>
      <c r="U1382" s="54">
        <v>30</v>
      </c>
      <c r="V1382" s="54">
        <v>30</v>
      </c>
      <c r="W1382" s="54">
        <v>30</v>
      </c>
    </row>
    <row r="1383" spans="1:23" outlineLevel="2" x14ac:dyDescent="0.2">
      <c r="A1383" s="21" t="s">
        <v>771</v>
      </c>
      <c r="B1383" s="21" t="s">
        <v>1</v>
      </c>
      <c r="C1383" s="21" t="s">
        <v>16</v>
      </c>
      <c r="D1383" s="21" t="s">
        <v>797</v>
      </c>
      <c r="E1383" s="21" t="s">
        <v>798</v>
      </c>
      <c r="F1383" s="21" t="s">
        <v>5</v>
      </c>
      <c r="G1383" s="21" t="s">
        <v>6</v>
      </c>
      <c r="H1383" s="21" t="s">
        <v>7</v>
      </c>
      <c r="I1383" s="21" t="s">
        <v>8</v>
      </c>
      <c r="J1383" s="21" t="s">
        <v>772</v>
      </c>
      <c r="K1383" s="21" t="s">
        <v>793</v>
      </c>
      <c r="L1383" s="21" t="s">
        <v>799</v>
      </c>
      <c r="M1383" s="21" t="s">
        <v>15</v>
      </c>
      <c r="N1383" s="54">
        <v>5000</v>
      </c>
      <c r="O1383" s="54">
        <v>0</v>
      </c>
      <c r="P1383" s="54">
        <v>0</v>
      </c>
      <c r="Q1383" s="54">
        <v>5000</v>
      </c>
      <c r="R1383" s="54">
        <v>0</v>
      </c>
      <c r="S1383" s="54">
        <v>0</v>
      </c>
      <c r="T1383" s="54">
        <v>0</v>
      </c>
      <c r="U1383" s="54">
        <v>5000</v>
      </c>
      <c r="V1383" s="54">
        <v>5000</v>
      </c>
      <c r="W1383" s="54">
        <v>5000</v>
      </c>
    </row>
    <row r="1384" spans="1:23" outlineLevel="2" x14ac:dyDescent="0.2">
      <c r="A1384" s="21" t="s">
        <v>771</v>
      </c>
      <c r="B1384" s="21" t="s">
        <v>1</v>
      </c>
      <c r="C1384" s="21" t="s">
        <v>2</v>
      </c>
      <c r="D1384" s="21" t="s">
        <v>410</v>
      </c>
      <c r="E1384" s="21" t="s">
        <v>411</v>
      </c>
      <c r="F1384" s="21" t="s">
        <v>5</v>
      </c>
      <c r="G1384" s="21" t="s">
        <v>6</v>
      </c>
      <c r="H1384" s="21" t="s">
        <v>7</v>
      </c>
      <c r="I1384" s="21" t="s">
        <v>8</v>
      </c>
      <c r="J1384" s="21" t="s">
        <v>772</v>
      </c>
      <c r="K1384" s="21" t="s">
        <v>793</v>
      </c>
      <c r="L1384" s="21" t="s">
        <v>795</v>
      </c>
      <c r="M1384" s="21" t="s">
        <v>15</v>
      </c>
      <c r="N1384" s="54">
        <v>3600</v>
      </c>
      <c r="O1384" s="54">
        <v>0</v>
      </c>
      <c r="P1384" s="54">
        <v>0</v>
      </c>
      <c r="Q1384" s="54">
        <v>3600</v>
      </c>
      <c r="R1384" s="54">
        <v>0</v>
      </c>
      <c r="S1384" s="54">
        <v>1000</v>
      </c>
      <c r="T1384" s="54">
        <v>184.95</v>
      </c>
      <c r="U1384" s="54">
        <v>2600</v>
      </c>
      <c r="V1384" s="54">
        <v>3415.05</v>
      </c>
      <c r="W1384" s="54">
        <v>2600</v>
      </c>
    </row>
    <row r="1385" spans="1:23" outlineLevel="2" x14ac:dyDescent="0.2">
      <c r="A1385" s="21" t="s">
        <v>771</v>
      </c>
      <c r="B1385" s="21" t="s">
        <v>39</v>
      </c>
      <c r="C1385" s="21" t="s">
        <v>70</v>
      </c>
      <c r="D1385" s="21" t="s">
        <v>89</v>
      </c>
      <c r="E1385" s="21" t="s">
        <v>90</v>
      </c>
      <c r="F1385" s="21" t="s">
        <v>5</v>
      </c>
      <c r="G1385" s="21" t="s">
        <v>6</v>
      </c>
      <c r="H1385" s="21" t="s">
        <v>7</v>
      </c>
      <c r="I1385" s="21" t="s">
        <v>8</v>
      </c>
      <c r="J1385" s="21" t="s">
        <v>772</v>
      </c>
      <c r="K1385" s="21" t="s">
        <v>793</v>
      </c>
      <c r="L1385" s="21" t="s">
        <v>801</v>
      </c>
      <c r="M1385" s="21" t="s">
        <v>12</v>
      </c>
      <c r="N1385" s="54">
        <v>390</v>
      </c>
      <c r="O1385" s="54">
        <v>0</v>
      </c>
      <c r="P1385" s="54">
        <v>0</v>
      </c>
      <c r="Q1385" s="54">
        <v>390</v>
      </c>
      <c r="R1385" s="54">
        <v>0</v>
      </c>
      <c r="S1385" s="54">
        <v>0</v>
      </c>
      <c r="T1385" s="54">
        <v>0</v>
      </c>
      <c r="U1385" s="54">
        <v>390</v>
      </c>
      <c r="V1385" s="54">
        <v>390</v>
      </c>
      <c r="W1385" s="54">
        <v>390</v>
      </c>
    </row>
    <row r="1386" spans="1:23" outlineLevel="2" x14ac:dyDescent="0.2">
      <c r="A1386" s="21" t="s">
        <v>771</v>
      </c>
      <c r="B1386" s="21" t="s">
        <v>1</v>
      </c>
      <c r="C1386" s="21" t="s">
        <v>2</v>
      </c>
      <c r="D1386" s="21" t="s">
        <v>474</v>
      </c>
      <c r="E1386" s="21" t="s">
        <v>475</v>
      </c>
      <c r="F1386" s="21" t="s">
        <v>5</v>
      </c>
      <c r="G1386" s="21" t="s">
        <v>6</v>
      </c>
      <c r="H1386" s="21" t="s">
        <v>7</v>
      </c>
      <c r="I1386" s="21" t="s">
        <v>8</v>
      </c>
      <c r="J1386" s="21" t="s">
        <v>772</v>
      </c>
      <c r="K1386" s="21" t="s">
        <v>793</v>
      </c>
      <c r="L1386" s="21" t="s">
        <v>795</v>
      </c>
      <c r="M1386" s="21" t="s">
        <v>15</v>
      </c>
      <c r="N1386" s="54">
        <v>6000</v>
      </c>
      <c r="O1386" s="54">
        <v>896</v>
      </c>
      <c r="P1386" s="54">
        <v>0</v>
      </c>
      <c r="Q1386" s="54">
        <v>6896</v>
      </c>
      <c r="R1386" s="54">
        <v>896</v>
      </c>
      <c r="S1386" s="54">
        <v>0</v>
      </c>
      <c r="T1386" s="54">
        <v>0</v>
      </c>
      <c r="U1386" s="54">
        <v>6896</v>
      </c>
      <c r="V1386" s="54">
        <v>6896</v>
      </c>
      <c r="W1386" s="54">
        <v>6000</v>
      </c>
    </row>
    <row r="1387" spans="1:23" outlineLevel="2" x14ac:dyDescent="0.2">
      <c r="A1387" s="21" t="s">
        <v>771</v>
      </c>
      <c r="B1387" s="21" t="s">
        <v>39</v>
      </c>
      <c r="C1387" s="21" t="s">
        <v>58</v>
      </c>
      <c r="D1387" s="21" t="s">
        <v>147</v>
      </c>
      <c r="E1387" s="21" t="s">
        <v>148</v>
      </c>
      <c r="F1387" s="21" t="s">
        <v>5</v>
      </c>
      <c r="G1387" s="21" t="s">
        <v>6</v>
      </c>
      <c r="H1387" s="21" t="s">
        <v>7</v>
      </c>
      <c r="I1387" s="21" t="s">
        <v>8</v>
      </c>
      <c r="J1387" s="21" t="s">
        <v>772</v>
      </c>
      <c r="K1387" s="21" t="s">
        <v>793</v>
      </c>
      <c r="L1387" s="21" t="s">
        <v>796</v>
      </c>
      <c r="M1387" s="21" t="s">
        <v>12</v>
      </c>
      <c r="N1387" s="54">
        <v>200</v>
      </c>
      <c r="O1387" s="54">
        <v>0</v>
      </c>
      <c r="P1387" s="54">
        <v>0</v>
      </c>
      <c r="Q1387" s="54">
        <v>200</v>
      </c>
      <c r="R1387" s="54">
        <v>0</v>
      </c>
      <c r="S1387" s="54">
        <v>0</v>
      </c>
      <c r="T1387" s="54">
        <v>0</v>
      </c>
      <c r="U1387" s="54">
        <v>200</v>
      </c>
      <c r="V1387" s="54">
        <v>200</v>
      </c>
      <c r="W1387" s="54">
        <v>200</v>
      </c>
    </row>
    <row r="1388" spans="1:23" outlineLevel="2" x14ac:dyDescent="0.2">
      <c r="A1388" s="21" t="s">
        <v>771</v>
      </c>
      <c r="B1388" s="21" t="s">
        <v>1</v>
      </c>
      <c r="C1388" s="21" t="s">
        <v>2</v>
      </c>
      <c r="D1388" s="21" t="s">
        <v>3</v>
      </c>
      <c r="E1388" s="21" t="s">
        <v>4</v>
      </c>
      <c r="F1388" s="21" t="s">
        <v>5</v>
      </c>
      <c r="G1388" s="21" t="s">
        <v>6</v>
      </c>
      <c r="H1388" s="21" t="s">
        <v>7</v>
      </c>
      <c r="I1388" s="21" t="s">
        <v>8</v>
      </c>
      <c r="J1388" s="21" t="s">
        <v>772</v>
      </c>
      <c r="K1388" s="21" t="s">
        <v>793</v>
      </c>
      <c r="L1388" s="21" t="s">
        <v>795</v>
      </c>
      <c r="M1388" s="21" t="s">
        <v>15</v>
      </c>
      <c r="N1388" s="54">
        <v>220</v>
      </c>
      <c r="O1388" s="54">
        <v>-120</v>
      </c>
      <c r="P1388" s="54">
        <v>0</v>
      </c>
      <c r="Q1388" s="54">
        <v>100</v>
      </c>
      <c r="R1388" s="54">
        <v>0</v>
      </c>
      <c r="S1388" s="54">
        <v>41.44</v>
      </c>
      <c r="T1388" s="54">
        <v>41.44</v>
      </c>
      <c r="U1388" s="54">
        <v>58.56</v>
      </c>
      <c r="V1388" s="54">
        <v>58.56</v>
      </c>
      <c r="W1388" s="54">
        <v>58.56</v>
      </c>
    </row>
    <row r="1389" spans="1:23" outlineLevel="2" x14ac:dyDescent="0.2">
      <c r="A1389" s="21" t="s">
        <v>771</v>
      </c>
      <c r="B1389" s="21" t="s">
        <v>39</v>
      </c>
      <c r="C1389" s="21" t="s">
        <v>58</v>
      </c>
      <c r="D1389" s="21" t="s">
        <v>149</v>
      </c>
      <c r="E1389" s="21" t="s">
        <v>150</v>
      </c>
      <c r="F1389" s="21" t="s">
        <v>5</v>
      </c>
      <c r="G1389" s="21" t="s">
        <v>6</v>
      </c>
      <c r="H1389" s="21" t="s">
        <v>7</v>
      </c>
      <c r="I1389" s="21" t="s">
        <v>8</v>
      </c>
      <c r="J1389" s="21" t="s">
        <v>772</v>
      </c>
      <c r="K1389" s="21" t="s">
        <v>793</v>
      </c>
      <c r="L1389" s="21" t="s">
        <v>796</v>
      </c>
      <c r="M1389" s="21" t="s">
        <v>12</v>
      </c>
      <c r="N1389" s="54">
        <v>100</v>
      </c>
      <c r="O1389" s="54">
        <v>0</v>
      </c>
      <c r="P1389" s="54">
        <v>0</v>
      </c>
      <c r="Q1389" s="54">
        <v>100</v>
      </c>
      <c r="R1389" s="54">
        <v>0</v>
      </c>
      <c r="S1389" s="54">
        <v>0</v>
      </c>
      <c r="T1389" s="54">
        <v>0</v>
      </c>
      <c r="U1389" s="54">
        <v>100</v>
      </c>
      <c r="V1389" s="54">
        <v>100</v>
      </c>
      <c r="W1389" s="54">
        <v>100</v>
      </c>
    </row>
    <row r="1390" spans="1:23" outlineLevel="2" x14ac:dyDescent="0.2">
      <c r="A1390" s="21" t="s">
        <v>771</v>
      </c>
      <c r="B1390" s="21" t="s">
        <v>53</v>
      </c>
      <c r="C1390" s="21" t="s">
        <v>54</v>
      </c>
      <c r="D1390" s="21" t="s">
        <v>55</v>
      </c>
      <c r="E1390" s="21" t="s">
        <v>56</v>
      </c>
      <c r="F1390" s="21" t="s">
        <v>5</v>
      </c>
      <c r="G1390" s="21" t="s">
        <v>6</v>
      </c>
      <c r="H1390" s="21" t="s">
        <v>7</v>
      </c>
      <c r="I1390" s="21" t="s">
        <v>8</v>
      </c>
      <c r="J1390" s="21" t="s">
        <v>772</v>
      </c>
      <c r="K1390" s="21" t="s">
        <v>793</v>
      </c>
      <c r="L1390" s="21" t="s">
        <v>800</v>
      </c>
      <c r="M1390" s="21" t="s">
        <v>12</v>
      </c>
      <c r="N1390" s="54">
        <v>4000</v>
      </c>
      <c r="O1390" s="54">
        <v>-4000</v>
      </c>
      <c r="P1390" s="54">
        <v>0</v>
      </c>
      <c r="Q1390" s="54">
        <v>0</v>
      </c>
      <c r="R1390" s="54">
        <v>0</v>
      </c>
      <c r="S1390" s="54">
        <v>0</v>
      </c>
      <c r="T1390" s="54">
        <v>0</v>
      </c>
      <c r="U1390" s="54">
        <v>0</v>
      </c>
      <c r="V1390" s="54">
        <v>0</v>
      </c>
      <c r="W1390" s="54">
        <v>0</v>
      </c>
    </row>
    <row r="1391" spans="1:23" outlineLevel="2" x14ac:dyDescent="0.2">
      <c r="A1391" s="21" t="s">
        <v>771</v>
      </c>
      <c r="B1391" s="21" t="s">
        <v>39</v>
      </c>
      <c r="C1391" s="21" t="s">
        <v>58</v>
      </c>
      <c r="D1391" s="21" t="s">
        <v>135</v>
      </c>
      <c r="E1391" s="21" t="s">
        <v>136</v>
      </c>
      <c r="F1391" s="21" t="s">
        <v>5</v>
      </c>
      <c r="G1391" s="21" t="s">
        <v>6</v>
      </c>
      <c r="H1391" s="21" t="s">
        <v>7</v>
      </c>
      <c r="I1391" s="21" t="s">
        <v>8</v>
      </c>
      <c r="J1391" s="21" t="s">
        <v>772</v>
      </c>
      <c r="K1391" s="21" t="s">
        <v>793</v>
      </c>
      <c r="L1391" s="21" t="s">
        <v>796</v>
      </c>
      <c r="M1391" s="21" t="s">
        <v>12</v>
      </c>
      <c r="N1391" s="54">
        <v>700</v>
      </c>
      <c r="O1391" s="54">
        <v>0</v>
      </c>
      <c r="P1391" s="54">
        <v>0</v>
      </c>
      <c r="Q1391" s="54">
        <v>700</v>
      </c>
      <c r="R1391" s="54">
        <v>0</v>
      </c>
      <c r="S1391" s="54">
        <v>0</v>
      </c>
      <c r="T1391" s="54">
        <v>0</v>
      </c>
      <c r="U1391" s="54">
        <v>700</v>
      </c>
      <c r="V1391" s="54">
        <v>700</v>
      </c>
      <c r="W1391" s="54">
        <v>700</v>
      </c>
    </row>
    <row r="1392" spans="1:23" outlineLevel="2" x14ac:dyDescent="0.2">
      <c r="A1392" s="21" t="s">
        <v>771</v>
      </c>
      <c r="B1392" s="21" t="s">
        <v>1</v>
      </c>
      <c r="C1392" s="21" t="s">
        <v>2</v>
      </c>
      <c r="D1392" s="21" t="s">
        <v>25</v>
      </c>
      <c r="E1392" s="21" t="s">
        <v>26</v>
      </c>
      <c r="F1392" s="21" t="s">
        <v>5</v>
      </c>
      <c r="G1392" s="21" t="s">
        <v>6</v>
      </c>
      <c r="H1392" s="21" t="s">
        <v>7</v>
      </c>
      <c r="I1392" s="21" t="s">
        <v>8</v>
      </c>
      <c r="J1392" s="21" t="s">
        <v>772</v>
      </c>
      <c r="K1392" s="21" t="s">
        <v>793</v>
      </c>
      <c r="L1392" s="21" t="s">
        <v>795</v>
      </c>
      <c r="M1392" s="21" t="s">
        <v>15</v>
      </c>
      <c r="N1392" s="54">
        <v>5000</v>
      </c>
      <c r="O1392" s="54">
        <v>0</v>
      </c>
      <c r="P1392" s="54">
        <v>0</v>
      </c>
      <c r="Q1392" s="54">
        <v>5000</v>
      </c>
      <c r="R1392" s="54">
        <v>0</v>
      </c>
      <c r="S1392" s="54">
        <v>0</v>
      </c>
      <c r="T1392" s="54">
        <v>0</v>
      </c>
      <c r="U1392" s="54">
        <v>5000</v>
      </c>
      <c r="V1392" s="54">
        <v>5000</v>
      </c>
      <c r="W1392" s="54">
        <v>5000</v>
      </c>
    </row>
    <row r="1393" spans="1:23" outlineLevel="2" x14ac:dyDescent="0.2">
      <c r="A1393" s="21" t="s">
        <v>771</v>
      </c>
      <c r="B1393" s="21" t="s">
        <v>39</v>
      </c>
      <c r="C1393" s="21" t="s">
        <v>40</v>
      </c>
      <c r="D1393" s="21" t="s">
        <v>77</v>
      </c>
      <c r="E1393" s="21" t="s">
        <v>78</v>
      </c>
      <c r="F1393" s="21" t="s">
        <v>5</v>
      </c>
      <c r="G1393" s="21" t="s">
        <v>6</v>
      </c>
      <c r="H1393" s="21" t="s">
        <v>7</v>
      </c>
      <c r="I1393" s="21" t="s">
        <v>8</v>
      </c>
      <c r="J1393" s="21" t="s">
        <v>772</v>
      </c>
      <c r="K1393" s="21" t="s">
        <v>793</v>
      </c>
      <c r="L1393" s="21" t="s">
        <v>794</v>
      </c>
      <c r="M1393" s="21" t="s">
        <v>12</v>
      </c>
      <c r="N1393" s="54">
        <v>0</v>
      </c>
      <c r="O1393" s="54">
        <v>6000</v>
      </c>
      <c r="P1393" s="54">
        <v>0</v>
      </c>
      <c r="Q1393" s="54">
        <v>6000</v>
      </c>
      <c r="R1393" s="54">
        <v>4425.97</v>
      </c>
      <c r="S1393" s="54">
        <v>1574.03</v>
      </c>
      <c r="T1393" s="54">
        <v>0</v>
      </c>
      <c r="U1393" s="54">
        <v>4425.97</v>
      </c>
      <c r="V1393" s="54">
        <v>6000</v>
      </c>
      <c r="W1393" s="54">
        <v>0</v>
      </c>
    </row>
    <row r="1394" spans="1:23" outlineLevel="2" x14ac:dyDescent="0.2">
      <c r="A1394" s="21" t="s">
        <v>771</v>
      </c>
      <c r="B1394" s="21" t="s">
        <v>1</v>
      </c>
      <c r="C1394" s="21" t="s">
        <v>2</v>
      </c>
      <c r="D1394" s="21" t="s">
        <v>25</v>
      </c>
      <c r="E1394" s="21" t="s">
        <v>26</v>
      </c>
      <c r="F1394" s="21" t="s">
        <v>5</v>
      </c>
      <c r="G1394" s="21" t="s">
        <v>6</v>
      </c>
      <c r="H1394" s="21" t="s">
        <v>7</v>
      </c>
      <c r="I1394" s="21" t="s">
        <v>8</v>
      </c>
      <c r="J1394" s="21" t="s">
        <v>772</v>
      </c>
      <c r="K1394" s="21" t="s">
        <v>802</v>
      </c>
      <c r="L1394" s="21" t="s">
        <v>803</v>
      </c>
      <c r="M1394" s="21" t="s">
        <v>15</v>
      </c>
      <c r="N1394" s="54">
        <v>50000</v>
      </c>
      <c r="O1394" s="54">
        <v>0</v>
      </c>
      <c r="P1394" s="54">
        <v>0</v>
      </c>
      <c r="Q1394" s="54">
        <v>50000</v>
      </c>
      <c r="R1394" s="54">
        <v>0</v>
      </c>
      <c r="S1394" s="54">
        <v>0</v>
      </c>
      <c r="T1394" s="54">
        <v>0</v>
      </c>
      <c r="U1394" s="54">
        <v>50000</v>
      </c>
      <c r="V1394" s="54">
        <v>50000</v>
      </c>
      <c r="W1394" s="54">
        <v>50000</v>
      </c>
    </row>
    <row r="1395" spans="1:23" outlineLevel="2" x14ac:dyDescent="0.2">
      <c r="A1395" s="21" t="s">
        <v>771</v>
      </c>
      <c r="B1395" s="21" t="s">
        <v>1</v>
      </c>
      <c r="C1395" s="21" t="s">
        <v>2</v>
      </c>
      <c r="D1395" s="21" t="s">
        <v>474</v>
      </c>
      <c r="E1395" s="21" t="s">
        <v>475</v>
      </c>
      <c r="F1395" s="21" t="s">
        <v>5</v>
      </c>
      <c r="G1395" s="21" t="s">
        <v>6</v>
      </c>
      <c r="H1395" s="21" t="s">
        <v>7</v>
      </c>
      <c r="I1395" s="21" t="s">
        <v>8</v>
      </c>
      <c r="J1395" s="21" t="s">
        <v>772</v>
      </c>
      <c r="K1395" s="21" t="s">
        <v>804</v>
      </c>
      <c r="L1395" s="21" t="s">
        <v>805</v>
      </c>
      <c r="M1395" s="21" t="s">
        <v>15</v>
      </c>
      <c r="N1395" s="54">
        <v>4150000</v>
      </c>
      <c r="O1395" s="54">
        <v>-107716.9</v>
      </c>
      <c r="P1395" s="54">
        <v>0</v>
      </c>
      <c r="Q1395" s="54">
        <v>4042283.1</v>
      </c>
      <c r="R1395" s="54">
        <v>0</v>
      </c>
      <c r="S1395" s="54">
        <v>1642283.1</v>
      </c>
      <c r="T1395" s="54">
        <v>643920.1</v>
      </c>
      <c r="U1395" s="54">
        <v>2400000</v>
      </c>
      <c r="V1395" s="54">
        <v>3398363</v>
      </c>
      <c r="W1395" s="54">
        <v>2400000</v>
      </c>
    </row>
    <row r="1396" spans="1:23" outlineLevel="2" x14ac:dyDescent="0.2">
      <c r="A1396" s="21" t="s">
        <v>806</v>
      </c>
      <c r="B1396" s="21" t="s">
        <v>1</v>
      </c>
      <c r="C1396" s="21" t="s">
        <v>2</v>
      </c>
      <c r="D1396" s="21" t="s">
        <v>474</v>
      </c>
      <c r="E1396" s="21" t="s">
        <v>475</v>
      </c>
      <c r="F1396" s="21" t="s">
        <v>5</v>
      </c>
      <c r="G1396" s="21" t="s">
        <v>6</v>
      </c>
      <c r="H1396" s="21" t="s">
        <v>7</v>
      </c>
      <c r="I1396" s="21" t="s">
        <v>8</v>
      </c>
      <c r="J1396" s="21" t="s">
        <v>807</v>
      </c>
      <c r="K1396" s="21" t="s">
        <v>808</v>
      </c>
      <c r="L1396" s="21" t="s">
        <v>809</v>
      </c>
      <c r="M1396" s="21" t="s">
        <v>15</v>
      </c>
      <c r="N1396" s="54">
        <v>0</v>
      </c>
      <c r="O1396" s="54">
        <v>4300000</v>
      </c>
      <c r="P1396" s="54">
        <v>0</v>
      </c>
      <c r="Q1396" s="54">
        <v>4300000</v>
      </c>
      <c r="R1396" s="54">
        <v>0</v>
      </c>
      <c r="S1396" s="54">
        <v>4300000</v>
      </c>
      <c r="T1396" s="54">
        <v>2725124.91</v>
      </c>
      <c r="U1396" s="54">
        <v>0</v>
      </c>
      <c r="V1396" s="54">
        <v>1574875.09</v>
      </c>
      <c r="W1396" s="54">
        <v>0</v>
      </c>
    </row>
    <row r="1397" spans="1:23" outlineLevel="2" x14ac:dyDescent="0.2">
      <c r="A1397" s="21" t="s">
        <v>806</v>
      </c>
      <c r="B1397" s="21" t="s">
        <v>1</v>
      </c>
      <c r="C1397" s="21" t="s">
        <v>2</v>
      </c>
      <c r="D1397" s="21" t="s">
        <v>474</v>
      </c>
      <c r="E1397" s="21" t="s">
        <v>475</v>
      </c>
      <c r="F1397" s="21" t="s">
        <v>5</v>
      </c>
      <c r="G1397" s="21" t="s">
        <v>6</v>
      </c>
      <c r="H1397" s="21" t="s">
        <v>7</v>
      </c>
      <c r="I1397" s="21" t="s">
        <v>8</v>
      </c>
      <c r="J1397" s="21" t="s">
        <v>807</v>
      </c>
      <c r="K1397" s="21" t="s">
        <v>810</v>
      </c>
      <c r="L1397" s="21" t="s">
        <v>811</v>
      </c>
      <c r="M1397" s="21" t="s">
        <v>15</v>
      </c>
      <c r="N1397" s="54">
        <v>0</v>
      </c>
      <c r="O1397" s="54">
        <v>1680000</v>
      </c>
      <c r="P1397" s="54">
        <v>0</v>
      </c>
      <c r="Q1397" s="54">
        <v>1680000</v>
      </c>
      <c r="R1397" s="54">
        <v>0</v>
      </c>
      <c r="S1397" s="54">
        <v>1680000</v>
      </c>
      <c r="T1397" s="54">
        <v>1001420.9</v>
      </c>
      <c r="U1397" s="54">
        <v>0</v>
      </c>
      <c r="V1397" s="54">
        <v>678579.1</v>
      </c>
      <c r="W1397" s="54">
        <v>0</v>
      </c>
    </row>
    <row r="1398" spans="1:23" outlineLevel="2" x14ac:dyDescent="0.2">
      <c r="A1398" s="21" t="s">
        <v>806</v>
      </c>
      <c r="B1398" s="21" t="s">
        <v>1</v>
      </c>
      <c r="C1398" s="21" t="s">
        <v>2</v>
      </c>
      <c r="D1398" s="21" t="s">
        <v>474</v>
      </c>
      <c r="E1398" s="21" t="s">
        <v>475</v>
      </c>
      <c r="F1398" s="21" t="s">
        <v>5</v>
      </c>
      <c r="G1398" s="21" t="s">
        <v>6</v>
      </c>
      <c r="H1398" s="21" t="s">
        <v>7</v>
      </c>
      <c r="I1398" s="21" t="s">
        <v>8</v>
      </c>
      <c r="J1398" s="21" t="s">
        <v>807</v>
      </c>
      <c r="K1398" s="21" t="s">
        <v>812</v>
      </c>
      <c r="L1398" s="21" t="s">
        <v>813</v>
      </c>
      <c r="M1398" s="21" t="s">
        <v>15</v>
      </c>
      <c r="N1398" s="54">
        <v>1680000</v>
      </c>
      <c r="O1398" s="54">
        <v>0</v>
      </c>
      <c r="P1398" s="54">
        <v>0</v>
      </c>
      <c r="Q1398" s="54">
        <v>1680000</v>
      </c>
      <c r="R1398" s="54">
        <v>0</v>
      </c>
      <c r="S1398" s="54">
        <v>460771.97</v>
      </c>
      <c r="T1398" s="54">
        <v>6889</v>
      </c>
      <c r="U1398" s="54">
        <v>1219228.03</v>
      </c>
      <c r="V1398" s="54">
        <v>1673111</v>
      </c>
      <c r="W1398" s="54">
        <v>1219228.03</v>
      </c>
    </row>
    <row r="1399" spans="1:23" outlineLevel="2" x14ac:dyDescent="0.2">
      <c r="A1399" s="21" t="s">
        <v>806</v>
      </c>
      <c r="B1399" s="21" t="s">
        <v>1</v>
      </c>
      <c r="C1399" s="21" t="s">
        <v>2</v>
      </c>
      <c r="D1399" s="21" t="s">
        <v>474</v>
      </c>
      <c r="E1399" s="21" t="s">
        <v>475</v>
      </c>
      <c r="F1399" s="21" t="s">
        <v>5</v>
      </c>
      <c r="G1399" s="21" t="s">
        <v>6</v>
      </c>
      <c r="H1399" s="21" t="s">
        <v>7</v>
      </c>
      <c r="I1399" s="21" t="s">
        <v>8</v>
      </c>
      <c r="J1399" s="21" t="s">
        <v>807</v>
      </c>
      <c r="K1399" s="21" t="s">
        <v>814</v>
      </c>
      <c r="L1399" s="21" t="s">
        <v>815</v>
      </c>
      <c r="M1399" s="21" t="s">
        <v>15</v>
      </c>
      <c r="N1399" s="54">
        <v>6350000</v>
      </c>
      <c r="O1399" s="54">
        <v>-5980000</v>
      </c>
      <c r="P1399" s="54">
        <v>0</v>
      </c>
      <c r="Q1399" s="54">
        <v>370000</v>
      </c>
      <c r="R1399" s="54">
        <v>0</v>
      </c>
      <c r="S1399" s="54">
        <v>0</v>
      </c>
      <c r="T1399" s="54">
        <v>0</v>
      </c>
      <c r="U1399" s="54">
        <v>370000</v>
      </c>
      <c r="V1399" s="54">
        <v>370000</v>
      </c>
      <c r="W1399" s="54">
        <v>370000</v>
      </c>
    </row>
    <row r="1400" spans="1:23" outlineLevel="2" x14ac:dyDescent="0.2">
      <c r="A1400" s="21" t="s">
        <v>806</v>
      </c>
      <c r="B1400" s="21" t="s">
        <v>1</v>
      </c>
      <c r="C1400" s="21" t="s">
        <v>2</v>
      </c>
      <c r="D1400" s="21" t="s">
        <v>25</v>
      </c>
      <c r="E1400" s="21" t="s">
        <v>26</v>
      </c>
      <c r="F1400" s="21" t="s">
        <v>5</v>
      </c>
      <c r="G1400" s="21" t="s">
        <v>6</v>
      </c>
      <c r="H1400" s="21" t="s">
        <v>7</v>
      </c>
      <c r="I1400" s="21" t="s">
        <v>8</v>
      </c>
      <c r="J1400" s="21" t="s">
        <v>807</v>
      </c>
      <c r="K1400" s="21" t="s">
        <v>816</v>
      </c>
      <c r="L1400" s="21" t="s">
        <v>817</v>
      </c>
      <c r="M1400" s="21" t="s">
        <v>15</v>
      </c>
      <c r="N1400" s="54">
        <v>3115000</v>
      </c>
      <c r="O1400" s="54">
        <v>0</v>
      </c>
      <c r="P1400" s="54">
        <v>0</v>
      </c>
      <c r="Q1400" s="54">
        <v>3115000</v>
      </c>
      <c r="R1400" s="54">
        <v>0</v>
      </c>
      <c r="S1400" s="54">
        <v>1735272.71</v>
      </c>
      <c r="T1400" s="54">
        <v>1735272.71</v>
      </c>
      <c r="U1400" s="54">
        <v>1379727.29</v>
      </c>
      <c r="V1400" s="54">
        <v>1379727.29</v>
      </c>
      <c r="W1400" s="54">
        <v>1379727.29</v>
      </c>
    </row>
    <row r="1401" spans="1:23" outlineLevel="2" x14ac:dyDescent="0.2">
      <c r="A1401" s="21" t="s">
        <v>806</v>
      </c>
      <c r="B1401" s="21" t="s">
        <v>1</v>
      </c>
      <c r="C1401" s="21" t="s">
        <v>16</v>
      </c>
      <c r="D1401" s="21" t="s">
        <v>818</v>
      </c>
      <c r="E1401" s="21" t="s">
        <v>819</v>
      </c>
      <c r="F1401" s="21" t="s">
        <v>820</v>
      </c>
      <c r="G1401" s="21" t="s">
        <v>821</v>
      </c>
      <c r="H1401" s="21" t="s">
        <v>822</v>
      </c>
      <c r="I1401" s="21" t="s">
        <v>823</v>
      </c>
      <c r="J1401" s="21" t="s">
        <v>807</v>
      </c>
      <c r="K1401" s="21" t="s">
        <v>810</v>
      </c>
      <c r="L1401" s="21" t="s">
        <v>824</v>
      </c>
      <c r="M1401" s="21" t="s">
        <v>15</v>
      </c>
      <c r="N1401" s="54">
        <v>0</v>
      </c>
      <c r="O1401" s="54">
        <v>1413250.73</v>
      </c>
      <c r="P1401" s="54">
        <v>0</v>
      </c>
      <c r="Q1401" s="54">
        <v>1413250.73</v>
      </c>
      <c r="R1401" s="54">
        <v>0</v>
      </c>
      <c r="S1401" s="54">
        <v>1233686.95</v>
      </c>
      <c r="T1401" s="54">
        <v>1057999.76</v>
      </c>
      <c r="U1401" s="54">
        <v>179563.78</v>
      </c>
      <c r="V1401" s="54">
        <v>355250.97</v>
      </c>
      <c r="W1401" s="54">
        <v>179563.78</v>
      </c>
    </row>
    <row r="1402" spans="1:23" outlineLevel="2" x14ac:dyDescent="0.2">
      <c r="A1402" s="21" t="s">
        <v>806</v>
      </c>
      <c r="B1402" s="21" t="s">
        <v>1</v>
      </c>
      <c r="C1402" s="21" t="s">
        <v>16</v>
      </c>
      <c r="D1402" s="21" t="s">
        <v>818</v>
      </c>
      <c r="E1402" s="21" t="s">
        <v>819</v>
      </c>
      <c r="F1402" s="21" t="s">
        <v>820</v>
      </c>
      <c r="G1402" s="21" t="s">
        <v>821</v>
      </c>
      <c r="H1402" s="21" t="s">
        <v>822</v>
      </c>
      <c r="I1402" s="21" t="s">
        <v>823</v>
      </c>
      <c r="J1402" s="21" t="s">
        <v>807</v>
      </c>
      <c r="K1402" s="21" t="s">
        <v>812</v>
      </c>
      <c r="L1402" s="21" t="s">
        <v>825</v>
      </c>
      <c r="M1402" s="21" t="s">
        <v>15</v>
      </c>
      <c r="N1402" s="54">
        <v>1413250.73</v>
      </c>
      <c r="O1402" s="54">
        <v>-1413250.73</v>
      </c>
      <c r="P1402" s="54">
        <v>0</v>
      </c>
      <c r="Q1402" s="54">
        <v>0</v>
      </c>
      <c r="R1402" s="54">
        <v>0</v>
      </c>
      <c r="S1402" s="54">
        <v>0</v>
      </c>
      <c r="T1402" s="54">
        <v>0</v>
      </c>
      <c r="U1402" s="54">
        <v>0</v>
      </c>
      <c r="V1402" s="54">
        <v>0</v>
      </c>
      <c r="W1402" s="54">
        <v>0</v>
      </c>
    </row>
    <row r="1403" spans="1:23" outlineLevel="2" x14ac:dyDescent="0.2">
      <c r="A1403" s="21" t="s">
        <v>806</v>
      </c>
      <c r="B1403" s="21" t="s">
        <v>53</v>
      </c>
      <c r="C1403" s="21" t="s">
        <v>85</v>
      </c>
      <c r="D1403" s="21" t="s">
        <v>831</v>
      </c>
      <c r="E1403" s="21" t="s">
        <v>832</v>
      </c>
      <c r="F1403" s="21" t="s">
        <v>820</v>
      </c>
      <c r="G1403" s="21" t="s">
        <v>821</v>
      </c>
      <c r="H1403" s="21" t="s">
        <v>833</v>
      </c>
      <c r="I1403" s="21" t="s">
        <v>834</v>
      </c>
      <c r="J1403" s="21" t="s">
        <v>807</v>
      </c>
      <c r="K1403" s="21" t="s">
        <v>812</v>
      </c>
      <c r="L1403" s="21" t="s">
        <v>835</v>
      </c>
      <c r="M1403" s="21" t="s">
        <v>15</v>
      </c>
      <c r="N1403" s="54">
        <v>0</v>
      </c>
      <c r="O1403" s="54">
        <v>279554.28999999998</v>
      </c>
      <c r="P1403" s="54">
        <v>0</v>
      </c>
      <c r="Q1403" s="54">
        <v>279554.28999999998</v>
      </c>
      <c r="R1403" s="54">
        <v>0</v>
      </c>
      <c r="S1403" s="54">
        <v>279554.28999999998</v>
      </c>
      <c r="T1403" s="54">
        <v>279554.28999999998</v>
      </c>
      <c r="U1403" s="54">
        <v>0</v>
      </c>
      <c r="V1403" s="54">
        <v>0</v>
      </c>
      <c r="W1403" s="54">
        <v>0</v>
      </c>
    </row>
    <row r="1404" spans="1:23" outlineLevel="2" x14ac:dyDescent="0.2">
      <c r="A1404" s="21" t="s">
        <v>836</v>
      </c>
      <c r="B1404" s="21" t="s">
        <v>39</v>
      </c>
      <c r="C1404" s="21" t="s">
        <v>58</v>
      </c>
      <c r="D1404" s="21" t="s">
        <v>145</v>
      </c>
      <c r="E1404" s="21" t="s">
        <v>146</v>
      </c>
      <c r="F1404" s="21" t="s">
        <v>837</v>
      </c>
      <c r="G1404" s="21" t="s">
        <v>838</v>
      </c>
      <c r="H1404" s="21" t="s">
        <v>839</v>
      </c>
      <c r="I1404" s="21" t="s">
        <v>840</v>
      </c>
      <c r="J1404" s="21" t="s">
        <v>841</v>
      </c>
      <c r="K1404" s="21" t="s">
        <v>842</v>
      </c>
      <c r="L1404" s="21" t="s">
        <v>843</v>
      </c>
      <c r="M1404" s="21" t="s">
        <v>15</v>
      </c>
      <c r="N1404" s="54">
        <v>817</v>
      </c>
      <c r="O1404" s="54">
        <v>0</v>
      </c>
      <c r="P1404" s="54">
        <v>0</v>
      </c>
      <c r="Q1404" s="54">
        <v>817</v>
      </c>
      <c r="R1404" s="54">
        <v>817</v>
      </c>
      <c r="S1404" s="54">
        <v>0</v>
      </c>
      <c r="T1404" s="54">
        <v>0</v>
      </c>
      <c r="U1404" s="54">
        <v>817</v>
      </c>
      <c r="V1404" s="54">
        <v>817</v>
      </c>
      <c r="W1404" s="54">
        <v>0</v>
      </c>
    </row>
    <row r="1405" spans="1:23" outlineLevel="2" x14ac:dyDescent="0.2">
      <c r="A1405" s="21" t="s">
        <v>836</v>
      </c>
      <c r="B1405" s="21" t="s">
        <v>39</v>
      </c>
      <c r="C1405" s="21" t="s">
        <v>58</v>
      </c>
      <c r="D1405" s="21" t="s">
        <v>139</v>
      </c>
      <c r="E1405" s="21" t="s">
        <v>140</v>
      </c>
      <c r="F1405" s="21" t="s">
        <v>837</v>
      </c>
      <c r="G1405" s="21" t="s">
        <v>838</v>
      </c>
      <c r="H1405" s="21" t="s">
        <v>839</v>
      </c>
      <c r="I1405" s="21" t="s">
        <v>840</v>
      </c>
      <c r="J1405" s="21" t="s">
        <v>841</v>
      </c>
      <c r="K1405" s="21" t="s">
        <v>842</v>
      </c>
      <c r="L1405" s="21" t="s">
        <v>843</v>
      </c>
      <c r="M1405" s="21" t="s">
        <v>15</v>
      </c>
      <c r="N1405" s="54">
        <v>3560</v>
      </c>
      <c r="O1405" s="54">
        <v>0</v>
      </c>
      <c r="P1405" s="54">
        <v>0</v>
      </c>
      <c r="Q1405" s="54">
        <v>3560</v>
      </c>
      <c r="R1405" s="54">
        <v>3560</v>
      </c>
      <c r="S1405" s="54">
        <v>0</v>
      </c>
      <c r="T1405" s="54">
        <v>0</v>
      </c>
      <c r="U1405" s="54">
        <v>3560</v>
      </c>
      <c r="V1405" s="54">
        <v>3560</v>
      </c>
      <c r="W1405" s="54">
        <v>0</v>
      </c>
    </row>
    <row r="1406" spans="1:23" outlineLevel="2" x14ac:dyDescent="0.2">
      <c r="A1406" s="21" t="s">
        <v>836</v>
      </c>
      <c r="B1406" s="21" t="s">
        <v>39</v>
      </c>
      <c r="C1406" s="21" t="s">
        <v>58</v>
      </c>
      <c r="D1406" s="21" t="s">
        <v>137</v>
      </c>
      <c r="E1406" s="21" t="s">
        <v>138</v>
      </c>
      <c r="F1406" s="21" t="s">
        <v>837</v>
      </c>
      <c r="G1406" s="21" t="s">
        <v>838</v>
      </c>
      <c r="H1406" s="21" t="s">
        <v>839</v>
      </c>
      <c r="I1406" s="21" t="s">
        <v>840</v>
      </c>
      <c r="J1406" s="21" t="s">
        <v>841</v>
      </c>
      <c r="K1406" s="21" t="s">
        <v>842</v>
      </c>
      <c r="L1406" s="21" t="s">
        <v>843</v>
      </c>
      <c r="M1406" s="21" t="s">
        <v>15</v>
      </c>
      <c r="N1406" s="54">
        <v>1200</v>
      </c>
      <c r="O1406" s="54">
        <v>0</v>
      </c>
      <c r="P1406" s="54">
        <v>0</v>
      </c>
      <c r="Q1406" s="54">
        <v>1200</v>
      </c>
      <c r="R1406" s="54">
        <v>1200</v>
      </c>
      <c r="S1406" s="54">
        <v>0</v>
      </c>
      <c r="T1406" s="54">
        <v>0</v>
      </c>
      <c r="U1406" s="54">
        <v>1200</v>
      </c>
      <c r="V1406" s="54">
        <v>1200</v>
      </c>
      <c r="W1406" s="54">
        <v>0</v>
      </c>
    </row>
    <row r="1407" spans="1:23" outlineLevel="2" x14ac:dyDescent="0.2">
      <c r="A1407" s="21" t="s">
        <v>836</v>
      </c>
      <c r="B1407" s="21" t="s">
        <v>39</v>
      </c>
      <c r="C1407" s="21" t="s">
        <v>58</v>
      </c>
      <c r="D1407" s="21" t="s">
        <v>59</v>
      </c>
      <c r="E1407" s="21" t="s">
        <v>60</v>
      </c>
      <c r="F1407" s="21" t="s">
        <v>837</v>
      </c>
      <c r="G1407" s="21" t="s">
        <v>838</v>
      </c>
      <c r="H1407" s="21" t="s">
        <v>839</v>
      </c>
      <c r="I1407" s="21" t="s">
        <v>840</v>
      </c>
      <c r="J1407" s="21" t="s">
        <v>841</v>
      </c>
      <c r="K1407" s="21" t="s">
        <v>842</v>
      </c>
      <c r="L1407" s="21" t="s">
        <v>843</v>
      </c>
      <c r="M1407" s="21" t="s">
        <v>15</v>
      </c>
      <c r="N1407" s="54">
        <v>613</v>
      </c>
      <c r="O1407" s="54">
        <v>0</v>
      </c>
      <c r="P1407" s="54">
        <v>0</v>
      </c>
      <c r="Q1407" s="54">
        <v>613</v>
      </c>
      <c r="R1407" s="54">
        <v>613</v>
      </c>
      <c r="S1407" s="54">
        <v>0</v>
      </c>
      <c r="T1407" s="54">
        <v>0</v>
      </c>
      <c r="U1407" s="54">
        <v>613</v>
      </c>
      <c r="V1407" s="54">
        <v>613</v>
      </c>
      <c r="W1407" s="54">
        <v>0</v>
      </c>
    </row>
    <row r="1408" spans="1:23" outlineLevel="2" x14ac:dyDescent="0.2">
      <c r="A1408" s="21" t="s">
        <v>836</v>
      </c>
      <c r="B1408" s="21" t="s">
        <v>39</v>
      </c>
      <c r="C1408" s="21" t="s">
        <v>58</v>
      </c>
      <c r="D1408" s="21" t="s">
        <v>137</v>
      </c>
      <c r="E1408" s="21" t="s">
        <v>138</v>
      </c>
      <c r="F1408" s="21" t="s">
        <v>837</v>
      </c>
      <c r="G1408" s="21" t="s">
        <v>838</v>
      </c>
      <c r="H1408" s="21" t="s">
        <v>839</v>
      </c>
      <c r="I1408" s="21" t="s">
        <v>840</v>
      </c>
      <c r="J1408" s="21" t="s">
        <v>841</v>
      </c>
      <c r="K1408" s="21" t="s">
        <v>844</v>
      </c>
      <c r="L1408" s="21" t="s">
        <v>845</v>
      </c>
      <c r="M1408" s="21" t="s">
        <v>15</v>
      </c>
      <c r="N1408" s="54">
        <v>405.82</v>
      </c>
      <c r="O1408" s="54">
        <v>0</v>
      </c>
      <c r="P1408" s="54">
        <v>0</v>
      </c>
      <c r="Q1408" s="54">
        <v>405.82</v>
      </c>
      <c r="R1408" s="54">
        <v>0</v>
      </c>
      <c r="S1408" s="54">
        <v>400</v>
      </c>
      <c r="T1408" s="54">
        <v>400</v>
      </c>
      <c r="U1408" s="54">
        <v>5.82</v>
      </c>
      <c r="V1408" s="54">
        <v>5.82</v>
      </c>
      <c r="W1408" s="54">
        <v>5.82</v>
      </c>
    </row>
    <row r="1409" spans="1:23" outlineLevel="2" x14ac:dyDescent="0.2">
      <c r="A1409" s="21" t="s">
        <v>836</v>
      </c>
      <c r="B1409" s="21" t="s">
        <v>39</v>
      </c>
      <c r="C1409" s="21" t="s">
        <v>58</v>
      </c>
      <c r="D1409" s="21" t="s">
        <v>145</v>
      </c>
      <c r="E1409" s="21" t="s">
        <v>146</v>
      </c>
      <c r="F1409" s="21" t="s">
        <v>837</v>
      </c>
      <c r="G1409" s="21" t="s">
        <v>838</v>
      </c>
      <c r="H1409" s="21" t="s">
        <v>839</v>
      </c>
      <c r="I1409" s="21" t="s">
        <v>840</v>
      </c>
      <c r="J1409" s="21" t="s">
        <v>841</v>
      </c>
      <c r="K1409" s="21" t="s">
        <v>844</v>
      </c>
      <c r="L1409" s="21" t="s">
        <v>845</v>
      </c>
      <c r="M1409" s="21" t="s">
        <v>15</v>
      </c>
      <c r="N1409" s="54">
        <v>405.82</v>
      </c>
      <c r="O1409" s="54">
        <v>0</v>
      </c>
      <c r="P1409" s="54">
        <v>0</v>
      </c>
      <c r="Q1409" s="54">
        <v>405.82</v>
      </c>
      <c r="R1409" s="54">
        <v>400</v>
      </c>
      <c r="S1409" s="54">
        <v>0</v>
      </c>
      <c r="T1409" s="54">
        <v>0</v>
      </c>
      <c r="U1409" s="54">
        <v>405.82</v>
      </c>
      <c r="V1409" s="54">
        <v>405.82</v>
      </c>
      <c r="W1409" s="54">
        <v>5.82</v>
      </c>
    </row>
    <row r="1410" spans="1:23" outlineLevel="2" x14ac:dyDescent="0.2">
      <c r="A1410" s="21" t="s">
        <v>836</v>
      </c>
      <c r="B1410" s="21" t="s">
        <v>39</v>
      </c>
      <c r="C1410" s="21" t="s">
        <v>58</v>
      </c>
      <c r="D1410" s="21" t="s">
        <v>139</v>
      </c>
      <c r="E1410" s="21" t="s">
        <v>140</v>
      </c>
      <c r="F1410" s="21" t="s">
        <v>837</v>
      </c>
      <c r="G1410" s="21" t="s">
        <v>838</v>
      </c>
      <c r="H1410" s="21" t="s">
        <v>839</v>
      </c>
      <c r="I1410" s="21" t="s">
        <v>840</v>
      </c>
      <c r="J1410" s="21" t="s">
        <v>841</v>
      </c>
      <c r="K1410" s="21" t="s">
        <v>844</v>
      </c>
      <c r="L1410" s="21" t="s">
        <v>845</v>
      </c>
      <c r="M1410" s="21" t="s">
        <v>15</v>
      </c>
      <c r="N1410" s="54">
        <v>2029.1</v>
      </c>
      <c r="O1410" s="54">
        <v>0</v>
      </c>
      <c r="P1410" s="54">
        <v>0</v>
      </c>
      <c r="Q1410" s="54">
        <v>2029.1</v>
      </c>
      <c r="R1410" s="54">
        <v>118.88</v>
      </c>
      <c r="S1410" s="54">
        <v>1881.12</v>
      </c>
      <c r="T1410" s="54">
        <v>1881.12</v>
      </c>
      <c r="U1410" s="54">
        <v>147.97999999999999</v>
      </c>
      <c r="V1410" s="54">
        <v>147.97999999999999</v>
      </c>
      <c r="W1410" s="54">
        <v>29.1</v>
      </c>
    </row>
    <row r="1411" spans="1:23" outlineLevel="2" x14ac:dyDescent="0.2">
      <c r="A1411" s="21" t="s">
        <v>836</v>
      </c>
      <c r="B1411" s="21" t="s">
        <v>39</v>
      </c>
      <c r="C1411" s="21" t="s">
        <v>58</v>
      </c>
      <c r="D1411" s="21" t="s">
        <v>59</v>
      </c>
      <c r="E1411" s="21" t="s">
        <v>60</v>
      </c>
      <c r="F1411" s="21" t="s">
        <v>837</v>
      </c>
      <c r="G1411" s="21" t="s">
        <v>838</v>
      </c>
      <c r="H1411" s="21" t="s">
        <v>839</v>
      </c>
      <c r="I1411" s="21" t="s">
        <v>840</v>
      </c>
      <c r="J1411" s="21" t="s">
        <v>841</v>
      </c>
      <c r="K1411" s="21" t="s">
        <v>844</v>
      </c>
      <c r="L1411" s="21" t="s">
        <v>845</v>
      </c>
      <c r="M1411" s="21" t="s">
        <v>15</v>
      </c>
      <c r="N1411" s="54">
        <v>405.82</v>
      </c>
      <c r="O1411" s="54">
        <v>0</v>
      </c>
      <c r="P1411" s="54">
        <v>0</v>
      </c>
      <c r="Q1411" s="54">
        <v>405.82</v>
      </c>
      <c r="R1411" s="54">
        <v>66.67</v>
      </c>
      <c r="S1411" s="54">
        <v>333.33</v>
      </c>
      <c r="T1411" s="54">
        <v>333.33</v>
      </c>
      <c r="U1411" s="54">
        <v>72.489999999999995</v>
      </c>
      <c r="V1411" s="54">
        <v>72.489999999999995</v>
      </c>
      <c r="W1411" s="54">
        <v>5.82</v>
      </c>
    </row>
    <row r="1412" spans="1:23" outlineLevel="2" x14ac:dyDescent="0.2">
      <c r="A1412" s="21" t="s">
        <v>836</v>
      </c>
      <c r="B1412" s="21" t="s">
        <v>39</v>
      </c>
      <c r="C1412" s="21" t="s">
        <v>58</v>
      </c>
      <c r="D1412" s="21" t="s">
        <v>137</v>
      </c>
      <c r="E1412" s="21" t="s">
        <v>138</v>
      </c>
      <c r="F1412" s="21" t="s">
        <v>837</v>
      </c>
      <c r="G1412" s="21" t="s">
        <v>838</v>
      </c>
      <c r="H1412" s="21" t="s">
        <v>839</v>
      </c>
      <c r="I1412" s="21" t="s">
        <v>840</v>
      </c>
      <c r="J1412" s="21" t="s">
        <v>841</v>
      </c>
      <c r="K1412" s="21" t="s">
        <v>846</v>
      </c>
      <c r="L1412" s="21" t="s">
        <v>847</v>
      </c>
      <c r="M1412" s="21" t="s">
        <v>15</v>
      </c>
      <c r="N1412" s="54">
        <v>14400</v>
      </c>
      <c r="O1412" s="54">
        <v>0</v>
      </c>
      <c r="P1412" s="54">
        <v>0</v>
      </c>
      <c r="Q1412" s="54">
        <v>14400</v>
      </c>
      <c r="R1412" s="54">
        <v>2400</v>
      </c>
      <c r="S1412" s="54">
        <v>12000</v>
      </c>
      <c r="T1412" s="54">
        <v>12000</v>
      </c>
      <c r="U1412" s="54">
        <v>2400</v>
      </c>
      <c r="V1412" s="54">
        <v>2400</v>
      </c>
      <c r="W1412" s="54">
        <v>0</v>
      </c>
    </row>
    <row r="1413" spans="1:23" outlineLevel="2" x14ac:dyDescent="0.2">
      <c r="A1413" s="21" t="s">
        <v>836</v>
      </c>
      <c r="B1413" s="21" t="s">
        <v>39</v>
      </c>
      <c r="C1413" s="21" t="s">
        <v>58</v>
      </c>
      <c r="D1413" s="21" t="s">
        <v>145</v>
      </c>
      <c r="E1413" s="21" t="s">
        <v>146</v>
      </c>
      <c r="F1413" s="21" t="s">
        <v>837</v>
      </c>
      <c r="G1413" s="21" t="s">
        <v>838</v>
      </c>
      <c r="H1413" s="21" t="s">
        <v>839</v>
      </c>
      <c r="I1413" s="21" t="s">
        <v>840</v>
      </c>
      <c r="J1413" s="21" t="s">
        <v>841</v>
      </c>
      <c r="K1413" s="21" t="s">
        <v>846</v>
      </c>
      <c r="L1413" s="21" t="s">
        <v>847</v>
      </c>
      <c r="M1413" s="21" t="s">
        <v>15</v>
      </c>
      <c r="N1413" s="54">
        <v>9804</v>
      </c>
      <c r="O1413" s="54">
        <v>0</v>
      </c>
      <c r="P1413" s="54">
        <v>0</v>
      </c>
      <c r="Q1413" s="54">
        <v>9804</v>
      </c>
      <c r="R1413" s="54">
        <v>9804</v>
      </c>
      <c r="S1413" s="54">
        <v>0</v>
      </c>
      <c r="T1413" s="54">
        <v>0</v>
      </c>
      <c r="U1413" s="54">
        <v>9804</v>
      </c>
      <c r="V1413" s="54">
        <v>9804</v>
      </c>
      <c r="W1413" s="54">
        <v>0</v>
      </c>
    </row>
    <row r="1414" spans="1:23" outlineLevel="2" x14ac:dyDescent="0.2">
      <c r="A1414" s="21" t="s">
        <v>836</v>
      </c>
      <c r="B1414" s="21" t="s">
        <v>39</v>
      </c>
      <c r="C1414" s="21" t="s">
        <v>58</v>
      </c>
      <c r="D1414" s="21" t="s">
        <v>139</v>
      </c>
      <c r="E1414" s="21" t="s">
        <v>140</v>
      </c>
      <c r="F1414" s="21" t="s">
        <v>837</v>
      </c>
      <c r="G1414" s="21" t="s">
        <v>838</v>
      </c>
      <c r="H1414" s="21" t="s">
        <v>839</v>
      </c>
      <c r="I1414" s="21" t="s">
        <v>840</v>
      </c>
      <c r="J1414" s="21" t="s">
        <v>841</v>
      </c>
      <c r="K1414" s="21" t="s">
        <v>846</v>
      </c>
      <c r="L1414" s="21" t="s">
        <v>847</v>
      </c>
      <c r="M1414" s="21" t="s">
        <v>15</v>
      </c>
      <c r="N1414" s="54">
        <v>42720</v>
      </c>
      <c r="O1414" s="54">
        <v>0</v>
      </c>
      <c r="P1414" s="54">
        <v>0</v>
      </c>
      <c r="Q1414" s="54">
        <v>42720</v>
      </c>
      <c r="R1414" s="54">
        <v>7120</v>
      </c>
      <c r="S1414" s="54">
        <v>35600</v>
      </c>
      <c r="T1414" s="54">
        <v>35600</v>
      </c>
      <c r="U1414" s="54">
        <v>7120</v>
      </c>
      <c r="V1414" s="54">
        <v>7120</v>
      </c>
      <c r="W1414" s="54">
        <v>0</v>
      </c>
    </row>
    <row r="1415" spans="1:23" outlineLevel="2" x14ac:dyDescent="0.2">
      <c r="A1415" s="21" t="s">
        <v>836</v>
      </c>
      <c r="B1415" s="21" t="s">
        <v>39</v>
      </c>
      <c r="C1415" s="21" t="s">
        <v>58</v>
      </c>
      <c r="D1415" s="21" t="s">
        <v>59</v>
      </c>
      <c r="E1415" s="21" t="s">
        <v>60</v>
      </c>
      <c r="F1415" s="21" t="s">
        <v>837</v>
      </c>
      <c r="G1415" s="21" t="s">
        <v>838</v>
      </c>
      <c r="H1415" s="21" t="s">
        <v>839</v>
      </c>
      <c r="I1415" s="21" t="s">
        <v>840</v>
      </c>
      <c r="J1415" s="21" t="s">
        <v>841</v>
      </c>
      <c r="K1415" s="21" t="s">
        <v>846</v>
      </c>
      <c r="L1415" s="21" t="s">
        <v>847</v>
      </c>
      <c r="M1415" s="21" t="s">
        <v>15</v>
      </c>
      <c r="N1415" s="54">
        <v>7356</v>
      </c>
      <c r="O1415" s="54">
        <v>0</v>
      </c>
      <c r="P1415" s="54">
        <v>0</v>
      </c>
      <c r="Q1415" s="54">
        <v>7356</v>
      </c>
      <c r="R1415" s="54">
        <v>1226</v>
      </c>
      <c r="S1415" s="54">
        <v>6130</v>
      </c>
      <c r="T1415" s="54">
        <v>6130</v>
      </c>
      <c r="U1415" s="54">
        <v>1226</v>
      </c>
      <c r="V1415" s="54">
        <v>1226</v>
      </c>
      <c r="W1415" s="54">
        <v>0</v>
      </c>
    </row>
    <row r="1416" spans="1:23" outlineLevel="2" x14ac:dyDescent="0.2">
      <c r="A1416" s="21" t="s">
        <v>836</v>
      </c>
      <c r="B1416" s="21" t="s">
        <v>39</v>
      </c>
      <c r="C1416" s="21" t="s">
        <v>58</v>
      </c>
      <c r="D1416" s="21" t="s">
        <v>137</v>
      </c>
      <c r="E1416" s="21" t="s">
        <v>138</v>
      </c>
      <c r="F1416" s="21" t="s">
        <v>837</v>
      </c>
      <c r="G1416" s="21" t="s">
        <v>838</v>
      </c>
      <c r="H1416" s="21" t="s">
        <v>839</v>
      </c>
      <c r="I1416" s="21" t="s">
        <v>840</v>
      </c>
      <c r="J1416" s="21" t="s">
        <v>841</v>
      </c>
      <c r="K1416" s="21" t="s">
        <v>848</v>
      </c>
      <c r="L1416" s="21" t="s">
        <v>849</v>
      </c>
      <c r="M1416" s="21" t="s">
        <v>15</v>
      </c>
      <c r="N1416" s="54">
        <v>1821.6</v>
      </c>
      <c r="O1416" s="54">
        <v>0</v>
      </c>
      <c r="P1416" s="54">
        <v>0</v>
      </c>
      <c r="Q1416" s="54">
        <v>1821.6</v>
      </c>
      <c r="R1416" s="54">
        <v>303.60000000000002</v>
      </c>
      <c r="S1416" s="54">
        <v>1518</v>
      </c>
      <c r="T1416" s="54">
        <v>1518</v>
      </c>
      <c r="U1416" s="54">
        <v>303.60000000000002</v>
      </c>
      <c r="V1416" s="54">
        <v>303.60000000000002</v>
      </c>
      <c r="W1416" s="54">
        <v>0</v>
      </c>
    </row>
    <row r="1417" spans="1:23" outlineLevel="2" x14ac:dyDescent="0.2">
      <c r="A1417" s="21" t="s">
        <v>836</v>
      </c>
      <c r="B1417" s="21" t="s">
        <v>39</v>
      </c>
      <c r="C1417" s="21" t="s">
        <v>58</v>
      </c>
      <c r="D1417" s="21" t="s">
        <v>145</v>
      </c>
      <c r="E1417" s="21" t="s">
        <v>146</v>
      </c>
      <c r="F1417" s="21" t="s">
        <v>837</v>
      </c>
      <c r="G1417" s="21" t="s">
        <v>838</v>
      </c>
      <c r="H1417" s="21" t="s">
        <v>839</v>
      </c>
      <c r="I1417" s="21" t="s">
        <v>840</v>
      </c>
      <c r="J1417" s="21" t="s">
        <v>841</v>
      </c>
      <c r="K1417" s="21" t="s">
        <v>848</v>
      </c>
      <c r="L1417" s="21" t="s">
        <v>849</v>
      </c>
      <c r="M1417" s="21" t="s">
        <v>15</v>
      </c>
      <c r="N1417" s="54">
        <v>1240.21</v>
      </c>
      <c r="O1417" s="54">
        <v>0</v>
      </c>
      <c r="P1417" s="54">
        <v>0</v>
      </c>
      <c r="Q1417" s="54">
        <v>1240.21</v>
      </c>
      <c r="R1417" s="54">
        <v>1240.21</v>
      </c>
      <c r="S1417" s="54">
        <v>0</v>
      </c>
      <c r="T1417" s="54">
        <v>0</v>
      </c>
      <c r="U1417" s="54">
        <v>1240.21</v>
      </c>
      <c r="V1417" s="54">
        <v>1240.21</v>
      </c>
      <c r="W1417" s="54">
        <v>0</v>
      </c>
    </row>
    <row r="1418" spans="1:23" outlineLevel="2" x14ac:dyDescent="0.2">
      <c r="A1418" s="21" t="s">
        <v>836</v>
      </c>
      <c r="B1418" s="21" t="s">
        <v>39</v>
      </c>
      <c r="C1418" s="21" t="s">
        <v>58</v>
      </c>
      <c r="D1418" s="21" t="s">
        <v>139</v>
      </c>
      <c r="E1418" s="21" t="s">
        <v>140</v>
      </c>
      <c r="F1418" s="21" t="s">
        <v>837</v>
      </c>
      <c r="G1418" s="21" t="s">
        <v>838</v>
      </c>
      <c r="H1418" s="21" t="s">
        <v>839</v>
      </c>
      <c r="I1418" s="21" t="s">
        <v>840</v>
      </c>
      <c r="J1418" s="21" t="s">
        <v>841</v>
      </c>
      <c r="K1418" s="21" t="s">
        <v>848</v>
      </c>
      <c r="L1418" s="21" t="s">
        <v>849</v>
      </c>
      <c r="M1418" s="21" t="s">
        <v>15</v>
      </c>
      <c r="N1418" s="54">
        <v>5404.08</v>
      </c>
      <c r="O1418" s="54">
        <v>0</v>
      </c>
      <c r="P1418" s="54">
        <v>0</v>
      </c>
      <c r="Q1418" s="54">
        <v>5404.08</v>
      </c>
      <c r="R1418" s="54">
        <v>900.68</v>
      </c>
      <c r="S1418" s="54">
        <v>4503.3999999999996</v>
      </c>
      <c r="T1418" s="54">
        <v>4503.3999999999996</v>
      </c>
      <c r="U1418" s="54">
        <v>900.68</v>
      </c>
      <c r="V1418" s="54">
        <v>900.68</v>
      </c>
      <c r="W1418" s="54">
        <v>0</v>
      </c>
    </row>
    <row r="1419" spans="1:23" outlineLevel="2" x14ac:dyDescent="0.2">
      <c r="A1419" s="21" t="s">
        <v>836</v>
      </c>
      <c r="B1419" s="21" t="s">
        <v>39</v>
      </c>
      <c r="C1419" s="21" t="s">
        <v>58</v>
      </c>
      <c r="D1419" s="21" t="s">
        <v>59</v>
      </c>
      <c r="E1419" s="21" t="s">
        <v>60</v>
      </c>
      <c r="F1419" s="21" t="s">
        <v>837</v>
      </c>
      <c r="G1419" s="21" t="s">
        <v>838</v>
      </c>
      <c r="H1419" s="21" t="s">
        <v>839</v>
      </c>
      <c r="I1419" s="21" t="s">
        <v>840</v>
      </c>
      <c r="J1419" s="21" t="s">
        <v>841</v>
      </c>
      <c r="K1419" s="21" t="s">
        <v>848</v>
      </c>
      <c r="L1419" s="21" t="s">
        <v>849</v>
      </c>
      <c r="M1419" s="21" t="s">
        <v>15</v>
      </c>
      <c r="N1419" s="54">
        <v>930.53</v>
      </c>
      <c r="O1419" s="54">
        <v>0</v>
      </c>
      <c r="P1419" s="54">
        <v>0</v>
      </c>
      <c r="Q1419" s="54">
        <v>930.53</v>
      </c>
      <c r="R1419" s="54">
        <v>155.13</v>
      </c>
      <c r="S1419" s="54">
        <v>775.4</v>
      </c>
      <c r="T1419" s="54">
        <v>775.4</v>
      </c>
      <c r="U1419" s="54">
        <v>155.13</v>
      </c>
      <c r="V1419" s="54">
        <v>155.13</v>
      </c>
      <c r="W1419" s="54">
        <v>0</v>
      </c>
    </row>
    <row r="1420" spans="1:23" outlineLevel="2" x14ac:dyDescent="0.2">
      <c r="A1420" s="21" t="s">
        <v>836</v>
      </c>
      <c r="B1420" s="21" t="s">
        <v>39</v>
      </c>
      <c r="C1420" s="21" t="s">
        <v>58</v>
      </c>
      <c r="D1420" s="21" t="s">
        <v>139</v>
      </c>
      <c r="E1420" s="21" t="s">
        <v>140</v>
      </c>
      <c r="F1420" s="21" t="s">
        <v>837</v>
      </c>
      <c r="G1420" s="21" t="s">
        <v>838</v>
      </c>
      <c r="H1420" s="21" t="s">
        <v>839</v>
      </c>
      <c r="I1420" s="21" t="s">
        <v>840</v>
      </c>
      <c r="J1420" s="21" t="s">
        <v>841</v>
      </c>
      <c r="K1420" s="21" t="s">
        <v>850</v>
      </c>
      <c r="L1420" s="21" t="s">
        <v>851</v>
      </c>
      <c r="M1420" s="21" t="s">
        <v>15</v>
      </c>
      <c r="N1420" s="54">
        <v>3560</v>
      </c>
      <c r="O1420" s="54">
        <v>0</v>
      </c>
      <c r="P1420" s="54">
        <v>0</v>
      </c>
      <c r="Q1420" s="54">
        <v>3560</v>
      </c>
      <c r="R1420" s="54">
        <v>1656.3</v>
      </c>
      <c r="S1420" s="54">
        <v>1903.7</v>
      </c>
      <c r="T1420" s="54">
        <v>1903.7</v>
      </c>
      <c r="U1420" s="54">
        <v>1656.3</v>
      </c>
      <c r="V1420" s="54">
        <v>1656.3</v>
      </c>
      <c r="W1420" s="54">
        <v>0</v>
      </c>
    </row>
    <row r="1421" spans="1:23" outlineLevel="2" x14ac:dyDescent="0.2">
      <c r="A1421" s="21" t="s">
        <v>836</v>
      </c>
      <c r="B1421" s="21" t="s">
        <v>39</v>
      </c>
      <c r="C1421" s="21" t="s">
        <v>58</v>
      </c>
      <c r="D1421" s="21" t="s">
        <v>145</v>
      </c>
      <c r="E1421" s="21" t="s">
        <v>146</v>
      </c>
      <c r="F1421" s="21" t="s">
        <v>837</v>
      </c>
      <c r="G1421" s="21" t="s">
        <v>838</v>
      </c>
      <c r="H1421" s="21" t="s">
        <v>839</v>
      </c>
      <c r="I1421" s="21" t="s">
        <v>840</v>
      </c>
      <c r="J1421" s="21" t="s">
        <v>841</v>
      </c>
      <c r="K1421" s="21" t="s">
        <v>850</v>
      </c>
      <c r="L1421" s="21" t="s">
        <v>851</v>
      </c>
      <c r="M1421" s="21" t="s">
        <v>15</v>
      </c>
      <c r="N1421" s="54">
        <v>817</v>
      </c>
      <c r="O1421" s="54">
        <v>0</v>
      </c>
      <c r="P1421" s="54">
        <v>0</v>
      </c>
      <c r="Q1421" s="54">
        <v>817</v>
      </c>
      <c r="R1421" s="54">
        <v>817</v>
      </c>
      <c r="S1421" s="54">
        <v>0</v>
      </c>
      <c r="T1421" s="54">
        <v>0</v>
      </c>
      <c r="U1421" s="54">
        <v>817</v>
      </c>
      <c r="V1421" s="54">
        <v>817</v>
      </c>
      <c r="W1421" s="54">
        <v>0</v>
      </c>
    </row>
    <row r="1422" spans="1:23" outlineLevel="2" x14ac:dyDescent="0.2">
      <c r="A1422" s="21" t="s">
        <v>836</v>
      </c>
      <c r="B1422" s="21" t="s">
        <v>39</v>
      </c>
      <c r="C1422" s="21" t="s">
        <v>58</v>
      </c>
      <c r="D1422" s="21" t="s">
        <v>137</v>
      </c>
      <c r="E1422" s="21" t="s">
        <v>138</v>
      </c>
      <c r="F1422" s="21" t="s">
        <v>837</v>
      </c>
      <c r="G1422" s="21" t="s">
        <v>838</v>
      </c>
      <c r="H1422" s="21" t="s">
        <v>839</v>
      </c>
      <c r="I1422" s="21" t="s">
        <v>840</v>
      </c>
      <c r="J1422" s="21" t="s">
        <v>841</v>
      </c>
      <c r="K1422" s="21" t="s">
        <v>850</v>
      </c>
      <c r="L1422" s="21" t="s">
        <v>851</v>
      </c>
      <c r="M1422" s="21" t="s">
        <v>15</v>
      </c>
      <c r="N1422" s="54">
        <v>1200</v>
      </c>
      <c r="O1422" s="54">
        <v>0</v>
      </c>
      <c r="P1422" s="54">
        <v>0</v>
      </c>
      <c r="Q1422" s="54">
        <v>1200</v>
      </c>
      <c r="R1422" s="54">
        <v>200.4</v>
      </c>
      <c r="S1422" s="54">
        <v>999.6</v>
      </c>
      <c r="T1422" s="54">
        <v>999.6</v>
      </c>
      <c r="U1422" s="54">
        <v>200.4</v>
      </c>
      <c r="V1422" s="54">
        <v>200.4</v>
      </c>
      <c r="W1422" s="54">
        <v>0</v>
      </c>
    </row>
    <row r="1423" spans="1:23" outlineLevel="2" x14ac:dyDescent="0.2">
      <c r="A1423" s="21" t="s">
        <v>836</v>
      </c>
      <c r="B1423" s="21" t="s">
        <v>39</v>
      </c>
      <c r="C1423" s="21" t="s">
        <v>58</v>
      </c>
      <c r="D1423" s="21" t="s">
        <v>59</v>
      </c>
      <c r="E1423" s="21" t="s">
        <v>60</v>
      </c>
      <c r="F1423" s="21" t="s">
        <v>837</v>
      </c>
      <c r="G1423" s="21" t="s">
        <v>838</v>
      </c>
      <c r="H1423" s="21" t="s">
        <v>839</v>
      </c>
      <c r="I1423" s="21" t="s">
        <v>840</v>
      </c>
      <c r="J1423" s="21" t="s">
        <v>841</v>
      </c>
      <c r="K1423" s="21" t="s">
        <v>850</v>
      </c>
      <c r="L1423" s="21" t="s">
        <v>851</v>
      </c>
      <c r="M1423" s="21" t="s">
        <v>15</v>
      </c>
      <c r="N1423" s="54">
        <v>613</v>
      </c>
      <c r="O1423" s="54">
        <v>0</v>
      </c>
      <c r="P1423" s="54">
        <v>0</v>
      </c>
      <c r="Q1423" s="54">
        <v>613</v>
      </c>
      <c r="R1423" s="54">
        <v>510.88</v>
      </c>
      <c r="S1423" s="54">
        <v>102.12</v>
      </c>
      <c r="T1423" s="54">
        <v>102.12</v>
      </c>
      <c r="U1423" s="54">
        <v>510.88</v>
      </c>
      <c r="V1423" s="54">
        <v>510.88</v>
      </c>
      <c r="W1423" s="54">
        <v>0</v>
      </c>
    </row>
    <row r="1424" spans="1:23" outlineLevel="2" x14ac:dyDescent="0.2">
      <c r="A1424" s="21" t="s">
        <v>836</v>
      </c>
      <c r="B1424" s="21" t="s">
        <v>39</v>
      </c>
      <c r="C1424" s="21" t="s">
        <v>58</v>
      </c>
      <c r="D1424" s="21" t="s">
        <v>143</v>
      </c>
      <c r="E1424" s="21" t="s">
        <v>144</v>
      </c>
      <c r="F1424" s="21" t="s">
        <v>837</v>
      </c>
      <c r="G1424" s="21" t="s">
        <v>838</v>
      </c>
      <c r="H1424" s="21" t="s">
        <v>852</v>
      </c>
      <c r="I1424" s="21" t="s">
        <v>853</v>
      </c>
      <c r="J1424" s="21" t="s">
        <v>841</v>
      </c>
      <c r="K1424" s="21" t="s">
        <v>842</v>
      </c>
      <c r="L1424" s="21" t="s">
        <v>843</v>
      </c>
      <c r="M1424" s="21" t="s">
        <v>15</v>
      </c>
      <c r="N1424" s="54">
        <v>13144</v>
      </c>
      <c r="O1424" s="54">
        <v>0</v>
      </c>
      <c r="P1424" s="54">
        <v>0</v>
      </c>
      <c r="Q1424" s="54">
        <v>13144</v>
      </c>
      <c r="R1424" s="54">
        <v>10052.459999999999</v>
      </c>
      <c r="S1424" s="54">
        <v>3091.54</v>
      </c>
      <c r="T1424" s="54">
        <v>3091.54</v>
      </c>
      <c r="U1424" s="54">
        <v>10052.459999999999</v>
      </c>
      <c r="V1424" s="54">
        <v>10052.459999999999</v>
      </c>
      <c r="W1424" s="54">
        <v>0</v>
      </c>
    </row>
    <row r="1425" spans="1:23" outlineLevel="2" x14ac:dyDescent="0.2">
      <c r="A1425" s="21" t="s">
        <v>836</v>
      </c>
      <c r="B1425" s="21" t="s">
        <v>39</v>
      </c>
      <c r="C1425" s="21" t="s">
        <v>58</v>
      </c>
      <c r="D1425" s="21" t="s">
        <v>105</v>
      </c>
      <c r="E1425" s="21" t="s">
        <v>106</v>
      </c>
      <c r="F1425" s="21" t="s">
        <v>837</v>
      </c>
      <c r="G1425" s="21" t="s">
        <v>838</v>
      </c>
      <c r="H1425" s="21" t="s">
        <v>852</v>
      </c>
      <c r="I1425" s="21" t="s">
        <v>853</v>
      </c>
      <c r="J1425" s="21" t="s">
        <v>841</v>
      </c>
      <c r="K1425" s="21" t="s">
        <v>842</v>
      </c>
      <c r="L1425" s="21" t="s">
        <v>843</v>
      </c>
      <c r="M1425" s="21" t="s">
        <v>15</v>
      </c>
      <c r="N1425" s="54">
        <v>2353</v>
      </c>
      <c r="O1425" s="54">
        <v>0</v>
      </c>
      <c r="P1425" s="54">
        <v>0</v>
      </c>
      <c r="Q1425" s="54">
        <v>2353</v>
      </c>
      <c r="R1425" s="54">
        <v>2353</v>
      </c>
      <c r="S1425" s="54">
        <v>0</v>
      </c>
      <c r="T1425" s="54">
        <v>0</v>
      </c>
      <c r="U1425" s="54">
        <v>2353</v>
      </c>
      <c r="V1425" s="54">
        <v>2353</v>
      </c>
      <c r="W1425" s="54">
        <v>0</v>
      </c>
    </row>
    <row r="1426" spans="1:23" outlineLevel="2" x14ac:dyDescent="0.2">
      <c r="A1426" s="21" t="s">
        <v>836</v>
      </c>
      <c r="B1426" s="21" t="s">
        <v>39</v>
      </c>
      <c r="C1426" s="21" t="s">
        <v>58</v>
      </c>
      <c r="D1426" s="21" t="s">
        <v>129</v>
      </c>
      <c r="E1426" s="21" t="s">
        <v>130</v>
      </c>
      <c r="F1426" s="21" t="s">
        <v>837</v>
      </c>
      <c r="G1426" s="21" t="s">
        <v>838</v>
      </c>
      <c r="H1426" s="21" t="s">
        <v>852</v>
      </c>
      <c r="I1426" s="21" t="s">
        <v>853</v>
      </c>
      <c r="J1426" s="21" t="s">
        <v>841</v>
      </c>
      <c r="K1426" s="21" t="s">
        <v>842</v>
      </c>
      <c r="L1426" s="21" t="s">
        <v>843</v>
      </c>
      <c r="M1426" s="21" t="s">
        <v>15</v>
      </c>
      <c r="N1426" s="54">
        <v>817</v>
      </c>
      <c r="O1426" s="54">
        <v>0</v>
      </c>
      <c r="P1426" s="54">
        <v>0</v>
      </c>
      <c r="Q1426" s="54">
        <v>817</v>
      </c>
      <c r="R1426" s="54">
        <v>136.19999999999999</v>
      </c>
      <c r="S1426" s="54">
        <v>680.8</v>
      </c>
      <c r="T1426" s="54">
        <v>680.8</v>
      </c>
      <c r="U1426" s="54">
        <v>136.19999999999999</v>
      </c>
      <c r="V1426" s="54">
        <v>136.19999999999999</v>
      </c>
      <c r="W1426" s="54">
        <v>0</v>
      </c>
    </row>
    <row r="1427" spans="1:23" outlineLevel="2" x14ac:dyDescent="0.2">
      <c r="A1427" s="21" t="s">
        <v>836</v>
      </c>
      <c r="B1427" s="21" t="s">
        <v>39</v>
      </c>
      <c r="C1427" s="21" t="s">
        <v>58</v>
      </c>
      <c r="D1427" s="21" t="s">
        <v>147</v>
      </c>
      <c r="E1427" s="21" t="s">
        <v>148</v>
      </c>
      <c r="F1427" s="21" t="s">
        <v>837</v>
      </c>
      <c r="G1427" s="21" t="s">
        <v>838</v>
      </c>
      <c r="H1427" s="21" t="s">
        <v>852</v>
      </c>
      <c r="I1427" s="21" t="s">
        <v>853</v>
      </c>
      <c r="J1427" s="21" t="s">
        <v>841</v>
      </c>
      <c r="K1427" s="21" t="s">
        <v>842</v>
      </c>
      <c r="L1427" s="21" t="s">
        <v>843</v>
      </c>
      <c r="M1427" s="21" t="s">
        <v>15</v>
      </c>
      <c r="N1427" s="54">
        <v>13245</v>
      </c>
      <c r="O1427" s="54">
        <v>0</v>
      </c>
      <c r="P1427" s="54">
        <v>0</v>
      </c>
      <c r="Q1427" s="54">
        <v>13245</v>
      </c>
      <c r="R1427" s="54">
        <v>11799.2</v>
      </c>
      <c r="S1427" s="54">
        <v>1445.8</v>
      </c>
      <c r="T1427" s="54">
        <v>1445.8</v>
      </c>
      <c r="U1427" s="54">
        <v>11799.2</v>
      </c>
      <c r="V1427" s="54">
        <v>11799.2</v>
      </c>
      <c r="W1427" s="54">
        <v>0</v>
      </c>
    </row>
    <row r="1428" spans="1:23" outlineLevel="2" x14ac:dyDescent="0.2">
      <c r="A1428" s="21" t="s">
        <v>836</v>
      </c>
      <c r="B1428" s="21" t="s">
        <v>39</v>
      </c>
      <c r="C1428" s="21" t="s">
        <v>58</v>
      </c>
      <c r="D1428" s="21" t="s">
        <v>139</v>
      </c>
      <c r="E1428" s="21" t="s">
        <v>140</v>
      </c>
      <c r="F1428" s="21" t="s">
        <v>837</v>
      </c>
      <c r="G1428" s="21" t="s">
        <v>838</v>
      </c>
      <c r="H1428" s="21" t="s">
        <v>852</v>
      </c>
      <c r="I1428" s="21" t="s">
        <v>853</v>
      </c>
      <c r="J1428" s="21" t="s">
        <v>841</v>
      </c>
      <c r="K1428" s="21" t="s">
        <v>842</v>
      </c>
      <c r="L1428" s="21" t="s">
        <v>843</v>
      </c>
      <c r="M1428" s="21" t="s">
        <v>15</v>
      </c>
      <c r="N1428" s="54">
        <v>11510</v>
      </c>
      <c r="O1428" s="54">
        <v>0</v>
      </c>
      <c r="P1428" s="54">
        <v>0</v>
      </c>
      <c r="Q1428" s="54">
        <v>11510</v>
      </c>
      <c r="R1428" s="54">
        <v>7097.05</v>
      </c>
      <c r="S1428" s="54">
        <v>4412.95</v>
      </c>
      <c r="T1428" s="54">
        <v>4412.95</v>
      </c>
      <c r="U1428" s="54">
        <v>7097.05</v>
      </c>
      <c r="V1428" s="54">
        <v>7097.05</v>
      </c>
      <c r="W1428" s="54">
        <v>0</v>
      </c>
    </row>
    <row r="1429" spans="1:23" outlineLevel="2" x14ac:dyDescent="0.2">
      <c r="A1429" s="21" t="s">
        <v>836</v>
      </c>
      <c r="B1429" s="21" t="s">
        <v>39</v>
      </c>
      <c r="C1429" s="21" t="s">
        <v>58</v>
      </c>
      <c r="D1429" s="21" t="s">
        <v>149</v>
      </c>
      <c r="E1429" s="21" t="s">
        <v>150</v>
      </c>
      <c r="F1429" s="21" t="s">
        <v>837</v>
      </c>
      <c r="G1429" s="21" t="s">
        <v>838</v>
      </c>
      <c r="H1429" s="21" t="s">
        <v>852</v>
      </c>
      <c r="I1429" s="21" t="s">
        <v>853</v>
      </c>
      <c r="J1429" s="21" t="s">
        <v>841</v>
      </c>
      <c r="K1429" s="21" t="s">
        <v>842</v>
      </c>
      <c r="L1429" s="21" t="s">
        <v>843</v>
      </c>
      <c r="M1429" s="21" t="s">
        <v>15</v>
      </c>
      <c r="N1429" s="54">
        <v>10693</v>
      </c>
      <c r="O1429" s="54">
        <v>0</v>
      </c>
      <c r="P1429" s="54">
        <v>0</v>
      </c>
      <c r="Q1429" s="54">
        <v>10693</v>
      </c>
      <c r="R1429" s="54">
        <v>8599.5</v>
      </c>
      <c r="S1429" s="54">
        <v>2093.5</v>
      </c>
      <c r="T1429" s="54">
        <v>2093.5</v>
      </c>
      <c r="U1429" s="54">
        <v>8599.5</v>
      </c>
      <c r="V1429" s="54">
        <v>8599.5</v>
      </c>
      <c r="W1429" s="54">
        <v>0</v>
      </c>
    </row>
    <row r="1430" spans="1:23" outlineLevel="2" x14ac:dyDescent="0.2">
      <c r="A1430" s="21" t="s">
        <v>836</v>
      </c>
      <c r="B1430" s="21" t="s">
        <v>39</v>
      </c>
      <c r="C1430" s="21" t="s">
        <v>58</v>
      </c>
      <c r="D1430" s="21" t="s">
        <v>59</v>
      </c>
      <c r="E1430" s="21" t="s">
        <v>60</v>
      </c>
      <c r="F1430" s="21" t="s">
        <v>837</v>
      </c>
      <c r="G1430" s="21" t="s">
        <v>838</v>
      </c>
      <c r="H1430" s="21" t="s">
        <v>852</v>
      </c>
      <c r="I1430" s="21" t="s">
        <v>853</v>
      </c>
      <c r="J1430" s="21" t="s">
        <v>841</v>
      </c>
      <c r="K1430" s="21" t="s">
        <v>842</v>
      </c>
      <c r="L1430" s="21" t="s">
        <v>843</v>
      </c>
      <c r="M1430" s="21" t="s">
        <v>15</v>
      </c>
      <c r="N1430" s="54">
        <v>4570</v>
      </c>
      <c r="O1430" s="54">
        <v>0</v>
      </c>
      <c r="P1430" s="54">
        <v>0</v>
      </c>
      <c r="Q1430" s="54">
        <v>4570</v>
      </c>
      <c r="R1430" s="54">
        <v>4570</v>
      </c>
      <c r="S1430" s="54">
        <v>0</v>
      </c>
      <c r="T1430" s="54">
        <v>0</v>
      </c>
      <c r="U1430" s="54">
        <v>4570</v>
      </c>
      <c r="V1430" s="54">
        <v>4570</v>
      </c>
      <c r="W1430" s="54">
        <v>0</v>
      </c>
    </row>
    <row r="1431" spans="1:23" outlineLevel="2" x14ac:dyDescent="0.2">
      <c r="A1431" s="21" t="s">
        <v>836</v>
      </c>
      <c r="B1431" s="21" t="s">
        <v>39</v>
      </c>
      <c r="C1431" s="21" t="s">
        <v>58</v>
      </c>
      <c r="D1431" s="21" t="s">
        <v>145</v>
      </c>
      <c r="E1431" s="21" t="s">
        <v>146</v>
      </c>
      <c r="F1431" s="21" t="s">
        <v>837</v>
      </c>
      <c r="G1431" s="21" t="s">
        <v>838</v>
      </c>
      <c r="H1431" s="21" t="s">
        <v>852</v>
      </c>
      <c r="I1431" s="21" t="s">
        <v>853</v>
      </c>
      <c r="J1431" s="21" t="s">
        <v>841</v>
      </c>
      <c r="K1431" s="21" t="s">
        <v>842</v>
      </c>
      <c r="L1431" s="21" t="s">
        <v>843</v>
      </c>
      <c r="M1431" s="21" t="s">
        <v>15</v>
      </c>
      <c r="N1431" s="54">
        <v>8040</v>
      </c>
      <c r="O1431" s="54">
        <v>0</v>
      </c>
      <c r="P1431" s="54">
        <v>0</v>
      </c>
      <c r="Q1431" s="54">
        <v>8040</v>
      </c>
      <c r="R1431" s="54">
        <v>7358.97</v>
      </c>
      <c r="S1431" s="54">
        <v>681.03</v>
      </c>
      <c r="T1431" s="54">
        <v>681.03</v>
      </c>
      <c r="U1431" s="54">
        <v>7358.97</v>
      </c>
      <c r="V1431" s="54">
        <v>7358.97</v>
      </c>
      <c r="W1431" s="54">
        <v>0</v>
      </c>
    </row>
    <row r="1432" spans="1:23" outlineLevel="2" x14ac:dyDescent="0.2">
      <c r="A1432" s="21" t="s">
        <v>836</v>
      </c>
      <c r="B1432" s="21" t="s">
        <v>39</v>
      </c>
      <c r="C1432" s="21" t="s">
        <v>58</v>
      </c>
      <c r="D1432" s="21" t="s">
        <v>135</v>
      </c>
      <c r="E1432" s="21" t="s">
        <v>136</v>
      </c>
      <c r="F1432" s="21" t="s">
        <v>837</v>
      </c>
      <c r="G1432" s="21" t="s">
        <v>838</v>
      </c>
      <c r="H1432" s="21" t="s">
        <v>852</v>
      </c>
      <c r="I1432" s="21" t="s">
        <v>853</v>
      </c>
      <c r="J1432" s="21" t="s">
        <v>841</v>
      </c>
      <c r="K1432" s="21" t="s">
        <v>842</v>
      </c>
      <c r="L1432" s="21" t="s">
        <v>843</v>
      </c>
      <c r="M1432" s="21" t="s">
        <v>15</v>
      </c>
      <c r="N1432" s="54">
        <v>11510</v>
      </c>
      <c r="O1432" s="54">
        <v>0</v>
      </c>
      <c r="P1432" s="54">
        <v>0</v>
      </c>
      <c r="Q1432" s="54">
        <v>11510</v>
      </c>
      <c r="R1432" s="54">
        <v>9868.9599999999991</v>
      </c>
      <c r="S1432" s="54">
        <v>1641.04</v>
      </c>
      <c r="T1432" s="54">
        <v>1641.04</v>
      </c>
      <c r="U1432" s="54">
        <v>9868.9599999999991</v>
      </c>
      <c r="V1432" s="54">
        <v>9868.9599999999991</v>
      </c>
      <c r="W1432" s="54">
        <v>0</v>
      </c>
    </row>
    <row r="1433" spans="1:23" outlineLevel="2" x14ac:dyDescent="0.2">
      <c r="A1433" s="21" t="s">
        <v>836</v>
      </c>
      <c r="B1433" s="21" t="s">
        <v>39</v>
      </c>
      <c r="C1433" s="21" t="s">
        <v>58</v>
      </c>
      <c r="D1433" s="21" t="s">
        <v>137</v>
      </c>
      <c r="E1433" s="21" t="s">
        <v>138</v>
      </c>
      <c r="F1433" s="21" t="s">
        <v>837</v>
      </c>
      <c r="G1433" s="21" t="s">
        <v>838</v>
      </c>
      <c r="H1433" s="21" t="s">
        <v>852</v>
      </c>
      <c r="I1433" s="21" t="s">
        <v>853</v>
      </c>
      <c r="J1433" s="21" t="s">
        <v>841</v>
      </c>
      <c r="K1433" s="21" t="s">
        <v>842</v>
      </c>
      <c r="L1433" s="21" t="s">
        <v>843</v>
      </c>
      <c r="M1433" s="21" t="s">
        <v>15</v>
      </c>
      <c r="N1433" s="54">
        <v>6305</v>
      </c>
      <c r="O1433" s="54">
        <v>0</v>
      </c>
      <c r="P1433" s="54">
        <v>0</v>
      </c>
      <c r="Q1433" s="54">
        <v>6305</v>
      </c>
      <c r="R1433" s="54">
        <v>6305</v>
      </c>
      <c r="S1433" s="54">
        <v>0</v>
      </c>
      <c r="T1433" s="54">
        <v>0</v>
      </c>
      <c r="U1433" s="54">
        <v>6305</v>
      </c>
      <c r="V1433" s="54">
        <v>6305</v>
      </c>
      <c r="W1433" s="54">
        <v>0</v>
      </c>
    </row>
    <row r="1434" spans="1:23" outlineLevel="2" x14ac:dyDescent="0.2">
      <c r="A1434" s="21" t="s">
        <v>836</v>
      </c>
      <c r="B1434" s="21" t="s">
        <v>39</v>
      </c>
      <c r="C1434" s="21" t="s">
        <v>58</v>
      </c>
      <c r="D1434" s="21" t="s">
        <v>105</v>
      </c>
      <c r="E1434" s="21" t="s">
        <v>106</v>
      </c>
      <c r="F1434" s="21" t="s">
        <v>837</v>
      </c>
      <c r="G1434" s="21" t="s">
        <v>838</v>
      </c>
      <c r="H1434" s="21" t="s">
        <v>852</v>
      </c>
      <c r="I1434" s="21" t="s">
        <v>853</v>
      </c>
      <c r="J1434" s="21" t="s">
        <v>841</v>
      </c>
      <c r="K1434" s="21" t="s">
        <v>844</v>
      </c>
      <c r="L1434" s="21" t="s">
        <v>845</v>
      </c>
      <c r="M1434" s="21" t="s">
        <v>15</v>
      </c>
      <c r="N1434" s="54">
        <v>811.64</v>
      </c>
      <c r="O1434" s="54">
        <v>0</v>
      </c>
      <c r="P1434" s="54">
        <v>0</v>
      </c>
      <c r="Q1434" s="54">
        <v>811.64</v>
      </c>
      <c r="R1434" s="54">
        <v>0</v>
      </c>
      <c r="S1434" s="54">
        <v>800</v>
      </c>
      <c r="T1434" s="54">
        <v>800</v>
      </c>
      <c r="U1434" s="54">
        <v>11.64</v>
      </c>
      <c r="V1434" s="54">
        <v>11.64</v>
      </c>
      <c r="W1434" s="54">
        <v>11.64</v>
      </c>
    </row>
    <row r="1435" spans="1:23" outlineLevel="2" x14ac:dyDescent="0.2">
      <c r="A1435" s="21" t="s">
        <v>836</v>
      </c>
      <c r="B1435" s="21" t="s">
        <v>39</v>
      </c>
      <c r="C1435" s="21" t="s">
        <v>58</v>
      </c>
      <c r="D1435" s="21" t="s">
        <v>149</v>
      </c>
      <c r="E1435" s="21" t="s">
        <v>150</v>
      </c>
      <c r="F1435" s="21" t="s">
        <v>837</v>
      </c>
      <c r="G1435" s="21" t="s">
        <v>838</v>
      </c>
      <c r="H1435" s="21" t="s">
        <v>852</v>
      </c>
      <c r="I1435" s="21" t="s">
        <v>853</v>
      </c>
      <c r="J1435" s="21" t="s">
        <v>841</v>
      </c>
      <c r="K1435" s="21" t="s">
        <v>844</v>
      </c>
      <c r="L1435" s="21" t="s">
        <v>845</v>
      </c>
      <c r="M1435" s="21" t="s">
        <v>15</v>
      </c>
      <c r="N1435" s="54">
        <v>4869.84</v>
      </c>
      <c r="O1435" s="54">
        <v>0</v>
      </c>
      <c r="P1435" s="54">
        <v>0</v>
      </c>
      <c r="Q1435" s="54">
        <v>4869.84</v>
      </c>
      <c r="R1435" s="54">
        <v>703.68</v>
      </c>
      <c r="S1435" s="54">
        <v>4096.32</v>
      </c>
      <c r="T1435" s="54">
        <v>4096.32</v>
      </c>
      <c r="U1435" s="54">
        <v>773.52</v>
      </c>
      <c r="V1435" s="54">
        <v>773.52</v>
      </c>
      <c r="W1435" s="54">
        <v>69.84</v>
      </c>
    </row>
    <row r="1436" spans="1:23" outlineLevel="2" x14ac:dyDescent="0.2">
      <c r="A1436" s="21" t="s">
        <v>836</v>
      </c>
      <c r="B1436" s="21" t="s">
        <v>39</v>
      </c>
      <c r="C1436" s="21" t="s">
        <v>58</v>
      </c>
      <c r="D1436" s="21" t="s">
        <v>139</v>
      </c>
      <c r="E1436" s="21" t="s">
        <v>140</v>
      </c>
      <c r="F1436" s="21" t="s">
        <v>837</v>
      </c>
      <c r="G1436" s="21" t="s">
        <v>838</v>
      </c>
      <c r="H1436" s="21" t="s">
        <v>852</v>
      </c>
      <c r="I1436" s="21" t="s">
        <v>853</v>
      </c>
      <c r="J1436" s="21" t="s">
        <v>841</v>
      </c>
      <c r="K1436" s="21" t="s">
        <v>844</v>
      </c>
      <c r="L1436" s="21" t="s">
        <v>845</v>
      </c>
      <c r="M1436" s="21" t="s">
        <v>15</v>
      </c>
      <c r="N1436" s="54">
        <v>5275.66</v>
      </c>
      <c r="O1436" s="54">
        <v>0</v>
      </c>
      <c r="P1436" s="54">
        <v>0</v>
      </c>
      <c r="Q1436" s="54">
        <v>5275.66</v>
      </c>
      <c r="R1436" s="54">
        <v>989.4</v>
      </c>
      <c r="S1436" s="54">
        <v>4210.6000000000004</v>
      </c>
      <c r="T1436" s="54">
        <v>4210.6000000000004</v>
      </c>
      <c r="U1436" s="54">
        <v>1065.06</v>
      </c>
      <c r="V1436" s="54">
        <v>1065.06</v>
      </c>
      <c r="W1436" s="54">
        <v>75.66</v>
      </c>
    </row>
    <row r="1437" spans="1:23" outlineLevel="2" x14ac:dyDescent="0.2">
      <c r="A1437" s="21" t="s">
        <v>836</v>
      </c>
      <c r="B1437" s="21" t="s">
        <v>39</v>
      </c>
      <c r="C1437" s="21" t="s">
        <v>58</v>
      </c>
      <c r="D1437" s="21" t="s">
        <v>143</v>
      </c>
      <c r="E1437" s="21" t="s">
        <v>144</v>
      </c>
      <c r="F1437" s="21" t="s">
        <v>837</v>
      </c>
      <c r="G1437" s="21" t="s">
        <v>838</v>
      </c>
      <c r="H1437" s="21" t="s">
        <v>852</v>
      </c>
      <c r="I1437" s="21" t="s">
        <v>853</v>
      </c>
      <c r="J1437" s="21" t="s">
        <v>841</v>
      </c>
      <c r="K1437" s="21" t="s">
        <v>844</v>
      </c>
      <c r="L1437" s="21" t="s">
        <v>845</v>
      </c>
      <c r="M1437" s="21" t="s">
        <v>15</v>
      </c>
      <c r="N1437" s="54">
        <v>6087.3</v>
      </c>
      <c r="O1437" s="54">
        <v>0</v>
      </c>
      <c r="P1437" s="54">
        <v>0</v>
      </c>
      <c r="Q1437" s="54">
        <v>6087.3</v>
      </c>
      <c r="R1437" s="54">
        <v>1685.03</v>
      </c>
      <c r="S1437" s="54">
        <v>4314.97</v>
      </c>
      <c r="T1437" s="54">
        <v>4314.97</v>
      </c>
      <c r="U1437" s="54">
        <v>1772.33</v>
      </c>
      <c r="V1437" s="54">
        <v>1772.33</v>
      </c>
      <c r="W1437" s="54">
        <v>87.3</v>
      </c>
    </row>
    <row r="1438" spans="1:23" outlineLevel="2" x14ac:dyDescent="0.2">
      <c r="A1438" s="21" t="s">
        <v>836</v>
      </c>
      <c r="B1438" s="21" t="s">
        <v>39</v>
      </c>
      <c r="C1438" s="21" t="s">
        <v>58</v>
      </c>
      <c r="D1438" s="21" t="s">
        <v>145</v>
      </c>
      <c r="E1438" s="21" t="s">
        <v>146</v>
      </c>
      <c r="F1438" s="21" t="s">
        <v>837</v>
      </c>
      <c r="G1438" s="21" t="s">
        <v>838</v>
      </c>
      <c r="H1438" s="21" t="s">
        <v>852</v>
      </c>
      <c r="I1438" s="21" t="s">
        <v>853</v>
      </c>
      <c r="J1438" s="21" t="s">
        <v>841</v>
      </c>
      <c r="K1438" s="21" t="s">
        <v>844</v>
      </c>
      <c r="L1438" s="21" t="s">
        <v>845</v>
      </c>
      <c r="M1438" s="21" t="s">
        <v>15</v>
      </c>
      <c r="N1438" s="54">
        <v>3652.38</v>
      </c>
      <c r="O1438" s="54">
        <v>0</v>
      </c>
      <c r="P1438" s="54">
        <v>0</v>
      </c>
      <c r="Q1438" s="54">
        <v>3652.38</v>
      </c>
      <c r="R1438" s="54">
        <v>495.06</v>
      </c>
      <c r="S1438" s="54">
        <v>3104.94</v>
      </c>
      <c r="T1438" s="54">
        <v>3104.94</v>
      </c>
      <c r="U1438" s="54">
        <v>547.44000000000005</v>
      </c>
      <c r="V1438" s="54">
        <v>547.44000000000005</v>
      </c>
      <c r="W1438" s="54">
        <v>52.38</v>
      </c>
    </row>
    <row r="1439" spans="1:23" outlineLevel="2" x14ac:dyDescent="0.2">
      <c r="A1439" s="21" t="s">
        <v>836</v>
      </c>
      <c r="B1439" s="21" t="s">
        <v>39</v>
      </c>
      <c r="C1439" s="21" t="s">
        <v>58</v>
      </c>
      <c r="D1439" s="21" t="s">
        <v>59</v>
      </c>
      <c r="E1439" s="21" t="s">
        <v>60</v>
      </c>
      <c r="F1439" s="21" t="s">
        <v>837</v>
      </c>
      <c r="G1439" s="21" t="s">
        <v>838</v>
      </c>
      <c r="H1439" s="21" t="s">
        <v>852</v>
      </c>
      <c r="I1439" s="21" t="s">
        <v>853</v>
      </c>
      <c r="J1439" s="21" t="s">
        <v>841</v>
      </c>
      <c r="K1439" s="21" t="s">
        <v>844</v>
      </c>
      <c r="L1439" s="21" t="s">
        <v>845</v>
      </c>
      <c r="M1439" s="21" t="s">
        <v>15</v>
      </c>
      <c r="N1439" s="54">
        <v>2029.1</v>
      </c>
      <c r="O1439" s="54">
        <v>0</v>
      </c>
      <c r="P1439" s="54">
        <v>0</v>
      </c>
      <c r="Q1439" s="54">
        <v>2029.1</v>
      </c>
      <c r="R1439" s="54">
        <v>836.48</v>
      </c>
      <c r="S1439" s="54">
        <v>1163.52</v>
      </c>
      <c r="T1439" s="54">
        <v>1163.52</v>
      </c>
      <c r="U1439" s="54">
        <v>865.58</v>
      </c>
      <c r="V1439" s="54">
        <v>865.58</v>
      </c>
      <c r="W1439" s="54">
        <v>29.1</v>
      </c>
    </row>
    <row r="1440" spans="1:23" outlineLevel="2" x14ac:dyDescent="0.2">
      <c r="A1440" s="21" t="s">
        <v>836</v>
      </c>
      <c r="B1440" s="21" t="s">
        <v>39</v>
      </c>
      <c r="C1440" s="21" t="s">
        <v>58</v>
      </c>
      <c r="D1440" s="21" t="s">
        <v>129</v>
      </c>
      <c r="E1440" s="21" t="s">
        <v>130</v>
      </c>
      <c r="F1440" s="21" t="s">
        <v>837</v>
      </c>
      <c r="G1440" s="21" t="s">
        <v>838</v>
      </c>
      <c r="H1440" s="21" t="s">
        <v>852</v>
      </c>
      <c r="I1440" s="21" t="s">
        <v>853</v>
      </c>
      <c r="J1440" s="21" t="s">
        <v>841</v>
      </c>
      <c r="K1440" s="21" t="s">
        <v>844</v>
      </c>
      <c r="L1440" s="21" t="s">
        <v>845</v>
      </c>
      <c r="M1440" s="21" t="s">
        <v>15</v>
      </c>
      <c r="N1440" s="54">
        <v>405.82</v>
      </c>
      <c r="O1440" s="54">
        <v>0</v>
      </c>
      <c r="P1440" s="54">
        <v>0</v>
      </c>
      <c r="Q1440" s="54">
        <v>405.82</v>
      </c>
      <c r="R1440" s="54">
        <v>53.95</v>
      </c>
      <c r="S1440" s="54">
        <v>346.05</v>
      </c>
      <c r="T1440" s="54">
        <v>346.05</v>
      </c>
      <c r="U1440" s="54">
        <v>59.77</v>
      </c>
      <c r="V1440" s="54">
        <v>59.77</v>
      </c>
      <c r="W1440" s="54">
        <v>5.82</v>
      </c>
    </row>
    <row r="1441" spans="1:23" outlineLevel="2" x14ac:dyDescent="0.2">
      <c r="A1441" s="21" t="s">
        <v>836</v>
      </c>
      <c r="B1441" s="21" t="s">
        <v>39</v>
      </c>
      <c r="C1441" s="21" t="s">
        <v>58</v>
      </c>
      <c r="D1441" s="21" t="s">
        <v>147</v>
      </c>
      <c r="E1441" s="21" t="s">
        <v>148</v>
      </c>
      <c r="F1441" s="21" t="s">
        <v>837</v>
      </c>
      <c r="G1441" s="21" t="s">
        <v>838</v>
      </c>
      <c r="H1441" s="21" t="s">
        <v>852</v>
      </c>
      <c r="I1441" s="21" t="s">
        <v>853</v>
      </c>
      <c r="J1441" s="21" t="s">
        <v>841</v>
      </c>
      <c r="K1441" s="21" t="s">
        <v>844</v>
      </c>
      <c r="L1441" s="21" t="s">
        <v>845</v>
      </c>
      <c r="M1441" s="21" t="s">
        <v>15</v>
      </c>
      <c r="N1441" s="54">
        <v>6087.3</v>
      </c>
      <c r="O1441" s="54">
        <v>0</v>
      </c>
      <c r="P1441" s="54">
        <v>0</v>
      </c>
      <c r="Q1441" s="54">
        <v>6087.3</v>
      </c>
      <c r="R1441" s="54">
        <v>654.57000000000005</v>
      </c>
      <c r="S1441" s="54">
        <v>5345.43</v>
      </c>
      <c r="T1441" s="54">
        <v>5345.43</v>
      </c>
      <c r="U1441" s="54">
        <v>741.87</v>
      </c>
      <c r="V1441" s="54">
        <v>741.87</v>
      </c>
      <c r="W1441" s="54">
        <v>87.3</v>
      </c>
    </row>
    <row r="1442" spans="1:23" outlineLevel="2" x14ac:dyDescent="0.2">
      <c r="A1442" s="21" t="s">
        <v>836</v>
      </c>
      <c r="B1442" s="21" t="s">
        <v>39</v>
      </c>
      <c r="C1442" s="21" t="s">
        <v>58</v>
      </c>
      <c r="D1442" s="21" t="s">
        <v>137</v>
      </c>
      <c r="E1442" s="21" t="s">
        <v>138</v>
      </c>
      <c r="F1442" s="21" t="s">
        <v>837</v>
      </c>
      <c r="G1442" s="21" t="s">
        <v>838</v>
      </c>
      <c r="H1442" s="21" t="s">
        <v>852</v>
      </c>
      <c r="I1442" s="21" t="s">
        <v>853</v>
      </c>
      <c r="J1442" s="21" t="s">
        <v>841</v>
      </c>
      <c r="K1442" s="21" t="s">
        <v>844</v>
      </c>
      <c r="L1442" s="21" t="s">
        <v>845</v>
      </c>
      <c r="M1442" s="21" t="s">
        <v>15</v>
      </c>
      <c r="N1442" s="54">
        <v>2840.74</v>
      </c>
      <c r="O1442" s="54">
        <v>0</v>
      </c>
      <c r="P1442" s="54">
        <v>0</v>
      </c>
      <c r="Q1442" s="54">
        <v>2840.74</v>
      </c>
      <c r="R1442" s="54">
        <v>590</v>
      </c>
      <c r="S1442" s="54">
        <v>2210</v>
      </c>
      <c r="T1442" s="54">
        <v>2210</v>
      </c>
      <c r="U1442" s="54">
        <v>630.74</v>
      </c>
      <c r="V1442" s="54">
        <v>630.74</v>
      </c>
      <c r="W1442" s="54">
        <v>40.74</v>
      </c>
    </row>
    <row r="1443" spans="1:23" outlineLevel="2" x14ac:dyDescent="0.2">
      <c r="A1443" s="21" t="s">
        <v>836</v>
      </c>
      <c r="B1443" s="21" t="s">
        <v>39</v>
      </c>
      <c r="C1443" s="21" t="s">
        <v>58</v>
      </c>
      <c r="D1443" s="21" t="s">
        <v>135</v>
      </c>
      <c r="E1443" s="21" t="s">
        <v>136</v>
      </c>
      <c r="F1443" s="21" t="s">
        <v>837</v>
      </c>
      <c r="G1443" s="21" t="s">
        <v>838</v>
      </c>
      <c r="H1443" s="21" t="s">
        <v>852</v>
      </c>
      <c r="I1443" s="21" t="s">
        <v>853</v>
      </c>
      <c r="J1443" s="21" t="s">
        <v>841</v>
      </c>
      <c r="K1443" s="21" t="s">
        <v>844</v>
      </c>
      <c r="L1443" s="21" t="s">
        <v>845</v>
      </c>
      <c r="M1443" s="21" t="s">
        <v>15</v>
      </c>
      <c r="N1443" s="54">
        <v>5275.66</v>
      </c>
      <c r="O1443" s="54">
        <v>0</v>
      </c>
      <c r="P1443" s="54">
        <v>0</v>
      </c>
      <c r="Q1443" s="54">
        <v>5275.66</v>
      </c>
      <c r="R1443" s="54">
        <v>626.19000000000005</v>
      </c>
      <c r="S1443" s="54">
        <v>4573.8100000000004</v>
      </c>
      <c r="T1443" s="54">
        <v>4573.8100000000004</v>
      </c>
      <c r="U1443" s="54">
        <v>701.85</v>
      </c>
      <c r="V1443" s="54">
        <v>701.85</v>
      </c>
      <c r="W1443" s="54">
        <v>75.66</v>
      </c>
    </row>
    <row r="1444" spans="1:23" outlineLevel="2" x14ac:dyDescent="0.2">
      <c r="A1444" s="21" t="s">
        <v>836</v>
      </c>
      <c r="B1444" s="21" t="s">
        <v>39</v>
      </c>
      <c r="C1444" s="21" t="s">
        <v>58</v>
      </c>
      <c r="D1444" s="21" t="s">
        <v>149</v>
      </c>
      <c r="E1444" s="21" t="s">
        <v>150</v>
      </c>
      <c r="F1444" s="21" t="s">
        <v>837</v>
      </c>
      <c r="G1444" s="21" t="s">
        <v>838</v>
      </c>
      <c r="H1444" s="21" t="s">
        <v>852</v>
      </c>
      <c r="I1444" s="21" t="s">
        <v>853</v>
      </c>
      <c r="J1444" s="21" t="s">
        <v>841</v>
      </c>
      <c r="K1444" s="21" t="s">
        <v>854</v>
      </c>
      <c r="L1444" s="21" t="s">
        <v>855</v>
      </c>
      <c r="M1444" s="21" t="s">
        <v>15</v>
      </c>
      <c r="N1444" s="54">
        <v>0</v>
      </c>
      <c r="O1444" s="54">
        <v>880</v>
      </c>
      <c r="P1444" s="54">
        <v>0</v>
      </c>
      <c r="Q1444" s="54">
        <v>880</v>
      </c>
      <c r="R1444" s="54">
        <v>0</v>
      </c>
      <c r="S1444" s="54">
        <v>880</v>
      </c>
      <c r="T1444" s="54">
        <v>880</v>
      </c>
      <c r="U1444" s="54">
        <v>0</v>
      </c>
      <c r="V1444" s="54">
        <v>0</v>
      </c>
      <c r="W1444" s="54">
        <v>0</v>
      </c>
    </row>
    <row r="1445" spans="1:23" outlineLevel="2" x14ac:dyDescent="0.2">
      <c r="A1445" s="21" t="s">
        <v>836</v>
      </c>
      <c r="B1445" s="21" t="s">
        <v>39</v>
      </c>
      <c r="C1445" s="21" t="s">
        <v>58</v>
      </c>
      <c r="D1445" s="21" t="s">
        <v>143</v>
      </c>
      <c r="E1445" s="21" t="s">
        <v>144</v>
      </c>
      <c r="F1445" s="21" t="s">
        <v>837</v>
      </c>
      <c r="G1445" s="21" t="s">
        <v>838</v>
      </c>
      <c r="H1445" s="21" t="s">
        <v>852</v>
      </c>
      <c r="I1445" s="21" t="s">
        <v>853</v>
      </c>
      <c r="J1445" s="21" t="s">
        <v>841</v>
      </c>
      <c r="K1445" s="21" t="s">
        <v>854</v>
      </c>
      <c r="L1445" s="21" t="s">
        <v>855</v>
      </c>
      <c r="M1445" s="21" t="s">
        <v>15</v>
      </c>
      <c r="N1445" s="54">
        <v>0</v>
      </c>
      <c r="O1445" s="54">
        <v>1832.2</v>
      </c>
      <c r="P1445" s="54">
        <v>0</v>
      </c>
      <c r="Q1445" s="54">
        <v>1832.2</v>
      </c>
      <c r="R1445" s="54">
        <v>0</v>
      </c>
      <c r="S1445" s="54">
        <v>1832.1</v>
      </c>
      <c r="T1445" s="54">
        <v>1832.1</v>
      </c>
      <c r="U1445" s="54">
        <v>0.1</v>
      </c>
      <c r="V1445" s="54">
        <v>0.1</v>
      </c>
      <c r="W1445" s="54">
        <v>0.1</v>
      </c>
    </row>
    <row r="1446" spans="1:23" outlineLevel="2" x14ac:dyDescent="0.2">
      <c r="A1446" s="21" t="s">
        <v>836</v>
      </c>
      <c r="B1446" s="21" t="s">
        <v>39</v>
      </c>
      <c r="C1446" s="21" t="s">
        <v>58</v>
      </c>
      <c r="D1446" s="21" t="s">
        <v>59</v>
      </c>
      <c r="E1446" s="21" t="s">
        <v>60</v>
      </c>
      <c r="F1446" s="21" t="s">
        <v>837</v>
      </c>
      <c r="G1446" s="21" t="s">
        <v>838</v>
      </c>
      <c r="H1446" s="21" t="s">
        <v>852</v>
      </c>
      <c r="I1446" s="21" t="s">
        <v>853</v>
      </c>
      <c r="J1446" s="21" t="s">
        <v>841</v>
      </c>
      <c r="K1446" s="21" t="s">
        <v>854</v>
      </c>
      <c r="L1446" s="21" t="s">
        <v>855</v>
      </c>
      <c r="M1446" s="21" t="s">
        <v>15</v>
      </c>
      <c r="N1446" s="54">
        <v>0</v>
      </c>
      <c r="O1446" s="54">
        <v>1650</v>
      </c>
      <c r="P1446" s="54">
        <v>0</v>
      </c>
      <c r="Q1446" s="54">
        <v>1650</v>
      </c>
      <c r="R1446" s="54">
        <v>0</v>
      </c>
      <c r="S1446" s="54">
        <v>1650</v>
      </c>
      <c r="T1446" s="54">
        <v>1650</v>
      </c>
      <c r="U1446" s="54">
        <v>0</v>
      </c>
      <c r="V1446" s="54">
        <v>0</v>
      </c>
      <c r="W1446" s="54">
        <v>0</v>
      </c>
    </row>
    <row r="1447" spans="1:23" outlineLevel="2" x14ac:dyDescent="0.2">
      <c r="A1447" s="21" t="s">
        <v>836</v>
      </c>
      <c r="B1447" s="21" t="s">
        <v>39</v>
      </c>
      <c r="C1447" s="21" t="s">
        <v>58</v>
      </c>
      <c r="D1447" s="21" t="s">
        <v>147</v>
      </c>
      <c r="E1447" s="21" t="s">
        <v>148</v>
      </c>
      <c r="F1447" s="21" t="s">
        <v>837</v>
      </c>
      <c r="G1447" s="21" t="s">
        <v>838</v>
      </c>
      <c r="H1447" s="21" t="s">
        <v>852</v>
      </c>
      <c r="I1447" s="21" t="s">
        <v>853</v>
      </c>
      <c r="J1447" s="21" t="s">
        <v>841</v>
      </c>
      <c r="K1447" s="21" t="s">
        <v>854</v>
      </c>
      <c r="L1447" s="21" t="s">
        <v>855</v>
      </c>
      <c r="M1447" s="21" t="s">
        <v>15</v>
      </c>
      <c r="N1447" s="54">
        <v>0</v>
      </c>
      <c r="O1447" s="54">
        <v>850</v>
      </c>
      <c r="P1447" s="54">
        <v>0</v>
      </c>
      <c r="Q1447" s="54">
        <v>850</v>
      </c>
      <c r="R1447" s="54">
        <v>0</v>
      </c>
      <c r="S1447" s="54">
        <v>826.2</v>
      </c>
      <c r="T1447" s="54">
        <v>826.2</v>
      </c>
      <c r="U1447" s="54">
        <v>23.8</v>
      </c>
      <c r="V1447" s="54">
        <v>23.8</v>
      </c>
      <c r="W1447" s="54">
        <v>23.8</v>
      </c>
    </row>
    <row r="1448" spans="1:23" outlineLevel="2" x14ac:dyDescent="0.2">
      <c r="A1448" s="21" t="s">
        <v>836</v>
      </c>
      <c r="B1448" s="21" t="s">
        <v>39</v>
      </c>
      <c r="C1448" s="21" t="s">
        <v>58</v>
      </c>
      <c r="D1448" s="21" t="s">
        <v>139</v>
      </c>
      <c r="E1448" s="21" t="s">
        <v>140</v>
      </c>
      <c r="F1448" s="21" t="s">
        <v>837</v>
      </c>
      <c r="G1448" s="21" t="s">
        <v>838</v>
      </c>
      <c r="H1448" s="21" t="s">
        <v>852</v>
      </c>
      <c r="I1448" s="21" t="s">
        <v>853</v>
      </c>
      <c r="J1448" s="21" t="s">
        <v>841</v>
      </c>
      <c r="K1448" s="21" t="s">
        <v>854</v>
      </c>
      <c r="L1448" s="21" t="s">
        <v>855</v>
      </c>
      <c r="M1448" s="21" t="s">
        <v>15</v>
      </c>
      <c r="N1448" s="54">
        <v>0</v>
      </c>
      <c r="O1448" s="54">
        <v>1500</v>
      </c>
      <c r="P1448" s="54">
        <v>0</v>
      </c>
      <c r="Q1448" s="54">
        <v>1500</v>
      </c>
      <c r="R1448" s="54">
        <v>0</v>
      </c>
      <c r="S1448" s="54">
        <v>1285.2</v>
      </c>
      <c r="T1448" s="54">
        <v>1285.2</v>
      </c>
      <c r="U1448" s="54">
        <v>214.8</v>
      </c>
      <c r="V1448" s="54">
        <v>214.8</v>
      </c>
      <c r="W1448" s="54">
        <v>214.8</v>
      </c>
    </row>
    <row r="1449" spans="1:23" outlineLevel="2" x14ac:dyDescent="0.2">
      <c r="A1449" s="21" t="s">
        <v>836</v>
      </c>
      <c r="B1449" s="21" t="s">
        <v>39</v>
      </c>
      <c r="C1449" s="21" t="s">
        <v>58</v>
      </c>
      <c r="D1449" s="21" t="s">
        <v>137</v>
      </c>
      <c r="E1449" s="21" t="s">
        <v>138</v>
      </c>
      <c r="F1449" s="21" t="s">
        <v>837</v>
      </c>
      <c r="G1449" s="21" t="s">
        <v>838</v>
      </c>
      <c r="H1449" s="21" t="s">
        <v>852</v>
      </c>
      <c r="I1449" s="21" t="s">
        <v>853</v>
      </c>
      <c r="J1449" s="21" t="s">
        <v>841</v>
      </c>
      <c r="K1449" s="21" t="s">
        <v>854</v>
      </c>
      <c r="L1449" s="21" t="s">
        <v>855</v>
      </c>
      <c r="M1449" s="21" t="s">
        <v>15</v>
      </c>
      <c r="N1449" s="54">
        <v>0</v>
      </c>
      <c r="O1449" s="54">
        <v>550</v>
      </c>
      <c r="P1449" s="54">
        <v>0</v>
      </c>
      <c r="Q1449" s="54">
        <v>550</v>
      </c>
      <c r="R1449" s="54">
        <v>0</v>
      </c>
      <c r="S1449" s="54">
        <v>544.66999999999996</v>
      </c>
      <c r="T1449" s="54">
        <v>544.66999999999996</v>
      </c>
      <c r="U1449" s="54">
        <v>5.33</v>
      </c>
      <c r="V1449" s="54">
        <v>5.33</v>
      </c>
      <c r="W1449" s="54">
        <v>5.33</v>
      </c>
    </row>
    <row r="1450" spans="1:23" outlineLevel="2" x14ac:dyDescent="0.2">
      <c r="A1450" s="21" t="s">
        <v>836</v>
      </c>
      <c r="B1450" s="21" t="s">
        <v>39</v>
      </c>
      <c r="C1450" s="21" t="s">
        <v>58</v>
      </c>
      <c r="D1450" s="21" t="s">
        <v>145</v>
      </c>
      <c r="E1450" s="21" t="s">
        <v>146</v>
      </c>
      <c r="F1450" s="21" t="s">
        <v>837</v>
      </c>
      <c r="G1450" s="21" t="s">
        <v>838</v>
      </c>
      <c r="H1450" s="21" t="s">
        <v>852</v>
      </c>
      <c r="I1450" s="21" t="s">
        <v>853</v>
      </c>
      <c r="J1450" s="21" t="s">
        <v>841</v>
      </c>
      <c r="K1450" s="21" t="s">
        <v>854</v>
      </c>
      <c r="L1450" s="21" t="s">
        <v>855</v>
      </c>
      <c r="M1450" s="21" t="s">
        <v>15</v>
      </c>
      <c r="N1450" s="54">
        <v>0</v>
      </c>
      <c r="O1450" s="54">
        <v>2025.33</v>
      </c>
      <c r="P1450" s="54">
        <v>0</v>
      </c>
      <c r="Q1450" s="54">
        <v>2025.33</v>
      </c>
      <c r="R1450" s="54">
        <v>0</v>
      </c>
      <c r="S1450" s="54">
        <v>2024.8</v>
      </c>
      <c r="T1450" s="54">
        <v>2024.8</v>
      </c>
      <c r="U1450" s="54">
        <v>0.53</v>
      </c>
      <c r="V1450" s="54">
        <v>0.53</v>
      </c>
      <c r="W1450" s="54">
        <v>0.53</v>
      </c>
    </row>
    <row r="1451" spans="1:23" outlineLevel="2" x14ac:dyDescent="0.2">
      <c r="A1451" s="21" t="s">
        <v>836</v>
      </c>
      <c r="B1451" s="21" t="s">
        <v>39</v>
      </c>
      <c r="C1451" s="21" t="s">
        <v>58</v>
      </c>
      <c r="D1451" s="21" t="s">
        <v>59</v>
      </c>
      <c r="E1451" s="21" t="s">
        <v>60</v>
      </c>
      <c r="F1451" s="21" t="s">
        <v>837</v>
      </c>
      <c r="G1451" s="21" t="s">
        <v>838</v>
      </c>
      <c r="H1451" s="21" t="s">
        <v>852</v>
      </c>
      <c r="I1451" s="21" t="s">
        <v>853</v>
      </c>
      <c r="J1451" s="21" t="s">
        <v>841</v>
      </c>
      <c r="K1451" s="21" t="s">
        <v>846</v>
      </c>
      <c r="L1451" s="21" t="s">
        <v>847</v>
      </c>
      <c r="M1451" s="21" t="s">
        <v>15</v>
      </c>
      <c r="N1451" s="54">
        <v>54840</v>
      </c>
      <c r="O1451" s="54">
        <v>0</v>
      </c>
      <c r="P1451" s="54">
        <v>0</v>
      </c>
      <c r="Q1451" s="54">
        <v>54840</v>
      </c>
      <c r="R1451" s="54">
        <v>12550</v>
      </c>
      <c r="S1451" s="54">
        <v>42290</v>
      </c>
      <c r="T1451" s="54">
        <v>42290</v>
      </c>
      <c r="U1451" s="54">
        <v>12550</v>
      </c>
      <c r="V1451" s="54">
        <v>12550</v>
      </c>
      <c r="W1451" s="54">
        <v>0</v>
      </c>
    </row>
    <row r="1452" spans="1:23" outlineLevel="2" x14ac:dyDescent="0.2">
      <c r="A1452" s="21" t="s">
        <v>836</v>
      </c>
      <c r="B1452" s="21" t="s">
        <v>39</v>
      </c>
      <c r="C1452" s="21" t="s">
        <v>58</v>
      </c>
      <c r="D1452" s="21" t="s">
        <v>129</v>
      </c>
      <c r="E1452" s="21" t="s">
        <v>130</v>
      </c>
      <c r="F1452" s="21" t="s">
        <v>837</v>
      </c>
      <c r="G1452" s="21" t="s">
        <v>838</v>
      </c>
      <c r="H1452" s="21" t="s">
        <v>852</v>
      </c>
      <c r="I1452" s="21" t="s">
        <v>853</v>
      </c>
      <c r="J1452" s="21" t="s">
        <v>841</v>
      </c>
      <c r="K1452" s="21" t="s">
        <v>846</v>
      </c>
      <c r="L1452" s="21" t="s">
        <v>847</v>
      </c>
      <c r="M1452" s="21" t="s">
        <v>15</v>
      </c>
      <c r="N1452" s="54">
        <v>9804</v>
      </c>
      <c r="O1452" s="54">
        <v>0</v>
      </c>
      <c r="P1452" s="54">
        <v>0</v>
      </c>
      <c r="Q1452" s="54">
        <v>9804</v>
      </c>
      <c r="R1452" s="54">
        <v>1634</v>
      </c>
      <c r="S1452" s="54">
        <v>8170</v>
      </c>
      <c r="T1452" s="54">
        <v>8170</v>
      </c>
      <c r="U1452" s="54">
        <v>1634</v>
      </c>
      <c r="V1452" s="54">
        <v>1634</v>
      </c>
      <c r="W1452" s="54">
        <v>0</v>
      </c>
    </row>
    <row r="1453" spans="1:23" outlineLevel="2" x14ac:dyDescent="0.2">
      <c r="A1453" s="21" t="s">
        <v>836</v>
      </c>
      <c r="B1453" s="21" t="s">
        <v>39</v>
      </c>
      <c r="C1453" s="21" t="s">
        <v>58</v>
      </c>
      <c r="D1453" s="21" t="s">
        <v>147</v>
      </c>
      <c r="E1453" s="21" t="s">
        <v>148</v>
      </c>
      <c r="F1453" s="21" t="s">
        <v>837</v>
      </c>
      <c r="G1453" s="21" t="s">
        <v>838</v>
      </c>
      <c r="H1453" s="21" t="s">
        <v>852</v>
      </c>
      <c r="I1453" s="21" t="s">
        <v>853</v>
      </c>
      <c r="J1453" s="21" t="s">
        <v>841</v>
      </c>
      <c r="K1453" s="21" t="s">
        <v>846</v>
      </c>
      <c r="L1453" s="21" t="s">
        <v>847</v>
      </c>
      <c r="M1453" s="21" t="s">
        <v>15</v>
      </c>
      <c r="N1453" s="54">
        <v>158940</v>
      </c>
      <c r="O1453" s="54">
        <v>0</v>
      </c>
      <c r="P1453" s="54">
        <v>0</v>
      </c>
      <c r="Q1453" s="54">
        <v>158940</v>
      </c>
      <c r="R1453" s="54">
        <v>28781.94</v>
      </c>
      <c r="S1453" s="54">
        <v>130158.06</v>
      </c>
      <c r="T1453" s="54">
        <v>130158.06</v>
      </c>
      <c r="U1453" s="54">
        <v>28781.94</v>
      </c>
      <c r="V1453" s="54">
        <v>28781.94</v>
      </c>
      <c r="W1453" s="54">
        <v>0</v>
      </c>
    </row>
    <row r="1454" spans="1:23" outlineLevel="2" x14ac:dyDescent="0.2">
      <c r="A1454" s="21" t="s">
        <v>836</v>
      </c>
      <c r="B1454" s="21" t="s">
        <v>39</v>
      </c>
      <c r="C1454" s="21" t="s">
        <v>58</v>
      </c>
      <c r="D1454" s="21" t="s">
        <v>143</v>
      </c>
      <c r="E1454" s="21" t="s">
        <v>144</v>
      </c>
      <c r="F1454" s="21" t="s">
        <v>837</v>
      </c>
      <c r="G1454" s="21" t="s">
        <v>838</v>
      </c>
      <c r="H1454" s="21" t="s">
        <v>852</v>
      </c>
      <c r="I1454" s="21" t="s">
        <v>853</v>
      </c>
      <c r="J1454" s="21" t="s">
        <v>841</v>
      </c>
      <c r="K1454" s="21" t="s">
        <v>846</v>
      </c>
      <c r="L1454" s="21" t="s">
        <v>847</v>
      </c>
      <c r="M1454" s="21" t="s">
        <v>15</v>
      </c>
      <c r="N1454" s="54">
        <v>157728</v>
      </c>
      <c r="O1454" s="54">
        <v>0</v>
      </c>
      <c r="P1454" s="54">
        <v>0</v>
      </c>
      <c r="Q1454" s="54">
        <v>157728</v>
      </c>
      <c r="R1454" s="54">
        <v>36199.800000000003</v>
      </c>
      <c r="S1454" s="54">
        <v>121528.2</v>
      </c>
      <c r="T1454" s="54">
        <v>121528.2</v>
      </c>
      <c r="U1454" s="54">
        <v>36199.800000000003</v>
      </c>
      <c r="V1454" s="54">
        <v>36199.800000000003</v>
      </c>
      <c r="W1454" s="54">
        <v>0</v>
      </c>
    </row>
    <row r="1455" spans="1:23" outlineLevel="2" x14ac:dyDescent="0.2">
      <c r="A1455" s="21" t="s">
        <v>836</v>
      </c>
      <c r="B1455" s="21" t="s">
        <v>39</v>
      </c>
      <c r="C1455" s="21" t="s">
        <v>58</v>
      </c>
      <c r="D1455" s="21" t="s">
        <v>149</v>
      </c>
      <c r="E1455" s="21" t="s">
        <v>150</v>
      </c>
      <c r="F1455" s="21" t="s">
        <v>837</v>
      </c>
      <c r="G1455" s="21" t="s">
        <v>838</v>
      </c>
      <c r="H1455" s="21" t="s">
        <v>852</v>
      </c>
      <c r="I1455" s="21" t="s">
        <v>853</v>
      </c>
      <c r="J1455" s="21" t="s">
        <v>841</v>
      </c>
      <c r="K1455" s="21" t="s">
        <v>846</v>
      </c>
      <c r="L1455" s="21" t="s">
        <v>847</v>
      </c>
      <c r="M1455" s="21" t="s">
        <v>15</v>
      </c>
      <c r="N1455" s="54">
        <v>128316</v>
      </c>
      <c r="O1455" s="54">
        <v>0</v>
      </c>
      <c r="P1455" s="54">
        <v>0</v>
      </c>
      <c r="Q1455" s="54">
        <v>128316</v>
      </c>
      <c r="R1455" s="54">
        <v>30675.599999999999</v>
      </c>
      <c r="S1455" s="54">
        <v>97640.4</v>
      </c>
      <c r="T1455" s="54">
        <v>97640.4</v>
      </c>
      <c r="U1455" s="54">
        <v>30675.599999999999</v>
      </c>
      <c r="V1455" s="54">
        <v>30675.599999999999</v>
      </c>
      <c r="W1455" s="54">
        <v>0</v>
      </c>
    </row>
    <row r="1456" spans="1:23" outlineLevel="2" x14ac:dyDescent="0.2">
      <c r="A1456" s="21" t="s">
        <v>836</v>
      </c>
      <c r="B1456" s="21" t="s">
        <v>39</v>
      </c>
      <c r="C1456" s="21" t="s">
        <v>58</v>
      </c>
      <c r="D1456" s="21" t="s">
        <v>137</v>
      </c>
      <c r="E1456" s="21" t="s">
        <v>138</v>
      </c>
      <c r="F1456" s="21" t="s">
        <v>837</v>
      </c>
      <c r="G1456" s="21" t="s">
        <v>838</v>
      </c>
      <c r="H1456" s="21" t="s">
        <v>852</v>
      </c>
      <c r="I1456" s="21" t="s">
        <v>853</v>
      </c>
      <c r="J1456" s="21" t="s">
        <v>841</v>
      </c>
      <c r="K1456" s="21" t="s">
        <v>846</v>
      </c>
      <c r="L1456" s="21" t="s">
        <v>847</v>
      </c>
      <c r="M1456" s="21" t="s">
        <v>15</v>
      </c>
      <c r="N1456" s="54">
        <v>75660</v>
      </c>
      <c r="O1456" s="54">
        <v>0</v>
      </c>
      <c r="P1456" s="54">
        <v>0</v>
      </c>
      <c r="Q1456" s="54">
        <v>75660</v>
      </c>
      <c r="R1456" s="54">
        <v>17418.5</v>
      </c>
      <c r="S1456" s="54">
        <v>58241.5</v>
      </c>
      <c r="T1456" s="54">
        <v>58241.5</v>
      </c>
      <c r="U1456" s="54">
        <v>17418.5</v>
      </c>
      <c r="V1456" s="54">
        <v>17418.5</v>
      </c>
      <c r="W1456" s="54">
        <v>0</v>
      </c>
    </row>
    <row r="1457" spans="1:23" outlineLevel="2" x14ac:dyDescent="0.2">
      <c r="A1457" s="21" t="s">
        <v>836</v>
      </c>
      <c r="B1457" s="21" t="s">
        <v>39</v>
      </c>
      <c r="C1457" s="21" t="s">
        <v>58</v>
      </c>
      <c r="D1457" s="21" t="s">
        <v>145</v>
      </c>
      <c r="E1457" s="21" t="s">
        <v>146</v>
      </c>
      <c r="F1457" s="21" t="s">
        <v>837</v>
      </c>
      <c r="G1457" s="21" t="s">
        <v>838</v>
      </c>
      <c r="H1457" s="21" t="s">
        <v>852</v>
      </c>
      <c r="I1457" s="21" t="s">
        <v>853</v>
      </c>
      <c r="J1457" s="21" t="s">
        <v>841</v>
      </c>
      <c r="K1457" s="21" t="s">
        <v>846</v>
      </c>
      <c r="L1457" s="21" t="s">
        <v>847</v>
      </c>
      <c r="M1457" s="21" t="s">
        <v>15</v>
      </c>
      <c r="N1457" s="54">
        <v>96480</v>
      </c>
      <c r="O1457" s="54">
        <v>0</v>
      </c>
      <c r="P1457" s="54">
        <v>0</v>
      </c>
      <c r="Q1457" s="54">
        <v>96480</v>
      </c>
      <c r="R1457" s="54">
        <v>11894.37</v>
      </c>
      <c r="S1457" s="54">
        <v>84585.63</v>
      </c>
      <c r="T1457" s="54">
        <v>84585.63</v>
      </c>
      <c r="U1457" s="54">
        <v>11894.37</v>
      </c>
      <c r="V1457" s="54">
        <v>11894.37</v>
      </c>
      <c r="W1457" s="54">
        <v>0</v>
      </c>
    </row>
    <row r="1458" spans="1:23" outlineLevel="2" x14ac:dyDescent="0.2">
      <c r="A1458" s="21" t="s">
        <v>836</v>
      </c>
      <c r="B1458" s="21" t="s">
        <v>39</v>
      </c>
      <c r="C1458" s="21" t="s">
        <v>58</v>
      </c>
      <c r="D1458" s="21" t="s">
        <v>139</v>
      </c>
      <c r="E1458" s="21" t="s">
        <v>140</v>
      </c>
      <c r="F1458" s="21" t="s">
        <v>837</v>
      </c>
      <c r="G1458" s="21" t="s">
        <v>838</v>
      </c>
      <c r="H1458" s="21" t="s">
        <v>852</v>
      </c>
      <c r="I1458" s="21" t="s">
        <v>853</v>
      </c>
      <c r="J1458" s="21" t="s">
        <v>841</v>
      </c>
      <c r="K1458" s="21" t="s">
        <v>846</v>
      </c>
      <c r="L1458" s="21" t="s">
        <v>847</v>
      </c>
      <c r="M1458" s="21" t="s">
        <v>15</v>
      </c>
      <c r="N1458" s="54">
        <v>138120</v>
      </c>
      <c r="O1458" s="54">
        <v>0</v>
      </c>
      <c r="P1458" s="54">
        <v>0</v>
      </c>
      <c r="Q1458" s="54">
        <v>138120</v>
      </c>
      <c r="R1458" s="54">
        <v>27278.67</v>
      </c>
      <c r="S1458" s="54">
        <v>110841.33</v>
      </c>
      <c r="T1458" s="54">
        <v>110841.33</v>
      </c>
      <c r="U1458" s="54">
        <v>27278.67</v>
      </c>
      <c r="V1458" s="54">
        <v>27278.67</v>
      </c>
      <c r="W1458" s="54">
        <v>0</v>
      </c>
    </row>
    <row r="1459" spans="1:23" outlineLevel="2" x14ac:dyDescent="0.2">
      <c r="A1459" s="21" t="s">
        <v>836</v>
      </c>
      <c r="B1459" s="21" t="s">
        <v>39</v>
      </c>
      <c r="C1459" s="21" t="s">
        <v>58</v>
      </c>
      <c r="D1459" s="21" t="s">
        <v>135</v>
      </c>
      <c r="E1459" s="21" t="s">
        <v>136</v>
      </c>
      <c r="F1459" s="21" t="s">
        <v>837</v>
      </c>
      <c r="G1459" s="21" t="s">
        <v>838</v>
      </c>
      <c r="H1459" s="21" t="s">
        <v>852</v>
      </c>
      <c r="I1459" s="21" t="s">
        <v>853</v>
      </c>
      <c r="J1459" s="21" t="s">
        <v>841</v>
      </c>
      <c r="K1459" s="21" t="s">
        <v>846</v>
      </c>
      <c r="L1459" s="21" t="s">
        <v>847</v>
      </c>
      <c r="M1459" s="21" t="s">
        <v>15</v>
      </c>
      <c r="N1459" s="54">
        <v>138120</v>
      </c>
      <c r="O1459" s="54">
        <v>0</v>
      </c>
      <c r="P1459" s="54">
        <v>0</v>
      </c>
      <c r="Q1459" s="54">
        <v>138120</v>
      </c>
      <c r="R1459" s="54">
        <v>31097.53</v>
      </c>
      <c r="S1459" s="54">
        <v>107022.47</v>
      </c>
      <c r="T1459" s="54">
        <v>107022.47</v>
      </c>
      <c r="U1459" s="54">
        <v>31097.53</v>
      </c>
      <c r="V1459" s="54">
        <v>31097.53</v>
      </c>
      <c r="W1459" s="54">
        <v>0</v>
      </c>
    </row>
    <row r="1460" spans="1:23" outlineLevel="2" x14ac:dyDescent="0.2">
      <c r="A1460" s="21" t="s">
        <v>836</v>
      </c>
      <c r="B1460" s="21" t="s">
        <v>39</v>
      </c>
      <c r="C1460" s="21" t="s">
        <v>58</v>
      </c>
      <c r="D1460" s="21" t="s">
        <v>105</v>
      </c>
      <c r="E1460" s="21" t="s">
        <v>106</v>
      </c>
      <c r="F1460" s="21" t="s">
        <v>837</v>
      </c>
      <c r="G1460" s="21" t="s">
        <v>838</v>
      </c>
      <c r="H1460" s="21" t="s">
        <v>852</v>
      </c>
      <c r="I1460" s="21" t="s">
        <v>853</v>
      </c>
      <c r="J1460" s="21" t="s">
        <v>841</v>
      </c>
      <c r="K1460" s="21" t="s">
        <v>846</v>
      </c>
      <c r="L1460" s="21" t="s">
        <v>847</v>
      </c>
      <c r="M1460" s="21" t="s">
        <v>15</v>
      </c>
      <c r="N1460" s="54">
        <v>28236</v>
      </c>
      <c r="O1460" s="54">
        <v>0</v>
      </c>
      <c r="P1460" s="54">
        <v>0</v>
      </c>
      <c r="Q1460" s="54">
        <v>28236</v>
      </c>
      <c r="R1460" s="54">
        <v>4706</v>
      </c>
      <c r="S1460" s="54">
        <v>23530</v>
      </c>
      <c r="T1460" s="54">
        <v>23530</v>
      </c>
      <c r="U1460" s="54">
        <v>4706</v>
      </c>
      <c r="V1460" s="54">
        <v>4706</v>
      </c>
      <c r="W1460" s="54">
        <v>0</v>
      </c>
    </row>
    <row r="1461" spans="1:23" outlineLevel="2" x14ac:dyDescent="0.2">
      <c r="A1461" s="21" t="s">
        <v>836</v>
      </c>
      <c r="B1461" s="21" t="s">
        <v>39</v>
      </c>
      <c r="C1461" s="21" t="s">
        <v>58</v>
      </c>
      <c r="D1461" s="21" t="s">
        <v>135</v>
      </c>
      <c r="E1461" s="21" t="s">
        <v>136</v>
      </c>
      <c r="F1461" s="21" t="s">
        <v>837</v>
      </c>
      <c r="G1461" s="21" t="s">
        <v>838</v>
      </c>
      <c r="H1461" s="21" t="s">
        <v>852</v>
      </c>
      <c r="I1461" s="21" t="s">
        <v>853</v>
      </c>
      <c r="J1461" s="21" t="s">
        <v>841</v>
      </c>
      <c r="K1461" s="21" t="s">
        <v>848</v>
      </c>
      <c r="L1461" s="21" t="s">
        <v>849</v>
      </c>
      <c r="M1461" s="21" t="s">
        <v>15</v>
      </c>
      <c r="N1461" s="54">
        <v>17472.18</v>
      </c>
      <c r="O1461" s="54">
        <v>0</v>
      </c>
      <c r="P1461" s="54">
        <v>0</v>
      </c>
      <c r="Q1461" s="54">
        <v>17472.18</v>
      </c>
      <c r="R1461" s="54">
        <v>4023.88</v>
      </c>
      <c r="S1461" s="54">
        <v>13448.3</v>
      </c>
      <c r="T1461" s="54">
        <v>13448.3</v>
      </c>
      <c r="U1461" s="54">
        <v>4023.88</v>
      </c>
      <c r="V1461" s="54">
        <v>4023.88</v>
      </c>
      <c r="W1461" s="54">
        <v>0</v>
      </c>
    </row>
    <row r="1462" spans="1:23" outlineLevel="2" x14ac:dyDescent="0.2">
      <c r="A1462" s="21" t="s">
        <v>836</v>
      </c>
      <c r="B1462" s="21" t="s">
        <v>39</v>
      </c>
      <c r="C1462" s="21" t="s">
        <v>58</v>
      </c>
      <c r="D1462" s="21" t="s">
        <v>59</v>
      </c>
      <c r="E1462" s="21" t="s">
        <v>60</v>
      </c>
      <c r="F1462" s="21" t="s">
        <v>837</v>
      </c>
      <c r="G1462" s="21" t="s">
        <v>838</v>
      </c>
      <c r="H1462" s="21" t="s">
        <v>852</v>
      </c>
      <c r="I1462" s="21" t="s">
        <v>853</v>
      </c>
      <c r="J1462" s="21" t="s">
        <v>841</v>
      </c>
      <c r="K1462" s="21" t="s">
        <v>848</v>
      </c>
      <c r="L1462" s="21" t="s">
        <v>849</v>
      </c>
      <c r="M1462" s="21" t="s">
        <v>15</v>
      </c>
      <c r="N1462" s="54">
        <v>6937.26</v>
      </c>
      <c r="O1462" s="54">
        <v>0</v>
      </c>
      <c r="P1462" s="54">
        <v>0</v>
      </c>
      <c r="Q1462" s="54">
        <v>6937.26</v>
      </c>
      <c r="R1462" s="54">
        <v>1378.8</v>
      </c>
      <c r="S1462" s="54">
        <v>5558.46</v>
      </c>
      <c r="T1462" s="54">
        <v>5558.46</v>
      </c>
      <c r="U1462" s="54">
        <v>1378.8</v>
      </c>
      <c r="V1462" s="54">
        <v>1378.8</v>
      </c>
      <c r="W1462" s="54">
        <v>0</v>
      </c>
    </row>
    <row r="1463" spans="1:23" outlineLevel="2" x14ac:dyDescent="0.2">
      <c r="A1463" s="21" t="s">
        <v>836</v>
      </c>
      <c r="B1463" s="21" t="s">
        <v>39</v>
      </c>
      <c r="C1463" s="21" t="s">
        <v>58</v>
      </c>
      <c r="D1463" s="21" t="s">
        <v>145</v>
      </c>
      <c r="E1463" s="21" t="s">
        <v>146</v>
      </c>
      <c r="F1463" s="21" t="s">
        <v>837</v>
      </c>
      <c r="G1463" s="21" t="s">
        <v>838</v>
      </c>
      <c r="H1463" s="21" t="s">
        <v>852</v>
      </c>
      <c r="I1463" s="21" t="s">
        <v>853</v>
      </c>
      <c r="J1463" s="21" t="s">
        <v>841</v>
      </c>
      <c r="K1463" s="21" t="s">
        <v>848</v>
      </c>
      <c r="L1463" s="21" t="s">
        <v>849</v>
      </c>
      <c r="M1463" s="21" t="s">
        <v>15</v>
      </c>
      <c r="N1463" s="54">
        <v>12204.72</v>
      </c>
      <c r="O1463" s="54">
        <v>0</v>
      </c>
      <c r="P1463" s="54">
        <v>0</v>
      </c>
      <c r="Q1463" s="54">
        <v>12204.72</v>
      </c>
      <c r="R1463" s="54">
        <v>1248.4100000000001</v>
      </c>
      <c r="S1463" s="54">
        <v>10956.31</v>
      </c>
      <c r="T1463" s="54">
        <v>10956.31</v>
      </c>
      <c r="U1463" s="54">
        <v>1248.4100000000001</v>
      </c>
      <c r="V1463" s="54">
        <v>1248.4100000000001</v>
      </c>
      <c r="W1463" s="54">
        <v>0</v>
      </c>
    </row>
    <row r="1464" spans="1:23" outlineLevel="2" x14ac:dyDescent="0.2">
      <c r="A1464" s="21" t="s">
        <v>836</v>
      </c>
      <c r="B1464" s="21" t="s">
        <v>39</v>
      </c>
      <c r="C1464" s="21" t="s">
        <v>58</v>
      </c>
      <c r="D1464" s="21" t="s">
        <v>129</v>
      </c>
      <c r="E1464" s="21" t="s">
        <v>130</v>
      </c>
      <c r="F1464" s="21" t="s">
        <v>837</v>
      </c>
      <c r="G1464" s="21" t="s">
        <v>838</v>
      </c>
      <c r="H1464" s="21" t="s">
        <v>852</v>
      </c>
      <c r="I1464" s="21" t="s">
        <v>853</v>
      </c>
      <c r="J1464" s="21" t="s">
        <v>841</v>
      </c>
      <c r="K1464" s="21" t="s">
        <v>848</v>
      </c>
      <c r="L1464" s="21" t="s">
        <v>849</v>
      </c>
      <c r="M1464" s="21" t="s">
        <v>15</v>
      </c>
      <c r="N1464" s="54">
        <v>1240.21</v>
      </c>
      <c r="O1464" s="54">
        <v>0</v>
      </c>
      <c r="P1464" s="54">
        <v>0</v>
      </c>
      <c r="Q1464" s="54">
        <v>1240.21</v>
      </c>
      <c r="R1464" s="54">
        <v>206.71</v>
      </c>
      <c r="S1464" s="54">
        <v>1033.5</v>
      </c>
      <c r="T1464" s="54">
        <v>1033.5</v>
      </c>
      <c r="U1464" s="54">
        <v>206.71</v>
      </c>
      <c r="V1464" s="54">
        <v>206.71</v>
      </c>
      <c r="W1464" s="54">
        <v>0</v>
      </c>
    </row>
    <row r="1465" spans="1:23" outlineLevel="2" x14ac:dyDescent="0.2">
      <c r="A1465" s="21" t="s">
        <v>836</v>
      </c>
      <c r="B1465" s="21" t="s">
        <v>39</v>
      </c>
      <c r="C1465" s="21" t="s">
        <v>58</v>
      </c>
      <c r="D1465" s="21" t="s">
        <v>105</v>
      </c>
      <c r="E1465" s="21" t="s">
        <v>106</v>
      </c>
      <c r="F1465" s="21" t="s">
        <v>837</v>
      </c>
      <c r="G1465" s="21" t="s">
        <v>838</v>
      </c>
      <c r="H1465" s="21" t="s">
        <v>852</v>
      </c>
      <c r="I1465" s="21" t="s">
        <v>853</v>
      </c>
      <c r="J1465" s="21" t="s">
        <v>841</v>
      </c>
      <c r="K1465" s="21" t="s">
        <v>848</v>
      </c>
      <c r="L1465" s="21" t="s">
        <v>849</v>
      </c>
      <c r="M1465" s="21" t="s">
        <v>15</v>
      </c>
      <c r="N1465" s="54">
        <v>3571.85</v>
      </c>
      <c r="O1465" s="54">
        <v>0</v>
      </c>
      <c r="P1465" s="54">
        <v>0</v>
      </c>
      <c r="Q1465" s="54">
        <v>3571.85</v>
      </c>
      <c r="R1465" s="54">
        <v>595.35</v>
      </c>
      <c r="S1465" s="54">
        <v>2976.5</v>
      </c>
      <c r="T1465" s="54">
        <v>2976.5</v>
      </c>
      <c r="U1465" s="54">
        <v>595.35</v>
      </c>
      <c r="V1465" s="54">
        <v>595.35</v>
      </c>
      <c r="W1465" s="54">
        <v>0</v>
      </c>
    </row>
    <row r="1466" spans="1:23" outlineLevel="2" x14ac:dyDescent="0.2">
      <c r="A1466" s="21" t="s">
        <v>836</v>
      </c>
      <c r="B1466" s="21" t="s">
        <v>39</v>
      </c>
      <c r="C1466" s="21" t="s">
        <v>58</v>
      </c>
      <c r="D1466" s="21" t="s">
        <v>147</v>
      </c>
      <c r="E1466" s="21" t="s">
        <v>148</v>
      </c>
      <c r="F1466" s="21" t="s">
        <v>837</v>
      </c>
      <c r="G1466" s="21" t="s">
        <v>838</v>
      </c>
      <c r="H1466" s="21" t="s">
        <v>852</v>
      </c>
      <c r="I1466" s="21" t="s">
        <v>853</v>
      </c>
      <c r="J1466" s="21" t="s">
        <v>841</v>
      </c>
      <c r="K1466" s="21" t="s">
        <v>848</v>
      </c>
      <c r="L1466" s="21" t="s">
        <v>849</v>
      </c>
      <c r="M1466" s="21" t="s">
        <v>15</v>
      </c>
      <c r="N1466" s="54">
        <v>20105.91</v>
      </c>
      <c r="O1466" s="54">
        <v>0</v>
      </c>
      <c r="P1466" s="54">
        <v>0</v>
      </c>
      <c r="Q1466" s="54">
        <v>20105.91</v>
      </c>
      <c r="R1466" s="54">
        <v>3536.24</v>
      </c>
      <c r="S1466" s="54">
        <v>16569.669999999998</v>
      </c>
      <c r="T1466" s="54">
        <v>16569.669999999998</v>
      </c>
      <c r="U1466" s="54">
        <v>3536.24</v>
      </c>
      <c r="V1466" s="54">
        <v>3536.24</v>
      </c>
      <c r="W1466" s="54">
        <v>0</v>
      </c>
    </row>
    <row r="1467" spans="1:23" outlineLevel="2" x14ac:dyDescent="0.2">
      <c r="A1467" s="21" t="s">
        <v>836</v>
      </c>
      <c r="B1467" s="21" t="s">
        <v>39</v>
      </c>
      <c r="C1467" s="21" t="s">
        <v>58</v>
      </c>
      <c r="D1467" s="21" t="s">
        <v>137</v>
      </c>
      <c r="E1467" s="21" t="s">
        <v>138</v>
      </c>
      <c r="F1467" s="21" t="s">
        <v>837</v>
      </c>
      <c r="G1467" s="21" t="s">
        <v>838</v>
      </c>
      <c r="H1467" s="21" t="s">
        <v>852</v>
      </c>
      <c r="I1467" s="21" t="s">
        <v>853</v>
      </c>
      <c r="J1467" s="21" t="s">
        <v>841</v>
      </c>
      <c r="K1467" s="21" t="s">
        <v>848</v>
      </c>
      <c r="L1467" s="21" t="s">
        <v>849</v>
      </c>
      <c r="M1467" s="21" t="s">
        <v>15</v>
      </c>
      <c r="N1467" s="54">
        <v>9570.99</v>
      </c>
      <c r="O1467" s="54">
        <v>0</v>
      </c>
      <c r="P1467" s="54">
        <v>0</v>
      </c>
      <c r="Q1467" s="54">
        <v>9570.99</v>
      </c>
      <c r="R1467" s="54">
        <v>2134.46</v>
      </c>
      <c r="S1467" s="54">
        <v>7436.53</v>
      </c>
      <c r="T1467" s="54">
        <v>7436.53</v>
      </c>
      <c r="U1467" s="54">
        <v>2134.46</v>
      </c>
      <c r="V1467" s="54">
        <v>2134.46</v>
      </c>
      <c r="W1467" s="54">
        <v>0</v>
      </c>
    </row>
    <row r="1468" spans="1:23" outlineLevel="2" x14ac:dyDescent="0.2">
      <c r="A1468" s="21" t="s">
        <v>836</v>
      </c>
      <c r="B1468" s="21" t="s">
        <v>39</v>
      </c>
      <c r="C1468" s="21" t="s">
        <v>58</v>
      </c>
      <c r="D1468" s="21" t="s">
        <v>139</v>
      </c>
      <c r="E1468" s="21" t="s">
        <v>140</v>
      </c>
      <c r="F1468" s="21" t="s">
        <v>837</v>
      </c>
      <c r="G1468" s="21" t="s">
        <v>838</v>
      </c>
      <c r="H1468" s="21" t="s">
        <v>852</v>
      </c>
      <c r="I1468" s="21" t="s">
        <v>853</v>
      </c>
      <c r="J1468" s="21" t="s">
        <v>841</v>
      </c>
      <c r="K1468" s="21" t="s">
        <v>848</v>
      </c>
      <c r="L1468" s="21" t="s">
        <v>849</v>
      </c>
      <c r="M1468" s="21" t="s">
        <v>15</v>
      </c>
      <c r="N1468" s="54">
        <v>17472.18</v>
      </c>
      <c r="O1468" s="54">
        <v>0</v>
      </c>
      <c r="P1468" s="54">
        <v>0</v>
      </c>
      <c r="Q1468" s="54">
        <v>17472.18</v>
      </c>
      <c r="R1468" s="54">
        <v>3288.03</v>
      </c>
      <c r="S1468" s="54">
        <v>14184.15</v>
      </c>
      <c r="T1468" s="54">
        <v>14184.15</v>
      </c>
      <c r="U1468" s="54">
        <v>3288.03</v>
      </c>
      <c r="V1468" s="54">
        <v>3288.03</v>
      </c>
      <c r="W1468" s="54">
        <v>0</v>
      </c>
    </row>
    <row r="1469" spans="1:23" outlineLevel="2" x14ac:dyDescent="0.2">
      <c r="A1469" s="21" t="s">
        <v>836</v>
      </c>
      <c r="B1469" s="21" t="s">
        <v>39</v>
      </c>
      <c r="C1469" s="21" t="s">
        <v>58</v>
      </c>
      <c r="D1469" s="21" t="s">
        <v>149</v>
      </c>
      <c r="E1469" s="21" t="s">
        <v>150</v>
      </c>
      <c r="F1469" s="21" t="s">
        <v>837</v>
      </c>
      <c r="G1469" s="21" t="s">
        <v>838</v>
      </c>
      <c r="H1469" s="21" t="s">
        <v>852</v>
      </c>
      <c r="I1469" s="21" t="s">
        <v>853</v>
      </c>
      <c r="J1469" s="21" t="s">
        <v>841</v>
      </c>
      <c r="K1469" s="21" t="s">
        <v>848</v>
      </c>
      <c r="L1469" s="21" t="s">
        <v>849</v>
      </c>
      <c r="M1469" s="21" t="s">
        <v>15</v>
      </c>
      <c r="N1469" s="54">
        <v>16231.97</v>
      </c>
      <c r="O1469" s="54">
        <v>0</v>
      </c>
      <c r="P1469" s="54">
        <v>0</v>
      </c>
      <c r="Q1469" s="54">
        <v>16231.97</v>
      </c>
      <c r="R1469" s="54">
        <v>3768.99</v>
      </c>
      <c r="S1469" s="54">
        <v>12462.98</v>
      </c>
      <c r="T1469" s="54">
        <v>12462.98</v>
      </c>
      <c r="U1469" s="54">
        <v>3768.99</v>
      </c>
      <c r="V1469" s="54">
        <v>3768.99</v>
      </c>
      <c r="W1469" s="54">
        <v>0</v>
      </c>
    </row>
    <row r="1470" spans="1:23" outlineLevel="2" x14ac:dyDescent="0.2">
      <c r="A1470" s="21" t="s">
        <v>836</v>
      </c>
      <c r="B1470" s="21" t="s">
        <v>39</v>
      </c>
      <c r="C1470" s="21" t="s">
        <v>58</v>
      </c>
      <c r="D1470" s="21" t="s">
        <v>143</v>
      </c>
      <c r="E1470" s="21" t="s">
        <v>144</v>
      </c>
      <c r="F1470" s="21" t="s">
        <v>837</v>
      </c>
      <c r="G1470" s="21" t="s">
        <v>838</v>
      </c>
      <c r="H1470" s="21" t="s">
        <v>852</v>
      </c>
      <c r="I1470" s="21" t="s">
        <v>853</v>
      </c>
      <c r="J1470" s="21" t="s">
        <v>841</v>
      </c>
      <c r="K1470" s="21" t="s">
        <v>848</v>
      </c>
      <c r="L1470" s="21" t="s">
        <v>849</v>
      </c>
      <c r="M1470" s="21" t="s">
        <v>15</v>
      </c>
      <c r="N1470" s="54">
        <v>19952.59</v>
      </c>
      <c r="O1470" s="54">
        <v>0</v>
      </c>
      <c r="P1470" s="54">
        <v>0</v>
      </c>
      <c r="Q1470" s="54">
        <v>19952.59</v>
      </c>
      <c r="R1470" s="54">
        <v>4347.3500000000004</v>
      </c>
      <c r="S1470" s="54">
        <v>15605.24</v>
      </c>
      <c r="T1470" s="54">
        <v>15605.24</v>
      </c>
      <c r="U1470" s="54">
        <v>4347.3500000000004</v>
      </c>
      <c r="V1470" s="54">
        <v>4347.3500000000004</v>
      </c>
      <c r="W1470" s="54">
        <v>0</v>
      </c>
    </row>
    <row r="1471" spans="1:23" outlineLevel="2" x14ac:dyDescent="0.2">
      <c r="A1471" s="21" t="s">
        <v>836</v>
      </c>
      <c r="B1471" s="21" t="s">
        <v>39</v>
      </c>
      <c r="C1471" s="21" t="s">
        <v>58</v>
      </c>
      <c r="D1471" s="21" t="s">
        <v>137</v>
      </c>
      <c r="E1471" s="21" t="s">
        <v>138</v>
      </c>
      <c r="F1471" s="21" t="s">
        <v>837</v>
      </c>
      <c r="G1471" s="21" t="s">
        <v>838</v>
      </c>
      <c r="H1471" s="21" t="s">
        <v>852</v>
      </c>
      <c r="I1471" s="21" t="s">
        <v>853</v>
      </c>
      <c r="J1471" s="21" t="s">
        <v>841</v>
      </c>
      <c r="K1471" s="21" t="s">
        <v>850</v>
      </c>
      <c r="L1471" s="21" t="s">
        <v>851</v>
      </c>
      <c r="M1471" s="21" t="s">
        <v>15</v>
      </c>
      <c r="N1471" s="54">
        <v>6305</v>
      </c>
      <c r="O1471" s="54">
        <v>0</v>
      </c>
      <c r="P1471" s="54">
        <v>0</v>
      </c>
      <c r="Q1471" s="54">
        <v>6305</v>
      </c>
      <c r="R1471" s="54">
        <v>3326.54</v>
      </c>
      <c r="S1471" s="54">
        <v>2978.46</v>
      </c>
      <c r="T1471" s="54">
        <v>2978.46</v>
      </c>
      <c r="U1471" s="54">
        <v>3326.54</v>
      </c>
      <c r="V1471" s="54">
        <v>3326.54</v>
      </c>
      <c r="W1471" s="54">
        <v>0</v>
      </c>
    </row>
    <row r="1472" spans="1:23" outlineLevel="2" x14ac:dyDescent="0.2">
      <c r="A1472" s="21" t="s">
        <v>836</v>
      </c>
      <c r="B1472" s="21" t="s">
        <v>39</v>
      </c>
      <c r="C1472" s="21" t="s">
        <v>58</v>
      </c>
      <c r="D1472" s="21" t="s">
        <v>147</v>
      </c>
      <c r="E1472" s="21" t="s">
        <v>148</v>
      </c>
      <c r="F1472" s="21" t="s">
        <v>837</v>
      </c>
      <c r="G1472" s="21" t="s">
        <v>838</v>
      </c>
      <c r="H1472" s="21" t="s">
        <v>852</v>
      </c>
      <c r="I1472" s="21" t="s">
        <v>853</v>
      </c>
      <c r="J1472" s="21" t="s">
        <v>841</v>
      </c>
      <c r="K1472" s="21" t="s">
        <v>850</v>
      </c>
      <c r="L1472" s="21" t="s">
        <v>851</v>
      </c>
      <c r="M1472" s="21" t="s">
        <v>15</v>
      </c>
      <c r="N1472" s="54">
        <v>13245</v>
      </c>
      <c r="O1472" s="54">
        <v>0</v>
      </c>
      <c r="P1472" s="54">
        <v>0</v>
      </c>
      <c r="Q1472" s="54">
        <v>13245</v>
      </c>
      <c r="R1472" s="54">
        <v>5814.32</v>
      </c>
      <c r="S1472" s="54">
        <v>7430.68</v>
      </c>
      <c r="T1472" s="54">
        <v>7430.68</v>
      </c>
      <c r="U1472" s="54">
        <v>5814.32</v>
      </c>
      <c r="V1472" s="54">
        <v>5814.32</v>
      </c>
      <c r="W1472" s="54">
        <v>0</v>
      </c>
    </row>
    <row r="1473" spans="1:23" outlineLevel="2" x14ac:dyDescent="0.2">
      <c r="A1473" s="21" t="s">
        <v>836</v>
      </c>
      <c r="B1473" s="21" t="s">
        <v>39</v>
      </c>
      <c r="C1473" s="21" t="s">
        <v>58</v>
      </c>
      <c r="D1473" s="21" t="s">
        <v>129</v>
      </c>
      <c r="E1473" s="21" t="s">
        <v>130</v>
      </c>
      <c r="F1473" s="21" t="s">
        <v>837</v>
      </c>
      <c r="G1473" s="21" t="s">
        <v>838</v>
      </c>
      <c r="H1473" s="21" t="s">
        <v>852</v>
      </c>
      <c r="I1473" s="21" t="s">
        <v>853</v>
      </c>
      <c r="J1473" s="21" t="s">
        <v>841</v>
      </c>
      <c r="K1473" s="21" t="s">
        <v>850</v>
      </c>
      <c r="L1473" s="21" t="s">
        <v>851</v>
      </c>
      <c r="M1473" s="21" t="s">
        <v>15</v>
      </c>
      <c r="N1473" s="54">
        <v>817</v>
      </c>
      <c r="O1473" s="54">
        <v>0</v>
      </c>
      <c r="P1473" s="54">
        <v>0</v>
      </c>
      <c r="Q1473" s="54">
        <v>817</v>
      </c>
      <c r="R1473" s="54">
        <v>136.4</v>
      </c>
      <c r="S1473" s="54">
        <v>680.6</v>
      </c>
      <c r="T1473" s="54">
        <v>680.6</v>
      </c>
      <c r="U1473" s="54">
        <v>136.4</v>
      </c>
      <c r="V1473" s="54">
        <v>136.4</v>
      </c>
      <c r="W1473" s="54">
        <v>0</v>
      </c>
    </row>
    <row r="1474" spans="1:23" outlineLevel="2" x14ac:dyDescent="0.2">
      <c r="A1474" s="21" t="s">
        <v>836</v>
      </c>
      <c r="B1474" s="21" t="s">
        <v>39</v>
      </c>
      <c r="C1474" s="21" t="s">
        <v>58</v>
      </c>
      <c r="D1474" s="21" t="s">
        <v>145</v>
      </c>
      <c r="E1474" s="21" t="s">
        <v>146</v>
      </c>
      <c r="F1474" s="21" t="s">
        <v>837</v>
      </c>
      <c r="G1474" s="21" t="s">
        <v>838</v>
      </c>
      <c r="H1474" s="21" t="s">
        <v>852</v>
      </c>
      <c r="I1474" s="21" t="s">
        <v>853</v>
      </c>
      <c r="J1474" s="21" t="s">
        <v>841</v>
      </c>
      <c r="K1474" s="21" t="s">
        <v>850</v>
      </c>
      <c r="L1474" s="21" t="s">
        <v>851</v>
      </c>
      <c r="M1474" s="21" t="s">
        <v>15</v>
      </c>
      <c r="N1474" s="54">
        <v>8040</v>
      </c>
      <c r="O1474" s="54">
        <v>0</v>
      </c>
      <c r="P1474" s="54">
        <v>0</v>
      </c>
      <c r="Q1474" s="54">
        <v>8040</v>
      </c>
      <c r="R1474" s="54">
        <v>3432.23</v>
      </c>
      <c r="S1474" s="54">
        <v>4607.7700000000004</v>
      </c>
      <c r="T1474" s="54">
        <v>4607.7700000000004</v>
      </c>
      <c r="U1474" s="54">
        <v>3432.23</v>
      </c>
      <c r="V1474" s="54">
        <v>3432.23</v>
      </c>
      <c r="W1474" s="54">
        <v>0</v>
      </c>
    </row>
    <row r="1475" spans="1:23" outlineLevel="2" x14ac:dyDescent="0.2">
      <c r="A1475" s="21" t="s">
        <v>836</v>
      </c>
      <c r="B1475" s="21" t="s">
        <v>39</v>
      </c>
      <c r="C1475" s="21" t="s">
        <v>58</v>
      </c>
      <c r="D1475" s="21" t="s">
        <v>143</v>
      </c>
      <c r="E1475" s="21" t="s">
        <v>144</v>
      </c>
      <c r="F1475" s="21" t="s">
        <v>837</v>
      </c>
      <c r="G1475" s="21" t="s">
        <v>838</v>
      </c>
      <c r="H1475" s="21" t="s">
        <v>852</v>
      </c>
      <c r="I1475" s="21" t="s">
        <v>853</v>
      </c>
      <c r="J1475" s="21" t="s">
        <v>841</v>
      </c>
      <c r="K1475" s="21" t="s">
        <v>850</v>
      </c>
      <c r="L1475" s="21" t="s">
        <v>851</v>
      </c>
      <c r="M1475" s="21" t="s">
        <v>15</v>
      </c>
      <c r="N1475" s="54">
        <v>13144</v>
      </c>
      <c r="O1475" s="54">
        <v>0</v>
      </c>
      <c r="P1475" s="54">
        <v>0</v>
      </c>
      <c r="Q1475" s="54">
        <v>13144</v>
      </c>
      <c r="R1475" s="54">
        <v>4705.38</v>
      </c>
      <c r="S1475" s="54">
        <v>8438.6200000000008</v>
      </c>
      <c r="T1475" s="54">
        <v>8438.6200000000008</v>
      </c>
      <c r="U1475" s="54">
        <v>4705.38</v>
      </c>
      <c r="V1475" s="54">
        <v>4705.38</v>
      </c>
      <c r="W1475" s="54">
        <v>0</v>
      </c>
    </row>
    <row r="1476" spans="1:23" outlineLevel="2" x14ac:dyDescent="0.2">
      <c r="A1476" s="21" t="s">
        <v>836</v>
      </c>
      <c r="B1476" s="21" t="s">
        <v>39</v>
      </c>
      <c r="C1476" s="21" t="s">
        <v>58</v>
      </c>
      <c r="D1476" s="21" t="s">
        <v>105</v>
      </c>
      <c r="E1476" s="21" t="s">
        <v>106</v>
      </c>
      <c r="F1476" s="21" t="s">
        <v>837</v>
      </c>
      <c r="G1476" s="21" t="s">
        <v>838</v>
      </c>
      <c r="H1476" s="21" t="s">
        <v>852</v>
      </c>
      <c r="I1476" s="21" t="s">
        <v>853</v>
      </c>
      <c r="J1476" s="21" t="s">
        <v>841</v>
      </c>
      <c r="K1476" s="21" t="s">
        <v>850</v>
      </c>
      <c r="L1476" s="21" t="s">
        <v>851</v>
      </c>
      <c r="M1476" s="21" t="s">
        <v>15</v>
      </c>
      <c r="N1476" s="54">
        <v>2353</v>
      </c>
      <c r="O1476" s="54">
        <v>0</v>
      </c>
      <c r="P1476" s="54">
        <v>0</v>
      </c>
      <c r="Q1476" s="54">
        <v>2353</v>
      </c>
      <c r="R1476" s="54">
        <v>648.29999999999995</v>
      </c>
      <c r="S1476" s="54">
        <v>1704.7</v>
      </c>
      <c r="T1476" s="54">
        <v>1704.7</v>
      </c>
      <c r="U1476" s="54">
        <v>648.29999999999995</v>
      </c>
      <c r="V1476" s="54">
        <v>648.29999999999995</v>
      </c>
      <c r="W1476" s="54">
        <v>0</v>
      </c>
    </row>
    <row r="1477" spans="1:23" outlineLevel="2" x14ac:dyDescent="0.2">
      <c r="A1477" s="21" t="s">
        <v>836</v>
      </c>
      <c r="B1477" s="21" t="s">
        <v>39</v>
      </c>
      <c r="C1477" s="21" t="s">
        <v>58</v>
      </c>
      <c r="D1477" s="21" t="s">
        <v>139</v>
      </c>
      <c r="E1477" s="21" t="s">
        <v>140</v>
      </c>
      <c r="F1477" s="21" t="s">
        <v>837</v>
      </c>
      <c r="G1477" s="21" t="s">
        <v>838</v>
      </c>
      <c r="H1477" s="21" t="s">
        <v>852</v>
      </c>
      <c r="I1477" s="21" t="s">
        <v>853</v>
      </c>
      <c r="J1477" s="21" t="s">
        <v>841</v>
      </c>
      <c r="K1477" s="21" t="s">
        <v>850</v>
      </c>
      <c r="L1477" s="21" t="s">
        <v>851</v>
      </c>
      <c r="M1477" s="21" t="s">
        <v>15</v>
      </c>
      <c r="N1477" s="54">
        <v>11510</v>
      </c>
      <c r="O1477" s="54">
        <v>0</v>
      </c>
      <c r="P1477" s="54">
        <v>0</v>
      </c>
      <c r="Q1477" s="54">
        <v>11510</v>
      </c>
      <c r="R1477" s="54">
        <v>6299.78</v>
      </c>
      <c r="S1477" s="54">
        <v>5210.22</v>
      </c>
      <c r="T1477" s="54">
        <v>5210.22</v>
      </c>
      <c r="U1477" s="54">
        <v>6299.78</v>
      </c>
      <c r="V1477" s="54">
        <v>6299.78</v>
      </c>
      <c r="W1477" s="54">
        <v>0</v>
      </c>
    </row>
    <row r="1478" spans="1:23" outlineLevel="2" x14ac:dyDescent="0.2">
      <c r="A1478" s="21" t="s">
        <v>836</v>
      </c>
      <c r="B1478" s="21" t="s">
        <v>39</v>
      </c>
      <c r="C1478" s="21" t="s">
        <v>58</v>
      </c>
      <c r="D1478" s="21" t="s">
        <v>135</v>
      </c>
      <c r="E1478" s="21" t="s">
        <v>136</v>
      </c>
      <c r="F1478" s="21" t="s">
        <v>837</v>
      </c>
      <c r="G1478" s="21" t="s">
        <v>838</v>
      </c>
      <c r="H1478" s="21" t="s">
        <v>852</v>
      </c>
      <c r="I1478" s="21" t="s">
        <v>853</v>
      </c>
      <c r="J1478" s="21" t="s">
        <v>841</v>
      </c>
      <c r="K1478" s="21" t="s">
        <v>850</v>
      </c>
      <c r="L1478" s="21" t="s">
        <v>851</v>
      </c>
      <c r="M1478" s="21" t="s">
        <v>15</v>
      </c>
      <c r="N1478" s="54">
        <v>11510</v>
      </c>
      <c r="O1478" s="54">
        <v>0</v>
      </c>
      <c r="P1478" s="54">
        <v>0</v>
      </c>
      <c r="Q1478" s="54">
        <v>11510</v>
      </c>
      <c r="R1478" s="54">
        <v>4952.38</v>
      </c>
      <c r="S1478" s="54">
        <v>6557.62</v>
      </c>
      <c r="T1478" s="54">
        <v>6557.62</v>
      </c>
      <c r="U1478" s="54">
        <v>4952.38</v>
      </c>
      <c r="V1478" s="54">
        <v>4952.38</v>
      </c>
      <c r="W1478" s="54">
        <v>0</v>
      </c>
    </row>
    <row r="1479" spans="1:23" outlineLevel="2" x14ac:dyDescent="0.2">
      <c r="A1479" s="21" t="s">
        <v>836</v>
      </c>
      <c r="B1479" s="21" t="s">
        <v>39</v>
      </c>
      <c r="C1479" s="21" t="s">
        <v>58</v>
      </c>
      <c r="D1479" s="21" t="s">
        <v>59</v>
      </c>
      <c r="E1479" s="21" t="s">
        <v>60</v>
      </c>
      <c r="F1479" s="21" t="s">
        <v>837</v>
      </c>
      <c r="G1479" s="21" t="s">
        <v>838</v>
      </c>
      <c r="H1479" s="21" t="s">
        <v>852</v>
      </c>
      <c r="I1479" s="21" t="s">
        <v>853</v>
      </c>
      <c r="J1479" s="21" t="s">
        <v>841</v>
      </c>
      <c r="K1479" s="21" t="s">
        <v>850</v>
      </c>
      <c r="L1479" s="21" t="s">
        <v>851</v>
      </c>
      <c r="M1479" s="21" t="s">
        <v>15</v>
      </c>
      <c r="N1479" s="54">
        <v>4570</v>
      </c>
      <c r="O1479" s="54">
        <v>0</v>
      </c>
      <c r="P1479" s="54">
        <v>0</v>
      </c>
      <c r="Q1479" s="54">
        <v>4570</v>
      </c>
      <c r="R1479" s="54">
        <v>2675.71</v>
      </c>
      <c r="S1479" s="54">
        <v>1894.29</v>
      </c>
      <c r="T1479" s="54">
        <v>1894.29</v>
      </c>
      <c r="U1479" s="54">
        <v>2675.71</v>
      </c>
      <c r="V1479" s="54">
        <v>2675.71</v>
      </c>
      <c r="W1479" s="54">
        <v>0</v>
      </c>
    </row>
    <row r="1480" spans="1:23" outlineLevel="2" x14ac:dyDescent="0.2">
      <c r="A1480" s="21" t="s">
        <v>836</v>
      </c>
      <c r="B1480" s="21" t="s">
        <v>39</v>
      </c>
      <c r="C1480" s="21" t="s">
        <v>58</v>
      </c>
      <c r="D1480" s="21" t="s">
        <v>149</v>
      </c>
      <c r="E1480" s="21" t="s">
        <v>150</v>
      </c>
      <c r="F1480" s="21" t="s">
        <v>837</v>
      </c>
      <c r="G1480" s="21" t="s">
        <v>838</v>
      </c>
      <c r="H1480" s="21" t="s">
        <v>852</v>
      </c>
      <c r="I1480" s="21" t="s">
        <v>853</v>
      </c>
      <c r="J1480" s="21" t="s">
        <v>841</v>
      </c>
      <c r="K1480" s="21" t="s">
        <v>850</v>
      </c>
      <c r="L1480" s="21" t="s">
        <v>851</v>
      </c>
      <c r="M1480" s="21" t="s">
        <v>15</v>
      </c>
      <c r="N1480" s="54">
        <v>10693</v>
      </c>
      <c r="O1480" s="54">
        <v>0</v>
      </c>
      <c r="P1480" s="54">
        <v>0</v>
      </c>
      <c r="Q1480" s="54">
        <v>10693</v>
      </c>
      <c r="R1480" s="54">
        <v>6119.06</v>
      </c>
      <c r="S1480" s="54">
        <v>4573.9399999999996</v>
      </c>
      <c r="T1480" s="54">
        <v>4573.9399999999996</v>
      </c>
      <c r="U1480" s="54">
        <v>6119.06</v>
      </c>
      <c r="V1480" s="54">
        <v>6119.06</v>
      </c>
      <c r="W1480" s="54">
        <v>0</v>
      </c>
    </row>
    <row r="1481" spans="1:23" outlineLevel="2" x14ac:dyDescent="0.2">
      <c r="A1481" s="21" t="s">
        <v>836</v>
      </c>
      <c r="B1481" s="21" t="s">
        <v>31</v>
      </c>
      <c r="C1481" s="21" t="s">
        <v>107</v>
      </c>
      <c r="D1481" s="21" t="s">
        <v>108</v>
      </c>
      <c r="E1481" s="21" t="s">
        <v>109</v>
      </c>
      <c r="F1481" s="21" t="s">
        <v>856</v>
      </c>
      <c r="G1481" s="21" t="s">
        <v>857</v>
      </c>
      <c r="H1481" s="21" t="s">
        <v>858</v>
      </c>
      <c r="I1481" s="21" t="s">
        <v>859</v>
      </c>
      <c r="J1481" s="21" t="s">
        <v>841</v>
      </c>
      <c r="K1481" s="21" t="s">
        <v>842</v>
      </c>
      <c r="L1481" s="21" t="s">
        <v>860</v>
      </c>
      <c r="M1481" s="21" t="s">
        <v>15</v>
      </c>
      <c r="N1481" s="54">
        <v>17702</v>
      </c>
      <c r="O1481" s="54">
        <v>0</v>
      </c>
      <c r="P1481" s="54">
        <v>0</v>
      </c>
      <c r="Q1481" s="54">
        <v>17702</v>
      </c>
      <c r="R1481" s="54">
        <v>13720.48</v>
      </c>
      <c r="S1481" s="54">
        <v>3981.52</v>
      </c>
      <c r="T1481" s="54">
        <v>3981.52</v>
      </c>
      <c r="U1481" s="54">
        <v>13720.48</v>
      </c>
      <c r="V1481" s="54">
        <v>13720.48</v>
      </c>
      <c r="W1481" s="54">
        <v>0</v>
      </c>
    </row>
    <row r="1482" spans="1:23" outlineLevel="2" x14ac:dyDescent="0.2">
      <c r="A1482" s="21" t="s">
        <v>836</v>
      </c>
      <c r="B1482" s="21" t="s">
        <v>31</v>
      </c>
      <c r="C1482" s="21" t="s">
        <v>107</v>
      </c>
      <c r="D1482" s="21" t="s">
        <v>108</v>
      </c>
      <c r="E1482" s="21" t="s">
        <v>109</v>
      </c>
      <c r="F1482" s="21" t="s">
        <v>856</v>
      </c>
      <c r="G1482" s="21" t="s">
        <v>857</v>
      </c>
      <c r="H1482" s="21" t="s">
        <v>858</v>
      </c>
      <c r="I1482" s="21" t="s">
        <v>859</v>
      </c>
      <c r="J1482" s="21" t="s">
        <v>841</v>
      </c>
      <c r="K1482" s="21" t="s">
        <v>844</v>
      </c>
      <c r="L1482" s="21" t="s">
        <v>861</v>
      </c>
      <c r="M1482" s="21" t="s">
        <v>15</v>
      </c>
      <c r="N1482" s="54">
        <v>6898.94</v>
      </c>
      <c r="O1482" s="54">
        <v>0</v>
      </c>
      <c r="P1482" s="54">
        <v>0</v>
      </c>
      <c r="Q1482" s="54">
        <v>6898.94</v>
      </c>
      <c r="R1482" s="54">
        <v>130.08000000000001</v>
      </c>
      <c r="S1482" s="54">
        <v>6669.92</v>
      </c>
      <c r="T1482" s="54">
        <v>6669.92</v>
      </c>
      <c r="U1482" s="54">
        <v>229.02</v>
      </c>
      <c r="V1482" s="54">
        <v>229.02</v>
      </c>
      <c r="W1482" s="54">
        <v>98.94</v>
      </c>
    </row>
    <row r="1483" spans="1:23" outlineLevel="2" x14ac:dyDescent="0.2">
      <c r="A1483" s="21" t="s">
        <v>836</v>
      </c>
      <c r="B1483" s="21" t="s">
        <v>31</v>
      </c>
      <c r="C1483" s="21" t="s">
        <v>107</v>
      </c>
      <c r="D1483" s="21" t="s">
        <v>108</v>
      </c>
      <c r="E1483" s="21" t="s">
        <v>109</v>
      </c>
      <c r="F1483" s="21" t="s">
        <v>856</v>
      </c>
      <c r="G1483" s="21" t="s">
        <v>857</v>
      </c>
      <c r="H1483" s="21" t="s">
        <v>858</v>
      </c>
      <c r="I1483" s="21" t="s">
        <v>859</v>
      </c>
      <c r="J1483" s="21" t="s">
        <v>841</v>
      </c>
      <c r="K1483" s="21" t="s">
        <v>854</v>
      </c>
      <c r="L1483" s="21" t="s">
        <v>862</v>
      </c>
      <c r="M1483" s="21" t="s">
        <v>15</v>
      </c>
      <c r="N1483" s="54">
        <v>0</v>
      </c>
      <c r="O1483" s="54">
        <v>986</v>
      </c>
      <c r="P1483" s="54">
        <v>0</v>
      </c>
      <c r="Q1483" s="54">
        <v>986</v>
      </c>
      <c r="R1483" s="54">
        <v>0</v>
      </c>
      <c r="S1483" s="54">
        <v>986</v>
      </c>
      <c r="T1483" s="54">
        <v>986</v>
      </c>
      <c r="U1483" s="54">
        <v>0</v>
      </c>
      <c r="V1483" s="54">
        <v>0</v>
      </c>
      <c r="W1483" s="54">
        <v>0</v>
      </c>
    </row>
    <row r="1484" spans="1:23" outlineLevel="2" x14ac:dyDescent="0.2">
      <c r="A1484" s="21" t="s">
        <v>836</v>
      </c>
      <c r="B1484" s="21" t="s">
        <v>31</v>
      </c>
      <c r="C1484" s="21" t="s">
        <v>107</v>
      </c>
      <c r="D1484" s="21" t="s">
        <v>108</v>
      </c>
      <c r="E1484" s="21" t="s">
        <v>109</v>
      </c>
      <c r="F1484" s="21" t="s">
        <v>856</v>
      </c>
      <c r="G1484" s="21" t="s">
        <v>857</v>
      </c>
      <c r="H1484" s="21" t="s">
        <v>858</v>
      </c>
      <c r="I1484" s="21" t="s">
        <v>859</v>
      </c>
      <c r="J1484" s="21" t="s">
        <v>841</v>
      </c>
      <c r="K1484" s="21" t="s">
        <v>863</v>
      </c>
      <c r="L1484" s="21" t="s">
        <v>864</v>
      </c>
      <c r="M1484" s="21" t="s">
        <v>15</v>
      </c>
      <c r="N1484" s="54">
        <v>0</v>
      </c>
      <c r="O1484" s="54">
        <v>2550</v>
      </c>
      <c r="P1484" s="54">
        <v>0</v>
      </c>
      <c r="Q1484" s="54">
        <v>2550</v>
      </c>
      <c r="R1484" s="54">
        <v>0</v>
      </c>
      <c r="S1484" s="54">
        <v>302.83999999999997</v>
      </c>
      <c r="T1484" s="54">
        <v>302.83999999999997</v>
      </c>
      <c r="U1484" s="54">
        <v>2247.16</v>
      </c>
      <c r="V1484" s="54">
        <v>2247.16</v>
      </c>
      <c r="W1484" s="54">
        <v>2247.16</v>
      </c>
    </row>
    <row r="1485" spans="1:23" outlineLevel="2" x14ac:dyDescent="0.2">
      <c r="A1485" s="21" t="s">
        <v>836</v>
      </c>
      <c r="B1485" s="21" t="s">
        <v>31</v>
      </c>
      <c r="C1485" s="21" t="s">
        <v>107</v>
      </c>
      <c r="D1485" s="21" t="s">
        <v>108</v>
      </c>
      <c r="E1485" s="21" t="s">
        <v>109</v>
      </c>
      <c r="F1485" s="21" t="s">
        <v>856</v>
      </c>
      <c r="G1485" s="21" t="s">
        <v>857</v>
      </c>
      <c r="H1485" s="21" t="s">
        <v>858</v>
      </c>
      <c r="I1485" s="21" t="s">
        <v>859</v>
      </c>
      <c r="J1485" s="21" t="s">
        <v>841</v>
      </c>
      <c r="K1485" s="21" t="s">
        <v>846</v>
      </c>
      <c r="L1485" s="21" t="s">
        <v>865</v>
      </c>
      <c r="M1485" s="21" t="s">
        <v>15</v>
      </c>
      <c r="N1485" s="54">
        <v>212424</v>
      </c>
      <c r="O1485" s="54">
        <v>0</v>
      </c>
      <c r="P1485" s="54">
        <v>0</v>
      </c>
      <c r="Q1485" s="54">
        <v>212424</v>
      </c>
      <c r="R1485" s="54">
        <v>26686.959999999999</v>
      </c>
      <c r="S1485" s="54">
        <v>185737.04</v>
      </c>
      <c r="T1485" s="54">
        <v>185737.04</v>
      </c>
      <c r="U1485" s="54">
        <v>26686.959999999999</v>
      </c>
      <c r="V1485" s="54">
        <v>26686.959999999999</v>
      </c>
      <c r="W1485" s="54">
        <v>0</v>
      </c>
    </row>
    <row r="1486" spans="1:23" outlineLevel="2" x14ac:dyDescent="0.2">
      <c r="A1486" s="21" t="s">
        <v>836</v>
      </c>
      <c r="B1486" s="21" t="s">
        <v>31</v>
      </c>
      <c r="C1486" s="21" t="s">
        <v>107</v>
      </c>
      <c r="D1486" s="21" t="s">
        <v>108</v>
      </c>
      <c r="E1486" s="21" t="s">
        <v>109</v>
      </c>
      <c r="F1486" s="21" t="s">
        <v>856</v>
      </c>
      <c r="G1486" s="21" t="s">
        <v>857</v>
      </c>
      <c r="H1486" s="21" t="s">
        <v>858</v>
      </c>
      <c r="I1486" s="21" t="s">
        <v>859</v>
      </c>
      <c r="J1486" s="21" t="s">
        <v>841</v>
      </c>
      <c r="K1486" s="21" t="s">
        <v>866</v>
      </c>
      <c r="L1486" s="21" t="s">
        <v>867</v>
      </c>
      <c r="M1486" s="21" t="s">
        <v>15</v>
      </c>
      <c r="N1486" s="54">
        <v>0</v>
      </c>
      <c r="O1486" s="54">
        <v>550</v>
      </c>
      <c r="P1486" s="54">
        <v>0</v>
      </c>
      <c r="Q1486" s="54">
        <v>550</v>
      </c>
      <c r="R1486" s="54">
        <v>0</v>
      </c>
      <c r="S1486" s="54">
        <v>546</v>
      </c>
      <c r="T1486" s="54">
        <v>546</v>
      </c>
      <c r="U1486" s="54">
        <v>4</v>
      </c>
      <c r="V1486" s="54">
        <v>4</v>
      </c>
      <c r="W1486" s="54">
        <v>4</v>
      </c>
    </row>
    <row r="1487" spans="1:23" outlineLevel="2" x14ac:dyDescent="0.2">
      <c r="A1487" s="21" t="s">
        <v>836</v>
      </c>
      <c r="B1487" s="21" t="s">
        <v>31</v>
      </c>
      <c r="C1487" s="21" t="s">
        <v>107</v>
      </c>
      <c r="D1487" s="21" t="s">
        <v>108</v>
      </c>
      <c r="E1487" s="21" t="s">
        <v>109</v>
      </c>
      <c r="F1487" s="21" t="s">
        <v>856</v>
      </c>
      <c r="G1487" s="21" t="s">
        <v>857</v>
      </c>
      <c r="H1487" s="21" t="s">
        <v>858</v>
      </c>
      <c r="I1487" s="21" t="s">
        <v>859</v>
      </c>
      <c r="J1487" s="21" t="s">
        <v>841</v>
      </c>
      <c r="K1487" s="21" t="s">
        <v>848</v>
      </c>
      <c r="L1487" s="21" t="s">
        <v>868</v>
      </c>
      <c r="M1487" s="21" t="s">
        <v>15</v>
      </c>
      <c r="N1487" s="54">
        <v>26871.64</v>
      </c>
      <c r="O1487" s="54">
        <v>0</v>
      </c>
      <c r="P1487" s="54">
        <v>0</v>
      </c>
      <c r="Q1487" s="54">
        <v>26871.64</v>
      </c>
      <c r="R1487" s="54">
        <v>3190.2</v>
      </c>
      <c r="S1487" s="54">
        <v>23681.439999999999</v>
      </c>
      <c r="T1487" s="54">
        <v>23681.439999999999</v>
      </c>
      <c r="U1487" s="54">
        <v>3190.2</v>
      </c>
      <c r="V1487" s="54">
        <v>3190.2</v>
      </c>
      <c r="W1487" s="54">
        <v>0</v>
      </c>
    </row>
    <row r="1488" spans="1:23" outlineLevel="2" x14ac:dyDescent="0.2">
      <c r="A1488" s="21" t="s">
        <v>836</v>
      </c>
      <c r="B1488" s="21" t="s">
        <v>31</v>
      </c>
      <c r="C1488" s="21" t="s">
        <v>107</v>
      </c>
      <c r="D1488" s="21" t="s">
        <v>108</v>
      </c>
      <c r="E1488" s="21" t="s">
        <v>109</v>
      </c>
      <c r="F1488" s="21" t="s">
        <v>856</v>
      </c>
      <c r="G1488" s="21" t="s">
        <v>857</v>
      </c>
      <c r="H1488" s="21" t="s">
        <v>858</v>
      </c>
      <c r="I1488" s="21" t="s">
        <v>859</v>
      </c>
      <c r="J1488" s="21" t="s">
        <v>841</v>
      </c>
      <c r="K1488" s="21" t="s">
        <v>850</v>
      </c>
      <c r="L1488" s="21" t="s">
        <v>869</v>
      </c>
      <c r="M1488" s="21" t="s">
        <v>15</v>
      </c>
      <c r="N1488" s="54">
        <v>17702</v>
      </c>
      <c r="O1488" s="54">
        <v>0</v>
      </c>
      <c r="P1488" s="54">
        <v>0</v>
      </c>
      <c r="Q1488" s="54">
        <v>17702</v>
      </c>
      <c r="R1488" s="54">
        <v>9061.74</v>
      </c>
      <c r="S1488" s="54">
        <v>8640.26</v>
      </c>
      <c r="T1488" s="54">
        <v>8640.26</v>
      </c>
      <c r="U1488" s="54">
        <v>9061.74</v>
      </c>
      <c r="V1488" s="54">
        <v>9061.74</v>
      </c>
      <c r="W1488" s="54">
        <v>0</v>
      </c>
    </row>
    <row r="1489" spans="1:23" outlineLevel="2" x14ac:dyDescent="0.2">
      <c r="A1489" s="21" t="s">
        <v>836</v>
      </c>
      <c r="B1489" s="21" t="s">
        <v>31</v>
      </c>
      <c r="C1489" s="21" t="s">
        <v>107</v>
      </c>
      <c r="D1489" s="21" t="s">
        <v>108</v>
      </c>
      <c r="E1489" s="21" t="s">
        <v>109</v>
      </c>
      <c r="F1489" s="21" t="s">
        <v>856</v>
      </c>
      <c r="G1489" s="21" t="s">
        <v>857</v>
      </c>
      <c r="H1489" s="21" t="s">
        <v>870</v>
      </c>
      <c r="I1489" s="21" t="s">
        <v>871</v>
      </c>
      <c r="J1489" s="21" t="s">
        <v>841</v>
      </c>
      <c r="K1489" s="21" t="s">
        <v>842</v>
      </c>
      <c r="L1489" s="21" t="s">
        <v>860</v>
      </c>
      <c r="M1489" s="21" t="s">
        <v>15</v>
      </c>
      <c r="N1489" s="54">
        <v>35372</v>
      </c>
      <c r="O1489" s="54">
        <v>0</v>
      </c>
      <c r="P1489" s="54">
        <v>0</v>
      </c>
      <c r="Q1489" s="54">
        <v>35372</v>
      </c>
      <c r="R1489" s="54">
        <v>32530.639999999999</v>
      </c>
      <c r="S1489" s="54">
        <v>2841.36</v>
      </c>
      <c r="T1489" s="54">
        <v>2841.36</v>
      </c>
      <c r="U1489" s="54">
        <v>32530.639999999999</v>
      </c>
      <c r="V1489" s="54">
        <v>32530.639999999999</v>
      </c>
      <c r="W1489" s="54">
        <v>0</v>
      </c>
    </row>
    <row r="1490" spans="1:23" outlineLevel="2" x14ac:dyDescent="0.2">
      <c r="A1490" s="21" t="s">
        <v>836</v>
      </c>
      <c r="B1490" s="21" t="s">
        <v>31</v>
      </c>
      <c r="C1490" s="21" t="s">
        <v>107</v>
      </c>
      <c r="D1490" s="21" t="s">
        <v>108</v>
      </c>
      <c r="E1490" s="21" t="s">
        <v>109</v>
      </c>
      <c r="F1490" s="21" t="s">
        <v>856</v>
      </c>
      <c r="G1490" s="21" t="s">
        <v>857</v>
      </c>
      <c r="H1490" s="21" t="s">
        <v>870</v>
      </c>
      <c r="I1490" s="21" t="s">
        <v>871</v>
      </c>
      <c r="J1490" s="21" t="s">
        <v>841</v>
      </c>
      <c r="K1490" s="21" t="s">
        <v>844</v>
      </c>
      <c r="L1490" s="21" t="s">
        <v>861</v>
      </c>
      <c r="M1490" s="21" t="s">
        <v>15</v>
      </c>
      <c r="N1490" s="54">
        <v>15421.16</v>
      </c>
      <c r="O1490" s="54">
        <v>0</v>
      </c>
      <c r="P1490" s="54">
        <v>0</v>
      </c>
      <c r="Q1490" s="54">
        <v>15421.16</v>
      </c>
      <c r="R1490" s="54">
        <v>3426.71</v>
      </c>
      <c r="S1490" s="54">
        <v>11773.29</v>
      </c>
      <c r="T1490" s="54">
        <v>11773.29</v>
      </c>
      <c r="U1490" s="54">
        <v>3647.87</v>
      </c>
      <c r="V1490" s="54">
        <v>3647.87</v>
      </c>
      <c r="W1490" s="54">
        <v>221.16</v>
      </c>
    </row>
    <row r="1491" spans="1:23" outlineLevel="2" x14ac:dyDescent="0.2">
      <c r="A1491" s="21" t="s">
        <v>836</v>
      </c>
      <c r="B1491" s="21" t="s">
        <v>31</v>
      </c>
      <c r="C1491" s="21" t="s">
        <v>107</v>
      </c>
      <c r="D1491" s="21" t="s">
        <v>108</v>
      </c>
      <c r="E1491" s="21" t="s">
        <v>109</v>
      </c>
      <c r="F1491" s="21" t="s">
        <v>856</v>
      </c>
      <c r="G1491" s="21" t="s">
        <v>857</v>
      </c>
      <c r="H1491" s="21" t="s">
        <v>870</v>
      </c>
      <c r="I1491" s="21" t="s">
        <v>871</v>
      </c>
      <c r="J1491" s="21" t="s">
        <v>841</v>
      </c>
      <c r="K1491" s="21" t="s">
        <v>854</v>
      </c>
      <c r="L1491" s="21" t="s">
        <v>862</v>
      </c>
      <c r="M1491" s="21" t="s">
        <v>15</v>
      </c>
      <c r="N1491" s="54">
        <v>0</v>
      </c>
      <c r="O1491" s="54">
        <v>13358.84</v>
      </c>
      <c r="P1491" s="54">
        <v>0</v>
      </c>
      <c r="Q1491" s="54">
        <v>13358.84</v>
      </c>
      <c r="R1491" s="54">
        <v>0</v>
      </c>
      <c r="S1491" s="54">
        <v>13358.67</v>
      </c>
      <c r="T1491" s="54">
        <v>13358.67</v>
      </c>
      <c r="U1491" s="54">
        <v>0.17</v>
      </c>
      <c r="V1491" s="54">
        <v>0.17</v>
      </c>
      <c r="W1491" s="54">
        <v>0.17</v>
      </c>
    </row>
    <row r="1492" spans="1:23" outlineLevel="2" x14ac:dyDescent="0.2">
      <c r="A1492" s="21" t="s">
        <v>836</v>
      </c>
      <c r="B1492" s="21" t="s">
        <v>31</v>
      </c>
      <c r="C1492" s="21" t="s">
        <v>107</v>
      </c>
      <c r="D1492" s="21" t="s">
        <v>108</v>
      </c>
      <c r="E1492" s="21" t="s">
        <v>109</v>
      </c>
      <c r="F1492" s="21" t="s">
        <v>856</v>
      </c>
      <c r="G1492" s="21" t="s">
        <v>857</v>
      </c>
      <c r="H1492" s="21" t="s">
        <v>870</v>
      </c>
      <c r="I1492" s="21" t="s">
        <v>871</v>
      </c>
      <c r="J1492" s="21" t="s">
        <v>841</v>
      </c>
      <c r="K1492" s="21" t="s">
        <v>863</v>
      </c>
      <c r="L1492" s="21" t="s">
        <v>864</v>
      </c>
      <c r="M1492" s="21" t="s">
        <v>15</v>
      </c>
      <c r="N1492" s="54">
        <v>0</v>
      </c>
      <c r="O1492" s="54">
        <v>2850</v>
      </c>
      <c r="P1492" s="54">
        <v>0</v>
      </c>
      <c r="Q1492" s="54">
        <v>2850</v>
      </c>
      <c r="R1492" s="54">
        <v>0</v>
      </c>
      <c r="S1492" s="54">
        <v>1537.11</v>
      </c>
      <c r="T1492" s="54">
        <v>1537.11</v>
      </c>
      <c r="U1492" s="54">
        <v>1312.89</v>
      </c>
      <c r="V1492" s="54">
        <v>1312.89</v>
      </c>
      <c r="W1492" s="54">
        <v>1312.89</v>
      </c>
    </row>
    <row r="1493" spans="1:23" outlineLevel="2" x14ac:dyDescent="0.2">
      <c r="A1493" s="21" t="s">
        <v>836</v>
      </c>
      <c r="B1493" s="21" t="s">
        <v>31</v>
      </c>
      <c r="C1493" s="21" t="s">
        <v>107</v>
      </c>
      <c r="D1493" s="21" t="s">
        <v>108</v>
      </c>
      <c r="E1493" s="21" t="s">
        <v>109</v>
      </c>
      <c r="F1493" s="21" t="s">
        <v>856</v>
      </c>
      <c r="G1493" s="21" t="s">
        <v>857</v>
      </c>
      <c r="H1493" s="21" t="s">
        <v>870</v>
      </c>
      <c r="I1493" s="21" t="s">
        <v>871</v>
      </c>
      <c r="J1493" s="21" t="s">
        <v>841</v>
      </c>
      <c r="K1493" s="21" t="s">
        <v>846</v>
      </c>
      <c r="L1493" s="21" t="s">
        <v>865</v>
      </c>
      <c r="M1493" s="21" t="s">
        <v>15</v>
      </c>
      <c r="N1493" s="54">
        <v>424464</v>
      </c>
      <c r="O1493" s="54">
        <v>0</v>
      </c>
      <c r="P1493" s="54">
        <v>0</v>
      </c>
      <c r="Q1493" s="54">
        <v>424464</v>
      </c>
      <c r="R1493" s="54">
        <v>112881.84</v>
      </c>
      <c r="S1493" s="54">
        <v>311582.15999999997</v>
      </c>
      <c r="T1493" s="54">
        <v>311582.15999999997</v>
      </c>
      <c r="U1493" s="54">
        <v>112881.84</v>
      </c>
      <c r="V1493" s="54">
        <v>112881.84</v>
      </c>
      <c r="W1493" s="54">
        <v>0</v>
      </c>
    </row>
    <row r="1494" spans="1:23" outlineLevel="2" x14ac:dyDescent="0.2">
      <c r="A1494" s="21" t="s">
        <v>836</v>
      </c>
      <c r="B1494" s="21" t="s">
        <v>31</v>
      </c>
      <c r="C1494" s="21" t="s">
        <v>107</v>
      </c>
      <c r="D1494" s="21" t="s">
        <v>108</v>
      </c>
      <c r="E1494" s="21" t="s">
        <v>109</v>
      </c>
      <c r="F1494" s="21" t="s">
        <v>856</v>
      </c>
      <c r="G1494" s="21" t="s">
        <v>857</v>
      </c>
      <c r="H1494" s="21" t="s">
        <v>870</v>
      </c>
      <c r="I1494" s="21" t="s">
        <v>871</v>
      </c>
      <c r="J1494" s="21" t="s">
        <v>841</v>
      </c>
      <c r="K1494" s="21" t="s">
        <v>872</v>
      </c>
      <c r="L1494" s="21" t="s">
        <v>873</v>
      </c>
      <c r="M1494" s="21" t="s">
        <v>15</v>
      </c>
      <c r="N1494" s="54">
        <v>0</v>
      </c>
      <c r="O1494" s="54">
        <v>3274</v>
      </c>
      <c r="P1494" s="54">
        <v>0</v>
      </c>
      <c r="Q1494" s="54">
        <v>3274</v>
      </c>
      <c r="R1494" s="54">
        <v>0</v>
      </c>
      <c r="S1494" s="54">
        <v>3273.99</v>
      </c>
      <c r="T1494" s="54">
        <v>3273.99</v>
      </c>
      <c r="U1494" s="54">
        <v>0.01</v>
      </c>
      <c r="V1494" s="54">
        <v>0.01</v>
      </c>
      <c r="W1494" s="54">
        <v>0.01</v>
      </c>
    </row>
    <row r="1495" spans="1:23" outlineLevel="2" x14ac:dyDescent="0.2">
      <c r="A1495" s="21" t="s">
        <v>836</v>
      </c>
      <c r="B1495" s="21" t="s">
        <v>31</v>
      </c>
      <c r="C1495" s="21" t="s">
        <v>107</v>
      </c>
      <c r="D1495" s="21" t="s">
        <v>108</v>
      </c>
      <c r="E1495" s="21" t="s">
        <v>109</v>
      </c>
      <c r="F1495" s="21" t="s">
        <v>856</v>
      </c>
      <c r="G1495" s="21" t="s">
        <v>857</v>
      </c>
      <c r="H1495" s="21" t="s">
        <v>870</v>
      </c>
      <c r="I1495" s="21" t="s">
        <v>871</v>
      </c>
      <c r="J1495" s="21" t="s">
        <v>841</v>
      </c>
      <c r="K1495" s="21" t="s">
        <v>848</v>
      </c>
      <c r="L1495" s="21" t="s">
        <v>868</v>
      </c>
      <c r="M1495" s="21" t="s">
        <v>15</v>
      </c>
      <c r="N1495" s="54">
        <v>53694.7</v>
      </c>
      <c r="O1495" s="54">
        <v>0</v>
      </c>
      <c r="P1495" s="54">
        <v>0</v>
      </c>
      <c r="Q1495" s="54">
        <v>53694.7</v>
      </c>
      <c r="R1495" s="54">
        <v>12175.86</v>
      </c>
      <c r="S1495" s="54">
        <v>41518.839999999997</v>
      </c>
      <c r="T1495" s="54">
        <v>41518.839999999997</v>
      </c>
      <c r="U1495" s="54">
        <v>12175.86</v>
      </c>
      <c r="V1495" s="54">
        <v>12175.86</v>
      </c>
      <c r="W1495" s="54">
        <v>0</v>
      </c>
    </row>
    <row r="1496" spans="1:23" outlineLevel="2" x14ac:dyDescent="0.2">
      <c r="A1496" s="21" t="s">
        <v>836</v>
      </c>
      <c r="B1496" s="21" t="s">
        <v>31</v>
      </c>
      <c r="C1496" s="21" t="s">
        <v>107</v>
      </c>
      <c r="D1496" s="21" t="s">
        <v>108</v>
      </c>
      <c r="E1496" s="21" t="s">
        <v>109</v>
      </c>
      <c r="F1496" s="21" t="s">
        <v>856</v>
      </c>
      <c r="G1496" s="21" t="s">
        <v>857</v>
      </c>
      <c r="H1496" s="21" t="s">
        <v>870</v>
      </c>
      <c r="I1496" s="21" t="s">
        <v>871</v>
      </c>
      <c r="J1496" s="21" t="s">
        <v>841</v>
      </c>
      <c r="K1496" s="21" t="s">
        <v>850</v>
      </c>
      <c r="L1496" s="21" t="s">
        <v>869</v>
      </c>
      <c r="M1496" s="21" t="s">
        <v>15</v>
      </c>
      <c r="N1496" s="54">
        <v>35372</v>
      </c>
      <c r="O1496" s="54">
        <v>0</v>
      </c>
      <c r="P1496" s="54">
        <v>0</v>
      </c>
      <c r="Q1496" s="54">
        <v>35372</v>
      </c>
      <c r="R1496" s="54">
        <v>19741.169999999998</v>
      </c>
      <c r="S1496" s="54">
        <v>15630.83</v>
      </c>
      <c r="T1496" s="54">
        <v>15630.83</v>
      </c>
      <c r="U1496" s="54">
        <v>19741.169999999998</v>
      </c>
      <c r="V1496" s="54">
        <v>19741.169999999998</v>
      </c>
      <c r="W1496" s="54">
        <v>0</v>
      </c>
    </row>
    <row r="1497" spans="1:23" outlineLevel="2" x14ac:dyDescent="0.2">
      <c r="A1497" s="21" t="s">
        <v>836</v>
      </c>
      <c r="B1497" s="21" t="s">
        <v>31</v>
      </c>
      <c r="C1497" s="21" t="s">
        <v>79</v>
      </c>
      <c r="D1497" s="21" t="s">
        <v>83</v>
      </c>
      <c r="E1497" s="21" t="s">
        <v>84</v>
      </c>
      <c r="F1497" s="21" t="s">
        <v>874</v>
      </c>
      <c r="G1497" s="21" t="s">
        <v>875</v>
      </c>
      <c r="H1497" s="21" t="s">
        <v>876</v>
      </c>
      <c r="I1497" s="21" t="s">
        <v>877</v>
      </c>
      <c r="J1497" s="21" t="s">
        <v>841</v>
      </c>
      <c r="K1497" s="21" t="s">
        <v>842</v>
      </c>
      <c r="L1497" s="21" t="s">
        <v>878</v>
      </c>
      <c r="M1497" s="21" t="s">
        <v>15</v>
      </c>
      <c r="N1497" s="54">
        <v>0</v>
      </c>
      <c r="O1497" s="54">
        <v>5790</v>
      </c>
      <c r="P1497" s="54">
        <v>0</v>
      </c>
      <c r="Q1497" s="54">
        <v>5790</v>
      </c>
      <c r="R1497" s="54">
        <v>5790</v>
      </c>
      <c r="S1497" s="54">
        <v>0</v>
      </c>
      <c r="T1497" s="54">
        <v>0</v>
      </c>
      <c r="U1497" s="54">
        <v>5790</v>
      </c>
      <c r="V1497" s="54">
        <v>5790</v>
      </c>
      <c r="W1497" s="54">
        <v>0</v>
      </c>
    </row>
    <row r="1498" spans="1:23" outlineLevel="2" x14ac:dyDescent="0.2">
      <c r="A1498" s="21" t="s">
        <v>836</v>
      </c>
      <c r="B1498" s="21" t="s">
        <v>31</v>
      </c>
      <c r="C1498" s="21" t="s">
        <v>79</v>
      </c>
      <c r="D1498" s="21" t="s">
        <v>83</v>
      </c>
      <c r="E1498" s="21" t="s">
        <v>84</v>
      </c>
      <c r="F1498" s="21" t="s">
        <v>874</v>
      </c>
      <c r="G1498" s="21" t="s">
        <v>875</v>
      </c>
      <c r="H1498" s="21" t="s">
        <v>876</v>
      </c>
      <c r="I1498" s="21" t="s">
        <v>877</v>
      </c>
      <c r="J1498" s="21" t="s">
        <v>841</v>
      </c>
      <c r="K1498" s="21" t="s">
        <v>844</v>
      </c>
      <c r="L1498" s="21" t="s">
        <v>879</v>
      </c>
      <c r="M1498" s="21" t="s">
        <v>15</v>
      </c>
      <c r="N1498" s="54">
        <v>0</v>
      </c>
      <c r="O1498" s="54">
        <v>2400</v>
      </c>
      <c r="P1498" s="54">
        <v>0</v>
      </c>
      <c r="Q1498" s="54">
        <v>2400</v>
      </c>
      <c r="R1498" s="54">
        <v>164.15</v>
      </c>
      <c r="S1498" s="54">
        <v>2235.85</v>
      </c>
      <c r="T1498" s="54">
        <v>2235.85</v>
      </c>
      <c r="U1498" s="54">
        <v>164.15</v>
      </c>
      <c r="V1498" s="54">
        <v>164.15</v>
      </c>
      <c r="W1498" s="54">
        <v>0</v>
      </c>
    </row>
    <row r="1499" spans="1:23" outlineLevel="2" x14ac:dyDescent="0.2">
      <c r="A1499" s="21" t="s">
        <v>836</v>
      </c>
      <c r="B1499" s="21" t="s">
        <v>31</v>
      </c>
      <c r="C1499" s="21" t="s">
        <v>79</v>
      </c>
      <c r="D1499" s="21" t="s">
        <v>83</v>
      </c>
      <c r="E1499" s="21" t="s">
        <v>84</v>
      </c>
      <c r="F1499" s="21" t="s">
        <v>874</v>
      </c>
      <c r="G1499" s="21" t="s">
        <v>875</v>
      </c>
      <c r="H1499" s="21" t="s">
        <v>876</v>
      </c>
      <c r="I1499" s="21" t="s">
        <v>877</v>
      </c>
      <c r="J1499" s="21" t="s">
        <v>841</v>
      </c>
      <c r="K1499" s="21" t="s">
        <v>846</v>
      </c>
      <c r="L1499" s="21" t="s">
        <v>880</v>
      </c>
      <c r="M1499" s="21" t="s">
        <v>15</v>
      </c>
      <c r="N1499" s="54">
        <v>0</v>
      </c>
      <c r="O1499" s="54">
        <v>69480</v>
      </c>
      <c r="P1499" s="54">
        <v>0</v>
      </c>
      <c r="Q1499" s="54">
        <v>69480</v>
      </c>
      <c r="R1499" s="54">
        <v>19488</v>
      </c>
      <c r="S1499" s="54">
        <v>49992</v>
      </c>
      <c r="T1499" s="54">
        <v>49992</v>
      </c>
      <c r="U1499" s="54">
        <v>19488</v>
      </c>
      <c r="V1499" s="54">
        <v>19488</v>
      </c>
      <c r="W1499" s="54">
        <v>0</v>
      </c>
    </row>
    <row r="1500" spans="1:23" outlineLevel="2" x14ac:dyDescent="0.2">
      <c r="A1500" s="21" t="s">
        <v>836</v>
      </c>
      <c r="B1500" s="21" t="s">
        <v>31</v>
      </c>
      <c r="C1500" s="21" t="s">
        <v>79</v>
      </c>
      <c r="D1500" s="21" t="s">
        <v>83</v>
      </c>
      <c r="E1500" s="21" t="s">
        <v>84</v>
      </c>
      <c r="F1500" s="21" t="s">
        <v>874</v>
      </c>
      <c r="G1500" s="21" t="s">
        <v>875</v>
      </c>
      <c r="H1500" s="21" t="s">
        <v>876</v>
      </c>
      <c r="I1500" s="21" t="s">
        <v>877</v>
      </c>
      <c r="J1500" s="21" t="s">
        <v>841</v>
      </c>
      <c r="K1500" s="21" t="s">
        <v>848</v>
      </c>
      <c r="L1500" s="21" t="s">
        <v>881</v>
      </c>
      <c r="M1500" s="21" t="s">
        <v>15</v>
      </c>
      <c r="N1500" s="54">
        <v>0</v>
      </c>
      <c r="O1500" s="54">
        <v>8789.2199999999993</v>
      </c>
      <c r="P1500" s="54">
        <v>0</v>
      </c>
      <c r="Q1500" s="54">
        <v>8789.2199999999993</v>
      </c>
      <c r="R1500" s="54">
        <v>2465.1</v>
      </c>
      <c r="S1500" s="54">
        <v>6324.12</v>
      </c>
      <c r="T1500" s="54">
        <v>6324.12</v>
      </c>
      <c r="U1500" s="54">
        <v>2465.1</v>
      </c>
      <c r="V1500" s="54">
        <v>2465.1</v>
      </c>
      <c r="W1500" s="54">
        <v>0</v>
      </c>
    </row>
    <row r="1501" spans="1:23" outlineLevel="2" x14ac:dyDescent="0.2">
      <c r="A1501" s="21" t="s">
        <v>836</v>
      </c>
      <c r="B1501" s="21" t="s">
        <v>31</v>
      </c>
      <c r="C1501" s="21" t="s">
        <v>79</v>
      </c>
      <c r="D1501" s="21" t="s">
        <v>83</v>
      </c>
      <c r="E1501" s="21" t="s">
        <v>84</v>
      </c>
      <c r="F1501" s="21" t="s">
        <v>874</v>
      </c>
      <c r="G1501" s="21" t="s">
        <v>875</v>
      </c>
      <c r="H1501" s="21" t="s">
        <v>876</v>
      </c>
      <c r="I1501" s="21" t="s">
        <v>877</v>
      </c>
      <c r="J1501" s="21" t="s">
        <v>841</v>
      </c>
      <c r="K1501" s="21" t="s">
        <v>850</v>
      </c>
      <c r="L1501" s="21" t="s">
        <v>882</v>
      </c>
      <c r="M1501" s="21" t="s">
        <v>15</v>
      </c>
      <c r="N1501" s="54">
        <v>0</v>
      </c>
      <c r="O1501" s="54">
        <v>5790</v>
      </c>
      <c r="P1501" s="54">
        <v>0</v>
      </c>
      <c r="Q1501" s="54">
        <v>5790</v>
      </c>
      <c r="R1501" s="54">
        <v>4545.8100000000004</v>
      </c>
      <c r="S1501" s="54">
        <v>1244.19</v>
      </c>
      <c r="T1501" s="54">
        <v>1244.19</v>
      </c>
      <c r="U1501" s="54">
        <v>4545.8100000000004</v>
      </c>
      <c r="V1501" s="54">
        <v>4545.8100000000004</v>
      </c>
      <c r="W1501" s="54">
        <v>0</v>
      </c>
    </row>
    <row r="1502" spans="1:23" outlineLevel="2" x14ac:dyDescent="0.2">
      <c r="A1502" s="21" t="s">
        <v>836</v>
      </c>
      <c r="B1502" s="21" t="s">
        <v>31</v>
      </c>
      <c r="C1502" s="21" t="s">
        <v>79</v>
      </c>
      <c r="D1502" s="21" t="s">
        <v>83</v>
      </c>
      <c r="E1502" s="21" t="s">
        <v>84</v>
      </c>
      <c r="F1502" s="21" t="s">
        <v>883</v>
      </c>
      <c r="G1502" s="21" t="s">
        <v>884</v>
      </c>
      <c r="H1502" s="21" t="s">
        <v>885</v>
      </c>
      <c r="I1502" s="21" t="s">
        <v>886</v>
      </c>
      <c r="J1502" s="21" t="s">
        <v>841</v>
      </c>
      <c r="K1502" s="21" t="s">
        <v>842</v>
      </c>
      <c r="L1502" s="21" t="s">
        <v>887</v>
      </c>
      <c r="M1502" s="21" t="s">
        <v>15</v>
      </c>
      <c r="N1502" s="54">
        <v>0</v>
      </c>
      <c r="O1502" s="54">
        <v>89486</v>
      </c>
      <c r="P1502" s="54">
        <v>0</v>
      </c>
      <c r="Q1502" s="54">
        <v>89486</v>
      </c>
      <c r="R1502" s="54">
        <v>84659.12</v>
      </c>
      <c r="S1502" s="54">
        <v>4826.88</v>
      </c>
      <c r="T1502" s="54">
        <v>4826.88</v>
      </c>
      <c r="U1502" s="54">
        <v>84659.12</v>
      </c>
      <c r="V1502" s="54">
        <v>84659.12</v>
      </c>
      <c r="W1502" s="54">
        <v>0</v>
      </c>
    </row>
    <row r="1503" spans="1:23" outlineLevel="2" x14ac:dyDescent="0.2">
      <c r="A1503" s="21" t="s">
        <v>836</v>
      </c>
      <c r="B1503" s="21" t="s">
        <v>31</v>
      </c>
      <c r="C1503" s="21" t="s">
        <v>79</v>
      </c>
      <c r="D1503" s="21" t="s">
        <v>83</v>
      </c>
      <c r="E1503" s="21" t="s">
        <v>84</v>
      </c>
      <c r="F1503" s="21" t="s">
        <v>883</v>
      </c>
      <c r="G1503" s="21" t="s">
        <v>884</v>
      </c>
      <c r="H1503" s="21" t="s">
        <v>885</v>
      </c>
      <c r="I1503" s="21" t="s">
        <v>886</v>
      </c>
      <c r="J1503" s="21" t="s">
        <v>841</v>
      </c>
      <c r="K1503" s="21" t="s">
        <v>844</v>
      </c>
      <c r="L1503" s="21" t="s">
        <v>888</v>
      </c>
      <c r="M1503" s="21" t="s">
        <v>15</v>
      </c>
      <c r="N1503" s="54">
        <v>0</v>
      </c>
      <c r="O1503" s="54">
        <v>42000</v>
      </c>
      <c r="P1503" s="54">
        <v>0</v>
      </c>
      <c r="Q1503" s="54">
        <v>42000</v>
      </c>
      <c r="R1503" s="54">
        <v>2602.59</v>
      </c>
      <c r="S1503" s="54">
        <v>39397.410000000003</v>
      </c>
      <c r="T1503" s="54">
        <v>39397.410000000003</v>
      </c>
      <c r="U1503" s="54">
        <v>2602.59</v>
      </c>
      <c r="V1503" s="54">
        <v>2602.59</v>
      </c>
      <c r="W1503" s="54">
        <v>0</v>
      </c>
    </row>
    <row r="1504" spans="1:23" outlineLevel="2" x14ac:dyDescent="0.2">
      <c r="A1504" s="21" t="s">
        <v>836</v>
      </c>
      <c r="B1504" s="21" t="s">
        <v>31</v>
      </c>
      <c r="C1504" s="21" t="s">
        <v>79</v>
      </c>
      <c r="D1504" s="21" t="s">
        <v>83</v>
      </c>
      <c r="E1504" s="21" t="s">
        <v>84</v>
      </c>
      <c r="F1504" s="21" t="s">
        <v>883</v>
      </c>
      <c r="G1504" s="21" t="s">
        <v>884</v>
      </c>
      <c r="H1504" s="21" t="s">
        <v>885</v>
      </c>
      <c r="I1504" s="21" t="s">
        <v>886</v>
      </c>
      <c r="J1504" s="21" t="s">
        <v>841</v>
      </c>
      <c r="K1504" s="21" t="s">
        <v>854</v>
      </c>
      <c r="L1504" s="21" t="s">
        <v>889</v>
      </c>
      <c r="M1504" s="21" t="s">
        <v>15</v>
      </c>
      <c r="N1504" s="54">
        <v>0</v>
      </c>
      <c r="O1504" s="54">
        <v>1389</v>
      </c>
      <c r="P1504" s="54">
        <v>0</v>
      </c>
      <c r="Q1504" s="54">
        <v>1389</v>
      </c>
      <c r="R1504" s="54">
        <v>0</v>
      </c>
      <c r="S1504" s="54">
        <v>1388.9</v>
      </c>
      <c r="T1504" s="54">
        <v>1388.9</v>
      </c>
      <c r="U1504" s="54">
        <v>0.1</v>
      </c>
      <c r="V1504" s="54">
        <v>0.1</v>
      </c>
      <c r="W1504" s="54">
        <v>0.1</v>
      </c>
    </row>
    <row r="1505" spans="1:23" outlineLevel="2" x14ac:dyDescent="0.2">
      <c r="A1505" s="21" t="s">
        <v>836</v>
      </c>
      <c r="B1505" s="21" t="s">
        <v>31</v>
      </c>
      <c r="C1505" s="21" t="s">
        <v>79</v>
      </c>
      <c r="D1505" s="21" t="s">
        <v>83</v>
      </c>
      <c r="E1505" s="21" t="s">
        <v>84</v>
      </c>
      <c r="F1505" s="21" t="s">
        <v>883</v>
      </c>
      <c r="G1505" s="21" t="s">
        <v>884</v>
      </c>
      <c r="H1505" s="21" t="s">
        <v>885</v>
      </c>
      <c r="I1505" s="21" t="s">
        <v>886</v>
      </c>
      <c r="J1505" s="21" t="s">
        <v>841</v>
      </c>
      <c r="K1505" s="21" t="s">
        <v>846</v>
      </c>
      <c r="L1505" s="21" t="s">
        <v>890</v>
      </c>
      <c r="M1505" s="21" t="s">
        <v>15</v>
      </c>
      <c r="N1505" s="54">
        <v>0</v>
      </c>
      <c r="O1505" s="54">
        <v>1073832</v>
      </c>
      <c r="P1505" s="54">
        <v>0</v>
      </c>
      <c r="Q1505" s="54">
        <v>1073832</v>
      </c>
      <c r="R1505" s="54">
        <v>203400.3</v>
      </c>
      <c r="S1505" s="54">
        <v>870431.7</v>
      </c>
      <c r="T1505" s="54">
        <v>870431.7</v>
      </c>
      <c r="U1505" s="54">
        <v>203400.3</v>
      </c>
      <c r="V1505" s="54">
        <v>203400.3</v>
      </c>
      <c r="W1505" s="54">
        <v>0</v>
      </c>
    </row>
    <row r="1506" spans="1:23" outlineLevel="2" x14ac:dyDescent="0.2">
      <c r="A1506" s="21" t="s">
        <v>836</v>
      </c>
      <c r="B1506" s="21" t="s">
        <v>31</v>
      </c>
      <c r="C1506" s="21" t="s">
        <v>79</v>
      </c>
      <c r="D1506" s="21" t="s">
        <v>83</v>
      </c>
      <c r="E1506" s="21" t="s">
        <v>84</v>
      </c>
      <c r="F1506" s="21" t="s">
        <v>883</v>
      </c>
      <c r="G1506" s="21" t="s">
        <v>884</v>
      </c>
      <c r="H1506" s="21" t="s">
        <v>885</v>
      </c>
      <c r="I1506" s="21" t="s">
        <v>886</v>
      </c>
      <c r="J1506" s="21" t="s">
        <v>841</v>
      </c>
      <c r="K1506" s="21" t="s">
        <v>848</v>
      </c>
      <c r="L1506" s="21" t="s">
        <v>891</v>
      </c>
      <c r="M1506" s="21" t="s">
        <v>15</v>
      </c>
      <c r="N1506" s="54">
        <v>0</v>
      </c>
      <c r="O1506" s="54">
        <v>135839.75</v>
      </c>
      <c r="P1506" s="54">
        <v>0</v>
      </c>
      <c r="Q1506" s="54">
        <v>135839.75</v>
      </c>
      <c r="R1506" s="54">
        <v>36111.800000000003</v>
      </c>
      <c r="S1506" s="54">
        <v>99727.95</v>
      </c>
      <c r="T1506" s="54">
        <v>99727.95</v>
      </c>
      <c r="U1506" s="54">
        <v>36111.800000000003</v>
      </c>
      <c r="V1506" s="54">
        <v>36111.800000000003</v>
      </c>
      <c r="W1506" s="54">
        <v>0</v>
      </c>
    </row>
    <row r="1507" spans="1:23" outlineLevel="2" x14ac:dyDescent="0.2">
      <c r="A1507" s="21" t="s">
        <v>836</v>
      </c>
      <c r="B1507" s="21" t="s">
        <v>31</v>
      </c>
      <c r="C1507" s="21" t="s">
        <v>79</v>
      </c>
      <c r="D1507" s="21" t="s">
        <v>83</v>
      </c>
      <c r="E1507" s="21" t="s">
        <v>84</v>
      </c>
      <c r="F1507" s="21" t="s">
        <v>883</v>
      </c>
      <c r="G1507" s="21" t="s">
        <v>884</v>
      </c>
      <c r="H1507" s="21" t="s">
        <v>885</v>
      </c>
      <c r="I1507" s="21" t="s">
        <v>886</v>
      </c>
      <c r="J1507" s="21" t="s">
        <v>841</v>
      </c>
      <c r="K1507" s="21" t="s">
        <v>850</v>
      </c>
      <c r="L1507" s="21" t="s">
        <v>892</v>
      </c>
      <c r="M1507" s="21" t="s">
        <v>15</v>
      </c>
      <c r="N1507" s="54">
        <v>0</v>
      </c>
      <c r="O1507" s="54">
        <v>89486</v>
      </c>
      <c r="P1507" s="54">
        <v>0</v>
      </c>
      <c r="Q1507" s="54">
        <v>89486</v>
      </c>
      <c r="R1507" s="54">
        <v>22661.64</v>
      </c>
      <c r="S1507" s="54">
        <v>66824.36</v>
      </c>
      <c r="T1507" s="54">
        <v>66824.36</v>
      </c>
      <c r="U1507" s="54">
        <v>22661.64</v>
      </c>
      <c r="V1507" s="54">
        <v>22661.64</v>
      </c>
      <c r="W1507" s="54">
        <v>0</v>
      </c>
    </row>
    <row r="1508" spans="1:23" outlineLevel="2" x14ac:dyDescent="0.2">
      <c r="A1508" s="21" t="s">
        <v>836</v>
      </c>
      <c r="B1508" s="21" t="s">
        <v>31</v>
      </c>
      <c r="C1508" s="21" t="s">
        <v>49</v>
      </c>
      <c r="D1508" s="21" t="s">
        <v>50</v>
      </c>
      <c r="E1508" s="21" t="s">
        <v>51</v>
      </c>
      <c r="F1508" s="21" t="s">
        <v>893</v>
      </c>
      <c r="G1508" s="21" t="s">
        <v>894</v>
      </c>
      <c r="H1508" s="21" t="s">
        <v>895</v>
      </c>
      <c r="I1508" s="21" t="s">
        <v>896</v>
      </c>
      <c r="J1508" s="21" t="s">
        <v>841</v>
      </c>
      <c r="K1508" s="21" t="s">
        <v>842</v>
      </c>
      <c r="L1508" s="21" t="s">
        <v>897</v>
      </c>
      <c r="M1508" s="21" t="s">
        <v>15</v>
      </c>
      <c r="N1508" s="54">
        <v>7873</v>
      </c>
      <c r="O1508" s="54">
        <v>0</v>
      </c>
      <c r="P1508" s="54">
        <v>0</v>
      </c>
      <c r="Q1508" s="54">
        <v>7873</v>
      </c>
      <c r="R1508" s="54">
        <v>6762.2</v>
      </c>
      <c r="S1508" s="54">
        <v>1110.8</v>
      </c>
      <c r="T1508" s="54">
        <v>1110.8</v>
      </c>
      <c r="U1508" s="54">
        <v>6762.2</v>
      </c>
      <c r="V1508" s="54">
        <v>6762.2</v>
      </c>
      <c r="W1508" s="54">
        <v>0</v>
      </c>
    </row>
    <row r="1509" spans="1:23" outlineLevel="2" x14ac:dyDescent="0.2">
      <c r="A1509" s="21" t="s">
        <v>836</v>
      </c>
      <c r="B1509" s="21" t="s">
        <v>31</v>
      </c>
      <c r="C1509" s="21" t="s">
        <v>49</v>
      </c>
      <c r="D1509" s="21" t="s">
        <v>50</v>
      </c>
      <c r="E1509" s="21" t="s">
        <v>51</v>
      </c>
      <c r="F1509" s="21" t="s">
        <v>893</v>
      </c>
      <c r="G1509" s="21" t="s">
        <v>894</v>
      </c>
      <c r="H1509" s="21" t="s">
        <v>895</v>
      </c>
      <c r="I1509" s="21" t="s">
        <v>896</v>
      </c>
      <c r="J1509" s="21" t="s">
        <v>841</v>
      </c>
      <c r="K1509" s="21" t="s">
        <v>844</v>
      </c>
      <c r="L1509" s="21" t="s">
        <v>898</v>
      </c>
      <c r="M1509" s="21" t="s">
        <v>15</v>
      </c>
      <c r="N1509" s="54">
        <v>2434.92</v>
      </c>
      <c r="O1509" s="54">
        <v>0</v>
      </c>
      <c r="P1509" s="54">
        <v>0</v>
      </c>
      <c r="Q1509" s="54">
        <v>2434.92</v>
      </c>
      <c r="R1509" s="54">
        <v>1580.03</v>
      </c>
      <c r="S1509" s="54">
        <v>819.97</v>
      </c>
      <c r="T1509" s="54">
        <v>819.97</v>
      </c>
      <c r="U1509" s="54">
        <v>1614.95</v>
      </c>
      <c r="V1509" s="54">
        <v>1614.95</v>
      </c>
      <c r="W1509" s="54">
        <v>34.92</v>
      </c>
    </row>
    <row r="1510" spans="1:23" outlineLevel="2" x14ac:dyDescent="0.2">
      <c r="A1510" s="21" t="s">
        <v>836</v>
      </c>
      <c r="B1510" s="21" t="s">
        <v>31</v>
      </c>
      <c r="C1510" s="21" t="s">
        <v>49</v>
      </c>
      <c r="D1510" s="21" t="s">
        <v>50</v>
      </c>
      <c r="E1510" s="21" t="s">
        <v>51</v>
      </c>
      <c r="F1510" s="21" t="s">
        <v>893</v>
      </c>
      <c r="G1510" s="21" t="s">
        <v>894</v>
      </c>
      <c r="H1510" s="21" t="s">
        <v>895</v>
      </c>
      <c r="I1510" s="21" t="s">
        <v>896</v>
      </c>
      <c r="J1510" s="21" t="s">
        <v>841</v>
      </c>
      <c r="K1510" s="21" t="s">
        <v>846</v>
      </c>
      <c r="L1510" s="21" t="s">
        <v>899</v>
      </c>
      <c r="M1510" s="21" t="s">
        <v>15</v>
      </c>
      <c r="N1510" s="54">
        <v>94476</v>
      </c>
      <c r="O1510" s="54">
        <v>0</v>
      </c>
      <c r="P1510" s="54">
        <v>0</v>
      </c>
      <c r="Q1510" s="54">
        <v>94476</v>
      </c>
      <c r="R1510" s="54">
        <v>55486</v>
      </c>
      <c r="S1510" s="54">
        <v>38990</v>
      </c>
      <c r="T1510" s="54">
        <v>38990</v>
      </c>
      <c r="U1510" s="54">
        <v>55486</v>
      </c>
      <c r="V1510" s="54">
        <v>55486</v>
      </c>
      <c r="W1510" s="54">
        <v>0</v>
      </c>
    </row>
    <row r="1511" spans="1:23" outlineLevel="2" x14ac:dyDescent="0.2">
      <c r="A1511" s="21" t="s">
        <v>836</v>
      </c>
      <c r="B1511" s="21" t="s">
        <v>31</v>
      </c>
      <c r="C1511" s="21" t="s">
        <v>49</v>
      </c>
      <c r="D1511" s="21" t="s">
        <v>50</v>
      </c>
      <c r="E1511" s="21" t="s">
        <v>51</v>
      </c>
      <c r="F1511" s="21" t="s">
        <v>893</v>
      </c>
      <c r="G1511" s="21" t="s">
        <v>894</v>
      </c>
      <c r="H1511" s="21" t="s">
        <v>895</v>
      </c>
      <c r="I1511" s="21" t="s">
        <v>896</v>
      </c>
      <c r="J1511" s="21" t="s">
        <v>841</v>
      </c>
      <c r="K1511" s="21" t="s">
        <v>848</v>
      </c>
      <c r="L1511" s="21" t="s">
        <v>900</v>
      </c>
      <c r="M1511" s="21" t="s">
        <v>15</v>
      </c>
      <c r="N1511" s="54">
        <v>11951.21</v>
      </c>
      <c r="O1511" s="54">
        <v>0</v>
      </c>
      <c r="P1511" s="54">
        <v>0</v>
      </c>
      <c r="Q1511" s="54">
        <v>11951.21</v>
      </c>
      <c r="R1511" s="54">
        <v>7019.02</v>
      </c>
      <c r="S1511" s="54">
        <v>4932.1899999999996</v>
      </c>
      <c r="T1511" s="54">
        <v>4932.1899999999996</v>
      </c>
      <c r="U1511" s="54">
        <v>7019.02</v>
      </c>
      <c r="V1511" s="54">
        <v>7019.02</v>
      </c>
      <c r="W1511" s="54">
        <v>0</v>
      </c>
    </row>
    <row r="1512" spans="1:23" outlineLevel="2" x14ac:dyDescent="0.2">
      <c r="A1512" s="21" t="s">
        <v>836</v>
      </c>
      <c r="B1512" s="21" t="s">
        <v>31</v>
      </c>
      <c r="C1512" s="21" t="s">
        <v>49</v>
      </c>
      <c r="D1512" s="21" t="s">
        <v>50</v>
      </c>
      <c r="E1512" s="21" t="s">
        <v>51</v>
      </c>
      <c r="F1512" s="21" t="s">
        <v>893</v>
      </c>
      <c r="G1512" s="21" t="s">
        <v>894</v>
      </c>
      <c r="H1512" s="21" t="s">
        <v>895</v>
      </c>
      <c r="I1512" s="21" t="s">
        <v>896</v>
      </c>
      <c r="J1512" s="21" t="s">
        <v>841</v>
      </c>
      <c r="K1512" s="21" t="s">
        <v>850</v>
      </c>
      <c r="L1512" s="21" t="s">
        <v>901</v>
      </c>
      <c r="M1512" s="21" t="s">
        <v>15</v>
      </c>
      <c r="N1512" s="54">
        <v>7873</v>
      </c>
      <c r="O1512" s="54">
        <v>0</v>
      </c>
      <c r="P1512" s="54">
        <v>0</v>
      </c>
      <c r="Q1512" s="54">
        <v>7873</v>
      </c>
      <c r="R1512" s="54">
        <v>6384.34</v>
      </c>
      <c r="S1512" s="54">
        <v>1488.66</v>
      </c>
      <c r="T1512" s="54">
        <v>1488.66</v>
      </c>
      <c r="U1512" s="54">
        <v>6384.34</v>
      </c>
      <c r="V1512" s="54">
        <v>6384.34</v>
      </c>
      <c r="W1512" s="54">
        <v>0</v>
      </c>
    </row>
    <row r="1513" spans="1:23" outlineLevel="2" x14ac:dyDescent="0.2">
      <c r="A1513" s="21" t="s">
        <v>836</v>
      </c>
      <c r="B1513" s="21" t="s">
        <v>31</v>
      </c>
      <c r="C1513" s="21" t="s">
        <v>49</v>
      </c>
      <c r="D1513" s="21" t="s">
        <v>50</v>
      </c>
      <c r="E1513" s="21" t="s">
        <v>51</v>
      </c>
      <c r="F1513" s="21" t="s">
        <v>893</v>
      </c>
      <c r="G1513" s="21" t="s">
        <v>894</v>
      </c>
      <c r="H1513" s="21" t="s">
        <v>902</v>
      </c>
      <c r="I1513" s="21" t="s">
        <v>903</v>
      </c>
      <c r="J1513" s="21" t="s">
        <v>841</v>
      </c>
      <c r="K1513" s="21" t="s">
        <v>842</v>
      </c>
      <c r="L1513" s="21" t="s">
        <v>897</v>
      </c>
      <c r="M1513" s="21" t="s">
        <v>15</v>
      </c>
      <c r="N1513" s="54">
        <v>5673</v>
      </c>
      <c r="O1513" s="54">
        <v>0</v>
      </c>
      <c r="P1513" s="54">
        <v>0</v>
      </c>
      <c r="Q1513" s="54">
        <v>5673</v>
      </c>
      <c r="R1513" s="54">
        <v>4834.7</v>
      </c>
      <c r="S1513" s="54">
        <v>838.3</v>
      </c>
      <c r="T1513" s="54">
        <v>838.3</v>
      </c>
      <c r="U1513" s="54">
        <v>4834.7</v>
      </c>
      <c r="V1513" s="54">
        <v>4834.7</v>
      </c>
      <c r="W1513" s="54">
        <v>0</v>
      </c>
    </row>
    <row r="1514" spans="1:23" outlineLevel="2" x14ac:dyDescent="0.2">
      <c r="A1514" s="21" t="s">
        <v>836</v>
      </c>
      <c r="B1514" s="21" t="s">
        <v>39</v>
      </c>
      <c r="C1514" s="21" t="s">
        <v>58</v>
      </c>
      <c r="D1514" s="21" t="s">
        <v>135</v>
      </c>
      <c r="E1514" s="21" t="s">
        <v>136</v>
      </c>
      <c r="F1514" s="21" t="s">
        <v>893</v>
      </c>
      <c r="G1514" s="21" t="s">
        <v>894</v>
      </c>
      <c r="H1514" s="21" t="s">
        <v>902</v>
      </c>
      <c r="I1514" s="21" t="s">
        <v>903</v>
      </c>
      <c r="J1514" s="21" t="s">
        <v>841</v>
      </c>
      <c r="K1514" s="21" t="s">
        <v>842</v>
      </c>
      <c r="L1514" s="21" t="s">
        <v>904</v>
      </c>
      <c r="M1514" s="21" t="s">
        <v>15</v>
      </c>
      <c r="N1514" s="54">
        <v>1631</v>
      </c>
      <c r="O1514" s="54">
        <v>0</v>
      </c>
      <c r="P1514" s="54">
        <v>0</v>
      </c>
      <c r="Q1514" s="54">
        <v>1631</v>
      </c>
      <c r="R1514" s="54">
        <v>866</v>
      </c>
      <c r="S1514" s="54">
        <v>765</v>
      </c>
      <c r="T1514" s="54">
        <v>765</v>
      </c>
      <c r="U1514" s="54">
        <v>866</v>
      </c>
      <c r="V1514" s="54">
        <v>866</v>
      </c>
      <c r="W1514" s="54">
        <v>0</v>
      </c>
    </row>
    <row r="1515" spans="1:23" outlineLevel="2" x14ac:dyDescent="0.2">
      <c r="A1515" s="21" t="s">
        <v>836</v>
      </c>
      <c r="B1515" s="21" t="s">
        <v>39</v>
      </c>
      <c r="C1515" s="21" t="s">
        <v>58</v>
      </c>
      <c r="D1515" s="21" t="s">
        <v>135</v>
      </c>
      <c r="E1515" s="21" t="s">
        <v>136</v>
      </c>
      <c r="F1515" s="21" t="s">
        <v>893</v>
      </c>
      <c r="G1515" s="21" t="s">
        <v>894</v>
      </c>
      <c r="H1515" s="21" t="s">
        <v>902</v>
      </c>
      <c r="I1515" s="21" t="s">
        <v>903</v>
      </c>
      <c r="J1515" s="21" t="s">
        <v>841</v>
      </c>
      <c r="K1515" s="21" t="s">
        <v>844</v>
      </c>
      <c r="L1515" s="21" t="s">
        <v>905</v>
      </c>
      <c r="M1515" s="21" t="s">
        <v>15</v>
      </c>
      <c r="N1515" s="54">
        <v>811.64</v>
      </c>
      <c r="O1515" s="54">
        <v>0</v>
      </c>
      <c r="P1515" s="54">
        <v>0</v>
      </c>
      <c r="Q1515" s="54">
        <v>811.64</v>
      </c>
      <c r="R1515" s="54">
        <v>464.16</v>
      </c>
      <c r="S1515" s="54">
        <v>335.84</v>
      </c>
      <c r="T1515" s="54">
        <v>335.84</v>
      </c>
      <c r="U1515" s="54">
        <v>475.8</v>
      </c>
      <c r="V1515" s="54">
        <v>475.8</v>
      </c>
      <c r="W1515" s="54">
        <v>11.64</v>
      </c>
    </row>
    <row r="1516" spans="1:23" outlineLevel="2" x14ac:dyDescent="0.2">
      <c r="A1516" s="21" t="s">
        <v>836</v>
      </c>
      <c r="B1516" s="21" t="s">
        <v>31</v>
      </c>
      <c r="C1516" s="21" t="s">
        <v>49</v>
      </c>
      <c r="D1516" s="21" t="s">
        <v>50</v>
      </c>
      <c r="E1516" s="21" t="s">
        <v>51</v>
      </c>
      <c r="F1516" s="21" t="s">
        <v>893</v>
      </c>
      <c r="G1516" s="21" t="s">
        <v>894</v>
      </c>
      <c r="H1516" s="21" t="s">
        <v>902</v>
      </c>
      <c r="I1516" s="21" t="s">
        <v>903</v>
      </c>
      <c r="J1516" s="21" t="s">
        <v>841</v>
      </c>
      <c r="K1516" s="21" t="s">
        <v>844</v>
      </c>
      <c r="L1516" s="21" t="s">
        <v>898</v>
      </c>
      <c r="M1516" s="21" t="s">
        <v>15</v>
      </c>
      <c r="N1516" s="54">
        <v>2434.92</v>
      </c>
      <c r="O1516" s="54">
        <v>720.63</v>
      </c>
      <c r="P1516" s="54">
        <v>0</v>
      </c>
      <c r="Q1516" s="54">
        <v>3155.55</v>
      </c>
      <c r="R1516" s="54">
        <v>67.34</v>
      </c>
      <c r="S1516" s="54">
        <v>3053.32</v>
      </c>
      <c r="T1516" s="54">
        <v>3053.32</v>
      </c>
      <c r="U1516" s="54">
        <v>102.23</v>
      </c>
      <c r="V1516" s="54">
        <v>102.23</v>
      </c>
      <c r="W1516" s="54">
        <v>34.89</v>
      </c>
    </row>
    <row r="1517" spans="1:23" outlineLevel="2" x14ac:dyDescent="0.2">
      <c r="A1517" s="21" t="s">
        <v>836</v>
      </c>
      <c r="B1517" s="21" t="s">
        <v>31</v>
      </c>
      <c r="C1517" s="21" t="s">
        <v>49</v>
      </c>
      <c r="D1517" s="21" t="s">
        <v>50</v>
      </c>
      <c r="E1517" s="21" t="s">
        <v>51</v>
      </c>
      <c r="F1517" s="21" t="s">
        <v>893</v>
      </c>
      <c r="G1517" s="21" t="s">
        <v>894</v>
      </c>
      <c r="H1517" s="21" t="s">
        <v>902</v>
      </c>
      <c r="I1517" s="21" t="s">
        <v>903</v>
      </c>
      <c r="J1517" s="21" t="s">
        <v>841</v>
      </c>
      <c r="K1517" s="21" t="s">
        <v>854</v>
      </c>
      <c r="L1517" s="21" t="s">
        <v>906</v>
      </c>
      <c r="M1517" s="21" t="s">
        <v>15</v>
      </c>
      <c r="N1517" s="54">
        <v>0</v>
      </c>
      <c r="O1517" s="54">
        <v>612</v>
      </c>
      <c r="P1517" s="54">
        <v>0</v>
      </c>
      <c r="Q1517" s="54">
        <v>612</v>
      </c>
      <c r="R1517" s="54">
        <v>0</v>
      </c>
      <c r="S1517" s="54">
        <v>612</v>
      </c>
      <c r="T1517" s="54">
        <v>612</v>
      </c>
      <c r="U1517" s="54">
        <v>0</v>
      </c>
      <c r="V1517" s="54">
        <v>0</v>
      </c>
      <c r="W1517" s="54">
        <v>0</v>
      </c>
    </row>
    <row r="1518" spans="1:23" outlineLevel="2" x14ac:dyDescent="0.2">
      <c r="A1518" s="21" t="s">
        <v>836</v>
      </c>
      <c r="B1518" s="21" t="s">
        <v>39</v>
      </c>
      <c r="C1518" s="21" t="s">
        <v>58</v>
      </c>
      <c r="D1518" s="21" t="s">
        <v>135</v>
      </c>
      <c r="E1518" s="21" t="s">
        <v>136</v>
      </c>
      <c r="F1518" s="21" t="s">
        <v>893</v>
      </c>
      <c r="G1518" s="21" t="s">
        <v>894</v>
      </c>
      <c r="H1518" s="21" t="s">
        <v>902</v>
      </c>
      <c r="I1518" s="21" t="s">
        <v>903</v>
      </c>
      <c r="J1518" s="21" t="s">
        <v>841</v>
      </c>
      <c r="K1518" s="21" t="s">
        <v>846</v>
      </c>
      <c r="L1518" s="21" t="s">
        <v>907</v>
      </c>
      <c r="M1518" s="21" t="s">
        <v>15</v>
      </c>
      <c r="N1518" s="54">
        <v>19572</v>
      </c>
      <c r="O1518" s="54">
        <v>0</v>
      </c>
      <c r="P1518" s="54">
        <v>0</v>
      </c>
      <c r="Q1518" s="54">
        <v>19572</v>
      </c>
      <c r="R1518" s="54">
        <v>10392</v>
      </c>
      <c r="S1518" s="54">
        <v>9180</v>
      </c>
      <c r="T1518" s="54">
        <v>9180</v>
      </c>
      <c r="U1518" s="54">
        <v>10392</v>
      </c>
      <c r="V1518" s="54">
        <v>10392</v>
      </c>
      <c r="W1518" s="54">
        <v>0</v>
      </c>
    </row>
    <row r="1519" spans="1:23" outlineLevel="2" x14ac:dyDescent="0.2">
      <c r="A1519" s="21" t="s">
        <v>836</v>
      </c>
      <c r="B1519" s="21" t="s">
        <v>31</v>
      </c>
      <c r="C1519" s="21" t="s">
        <v>49</v>
      </c>
      <c r="D1519" s="21" t="s">
        <v>50</v>
      </c>
      <c r="E1519" s="21" t="s">
        <v>51</v>
      </c>
      <c r="F1519" s="21" t="s">
        <v>893</v>
      </c>
      <c r="G1519" s="21" t="s">
        <v>894</v>
      </c>
      <c r="H1519" s="21" t="s">
        <v>902</v>
      </c>
      <c r="I1519" s="21" t="s">
        <v>903</v>
      </c>
      <c r="J1519" s="21" t="s">
        <v>841</v>
      </c>
      <c r="K1519" s="21" t="s">
        <v>846</v>
      </c>
      <c r="L1519" s="21" t="s">
        <v>899</v>
      </c>
      <c r="M1519" s="21" t="s">
        <v>15</v>
      </c>
      <c r="N1519" s="54">
        <v>68076</v>
      </c>
      <c r="O1519" s="54">
        <v>18295</v>
      </c>
      <c r="P1519" s="54">
        <v>0</v>
      </c>
      <c r="Q1519" s="54">
        <v>86371</v>
      </c>
      <c r="R1519" s="54">
        <v>7</v>
      </c>
      <c r="S1519" s="54">
        <v>86364</v>
      </c>
      <c r="T1519" s="54">
        <v>86364</v>
      </c>
      <c r="U1519" s="54">
        <v>7</v>
      </c>
      <c r="V1519" s="54">
        <v>7</v>
      </c>
      <c r="W1519" s="54">
        <v>0</v>
      </c>
    </row>
    <row r="1520" spans="1:23" outlineLevel="2" x14ac:dyDescent="0.2">
      <c r="A1520" s="21" t="s">
        <v>836</v>
      </c>
      <c r="B1520" s="21" t="s">
        <v>39</v>
      </c>
      <c r="C1520" s="21" t="s">
        <v>58</v>
      </c>
      <c r="D1520" s="21" t="s">
        <v>135</v>
      </c>
      <c r="E1520" s="21" t="s">
        <v>136</v>
      </c>
      <c r="F1520" s="21" t="s">
        <v>893</v>
      </c>
      <c r="G1520" s="21" t="s">
        <v>894</v>
      </c>
      <c r="H1520" s="21" t="s">
        <v>902</v>
      </c>
      <c r="I1520" s="21" t="s">
        <v>903</v>
      </c>
      <c r="J1520" s="21" t="s">
        <v>841</v>
      </c>
      <c r="K1520" s="21" t="s">
        <v>848</v>
      </c>
      <c r="L1520" s="21" t="s">
        <v>909</v>
      </c>
      <c r="M1520" s="21" t="s">
        <v>15</v>
      </c>
      <c r="N1520" s="54">
        <v>2475.86</v>
      </c>
      <c r="O1520" s="54">
        <v>0</v>
      </c>
      <c r="P1520" s="54">
        <v>0</v>
      </c>
      <c r="Q1520" s="54">
        <v>2475.86</v>
      </c>
      <c r="R1520" s="54">
        <v>1314.56</v>
      </c>
      <c r="S1520" s="54">
        <v>1161.3</v>
      </c>
      <c r="T1520" s="54">
        <v>1161.3</v>
      </c>
      <c r="U1520" s="54">
        <v>1314.56</v>
      </c>
      <c r="V1520" s="54">
        <v>1314.56</v>
      </c>
      <c r="W1520" s="54">
        <v>0</v>
      </c>
    </row>
    <row r="1521" spans="1:23" outlineLevel="2" x14ac:dyDescent="0.2">
      <c r="A1521" s="21" t="s">
        <v>836</v>
      </c>
      <c r="B1521" s="21" t="s">
        <v>31</v>
      </c>
      <c r="C1521" s="21" t="s">
        <v>49</v>
      </c>
      <c r="D1521" s="21" t="s">
        <v>50</v>
      </c>
      <c r="E1521" s="21" t="s">
        <v>51</v>
      </c>
      <c r="F1521" s="21" t="s">
        <v>893</v>
      </c>
      <c r="G1521" s="21" t="s">
        <v>894</v>
      </c>
      <c r="H1521" s="21" t="s">
        <v>902</v>
      </c>
      <c r="I1521" s="21" t="s">
        <v>903</v>
      </c>
      <c r="J1521" s="21" t="s">
        <v>841</v>
      </c>
      <c r="K1521" s="21" t="s">
        <v>848</v>
      </c>
      <c r="L1521" s="21" t="s">
        <v>900</v>
      </c>
      <c r="M1521" s="21" t="s">
        <v>15</v>
      </c>
      <c r="N1521" s="54">
        <v>8611.61</v>
      </c>
      <c r="O1521" s="54">
        <v>2391.6999999999998</v>
      </c>
      <c r="P1521" s="54">
        <v>0</v>
      </c>
      <c r="Q1521" s="54">
        <v>11003.31</v>
      </c>
      <c r="R1521" s="54">
        <v>0.81</v>
      </c>
      <c r="S1521" s="54">
        <v>11002.5</v>
      </c>
      <c r="T1521" s="54">
        <v>11002.5</v>
      </c>
      <c r="U1521" s="54">
        <v>0.81</v>
      </c>
      <c r="V1521" s="54">
        <v>0.81</v>
      </c>
      <c r="W1521" s="54">
        <v>0</v>
      </c>
    </row>
    <row r="1522" spans="1:23" outlineLevel="2" x14ac:dyDescent="0.2">
      <c r="A1522" s="21" t="s">
        <v>836</v>
      </c>
      <c r="B1522" s="21" t="s">
        <v>39</v>
      </c>
      <c r="C1522" s="21" t="s">
        <v>58</v>
      </c>
      <c r="D1522" s="21" t="s">
        <v>135</v>
      </c>
      <c r="E1522" s="21" t="s">
        <v>136</v>
      </c>
      <c r="F1522" s="21" t="s">
        <v>893</v>
      </c>
      <c r="G1522" s="21" t="s">
        <v>894</v>
      </c>
      <c r="H1522" s="21" t="s">
        <v>902</v>
      </c>
      <c r="I1522" s="21" t="s">
        <v>903</v>
      </c>
      <c r="J1522" s="21" t="s">
        <v>841</v>
      </c>
      <c r="K1522" s="21" t="s">
        <v>850</v>
      </c>
      <c r="L1522" s="21" t="s">
        <v>910</v>
      </c>
      <c r="M1522" s="21" t="s">
        <v>15</v>
      </c>
      <c r="N1522" s="54">
        <v>1631</v>
      </c>
      <c r="O1522" s="54">
        <v>0</v>
      </c>
      <c r="P1522" s="54">
        <v>0</v>
      </c>
      <c r="Q1522" s="54">
        <v>1631</v>
      </c>
      <c r="R1522" s="54">
        <v>866.3</v>
      </c>
      <c r="S1522" s="54">
        <v>764.7</v>
      </c>
      <c r="T1522" s="54">
        <v>764.7</v>
      </c>
      <c r="U1522" s="54">
        <v>866.3</v>
      </c>
      <c r="V1522" s="54">
        <v>866.3</v>
      </c>
      <c r="W1522" s="54">
        <v>0</v>
      </c>
    </row>
    <row r="1523" spans="1:23" outlineLevel="2" x14ac:dyDescent="0.2">
      <c r="A1523" s="21" t="s">
        <v>836</v>
      </c>
      <c r="B1523" s="21" t="s">
        <v>31</v>
      </c>
      <c r="C1523" s="21" t="s">
        <v>49</v>
      </c>
      <c r="D1523" s="21" t="s">
        <v>50</v>
      </c>
      <c r="E1523" s="21" t="s">
        <v>51</v>
      </c>
      <c r="F1523" s="21" t="s">
        <v>893</v>
      </c>
      <c r="G1523" s="21" t="s">
        <v>894</v>
      </c>
      <c r="H1523" s="21" t="s">
        <v>902</v>
      </c>
      <c r="I1523" s="21" t="s">
        <v>903</v>
      </c>
      <c r="J1523" s="21" t="s">
        <v>841</v>
      </c>
      <c r="K1523" s="21" t="s">
        <v>850</v>
      </c>
      <c r="L1523" s="21" t="s">
        <v>901</v>
      </c>
      <c r="M1523" s="21" t="s">
        <v>15</v>
      </c>
      <c r="N1523" s="54">
        <v>5673</v>
      </c>
      <c r="O1523" s="54">
        <v>0</v>
      </c>
      <c r="P1523" s="54">
        <v>0</v>
      </c>
      <c r="Q1523" s="54">
        <v>5673</v>
      </c>
      <c r="R1523" s="54">
        <v>1371.84</v>
      </c>
      <c r="S1523" s="54">
        <v>4301.16</v>
      </c>
      <c r="T1523" s="54">
        <v>4301.16</v>
      </c>
      <c r="U1523" s="54">
        <v>1371.84</v>
      </c>
      <c r="V1523" s="54">
        <v>1371.84</v>
      </c>
      <c r="W1523" s="54">
        <v>0</v>
      </c>
    </row>
    <row r="1524" spans="1:23" outlineLevel="2" x14ac:dyDescent="0.2">
      <c r="A1524" s="21" t="s">
        <v>836</v>
      </c>
      <c r="B1524" s="21" t="s">
        <v>1</v>
      </c>
      <c r="C1524" s="21" t="s">
        <v>2</v>
      </c>
      <c r="D1524" s="21" t="s">
        <v>463</v>
      </c>
      <c r="E1524" s="21" t="s">
        <v>464</v>
      </c>
      <c r="F1524" s="21" t="s">
        <v>911</v>
      </c>
      <c r="G1524" s="21" t="s">
        <v>912</v>
      </c>
      <c r="H1524" s="21" t="s">
        <v>913</v>
      </c>
      <c r="I1524" s="21" t="s">
        <v>914</v>
      </c>
      <c r="J1524" s="21" t="s">
        <v>841</v>
      </c>
      <c r="K1524" s="21" t="s">
        <v>842</v>
      </c>
      <c r="L1524" s="21" t="s">
        <v>915</v>
      </c>
      <c r="M1524" s="21" t="s">
        <v>15</v>
      </c>
      <c r="N1524" s="54">
        <v>0</v>
      </c>
      <c r="O1524" s="54">
        <v>23389.5</v>
      </c>
      <c r="P1524" s="54">
        <v>0</v>
      </c>
      <c r="Q1524" s="54">
        <v>23389.5</v>
      </c>
      <c r="R1524" s="54">
        <v>15593</v>
      </c>
      <c r="S1524" s="54">
        <v>0</v>
      </c>
      <c r="T1524" s="54">
        <v>0</v>
      </c>
      <c r="U1524" s="54">
        <v>23389.5</v>
      </c>
      <c r="V1524" s="54">
        <v>23389.5</v>
      </c>
      <c r="W1524" s="54">
        <v>7796.5</v>
      </c>
    </row>
    <row r="1525" spans="1:23" outlineLevel="2" x14ac:dyDescent="0.2">
      <c r="A1525" s="21" t="s">
        <v>836</v>
      </c>
      <c r="B1525" s="21" t="s">
        <v>1</v>
      </c>
      <c r="C1525" s="21" t="s">
        <v>2</v>
      </c>
      <c r="D1525" s="21" t="s">
        <v>463</v>
      </c>
      <c r="E1525" s="21" t="s">
        <v>464</v>
      </c>
      <c r="F1525" s="21" t="s">
        <v>911</v>
      </c>
      <c r="G1525" s="21" t="s">
        <v>912</v>
      </c>
      <c r="H1525" s="21" t="s">
        <v>913</v>
      </c>
      <c r="I1525" s="21" t="s">
        <v>914</v>
      </c>
      <c r="J1525" s="21" t="s">
        <v>841</v>
      </c>
      <c r="K1525" s="21" t="s">
        <v>844</v>
      </c>
      <c r="L1525" s="21" t="s">
        <v>916</v>
      </c>
      <c r="M1525" s="21" t="s">
        <v>15</v>
      </c>
      <c r="N1525" s="54">
        <v>0</v>
      </c>
      <c r="O1525" s="54">
        <v>9300</v>
      </c>
      <c r="P1525" s="54">
        <v>0</v>
      </c>
      <c r="Q1525" s="54">
        <v>9300</v>
      </c>
      <c r="R1525" s="54">
        <v>6200</v>
      </c>
      <c r="S1525" s="54">
        <v>0</v>
      </c>
      <c r="T1525" s="54">
        <v>0</v>
      </c>
      <c r="U1525" s="54">
        <v>9300</v>
      </c>
      <c r="V1525" s="54">
        <v>9300</v>
      </c>
      <c r="W1525" s="54">
        <v>3100</v>
      </c>
    </row>
    <row r="1526" spans="1:23" outlineLevel="2" x14ac:dyDescent="0.2">
      <c r="A1526" s="21" t="s">
        <v>836</v>
      </c>
      <c r="B1526" s="21" t="s">
        <v>1</v>
      </c>
      <c r="C1526" s="21" t="s">
        <v>2</v>
      </c>
      <c r="D1526" s="21" t="s">
        <v>463</v>
      </c>
      <c r="E1526" s="21" t="s">
        <v>464</v>
      </c>
      <c r="F1526" s="21" t="s">
        <v>911</v>
      </c>
      <c r="G1526" s="21" t="s">
        <v>912</v>
      </c>
      <c r="H1526" s="21" t="s">
        <v>913</v>
      </c>
      <c r="I1526" s="21" t="s">
        <v>914</v>
      </c>
      <c r="J1526" s="21" t="s">
        <v>841</v>
      </c>
      <c r="K1526" s="21" t="s">
        <v>846</v>
      </c>
      <c r="L1526" s="21" t="s">
        <v>917</v>
      </c>
      <c r="M1526" s="21" t="s">
        <v>15</v>
      </c>
      <c r="N1526" s="54">
        <v>0</v>
      </c>
      <c r="O1526" s="54">
        <v>280674</v>
      </c>
      <c r="P1526" s="54">
        <v>0</v>
      </c>
      <c r="Q1526" s="54">
        <v>280674</v>
      </c>
      <c r="R1526" s="54">
        <v>187116</v>
      </c>
      <c r="S1526" s="54">
        <v>0</v>
      </c>
      <c r="T1526" s="54">
        <v>0</v>
      </c>
      <c r="U1526" s="54">
        <v>280674</v>
      </c>
      <c r="V1526" s="54">
        <v>280674</v>
      </c>
      <c r="W1526" s="54">
        <v>93558</v>
      </c>
    </row>
    <row r="1527" spans="1:23" outlineLevel="2" x14ac:dyDescent="0.2">
      <c r="A1527" s="21" t="s">
        <v>836</v>
      </c>
      <c r="B1527" s="21" t="s">
        <v>1</v>
      </c>
      <c r="C1527" s="21" t="s">
        <v>2</v>
      </c>
      <c r="D1527" s="21" t="s">
        <v>463</v>
      </c>
      <c r="E1527" s="21" t="s">
        <v>464</v>
      </c>
      <c r="F1527" s="21" t="s">
        <v>911</v>
      </c>
      <c r="G1527" s="21" t="s">
        <v>912</v>
      </c>
      <c r="H1527" s="21" t="s">
        <v>913</v>
      </c>
      <c r="I1527" s="21" t="s">
        <v>914</v>
      </c>
      <c r="J1527" s="21" t="s">
        <v>841</v>
      </c>
      <c r="K1527" s="21" t="s">
        <v>848</v>
      </c>
      <c r="L1527" s="21" t="s">
        <v>918</v>
      </c>
      <c r="M1527" s="21" t="s">
        <v>15</v>
      </c>
      <c r="N1527" s="54">
        <v>0</v>
      </c>
      <c r="O1527" s="54">
        <v>35505.26</v>
      </c>
      <c r="P1527" s="54">
        <v>0</v>
      </c>
      <c r="Q1527" s="54">
        <v>35505.26</v>
      </c>
      <c r="R1527" s="54">
        <v>23670.17</v>
      </c>
      <c r="S1527" s="54">
        <v>0</v>
      </c>
      <c r="T1527" s="54">
        <v>0</v>
      </c>
      <c r="U1527" s="54">
        <v>35505.26</v>
      </c>
      <c r="V1527" s="54">
        <v>35505.26</v>
      </c>
      <c r="W1527" s="54">
        <v>11835.09</v>
      </c>
    </row>
    <row r="1528" spans="1:23" outlineLevel="2" x14ac:dyDescent="0.2">
      <c r="A1528" s="21" t="s">
        <v>836</v>
      </c>
      <c r="B1528" s="21" t="s">
        <v>1</v>
      </c>
      <c r="C1528" s="21" t="s">
        <v>2</v>
      </c>
      <c r="D1528" s="21" t="s">
        <v>463</v>
      </c>
      <c r="E1528" s="21" t="s">
        <v>464</v>
      </c>
      <c r="F1528" s="21" t="s">
        <v>911</v>
      </c>
      <c r="G1528" s="21" t="s">
        <v>912</v>
      </c>
      <c r="H1528" s="21" t="s">
        <v>913</v>
      </c>
      <c r="I1528" s="21" t="s">
        <v>914</v>
      </c>
      <c r="J1528" s="21" t="s">
        <v>841</v>
      </c>
      <c r="K1528" s="21" t="s">
        <v>850</v>
      </c>
      <c r="L1528" s="21" t="s">
        <v>919</v>
      </c>
      <c r="M1528" s="21" t="s">
        <v>15</v>
      </c>
      <c r="N1528" s="54">
        <v>0</v>
      </c>
      <c r="O1528" s="54">
        <v>23389.5</v>
      </c>
      <c r="P1528" s="54">
        <v>0</v>
      </c>
      <c r="Q1528" s="54">
        <v>23389.5</v>
      </c>
      <c r="R1528" s="54">
        <v>15593</v>
      </c>
      <c r="S1528" s="54">
        <v>0</v>
      </c>
      <c r="T1528" s="54">
        <v>0</v>
      </c>
      <c r="U1528" s="54">
        <v>23389.5</v>
      </c>
      <c r="V1528" s="54">
        <v>23389.5</v>
      </c>
      <c r="W1528" s="54">
        <v>7796.5</v>
      </c>
    </row>
    <row r="1529" spans="1:23" outlineLevel="2" x14ac:dyDescent="0.2">
      <c r="A1529" s="21" t="s">
        <v>836</v>
      </c>
      <c r="B1529" s="21" t="s">
        <v>1</v>
      </c>
      <c r="C1529" s="21" t="s">
        <v>91</v>
      </c>
      <c r="D1529" s="21" t="s">
        <v>92</v>
      </c>
      <c r="E1529" s="21" t="s">
        <v>93</v>
      </c>
      <c r="F1529" s="21" t="s">
        <v>911</v>
      </c>
      <c r="G1529" s="21" t="s">
        <v>912</v>
      </c>
      <c r="H1529" s="21" t="s">
        <v>920</v>
      </c>
      <c r="I1529" s="21" t="s">
        <v>921</v>
      </c>
      <c r="J1529" s="21" t="s">
        <v>841</v>
      </c>
      <c r="K1529" s="21" t="s">
        <v>842</v>
      </c>
      <c r="L1529" s="21" t="s">
        <v>922</v>
      </c>
      <c r="M1529" s="21" t="s">
        <v>15</v>
      </c>
      <c r="N1529" s="54">
        <v>0</v>
      </c>
      <c r="O1529" s="54">
        <v>229715</v>
      </c>
      <c r="P1529" s="54">
        <v>0</v>
      </c>
      <c r="Q1529" s="54">
        <v>229715</v>
      </c>
      <c r="R1529" s="54">
        <v>212293.83</v>
      </c>
      <c r="S1529" s="54">
        <v>17421.169999999998</v>
      </c>
      <c r="T1529" s="54">
        <v>17421.169999999998</v>
      </c>
      <c r="U1529" s="54">
        <v>212293.83</v>
      </c>
      <c r="V1529" s="54">
        <v>212293.83</v>
      </c>
      <c r="W1529" s="54">
        <v>0</v>
      </c>
    </row>
    <row r="1530" spans="1:23" outlineLevel="2" x14ac:dyDescent="0.2">
      <c r="A1530" s="21" t="s">
        <v>836</v>
      </c>
      <c r="B1530" s="21" t="s">
        <v>1</v>
      </c>
      <c r="C1530" s="21" t="s">
        <v>91</v>
      </c>
      <c r="D1530" s="21" t="s">
        <v>92</v>
      </c>
      <c r="E1530" s="21" t="s">
        <v>93</v>
      </c>
      <c r="F1530" s="21" t="s">
        <v>911</v>
      </c>
      <c r="G1530" s="21" t="s">
        <v>912</v>
      </c>
      <c r="H1530" s="21" t="s">
        <v>920</v>
      </c>
      <c r="I1530" s="21" t="s">
        <v>921</v>
      </c>
      <c r="J1530" s="21" t="s">
        <v>841</v>
      </c>
      <c r="K1530" s="21" t="s">
        <v>844</v>
      </c>
      <c r="L1530" s="21" t="s">
        <v>923</v>
      </c>
      <c r="M1530" s="21" t="s">
        <v>15</v>
      </c>
      <c r="N1530" s="54">
        <v>0</v>
      </c>
      <c r="O1530" s="54">
        <v>76676.61</v>
      </c>
      <c r="P1530" s="54">
        <v>0</v>
      </c>
      <c r="Q1530" s="54">
        <v>76676.61</v>
      </c>
      <c r="R1530" s="54">
        <v>31276.62</v>
      </c>
      <c r="S1530" s="54">
        <v>45399.99</v>
      </c>
      <c r="T1530" s="54">
        <v>45399.99</v>
      </c>
      <c r="U1530" s="54">
        <v>31276.62</v>
      </c>
      <c r="V1530" s="54">
        <v>31276.62</v>
      </c>
      <c r="W1530" s="54">
        <v>0</v>
      </c>
    </row>
    <row r="1531" spans="1:23" outlineLevel="2" x14ac:dyDescent="0.2">
      <c r="A1531" s="21" t="s">
        <v>836</v>
      </c>
      <c r="B1531" s="21" t="s">
        <v>1</v>
      </c>
      <c r="C1531" s="21" t="s">
        <v>91</v>
      </c>
      <c r="D1531" s="21" t="s">
        <v>92</v>
      </c>
      <c r="E1531" s="21" t="s">
        <v>93</v>
      </c>
      <c r="F1531" s="21" t="s">
        <v>911</v>
      </c>
      <c r="G1531" s="21" t="s">
        <v>912</v>
      </c>
      <c r="H1531" s="21" t="s">
        <v>920</v>
      </c>
      <c r="I1531" s="21" t="s">
        <v>921</v>
      </c>
      <c r="J1531" s="21" t="s">
        <v>841</v>
      </c>
      <c r="K1531" s="21" t="s">
        <v>924</v>
      </c>
      <c r="L1531" s="21" t="s">
        <v>925</v>
      </c>
      <c r="M1531" s="21" t="s">
        <v>15</v>
      </c>
      <c r="N1531" s="54">
        <v>21105.599999999999</v>
      </c>
      <c r="O1531" s="54">
        <v>-11237.24</v>
      </c>
      <c r="P1531" s="54">
        <v>0</v>
      </c>
      <c r="Q1531" s="54">
        <v>9868.36</v>
      </c>
      <c r="R1531" s="54">
        <v>0</v>
      </c>
      <c r="S1531" s="54">
        <v>7453.01</v>
      </c>
      <c r="T1531" s="54">
        <v>7453.01</v>
      </c>
      <c r="U1531" s="54">
        <v>2415.35</v>
      </c>
      <c r="V1531" s="54">
        <v>2415.35</v>
      </c>
      <c r="W1531" s="54">
        <v>2415.35</v>
      </c>
    </row>
    <row r="1532" spans="1:23" outlineLevel="2" x14ac:dyDescent="0.2">
      <c r="A1532" s="21" t="s">
        <v>836</v>
      </c>
      <c r="B1532" s="21" t="s">
        <v>1</v>
      </c>
      <c r="C1532" s="21" t="s">
        <v>91</v>
      </c>
      <c r="D1532" s="21" t="s">
        <v>92</v>
      </c>
      <c r="E1532" s="21" t="s">
        <v>93</v>
      </c>
      <c r="F1532" s="21" t="s">
        <v>911</v>
      </c>
      <c r="G1532" s="21" t="s">
        <v>912</v>
      </c>
      <c r="H1532" s="21" t="s">
        <v>920</v>
      </c>
      <c r="I1532" s="21" t="s">
        <v>921</v>
      </c>
      <c r="J1532" s="21" t="s">
        <v>841</v>
      </c>
      <c r="K1532" s="21" t="s">
        <v>863</v>
      </c>
      <c r="L1532" s="21" t="s">
        <v>926</v>
      </c>
      <c r="M1532" s="21" t="s">
        <v>15</v>
      </c>
      <c r="N1532" s="54">
        <v>0</v>
      </c>
      <c r="O1532" s="54">
        <v>12000</v>
      </c>
      <c r="P1532" s="54">
        <v>0</v>
      </c>
      <c r="Q1532" s="54">
        <v>12000</v>
      </c>
      <c r="R1532" s="54">
        <v>0</v>
      </c>
      <c r="S1532" s="54">
        <v>1174.6199999999999</v>
      </c>
      <c r="T1532" s="54">
        <v>1174.6199999999999</v>
      </c>
      <c r="U1532" s="54">
        <v>10825.38</v>
      </c>
      <c r="V1532" s="54">
        <v>10825.38</v>
      </c>
      <c r="W1532" s="54">
        <v>10825.38</v>
      </c>
    </row>
    <row r="1533" spans="1:23" outlineLevel="2" x14ac:dyDescent="0.2">
      <c r="A1533" s="21" t="s">
        <v>836</v>
      </c>
      <c r="B1533" s="21" t="s">
        <v>1</v>
      </c>
      <c r="C1533" s="21" t="s">
        <v>91</v>
      </c>
      <c r="D1533" s="21" t="s">
        <v>92</v>
      </c>
      <c r="E1533" s="21" t="s">
        <v>93</v>
      </c>
      <c r="F1533" s="21" t="s">
        <v>911</v>
      </c>
      <c r="G1533" s="21" t="s">
        <v>912</v>
      </c>
      <c r="H1533" s="21" t="s">
        <v>920</v>
      </c>
      <c r="I1533" s="21" t="s">
        <v>921</v>
      </c>
      <c r="J1533" s="21" t="s">
        <v>841</v>
      </c>
      <c r="K1533" s="21" t="s">
        <v>846</v>
      </c>
      <c r="L1533" s="21" t="s">
        <v>927</v>
      </c>
      <c r="M1533" s="21" t="s">
        <v>15</v>
      </c>
      <c r="N1533" s="54">
        <v>0</v>
      </c>
      <c r="O1533" s="54">
        <v>1308875</v>
      </c>
      <c r="P1533" s="54">
        <v>0</v>
      </c>
      <c r="Q1533" s="54">
        <v>1308875</v>
      </c>
      <c r="R1533" s="54">
        <v>597418.92000000004</v>
      </c>
      <c r="S1533" s="54">
        <v>711456.08</v>
      </c>
      <c r="T1533" s="54">
        <v>711456.08</v>
      </c>
      <c r="U1533" s="54">
        <v>597418.92000000004</v>
      </c>
      <c r="V1533" s="54">
        <v>597418.92000000004</v>
      </c>
      <c r="W1533" s="54">
        <v>0</v>
      </c>
    </row>
    <row r="1534" spans="1:23" outlineLevel="2" x14ac:dyDescent="0.2">
      <c r="A1534" s="21" t="s">
        <v>836</v>
      </c>
      <c r="B1534" s="21" t="s">
        <v>1</v>
      </c>
      <c r="C1534" s="21" t="s">
        <v>91</v>
      </c>
      <c r="D1534" s="21" t="s">
        <v>92</v>
      </c>
      <c r="E1534" s="21" t="s">
        <v>93</v>
      </c>
      <c r="F1534" s="21" t="s">
        <v>911</v>
      </c>
      <c r="G1534" s="21" t="s">
        <v>912</v>
      </c>
      <c r="H1534" s="21" t="s">
        <v>920</v>
      </c>
      <c r="I1534" s="21" t="s">
        <v>921</v>
      </c>
      <c r="J1534" s="21" t="s">
        <v>841</v>
      </c>
      <c r="K1534" s="21" t="s">
        <v>866</v>
      </c>
      <c r="L1534" s="21" t="s">
        <v>928</v>
      </c>
      <c r="M1534" s="21" t="s">
        <v>15</v>
      </c>
      <c r="N1534" s="54">
        <v>0</v>
      </c>
      <c r="O1534" s="54">
        <v>2700</v>
      </c>
      <c r="P1534" s="54">
        <v>0</v>
      </c>
      <c r="Q1534" s="54">
        <v>2700</v>
      </c>
      <c r="R1534" s="54">
        <v>0</v>
      </c>
      <c r="S1534" s="54">
        <v>763.4</v>
      </c>
      <c r="T1534" s="54">
        <v>763.4</v>
      </c>
      <c r="U1534" s="54">
        <v>1936.6</v>
      </c>
      <c r="V1534" s="54">
        <v>1936.6</v>
      </c>
      <c r="W1534" s="54">
        <v>1936.6</v>
      </c>
    </row>
    <row r="1535" spans="1:23" outlineLevel="2" x14ac:dyDescent="0.2">
      <c r="A1535" s="21" t="s">
        <v>836</v>
      </c>
      <c r="B1535" s="21" t="s">
        <v>1</v>
      </c>
      <c r="C1535" s="21" t="s">
        <v>91</v>
      </c>
      <c r="D1535" s="21" t="s">
        <v>92</v>
      </c>
      <c r="E1535" s="21" t="s">
        <v>93</v>
      </c>
      <c r="F1535" s="21" t="s">
        <v>911</v>
      </c>
      <c r="G1535" s="21" t="s">
        <v>912</v>
      </c>
      <c r="H1535" s="21" t="s">
        <v>920</v>
      </c>
      <c r="I1535" s="21" t="s">
        <v>921</v>
      </c>
      <c r="J1535" s="21" t="s">
        <v>841</v>
      </c>
      <c r="K1535" s="21" t="s">
        <v>848</v>
      </c>
      <c r="L1535" s="21" t="s">
        <v>929</v>
      </c>
      <c r="M1535" s="21" t="s">
        <v>15</v>
      </c>
      <c r="N1535" s="54">
        <v>11094.4</v>
      </c>
      <c r="O1535" s="54">
        <v>162954.91</v>
      </c>
      <c r="P1535" s="54">
        <v>0</v>
      </c>
      <c r="Q1535" s="54">
        <v>174049.31</v>
      </c>
      <c r="R1535" s="54">
        <v>78169.259999999995</v>
      </c>
      <c r="S1535" s="54">
        <v>94622.79</v>
      </c>
      <c r="T1535" s="54">
        <v>94622.79</v>
      </c>
      <c r="U1535" s="54">
        <v>79426.52</v>
      </c>
      <c r="V1535" s="54">
        <v>79426.52</v>
      </c>
      <c r="W1535" s="54">
        <v>1257.26</v>
      </c>
    </row>
    <row r="1536" spans="1:23" outlineLevel="2" x14ac:dyDescent="0.2">
      <c r="A1536" s="21" t="s">
        <v>836</v>
      </c>
      <c r="B1536" s="21" t="s">
        <v>1</v>
      </c>
      <c r="C1536" s="21" t="s">
        <v>91</v>
      </c>
      <c r="D1536" s="21" t="s">
        <v>92</v>
      </c>
      <c r="E1536" s="21" t="s">
        <v>93</v>
      </c>
      <c r="F1536" s="21" t="s">
        <v>911</v>
      </c>
      <c r="G1536" s="21" t="s">
        <v>912</v>
      </c>
      <c r="H1536" s="21" t="s">
        <v>920</v>
      </c>
      <c r="I1536" s="21" t="s">
        <v>921</v>
      </c>
      <c r="J1536" s="21" t="s">
        <v>841</v>
      </c>
      <c r="K1536" s="21" t="s">
        <v>850</v>
      </c>
      <c r="L1536" s="21" t="s">
        <v>930</v>
      </c>
      <c r="M1536" s="21" t="s">
        <v>15</v>
      </c>
      <c r="N1536" s="54">
        <v>0</v>
      </c>
      <c r="O1536" s="54">
        <v>223410</v>
      </c>
      <c r="P1536" s="54">
        <v>0</v>
      </c>
      <c r="Q1536" s="54">
        <v>223410</v>
      </c>
      <c r="R1536" s="54">
        <v>195130.38</v>
      </c>
      <c r="S1536" s="54">
        <v>28279.62</v>
      </c>
      <c r="T1536" s="54">
        <v>28279.62</v>
      </c>
      <c r="U1536" s="54">
        <v>195130.38</v>
      </c>
      <c r="V1536" s="54">
        <v>195130.38</v>
      </c>
      <c r="W1536" s="54">
        <v>0</v>
      </c>
    </row>
    <row r="1537" spans="1:23" outlineLevel="2" x14ac:dyDescent="0.2">
      <c r="A1537" s="21" t="s">
        <v>836</v>
      </c>
      <c r="B1537" s="21" t="s">
        <v>1</v>
      </c>
      <c r="C1537" s="21" t="s">
        <v>2</v>
      </c>
      <c r="D1537" s="21" t="s">
        <v>589</v>
      </c>
      <c r="E1537" s="21" t="s">
        <v>590</v>
      </c>
      <c r="F1537" s="21" t="s">
        <v>911</v>
      </c>
      <c r="G1537" s="21" t="s">
        <v>912</v>
      </c>
      <c r="H1537" s="21" t="s">
        <v>931</v>
      </c>
      <c r="I1537" s="21" t="s">
        <v>932</v>
      </c>
      <c r="J1537" s="21" t="s">
        <v>841</v>
      </c>
      <c r="K1537" s="21" t="s">
        <v>842</v>
      </c>
      <c r="L1537" s="21" t="s">
        <v>915</v>
      </c>
      <c r="M1537" s="21" t="s">
        <v>15</v>
      </c>
      <c r="N1537" s="54">
        <v>0</v>
      </c>
      <c r="O1537" s="54">
        <v>3353.33</v>
      </c>
      <c r="P1537" s="54">
        <v>0</v>
      </c>
      <c r="Q1537" s="54">
        <v>3353.33</v>
      </c>
      <c r="R1537" s="54">
        <v>0</v>
      </c>
      <c r="S1537" s="54">
        <v>0</v>
      </c>
      <c r="T1537" s="54">
        <v>0</v>
      </c>
      <c r="U1537" s="54">
        <v>3353.33</v>
      </c>
      <c r="V1537" s="54">
        <v>3353.33</v>
      </c>
      <c r="W1537" s="54">
        <v>3353.33</v>
      </c>
    </row>
    <row r="1538" spans="1:23" outlineLevel="2" x14ac:dyDescent="0.2">
      <c r="A1538" s="21" t="s">
        <v>836</v>
      </c>
      <c r="B1538" s="21" t="s">
        <v>1</v>
      </c>
      <c r="C1538" s="21" t="s">
        <v>2</v>
      </c>
      <c r="D1538" s="21" t="s">
        <v>589</v>
      </c>
      <c r="E1538" s="21" t="s">
        <v>590</v>
      </c>
      <c r="F1538" s="21" t="s">
        <v>911</v>
      </c>
      <c r="G1538" s="21" t="s">
        <v>912</v>
      </c>
      <c r="H1538" s="21" t="s">
        <v>931</v>
      </c>
      <c r="I1538" s="21" t="s">
        <v>932</v>
      </c>
      <c r="J1538" s="21" t="s">
        <v>841</v>
      </c>
      <c r="K1538" s="21" t="s">
        <v>844</v>
      </c>
      <c r="L1538" s="21" t="s">
        <v>916</v>
      </c>
      <c r="M1538" s="21" t="s">
        <v>15</v>
      </c>
      <c r="N1538" s="54">
        <v>0</v>
      </c>
      <c r="O1538" s="54">
        <v>1333.33</v>
      </c>
      <c r="P1538" s="54">
        <v>0</v>
      </c>
      <c r="Q1538" s="54">
        <v>1333.33</v>
      </c>
      <c r="R1538" s="54">
        <v>0</v>
      </c>
      <c r="S1538" s="54">
        <v>0</v>
      </c>
      <c r="T1538" s="54">
        <v>0</v>
      </c>
      <c r="U1538" s="54">
        <v>1333.33</v>
      </c>
      <c r="V1538" s="54">
        <v>1333.33</v>
      </c>
      <c r="W1538" s="54">
        <v>1333.33</v>
      </c>
    </row>
    <row r="1539" spans="1:23" outlineLevel="2" x14ac:dyDescent="0.2">
      <c r="A1539" s="21" t="s">
        <v>836</v>
      </c>
      <c r="B1539" s="21" t="s">
        <v>1</v>
      </c>
      <c r="C1539" s="21" t="s">
        <v>2</v>
      </c>
      <c r="D1539" s="21" t="s">
        <v>589</v>
      </c>
      <c r="E1539" s="21" t="s">
        <v>590</v>
      </c>
      <c r="F1539" s="21" t="s">
        <v>911</v>
      </c>
      <c r="G1539" s="21" t="s">
        <v>912</v>
      </c>
      <c r="H1539" s="21" t="s">
        <v>931</v>
      </c>
      <c r="I1539" s="21" t="s">
        <v>932</v>
      </c>
      <c r="J1539" s="21" t="s">
        <v>841</v>
      </c>
      <c r="K1539" s="21" t="s">
        <v>846</v>
      </c>
      <c r="L1539" s="21" t="s">
        <v>917</v>
      </c>
      <c r="M1539" s="21" t="s">
        <v>15</v>
      </c>
      <c r="N1539" s="54">
        <v>0</v>
      </c>
      <c r="O1539" s="54">
        <v>40240</v>
      </c>
      <c r="P1539" s="54">
        <v>0</v>
      </c>
      <c r="Q1539" s="54">
        <v>40240</v>
      </c>
      <c r="R1539" s="54">
        <v>0</v>
      </c>
      <c r="S1539" s="54">
        <v>0</v>
      </c>
      <c r="T1539" s="54">
        <v>0</v>
      </c>
      <c r="U1539" s="54">
        <v>40240</v>
      </c>
      <c r="V1539" s="54">
        <v>40240</v>
      </c>
      <c r="W1539" s="54">
        <v>40240</v>
      </c>
    </row>
    <row r="1540" spans="1:23" outlineLevel="2" x14ac:dyDescent="0.2">
      <c r="A1540" s="21" t="s">
        <v>836</v>
      </c>
      <c r="B1540" s="21" t="s">
        <v>1</v>
      </c>
      <c r="C1540" s="21" t="s">
        <v>2</v>
      </c>
      <c r="D1540" s="21" t="s">
        <v>589</v>
      </c>
      <c r="E1540" s="21" t="s">
        <v>590</v>
      </c>
      <c r="F1540" s="21" t="s">
        <v>911</v>
      </c>
      <c r="G1540" s="21" t="s">
        <v>912</v>
      </c>
      <c r="H1540" s="21" t="s">
        <v>931</v>
      </c>
      <c r="I1540" s="21" t="s">
        <v>932</v>
      </c>
      <c r="J1540" s="21" t="s">
        <v>841</v>
      </c>
      <c r="K1540" s="21" t="s">
        <v>848</v>
      </c>
      <c r="L1540" s="21" t="s">
        <v>918</v>
      </c>
      <c r="M1540" s="21" t="s">
        <v>15</v>
      </c>
      <c r="N1540" s="54">
        <v>0</v>
      </c>
      <c r="O1540" s="54">
        <v>5090.37</v>
      </c>
      <c r="P1540" s="54">
        <v>0</v>
      </c>
      <c r="Q1540" s="54">
        <v>5090.37</v>
      </c>
      <c r="R1540" s="54">
        <v>0</v>
      </c>
      <c r="S1540" s="54">
        <v>0</v>
      </c>
      <c r="T1540" s="54">
        <v>0</v>
      </c>
      <c r="U1540" s="54">
        <v>5090.37</v>
      </c>
      <c r="V1540" s="54">
        <v>5090.37</v>
      </c>
      <c r="W1540" s="54">
        <v>5090.37</v>
      </c>
    </row>
    <row r="1541" spans="1:23" outlineLevel="2" x14ac:dyDescent="0.2">
      <c r="A1541" s="21" t="s">
        <v>836</v>
      </c>
      <c r="B1541" s="21" t="s">
        <v>1</v>
      </c>
      <c r="C1541" s="21" t="s">
        <v>2</v>
      </c>
      <c r="D1541" s="21" t="s">
        <v>589</v>
      </c>
      <c r="E1541" s="21" t="s">
        <v>590</v>
      </c>
      <c r="F1541" s="21" t="s">
        <v>911</v>
      </c>
      <c r="G1541" s="21" t="s">
        <v>912</v>
      </c>
      <c r="H1541" s="21" t="s">
        <v>931</v>
      </c>
      <c r="I1541" s="21" t="s">
        <v>932</v>
      </c>
      <c r="J1541" s="21" t="s">
        <v>841</v>
      </c>
      <c r="K1541" s="21" t="s">
        <v>850</v>
      </c>
      <c r="L1541" s="21" t="s">
        <v>919</v>
      </c>
      <c r="M1541" s="21" t="s">
        <v>15</v>
      </c>
      <c r="N1541" s="54">
        <v>0</v>
      </c>
      <c r="O1541" s="54">
        <v>3353.33</v>
      </c>
      <c r="P1541" s="54">
        <v>0</v>
      </c>
      <c r="Q1541" s="54">
        <v>3353.33</v>
      </c>
      <c r="R1541" s="54">
        <v>0</v>
      </c>
      <c r="S1541" s="54">
        <v>0</v>
      </c>
      <c r="T1541" s="54">
        <v>0</v>
      </c>
      <c r="U1541" s="54">
        <v>3353.33</v>
      </c>
      <c r="V1541" s="54">
        <v>3353.33</v>
      </c>
      <c r="W1541" s="54">
        <v>3353.33</v>
      </c>
    </row>
    <row r="1542" spans="1:23" outlineLevel="2" x14ac:dyDescent="0.2">
      <c r="A1542" s="21" t="s">
        <v>836</v>
      </c>
      <c r="B1542" s="21" t="s">
        <v>39</v>
      </c>
      <c r="C1542" s="21" t="s">
        <v>58</v>
      </c>
      <c r="D1542" s="21" t="s">
        <v>137</v>
      </c>
      <c r="E1542" s="21" t="s">
        <v>138</v>
      </c>
      <c r="F1542" s="21" t="s">
        <v>933</v>
      </c>
      <c r="G1542" s="21" t="s">
        <v>934</v>
      </c>
      <c r="H1542" s="21" t="s">
        <v>935</v>
      </c>
      <c r="I1542" s="21" t="s">
        <v>936</v>
      </c>
      <c r="J1542" s="21" t="s">
        <v>841</v>
      </c>
      <c r="K1542" s="21" t="s">
        <v>842</v>
      </c>
      <c r="L1542" s="21" t="s">
        <v>937</v>
      </c>
      <c r="M1542" s="21" t="s">
        <v>12</v>
      </c>
      <c r="N1542" s="54">
        <v>0</v>
      </c>
      <c r="O1542" s="54">
        <v>777.58</v>
      </c>
      <c r="P1542" s="54">
        <v>0</v>
      </c>
      <c r="Q1542" s="54">
        <v>777.58</v>
      </c>
      <c r="R1542" s="54">
        <v>444.34</v>
      </c>
      <c r="S1542" s="54">
        <v>111.08</v>
      </c>
      <c r="T1542" s="54">
        <v>111.08</v>
      </c>
      <c r="U1542" s="54">
        <v>666.5</v>
      </c>
      <c r="V1542" s="54">
        <v>666.5</v>
      </c>
      <c r="W1542" s="54">
        <v>222.16</v>
      </c>
    </row>
    <row r="1543" spans="1:23" outlineLevel="2" x14ac:dyDescent="0.2">
      <c r="A1543" s="21" t="s">
        <v>836</v>
      </c>
      <c r="B1543" s="21" t="s">
        <v>39</v>
      </c>
      <c r="C1543" s="21" t="s">
        <v>58</v>
      </c>
      <c r="D1543" s="21" t="s">
        <v>135</v>
      </c>
      <c r="E1543" s="21" t="s">
        <v>136</v>
      </c>
      <c r="F1543" s="21" t="s">
        <v>933</v>
      </c>
      <c r="G1543" s="21" t="s">
        <v>934</v>
      </c>
      <c r="H1543" s="21" t="s">
        <v>935</v>
      </c>
      <c r="I1543" s="21" t="s">
        <v>936</v>
      </c>
      <c r="J1543" s="21" t="s">
        <v>841</v>
      </c>
      <c r="K1543" s="21" t="s">
        <v>842</v>
      </c>
      <c r="L1543" s="21" t="s">
        <v>937</v>
      </c>
      <c r="M1543" s="21" t="s">
        <v>12</v>
      </c>
      <c r="N1543" s="54">
        <v>0</v>
      </c>
      <c r="O1543" s="54">
        <v>777.58</v>
      </c>
      <c r="P1543" s="54">
        <v>0</v>
      </c>
      <c r="Q1543" s="54">
        <v>777.58</v>
      </c>
      <c r="R1543" s="54">
        <v>344.37</v>
      </c>
      <c r="S1543" s="54">
        <v>211.05</v>
      </c>
      <c r="T1543" s="54">
        <v>211.05</v>
      </c>
      <c r="U1543" s="54">
        <v>566.53</v>
      </c>
      <c r="V1543" s="54">
        <v>566.53</v>
      </c>
      <c r="W1543" s="54">
        <v>222.16</v>
      </c>
    </row>
    <row r="1544" spans="1:23" outlineLevel="2" x14ac:dyDescent="0.2">
      <c r="A1544" s="21" t="s">
        <v>836</v>
      </c>
      <c r="B1544" s="21" t="s">
        <v>39</v>
      </c>
      <c r="C1544" s="21" t="s">
        <v>58</v>
      </c>
      <c r="D1544" s="21" t="s">
        <v>145</v>
      </c>
      <c r="E1544" s="21" t="s">
        <v>146</v>
      </c>
      <c r="F1544" s="21" t="s">
        <v>933</v>
      </c>
      <c r="G1544" s="21" t="s">
        <v>934</v>
      </c>
      <c r="H1544" s="21" t="s">
        <v>935</v>
      </c>
      <c r="I1544" s="21" t="s">
        <v>936</v>
      </c>
      <c r="J1544" s="21" t="s">
        <v>841</v>
      </c>
      <c r="K1544" s="21" t="s">
        <v>842</v>
      </c>
      <c r="L1544" s="21" t="s">
        <v>937</v>
      </c>
      <c r="M1544" s="21" t="s">
        <v>12</v>
      </c>
      <c r="N1544" s="54">
        <v>0</v>
      </c>
      <c r="O1544" s="54">
        <v>777.58</v>
      </c>
      <c r="P1544" s="54">
        <v>0</v>
      </c>
      <c r="Q1544" s="54">
        <v>777.58</v>
      </c>
      <c r="R1544" s="54">
        <v>333.26</v>
      </c>
      <c r="S1544" s="54">
        <v>222.16</v>
      </c>
      <c r="T1544" s="54">
        <v>222.16</v>
      </c>
      <c r="U1544" s="54">
        <v>555.41999999999996</v>
      </c>
      <c r="V1544" s="54">
        <v>555.41999999999996</v>
      </c>
      <c r="W1544" s="54">
        <v>222.16</v>
      </c>
    </row>
    <row r="1545" spans="1:23" outlineLevel="2" x14ac:dyDescent="0.2">
      <c r="A1545" s="21" t="s">
        <v>836</v>
      </c>
      <c r="B1545" s="21" t="s">
        <v>31</v>
      </c>
      <c r="C1545" s="21" t="s">
        <v>32</v>
      </c>
      <c r="D1545" s="21" t="s">
        <v>141</v>
      </c>
      <c r="E1545" s="21" t="s">
        <v>142</v>
      </c>
      <c r="F1545" s="21" t="s">
        <v>933</v>
      </c>
      <c r="G1545" s="21" t="s">
        <v>934</v>
      </c>
      <c r="H1545" s="21" t="s">
        <v>935</v>
      </c>
      <c r="I1545" s="21" t="s">
        <v>936</v>
      </c>
      <c r="J1545" s="21" t="s">
        <v>841</v>
      </c>
      <c r="K1545" s="21" t="s">
        <v>842</v>
      </c>
      <c r="L1545" s="21" t="s">
        <v>938</v>
      </c>
      <c r="M1545" s="21" t="s">
        <v>15</v>
      </c>
      <c r="N1545" s="54">
        <v>0</v>
      </c>
      <c r="O1545" s="54">
        <v>11755</v>
      </c>
      <c r="P1545" s="54">
        <v>0</v>
      </c>
      <c r="Q1545" s="54">
        <v>11755</v>
      </c>
      <c r="R1545" s="54">
        <v>9942.6299999999992</v>
      </c>
      <c r="S1545" s="54">
        <v>1812.37</v>
      </c>
      <c r="T1545" s="54">
        <v>1812.37</v>
      </c>
      <c r="U1545" s="54">
        <v>9942.6299999999992</v>
      </c>
      <c r="V1545" s="54">
        <v>9942.6299999999992</v>
      </c>
      <c r="W1545" s="54">
        <v>0</v>
      </c>
    </row>
    <row r="1546" spans="1:23" outlineLevel="2" x14ac:dyDescent="0.2">
      <c r="A1546" s="21" t="s">
        <v>836</v>
      </c>
      <c r="B1546" s="21" t="s">
        <v>39</v>
      </c>
      <c r="C1546" s="21" t="s">
        <v>58</v>
      </c>
      <c r="D1546" s="21" t="s">
        <v>139</v>
      </c>
      <c r="E1546" s="21" t="s">
        <v>140</v>
      </c>
      <c r="F1546" s="21" t="s">
        <v>933</v>
      </c>
      <c r="G1546" s="21" t="s">
        <v>934</v>
      </c>
      <c r="H1546" s="21" t="s">
        <v>935</v>
      </c>
      <c r="I1546" s="21" t="s">
        <v>936</v>
      </c>
      <c r="J1546" s="21" t="s">
        <v>841</v>
      </c>
      <c r="K1546" s="21" t="s">
        <v>842</v>
      </c>
      <c r="L1546" s="21" t="s">
        <v>937</v>
      </c>
      <c r="M1546" s="21" t="s">
        <v>12</v>
      </c>
      <c r="N1546" s="54">
        <v>0</v>
      </c>
      <c r="O1546" s="54">
        <v>777.58</v>
      </c>
      <c r="P1546" s="54">
        <v>0</v>
      </c>
      <c r="Q1546" s="54">
        <v>777.58</v>
      </c>
      <c r="R1546" s="54">
        <v>362.88</v>
      </c>
      <c r="S1546" s="54">
        <v>192.54</v>
      </c>
      <c r="T1546" s="54">
        <v>192.54</v>
      </c>
      <c r="U1546" s="54">
        <v>585.04</v>
      </c>
      <c r="V1546" s="54">
        <v>585.04</v>
      </c>
      <c r="W1546" s="54">
        <v>222.16</v>
      </c>
    </row>
    <row r="1547" spans="1:23" outlineLevel="2" x14ac:dyDescent="0.2">
      <c r="A1547" s="21" t="s">
        <v>836</v>
      </c>
      <c r="B1547" s="21" t="s">
        <v>31</v>
      </c>
      <c r="C1547" s="21" t="s">
        <v>32</v>
      </c>
      <c r="D1547" s="21" t="s">
        <v>141</v>
      </c>
      <c r="E1547" s="21" t="s">
        <v>142</v>
      </c>
      <c r="F1547" s="21" t="s">
        <v>933</v>
      </c>
      <c r="G1547" s="21" t="s">
        <v>934</v>
      </c>
      <c r="H1547" s="21" t="s">
        <v>935</v>
      </c>
      <c r="I1547" s="21" t="s">
        <v>936</v>
      </c>
      <c r="J1547" s="21" t="s">
        <v>841</v>
      </c>
      <c r="K1547" s="21" t="s">
        <v>842</v>
      </c>
      <c r="L1547" s="21" t="s">
        <v>938</v>
      </c>
      <c r="M1547" s="21" t="s">
        <v>12</v>
      </c>
      <c r="N1547" s="54">
        <v>0</v>
      </c>
      <c r="O1547" s="54">
        <v>51806.75</v>
      </c>
      <c r="P1547" s="54">
        <v>0</v>
      </c>
      <c r="Q1547" s="54">
        <v>51806.75</v>
      </c>
      <c r="R1547" s="54">
        <v>45074.65</v>
      </c>
      <c r="S1547" s="54">
        <v>6732.1</v>
      </c>
      <c r="T1547" s="54">
        <v>6732.1</v>
      </c>
      <c r="U1547" s="54">
        <v>45074.65</v>
      </c>
      <c r="V1547" s="54">
        <v>45074.65</v>
      </c>
      <c r="W1547" s="54">
        <v>0</v>
      </c>
    </row>
    <row r="1548" spans="1:23" outlineLevel="2" x14ac:dyDescent="0.2">
      <c r="A1548" s="21" t="s">
        <v>836</v>
      </c>
      <c r="B1548" s="21" t="s">
        <v>39</v>
      </c>
      <c r="C1548" s="21" t="s">
        <v>58</v>
      </c>
      <c r="D1548" s="21" t="s">
        <v>147</v>
      </c>
      <c r="E1548" s="21" t="s">
        <v>148</v>
      </c>
      <c r="F1548" s="21" t="s">
        <v>933</v>
      </c>
      <c r="G1548" s="21" t="s">
        <v>934</v>
      </c>
      <c r="H1548" s="21" t="s">
        <v>935</v>
      </c>
      <c r="I1548" s="21" t="s">
        <v>936</v>
      </c>
      <c r="J1548" s="21" t="s">
        <v>841</v>
      </c>
      <c r="K1548" s="21" t="s">
        <v>842</v>
      </c>
      <c r="L1548" s="21" t="s">
        <v>937</v>
      </c>
      <c r="M1548" s="21" t="s">
        <v>12</v>
      </c>
      <c r="N1548" s="54">
        <v>0</v>
      </c>
      <c r="O1548" s="54">
        <v>777.58</v>
      </c>
      <c r="P1548" s="54">
        <v>0</v>
      </c>
      <c r="Q1548" s="54">
        <v>777.58</v>
      </c>
      <c r="R1548" s="54">
        <v>555.41999999999996</v>
      </c>
      <c r="S1548" s="54">
        <v>0</v>
      </c>
      <c r="T1548" s="54">
        <v>0</v>
      </c>
      <c r="U1548" s="54">
        <v>777.58</v>
      </c>
      <c r="V1548" s="54">
        <v>777.58</v>
      </c>
      <c r="W1548" s="54">
        <v>222.16</v>
      </c>
    </row>
    <row r="1549" spans="1:23" outlineLevel="2" x14ac:dyDescent="0.2">
      <c r="A1549" s="21" t="s">
        <v>836</v>
      </c>
      <c r="B1549" s="21" t="s">
        <v>39</v>
      </c>
      <c r="C1549" s="21" t="s">
        <v>58</v>
      </c>
      <c r="D1549" s="21" t="s">
        <v>149</v>
      </c>
      <c r="E1549" s="21" t="s">
        <v>150</v>
      </c>
      <c r="F1549" s="21" t="s">
        <v>933</v>
      </c>
      <c r="G1549" s="21" t="s">
        <v>934</v>
      </c>
      <c r="H1549" s="21" t="s">
        <v>935</v>
      </c>
      <c r="I1549" s="21" t="s">
        <v>936</v>
      </c>
      <c r="J1549" s="21" t="s">
        <v>841</v>
      </c>
      <c r="K1549" s="21" t="s">
        <v>842</v>
      </c>
      <c r="L1549" s="21" t="s">
        <v>937</v>
      </c>
      <c r="M1549" s="21" t="s">
        <v>12</v>
      </c>
      <c r="N1549" s="54">
        <v>0</v>
      </c>
      <c r="O1549" s="54">
        <v>777.58</v>
      </c>
      <c r="P1549" s="54">
        <v>0</v>
      </c>
      <c r="Q1549" s="54">
        <v>777.58</v>
      </c>
      <c r="R1549" s="54">
        <v>444.34</v>
      </c>
      <c r="S1549" s="54">
        <v>111.08</v>
      </c>
      <c r="T1549" s="54">
        <v>111.08</v>
      </c>
      <c r="U1549" s="54">
        <v>666.5</v>
      </c>
      <c r="V1549" s="54">
        <v>666.5</v>
      </c>
      <c r="W1549" s="54">
        <v>222.16</v>
      </c>
    </row>
    <row r="1550" spans="1:23" outlineLevel="2" x14ac:dyDescent="0.2">
      <c r="A1550" s="21" t="s">
        <v>836</v>
      </c>
      <c r="B1550" s="21" t="s">
        <v>39</v>
      </c>
      <c r="C1550" s="21" t="s">
        <v>58</v>
      </c>
      <c r="D1550" s="21" t="s">
        <v>59</v>
      </c>
      <c r="E1550" s="21" t="s">
        <v>60</v>
      </c>
      <c r="F1550" s="21" t="s">
        <v>933</v>
      </c>
      <c r="G1550" s="21" t="s">
        <v>934</v>
      </c>
      <c r="H1550" s="21" t="s">
        <v>935</v>
      </c>
      <c r="I1550" s="21" t="s">
        <v>936</v>
      </c>
      <c r="J1550" s="21" t="s">
        <v>841</v>
      </c>
      <c r="K1550" s="21" t="s">
        <v>842</v>
      </c>
      <c r="L1550" s="21" t="s">
        <v>937</v>
      </c>
      <c r="M1550" s="21" t="s">
        <v>12</v>
      </c>
      <c r="N1550" s="54">
        <v>0</v>
      </c>
      <c r="O1550" s="54">
        <v>777.58</v>
      </c>
      <c r="P1550" s="54">
        <v>0</v>
      </c>
      <c r="Q1550" s="54">
        <v>777.58</v>
      </c>
      <c r="R1550" s="54">
        <v>555.41999999999996</v>
      </c>
      <c r="S1550" s="54">
        <v>0</v>
      </c>
      <c r="T1550" s="54">
        <v>0</v>
      </c>
      <c r="U1550" s="54">
        <v>777.58</v>
      </c>
      <c r="V1550" s="54">
        <v>777.58</v>
      </c>
      <c r="W1550" s="54">
        <v>222.16</v>
      </c>
    </row>
    <row r="1551" spans="1:23" outlineLevel="2" x14ac:dyDescent="0.2">
      <c r="A1551" s="21" t="s">
        <v>836</v>
      </c>
      <c r="B1551" s="21" t="s">
        <v>39</v>
      </c>
      <c r="C1551" s="21" t="s">
        <v>58</v>
      </c>
      <c r="D1551" s="21" t="s">
        <v>143</v>
      </c>
      <c r="E1551" s="21" t="s">
        <v>144</v>
      </c>
      <c r="F1551" s="21" t="s">
        <v>933</v>
      </c>
      <c r="G1551" s="21" t="s">
        <v>934</v>
      </c>
      <c r="H1551" s="21" t="s">
        <v>935</v>
      </c>
      <c r="I1551" s="21" t="s">
        <v>936</v>
      </c>
      <c r="J1551" s="21" t="s">
        <v>841</v>
      </c>
      <c r="K1551" s="21" t="s">
        <v>842</v>
      </c>
      <c r="L1551" s="21" t="s">
        <v>937</v>
      </c>
      <c r="M1551" s="21" t="s">
        <v>12</v>
      </c>
      <c r="N1551" s="54">
        <v>0</v>
      </c>
      <c r="O1551" s="54">
        <v>777.58</v>
      </c>
      <c r="P1551" s="54">
        <v>0</v>
      </c>
      <c r="Q1551" s="54">
        <v>777.58</v>
      </c>
      <c r="R1551" s="54">
        <v>555.41999999999996</v>
      </c>
      <c r="S1551" s="54">
        <v>0</v>
      </c>
      <c r="T1551" s="54">
        <v>0</v>
      </c>
      <c r="U1551" s="54">
        <v>777.58</v>
      </c>
      <c r="V1551" s="54">
        <v>777.58</v>
      </c>
      <c r="W1551" s="54">
        <v>222.16</v>
      </c>
    </row>
    <row r="1552" spans="1:23" outlineLevel="2" x14ac:dyDescent="0.2">
      <c r="A1552" s="21" t="s">
        <v>836</v>
      </c>
      <c r="B1552" s="21" t="s">
        <v>31</v>
      </c>
      <c r="C1552" s="21" t="s">
        <v>32</v>
      </c>
      <c r="D1552" s="21" t="s">
        <v>141</v>
      </c>
      <c r="E1552" s="21" t="s">
        <v>142</v>
      </c>
      <c r="F1552" s="21" t="s">
        <v>933</v>
      </c>
      <c r="G1552" s="21" t="s">
        <v>934</v>
      </c>
      <c r="H1552" s="21" t="s">
        <v>935</v>
      </c>
      <c r="I1552" s="21" t="s">
        <v>936</v>
      </c>
      <c r="J1552" s="21" t="s">
        <v>841</v>
      </c>
      <c r="K1552" s="21" t="s">
        <v>844</v>
      </c>
      <c r="L1552" s="21" t="s">
        <v>940</v>
      </c>
      <c r="M1552" s="21" t="s">
        <v>15</v>
      </c>
      <c r="N1552" s="54">
        <v>0</v>
      </c>
      <c r="O1552" s="54">
        <v>3600</v>
      </c>
      <c r="P1552" s="54">
        <v>0</v>
      </c>
      <c r="Q1552" s="54">
        <v>3600</v>
      </c>
      <c r="R1552" s="54">
        <v>2863.36</v>
      </c>
      <c r="S1552" s="54">
        <v>736.64</v>
      </c>
      <c r="T1552" s="54">
        <v>736.64</v>
      </c>
      <c r="U1552" s="54">
        <v>2863.36</v>
      </c>
      <c r="V1552" s="54">
        <v>2863.36</v>
      </c>
      <c r="W1552" s="54">
        <v>0</v>
      </c>
    </row>
    <row r="1553" spans="1:23" outlineLevel="2" x14ac:dyDescent="0.2">
      <c r="A1553" s="21" t="s">
        <v>836</v>
      </c>
      <c r="B1553" s="21" t="s">
        <v>39</v>
      </c>
      <c r="C1553" s="21" t="s">
        <v>58</v>
      </c>
      <c r="D1553" s="21" t="s">
        <v>139</v>
      </c>
      <c r="E1553" s="21" t="s">
        <v>140</v>
      </c>
      <c r="F1553" s="21" t="s">
        <v>933</v>
      </c>
      <c r="G1553" s="21" t="s">
        <v>934</v>
      </c>
      <c r="H1553" s="21" t="s">
        <v>935</v>
      </c>
      <c r="I1553" s="21" t="s">
        <v>936</v>
      </c>
      <c r="J1553" s="21" t="s">
        <v>841</v>
      </c>
      <c r="K1553" s="21" t="s">
        <v>844</v>
      </c>
      <c r="L1553" s="21" t="s">
        <v>939</v>
      </c>
      <c r="M1553" s="21" t="s">
        <v>12</v>
      </c>
      <c r="N1553" s="54">
        <v>0</v>
      </c>
      <c r="O1553" s="54">
        <v>233.33</v>
      </c>
      <c r="P1553" s="54">
        <v>0</v>
      </c>
      <c r="Q1553" s="54">
        <v>233.33</v>
      </c>
      <c r="R1553" s="54">
        <v>108.9</v>
      </c>
      <c r="S1553" s="54">
        <v>57.77</v>
      </c>
      <c r="T1553" s="54">
        <v>57.77</v>
      </c>
      <c r="U1553" s="54">
        <v>175.56</v>
      </c>
      <c r="V1553" s="54">
        <v>175.56</v>
      </c>
      <c r="W1553" s="54">
        <v>66.66</v>
      </c>
    </row>
    <row r="1554" spans="1:23" outlineLevel="2" x14ac:dyDescent="0.2">
      <c r="A1554" s="21" t="s">
        <v>836</v>
      </c>
      <c r="B1554" s="21" t="s">
        <v>39</v>
      </c>
      <c r="C1554" s="21" t="s">
        <v>58</v>
      </c>
      <c r="D1554" s="21" t="s">
        <v>149</v>
      </c>
      <c r="E1554" s="21" t="s">
        <v>150</v>
      </c>
      <c r="F1554" s="21" t="s">
        <v>933</v>
      </c>
      <c r="G1554" s="21" t="s">
        <v>934</v>
      </c>
      <c r="H1554" s="21" t="s">
        <v>935</v>
      </c>
      <c r="I1554" s="21" t="s">
        <v>936</v>
      </c>
      <c r="J1554" s="21" t="s">
        <v>841</v>
      </c>
      <c r="K1554" s="21" t="s">
        <v>844</v>
      </c>
      <c r="L1554" s="21" t="s">
        <v>939</v>
      </c>
      <c r="M1554" s="21" t="s">
        <v>12</v>
      </c>
      <c r="N1554" s="54">
        <v>0</v>
      </c>
      <c r="O1554" s="54">
        <v>233.33</v>
      </c>
      <c r="P1554" s="54">
        <v>0</v>
      </c>
      <c r="Q1554" s="54">
        <v>233.33</v>
      </c>
      <c r="R1554" s="54">
        <v>133.34</v>
      </c>
      <c r="S1554" s="54">
        <v>33.33</v>
      </c>
      <c r="T1554" s="54">
        <v>33.33</v>
      </c>
      <c r="U1554" s="54">
        <v>200</v>
      </c>
      <c r="V1554" s="54">
        <v>200</v>
      </c>
      <c r="W1554" s="54">
        <v>66.66</v>
      </c>
    </row>
    <row r="1555" spans="1:23" outlineLevel="2" x14ac:dyDescent="0.2">
      <c r="A1555" s="21" t="s">
        <v>836</v>
      </c>
      <c r="B1555" s="21" t="s">
        <v>39</v>
      </c>
      <c r="C1555" s="21" t="s">
        <v>58</v>
      </c>
      <c r="D1555" s="21" t="s">
        <v>135</v>
      </c>
      <c r="E1555" s="21" t="s">
        <v>136</v>
      </c>
      <c r="F1555" s="21" t="s">
        <v>933</v>
      </c>
      <c r="G1555" s="21" t="s">
        <v>934</v>
      </c>
      <c r="H1555" s="21" t="s">
        <v>935</v>
      </c>
      <c r="I1555" s="21" t="s">
        <v>936</v>
      </c>
      <c r="J1555" s="21" t="s">
        <v>841</v>
      </c>
      <c r="K1555" s="21" t="s">
        <v>844</v>
      </c>
      <c r="L1555" s="21" t="s">
        <v>939</v>
      </c>
      <c r="M1555" s="21" t="s">
        <v>12</v>
      </c>
      <c r="N1555" s="54">
        <v>0</v>
      </c>
      <c r="O1555" s="54">
        <v>233.33</v>
      </c>
      <c r="P1555" s="54">
        <v>0</v>
      </c>
      <c r="Q1555" s="54">
        <v>233.33</v>
      </c>
      <c r="R1555" s="54">
        <v>103.34</v>
      </c>
      <c r="S1555" s="54">
        <v>63.33</v>
      </c>
      <c r="T1555" s="54">
        <v>63.33</v>
      </c>
      <c r="U1555" s="54">
        <v>170</v>
      </c>
      <c r="V1555" s="54">
        <v>170</v>
      </c>
      <c r="W1555" s="54">
        <v>66.66</v>
      </c>
    </row>
    <row r="1556" spans="1:23" outlineLevel="2" x14ac:dyDescent="0.2">
      <c r="A1556" s="21" t="s">
        <v>836</v>
      </c>
      <c r="B1556" s="21" t="s">
        <v>39</v>
      </c>
      <c r="C1556" s="21" t="s">
        <v>58</v>
      </c>
      <c r="D1556" s="21" t="s">
        <v>143</v>
      </c>
      <c r="E1556" s="21" t="s">
        <v>144</v>
      </c>
      <c r="F1556" s="21" t="s">
        <v>933</v>
      </c>
      <c r="G1556" s="21" t="s">
        <v>934</v>
      </c>
      <c r="H1556" s="21" t="s">
        <v>935</v>
      </c>
      <c r="I1556" s="21" t="s">
        <v>936</v>
      </c>
      <c r="J1556" s="21" t="s">
        <v>841</v>
      </c>
      <c r="K1556" s="21" t="s">
        <v>844</v>
      </c>
      <c r="L1556" s="21" t="s">
        <v>939</v>
      </c>
      <c r="M1556" s="21" t="s">
        <v>12</v>
      </c>
      <c r="N1556" s="54">
        <v>0</v>
      </c>
      <c r="O1556" s="54">
        <v>233.33</v>
      </c>
      <c r="P1556" s="54">
        <v>0</v>
      </c>
      <c r="Q1556" s="54">
        <v>233.33</v>
      </c>
      <c r="R1556" s="54">
        <v>166.67</v>
      </c>
      <c r="S1556" s="54">
        <v>0</v>
      </c>
      <c r="T1556" s="54">
        <v>0</v>
      </c>
      <c r="U1556" s="54">
        <v>233.33</v>
      </c>
      <c r="V1556" s="54">
        <v>233.33</v>
      </c>
      <c r="W1556" s="54">
        <v>66.66</v>
      </c>
    </row>
    <row r="1557" spans="1:23" outlineLevel="2" x14ac:dyDescent="0.2">
      <c r="A1557" s="21" t="s">
        <v>836</v>
      </c>
      <c r="B1557" s="21" t="s">
        <v>39</v>
      </c>
      <c r="C1557" s="21" t="s">
        <v>58</v>
      </c>
      <c r="D1557" s="21" t="s">
        <v>145</v>
      </c>
      <c r="E1557" s="21" t="s">
        <v>146</v>
      </c>
      <c r="F1557" s="21" t="s">
        <v>933</v>
      </c>
      <c r="G1557" s="21" t="s">
        <v>934</v>
      </c>
      <c r="H1557" s="21" t="s">
        <v>935</v>
      </c>
      <c r="I1557" s="21" t="s">
        <v>936</v>
      </c>
      <c r="J1557" s="21" t="s">
        <v>841</v>
      </c>
      <c r="K1557" s="21" t="s">
        <v>844</v>
      </c>
      <c r="L1557" s="21" t="s">
        <v>939</v>
      </c>
      <c r="M1557" s="21" t="s">
        <v>12</v>
      </c>
      <c r="N1557" s="54">
        <v>0</v>
      </c>
      <c r="O1557" s="54">
        <v>233.33</v>
      </c>
      <c r="P1557" s="54">
        <v>0</v>
      </c>
      <c r="Q1557" s="54">
        <v>233.33</v>
      </c>
      <c r="R1557" s="54">
        <v>100.01</v>
      </c>
      <c r="S1557" s="54">
        <v>66.66</v>
      </c>
      <c r="T1557" s="54">
        <v>66.66</v>
      </c>
      <c r="U1557" s="54">
        <v>166.67</v>
      </c>
      <c r="V1557" s="54">
        <v>166.67</v>
      </c>
      <c r="W1557" s="54">
        <v>66.66</v>
      </c>
    </row>
    <row r="1558" spans="1:23" outlineLevel="2" x14ac:dyDescent="0.2">
      <c r="A1558" s="21" t="s">
        <v>836</v>
      </c>
      <c r="B1558" s="21" t="s">
        <v>39</v>
      </c>
      <c r="C1558" s="21" t="s">
        <v>58</v>
      </c>
      <c r="D1558" s="21" t="s">
        <v>147</v>
      </c>
      <c r="E1558" s="21" t="s">
        <v>148</v>
      </c>
      <c r="F1558" s="21" t="s">
        <v>933</v>
      </c>
      <c r="G1558" s="21" t="s">
        <v>934</v>
      </c>
      <c r="H1558" s="21" t="s">
        <v>935</v>
      </c>
      <c r="I1558" s="21" t="s">
        <v>936</v>
      </c>
      <c r="J1558" s="21" t="s">
        <v>841</v>
      </c>
      <c r="K1558" s="21" t="s">
        <v>844</v>
      </c>
      <c r="L1558" s="21" t="s">
        <v>939</v>
      </c>
      <c r="M1558" s="21" t="s">
        <v>12</v>
      </c>
      <c r="N1558" s="54">
        <v>0</v>
      </c>
      <c r="O1558" s="54">
        <v>233.33</v>
      </c>
      <c r="P1558" s="54">
        <v>0</v>
      </c>
      <c r="Q1558" s="54">
        <v>233.33</v>
      </c>
      <c r="R1558" s="54">
        <v>166.67</v>
      </c>
      <c r="S1558" s="54">
        <v>0</v>
      </c>
      <c r="T1558" s="54">
        <v>0</v>
      </c>
      <c r="U1558" s="54">
        <v>233.33</v>
      </c>
      <c r="V1558" s="54">
        <v>233.33</v>
      </c>
      <c r="W1558" s="54">
        <v>66.66</v>
      </c>
    </row>
    <row r="1559" spans="1:23" outlineLevel="2" x14ac:dyDescent="0.2">
      <c r="A1559" s="21" t="s">
        <v>836</v>
      </c>
      <c r="B1559" s="21" t="s">
        <v>31</v>
      </c>
      <c r="C1559" s="21" t="s">
        <v>32</v>
      </c>
      <c r="D1559" s="21" t="s">
        <v>141</v>
      </c>
      <c r="E1559" s="21" t="s">
        <v>142</v>
      </c>
      <c r="F1559" s="21" t="s">
        <v>933</v>
      </c>
      <c r="G1559" s="21" t="s">
        <v>934</v>
      </c>
      <c r="H1559" s="21" t="s">
        <v>935</v>
      </c>
      <c r="I1559" s="21" t="s">
        <v>936</v>
      </c>
      <c r="J1559" s="21" t="s">
        <v>841</v>
      </c>
      <c r="K1559" s="21" t="s">
        <v>844</v>
      </c>
      <c r="L1559" s="21" t="s">
        <v>940</v>
      </c>
      <c r="M1559" s="21" t="s">
        <v>12</v>
      </c>
      <c r="N1559" s="54">
        <v>0</v>
      </c>
      <c r="O1559" s="54">
        <v>19333.330000000002</v>
      </c>
      <c r="P1559" s="54">
        <v>0</v>
      </c>
      <c r="Q1559" s="54">
        <v>19333.330000000002</v>
      </c>
      <c r="R1559" s="54">
        <v>8588.06</v>
      </c>
      <c r="S1559" s="54">
        <v>10745.27</v>
      </c>
      <c r="T1559" s="54">
        <v>10745.27</v>
      </c>
      <c r="U1559" s="54">
        <v>8588.06</v>
      </c>
      <c r="V1559" s="54">
        <v>8588.06</v>
      </c>
      <c r="W1559" s="54">
        <v>0</v>
      </c>
    </row>
    <row r="1560" spans="1:23" outlineLevel="2" x14ac:dyDescent="0.2">
      <c r="A1560" s="21" t="s">
        <v>836</v>
      </c>
      <c r="B1560" s="21" t="s">
        <v>39</v>
      </c>
      <c r="C1560" s="21" t="s">
        <v>58</v>
      </c>
      <c r="D1560" s="21" t="s">
        <v>137</v>
      </c>
      <c r="E1560" s="21" t="s">
        <v>138</v>
      </c>
      <c r="F1560" s="21" t="s">
        <v>933</v>
      </c>
      <c r="G1560" s="21" t="s">
        <v>934</v>
      </c>
      <c r="H1560" s="21" t="s">
        <v>935</v>
      </c>
      <c r="I1560" s="21" t="s">
        <v>936</v>
      </c>
      <c r="J1560" s="21" t="s">
        <v>841</v>
      </c>
      <c r="K1560" s="21" t="s">
        <v>844</v>
      </c>
      <c r="L1560" s="21" t="s">
        <v>939</v>
      </c>
      <c r="M1560" s="21" t="s">
        <v>12</v>
      </c>
      <c r="N1560" s="54">
        <v>0</v>
      </c>
      <c r="O1560" s="54">
        <v>233.33</v>
      </c>
      <c r="P1560" s="54">
        <v>0</v>
      </c>
      <c r="Q1560" s="54">
        <v>233.33</v>
      </c>
      <c r="R1560" s="54">
        <v>133.34</v>
      </c>
      <c r="S1560" s="54">
        <v>33.33</v>
      </c>
      <c r="T1560" s="54">
        <v>33.33</v>
      </c>
      <c r="U1560" s="54">
        <v>200</v>
      </c>
      <c r="V1560" s="54">
        <v>200</v>
      </c>
      <c r="W1560" s="54">
        <v>66.66</v>
      </c>
    </row>
    <row r="1561" spans="1:23" outlineLevel="2" x14ac:dyDescent="0.2">
      <c r="A1561" s="21" t="s">
        <v>836</v>
      </c>
      <c r="B1561" s="21" t="s">
        <v>39</v>
      </c>
      <c r="C1561" s="21" t="s">
        <v>58</v>
      </c>
      <c r="D1561" s="21" t="s">
        <v>59</v>
      </c>
      <c r="E1561" s="21" t="s">
        <v>60</v>
      </c>
      <c r="F1561" s="21" t="s">
        <v>933</v>
      </c>
      <c r="G1561" s="21" t="s">
        <v>934</v>
      </c>
      <c r="H1561" s="21" t="s">
        <v>935</v>
      </c>
      <c r="I1561" s="21" t="s">
        <v>936</v>
      </c>
      <c r="J1561" s="21" t="s">
        <v>841</v>
      </c>
      <c r="K1561" s="21" t="s">
        <v>844</v>
      </c>
      <c r="L1561" s="21" t="s">
        <v>939</v>
      </c>
      <c r="M1561" s="21" t="s">
        <v>12</v>
      </c>
      <c r="N1561" s="54">
        <v>0</v>
      </c>
      <c r="O1561" s="54">
        <v>233.33</v>
      </c>
      <c r="P1561" s="54">
        <v>0</v>
      </c>
      <c r="Q1561" s="54">
        <v>233.33</v>
      </c>
      <c r="R1561" s="54">
        <v>166.67</v>
      </c>
      <c r="S1561" s="54">
        <v>0</v>
      </c>
      <c r="T1561" s="54">
        <v>0</v>
      </c>
      <c r="U1561" s="54">
        <v>233.33</v>
      </c>
      <c r="V1561" s="54">
        <v>233.33</v>
      </c>
      <c r="W1561" s="54">
        <v>66.66</v>
      </c>
    </row>
    <row r="1562" spans="1:23" outlineLevel="2" x14ac:dyDescent="0.2">
      <c r="A1562" s="21" t="s">
        <v>836</v>
      </c>
      <c r="B1562" s="21" t="s">
        <v>39</v>
      </c>
      <c r="C1562" s="21" t="s">
        <v>58</v>
      </c>
      <c r="D1562" s="21" t="s">
        <v>135</v>
      </c>
      <c r="E1562" s="21" t="s">
        <v>136</v>
      </c>
      <c r="F1562" s="21" t="s">
        <v>933</v>
      </c>
      <c r="G1562" s="21" t="s">
        <v>934</v>
      </c>
      <c r="H1562" s="21" t="s">
        <v>935</v>
      </c>
      <c r="I1562" s="21" t="s">
        <v>936</v>
      </c>
      <c r="J1562" s="21" t="s">
        <v>841</v>
      </c>
      <c r="K1562" s="21" t="s">
        <v>854</v>
      </c>
      <c r="L1562" s="21" t="s">
        <v>942</v>
      </c>
      <c r="M1562" s="21" t="s">
        <v>12</v>
      </c>
      <c r="N1562" s="54">
        <v>0</v>
      </c>
      <c r="O1562" s="54">
        <v>1200</v>
      </c>
      <c r="P1562" s="54">
        <v>0</v>
      </c>
      <c r="Q1562" s="54">
        <v>1200</v>
      </c>
      <c r="R1562" s="54">
        <v>0</v>
      </c>
      <c r="S1562" s="54">
        <v>1199.7</v>
      </c>
      <c r="T1562" s="54">
        <v>1199.7</v>
      </c>
      <c r="U1562" s="54">
        <v>0.3</v>
      </c>
      <c r="V1562" s="54">
        <v>0.3</v>
      </c>
      <c r="W1562" s="54">
        <v>0.3</v>
      </c>
    </row>
    <row r="1563" spans="1:23" outlineLevel="2" x14ac:dyDescent="0.2">
      <c r="A1563" s="21" t="s">
        <v>836</v>
      </c>
      <c r="B1563" s="21" t="s">
        <v>31</v>
      </c>
      <c r="C1563" s="21" t="s">
        <v>32</v>
      </c>
      <c r="D1563" s="21" t="s">
        <v>141</v>
      </c>
      <c r="E1563" s="21" t="s">
        <v>142</v>
      </c>
      <c r="F1563" s="21" t="s">
        <v>933</v>
      </c>
      <c r="G1563" s="21" t="s">
        <v>934</v>
      </c>
      <c r="H1563" s="21" t="s">
        <v>935</v>
      </c>
      <c r="I1563" s="21" t="s">
        <v>936</v>
      </c>
      <c r="J1563" s="21" t="s">
        <v>841</v>
      </c>
      <c r="K1563" s="21" t="s">
        <v>854</v>
      </c>
      <c r="L1563" s="21" t="s">
        <v>941</v>
      </c>
      <c r="M1563" s="21" t="s">
        <v>15</v>
      </c>
      <c r="N1563" s="54">
        <v>0</v>
      </c>
      <c r="O1563" s="54">
        <v>2636.86</v>
      </c>
      <c r="P1563" s="54">
        <v>0</v>
      </c>
      <c r="Q1563" s="54">
        <v>2636.86</v>
      </c>
      <c r="R1563" s="54">
        <v>0</v>
      </c>
      <c r="S1563" s="54">
        <v>2591.36</v>
      </c>
      <c r="T1563" s="54">
        <v>2591.36</v>
      </c>
      <c r="U1563" s="54">
        <v>45.5</v>
      </c>
      <c r="V1563" s="54">
        <v>45.5</v>
      </c>
      <c r="W1563" s="54">
        <v>45.5</v>
      </c>
    </row>
    <row r="1564" spans="1:23" outlineLevel="2" x14ac:dyDescent="0.2">
      <c r="A1564" s="21" t="s">
        <v>836</v>
      </c>
      <c r="B1564" s="21" t="s">
        <v>39</v>
      </c>
      <c r="C1564" s="21" t="s">
        <v>58</v>
      </c>
      <c r="D1564" s="21" t="s">
        <v>139</v>
      </c>
      <c r="E1564" s="21" t="s">
        <v>140</v>
      </c>
      <c r="F1564" s="21" t="s">
        <v>933</v>
      </c>
      <c r="G1564" s="21" t="s">
        <v>934</v>
      </c>
      <c r="H1564" s="21" t="s">
        <v>935</v>
      </c>
      <c r="I1564" s="21" t="s">
        <v>936</v>
      </c>
      <c r="J1564" s="21" t="s">
        <v>841</v>
      </c>
      <c r="K1564" s="21" t="s">
        <v>854</v>
      </c>
      <c r="L1564" s="21" t="s">
        <v>942</v>
      </c>
      <c r="M1564" s="21" t="s">
        <v>12</v>
      </c>
      <c r="N1564" s="54">
        <v>0</v>
      </c>
      <c r="O1564" s="54">
        <v>980</v>
      </c>
      <c r="P1564" s="54">
        <v>0</v>
      </c>
      <c r="Q1564" s="54">
        <v>980</v>
      </c>
      <c r="R1564" s="54">
        <v>0</v>
      </c>
      <c r="S1564" s="54">
        <v>977.53</v>
      </c>
      <c r="T1564" s="54">
        <v>977.53</v>
      </c>
      <c r="U1564" s="54">
        <v>2.4700000000000002</v>
      </c>
      <c r="V1564" s="54">
        <v>2.4700000000000002</v>
      </c>
      <c r="W1564" s="54">
        <v>2.4700000000000002</v>
      </c>
    </row>
    <row r="1565" spans="1:23" outlineLevel="2" x14ac:dyDescent="0.2">
      <c r="A1565" s="21" t="s">
        <v>836</v>
      </c>
      <c r="B1565" s="21" t="s">
        <v>39</v>
      </c>
      <c r="C1565" s="21" t="s">
        <v>58</v>
      </c>
      <c r="D1565" s="21" t="s">
        <v>143</v>
      </c>
      <c r="E1565" s="21" t="s">
        <v>144</v>
      </c>
      <c r="F1565" s="21" t="s">
        <v>933</v>
      </c>
      <c r="G1565" s="21" t="s">
        <v>934</v>
      </c>
      <c r="H1565" s="21" t="s">
        <v>935</v>
      </c>
      <c r="I1565" s="21" t="s">
        <v>936</v>
      </c>
      <c r="J1565" s="21" t="s">
        <v>841</v>
      </c>
      <c r="K1565" s="21" t="s">
        <v>854</v>
      </c>
      <c r="L1565" s="21" t="s">
        <v>942</v>
      </c>
      <c r="M1565" s="21" t="s">
        <v>12</v>
      </c>
      <c r="N1565" s="54">
        <v>0</v>
      </c>
      <c r="O1565" s="54">
        <v>1245</v>
      </c>
      <c r="P1565" s="54">
        <v>0</v>
      </c>
      <c r="Q1565" s="54">
        <v>1245</v>
      </c>
      <c r="R1565" s="54">
        <v>0</v>
      </c>
      <c r="S1565" s="54">
        <v>1244.1300000000001</v>
      </c>
      <c r="T1565" s="54">
        <v>1244.1300000000001</v>
      </c>
      <c r="U1565" s="54">
        <v>0.87</v>
      </c>
      <c r="V1565" s="54">
        <v>0.87</v>
      </c>
      <c r="W1565" s="54">
        <v>0.87</v>
      </c>
    </row>
    <row r="1566" spans="1:23" outlineLevel="2" x14ac:dyDescent="0.2">
      <c r="A1566" s="21" t="s">
        <v>836</v>
      </c>
      <c r="B1566" s="21" t="s">
        <v>39</v>
      </c>
      <c r="C1566" s="21" t="s">
        <v>58</v>
      </c>
      <c r="D1566" s="21" t="s">
        <v>145</v>
      </c>
      <c r="E1566" s="21" t="s">
        <v>146</v>
      </c>
      <c r="F1566" s="21" t="s">
        <v>933</v>
      </c>
      <c r="G1566" s="21" t="s">
        <v>934</v>
      </c>
      <c r="H1566" s="21" t="s">
        <v>935</v>
      </c>
      <c r="I1566" s="21" t="s">
        <v>936</v>
      </c>
      <c r="J1566" s="21" t="s">
        <v>841</v>
      </c>
      <c r="K1566" s="21" t="s">
        <v>846</v>
      </c>
      <c r="L1566" s="21" t="s">
        <v>944</v>
      </c>
      <c r="M1566" s="21" t="s">
        <v>12</v>
      </c>
      <c r="N1566" s="54">
        <v>0</v>
      </c>
      <c r="O1566" s="54">
        <v>9331</v>
      </c>
      <c r="P1566" s="54">
        <v>0</v>
      </c>
      <c r="Q1566" s="54">
        <v>9331</v>
      </c>
      <c r="R1566" s="54">
        <v>3999</v>
      </c>
      <c r="S1566" s="54">
        <v>2666</v>
      </c>
      <c r="T1566" s="54">
        <v>2666</v>
      </c>
      <c r="U1566" s="54">
        <v>6665</v>
      </c>
      <c r="V1566" s="54">
        <v>6665</v>
      </c>
      <c r="W1566" s="54">
        <v>2666</v>
      </c>
    </row>
    <row r="1567" spans="1:23" outlineLevel="2" x14ac:dyDescent="0.2">
      <c r="A1567" s="21" t="s">
        <v>836</v>
      </c>
      <c r="B1567" s="21" t="s">
        <v>39</v>
      </c>
      <c r="C1567" s="21" t="s">
        <v>58</v>
      </c>
      <c r="D1567" s="21" t="s">
        <v>137</v>
      </c>
      <c r="E1567" s="21" t="s">
        <v>138</v>
      </c>
      <c r="F1567" s="21" t="s">
        <v>933</v>
      </c>
      <c r="G1567" s="21" t="s">
        <v>934</v>
      </c>
      <c r="H1567" s="21" t="s">
        <v>935</v>
      </c>
      <c r="I1567" s="21" t="s">
        <v>936</v>
      </c>
      <c r="J1567" s="21" t="s">
        <v>841</v>
      </c>
      <c r="K1567" s="21" t="s">
        <v>846</v>
      </c>
      <c r="L1567" s="21" t="s">
        <v>944</v>
      </c>
      <c r="M1567" s="21" t="s">
        <v>12</v>
      </c>
      <c r="N1567" s="54">
        <v>0</v>
      </c>
      <c r="O1567" s="54">
        <v>9331</v>
      </c>
      <c r="P1567" s="54">
        <v>0</v>
      </c>
      <c r="Q1567" s="54">
        <v>9331</v>
      </c>
      <c r="R1567" s="54">
        <v>5332</v>
      </c>
      <c r="S1567" s="54">
        <v>1333</v>
      </c>
      <c r="T1567" s="54">
        <v>1333</v>
      </c>
      <c r="U1567" s="54">
        <v>7998</v>
      </c>
      <c r="V1567" s="54">
        <v>7998</v>
      </c>
      <c r="W1567" s="54">
        <v>2666</v>
      </c>
    </row>
    <row r="1568" spans="1:23" outlineLevel="2" x14ac:dyDescent="0.2">
      <c r="A1568" s="21" t="s">
        <v>836</v>
      </c>
      <c r="B1568" s="21" t="s">
        <v>39</v>
      </c>
      <c r="C1568" s="21" t="s">
        <v>58</v>
      </c>
      <c r="D1568" s="21" t="s">
        <v>135</v>
      </c>
      <c r="E1568" s="21" t="s">
        <v>136</v>
      </c>
      <c r="F1568" s="21" t="s">
        <v>933</v>
      </c>
      <c r="G1568" s="21" t="s">
        <v>934</v>
      </c>
      <c r="H1568" s="21" t="s">
        <v>935</v>
      </c>
      <c r="I1568" s="21" t="s">
        <v>936</v>
      </c>
      <c r="J1568" s="21" t="s">
        <v>841</v>
      </c>
      <c r="K1568" s="21" t="s">
        <v>846</v>
      </c>
      <c r="L1568" s="21" t="s">
        <v>944</v>
      </c>
      <c r="M1568" s="21" t="s">
        <v>12</v>
      </c>
      <c r="N1568" s="54">
        <v>0</v>
      </c>
      <c r="O1568" s="54">
        <v>8131</v>
      </c>
      <c r="P1568" s="54">
        <v>0</v>
      </c>
      <c r="Q1568" s="54">
        <v>8131</v>
      </c>
      <c r="R1568" s="54">
        <v>5332</v>
      </c>
      <c r="S1568" s="54">
        <v>1333</v>
      </c>
      <c r="T1568" s="54">
        <v>1333</v>
      </c>
      <c r="U1568" s="54">
        <v>6798</v>
      </c>
      <c r="V1568" s="54">
        <v>6798</v>
      </c>
      <c r="W1568" s="54">
        <v>1466</v>
      </c>
    </row>
    <row r="1569" spans="1:23" outlineLevel="2" x14ac:dyDescent="0.2">
      <c r="A1569" s="21" t="s">
        <v>836</v>
      </c>
      <c r="B1569" s="21" t="s">
        <v>39</v>
      </c>
      <c r="C1569" s="21" t="s">
        <v>58</v>
      </c>
      <c r="D1569" s="21" t="s">
        <v>143</v>
      </c>
      <c r="E1569" s="21" t="s">
        <v>144</v>
      </c>
      <c r="F1569" s="21" t="s">
        <v>933</v>
      </c>
      <c r="G1569" s="21" t="s">
        <v>934</v>
      </c>
      <c r="H1569" s="21" t="s">
        <v>935</v>
      </c>
      <c r="I1569" s="21" t="s">
        <v>936</v>
      </c>
      <c r="J1569" s="21" t="s">
        <v>841</v>
      </c>
      <c r="K1569" s="21" t="s">
        <v>846</v>
      </c>
      <c r="L1569" s="21" t="s">
        <v>944</v>
      </c>
      <c r="M1569" s="21" t="s">
        <v>12</v>
      </c>
      <c r="N1569" s="54">
        <v>0</v>
      </c>
      <c r="O1569" s="54">
        <v>8086</v>
      </c>
      <c r="P1569" s="54">
        <v>0</v>
      </c>
      <c r="Q1569" s="54">
        <v>8086</v>
      </c>
      <c r="R1569" s="54">
        <v>5332</v>
      </c>
      <c r="S1569" s="54">
        <v>1333</v>
      </c>
      <c r="T1569" s="54">
        <v>1333</v>
      </c>
      <c r="U1569" s="54">
        <v>6753</v>
      </c>
      <c r="V1569" s="54">
        <v>6753</v>
      </c>
      <c r="W1569" s="54">
        <v>1421</v>
      </c>
    </row>
    <row r="1570" spans="1:23" outlineLevel="2" x14ac:dyDescent="0.2">
      <c r="A1570" s="21" t="s">
        <v>836</v>
      </c>
      <c r="B1570" s="21" t="s">
        <v>31</v>
      </c>
      <c r="C1570" s="21" t="s">
        <v>32</v>
      </c>
      <c r="D1570" s="21" t="s">
        <v>141</v>
      </c>
      <c r="E1570" s="21" t="s">
        <v>142</v>
      </c>
      <c r="F1570" s="21" t="s">
        <v>933</v>
      </c>
      <c r="G1570" s="21" t="s">
        <v>934</v>
      </c>
      <c r="H1570" s="21" t="s">
        <v>935</v>
      </c>
      <c r="I1570" s="21" t="s">
        <v>936</v>
      </c>
      <c r="J1570" s="21" t="s">
        <v>841</v>
      </c>
      <c r="K1570" s="21" t="s">
        <v>846</v>
      </c>
      <c r="L1570" s="21" t="s">
        <v>943</v>
      </c>
      <c r="M1570" s="21" t="s">
        <v>15</v>
      </c>
      <c r="N1570" s="54">
        <v>0</v>
      </c>
      <c r="O1570" s="54">
        <v>141060</v>
      </c>
      <c r="P1570" s="54">
        <v>0</v>
      </c>
      <c r="Q1570" s="54">
        <v>141060</v>
      </c>
      <c r="R1570" s="54">
        <v>57372.66</v>
      </c>
      <c r="S1570" s="54">
        <v>83687.34</v>
      </c>
      <c r="T1570" s="54">
        <v>83687.34</v>
      </c>
      <c r="U1570" s="54">
        <v>57372.66</v>
      </c>
      <c r="V1570" s="54">
        <v>57372.66</v>
      </c>
      <c r="W1570" s="54">
        <v>0</v>
      </c>
    </row>
    <row r="1571" spans="1:23" outlineLevel="2" x14ac:dyDescent="0.2">
      <c r="A1571" s="21" t="s">
        <v>836</v>
      </c>
      <c r="B1571" s="21" t="s">
        <v>39</v>
      </c>
      <c r="C1571" s="21" t="s">
        <v>58</v>
      </c>
      <c r="D1571" s="21" t="s">
        <v>139</v>
      </c>
      <c r="E1571" s="21" t="s">
        <v>140</v>
      </c>
      <c r="F1571" s="21" t="s">
        <v>933</v>
      </c>
      <c r="G1571" s="21" t="s">
        <v>934</v>
      </c>
      <c r="H1571" s="21" t="s">
        <v>935</v>
      </c>
      <c r="I1571" s="21" t="s">
        <v>936</v>
      </c>
      <c r="J1571" s="21" t="s">
        <v>841</v>
      </c>
      <c r="K1571" s="21" t="s">
        <v>846</v>
      </c>
      <c r="L1571" s="21" t="s">
        <v>944</v>
      </c>
      <c r="M1571" s="21" t="s">
        <v>12</v>
      </c>
      <c r="N1571" s="54">
        <v>0</v>
      </c>
      <c r="O1571" s="54">
        <v>8351</v>
      </c>
      <c r="P1571" s="54">
        <v>0</v>
      </c>
      <c r="Q1571" s="54">
        <v>8351</v>
      </c>
      <c r="R1571" s="54">
        <v>5332</v>
      </c>
      <c r="S1571" s="54">
        <v>1333</v>
      </c>
      <c r="T1571" s="54">
        <v>1333</v>
      </c>
      <c r="U1571" s="54">
        <v>7018</v>
      </c>
      <c r="V1571" s="54">
        <v>7018</v>
      </c>
      <c r="W1571" s="54">
        <v>1686</v>
      </c>
    </row>
    <row r="1572" spans="1:23" outlineLevel="2" x14ac:dyDescent="0.2">
      <c r="A1572" s="21" t="s">
        <v>836</v>
      </c>
      <c r="B1572" s="21" t="s">
        <v>39</v>
      </c>
      <c r="C1572" s="21" t="s">
        <v>58</v>
      </c>
      <c r="D1572" s="21" t="s">
        <v>147</v>
      </c>
      <c r="E1572" s="21" t="s">
        <v>148</v>
      </c>
      <c r="F1572" s="21" t="s">
        <v>933</v>
      </c>
      <c r="G1572" s="21" t="s">
        <v>934</v>
      </c>
      <c r="H1572" s="21" t="s">
        <v>935</v>
      </c>
      <c r="I1572" s="21" t="s">
        <v>936</v>
      </c>
      <c r="J1572" s="21" t="s">
        <v>841</v>
      </c>
      <c r="K1572" s="21" t="s">
        <v>846</v>
      </c>
      <c r="L1572" s="21" t="s">
        <v>944</v>
      </c>
      <c r="M1572" s="21" t="s">
        <v>12</v>
      </c>
      <c r="N1572" s="54">
        <v>0</v>
      </c>
      <c r="O1572" s="54">
        <v>9331</v>
      </c>
      <c r="P1572" s="54">
        <v>0</v>
      </c>
      <c r="Q1572" s="54">
        <v>9331</v>
      </c>
      <c r="R1572" s="54">
        <v>4932.1000000000004</v>
      </c>
      <c r="S1572" s="54">
        <v>1732.9</v>
      </c>
      <c r="T1572" s="54">
        <v>1732.9</v>
      </c>
      <c r="U1572" s="54">
        <v>7598.1</v>
      </c>
      <c r="V1572" s="54">
        <v>7598.1</v>
      </c>
      <c r="W1572" s="54">
        <v>2666</v>
      </c>
    </row>
    <row r="1573" spans="1:23" outlineLevel="2" x14ac:dyDescent="0.2">
      <c r="A1573" s="21" t="s">
        <v>836</v>
      </c>
      <c r="B1573" s="21" t="s">
        <v>39</v>
      </c>
      <c r="C1573" s="21" t="s">
        <v>58</v>
      </c>
      <c r="D1573" s="21" t="s">
        <v>149</v>
      </c>
      <c r="E1573" s="21" t="s">
        <v>150</v>
      </c>
      <c r="F1573" s="21" t="s">
        <v>933</v>
      </c>
      <c r="G1573" s="21" t="s">
        <v>934</v>
      </c>
      <c r="H1573" s="21" t="s">
        <v>935</v>
      </c>
      <c r="I1573" s="21" t="s">
        <v>936</v>
      </c>
      <c r="J1573" s="21" t="s">
        <v>841</v>
      </c>
      <c r="K1573" s="21" t="s">
        <v>846</v>
      </c>
      <c r="L1573" s="21" t="s">
        <v>944</v>
      </c>
      <c r="M1573" s="21" t="s">
        <v>12</v>
      </c>
      <c r="N1573" s="54">
        <v>0</v>
      </c>
      <c r="O1573" s="54">
        <v>9331</v>
      </c>
      <c r="P1573" s="54">
        <v>0</v>
      </c>
      <c r="Q1573" s="54">
        <v>9331</v>
      </c>
      <c r="R1573" s="54">
        <v>5332</v>
      </c>
      <c r="S1573" s="54">
        <v>1333</v>
      </c>
      <c r="T1573" s="54">
        <v>1333</v>
      </c>
      <c r="U1573" s="54">
        <v>7998</v>
      </c>
      <c r="V1573" s="54">
        <v>7998</v>
      </c>
      <c r="W1573" s="54">
        <v>2666</v>
      </c>
    </row>
    <row r="1574" spans="1:23" outlineLevel="2" x14ac:dyDescent="0.2">
      <c r="A1574" s="21" t="s">
        <v>836</v>
      </c>
      <c r="B1574" s="21" t="s">
        <v>31</v>
      </c>
      <c r="C1574" s="21" t="s">
        <v>32</v>
      </c>
      <c r="D1574" s="21" t="s">
        <v>141</v>
      </c>
      <c r="E1574" s="21" t="s">
        <v>142</v>
      </c>
      <c r="F1574" s="21" t="s">
        <v>933</v>
      </c>
      <c r="G1574" s="21" t="s">
        <v>934</v>
      </c>
      <c r="H1574" s="21" t="s">
        <v>935</v>
      </c>
      <c r="I1574" s="21" t="s">
        <v>936</v>
      </c>
      <c r="J1574" s="21" t="s">
        <v>841</v>
      </c>
      <c r="K1574" s="21" t="s">
        <v>846</v>
      </c>
      <c r="L1574" s="21" t="s">
        <v>943</v>
      </c>
      <c r="M1574" s="21" t="s">
        <v>12</v>
      </c>
      <c r="N1574" s="54">
        <v>0</v>
      </c>
      <c r="O1574" s="54">
        <v>621681</v>
      </c>
      <c r="P1574" s="54">
        <v>0</v>
      </c>
      <c r="Q1574" s="54">
        <v>621681</v>
      </c>
      <c r="R1574" s="54">
        <v>199578.53</v>
      </c>
      <c r="S1574" s="54">
        <v>422102.47</v>
      </c>
      <c r="T1574" s="54">
        <v>422102.47</v>
      </c>
      <c r="U1574" s="54">
        <v>199578.53</v>
      </c>
      <c r="V1574" s="54">
        <v>199578.53</v>
      </c>
      <c r="W1574" s="54">
        <v>0</v>
      </c>
    </row>
    <row r="1575" spans="1:23" outlineLevel="2" x14ac:dyDescent="0.2">
      <c r="A1575" s="21" t="s">
        <v>836</v>
      </c>
      <c r="B1575" s="21" t="s">
        <v>39</v>
      </c>
      <c r="C1575" s="21" t="s">
        <v>58</v>
      </c>
      <c r="D1575" s="21" t="s">
        <v>59</v>
      </c>
      <c r="E1575" s="21" t="s">
        <v>60</v>
      </c>
      <c r="F1575" s="21" t="s">
        <v>933</v>
      </c>
      <c r="G1575" s="21" t="s">
        <v>934</v>
      </c>
      <c r="H1575" s="21" t="s">
        <v>935</v>
      </c>
      <c r="I1575" s="21" t="s">
        <v>936</v>
      </c>
      <c r="J1575" s="21" t="s">
        <v>841</v>
      </c>
      <c r="K1575" s="21" t="s">
        <v>846</v>
      </c>
      <c r="L1575" s="21" t="s">
        <v>944</v>
      </c>
      <c r="M1575" s="21" t="s">
        <v>12</v>
      </c>
      <c r="N1575" s="54">
        <v>0</v>
      </c>
      <c r="O1575" s="54">
        <v>9331</v>
      </c>
      <c r="P1575" s="54">
        <v>0</v>
      </c>
      <c r="Q1575" s="54">
        <v>9331</v>
      </c>
      <c r="R1575" s="54">
        <v>3999</v>
      </c>
      <c r="S1575" s="54">
        <v>2666</v>
      </c>
      <c r="T1575" s="54">
        <v>2666</v>
      </c>
      <c r="U1575" s="54">
        <v>6665</v>
      </c>
      <c r="V1575" s="54">
        <v>6665</v>
      </c>
      <c r="W1575" s="54">
        <v>2666</v>
      </c>
    </row>
    <row r="1576" spans="1:23" outlineLevel="2" x14ac:dyDescent="0.2">
      <c r="A1576" s="21" t="s">
        <v>836</v>
      </c>
      <c r="B1576" s="21" t="s">
        <v>39</v>
      </c>
      <c r="C1576" s="21" t="s">
        <v>58</v>
      </c>
      <c r="D1576" s="21" t="s">
        <v>143</v>
      </c>
      <c r="E1576" s="21" t="s">
        <v>144</v>
      </c>
      <c r="F1576" s="21" t="s">
        <v>933</v>
      </c>
      <c r="G1576" s="21" t="s">
        <v>934</v>
      </c>
      <c r="H1576" s="21" t="s">
        <v>935</v>
      </c>
      <c r="I1576" s="21" t="s">
        <v>936</v>
      </c>
      <c r="J1576" s="21" t="s">
        <v>841</v>
      </c>
      <c r="K1576" s="21" t="s">
        <v>848</v>
      </c>
      <c r="L1576" s="21" t="s">
        <v>945</v>
      </c>
      <c r="M1576" s="21" t="s">
        <v>12</v>
      </c>
      <c r="N1576" s="54">
        <v>0</v>
      </c>
      <c r="O1576" s="54">
        <v>1180.3800000000001</v>
      </c>
      <c r="P1576" s="54">
        <v>0</v>
      </c>
      <c r="Q1576" s="54">
        <v>1180.3800000000001</v>
      </c>
      <c r="R1576" s="54">
        <v>517.12</v>
      </c>
      <c r="S1576" s="54">
        <v>326</v>
      </c>
      <c r="T1576" s="54">
        <v>326</v>
      </c>
      <c r="U1576" s="54">
        <v>854.38</v>
      </c>
      <c r="V1576" s="54">
        <v>854.38</v>
      </c>
      <c r="W1576" s="54">
        <v>337.26</v>
      </c>
    </row>
    <row r="1577" spans="1:23" outlineLevel="2" x14ac:dyDescent="0.2">
      <c r="A1577" s="21" t="s">
        <v>836</v>
      </c>
      <c r="B1577" s="21" t="s">
        <v>39</v>
      </c>
      <c r="C1577" s="21" t="s">
        <v>58</v>
      </c>
      <c r="D1577" s="21" t="s">
        <v>139</v>
      </c>
      <c r="E1577" s="21" t="s">
        <v>140</v>
      </c>
      <c r="F1577" s="21" t="s">
        <v>933</v>
      </c>
      <c r="G1577" s="21" t="s">
        <v>934</v>
      </c>
      <c r="H1577" s="21" t="s">
        <v>935</v>
      </c>
      <c r="I1577" s="21" t="s">
        <v>936</v>
      </c>
      <c r="J1577" s="21" t="s">
        <v>841</v>
      </c>
      <c r="K1577" s="21" t="s">
        <v>848</v>
      </c>
      <c r="L1577" s="21" t="s">
        <v>945</v>
      </c>
      <c r="M1577" s="21" t="s">
        <v>12</v>
      </c>
      <c r="N1577" s="54">
        <v>0</v>
      </c>
      <c r="O1577" s="54">
        <v>1180.3800000000001</v>
      </c>
      <c r="P1577" s="54">
        <v>0</v>
      </c>
      <c r="Q1577" s="54">
        <v>1180.3800000000001</v>
      </c>
      <c r="R1577" s="54">
        <v>550.84</v>
      </c>
      <c r="S1577" s="54">
        <v>292.27999999999997</v>
      </c>
      <c r="T1577" s="54">
        <v>292.27999999999997</v>
      </c>
      <c r="U1577" s="54">
        <v>888.1</v>
      </c>
      <c r="V1577" s="54">
        <v>888.1</v>
      </c>
      <c r="W1577" s="54">
        <v>337.26</v>
      </c>
    </row>
    <row r="1578" spans="1:23" outlineLevel="2" x14ac:dyDescent="0.2">
      <c r="A1578" s="21" t="s">
        <v>836</v>
      </c>
      <c r="B1578" s="21" t="s">
        <v>39</v>
      </c>
      <c r="C1578" s="21" t="s">
        <v>58</v>
      </c>
      <c r="D1578" s="21" t="s">
        <v>147</v>
      </c>
      <c r="E1578" s="21" t="s">
        <v>148</v>
      </c>
      <c r="F1578" s="21" t="s">
        <v>933</v>
      </c>
      <c r="G1578" s="21" t="s">
        <v>934</v>
      </c>
      <c r="H1578" s="21" t="s">
        <v>935</v>
      </c>
      <c r="I1578" s="21" t="s">
        <v>936</v>
      </c>
      <c r="J1578" s="21" t="s">
        <v>841</v>
      </c>
      <c r="K1578" s="21" t="s">
        <v>848</v>
      </c>
      <c r="L1578" s="21" t="s">
        <v>945</v>
      </c>
      <c r="M1578" s="21" t="s">
        <v>12</v>
      </c>
      <c r="N1578" s="54">
        <v>0</v>
      </c>
      <c r="O1578" s="54">
        <v>1180.3800000000001</v>
      </c>
      <c r="P1578" s="54">
        <v>0</v>
      </c>
      <c r="Q1578" s="54">
        <v>1180.3800000000001</v>
      </c>
      <c r="R1578" s="54">
        <v>623.91</v>
      </c>
      <c r="S1578" s="54">
        <v>219.21</v>
      </c>
      <c r="T1578" s="54">
        <v>219.21</v>
      </c>
      <c r="U1578" s="54">
        <v>961.17</v>
      </c>
      <c r="V1578" s="54">
        <v>961.17</v>
      </c>
      <c r="W1578" s="54">
        <v>337.26</v>
      </c>
    </row>
    <row r="1579" spans="1:23" outlineLevel="2" x14ac:dyDescent="0.2">
      <c r="A1579" s="21" t="s">
        <v>836</v>
      </c>
      <c r="B1579" s="21" t="s">
        <v>39</v>
      </c>
      <c r="C1579" s="21" t="s">
        <v>58</v>
      </c>
      <c r="D1579" s="21" t="s">
        <v>145</v>
      </c>
      <c r="E1579" s="21" t="s">
        <v>146</v>
      </c>
      <c r="F1579" s="21" t="s">
        <v>933</v>
      </c>
      <c r="G1579" s="21" t="s">
        <v>934</v>
      </c>
      <c r="H1579" s="21" t="s">
        <v>935</v>
      </c>
      <c r="I1579" s="21" t="s">
        <v>936</v>
      </c>
      <c r="J1579" s="21" t="s">
        <v>841</v>
      </c>
      <c r="K1579" s="21" t="s">
        <v>848</v>
      </c>
      <c r="L1579" s="21" t="s">
        <v>945</v>
      </c>
      <c r="M1579" s="21" t="s">
        <v>12</v>
      </c>
      <c r="N1579" s="54">
        <v>0</v>
      </c>
      <c r="O1579" s="54">
        <v>1180.3800000000001</v>
      </c>
      <c r="P1579" s="54">
        <v>0</v>
      </c>
      <c r="Q1579" s="54">
        <v>1180.3800000000001</v>
      </c>
      <c r="R1579" s="54">
        <v>505.88</v>
      </c>
      <c r="S1579" s="54">
        <v>337.24</v>
      </c>
      <c r="T1579" s="54">
        <v>337.24</v>
      </c>
      <c r="U1579" s="54">
        <v>843.14</v>
      </c>
      <c r="V1579" s="54">
        <v>843.14</v>
      </c>
      <c r="W1579" s="54">
        <v>337.26</v>
      </c>
    </row>
    <row r="1580" spans="1:23" outlineLevel="2" x14ac:dyDescent="0.2">
      <c r="A1580" s="21" t="s">
        <v>836</v>
      </c>
      <c r="B1580" s="21" t="s">
        <v>39</v>
      </c>
      <c r="C1580" s="21" t="s">
        <v>58</v>
      </c>
      <c r="D1580" s="21" t="s">
        <v>149</v>
      </c>
      <c r="E1580" s="21" t="s">
        <v>150</v>
      </c>
      <c r="F1580" s="21" t="s">
        <v>933</v>
      </c>
      <c r="G1580" s="21" t="s">
        <v>934</v>
      </c>
      <c r="H1580" s="21" t="s">
        <v>935</v>
      </c>
      <c r="I1580" s="21" t="s">
        <v>936</v>
      </c>
      <c r="J1580" s="21" t="s">
        <v>841</v>
      </c>
      <c r="K1580" s="21" t="s">
        <v>848</v>
      </c>
      <c r="L1580" s="21" t="s">
        <v>945</v>
      </c>
      <c r="M1580" s="21" t="s">
        <v>12</v>
      </c>
      <c r="N1580" s="54">
        <v>0</v>
      </c>
      <c r="O1580" s="54">
        <v>1180.3800000000001</v>
      </c>
      <c r="P1580" s="54">
        <v>0</v>
      </c>
      <c r="Q1580" s="54">
        <v>1180.3800000000001</v>
      </c>
      <c r="R1580" s="54">
        <v>674.5</v>
      </c>
      <c r="S1580" s="54">
        <v>168.62</v>
      </c>
      <c r="T1580" s="54">
        <v>168.62</v>
      </c>
      <c r="U1580" s="54">
        <v>1011.76</v>
      </c>
      <c r="V1580" s="54">
        <v>1011.76</v>
      </c>
      <c r="W1580" s="54">
        <v>337.26</v>
      </c>
    </row>
    <row r="1581" spans="1:23" outlineLevel="2" x14ac:dyDescent="0.2">
      <c r="A1581" s="21" t="s">
        <v>836</v>
      </c>
      <c r="B1581" s="21" t="s">
        <v>39</v>
      </c>
      <c r="C1581" s="21" t="s">
        <v>58</v>
      </c>
      <c r="D1581" s="21" t="s">
        <v>59</v>
      </c>
      <c r="E1581" s="21" t="s">
        <v>60</v>
      </c>
      <c r="F1581" s="21" t="s">
        <v>933</v>
      </c>
      <c r="G1581" s="21" t="s">
        <v>934</v>
      </c>
      <c r="H1581" s="21" t="s">
        <v>935</v>
      </c>
      <c r="I1581" s="21" t="s">
        <v>936</v>
      </c>
      <c r="J1581" s="21" t="s">
        <v>841</v>
      </c>
      <c r="K1581" s="21" t="s">
        <v>848</v>
      </c>
      <c r="L1581" s="21" t="s">
        <v>945</v>
      </c>
      <c r="M1581" s="21" t="s">
        <v>12</v>
      </c>
      <c r="N1581" s="54">
        <v>0</v>
      </c>
      <c r="O1581" s="54">
        <v>1180.3800000000001</v>
      </c>
      <c r="P1581" s="54">
        <v>0</v>
      </c>
      <c r="Q1581" s="54">
        <v>1180.3800000000001</v>
      </c>
      <c r="R1581" s="54">
        <v>505.88</v>
      </c>
      <c r="S1581" s="54">
        <v>337.24</v>
      </c>
      <c r="T1581" s="54">
        <v>337.24</v>
      </c>
      <c r="U1581" s="54">
        <v>843.14</v>
      </c>
      <c r="V1581" s="54">
        <v>843.14</v>
      </c>
      <c r="W1581" s="54">
        <v>337.26</v>
      </c>
    </row>
    <row r="1582" spans="1:23" outlineLevel="2" x14ac:dyDescent="0.2">
      <c r="A1582" s="21" t="s">
        <v>836</v>
      </c>
      <c r="B1582" s="21" t="s">
        <v>39</v>
      </c>
      <c r="C1582" s="21" t="s">
        <v>58</v>
      </c>
      <c r="D1582" s="21" t="s">
        <v>137</v>
      </c>
      <c r="E1582" s="21" t="s">
        <v>138</v>
      </c>
      <c r="F1582" s="21" t="s">
        <v>933</v>
      </c>
      <c r="G1582" s="21" t="s">
        <v>934</v>
      </c>
      <c r="H1582" s="21" t="s">
        <v>935</v>
      </c>
      <c r="I1582" s="21" t="s">
        <v>936</v>
      </c>
      <c r="J1582" s="21" t="s">
        <v>841</v>
      </c>
      <c r="K1582" s="21" t="s">
        <v>848</v>
      </c>
      <c r="L1582" s="21" t="s">
        <v>945</v>
      </c>
      <c r="M1582" s="21" t="s">
        <v>12</v>
      </c>
      <c r="N1582" s="54">
        <v>0</v>
      </c>
      <c r="O1582" s="54">
        <v>1180.3800000000001</v>
      </c>
      <c r="P1582" s="54">
        <v>0</v>
      </c>
      <c r="Q1582" s="54">
        <v>1180.3800000000001</v>
      </c>
      <c r="R1582" s="54">
        <v>674.5</v>
      </c>
      <c r="S1582" s="54">
        <v>168.62</v>
      </c>
      <c r="T1582" s="54">
        <v>168.62</v>
      </c>
      <c r="U1582" s="54">
        <v>1011.76</v>
      </c>
      <c r="V1582" s="54">
        <v>1011.76</v>
      </c>
      <c r="W1582" s="54">
        <v>337.26</v>
      </c>
    </row>
    <row r="1583" spans="1:23" outlineLevel="2" x14ac:dyDescent="0.2">
      <c r="A1583" s="21" t="s">
        <v>836</v>
      </c>
      <c r="B1583" s="21" t="s">
        <v>31</v>
      </c>
      <c r="C1583" s="21" t="s">
        <v>32</v>
      </c>
      <c r="D1583" s="21" t="s">
        <v>141</v>
      </c>
      <c r="E1583" s="21" t="s">
        <v>142</v>
      </c>
      <c r="F1583" s="21" t="s">
        <v>933</v>
      </c>
      <c r="G1583" s="21" t="s">
        <v>934</v>
      </c>
      <c r="H1583" s="21" t="s">
        <v>935</v>
      </c>
      <c r="I1583" s="21" t="s">
        <v>936</v>
      </c>
      <c r="J1583" s="21" t="s">
        <v>841</v>
      </c>
      <c r="K1583" s="21" t="s">
        <v>848</v>
      </c>
      <c r="L1583" s="21" t="s">
        <v>946</v>
      </c>
      <c r="M1583" s="21" t="s">
        <v>15</v>
      </c>
      <c r="N1583" s="54">
        <v>0</v>
      </c>
      <c r="O1583" s="54">
        <v>17844.09</v>
      </c>
      <c r="P1583" s="54">
        <v>0</v>
      </c>
      <c r="Q1583" s="54">
        <v>17844.09</v>
      </c>
      <c r="R1583" s="54">
        <v>7257.61</v>
      </c>
      <c r="S1583" s="54">
        <v>10586.48</v>
      </c>
      <c r="T1583" s="54">
        <v>10586.48</v>
      </c>
      <c r="U1583" s="54">
        <v>7257.61</v>
      </c>
      <c r="V1583" s="54">
        <v>7257.61</v>
      </c>
      <c r="W1583" s="54">
        <v>0</v>
      </c>
    </row>
    <row r="1584" spans="1:23" outlineLevel="2" x14ac:dyDescent="0.2">
      <c r="A1584" s="21" t="s">
        <v>836</v>
      </c>
      <c r="B1584" s="21" t="s">
        <v>39</v>
      </c>
      <c r="C1584" s="21" t="s">
        <v>58</v>
      </c>
      <c r="D1584" s="21" t="s">
        <v>135</v>
      </c>
      <c r="E1584" s="21" t="s">
        <v>136</v>
      </c>
      <c r="F1584" s="21" t="s">
        <v>933</v>
      </c>
      <c r="G1584" s="21" t="s">
        <v>934</v>
      </c>
      <c r="H1584" s="21" t="s">
        <v>935</v>
      </c>
      <c r="I1584" s="21" t="s">
        <v>936</v>
      </c>
      <c r="J1584" s="21" t="s">
        <v>841</v>
      </c>
      <c r="K1584" s="21" t="s">
        <v>848</v>
      </c>
      <c r="L1584" s="21" t="s">
        <v>945</v>
      </c>
      <c r="M1584" s="21" t="s">
        <v>12</v>
      </c>
      <c r="N1584" s="54">
        <v>0</v>
      </c>
      <c r="O1584" s="54">
        <v>1180.3800000000001</v>
      </c>
      <c r="P1584" s="54">
        <v>0</v>
      </c>
      <c r="Q1584" s="54">
        <v>1180.3800000000001</v>
      </c>
      <c r="R1584" s="54">
        <v>522.74</v>
      </c>
      <c r="S1584" s="54">
        <v>320.38</v>
      </c>
      <c r="T1584" s="54">
        <v>320.38</v>
      </c>
      <c r="U1584" s="54">
        <v>860</v>
      </c>
      <c r="V1584" s="54">
        <v>860</v>
      </c>
      <c r="W1584" s="54">
        <v>337.26</v>
      </c>
    </row>
    <row r="1585" spans="1:23" outlineLevel="2" x14ac:dyDescent="0.2">
      <c r="A1585" s="21" t="s">
        <v>836</v>
      </c>
      <c r="B1585" s="21" t="s">
        <v>31</v>
      </c>
      <c r="C1585" s="21" t="s">
        <v>32</v>
      </c>
      <c r="D1585" s="21" t="s">
        <v>141</v>
      </c>
      <c r="E1585" s="21" t="s">
        <v>142</v>
      </c>
      <c r="F1585" s="21" t="s">
        <v>933</v>
      </c>
      <c r="G1585" s="21" t="s">
        <v>934</v>
      </c>
      <c r="H1585" s="21" t="s">
        <v>935</v>
      </c>
      <c r="I1585" s="21" t="s">
        <v>936</v>
      </c>
      <c r="J1585" s="21" t="s">
        <v>841</v>
      </c>
      <c r="K1585" s="21" t="s">
        <v>848</v>
      </c>
      <c r="L1585" s="21" t="s">
        <v>946</v>
      </c>
      <c r="M1585" s="21" t="s">
        <v>12</v>
      </c>
      <c r="N1585" s="54">
        <v>0</v>
      </c>
      <c r="O1585" s="54">
        <v>78643.5</v>
      </c>
      <c r="P1585" s="54">
        <v>0</v>
      </c>
      <c r="Q1585" s="54">
        <v>78643.5</v>
      </c>
      <c r="R1585" s="54">
        <v>24920.14</v>
      </c>
      <c r="S1585" s="54">
        <v>53723.360000000001</v>
      </c>
      <c r="T1585" s="54">
        <v>53723.360000000001</v>
      </c>
      <c r="U1585" s="54">
        <v>24920.14</v>
      </c>
      <c r="V1585" s="54">
        <v>24920.14</v>
      </c>
      <c r="W1585" s="54">
        <v>0</v>
      </c>
    </row>
    <row r="1586" spans="1:23" outlineLevel="2" x14ac:dyDescent="0.2">
      <c r="A1586" s="21" t="s">
        <v>836</v>
      </c>
      <c r="B1586" s="21" t="s">
        <v>39</v>
      </c>
      <c r="C1586" s="21" t="s">
        <v>58</v>
      </c>
      <c r="D1586" s="21" t="s">
        <v>145</v>
      </c>
      <c r="E1586" s="21" t="s">
        <v>146</v>
      </c>
      <c r="F1586" s="21" t="s">
        <v>933</v>
      </c>
      <c r="G1586" s="21" t="s">
        <v>934</v>
      </c>
      <c r="H1586" s="21" t="s">
        <v>935</v>
      </c>
      <c r="I1586" s="21" t="s">
        <v>936</v>
      </c>
      <c r="J1586" s="21" t="s">
        <v>841</v>
      </c>
      <c r="K1586" s="21" t="s">
        <v>850</v>
      </c>
      <c r="L1586" s="21" t="s">
        <v>947</v>
      </c>
      <c r="M1586" s="21" t="s">
        <v>12</v>
      </c>
      <c r="N1586" s="54">
        <v>0</v>
      </c>
      <c r="O1586" s="54">
        <v>777.58</v>
      </c>
      <c r="P1586" s="54">
        <v>0</v>
      </c>
      <c r="Q1586" s="54">
        <v>777.58</v>
      </c>
      <c r="R1586" s="54">
        <v>555.41999999999996</v>
      </c>
      <c r="S1586" s="54">
        <v>0</v>
      </c>
      <c r="T1586" s="54">
        <v>0</v>
      </c>
      <c r="U1586" s="54">
        <v>777.58</v>
      </c>
      <c r="V1586" s="54">
        <v>777.58</v>
      </c>
      <c r="W1586" s="54">
        <v>222.16</v>
      </c>
    </row>
    <row r="1587" spans="1:23" outlineLevel="2" x14ac:dyDescent="0.2">
      <c r="A1587" s="21" t="s">
        <v>836</v>
      </c>
      <c r="B1587" s="21" t="s">
        <v>39</v>
      </c>
      <c r="C1587" s="21" t="s">
        <v>58</v>
      </c>
      <c r="D1587" s="21" t="s">
        <v>143</v>
      </c>
      <c r="E1587" s="21" t="s">
        <v>144</v>
      </c>
      <c r="F1587" s="21" t="s">
        <v>933</v>
      </c>
      <c r="G1587" s="21" t="s">
        <v>934</v>
      </c>
      <c r="H1587" s="21" t="s">
        <v>935</v>
      </c>
      <c r="I1587" s="21" t="s">
        <v>936</v>
      </c>
      <c r="J1587" s="21" t="s">
        <v>841</v>
      </c>
      <c r="K1587" s="21" t="s">
        <v>850</v>
      </c>
      <c r="L1587" s="21" t="s">
        <v>947</v>
      </c>
      <c r="M1587" s="21" t="s">
        <v>12</v>
      </c>
      <c r="N1587" s="54">
        <v>0</v>
      </c>
      <c r="O1587" s="54">
        <v>777.58</v>
      </c>
      <c r="P1587" s="54">
        <v>0</v>
      </c>
      <c r="Q1587" s="54">
        <v>777.58</v>
      </c>
      <c r="R1587" s="54">
        <v>555.41999999999996</v>
      </c>
      <c r="S1587" s="54">
        <v>0</v>
      </c>
      <c r="T1587" s="54">
        <v>0</v>
      </c>
      <c r="U1587" s="54">
        <v>777.58</v>
      </c>
      <c r="V1587" s="54">
        <v>777.58</v>
      </c>
      <c r="W1587" s="54">
        <v>222.16</v>
      </c>
    </row>
    <row r="1588" spans="1:23" outlineLevel="2" x14ac:dyDescent="0.2">
      <c r="A1588" s="21" t="s">
        <v>836</v>
      </c>
      <c r="B1588" s="21" t="s">
        <v>39</v>
      </c>
      <c r="C1588" s="21" t="s">
        <v>58</v>
      </c>
      <c r="D1588" s="21" t="s">
        <v>137</v>
      </c>
      <c r="E1588" s="21" t="s">
        <v>138</v>
      </c>
      <c r="F1588" s="21" t="s">
        <v>933</v>
      </c>
      <c r="G1588" s="21" t="s">
        <v>934</v>
      </c>
      <c r="H1588" s="21" t="s">
        <v>935</v>
      </c>
      <c r="I1588" s="21" t="s">
        <v>936</v>
      </c>
      <c r="J1588" s="21" t="s">
        <v>841</v>
      </c>
      <c r="K1588" s="21" t="s">
        <v>850</v>
      </c>
      <c r="L1588" s="21" t="s">
        <v>947</v>
      </c>
      <c r="M1588" s="21" t="s">
        <v>12</v>
      </c>
      <c r="N1588" s="54">
        <v>0</v>
      </c>
      <c r="O1588" s="54">
        <v>777.58</v>
      </c>
      <c r="P1588" s="54">
        <v>0</v>
      </c>
      <c r="Q1588" s="54">
        <v>777.58</v>
      </c>
      <c r="R1588" s="54">
        <v>555.41999999999996</v>
      </c>
      <c r="S1588" s="54">
        <v>0</v>
      </c>
      <c r="T1588" s="54">
        <v>0</v>
      </c>
      <c r="U1588" s="54">
        <v>777.58</v>
      </c>
      <c r="V1588" s="54">
        <v>777.58</v>
      </c>
      <c r="W1588" s="54">
        <v>222.16</v>
      </c>
    </row>
    <row r="1589" spans="1:23" outlineLevel="2" x14ac:dyDescent="0.2">
      <c r="A1589" s="21" t="s">
        <v>836</v>
      </c>
      <c r="B1589" s="21" t="s">
        <v>39</v>
      </c>
      <c r="C1589" s="21" t="s">
        <v>58</v>
      </c>
      <c r="D1589" s="21" t="s">
        <v>149</v>
      </c>
      <c r="E1589" s="21" t="s">
        <v>150</v>
      </c>
      <c r="F1589" s="21" t="s">
        <v>933</v>
      </c>
      <c r="G1589" s="21" t="s">
        <v>934</v>
      </c>
      <c r="H1589" s="21" t="s">
        <v>935</v>
      </c>
      <c r="I1589" s="21" t="s">
        <v>936</v>
      </c>
      <c r="J1589" s="21" t="s">
        <v>841</v>
      </c>
      <c r="K1589" s="21" t="s">
        <v>850</v>
      </c>
      <c r="L1589" s="21" t="s">
        <v>947</v>
      </c>
      <c r="M1589" s="21" t="s">
        <v>12</v>
      </c>
      <c r="N1589" s="54">
        <v>0</v>
      </c>
      <c r="O1589" s="54">
        <v>777.58</v>
      </c>
      <c r="P1589" s="54">
        <v>0</v>
      </c>
      <c r="Q1589" s="54">
        <v>777.58</v>
      </c>
      <c r="R1589" s="54">
        <v>555.41999999999996</v>
      </c>
      <c r="S1589" s="54">
        <v>0</v>
      </c>
      <c r="T1589" s="54">
        <v>0</v>
      </c>
      <c r="U1589" s="54">
        <v>777.58</v>
      </c>
      <c r="V1589" s="54">
        <v>777.58</v>
      </c>
      <c r="W1589" s="54">
        <v>222.16</v>
      </c>
    </row>
    <row r="1590" spans="1:23" outlineLevel="2" x14ac:dyDescent="0.2">
      <c r="A1590" s="21" t="s">
        <v>836</v>
      </c>
      <c r="B1590" s="21" t="s">
        <v>31</v>
      </c>
      <c r="C1590" s="21" t="s">
        <v>32</v>
      </c>
      <c r="D1590" s="21" t="s">
        <v>141</v>
      </c>
      <c r="E1590" s="21" t="s">
        <v>142</v>
      </c>
      <c r="F1590" s="21" t="s">
        <v>933</v>
      </c>
      <c r="G1590" s="21" t="s">
        <v>934</v>
      </c>
      <c r="H1590" s="21" t="s">
        <v>935</v>
      </c>
      <c r="I1590" s="21" t="s">
        <v>936</v>
      </c>
      <c r="J1590" s="21" t="s">
        <v>841</v>
      </c>
      <c r="K1590" s="21" t="s">
        <v>850</v>
      </c>
      <c r="L1590" s="21" t="s">
        <v>948</v>
      </c>
      <c r="M1590" s="21" t="s">
        <v>15</v>
      </c>
      <c r="N1590" s="54">
        <v>0</v>
      </c>
      <c r="O1590" s="54">
        <v>11755</v>
      </c>
      <c r="P1590" s="54">
        <v>0</v>
      </c>
      <c r="Q1590" s="54">
        <v>11755</v>
      </c>
      <c r="R1590" s="54">
        <v>10556.11</v>
      </c>
      <c r="S1590" s="54">
        <v>1198.8900000000001</v>
      </c>
      <c r="T1590" s="54">
        <v>1198.8900000000001</v>
      </c>
      <c r="U1590" s="54">
        <v>10556.11</v>
      </c>
      <c r="V1590" s="54">
        <v>10556.11</v>
      </c>
      <c r="W1590" s="54">
        <v>0</v>
      </c>
    </row>
    <row r="1591" spans="1:23" outlineLevel="2" x14ac:dyDescent="0.2">
      <c r="A1591" s="21" t="s">
        <v>836</v>
      </c>
      <c r="B1591" s="21" t="s">
        <v>39</v>
      </c>
      <c r="C1591" s="21" t="s">
        <v>58</v>
      </c>
      <c r="D1591" s="21" t="s">
        <v>135</v>
      </c>
      <c r="E1591" s="21" t="s">
        <v>136</v>
      </c>
      <c r="F1591" s="21" t="s">
        <v>933</v>
      </c>
      <c r="G1591" s="21" t="s">
        <v>934</v>
      </c>
      <c r="H1591" s="21" t="s">
        <v>935</v>
      </c>
      <c r="I1591" s="21" t="s">
        <v>936</v>
      </c>
      <c r="J1591" s="21" t="s">
        <v>841</v>
      </c>
      <c r="K1591" s="21" t="s">
        <v>850</v>
      </c>
      <c r="L1591" s="21" t="s">
        <v>947</v>
      </c>
      <c r="M1591" s="21" t="s">
        <v>12</v>
      </c>
      <c r="N1591" s="54">
        <v>0</v>
      </c>
      <c r="O1591" s="54">
        <v>777.58</v>
      </c>
      <c r="P1591" s="54">
        <v>0</v>
      </c>
      <c r="Q1591" s="54">
        <v>777.58</v>
      </c>
      <c r="R1591" s="54">
        <v>555.41999999999996</v>
      </c>
      <c r="S1591" s="54">
        <v>0</v>
      </c>
      <c r="T1591" s="54">
        <v>0</v>
      </c>
      <c r="U1591" s="54">
        <v>777.58</v>
      </c>
      <c r="V1591" s="54">
        <v>777.58</v>
      </c>
      <c r="W1591" s="54">
        <v>222.16</v>
      </c>
    </row>
    <row r="1592" spans="1:23" outlineLevel="2" x14ac:dyDescent="0.2">
      <c r="A1592" s="21" t="s">
        <v>836</v>
      </c>
      <c r="B1592" s="21" t="s">
        <v>39</v>
      </c>
      <c r="C1592" s="21" t="s">
        <v>58</v>
      </c>
      <c r="D1592" s="21" t="s">
        <v>147</v>
      </c>
      <c r="E1592" s="21" t="s">
        <v>148</v>
      </c>
      <c r="F1592" s="21" t="s">
        <v>933</v>
      </c>
      <c r="G1592" s="21" t="s">
        <v>934</v>
      </c>
      <c r="H1592" s="21" t="s">
        <v>935</v>
      </c>
      <c r="I1592" s="21" t="s">
        <v>936</v>
      </c>
      <c r="J1592" s="21" t="s">
        <v>841</v>
      </c>
      <c r="K1592" s="21" t="s">
        <v>850</v>
      </c>
      <c r="L1592" s="21" t="s">
        <v>947</v>
      </c>
      <c r="M1592" s="21" t="s">
        <v>12</v>
      </c>
      <c r="N1592" s="54">
        <v>0</v>
      </c>
      <c r="O1592" s="54">
        <v>777.58</v>
      </c>
      <c r="P1592" s="54">
        <v>0</v>
      </c>
      <c r="Q1592" s="54">
        <v>777.58</v>
      </c>
      <c r="R1592" s="54">
        <v>555.41999999999996</v>
      </c>
      <c r="S1592" s="54">
        <v>0</v>
      </c>
      <c r="T1592" s="54">
        <v>0</v>
      </c>
      <c r="U1592" s="54">
        <v>777.58</v>
      </c>
      <c r="V1592" s="54">
        <v>777.58</v>
      </c>
      <c r="W1592" s="54">
        <v>222.16</v>
      </c>
    </row>
    <row r="1593" spans="1:23" outlineLevel="2" x14ac:dyDescent="0.2">
      <c r="A1593" s="21" t="s">
        <v>836</v>
      </c>
      <c r="B1593" s="21" t="s">
        <v>39</v>
      </c>
      <c r="C1593" s="21" t="s">
        <v>58</v>
      </c>
      <c r="D1593" s="21" t="s">
        <v>59</v>
      </c>
      <c r="E1593" s="21" t="s">
        <v>60</v>
      </c>
      <c r="F1593" s="21" t="s">
        <v>933</v>
      </c>
      <c r="G1593" s="21" t="s">
        <v>934</v>
      </c>
      <c r="H1593" s="21" t="s">
        <v>935</v>
      </c>
      <c r="I1593" s="21" t="s">
        <v>936</v>
      </c>
      <c r="J1593" s="21" t="s">
        <v>841</v>
      </c>
      <c r="K1593" s="21" t="s">
        <v>850</v>
      </c>
      <c r="L1593" s="21" t="s">
        <v>947</v>
      </c>
      <c r="M1593" s="21" t="s">
        <v>12</v>
      </c>
      <c r="N1593" s="54">
        <v>0</v>
      </c>
      <c r="O1593" s="54">
        <v>777.58</v>
      </c>
      <c r="P1593" s="54">
        <v>0</v>
      </c>
      <c r="Q1593" s="54">
        <v>777.58</v>
      </c>
      <c r="R1593" s="54">
        <v>555.41999999999996</v>
      </c>
      <c r="S1593" s="54">
        <v>0</v>
      </c>
      <c r="T1593" s="54">
        <v>0</v>
      </c>
      <c r="U1593" s="54">
        <v>777.58</v>
      </c>
      <c r="V1593" s="54">
        <v>777.58</v>
      </c>
      <c r="W1593" s="54">
        <v>222.16</v>
      </c>
    </row>
    <row r="1594" spans="1:23" outlineLevel="2" x14ac:dyDescent="0.2">
      <c r="A1594" s="21" t="s">
        <v>836</v>
      </c>
      <c r="B1594" s="21" t="s">
        <v>31</v>
      </c>
      <c r="C1594" s="21" t="s">
        <v>32</v>
      </c>
      <c r="D1594" s="21" t="s">
        <v>141</v>
      </c>
      <c r="E1594" s="21" t="s">
        <v>142</v>
      </c>
      <c r="F1594" s="21" t="s">
        <v>933</v>
      </c>
      <c r="G1594" s="21" t="s">
        <v>934</v>
      </c>
      <c r="H1594" s="21" t="s">
        <v>935</v>
      </c>
      <c r="I1594" s="21" t="s">
        <v>936</v>
      </c>
      <c r="J1594" s="21" t="s">
        <v>841</v>
      </c>
      <c r="K1594" s="21" t="s">
        <v>850</v>
      </c>
      <c r="L1594" s="21" t="s">
        <v>948</v>
      </c>
      <c r="M1594" s="21" t="s">
        <v>12</v>
      </c>
      <c r="N1594" s="54">
        <v>0</v>
      </c>
      <c r="O1594" s="54">
        <v>51806.75</v>
      </c>
      <c r="P1594" s="54">
        <v>0</v>
      </c>
      <c r="Q1594" s="54">
        <v>51806.75</v>
      </c>
      <c r="R1594" s="54">
        <v>46763.79</v>
      </c>
      <c r="S1594" s="54">
        <v>5042.71</v>
      </c>
      <c r="T1594" s="54">
        <v>5042.71</v>
      </c>
      <c r="U1594" s="54">
        <v>46764.04</v>
      </c>
      <c r="V1594" s="54">
        <v>46764.04</v>
      </c>
      <c r="W1594" s="54">
        <v>0.25</v>
      </c>
    </row>
    <row r="1595" spans="1:23" outlineLevel="2" x14ac:dyDescent="0.2">
      <c r="A1595" s="21" t="s">
        <v>836</v>
      </c>
      <c r="B1595" s="21" t="s">
        <v>39</v>
      </c>
      <c r="C1595" s="21" t="s">
        <v>58</v>
      </c>
      <c r="D1595" s="21" t="s">
        <v>139</v>
      </c>
      <c r="E1595" s="21" t="s">
        <v>140</v>
      </c>
      <c r="F1595" s="21" t="s">
        <v>933</v>
      </c>
      <c r="G1595" s="21" t="s">
        <v>934</v>
      </c>
      <c r="H1595" s="21" t="s">
        <v>935</v>
      </c>
      <c r="I1595" s="21" t="s">
        <v>936</v>
      </c>
      <c r="J1595" s="21" t="s">
        <v>841</v>
      </c>
      <c r="K1595" s="21" t="s">
        <v>850</v>
      </c>
      <c r="L1595" s="21" t="s">
        <v>947</v>
      </c>
      <c r="M1595" s="21" t="s">
        <v>12</v>
      </c>
      <c r="N1595" s="54">
        <v>0</v>
      </c>
      <c r="O1595" s="54">
        <v>777.58</v>
      </c>
      <c r="P1595" s="54">
        <v>0</v>
      </c>
      <c r="Q1595" s="54">
        <v>777.58</v>
      </c>
      <c r="R1595" s="54">
        <v>555.41999999999996</v>
      </c>
      <c r="S1595" s="54">
        <v>0</v>
      </c>
      <c r="T1595" s="54">
        <v>0</v>
      </c>
      <c r="U1595" s="54">
        <v>777.58</v>
      </c>
      <c r="V1595" s="54">
        <v>777.58</v>
      </c>
      <c r="W1595" s="54">
        <v>222.16</v>
      </c>
    </row>
    <row r="1596" spans="1:23" outlineLevel="2" x14ac:dyDescent="0.2">
      <c r="A1596" s="21" t="s">
        <v>836</v>
      </c>
      <c r="B1596" s="21" t="s">
        <v>31</v>
      </c>
      <c r="C1596" s="21" t="s">
        <v>32</v>
      </c>
      <c r="D1596" s="21" t="s">
        <v>33</v>
      </c>
      <c r="E1596" s="21" t="s">
        <v>34</v>
      </c>
      <c r="F1596" s="21" t="s">
        <v>933</v>
      </c>
      <c r="G1596" s="21" t="s">
        <v>934</v>
      </c>
      <c r="H1596" s="21" t="s">
        <v>949</v>
      </c>
      <c r="I1596" s="21" t="s">
        <v>950</v>
      </c>
      <c r="J1596" s="21" t="s">
        <v>841</v>
      </c>
      <c r="K1596" s="21" t="s">
        <v>951</v>
      </c>
      <c r="L1596" s="21" t="s">
        <v>952</v>
      </c>
      <c r="M1596" s="21" t="s">
        <v>12</v>
      </c>
      <c r="N1596" s="54">
        <v>0</v>
      </c>
      <c r="O1596" s="54">
        <v>367027</v>
      </c>
      <c r="P1596" s="54">
        <v>0</v>
      </c>
      <c r="Q1596" s="54">
        <v>367027</v>
      </c>
      <c r="R1596" s="54">
        <v>110875.32</v>
      </c>
      <c r="S1596" s="54">
        <v>188584.68</v>
      </c>
      <c r="T1596" s="54">
        <v>188584.68</v>
      </c>
      <c r="U1596" s="54">
        <v>178442.32</v>
      </c>
      <c r="V1596" s="54">
        <v>178442.32</v>
      </c>
      <c r="W1596" s="54">
        <v>67567</v>
      </c>
    </row>
    <row r="1597" spans="1:23" outlineLevel="2" x14ac:dyDescent="0.2">
      <c r="A1597" s="21" t="s">
        <v>836</v>
      </c>
      <c r="B1597" s="21" t="s">
        <v>31</v>
      </c>
      <c r="C1597" s="21" t="s">
        <v>32</v>
      </c>
      <c r="D1597" s="21" t="s">
        <v>33</v>
      </c>
      <c r="E1597" s="21" t="s">
        <v>34</v>
      </c>
      <c r="F1597" s="21" t="s">
        <v>933</v>
      </c>
      <c r="G1597" s="21" t="s">
        <v>934</v>
      </c>
      <c r="H1597" s="21" t="s">
        <v>949</v>
      </c>
      <c r="I1597" s="21" t="s">
        <v>950</v>
      </c>
      <c r="J1597" s="21" t="s">
        <v>841</v>
      </c>
      <c r="K1597" s="21" t="s">
        <v>842</v>
      </c>
      <c r="L1597" s="21" t="s">
        <v>938</v>
      </c>
      <c r="M1597" s="21" t="s">
        <v>12</v>
      </c>
      <c r="N1597" s="54">
        <v>0</v>
      </c>
      <c r="O1597" s="54">
        <v>221729.66</v>
      </c>
      <c r="P1597" s="54">
        <v>0</v>
      </c>
      <c r="Q1597" s="54">
        <v>221729.66</v>
      </c>
      <c r="R1597" s="54">
        <v>147298.31</v>
      </c>
      <c r="S1597" s="54">
        <v>74431.350000000006</v>
      </c>
      <c r="T1597" s="54">
        <v>74431.350000000006</v>
      </c>
      <c r="U1597" s="54">
        <v>147298.31</v>
      </c>
      <c r="V1597" s="54">
        <v>147298.31</v>
      </c>
      <c r="W1597" s="54">
        <v>0</v>
      </c>
    </row>
    <row r="1598" spans="1:23" outlineLevel="2" x14ac:dyDescent="0.2">
      <c r="A1598" s="21" t="s">
        <v>836</v>
      </c>
      <c r="B1598" s="21" t="s">
        <v>31</v>
      </c>
      <c r="C1598" s="21" t="s">
        <v>32</v>
      </c>
      <c r="D1598" s="21" t="s">
        <v>33</v>
      </c>
      <c r="E1598" s="21" t="s">
        <v>34</v>
      </c>
      <c r="F1598" s="21" t="s">
        <v>933</v>
      </c>
      <c r="G1598" s="21" t="s">
        <v>934</v>
      </c>
      <c r="H1598" s="21" t="s">
        <v>949</v>
      </c>
      <c r="I1598" s="21" t="s">
        <v>950</v>
      </c>
      <c r="J1598" s="21" t="s">
        <v>841</v>
      </c>
      <c r="K1598" s="21" t="s">
        <v>844</v>
      </c>
      <c r="L1598" s="21" t="s">
        <v>940</v>
      </c>
      <c r="M1598" s="21" t="s">
        <v>12</v>
      </c>
      <c r="N1598" s="54">
        <v>0</v>
      </c>
      <c r="O1598" s="54">
        <v>64100</v>
      </c>
      <c r="P1598" s="54">
        <v>0</v>
      </c>
      <c r="Q1598" s="54">
        <v>64100</v>
      </c>
      <c r="R1598" s="54">
        <v>38616.89</v>
      </c>
      <c r="S1598" s="54">
        <v>25483.11</v>
      </c>
      <c r="T1598" s="54">
        <v>25483.11</v>
      </c>
      <c r="U1598" s="54">
        <v>38616.89</v>
      </c>
      <c r="V1598" s="54">
        <v>38616.89</v>
      </c>
      <c r="W1598" s="54">
        <v>0</v>
      </c>
    </row>
    <row r="1599" spans="1:23" outlineLevel="2" x14ac:dyDescent="0.2">
      <c r="A1599" s="21" t="s">
        <v>836</v>
      </c>
      <c r="B1599" s="21" t="s">
        <v>31</v>
      </c>
      <c r="C1599" s="21" t="s">
        <v>32</v>
      </c>
      <c r="D1599" s="21" t="s">
        <v>33</v>
      </c>
      <c r="E1599" s="21" t="s">
        <v>34</v>
      </c>
      <c r="F1599" s="21" t="s">
        <v>933</v>
      </c>
      <c r="G1599" s="21" t="s">
        <v>934</v>
      </c>
      <c r="H1599" s="21" t="s">
        <v>949</v>
      </c>
      <c r="I1599" s="21" t="s">
        <v>950</v>
      </c>
      <c r="J1599" s="21" t="s">
        <v>841</v>
      </c>
      <c r="K1599" s="21" t="s">
        <v>953</v>
      </c>
      <c r="L1599" s="21" t="s">
        <v>954</v>
      </c>
      <c r="M1599" s="21" t="s">
        <v>12</v>
      </c>
      <c r="N1599" s="54">
        <v>0</v>
      </c>
      <c r="O1599" s="54">
        <v>3720</v>
      </c>
      <c r="P1599" s="54">
        <v>0</v>
      </c>
      <c r="Q1599" s="54">
        <v>3720</v>
      </c>
      <c r="R1599" s="54">
        <v>3345.5</v>
      </c>
      <c r="S1599" s="54">
        <v>374.5</v>
      </c>
      <c r="T1599" s="54">
        <v>374.5</v>
      </c>
      <c r="U1599" s="54">
        <v>3345.5</v>
      </c>
      <c r="V1599" s="54">
        <v>3345.5</v>
      </c>
      <c r="W1599" s="54">
        <v>0</v>
      </c>
    </row>
    <row r="1600" spans="1:23" outlineLevel="2" x14ac:dyDescent="0.2">
      <c r="A1600" s="21" t="s">
        <v>836</v>
      </c>
      <c r="B1600" s="21" t="s">
        <v>31</v>
      </c>
      <c r="C1600" s="21" t="s">
        <v>32</v>
      </c>
      <c r="D1600" s="21" t="s">
        <v>33</v>
      </c>
      <c r="E1600" s="21" t="s">
        <v>34</v>
      </c>
      <c r="F1600" s="21" t="s">
        <v>933</v>
      </c>
      <c r="G1600" s="21" t="s">
        <v>934</v>
      </c>
      <c r="H1600" s="21" t="s">
        <v>949</v>
      </c>
      <c r="I1600" s="21" t="s">
        <v>950</v>
      </c>
      <c r="J1600" s="21" t="s">
        <v>841</v>
      </c>
      <c r="K1600" s="21" t="s">
        <v>955</v>
      </c>
      <c r="L1600" s="21" t="s">
        <v>956</v>
      </c>
      <c r="M1600" s="21" t="s">
        <v>12</v>
      </c>
      <c r="N1600" s="54">
        <v>0</v>
      </c>
      <c r="O1600" s="54">
        <v>30000</v>
      </c>
      <c r="P1600" s="54">
        <v>0</v>
      </c>
      <c r="Q1600" s="54">
        <v>30000</v>
      </c>
      <c r="R1600" s="54">
        <v>22972</v>
      </c>
      <c r="S1600" s="54">
        <v>7028</v>
      </c>
      <c r="T1600" s="54">
        <v>7028</v>
      </c>
      <c r="U1600" s="54">
        <v>22972</v>
      </c>
      <c r="V1600" s="54">
        <v>22972</v>
      </c>
      <c r="W1600" s="54">
        <v>0</v>
      </c>
    </row>
    <row r="1601" spans="1:23" outlineLevel="2" x14ac:dyDescent="0.2">
      <c r="A1601" s="21" t="s">
        <v>836</v>
      </c>
      <c r="B1601" s="21" t="s">
        <v>31</v>
      </c>
      <c r="C1601" s="21" t="s">
        <v>32</v>
      </c>
      <c r="D1601" s="21" t="s">
        <v>33</v>
      </c>
      <c r="E1601" s="21" t="s">
        <v>34</v>
      </c>
      <c r="F1601" s="21" t="s">
        <v>933</v>
      </c>
      <c r="G1601" s="21" t="s">
        <v>934</v>
      </c>
      <c r="H1601" s="21" t="s">
        <v>949</v>
      </c>
      <c r="I1601" s="21" t="s">
        <v>950</v>
      </c>
      <c r="J1601" s="21" t="s">
        <v>841</v>
      </c>
      <c r="K1601" s="21" t="s">
        <v>957</v>
      </c>
      <c r="L1601" s="21" t="s">
        <v>958</v>
      </c>
      <c r="M1601" s="21" t="s">
        <v>12</v>
      </c>
      <c r="N1601" s="54">
        <v>0</v>
      </c>
      <c r="O1601" s="54">
        <v>4464</v>
      </c>
      <c r="P1601" s="54">
        <v>0</v>
      </c>
      <c r="Q1601" s="54">
        <v>4464</v>
      </c>
      <c r="R1601" s="54">
        <v>4464</v>
      </c>
      <c r="S1601" s="54">
        <v>0</v>
      </c>
      <c r="T1601" s="54">
        <v>0</v>
      </c>
      <c r="U1601" s="54">
        <v>4464</v>
      </c>
      <c r="V1601" s="54">
        <v>4464</v>
      </c>
      <c r="W1601" s="54">
        <v>0</v>
      </c>
    </row>
    <row r="1602" spans="1:23" outlineLevel="2" x14ac:dyDescent="0.2">
      <c r="A1602" s="21" t="s">
        <v>836</v>
      </c>
      <c r="B1602" s="21" t="s">
        <v>31</v>
      </c>
      <c r="C1602" s="21" t="s">
        <v>32</v>
      </c>
      <c r="D1602" s="21" t="s">
        <v>33</v>
      </c>
      <c r="E1602" s="21" t="s">
        <v>34</v>
      </c>
      <c r="F1602" s="21" t="s">
        <v>933</v>
      </c>
      <c r="G1602" s="21" t="s">
        <v>934</v>
      </c>
      <c r="H1602" s="21" t="s">
        <v>949</v>
      </c>
      <c r="I1602" s="21" t="s">
        <v>950</v>
      </c>
      <c r="J1602" s="21" t="s">
        <v>841</v>
      </c>
      <c r="K1602" s="21" t="s">
        <v>854</v>
      </c>
      <c r="L1602" s="21" t="s">
        <v>941</v>
      </c>
      <c r="M1602" s="21" t="s">
        <v>12</v>
      </c>
      <c r="N1602" s="54">
        <v>0</v>
      </c>
      <c r="O1602" s="54">
        <v>1663</v>
      </c>
      <c r="P1602" s="54">
        <v>0</v>
      </c>
      <c r="Q1602" s="54">
        <v>1663</v>
      </c>
      <c r="R1602" s="54">
        <v>0</v>
      </c>
      <c r="S1602" s="54">
        <v>1662.27</v>
      </c>
      <c r="T1602" s="54">
        <v>1662.27</v>
      </c>
      <c r="U1602" s="54">
        <v>0.73</v>
      </c>
      <c r="V1602" s="54">
        <v>0.73</v>
      </c>
      <c r="W1602" s="54">
        <v>0.73</v>
      </c>
    </row>
    <row r="1603" spans="1:23" outlineLevel="2" x14ac:dyDescent="0.2">
      <c r="A1603" s="21" t="s">
        <v>836</v>
      </c>
      <c r="B1603" s="21" t="s">
        <v>31</v>
      </c>
      <c r="C1603" s="21" t="s">
        <v>32</v>
      </c>
      <c r="D1603" s="21" t="s">
        <v>33</v>
      </c>
      <c r="E1603" s="21" t="s">
        <v>34</v>
      </c>
      <c r="F1603" s="21" t="s">
        <v>933</v>
      </c>
      <c r="G1603" s="21" t="s">
        <v>934</v>
      </c>
      <c r="H1603" s="21" t="s">
        <v>949</v>
      </c>
      <c r="I1603" s="21" t="s">
        <v>950</v>
      </c>
      <c r="J1603" s="21" t="s">
        <v>841</v>
      </c>
      <c r="K1603" s="21" t="s">
        <v>854</v>
      </c>
      <c r="L1603" s="21" t="s">
        <v>941</v>
      </c>
      <c r="M1603" s="21" t="s">
        <v>15</v>
      </c>
      <c r="N1603" s="54">
        <v>0</v>
      </c>
      <c r="O1603" s="54">
        <v>187079.39</v>
      </c>
      <c r="P1603" s="54">
        <v>0</v>
      </c>
      <c r="Q1603" s="54">
        <v>187079.39</v>
      </c>
      <c r="R1603" s="54">
        <v>0</v>
      </c>
      <c r="S1603" s="54">
        <v>187076.26</v>
      </c>
      <c r="T1603" s="54">
        <v>187076.26</v>
      </c>
      <c r="U1603" s="54">
        <v>3.13</v>
      </c>
      <c r="V1603" s="54">
        <v>3.13</v>
      </c>
      <c r="W1603" s="54">
        <v>3.13</v>
      </c>
    </row>
    <row r="1604" spans="1:23" outlineLevel="2" x14ac:dyDescent="0.2">
      <c r="A1604" s="21" t="s">
        <v>836</v>
      </c>
      <c r="B1604" s="21" t="s">
        <v>31</v>
      </c>
      <c r="C1604" s="21" t="s">
        <v>32</v>
      </c>
      <c r="D1604" s="21" t="s">
        <v>33</v>
      </c>
      <c r="E1604" s="21" t="s">
        <v>34</v>
      </c>
      <c r="F1604" s="21" t="s">
        <v>933</v>
      </c>
      <c r="G1604" s="21" t="s">
        <v>934</v>
      </c>
      <c r="H1604" s="21" t="s">
        <v>949</v>
      </c>
      <c r="I1604" s="21" t="s">
        <v>950</v>
      </c>
      <c r="J1604" s="21" t="s">
        <v>841</v>
      </c>
      <c r="K1604" s="21" t="s">
        <v>846</v>
      </c>
      <c r="L1604" s="21" t="s">
        <v>943</v>
      </c>
      <c r="M1604" s="21" t="s">
        <v>12</v>
      </c>
      <c r="N1604" s="54">
        <v>0</v>
      </c>
      <c r="O1604" s="54">
        <v>2361296</v>
      </c>
      <c r="P1604" s="54">
        <v>0</v>
      </c>
      <c r="Q1604" s="54">
        <v>2361296</v>
      </c>
      <c r="R1604" s="54">
        <v>1385511.23</v>
      </c>
      <c r="S1604" s="54">
        <v>975784.77</v>
      </c>
      <c r="T1604" s="54">
        <v>975784.77</v>
      </c>
      <c r="U1604" s="54">
        <v>1385511.23</v>
      </c>
      <c r="V1604" s="54">
        <v>1385511.23</v>
      </c>
      <c r="W1604" s="54">
        <v>0</v>
      </c>
    </row>
    <row r="1605" spans="1:23" outlineLevel="2" x14ac:dyDescent="0.2">
      <c r="A1605" s="21" t="s">
        <v>836</v>
      </c>
      <c r="B1605" s="21" t="s">
        <v>31</v>
      </c>
      <c r="C1605" s="21" t="s">
        <v>32</v>
      </c>
      <c r="D1605" s="21" t="s">
        <v>33</v>
      </c>
      <c r="E1605" s="21" t="s">
        <v>34</v>
      </c>
      <c r="F1605" s="21" t="s">
        <v>933</v>
      </c>
      <c r="G1605" s="21" t="s">
        <v>934</v>
      </c>
      <c r="H1605" s="21" t="s">
        <v>949</v>
      </c>
      <c r="I1605" s="21" t="s">
        <v>950</v>
      </c>
      <c r="J1605" s="21" t="s">
        <v>841</v>
      </c>
      <c r="K1605" s="21" t="s">
        <v>848</v>
      </c>
      <c r="L1605" s="21" t="s">
        <v>946</v>
      </c>
      <c r="M1605" s="21" t="s">
        <v>12</v>
      </c>
      <c r="N1605" s="54">
        <v>0</v>
      </c>
      <c r="O1605" s="54">
        <v>335088.33</v>
      </c>
      <c r="P1605" s="54">
        <v>0</v>
      </c>
      <c r="Q1605" s="54">
        <v>335088.33</v>
      </c>
      <c r="R1605" s="54">
        <v>166528.34</v>
      </c>
      <c r="S1605" s="54">
        <v>168559.99</v>
      </c>
      <c r="T1605" s="54">
        <v>168559.99</v>
      </c>
      <c r="U1605" s="54">
        <v>166528.34</v>
      </c>
      <c r="V1605" s="54">
        <v>166528.34</v>
      </c>
      <c r="W1605" s="54">
        <v>0</v>
      </c>
    </row>
    <row r="1606" spans="1:23" outlineLevel="2" x14ac:dyDescent="0.2">
      <c r="A1606" s="21" t="s">
        <v>836</v>
      </c>
      <c r="B1606" s="21" t="s">
        <v>31</v>
      </c>
      <c r="C1606" s="21" t="s">
        <v>32</v>
      </c>
      <c r="D1606" s="21" t="s">
        <v>33</v>
      </c>
      <c r="E1606" s="21" t="s">
        <v>34</v>
      </c>
      <c r="F1606" s="21" t="s">
        <v>933</v>
      </c>
      <c r="G1606" s="21" t="s">
        <v>934</v>
      </c>
      <c r="H1606" s="21" t="s">
        <v>949</v>
      </c>
      <c r="I1606" s="21" t="s">
        <v>950</v>
      </c>
      <c r="J1606" s="21" t="s">
        <v>841</v>
      </c>
      <c r="K1606" s="21" t="s">
        <v>850</v>
      </c>
      <c r="L1606" s="21" t="s">
        <v>948</v>
      </c>
      <c r="M1606" s="21" t="s">
        <v>12</v>
      </c>
      <c r="N1606" s="54">
        <v>0</v>
      </c>
      <c r="O1606" s="54">
        <v>196774.67</v>
      </c>
      <c r="P1606" s="54">
        <v>0</v>
      </c>
      <c r="Q1606" s="54">
        <v>196774.67</v>
      </c>
      <c r="R1606" s="54">
        <v>196774.67</v>
      </c>
      <c r="S1606" s="54">
        <v>0</v>
      </c>
      <c r="T1606" s="54">
        <v>0</v>
      </c>
      <c r="U1606" s="54">
        <v>196774.67</v>
      </c>
      <c r="V1606" s="54">
        <v>196774.67</v>
      </c>
      <c r="W1606" s="54">
        <v>0</v>
      </c>
    </row>
    <row r="1607" spans="1:23" outlineLevel="2" x14ac:dyDescent="0.2">
      <c r="A1607" s="21" t="s">
        <v>836</v>
      </c>
      <c r="B1607" s="21" t="s">
        <v>31</v>
      </c>
      <c r="C1607" s="21" t="s">
        <v>32</v>
      </c>
      <c r="D1607" s="21" t="s">
        <v>33</v>
      </c>
      <c r="E1607" s="21" t="s">
        <v>34</v>
      </c>
      <c r="F1607" s="21" t="s">
        <v>933</v>
      </c>
      <c r="G1607" s="21" t="s">
        <v>934</v>
      </c>
      <c r="H1607" s="21" t="s">
        <v>949</v>
      </c>
      <c r="I1607" s="21" t="s">
        <v>950</v>
      </c>
      <c r="J1607" s="21" t="s">
        <v>841</v>
      </c>
      <c r="K1607" s="21" t="s">
        <v>959</v>
      </c>
      <c r="L1607" s="21" t="s">
        <v>960</v>
      </c>
      <c r="M1607" s="21" t="s">
        <v>12</v>
      </c>
      <c r="N1607" s="54">
        <v>0</v>
      </c>
      <c r="O1607" s="54">
        <v>10465</v>
      </c>
      <c r="P1607" s="54">
        <v>0</v>
      </c>
      <c r="Q1607" s="54">
        <v>10465</v>
      </c>
      <c r="R1607" s="54">
        <v>10465</v>
      </c>
      <c r="S1607" s="54">
        <v>0</v>
      </c>
      <c r="T1607" s="54">
        <v>0</v>
      </c>
      <c r="U1607" s="54">
        <v>10465</v>
      </c>
      <c r="V1607" s="54">
        <v>10465</v>
      </c>
      <c r="W1607" s="54">
        <v>0</v>
      </c>
    </row>
    <row r="1608" spans="1:23" outlineLevel="2" x14ac:dyDescent="0.2">
      <c r="A1608" s="21" t="s">
        <v>836</v>
      </c>
      <c r="B1608" s="21" t="s">
        <v>31</v>
      </c>
      <c r="C1608" s="21" t="s">
        <v>32</v>
      </c>
      <c r="D1608" s="21" t="s">
        <v>33</v>
      </c>
      <c r="E1608" s="21" t="s">
        <v>34</v>
      </c>
      <c r="F1608" s="21" t="s">
        <v>933</v>
      </c>
      <c r="G1608" s="21" t="s">
        <v>934</v>
      </c>
      <c r="H1608" s="21" t="s">
        <v>949</v>
      </c>
      <c r="I1608" s="21" t="s">
        <v>950</v>
      </c>
      <c r="J1608" s="21" t="s">
        <v>841</v>
      </c>
      <c r="K1608" s="21" t="s">
        <v>961</v>
      </c>
      <c r="L1608" s="21" t="s">
        <v>962</v>
      </c>
      <c r="M1608" s="21" t="s">
        <v>12</v>
      </c>
      <c r="N1608" s="54">
        <v>0</v>
      </c>
      <c r="O1608" s="54">
        <v>70985.84</v>
      </c>
      <c r="P1608" s="54">
        <v>0</v>
      </c>
      <c r="Q1608" s="54">
        <v>70985.84</v>
      </c>
      <c r="R1608" s="54">
        <v>1744.17</v>
      </c>
      <c r="S1608" s="54">
        <v>0</v>
      </c>
      <c r="T1608" s="54">
        <v>0</v>
      </c>
      <c r="U1608" s="54">
        <v>70985.84</v>
      </c>
      <c r="V1608" s="54">
        <v>70985.84</v>
      </c>
      <c r="W1608" s="54">
        <v>69241.67</v>
      </c>
    </row>
    <row r="1609" spans="1:23" outlineLevel="2" x14ac:dyDescent="0.2">
      <c r="A1609" s="21" t="s">
        <v>836</v>
      </c>
      <c r="B1609" s="21" t="s">
        <v>31</v>
      </c>
      <c r="C1609" s="21" t="s">
        <v>32</v>
      </c>
      <c r="D1609" s="21" t="s">
        <v>75</v>
      </c>
      <c r="E1609" s="21" t="s">
        <v>76</v>
      </c>
      <c r="F1609" s="21" t="s">
        <v>933</v>
      </c>
      <c r="G1609" s="21" t="s">
        <v>934</v>
      </c>
      <c r="H1609" s="21" t="s">
        <v>963</v>
      </c>
      <c r="I1609" s="21" t="s">
        <v>964</v>
      </c>
      <c r="J1609" s="21" t="s">
        <v>841</v>
      </c>
      <c r="K1609" s="21" t="s">
        <v>842</v>
      </c>
      <c r="L1609" s="21" t="s">
        <v>938</v>
      </c>
      <c r="M1609" s="21" t="s">
        <v>12</v>
      </c>
      <c r="N1609" s="54">
        <v>0</v>
      </c>
      <c r="O1609" s="54">
        <v>14234.25</v>
      </c>
      <c r="P1609" s="54">
        <v>0</v>
      </c>
      <c r="Q1609" s="54">
        <v>14234.25</v>
      </c>
      <c r="R1609" s="54">
        <v>13508.76</v>
      </c>
      <c r="S1609" s="54">
        <v>725.49</v>
      </c>
      <c r="T1609" s="54">
        <v>725.49</v>
      </c>
      <c r="U1609" s="54">
        <v>13508.76</v>
      </c>
      <c r="V1609" s="54">
        <v>13508.76</v>
      </c>
      <c r="W1609" s="54">
        <v>0</v>
      </c>
    </row>
    <row r="1610" spans="1:23" outlineLevel="2" x14ac:dyDescent="0.2">
      <c r="A1610" s="21" t="s">
        <v>836</v>
      </c>
      <c r="B1610" s="21" t="s">
        <v>31</v>
      </c>
      <c r="C1610" s="21" t="s">
        <v>32</v>
      </c>
      <c r="D1610" s="21" t="s">
        <v>75</v>
      </c>
      <c r="E1610" s="21" t="s">
        <v>76</v>
      </c>
      <c r="F1610" s="21" t="s">
        <v>933</v>
      </c>
      <c r="G1610" s="21" t="s">
        <v>934</v>
      </c>
      <c r="H1610" s="21" t="s">
        <v>963</v>
      </c>
      <c r="I1610" s="21" t="s">
        <v>964</v>
      </c>
      <c r="J1610" s="21" t="s">
        <v>841</v>
      </c>
      <c r="K1610" s="21" t="s">
        <v>842</v>
      </c>
      <c r="L1610" s="21" t="s">
        <v>938</v>
      </c>
      <c r="M1610" s="21" t="s">
        <v>15</v>
      </c>
      <c r="N1610" s="54">
        <v>0</v>
      </c>
      <c r="O1610" s="54">
        <v>50810</v>
      </c>
      <c r="P1610" s="54">
        <v>0</v>
      </c>
      <c r="Q1610" s="54">
        <v>50810</v>
      </c>
      <c r="R1610" s="54">
        <v>40648.839999999997</v>
      </c>
      <c r="S1610" s="54">
        <v>9151.4</v>
      </c>
      <c r="T1610" s="54">
        <v>9151.4</v>
      </c>
      <c r="U1610" s="54">
        <v>41658.6</v>
      </c>
      <c r="V1610" s="54">
        <v>41658.6</v>
      </c>
      <c r="W1610" s="54">
        <v>1009.76</v>
      </c>
    </row>
    <row r="1611" spans="1:23" outlineLevel="2" x14ac:dyDescent="0.2">
      <c r="A1611" s="21" t="s">
        <v>836</v>
      </c>
      <c r="B1611" s="21" t="s">
        <v>31</v>
      </c>
      <c r="C1611" s="21" t="s">
        <v>32</v>
      </c>
      <c r="D1611" s="21" t="s">
        <v>75</v>
      </c>
      <c r="E1611" s="21" t="s">
        <v>76</v>
      </c>
      <c r="F1611" s="21" t="s">
        <v>933</v>
      </c>
      <c r="G1611" s="21" t="s">
        <v>934</v>
      </c>
      <c r="H1611" s="21" t="s">
        <v>963</v>
      </c>
      <c r="I1611" s="21" t="s">
        <v>964</v>
      </c>
      <c r="J1611" s="21" t="s">
        <v>841</v>
      </c>
      <c r="K1611" s="21" t="s">
        <v>844</v>
      </c>
      <c r="L1611" s="21" t="s">
        <v>940</v>
      </c>
      <c r="M1611" s="21" t="s">
        <v>12</v>
      </c>
      <c r="N1611" s="54">
        <v>0</v>
      </c>
      <c r="O1611" s="54">
        <v>4600</v>
      </c>
      <c r="P1611" s="54">
        <v>0</v>
      </c>
      <c r="Q1611" s="54">
        <v>4600</v>
      </c>
      <c r="R1611" s="54">
        <v>4400.0200000000004</v>
      </c>
      <c r="S1611" s="54">
        <v>199.98</v>
      </c>
      <c r="T1611" s="54">
        <v>199.98</v>
      </c>
      <c r="U1611" s="54">
        <v>4400.0200000000004</v>
      </c>
      <c r="V1611" s="54">
        <v>4400.0200000000004</v>
      </c>
      <c r="W1611" s="54">
        <v>0</v>
      </c>
    </row>
    <row r="1612" spans="1:23" outlineLevel="2" x14ac:dyDescent="0.2">
      <c r="A1612" s="21" t="s">
        <v>836</v>
      </c>
      <c r="B1612" s="21" t="s">
        <v>31</v>
      </c>
      <c r="C1612" s="21" t="s">
        <v>32</v>
      </c>
      <c r="D1612" s="21" t="s">
        <v>75</v>
      </c>
      <c r="E1612" s="21" t="s">
        <v>76</v>
      </c>
      <c r="F1612" s="21" t="s">
        <v>933</v>
      </c>
      <c r="G1612" s="21" t="s">
        <v>934</v>
      </c>
      <c r="H1612" s="21" t="s">
        <v>963</v>
      </c>
      <c r="I1612" s="21" t="s">
        <v>964</v>
      </c>
      <c r="J1612" s="21" t="s">
        <v>841</v>
      </c>
      <c r="K1612" s="21" t="s">
        <v>844</v>
      </c>
      <c r="L1612" s="21" t="s">
        <v>940</v>
      </c>
      <c r="M1612" s="21" t="s">
        <v>15</v>
      </c>
      <c r="N1612" s="54">
        <v>0</v>
      </c>
      <c r="O1612" s="54">
        <v>15200</v>
      </c>
      <c r="P1612" s="54">
        <v>0</v>
      </c>
      <c r="Q1612" s="54">
        <v>15200</v>
      </c>
      <c r="R1612" s="54">
        <v>1740.18</v>
      </c>
      <c r="S1612" s="54">
        <v>13259.8</v>
      </c>
      <c r="T1612" s="54">
        <v>13259.8</v>
      </c>
      <c r="U1612" s="54">
        <v>1940.2</v>
      </c>
      <c r="V1612" s="54">
        <v>1940.2</v>
      </c>
      <c r="W1612" s="54">
        <v>200.02</v>
      </c>
    </row>
    <row r="1613" spans="1:23" outlineLevel="2" x14ac:dyDescent="0.2">
      <c r="A1613" s="21" t="s">
        <v>836</v>
      </c>
      <c r="B1613" s="21" t="s">
        <v>31</v>
      </c>
      <c r="C1613" s="21" t="s">
        <v>32</v>
      </c>
      <c r="D1613" s="21" t="s">
        <v>75</v>
      </c>
      <c r="E1613" s="21" t="s">
        <v>76</v>
      </c>
      <c r="F1613" s="21" t="s">
        <v>933</v>
      </c>
      <c r="G1613" s="21" t="s">
        <v>934</v>
      </c>
      <c r="H1613" s="21" t="s">
        <v>963</v>
      </c>
      <c r="I1613" s="21" t="s">
        <v>964</v>
      </c>
      <c r="J1613" s="21" t="s">
        <v>841</v>
      </c>
      <c r="K1613" s="21" t="s">
        <v>854</v>
      </c>
      <c r="L1613" s="21" t="s">
        <v>941</v>
      </c>
      <c r="M1613" s="21" t="s">
        <v>15</v>
      </c>
      <c r="N1613" s="54">
        <v>0</v>
      </c>
      <c r="O1613" s="54">
        <v>17898.330000000002</v>
      </c>
      <c r="P1613" s="54">
        <v>0</v>
      </c>
      <c r="Q1613" s="54">
        <v>17898.330000000002</v>
      </c>
      <c r="R1613" s="54">
        <v>0</v>
      </c>
      <c r="S1613" s="54">
        <v>17896.07</v>
      </c>
      <c r="T1613" s="54">
        <v>17896.07</v>
      </c>
      <c r="U1613" s="54">
        <v>2.2599999999999998</v>
      </c>
      <c r="V1613" s="54">
        <v>2.2599999999999998</v>
      </c>
      <c r="W1613" s="54">
        <v>2.2599999999999998</v>
      </c>
    </row>
    <row r="1614" spans="1:23" outlineLevel="2" x14ac:dyDescent="0.2">
      <c r="A1614" s="21" t="s">
        <v>836</v>
      </c>
      <c r="B1614" s="21" t="s">
        <v>31</v>
      </c>
      <c r="C1614" s="21" t="s">
        <v>32</v>
      </c>
      <c r="D1614" s="21" t="s">
        <v>75</v>
      </c>
      <c r="E1614" s="21" t="s">
        <v>76</v>
      </c>
      <c r="F1614" s="21" t="s">
        <v>933</v>
      </c>
      <c r="G1614" s="21" t="s">
        <v>934</v>
      </c>
      <c r="H1614" s="21" t="s">
        <v>963</v>
      </c>
      <c r="I1614" s="21" t="s">
        <v>964</v>
      </c>
      <c r="J1614" s="21" t="s">
        <v>841</v>
      </c>
      <c r="K1614" s="21" t="s">
        <v>846</v>
      </c>
      <c r="L1614" s="21" t="s">
        <v>943</v>
      </c>
      <c r="M1614" s="21" t="s">
        <v>12</v>
      </c>
      <c r="N1614" s="54">
        <v>0</v>
      </c>
      <c r="O1614" s="54">
        <v>170811</v>
      </c>
      <c r="P1614" s="54">
        <v>0</v>
      </c>
      <c r="Q1614" s="54">
        <v>170811</v>
      </c>
      <c r="R1614" s="54">
        <v>116274</v>
      </c>
      <c r="S1614" s="54">
        <v>54537</v>
      </c>
      <c r="T1614" s="54">
        <v>54537</v>
      </c>
      <c r="U1614" s="54">
        <v>116274</v>
      </c>
      <c r="V1614" s="54">
        <v>116274</v>
      </c>
      <c r="W1614" s="54">
        <v>0</v>
      </c>
    </row>
    <row r="1615" spans="1:23" outlineLevel="2" x14ac:dyDescent="0.2">
      <c r="A1615" s="21" t="s">
        <v>836</v>
      </c>
      <c r="B1615" s="21" t="s">
        <v>31</v>
      </c>
      <c r="C1615" s="21" t="s">
        <v>32</v>
      </c>
      <c r="D1615" s="21" t="s">
        <v>75</v>
      </c>
      <c r="E1615" s="21" t="s">
        <v>76</v>
      </c>
      <c r="F1615" s="21" t="s">
        <v>933</v>
      </c>
      <c r="G1615" s="21" t="s">
        <v>934</v>
      </c>
      <c r="H1615" s="21" t="s">
        <v>963</v>
      </c>
      <c r="I1615" s="21" t="s">
        <v>964</v>
      </c>
      <c r="J1615" s="21" t="s">
        <v>841</v>
      </c>
      <c r="K1615" s="21" t="s">
        <v>846</v>
      </c>
      <c r="L1615" s="21" t="s">
        <v>943</v>
      </c>
      <c r="M1615" s="21" t="s">
        <v>15</v>
      </c>
      <c r="N1615" s="54">
        <v>0</v>
      </c>
      <c r="O1615" s="54">
        <v>609720</v>
      </c>
      <c r="P1615" s="54">
        <v>0</v>
      </c>
      <c r="Q1615" s="54">
        <v>609720</v>
      </c>
      <c r="R1615" s="54">
        <v>81333.53</v>
      </c>
      <c r="S1615" s="54">
        <v>519598.47</v>
      </c>
      <c r="T1615" s="54">
        <v>519598.47</v>
      </c>
      <c r="U1615" s="54">
        <v>90121.53</v>
      </c>
      <c r="V1615" s="54">
        <v>90121.53</v>
      </c>
      <c r="W1615" s="54">
        <v>8788</v>
      </c>
    </row>
    <row r="1616" spans="1:23" outlineLevel="2" x14ac:dyDescent="0.2">
      <c r="A1616" s="21" t="s">
        <v>836</v>
      </c>
      <c r="B1616" s="21" t="s">
        <v>31</v>
      </c>
      <c r="C1616" s="21" t="s">
        <v>32</v>
      </c>
      <c r="D1616" s="21" t="s">
        <v>75</v>
      </c>
      <c r="E1616" s="21" t="s">
        <v>76</v>
      </c>
      <c r="F1616" s="21" t="s">
        <v>933</v>
      </c>
      <c r="G1616" s="21" t="s">
        <v>934</v>
      </c>
      <c r="H1616" s="21" t="s">
        <v>963</v>
      </c>
      <c r="I1616" s="21" t="s">
        <v>964</v>
      </c>
      <c r="J1616" s="21" t="s">
        <v>841</v>
      </c>
      <c r="K1616" s="21" t="s">
        <v>848</v>
      </c>
      <c r="L1616" s="21" t="s">
        <v>946</v>
      </c>
      <c r="M1616" s="21" t="s">
        <v>12</v>
      </c>
      <c r="N1616" s="54">
        <v>0</v>
      </c>
      <c r="O1616" s="54">
        <v>21607.59</v>
      </c>
      <c r="P1616" s="54">
        <v>0</v>
      </c>
      <c r="Q1616" s="54">
        <v>21607.59</v>
      </c>
      <c r="R1616" s="54">
        <v>14708.63</v>
      </c>
      <c r="S1616" s="54">
        <v>6898.96</v>
      </c>
      <c r="T1616" s="54">
        <v>6898.96</v>
      </c>
      <c r="U1616" s="54">
        <v>14708.63</v>
      </c>
      <c r="V1616" s="54">
        <v>14708.63</v>
      </c>
      <c r="W1616" s="54">
        <v>0</v>
      </c>
    </row>
    <row r="1617" spans="1:23" outlineLevel="2" x14ac:dyDescent="0.2">
      <c r="A1617" s="21" t="s">
        <v>836</v>
      </c>
      <c r="B1617" s="21" t="s">
        <v>31</v>
      </c>
      <c r="C1617" s="21" t="s">
        <v>32</v>
      </c>
      <c r="D1617" s="21" t="s">
        <v>75</v>
      </c>
      <c r="E1617" s="21" t="s">
        <v>76</v>
      </c>
      <c r="F1617" s="21" t="s">
        <v>933</v>
      </c>
      <c r="G1617" s="21" t="s">
        <v>934</v>
      </c>
      <c r="H1617" s="21" t="s">
        <v>963</v>
      </c>
      <c r="I1617" s="21" t="s">
        <v>964</v>
      </c>
      <c r="J1617" s="21" t="s">
        <v>841</v>
      </c>
      <c r="K1617" s="21" t="s">
        <v>848</v>
      </c>
      <c r="L1617" s="21" t="s">
        <v>946</v>
      </c>
      <c r="M1617" s="21" t="s">
        <v>15</v>
      </c>
      <c r="N1617" s="54">
        <v>0</v>
      </c>
      <c r="O1617" s="54">
        <v>77129.58</v>
      </c>
      <c r="P1617" s="54">
        <v>0</v>
      </c>
      <c r="Q1617" s="54">
        <v>77129.58</v>
      </c>
      <c r="R1617" s="54">
        <v>8024.58</v>
      </c>
      <c r="S1617" s="54">
        <v>67993.350000000006</v>
      </c>
      <c r="T1617" s="54">
        <v>67993.350000000006</v>
      </c>
      <c r="U1617" s="54">
        <v>9136.23</v>
      </c>
      <c r="V1617" s="54">
        <v>9136.23</v>
      </c>
      <c r="W1617" s="54">
        <v>1111.6500000000001</v>
      </c>
    </row>
    <row r="1618" spans="1:23" outlineLevel="2" x14ac:dyDescent="0.2">
      <c r="A1618" s="21" t="s">
        <v>836</v>
      </c>
      <c r="B1618" s="21" t="s">
        <v>31</v>
      </c>
      <c r="C1618" s="21" t="s">
        <v>32</v>
      </c>
      <c r="D1618" s="21" t="s">
        <v>75</v>
      </c>
      <c r="E1618" s="21" t="s">
        <v>76</v>
      </c>
      <c r="F1618" s="21" t="s">
        <v>933</v>
      </c>
      <c r="G1618" s="21" t="s">
        <v>934</v>
      </c>
      <c r="H1618" s="21" t="s">
        <v>963</v>
      </c>
      <c r="I1618" s="21" t="s">
        <v>964</v>
      </c>
      <c r="J1618" s="21" t="s">
        <v>841</v>
      </c>
      <c r="K1618" s="21" t="s">
        <v>850</v>
      </c>
      <c r="L1618" s="21" t="s">
        <v>948</v>
      </c>
      <c r="M1618" s="21" t="s">
        <v>12</v>
      </c>
      <c r="N1618" s="54">
        <v>0</v>
      </c>
      <c r="O1618" s="54">
        <v>14234.25</v>
      </c>
      <c r="P1618" s="54">
        <v>0</v>
      </c>
      <c r="Q1618" s="54">
        <v>14234.25</v>
      </c>
      <c r="R1618" s="54">
        <v>11724.5</v>
      </c>
      <c r="S1618" s="54">
        <v>2509.75</v>
      </c>
      <c r="T1618" s="54">
        <v>2509.75</v>
      </c>
      <c r="U1618" s="54">
        <v>11724.5</v>
      </c>
      <c r="V1618" s="54">
        <v>11724.5</v>
      </c>
      <c r="W1618" s="54">
        <v>0</v>
      </c>
    </row>
    <row r="1619" spans="1:23" outlineLevel="2" x14ac:dyDescent="0.2">
      <c r="A1619" s="21" t="s">
        <v>836</v>
      </c>
      <c r="B1619" s="21" t="s">
        <v>31</v>
      </c>
      <c r="C1619" s="21" t="s">
        <v>32</v>
      </c>
      <c r="D1619" s="21" t="s">
        <v>75</v>
      </c>
      <c r="E1619" s="21" t="s">
        <v>76</v>
      </c>
      <c r="F1619" s="21" t="s">
        <v>933</v>
      </c>
      <c r="G1619" s="21" t="s">
        <v>934</v>
      </c>
      <c r="H1619" s="21" t="s">
        <v>963</v>
      </c>
      <c r="I1619" s="21" t="s">
        <v>964</v>
      </c>
      <c r="J1619" s="21" t="s">
        <v>841</v>
      </c>
      <c r="K1619" s="21" t="s">
        <v>850</v>
      </c>
      <c r="L1619" s="21" t="s">
        <v>948</v>
      </c>
      <c r="M1619" s="21" t="s">
        <v>15</v>
      </c>
      <c r="N1619" s="54">
        <v>0</v>
      </c>
      <c r="O1619" s="54">
        <v>50810</v>
      </c>
      <c r="P1619" s="54">
        <v>0</v>
      </c>
      <c r="Q1619" s="54">
        <v>50810</v>
      </c>
      <c r="R1619" s="54">
        <v>43971.65</v>
      </c>
      <c r="S1619" s="54">
        <v>2948.14</v>
      </c>
      <c r="T1619" s="54">
        <v>2948.14</v>
      </c>
      <c r="U1619" s="54">
        <v>47861.86</v>
      </c>
      <c r="V1619" s="54">
        <v>47861.86</v>
      </c>
      <c r="W1619" s="54">
        <v>3890.21</v>
      </c>
    </row>
    <row r="1620" spans="1:23" outlineLevel="2" x14ac:dyDescent="0.2">
      <c r="A1620" s="21" t="s">
        <v>836</v>
      </c>
      <c r="B1620" s="21" t="s">
        <v>31</v>
      </c>
      <c r="C1620" s="21" t="s">
        <v>32</v>
      </c>
      <c r="D1620" s="21" t="s">
        <v>75</v>
      </c>
      <c r="E1620" s="21" t="s">
        <v>76</v>
      </c>
      <c r="F1620" s="21" t="s">
        <v>933</v>
      </c>
      <c r="G1620" s="21" t="s">
        <v>934</v>
      </c>
      <c r="H1620" s="21" t="s">
        <v>963</v>
      </c>
      <c r="I1620" s="21" t="s">
        <v>964</v>
      </c>
      <c r="J1620" s="21" t="s">
        <v>841</v>
      </c>
      <c r="K1620" s="21" t="s">
        <v>961</v>
      </c>
      <c r="L1620" s="21" t="s">
        <v>962</v>
      </c>
      <c r="M1620" s="21" t="s">
        <v>12</v>
      </c>
      <c r="N1620" s="54">
        <v>0</v>
      </c>
      <c r="O1620" s="54">
        <v>70699.44</v>
      </c>
      <c r="P1620" s="54">
        <v>0</v>
      </c>
      <c r="Q1620" s="54">
        <v>70699.44</v>
      </c>
      <c r="R1620" s="54">
        <v>0</v>
      </c>
      <c r="S1620" s="54">
        <v>4715.6000000000004</v>
      </c>
      <c r="T1620" s="54">
        <v>4715.6000000000004</v>
      </c>
      <c r="U1620" s="54">
        <v>65983.839999999997</v>
      </c>
      <c r="V1620" s="54">
        <v>65983.839999999997</v>
      </c>
      <c r="W1620" s="54">
        <v>65983.839999999997</v>
      </c>
    </row>
    <row r="1621" spans="1:23" outlineLevel="2" x14ac:dyDescent="0.2">
      <c r="A1621" s="21" t="s">
        <v>836</v>
      </c>
      <c r="B1621" s="21" t="s">
        <v>31</v>
      </c>
      <c r="C1621" s="21" t="s">
        <v>32</v>
      </c>
      <c r="D1621" s="21" t="s">
        <v>123</v>
      </c>
      <c r="E1621" s="21" t="s">
        <v>124</v>
      </c>
      <c r="F1621" s="21" t="s">
        <v>933</v>
      </c>
      <c r="G1621" s="21" t="s">
        <v>934</v>
      </c>
      <c r="H1621" s="21" t="s">
        <v>965</v>
      </c>
      <c r="I1621" s="21" t="s">
        <v>966</v>
      </c>
      <c r="J1621" s="21" t="s">
        <v>841</v>
      </c>
      <c r="K1621" s="21" t="s">
        <v>842</v>
      </c>
      <c r="L1621" s="21" t="s">
        <v>938</v>
      </c>
      <c r="M1621" s="21" t="s">
        <v>15</v>
      </c>
      <c r="N1621" s="54">
        <v>0</v>
      </c>
      <c r="O1621" s="54">
        <v>45867</v>
      </c>
      <c r="P1621" s="54">
        <v>0</v>
      </c>
      <c r="Q1621" s="54">
        <v>45867</v>
      </c>
      <c r="R1621" s="54">
        <v>41415.61</v>
      </c>
      <c r="S1621" s="54">
        <v>4451.3900000000003</v>
      </c>
      <c r="T1621" s="54">
        <v>4451.3900000000003</v>
      </c>
      <c r="U1621" s="54">
        <v>41415.61</v>
      </c>
      <c r="V1621" s="54">
        <v>41415.61</v>
      </c>
      <c r="W1621" s="54">
        <v>0</v>
      </c>
    </row>
    <row r="1622" spans="1:23" outlineLevel="2" x14ac:dyDescent="0.2">
      <c r="A1622" s="21" t="s">
        <v>836</v>
      </c>
      <c r="B1622" s="21" t="s">
        <v>31</v>
      </c>
      <c r="C1622" s="21" t="s">
        <v>32</v>
      </c>
      <c r="D1622" s="21" t="s">
        <v>123</v>
      </c>
      <c r="E1622" s="21" t="s">
        <v>124</v>
      </c>
      <c r="F1622" s="21" t="s">
        <v>933</v>
      </c>
      <c r="G1622" s="21" t="s">
        <v>934</v>
      </c>
      <c r="H1622" s="21" t="s">
        <v>965</v>
      </c>
      <c r="I1622" s="21" t="s">
        <v>966</v>
      </c>
      <c r="J1622" s="21" t="s">
        <v>841</v>
      </c>
      <c r="K1622" s="21" t="s">
        <v>844</v>
      </c>
      <c r="L1622" s="21" t="s">
        <v>940</v>
      </c>
      <c r="M1622" s="21" t="s">
        <v>15</v>
      </c>
      <c r="N1622" s="54">
        <v>0</v>
      </c>
      <c r="O1622" s="54">
        <v>14800</v>
      </c>
      <c r="P1622" s="54">
        <v>0</v>
      </c>
      <c r="Q1622" s="54">
        <v>14800</v>
      </c>
      <c r="R1622" s="54">
        <v>1366.97</v>
      </c>
      <c r="S1622" s="54">
        <v>13433.03</v>
      </c>
      <c r="T1622" s="54">
        <v>13433.03</v>
      </c>
      <c r="U1622" s="54">
        <v>1366.97</v>
      </c>
      <c r="V1622" s="54">
        <v>1366.97</v>
      </c>
      <c r="W1622" s="54">
        <v>0</v>
      </c>
    </row>
    <row r="1623" spans="1:23" outlineLevel="2" x14ac:dyDescent="0.2">
      <c r="A1623" s="21" t="s">
        <v>836</v>
      </c>
      <c r="B1623" s="21" t="s">
        <v>31</v>
      </c>
      <c r="C1623" s="21" t="s">
        <v>32</v>
      </c>
      <c r="D1623" s="21" t="s">
        <v>123</v>
      </c>
      <c r="E1623" s="21" t="s">
        <v>124</v>
      </c>
      <c r="F1623" s="21" t="s">
        <v>933</v>
      </c>
      <c r="G1623" s="21" t="s">
        <v>934</v>
      </c>
      <c r="H1623" s="21" t="s">
        <v>965</v>
      </c>
      <c r="I1623" s="21" t="s">
        <v>966</v>
      </c>
      <c r="J1623" s="21" t="s">
        <v>841</v>
      </c>
      <c r="K1623" s="21" t="s">
        <v>854</v>
      </c>
      <c r="L1623" s="21" t="s">
        <v>941</v>
      </c>
      <c r="M1623" s="21" t="s">
        <v>15</v>
      </c>
      <c r="N1623" s="54">
        <v>0</v>
      </c>
      <c r="O1623" s="54">
        <v>1920</v>
      </c>
      <c r="P1623" s="54">
        <v>0</v>
      </c>
      <c r="Q1623" s="54">
        <v>1920</v>
      </c>
      <c r="R1623" s="54">
        <v>0</v>
      </c>
      <c r="S1623" s="54">
        <v>1920</v>
      </c>
      <c r="T1623" s="54">
        <v>1920</v>
      </c>
      <c r="U1623" s="54">
        <v>0</v>
      </c>
      <c r="V1623" s="54">
        <v>0</v>
      </c>
      <c r="W1623" s="54">
        <v>0</v>
      </c>
    </row>
    <row r="1624" spans="1:23" outlineLevel="2" x14ac:dyDescent="0.2">
      <c r="A1624" s="21" t="s">
        <v>836</v>
      </c>
      <c r="B1624" s="21" t="s">
        <v>31</v>
      </c>
      <c r="C1624" s="21" t="s">
        <v>32</v>
      </c>
      <c r="D1624" s="21" t="s">
        <v>123</v>
      </c>
      <c r="E1624" s="21" t="s">
        <v>124</v>
      </c>
      <c r="F1624" s="21" t="s">
        <v>933</v>
      </c>
      <c r="G1624" s="21" t="s">
        <v>934</v>
      </c>
      <c r="H1624" s="21" t="s">
        <v>965</v>
      </c>
      <c r="I1624" s="21" t="s">
        <v>966</v>
      </c>
      <c r="J1624" s="21" t="s">
        <v>841</v>
      </c>
      <c r="K1624" s="21" t="s">
        <v>846</v>
      </c>
      <c r="L1624" s="21" t="s">
        <v>943</v>
      </c>
      <c r="M1624" s="21" t="s">
        <v>15</v>
      </c>
      <c r="N1624" s="54">
        <v>0</v>
      </c>
      <c r="O1624" s="54">
        <v>550404</v>
      </c>
      <c r="P1624" s="54">
        <v>0</v>
      </c>
      <c r="Q1624" s="54">
        <v>550404</v>
      </c>
      <c r="R1624" s="54">
        <v>99037</v>
      </c>
      <c r="S1624" s="54">
        <v>451367</v>
      </c>
      <c r="T1624" s="54">
        <v>451367</v>
      </c>
      <c r="U1624" s="54">
        <v>99037</v>
      </c>
      <c r="V1624" s="54">
        <v>99037</v>
      </c>
      <c r="W1624" s="54">
        <v>0</v>
      </c>
    </row>
    <row r="1625" spans="1:23" outlineLevel="2" x14ac:dyDescent="0.2">
      <c r="A1625" s="21" t="s">
        <v>836</v>
      </c>
      <c r="B1625" s="21" t="s">
        <v>31</v>
      </c>
      <c r="C1625" s="21" t="s">
        <v>32</v>
      </c>
      <c r="D1625" s="21" t="s">
        <v>123</v>
      </c>
      <c r="E1625" s="21" t="s">
        <v>124</v>
      </c>
      <c r="F1625" s="21" t="s">
        <v>933</v>
      </c>
      <c r="G1625" s="21" t="s">
        <v>934</v>
      </c>
      <c r="H1625" s="21" t="s">
        <v>965</v>
      </c>
      <c r="I1625" s="21" t="s">
        <v>966</v>
      </c>
      <c r="J1625" s="21" t="s">
        <v>841</v>
      </c>
      <c r="K1625" s="21" t="s">
        <v>848</v>
      </c>
      <c r="L1625" s="21" t="s">
        <v>946</v>
      </c>
      <c r="M1625" s="21" t="s">
        <v>15</v>
      </c>
      <c r="N1625" s="54">
        <v>0</v>
      </c>
      <c r="O1625" s="54">
        <v>69626.11</v>
      </c>
      <c r="P1625" s="54">
        <v>0</v>
      </c>
      <c r="Q1625" s="54">
        <v>69626.11</v>
      </c>
      <c r="R1625" s="54">
        <v>12285.36</v>
      </c>
      <c r="S1625" s="54">
        <v>57340.75</v>
      </c>
      <c r="T1625" s="54">
        <v>57340.75</v>
      </c>
      <c r="U1625" s="54">
        <v>12285.36</v>
      </c>
      <c r="V1625" s="54">
        <v>12285.36</v>
      </c>
      <c r="W1625" s="54">
        <v>0</v>
      </c>
    </row>
    <row r="1626" spans="1:23" outlineLevel="2" x14ac:dyDescent="0.2">
      <c r="A1626" s="21" t="s">
        <v>836</v>
      </c>
      <c r="B1626" s="21" t="s">
        <v>31</v>
      </c>
      <c r="C1626" s="21" t="s">
        <v>32</v>
      </c>
      <c r="D1626" s="21" t="s">
        <v>123</v>
      </c>
      <c r="E1626" s="21" t="s">
        <v>124</v>
      </c>
      <c r="F1626" s="21" t="s">
        <v>933</v>
      </c>
      <c r="G1626" s="21" t="s">
        <v>934</v>
      </c>
      <c r="H1626" s="21" t="s">
        <v>965</v>
      </c>
      <c r="I1626" s="21" t="s">
        <v>966</v>
      </c>
      <c r="J1626" s="21" t="s">
        <v>841</v>
      </c>
      <c r="K1626" s="21" t="s">
        <v>850</v>
      </c>
      <c r="L1626" s="21" t="s">
        <v>948</v>
      </c>
      <c r="M1626" s="21" t="s">
        <v>15</v>
      </c>
      <c r="N1626" s="54">
        <v>0</v>
      </c>
      <c r="O1626" s="54">
        <v>45867</v>
      </c>
      <c r="P1626" s="54">
        <v>0</v>
      </c>
      <c r="Q1626" s="54">
        <v>45867</v>
      </c>
      <c r="R1626" s="54">
        <v>4936.13</v>
      </c>
      <c r="S1626" s="54">
        <v>40930.870000000003</v>
      </c>
      <c r="T1626" s="54">
        <v>40930.870000000003</v>
      </c>
      <c r="U1626" s="54">
        <v>4936.13</v>
      </c>
      <c r="V1626" s="54">
        <v>4936.13</v>
      </c>
      <c r="W1626" s="54">
        <v>0</v>
      </c>
    </row>
    <row r="1627" spans="1:23" outlineLevel="2" x14ac:dyDescent="0.2">
      <c r="A1627" s="21" t="s">
        <v>836</v>
      </c>
      <c r="B1627" s="21" t="s">
        <v>39</v>
      </c>
      <c r="C1627" s="21" t="s">
        <v>66</v>
      </c>
      <c r="D1627" s="21" t="s">
        <v>67</v>
      </c>
      <c r="E1627" s="21" t="s">
        <v>68</v>
      </c>
      <c r="F1627" s="21" t="s">
        <v>967</v>
      </c>
      <c r="G1627" s="21" t="s">
        <v>968</v>
      </c>
      <c r="H1627" s="21" t="s">
        <v>969</v>
      </c>
      <c r="I1627" s="21" t="s">
        <v>970</v>
      </c>
      <c r="J1627" s="21" t="s">
        <v>841</v>
      </c>
      <c r="K1627" s="21" t="s">
        <v>842</v>
      </c>
      <c r="L1627" s="21" t="s">
        <v>971</v>
      </c>
      <c r="M1627" s="21" t="s">
        <v>15</v>
      </c>
      <c r="N1627" s="54">
        <v>1543</v>
      </c>
      <c r="O1627" s="54">
        <v>4419</v>
      </c>
      <c r="P1627" s="54">
        <v>0</v>
      </c>
      <c r="Q1627" s="54">
        <v>5962</v>
      </c>
      <c r="R1627" s="54">
        <v>3589.35</v>
      </c>
      <c r="S1627" s="54">
        <v>2372.65</v>
      </c>
      <c r="T1627" s="54">
        <v>2372.65</v>
      </c>
      <c r="U1627" s="54">
        <v>3589.35</v>
      </c>
      <c r="V1627" s="54">
        <v>3589.35</v>
      </c>
      <c r="W1627" s="54">
        <v>0</v>
      </c>
    </row>
    <row r="1628" spans="1:23" outlineLevel="2" x14ac:dyDescent="0.2">
      <c r="A1628" s="21" t="s">
        <v>836</v>
      </c>
      <c r="B1628" s="21" t="s">
        <v>39</v>
      </c>
      <c r="C1628" s="21" t="s">
        <v>66</v>
      </c>
      <c r="D1628" s="21" t="s">
        <v>67</v>
      </c>
      <c r="E1628" s="21" t="s">
        <v>68</v>
      </c>
      <c r="F1628" s="21" t="s">
        <v>967</v>
      </c>
      <c r="G1628" s="21" t="s">
        <v>968</v>
      </c>
      <c r="H1628" s="21" t="s">
        <v>969</v>
      </c>
      <c r="I1628" s="21" t="s">
        <v>970</v>
      </c>
      <c r="J1628" s="21" t="s">
        <v>841</v>
      </c>
      <c r="K1628" s="21" t="s">
        <v>844</v>
      </c>
      <c r="L1628" s="21" t="s">
        <v>972</v>
      </c>
      <c r="M1628" s="21" t="s">
        <v>15</v>
      </c>
      <c r="N1628" s="54">
        <v>405.82</v>
      </c>
      <c r="O1628" s="54">
        <v>1400</v>
      </c>
      <c r="P1628" s="54">
        <v>0</v>
      </c>
      <c r="Q1628" s="54">
        <v>1805.82</v>
      </c>
      <c r="R1628" s="54">
        <v>505.7</v>
      </c>
      <c r="S1628" s="54">
        <v>1296.8399999999999</v>
      </c>
      <c r="T1628" s="54">
        <v>1296.8399999999999</v>
      </c>
      <c r="U1628" s="54">
        <v>508.98</v>
      </c>
      <c r="V1628" s="54">
        <v>508.98</v>
      </c>
      <c r="W1628" s="54">
        <v>3.28</v>
      </c>
    </row>
    <row r="1629" spans="1:23" outlineLevel="2" x14ac:dyDescent="0.2">
      <c r="A1629" s="21" t="s">
        <v>836</v>
      </c>
      <c r="B1629" s="21" t="s">
        <v>39</v>
      </c>
      <c r="C1629" s="21" t="s">
        <v>66</v>
      </c>
      <c r="D1629" s="21" t="s">
        <v>67</v>
      </c>
      <c r="E1629" s="21" t="s">
        <v>68</v>
      </c>
      <c r="F1629" s="21" t="s">
        <v>967</v>
      </c>
      <c r="G1629" s="21" t="s">
        <v>968</v>
      </c>
      <c r="H1629" s="21" t="s">
        <v>969</v>
      </c>
      <c r="I1629" s="21" t="s">
        <v>970</v>
      </c>
      <c r="J1629" s="21" t="s">
        <v>841</v>
      </c>
      <c r="K1629" s="21" t="s">
        <v>854</v>
      </c>
      <c r="L1629" s="21" t="s">
        <v>973</v>
      </c>
      <c r="M1629" s="21" t="s">
        <v>15</v>
      </c>
      <c r="N1629" s="54">
        <v>0</v>
      </c>
      <c r="O1629" s="54">
        <v>2630.63</v>
      </c>
      <c r="P1629" s="54">
        <v>0</v>
      </c>
      <c r="Q1629" s="54">
        <v>2630.63</v>
      </c>
      <c r="R1629" s="54">
        <v>0</v>
      </c>
      <c r="S1629" s="54">
        <v>2588.4</v>
      </c>
      <c r="T1629" s="54">
        <v>2588.4</v>
      </c>
      <c r="U1629" s="54">
        <v>42.23</v>
      </c>
      <c r="V1629" s="54">
        <v>42.23</v>
      </c>
      <c r="W1629" s="54">
        <v>42.23</v>
      </c>
    </row>
    <row r="1630" spans="1:23" outlineLevel="2" x14ac:dyDescent="0.2">
      <c r="A1630" s="21" t="s">
        <v>836</v>
      </c>
      <c r="B1630" s="21" t="s">
        <v>39</v>
      </c>
      <c r="C1630" s="21" t="s">
        <v>66</v>
      </c>
      <c r="D1630" s="21" t="s">
        <v>67</v>
      </c>
      <c r="E1630" s="21" t="s">
        <v>68</v>
      </c>
      <c r="F1630" s="21" t="s">
        <v>967</v>
      </c>
      <c r="G1630" s="21" t="s">
        <v>968</v>
      </c>
      <c r="H1630" s="21" t="s">
        <v>969</v>
      </c>
      <c r="I1630" s="21" t="s">
        <v>970</v>
      </c>
      <c r="J1630" s="21" t="s">
        <v>841</v>
      </c>
      <c r="K1630" s="21" t="s">
        <v>846</v>
      </c>
      <c r="L1630" s="21" t="s">
        <v>974</v>
      </c>
      <c r="M1630" s="21" t="s">
        <v>15</v>
      </c>
      <c r="N1630" s="54">
        <v>18516</v>
      </c>
      <c r="O1630" s="54">
        <v>53028</v>
      </c>
      <c r="P1630" s="54">
        <v>0</v>
      </c>
      <c r="Q1630" s="54">
        <v>71544</v>
      </c>
      <c r="R1630" s="54">
        <v>14800</v>
      </c>
      <c r="S1630" s="54">
        <v>56744</v>
      </c>
      <c r="T1630" s="54">
        <v>56744</v>
      </c>
      <c r="U1630" s="54">
        <v>14800</v>
      </c>
      <c r="V1630" s="54">
        <v>14800</v>
      </c>
      <c r="W1630" s="54">
        <v>0</v>
      </c>
    </row>
    <row r="1631" spans="1:23" outlineLevel="2" x14ac:dyDescent="0.2">
      <c r="A1631" s="21" t="s">
        <v>836</v>
      </c>
      <c r="B1631" s="21" t="s">
        <v>39</v>
      </c>
      <c r="C1631" s="21" t="s">
        <v>66</v>
      </c>
      <c r="D1631" s="21" t="s">
        <v>67</v>
      </c>
      <c r="E1631" s="21" t="s">
        <v>68</v>
      </c>
      <c r="F1631" s="21" t="s">
        <v>967</v>
      </c>
      <c r="G1631" s="21" t="s">
        <v>968</v>
      </c>
      <c r="H1631" s="21" t="s">
        <v>969</v>
      </c>
      <c r="I1631" s="21" t="s">
        <v>970</v>
      </c>
      <c r="J1631" s="21" t="s">
        <v>841</v>
      </c>
      <c r="K1631" s="21" t="s">
        <v>848</v>
      </c>
      <c r="L1631" s="21" t="s">
        <v>975</v>
      </c>
      <c r="M1631" s="21" t="s">
        <v>15</v>
      </c>
      <c r="N1631" s="54">
        <v>2342.27</v>
      </c>
      <c r="O1631" s="54">
        <v>6708.04</v>
      </c>
      <c r="P1631" s="54">
        <v>0</v>
      </c>
      <c r="Q1631" s="54">
        <v>9050.31</v>
      </c>
      <c r="R1631" s="54">
        <v>1544.79</v>
      </c>
      <c r="S1631" s="54">
        <v>7505.52</v>
      </c>
      <c r="T1631" s="54">
        <v>7505.52</v>
      </c>
      <c r="U1631" s="54">
        <v>1544.79</v>
      </c>
      <c r="V1631" s="54">
        <v>1544.79</v>
      </c>
      <c r="W1631" s="54">
        <v>0</v>
      </c>
    </row>
    <row r="1632" spans="1:23" outlineLevel="2" x14ac:dyDescent="0.2">
      <c r="A1632" s="21" t="s">
        <v>836</v>
      </c>
      <c r="B1632" s="21" t="s">
        <v>39</v>
      </c>
      <c r="C1632" s="21" t="s">
        <v>66</v>
      </c>
      <c r="D1632" s="21" t="s">
        <v>67</v>
      </c>
      <c r="E1632" s="21" t="s">
        <v>68</v>
      </c>
      <c r="F1632" s="21" t="s">
        <v>967</v>
      </c>
      <c r="G1632" s="21" t="s">
        <v>968</v>
      </c>
      <c r="H1632" s="21" t="s">
        <v>969</v>
      </c>
      <c r="I1632" s="21" t="s">
        <v>970</v>
      </c>
      <c r="J1632" s="21" t="s">
        <v>841</v>
      </c>
      <c r="K1632" s="21" t="s">
        <v>850</v>
      </c>
      <c r="L1632" s="21" t="s">
        <v>976</v>
      </c>
      <c r="M1632" s="21" t="s">
        <v>15</v>
      </c>
      <c r="N1632" s="54">
        <v>1543</v>
      </c>
      <c r="O1632" s="54">
        <v>4419</v>
      </c>
      <c r="P1632" s="54">
        <v>0</v>
      </c>
      <c r="Q1632" s="54">
        <v>5962</v>
      </c>
      <c r="R1632" s="54">
        <v>3642.36</v>
      </c>
      <c r="S1632" s="54">
        <v>2319.64</v>
      </c>
      <c r="T1632" s="54">
        <v>2319.64</v>
      </c>
      <c r="U1632" s="54">
        <v>3642.36</v>
      </c>
      <c r="V1632" s="54">
        <v>3642.36</v>
      </c>
      <c r="W1632" s="54">
        <v>0</v>
      </c>
    </row>
    <row r="1633" spans="1:23" outlineLevel="2" x14ac:dyDescent="0.2">
      <c r="A1633" s="21" t="s">
        <v>836</v>
      </c>
      <c r="B1633" s="21" t="s">
        <v>39</v>
      </c>
      <c r="C1633" s="21" t="s">
        <v>66</v>
      </c>
      <c r="D1633" s="21" t="s">
        <v>67</v>
      </c>
      <c r="E1633" s="21" t="s">
        <v>68</v>
      </c>
      <c r="F1633" s="21" t="s">
        <v>967</v>
      </c>
      <c r="G1633" s="21" t="s">
        <v>968</v>
      </c>
      <c r="H1633" s="21" t="s">
        <v>969</v>
      </c>
      <c r="I1633" s="21" t="s">
        <v>970</v>
      </c>
      <c r="J1633" s="21" t="s">
        <v>841</v>
      </c>
      <c r="K1633" s="21" t="s">
        <v>961</v>
      </c>
      <c r="L1633" s="21" t="s">
        <v>977</v>
      </c>
      <c r="M1633" s="21" t="s">
        <v>15</v>
      </c>
      <c r="N1633" s="54">
        <v>0</v>
      </c>
      <c r="O1633" s="54">
        <v>7307.48</v>
      </c>
      <c r="P1633" s="54">
        <v>0</v>
      </c>
      <c r="Q1633" s="54">
        <v>7307.48</v>
      </c>
      <c r="R1633" s="54">
        <v>0</v>
      </c>
      <c r="S1633" s="54">
        <v>2354.52</v>
      </c>
      <c r="T1633" s="54">
        <v>2354.52</v>
      </c>
      <c r="U1633" s="54">
        <v>4952.96</v>
      </c>
      <c r="V1633" s="54">
        <v>4952.96</v>
      </c>
      <c r="W1633" s="54">
        <v>4952.96</v>
      </c>
    </row>
    <row r="1634" spans="1:23" outlineLevel="2" x14ac:dyDescent="0.2">
      <c r="A1634" s="21" t="s">
        <v>836</v>
      </c>
      <c r="B1634" s="21" t="s">
        <v>39</v>
      </c>
      <c r="C1634" s="21" t="s">
        <v>66</v>
      </c>
      <c r="D1634" s="21" t="s">
        <v>67</v>
      </c>
      <c r="E1634" s="21" t="s">
        <v>68</v>
      </c>
      <c r="F1634" s="21" t="s">
        <v>967</v>
      </c>
      <c r="G1634" s="21" t="s">
        <v>968</v>
      </c>
      <c r="H1634" s="21" t="s">
        <v>978</v>
      </c>
      <c r="I1634" s="21" t="s">
        <v>979</v>
      </c>
      <c r="J1634" s="21" t="s">
        <v>841</v>
      </c>
      <c r="K1634" s="21" t="s">
        <v>842</v>
      </c>
      <c r="L1634" s="21" t="s">
        <v>971</v>
      </c>
      <c r="M1634" s="21" t="s">
        <v>15</v>
      </c>
      <c r="N1634" s="54">
        <v>0</v>
      </c>
      <c r="O1634" s="54">
        <v>817</v>
      </c>
      <c r="P1634" s="54">
        <v>0</v>
      </c>
      <c r="Q1634" s="54">
        <v>817</v>
      </c>
      <c r="R1634" s="54">
        <v>136.19999999999999</v>
      </c>
      <c r="S1634" s="54">
        <v>680.8</v>
      </c>
      <c r="T1634" s="54">
        <v>680.8</v>
      </c>
      <c r="U1634" s="54">
        <v>136.19999999999999</v>
      </c>
      <c r="V1634" s="54">
        <v>136.19999999999999</v>
      </c>
      <c r="W1634" s="54">
        <v>0</v>
      </c>
    </row>
    <row r="1635" spans="1:23" outlineLevel="2" x14ac:dyDescent="0.2">
      <c r="A1635" s="21" t="s">
        <v>836</v>
      </c>
      <c r="B1635" s="21" t="s">
        <v>39</v>
      </c>
      <c r="C1635" s="21" t="s">
        <v>66</v>
      </c>
      <c r="D1635" s="21" t="s">
        <v>67</v>
      </c>
      <c r="E1635" s="21" t="s">
        <v>68</v>
      </c>
      <c r="F1635" s="21" t="s">
        <v>967</v>
      </c>
      <c r="G1635" s="21" t="s">
        <v>968</v>
      </c>
      <c r="H1635" s="21" t="s">
        <v>978</v>
      </c>
      <c r="I1635" s="21" t="s">
        <v>979</v>
      </c>
      <c r="J1635" s="21" t="s">
        <v>841</v>
      </c>
      <c r="K1635" s="21" t="s">
        <v>844</v>
      </c>
      <c r="L1635" s="21" t="s">
        <v>972</v>
      </c>
      <c r="M1635" s="21" t="s">
        <v>15</v>
      </c>
      <c r="N1635" s="54">
        <v>0</v>
      </c>
      <c r="O1635" s="54">
        <v>420</v>
      </c>
      <c r="P1635" s="54">
        <v>0</v>
      </c>
      <c r="Q1635" s="54">
        <v>420</v>
      </c>
      <c r="R1635" s="54">
        <v>84.16</v>
      </c>
      <c r="S1635" s="54">
        <v>335.84</v>
      </c>
      <c r="T1635" s="54">
        <v>335.84</v>
      </c>
      <c r="U1635" s="54">
        <v>84.16</v>
      </c>
      <c r="V1635" s="54">
        <v>84.16</v>
      </c>
      <c r="W1635" s="54">
        <v>0</v>
      </c>
    </row>
    <row r="1636" spans="1:23" outlineLevel="2" x14ac:dyDescent="0.2">
      <c r="A1636" s="21" t="s">
        <v>836</v>
      </c>
      <c r="B1636" s="21" t="s">
        <v>39</v>
      </c>
      <c r="C1636" s="21" t="s">
        <v>66</v>
      </c>
      <c r="D1636" s="21" t="s">
        <v>67</v>
      </c>
      <c r="E1636" s="21" t="s">
        <v>68</v>
      </c>
      <c r="F1636" s="21" t="s">
        <v>967</v>
      </c>
      <c r="G1636" s="21" t="s">
        <v>968</v>
      </c>
      <c r="H1636" s="21" t="s">
        <v>978</v>
      </c>
      <c r="I1636" s="21" t="s">
        <v>979</v>
      </c>
      <c r="J1636" s="21" t="s">
        <v>841</v>
      </c>
      <c r="K1636" s="21" t="s">
        <v>846</v>
      </c>
      <c r="L1636" s="21" t="s">
        <v>974</v>
      </c>
      <c r="M1636" s="21" t="s">
        <v>15</v>
      </c>
      <c r="N1636" s="54">
        <v>0</v>
      </c>
      <c r="O1636" s="54">
        <v>9804</v>
      </c>
      <c r="P1636" s="54">
        <v>0</v>
      </c>
      <c r="Q1636" s="54">
        <v>9804</v>
      </c>
      <c r="R1636" s="54">
        <v>1634</v>
      </c>
      <c r="S1636" s="54">
        <v>8170</v>
      </c>
      <c r="T1636" s="54">
        <v>8170</v>
      </c>
      <c r="U1636" s="54">
        <v>1634</v>
      </c>
      <c r="V1636" s="54">
        <v>1634</v>
      </c>
      <c r="W1636" s="54">
        <v>0</v>
      </c>
    </row>
    <row r="1637" spans="1:23" outlineLevel="2" x14ac:dyDescent="0.2">
      <c r="A1637" s="21" t="s">
        <v>836</v>
      </c>
      <c r="B1637" s="21" t="s">
        <v>39</v>
      </c>
      <c r="C1637" s="21" t="s">
        <v>66</v>
      </c>
      <c r="D1637" s="21" t="s">
        <v>67</v>
      </c>
      <c r="E1637" s="21" t="s">
        <v>68</v>
      </c>
      <c r="F1637" s="21" t="s">
        <v>967</v>
      </c>
      <c r="G1637" s="21" t="s">
        <v>968</v>
      </c>
      <c r="H1637" s="21" t="s">
        <v>978</v>
      </c>
      <c r="I1637" s="21" t="s">
        <v>979</v>
      </c>
      <c r="J1637" s="21" t="s">
        <v>841</v>
      </c>
      <c r="K1637" s="21" t="s">
        <v>848</v>
      </c>
      <c r="L1637" s="21" t="s">
        <v>975</v>
      </c>
      <c r="M1637" s="21" t="s">
        <v>15</v>
      </c>
      <c r="N1637" s="54">
        <v>0</v>
      </c>
      <c r="O1637" s="54">
        <v>1240.21</v>
      </c>
      <c r="P1637" s="54">
        <v>0</v>
      </c>
      <c r="Q1637" s="54">
        <v>1240.21</v>
      </c>
      <c r="R1637" s="54">
        <v>206.71</v>
      </c>
      <c r="S1637" s="54">
        <v>1033.5</v>
      </c>
      <c r="T1637" s="54">
        <v>1033.5</v>
      </c>
      <c r="U1637" s="54">
        <v>206.71</v>
      </c>
      <c r="V1637" s="54">
        <v>206.71</v>
      </c>
      <c r="W1637" s="54">
        <v>0</v>
      </c>
    </row>
    <row r="1638" spans="1:23" outlineLevel="2" x14ac:dyDescent="0.2">
      <c r="A1638" s="21" t="s">
        <v>836</v>
      </c>
      <c r="B1638" s="21" t="s">
        <v>39</v>
      </c>
      <c r="C1638" s="21" t="s">
        <v>66</v>
      </c>
      <c r="D1638" s="21" t="s">
        <v>67</v>
      </c>
      <c r="E1638" s="21" t="s">
        <v>68</v>
      </c>
      <c r="F1638" s="21" t="s">
        <v>967</v>
      </c>
      <c r="G1638" s="21" t="s">
        <v>968</v>
      </c>
      <c r="H1638" s="21" t="s">
        <v>978</v>
      </c>
      <c r="I1638" s="21" t="s">
        <v>979</v>
      </c>
      <c r="J1638" s="21" t="s">
        <v>841</v>
      </c>
      <c r="K1638" s="21" t="s">
        <v>850</v>
      </c>
      <c r="L1638" s="21" t="s">
        <v>976</v>
      </c>
      <c r="M1638" s="21" t="s">
        <v>15</v>
      </c>
      <c r="N1638" s="54">
        <v>0</v>
      </c>
      <c r="O1638" s="54">
        <v>817</v>
      </c>
      <c r="P1638" s="54">
        <v>0</v>
      </c>
      <c r="Q1638" s="54">
        <v>817</v>
      </c>
      <c r="R1638" s="54">
        <v>513</v>
      </c>
      <c r="S1638" s="54">
        <v>304</v>
      </c>
      <c r="T1638" s="54">
        <v>304</v>
      </c>
      <c r="U1638" s="54">
        <v>513</v>
      </c>
      <c r="V1638" s="54">
        <v>513</v>
      </c>
      <c r="W1638" s="54">
        <v>0</v>
      </c>
    </row>
    <row r="1639" spans="1:23" outlineLevel="2" x14ac:dyDescent="0.2">
      <c r="A1639" s="21" t="s">
        <v>836</v>
      </c>
      <c r="B1639" s="21" t="s">
        <v>39</v>
      </c>
      <c r="C1639" s="21" t="s">
        <v>66</v>
      </c>
      <c r="D1639" s="21" t="s">
        <v>121</v>
      </c>
      <c r="E1639" s="21" t="s">
        <v>122</v>
      </c>
      <c r="F1639" s="21" t="s">
        <v>980</v>
      </c>
      <c r="G1639" s="21" t="s">
        <v>981</v>
      </c>
      <c r="H1639" s="21" t="s">
        <v>982</v>
      </c>
      <c r="I1639" s="21" t="s">
        <v>983</v>
      </c>
      <c r="J1639" s="21" t="s">
        <v>841</v>
      </c>
      <c r="K1639" s="21" t="s">
        <v>842</v>
      </c>
      <c r="L1639" s="21" t="s">
        <v>984</v>
      </c>
      <c r="M1639" s="21" t="s">
        <v>12</v>
      </c>
      <c r="N1639" s="54">
        <v>0</v>
      </c>
      <c r="O1639" s="54">
        <v>41065.75</v>
      </c>
      <c r="P1639" s="54">
        <v>0</v>
      </c>
      <c r="Q1639" s="54">
        <v>41065.75</v>
      </c>
      <c r="R1639" s="54">
        <v>28901.82</v>
      </c>
      <c r="S1639" s="54">
        <v>12163.93</v>
      </c>
      <c r="T1639" s="54">
        <v>12018.93</v>
      </c>
      <c r="U1639" s="54">
        <v>28901.82</v>
      </c>
      <c r="V1639" s="54">
        <v>29046.82</v>
      </c>
      <c r="W1639" s="54">
        <v>0</v>
      </c>
    </row>
    <row r="1640" spans="1:23" outlineLevel="2" x14ac:dyDescent="0.2">
      <c r="A1640" s="21" t="s">
        <v>836</v>
      </c>
      <c r="B1640" s="21" t="s">
        <v>39</v>
      </c>
      <c r="C1640" s="21" t="s">
        <v>66</v>
      </c>
      <c r="D1640" s="21" t="s">
        <v>121</v>
      </c>
      <c r="E1640" s="21" t="s">
        <v>122</v>
      </c>
      <c r="F1640" s="21" t="s">
        <v>980</v>
      </c>
      <c r="G1640" s="21" t="s">
        <v>981</v>
      </c>
      <c r="H1640" s="21" t="s">
        <v>982</v>
      </c>
      <c r="I1640" s="21" t="s">
        <v>983</v>
      </c>
      <c r="J1640" s="21" t="s">
        <v>841</v>
      </c>
      <c r="K1640" s="21" t="s">
        <v>844</v>
      </c>
      <c r="L1640" s="21" t="s">
        <v>985</v>
      </c>
      <c r="M1640" s="21" t="s">
        <v>12</v>
      </c>
      <c r="N1640" s="54">
        <v>0</v>
      </c>
      <c r="O1640" s="54">
        <v>10633.33</v>
      </c>
      <c r="P1640" s="54">
        <v>0</v>
      </c>
      <c r="Q1640" s="54">
        <v>10633.33</v>
      </c>
      <c r="R1640" s="54">
        <v>3566.87</v>
      </c>
      <c r="S1640" s="54">
        <v>7066.46</v>
      </c>
      <c r="T1640" s="54">
        <v>6863.13</v>
      </c>
      <c r="U1640" s="54">
        <v>3566.87</v>
      </c>
      <c r="V1640" s="54">
        <v>3770.2</v>
      </c>
      <c r="W1640" s="54">
        <v>0</v>
      </c>
    </row>
    <row r="1641" spans="1:23" outlineLevel="2" x14ac:dyDescent="0.2">
      <c r="A1641" s="21" t="s">
        <v>836</v>
      </c>
      <c r="B1641" s="21" t="s">
        <v>39</v>
      </c>
      <c r="C1641" s="21" t="s">
        <v>66</v>
      </c>
      <c r="D1641" s="21" t="s">
        <v>121</v>
      </c>
      <c r="E1641" s="21" t="s">
        <v>122</v>
      </c>
      <c r="F1641" s="21" t="s">
        <v>980</v>
      </c>
      <c r="G1641" s="21" t="s">
        <v>981</v>
      </c>
      <c r="H1641" s="21" t="s">
        <v>982</v>
      </c>
      <c r="I1641" s="21" t="s">
        <v>983</v>
      </c>
      <c r="J1641" s="21" t="s">
        <v>841</v>
      </c>
      <c r="K1641" s="21" t="s">
        <v>854</v>
      </c>
      <c r="L1641" s="21" t="s">
        <v>986</v>
      </c>
      <c r="M1641" s="21" t="s">
        <v>12</v>
      </c>
      <c r="N1641" s="54">
        <v>0</v>
      </c>
      <c r="O1641" s="54">
        <v>16325.63</v>
      </c>
      <c r="P1641" s="54">
        <v>0</v>
      </c>
      <c r="Q1641" s="54">
        <v>16325.63</v>
      </c>
      <c r="R1641" s="54">
        <v>0</v>
      </c>
      <c r="S1641" s="54">
        <v>2338.67</v>
      </c>
      <c r="T1641" s="54">
        <v>2338.67</v>
      </c>
      <c r="U1641" s="54">
        <v>13986.96</v>
      </c>
      <c r="V1641" s="54">
        <v>13986.96</v>
      </c>
      <c r="W1641" s="54">
        <v>13986.96</v>
      </c>
    </row>
    <row r="1642" spans="1:23" outlineLevel="2" x14ac:dyDescent="0.2">
      <c r="A1642" s="21" t="s">
        <v>836</v>
      </c>
      <c r="B1642" s="21" t="s">
        <v>39</v>
      </c>
      <c r="C1642" s="21" t="s">
        <v>66</v>
      </c>
      <c r="D1642" s="21" t="s">
        <v>121</v>
      </c>
      <c r="E1642" s="21" t="s">
        <v>122</v>
      </c>
      <c r="F1642" s="21" t="s">
        <v>980</v>
      </c>
      <c r="G1642" s="21" t="s">
        <v>981</v>
      </c>
      <c r="H1642" s="21" t="s">
        <v>982</v>
      </c>
      <c r="I1642" s="21" t="s">
        <v>983</v>
      </c>
      <c r="J1642" s="21" t="s">
        <v>841</v>
      </c>
      <c r="K1642" s="21" t="s">
        <v>846</v>
      </c>
      <c r="L1642" s="21" t="s">
        <v>987</v>
      </c>
      <c r="M1642" s="21" t="s">
        <v>12</v>
      </c>
      <c r="N1642" s="54">
        <v>0</v>
      </c>
      <c r="O1642" s="54">
        <v>510189</v>
      </c>
      <c r="P1642" s="54">
        <v>0</v>
      </c>
      <c r="Q1642" s="54">
        <v>510189</v>
      </c>
      <c r="R1642" s="54">
        <v>108235.1</v>
      </c>
      <c r="S1642" s="54">
        <v>401953.9</v>
      </c>
      <c r="T1642" s="54">
        <v>401953.9</v>
      </c>
      <c r="U1642" s="54">
        <v>108235.1</v>
      </c>
      <c r="V1642" s="54">
        <v>108235.1</v>
      </c>
      <c r="W1642" s="54">
        <v>0</v>
      </c>
    </row>
    <row r="1643" spans="1:23" outlineLevel="2" x14ac:dyDescent="0.2">
      <c r="A1643" s="21" t="s">
        <v>836</v>
      </c>
      <c r="B1643" s="21" t="s">
        <v>39</v>
      </c>
      <c r="C1643" s="21" t="s">
        <v>66</v>
      </c>
      <c r="D1643" s="21" t="s">
        <v>121</v>
      </c>
      <c r="E1643" s="21" t="s">
        <v>122</v>
      </c>
      <c r="F1643" s="21" t="s">
        <v>980</v>
      </c>
      <c r="G1643" s="21" t="s">
        <v>981</v>
      </c>
      <c r="H1643" s="21" t="s">
        <v>982</v>
      </c>
      <c r="I1643" s="21" t="s">
        <v>983</v>
      </c>
      <c r="J1643" s="21" t="s">
        <v>841</v>
      </c>
      <c r="K1643" s="21" t="s">
        <v>866</v>
      </c>
      <c r="L1643" s="21" t="s">
        <v>988</v>
      </c>
      <c r="M1643" s="21" t="s">
        <v>15</v>
      </c>
      <c r="N1643" s="54">
        <v>0</v>
      </c>
      <c r="O1643" s="54">
        <v>310.33</v>
      </c>
      <c r="P1643" s="54">
        <v>0</v>
      </c>
      <c r="Q1643" s="54">
        <v>310.33</v>
      </c>
      <c r="R1643" s="54">
        <v>0</v>
      </c>
      <c r="S1643" s="54">
        <v>310</v>
      </c>
      <c r="T1643" s="54">
        <v>310</v>
      </c>
      <c r="U1643" s="54">
        <v>0.33</v>
      </c>
      <c r="V1643" s="54">
        <v>0.33</v>
      </c>
      <c r="W1643" s="54">
        <v>0.33</v>
      </c>
    </row>
    <row r="1644" spans="1:23" outlineLevel="2" x14ac:dyDescent="0.2">
      <c r="A1644" s="21" t="s">
        <v>836</v>
      </c>
      <c r="B1644" s="21" t="s">
        <v>39</v>
      </c>
      <c r="C1644" s="21" t="s">
        <v>66</v>
      </c>
      <c r="D1644" s="21" t="s">
        <v>121</v>
      </c>
      <c r="E1644" s="21" t="s">
        <v>122</v>
      </c>
      <c r="F1644" s="21" t="s">
        <v>980</v>
      </c>
      <c r="G1644" s="21" t="s">
        <v>981</v>
      </c>
      <c r="H1644" s="21" t="s">
        <v>982</v>
      </c>
      <c r="I1644" s="21" t="s">
        <v>983</v>
      </c>
      <c r="J1644" s="21" t="s">
        <v>841</v>
      </c>
      <c r="K1644" s="21" t="s">
        <v>866</v>
      </c>
      <c r="L1644" s="21" t="s">
        <v>988</v>
      </c>
      <c r="M1644" s="21" t="s">
        <v>12</v>
      </c>
      <c r="N1644" s="54">
        <v>0</v>
      </c>
      <c r="O1644" s="54">
        <v>879</v>
      </c>
      <c r="P1644" s="54">
        <v>0</v>
      </c>
      <c r="Q1644" s="54">
        <v>879</v>
      </c>
      <c r="R1644" s="54">
        <v>0</v>
      </c>
      <c r="S1644" s="54">
        <v>878.33</v>
      </c>
      <c r="T1644" s="54">
        <v>878.33</v>
      </c>
      <c r="U1644" s="54">
        <v>0.67</v>
      </c>
      <c r="V1644" s="54">
        <v>0.67</v>
      </c>
      <c r="W1644" s="54">
        <v>0.67</v>
      </c>
    </row>
    <row r="1645" spans="1:23" outlineLevel="2" x14ac:dyDescent="0.2">
      <c r="A1645" s="21" t="s">
        <v>836</v>
      </c>
      <c r="B1645" s="21" t="s">
        <v>39</v>
      </c>
      <c r="C1645" s="21" t="s">
        <v>66</v>
      </c>
      <c r="D1645" s="21" t="s">
        <v>121</v>
      </c>
      <c r="E1645" s="21" t="s">
        <v>122</v>
      </c>
      <c r="F1645" s="21" t="s">
        <v>980</v>
      </c>
      <c r="G1645" s="21" t="s">
        <v>981</v>
      </c>
      <c r="H1645" s="21" t="s">
        <v>982</v>
      </c>
      <c r="I1645" s="21" t="s">
        <v>983</v>
      </c>
      <c r="J1645" s="21" t="s">
        <v>841</v>
      </c>
      <c r="K1645" s="21" t="s">
        <v>848</v>
      </c>
      <c r="L1645" s="21" t="s">
        <v>989</v>
      </c>
      <c r="M1645" s="21" t="s">
        <v>12</v>
      </c>
      <c r="N1645" s="54">
        <v>0</v>
      </c>
      <c r="O1645" s="54">
        <v>51292.88</v>
      </c>
      <c r="P1645" s="54">
        <v>0</v>
      </c>
      <c r="Q1645" s="54">
        <v>51292.88</v>
      </c>
      <c r="R1645" s="54">
        <v>1.39</v>
      </c>
      <c r="S1645" s="54">
        <v>51291.49</v>
      </c>
      <c r="T1645" s="54">
        <v>51291.49</v>
      </c>
      <c r="U1645" s="54">
        <v>1.39</v>
      </c>
      <c r="V1645" s="54">
        <v>1.39</v>
      </c>
      <c r="W1645" s="54">
        <v>0</v>
      </c>
    </row>
    <row r="1646" spans="1:23" outlineLevel="2" x14ac:dyDescent="0.2">
      <c r="A1646" s="21" t="s">
        <v>836</v>
      </c>
      <c r="B1646" s="21" t="s">
        <v>39</v>
      </c>
      <c r="C1646" s="21" t="s">
        <v>66</v>
      </c>
      <c r="D1646" s="21" t="s">
        <v>121</v>
      </c>
      <c r="E1646" s="21" t="s">
        <v>122</v>
      </c>
      <c r="F1646" s="21" t="s">
        <v>980</v>
      </c>
      <c r="G1646" s="21" t="s">
        <v>981</v>
      </c>
      <c r="H1646" s="21" t="s">
        <v>982</v>
      </c>
      <c r="I1646" s="21" t="s">
        <v>983</v>
      </c>
      <c r="J1646" s="21" t="s">
        <v>841</v>
      </c>
      <c r="K1646" s="21" t="s">
        <v>850</v>
      </c>
      <c r="L1646" s="21" t="s">
        <v>990</v>
      </c>
      <c r="M1646" s="21" t="s">
        <v>12</v>
      </c>
      <c r="N1646" s="54">
        <v>0</v>
      </c>
      <c r="O1646" s="54">
        <v>41065.75</v>
      </c>
      <c r="P1646" s="54">
        <v>0</v>
      </c>
      <c r="Q1646" s="54">
        <v>41065.75</v>
      </c>
      <c r="R1646" s="54">
        <v>36854.17</v>
      </c>
      <c r="S1646" s="54">
        <v>4211.58</v>
      </c>
      <c r="T1646" s="54">
        <v>4211.58</v>
      </c>
      <c r="U1646" s="54">
        <v>36854.17</v>
      </c>
      <c r="V1646" s="54">
        <v>36854.17</v>
      </c>
      <c r="W1646" s="54">
        <v>0</v>
      </c>
    </row>
    <row r="1647" spans="1:23" outlineLevel="2" x14ac:dyDescent="0.2">
      <c r="A1647" s="21" t="s">
        <v>836</v>
      </c>
      <c r="B1647" s="21" t="s">
        <v>39</v>
      </c>
      <c r="C1647" s="21" t="s">
        <v>58</v>
      </c>
      <c r="D1647" s="21" t="s">
        <v>119</v>
      </c>
      <c r="E1647" s="21" t="s">
        <v>120</v>
      </c>
      <c r="F1647" s="21" t="s">
        <v>980</v>
      </c>
      <c r="G1647" s="21" t="s">
        <v>981</v>
      </c>
      <c r="H1647" s="21" t="s">
        <v>991</v>
      </c>
      <c r="I1647" s="21" t="s">
        <v>992</v>
      </c>
      <c r="J1647" s="21" t="s">
        <v>841</v>
      </c>
      <c r="K1647" s="21" t="s">
        <v>842</v>
      </c>
      <c r="L1647" s="21" t="s">
        <v>993</v>
      </c>
      <c r="M1647" s="21" t="s">
        <v>12</v>
      </c>
      <c r="N1647" s="54">
        <v>0</v>
      </c>
      <c r="O1647" s="54">
        <v>23210</v>
      </c>
      <c r="P1647" s="54">
        <v>0</v>
      </c>
      <c r="Q1647" s="54">
        <v>23210</v>
      </c>
      <c r="R1647" s="54">
        <v>13555.73</v>
      </c>
      <c r="S1647" s="54">
        <v>370.27</v>
      </c>
      <c r="T1647" s="54">
        <v>370.27</v>
      </c>
      <c r="U1647" s="54">
        <v>22839.73</v>
      </c>
      <c r="V1647" s="54">
        <v>22839.73</v>
      </c>
      <c r="W1647" s="54">
        <v>9284</v>
      </c>
    </row>
    <row r="1648" spans="1:23" outlineLevel="2" x14ac:dyDescent="0.2">
      <c r="A1648" s="21" t="s">
        <v>836</v>
      </c>
      <c r="B1648" s="21" t="s">
        <v>39</v>
      </c>
      <c r="C1648" s="21" t="s">
        <v>58</v>
      </c>
      <c r="D1648" s="21" t="s">
        <v>119</v>
      </c>
      <c r="E1648" s="21" t="s">
        <v>120</v>
      </c>
      <c r="F1648" s="21" t="s">
        <v>980</v>
      </c>
      <c r="G1648" s="21" t="s">
        <v>981</v>
      </c>
      <c r="H1648" s="21" t="s">
        <v>991</v>
      </c>
      <c r="I1648" s="21" t="s">
        <v>992</v>
      </c>
      <c r="J1648" s="21" t="s">
        <v>841</v>
      </c>
      <c r="K1648" s="21" t="s">
        <v>844</v>
      </c>
      <c r="L1648" s="21" t="s">
        <v>994</v>
      </c>
      <c r="M1648" s="21" t="s">
        <v>12</v>
      </c>
      <c r="N1648" s="54">
        <v>0</v>
      </c>
      <c r="O1648" s="54">
        <v>7000</v>
      </c>
      <c r="P1648" s="54">
        <v>0</v>
      </c>
      <c r="Q1648" s="54">
        <v>7000</v>
      </c>
      <c r="R1648" s="54">
        <v>4100.01</v>
      </c>
      <c r="S1648" s="54">
        <v>99.99</v>
      </c>
      <c r="T1648" s="54">
        <v>99.99</v>
      </c>
      <c r="U1648" s="54">
        <v>6900.01</v>
      </c>
      <c r="V1648" s="54">
        <v>6900.01</v>
      </c>
      <c r="W1648" s="54">
        <v>2800</v>
      </c>
    </row>
    <row r="1649" spans="1:23" outlineLevel="2" x14ac:dyDescent="0.2">
      <c r="A1649" s="21" t="s">
        <v>836</v>
      </c>
      <c r="B1649" s="21" t="s">
        <v>39</v>
      </c>
      <c r="C1649" s="21" t="s">
        <v>58</v>
      </c>
      <c r="D1649" s="21" t="s">
        <v>119</v>
      </c>
      <c r="E1649" s="21" t="s">
        <v>120</v>
      </c>
      <c r="F1649" s="21" t="s">
        <v>980</v>
      </c>
      <c r="G1649" s="21" t="s">
        <v>981</v>
      </c>
      <c r="H1649" s="21" t="s">
        <v>991</v>
      </c>
      <c r="I1649" s="21" t="s">
        <v>992</v>
      </c>
      <c r="J1649" s="21" t="s">
        <v>841</v>
      </c>
      <c r="K1649" s="21" t="s">
        <v>854</v>
      </c>
      <c r="L1649" s="21" t="s">
        <v>995</v>
      </c>
      <c r="M1649" s="21" t="s">
        <v>15</v>
      </c>
      <c r="N1649" s="54">
        <v>0</v>
      </c>
      <c r="O1649" s="54">
        <v>1244.1300000000001</v>
      </c>
      <c r="P1649" s="54">
        <v>0</v>
      </c>
      <c r="Q1649" s="54">
        <v>1244.1300000000001</v>
      </c>
      <c r="R1649" s="54">
        <v>0</v>
      </c>
      <c r="S1649" s="54">
        <v>1244.1300000000001</v>
      </c>
      <c r="T1649" s="54">
        <v>1244.1300000000001</v>
      </c>
      <c r="U1649" s="54">
        <v>0</v>
      </c>
      <c r="V1649" s="54">
        <v>0</v>
      </c>
      <c r="W1649" s="54">
        <v>0</v>
      </c>
    </row>
    <row r="1650" spans="1:23" outlineLevel="2" x14ac:dyDescent="0.2">
      <c r="A1650" s="21" t="s">
        <v>836</v>
      </c>
      <c r="B1650" s="21" t="s">
        <v>39</v>
      </c>
      <c r="C1650" s="21" t="s">
        <v>58</v>
      </c>
      <c r="D1650" s="21" t="s">
        <v>119</v>
      </c>
      <c r="E1650" s="21" t="s">
        <v>120</v>
      </c>
      <c r="F1650" s="21" t="s">
        <v>980</v>
      </c>
      <c r="G1650" s="21" t="s">
        <v>981</v>
      </c>
      <c r="H1650" s="21" t="s">
        <v>991</v>
      </c>
      <c r="I1650" s="21" t="s">
        <v>992</v>
      </c>
      <c r="J1650" s="21" t="s">
        <v>841</v>
      </c>
      <c r="K1650" s="21" t="s">
        <v>846</v>
      </c>
      <c r="L1650" s="21" t="s">
        <v>996</v>
      </c>
      <c r="M1650" s="21" t="s">
        <v>12</v>
      </c>
      <c r="N1650" s="54">
        <v>0</v>
      </c>
      <c r="O1650" s="54">
        <v>278520</v>
      </c>
      <c r="P1650" s="54">
        <v>0</v>
      </c>
      <c r="Q1650" s="54">
        <v>278520</v>
      </c>
      <c r="R1650" s="54">
        <v>113069.37</v>
      </c>
      <c r="S1650" s="54">
        <v>54042.63</v>
      </c>
      <c r="T1650" s="54">
        <v>54042.63</v>
      </c>
      <c r="U1650" s="54">
        <v>224477.37</v>
      </c>
      <c r="V1650" s="54">
        <v>224477.37</v>
      </c>
      <c r="W1650" s="54">
        <v>111408</v>
      </c>
    </row>
    <row r="1651" spans="1:23" outlineLevel="2" x14ac:dyDescent="0.2">
      <c r="A1651" s="21" t="s">
        <v>836</v>
      </c>
      <c r="B1651" s="21" t="s">
        <v>39</v>
      </c>
      <c r="C1651" s="21" t="s">
        <v>58</v>
      </c>
      <c r="D1651" s="21" t="s">
        <v>119</v>
      </c>
      <c r="E1651" s="21" t="s">
        <v>120</v>
      </c>
      <c r="F1651" s="21" t="s">
        <v>980</v>
      </c>
      <c r="G1651" s="21" t="s">
        <v>981</v>
      </c>
      <c r="H1651" s="21" t="s">
        <v>991</v>
      </c>
      <c r="I1651" s="21" t="s">
        <v>992</v>
      </c>
      <c r="J1651" s="21" t="s">
        <v>841</v>
      </c>
      <c r="K1651" s="21" t="s">
        <v>848</v>
      </c>
      <c r="L1651" s="21" t="s">
        <v>997</v>
      </c>
      <c r="M1651" s="21" t="s">
        <v>12</v>
      </c>
      <c r="N1651" s="54">
        <v>0</v>
      </c>
      <c r="O1651" s="54">
        <v>35232.78</v>
      </c>
      <c r="P1651" s="54">
        <v>0</v>
      </c>
      <c r="Q1651" s="54">
        <v>35232.78</v>
      </c>
      <c r="R1651" s="54">
        <v>14146.03</v>
      </c>
      <c r="S1651" s="54">
        <v>6993.64</v>
      </c>
      <c r="T1651" s="54">
        <v>6993.64</v>
      </c>
      <c r="U1651" s="54">
        <v>28239.14</v>
      </c>
      <c r="V1651" s="54">
        <v>28239.14</v>
      </c>
      <c r="W1651" s="54">
        <v>14093.11</v>
      </c>
    </row>
    <row r="1652" spans="1:23" outlineLevel="2" x14ac:dyDescent="0.2">
      <c r="A1652" s="21" t="s">
        <v>836</v>
      </c>
      <c r="B1652" s="21" t="s">
        <v>39</v>
      </c>
      <c r="C1652" s="21" t="s">
        <v>58</v>
      </c>
      <c r="D1652" s="21" t="s">
        <v>119</v>
      </c>
      <c r="E1652" s="21" t="s">
        <v>120</v>
      </c>
      <c r="F1652" s="21" t="s">
        <v>980</v>
      </c>
      <c r="G1652" s="21" t="s">
        <v>981</v>
      </c>
      <c r="H1652" s="21" t="s">
        <v>991</v>
      </c>
      <c r="I1652" s="21" t="s">
        <v>992</v>
      </c>
      <c r="J1652" s="21" t="s">
        <v>841</v>
      </c>
      <c r="K1652" s="21" t="s">
        <v>850</v>
      </c>
      <c r="L1652" s="21" t="s">
        <v>998</v>
      </c>
      <c r="M1652" s="21" t="s">
        <v>12</v>
      </c>
      <c r="N1652" s="54">
        <v>0</v>
      </c>
      <c r="O1652" s="54">
        <v>23210</v>
      </c>
      <c r="P1652" s="54">
        <v>0</v>
      </c>
      <c r="Q1652" s="54">
        <v>23210</v>
      </c>
      <c r="R1652" s="54">
        <v>12429.69</v>
      </c>
      <c r="S1652" s="54">
        <v>1496.31</v>
      </c>
      <c r="T1652" s="54">
        <v>1496.31</v>
      </c>
      <c r="U1652" s="54">
        <v>21713.69</v>
      </c>
      <c r="V1652" s="54">
        <v>21713.69</v>
      </c>
      <c r="W1652" s="54">
        <v>9284</v>
      </c>
    </row>
    <row r="1653" spans="1:23" outlineLevel="2" x14ac:dyDescent="0.2">
      <c r="A1653" s="21" t="s">
        <v>999</v>
      </c>
      <c r="B1653" s="21" t="s">
        <v>1</v>
      </c>
      <c r="C1653" s="21" t="s">
        <v>91</v>
      </c>
      <c r="D1653" s="21" t="s">
        <v>92</v>
      </c>
      <c r="E1653" s="21" t="s">
        <v>93</v>
      </c>
      <c r="F1653" s="21" t="s">
        <v>5</v>
      </c>
      <c r="G1653" s="21" t="s">
        <v>6</v>
      </c>
      <c r="H1653" s="21" t="s">
        <v>7</v>
      </c>
      <c r="I1653" s="21" t="s">
        <v>8</v>
      </c>
      <c r="J1653" s="21" t="s">
        <v>1000</v>
      </c>
      <c r="K1653" s="21" t="s">
        <v>1001</v>
      </c>
      <c r="L1653" s="21" t="s">
        <v>1002</v>
      </c>
      <c r="M1653" s="21" t="s">
        <v>15</v>
      </c>
      <c r="N1653" s="54">
        <v>177100</v>
      </c>
      <c r="O1653" s="54">
        <v>-177100</v>
      </c>
      <c r="P1653" s="54">
        <v>0</v>
      </c>
      <c r="Q1653" s="54">
        <v>0</v>
      </c>
      <c r="R1653" s="54">
        <v>0</v>
      </c>
      <c r="S1653" s="54">
        <v>0</v>
      </c>
      <c r="T1653" s="54">
        <v>0</v>
      </c>
      <c r="U1653" s="54">
        <v>0</v>
      </c>
      <c r="V1653" s="54">
        <v>0</v>
      </c>
      <c r="W1653" s="54">
        <v>0</v>
      </c>
    </row>
    <row r="1654" spans="1:23" outlineLevel="2" x14ac:dyDescent="0.2">
      <c r="A1654" s="21" t="s">
        <v>999</v>
      </c>
      <c r="B1654" s="21" t="s">
        <v>31</v>
      </c>
      <c r="C1654" s="21" t="s">
        <v>79</v>
      </c>
      <c r="D1654" s="21" t="s">
        <v>115</v>
      </c>
      <c r="E1654" s="21" t="s">
        <v>116</v>
      </c>
      <c r="F1654" s="21" t="s">
        <v>5</v>
      </c>
      <c r="G1654" s="21" t="s">
        <v>6</v>
      </c>
      <c r="H1654" s="21" t="s">
        <v>7</v>
      </c>
      <c r="I1654" s="21" t="s">
        <v>8</v>
      </c>
      <c r="J1654" s="21" t="s">
        <v>1000</v>
      </c>
      <c r="K1654" s="21" t="s">
        <v>1003</v>
      </c>
      <c r="L1654" s="21" t="s">
        <v>1004</v>
      </c>
      <c r="M1654" s="21" t="s">
        <v>12</v>
      </c>
      <c r="N1654" s="54">
        <v>6600</v>
      </c>
      <c r="O1654" s="54">
        <v>0</v>
      </c>
      <c r="P1654" s="54">
        <v>0</v>
      </c>
      <c r="Q1654" s="54">
        <v>6600</v>
      </c>
      <c r="R1654" s="54">
        <v>0</v>
      </c>
      <c r="S1654" s="54">
        <v>0</v>
      </c>
      <c r="T1654" s="54">
        <v>0</v>
      </c>
      <c r="U1654" s="54">
        <v>6600</v>
      </c>
      <c r="V1654" s="54">
        <v>6600</v>
      </c>
      <c r="W1654" s="54">
        <v>6600</v>
      </c>
    </row>
    <row r="1655" spans="1:23" outlineLevel="2" x14ac:dyDescent="0.2">
      <c r="A1655" s="21" t="s">
        <v>999</v>
      </c>
      <c r="B1655" s="21" t="s">
        <v>39</v>
      </c>
      <c r="C1655" s="21" t="s">
        <v>58</v>
      </c>
      <c r="D1655" s="21" t="s">
        <v>143</v>
      </c>
      <c r="E1655" s="21" t="s">
        <v>144</v>
      </c>
      <c r="F1655" s="21" t="s">
        <v>1005</v>
      </c>
      <c r="G1655" s="21" t="s">
        <v>1006</v>
      </c>
      <c r="H1655" s="21" t="s">
        <v>1007</v>
      </c>
      <c r="I1655" s="21" t="s">
        <v>1008</v>
      </c>
      <c r="J1655" s="21" t="s">
        <v>1000</v>
      </c>
      <c r="K1655" s="21" t="s">
        <v>1009</v>
      </c>
      <c r="L1655" s="21" t="s">
        <v>1010</v>
      </c>
      <c r="M1655" s="21" t="s">
        <v>12</v>
      </c>
      <c r="N1655" s="54">
        <v>2000</v>
      </c>
      <c r="O1655" s="54">
        <v>0</v>
      </c>
      <c r="P1655" s="54">
        <v>0</v>
      </c>
      <c r="Q1655" s="54">
        <v>2000</v>
      </c>
      <c r="R1655" s="54">
        <v>0</v>
      </c>
      <c r="S1655" s="54">
        <v>0</v>
      </c>
      <c r="T1655" s="54">
        <v>0</v>
      </c>
      <c r="U1655" s="54">
        <v>2000</v>
      </c>
      <c r="V1655" s="54">
        <v>2000</v>
      </c>
      <c r="W1655" s="54">
        <v>2000</v>
      </c>
    </row>
    <row r="1656" spans="1:23" outlineLevel="2" x14ac:dyDescent="0.2">
      <c r="A1656" s="21" t="s">
        <v>999</v>
      </c>
      <c r="B1656" s="21" t="s">
        <v>39</v>
      </c>
      <c r="C1656" s="21" t="s">
        <v>58</v>
      </c>
      <c r="D1656" s="21" t="s">
        <v>143</v>
      </c>
      <c r="E1656" s="21" t="s">
        <v>144</v>
      </c>
      <c r="F1656" s="21" t="s">
        <v>1005</v>
      </c>
      <c r="G1656" s="21" t="s">
        <v>1006</v>
      </c>
      <c r="H1656" s="21" t="s">
        <v>1007</v>
      </c>
      <c r="I1656" s="21" t="s">
        <v>1008</v>
      </c>
      <c r="J1656" s="21" t="s">
        <v>1000</v>
      </c>
      <c r="K1656" s="21" t="s">
        <v>1011</v>
      </c>
      <c r="L1656" s="21" t="s">
        <v>1012</v>
      </c>
      <c r="M1656" s="21" t="s">
        <v>12</v>
      </c>
      <c r="N1656" s="54">
        <v>6000</v>
      </c>
      <c r="O1656" s="54">
        <v>0</v>
      </c>
      <c r="P1656" s="54">
        <v>0</v>
      </c>
      <c r="Q1656" s="54">
        <v>6000</v>
      </c>
      <c r="R1656" s="54">
        <v>0</v>
      </c>
      <c r="S1656" s="54">
        <v>0</v>
      </c>
      <c r="T1656" s="54">
        <v>0</v>
      </c>
      <c r="U1656" s="54">
        <v>6000</v>
      </c>
      <c r="V1656" s="54">
        <v>6000</v>
      </c>
      <c r="W1656" s="54">
        <v>6000</v>
      </c>
    </row>
    <row r="1657" spans="1:23" outlineLevel="2" x14ac:dyDescent="0.2">
      <c r="A1657" s="21" t="s">
        <v>999</v>
      </c>
      <c r="B1657" s="21" t="s">
        <v>39</v>
      </c>
      <c r="C1657" s="21" t="s">
        <v>58</v>
      </c>
      <c r="D1657" s="21" t="s">
        <v>59</v>
      </c>
      <c r="E1657" s="21" t="s">
        <v>60</v>
      </c>
      <c r="F1657" s="21" t="s">
        <v>1005</v>
      </c>
      <c r="G1657" s="21" t="s">
        <v>1006</v>
      </c>
      <c r="H1657" s="21" t="s">
        <v>1007</v>
      </c>
      <c r="I1657" s="21" t="s">
        <v>1008</v>
      </c>
      <c r="J1657" s="21" t="s">
        <v>1000</v>
      </c>
      <c r="K1657" s="21" t="s">
        <v>1011</v>
      </c>
      <c r="L1657" s="21" t="s">
        <v>1012</v>
      </c>
      <c r="M1657" s="21" t="s">
        <v>12</v>
      </c>
      <c r="N1657" s="54">
        <v>5300</v>
      </c>
      <c r="O1657" s="54">
        <v>0</v>
      </c>
      <c r="P1657" s="54">
        <v>0</v>
      </c>
      <c r="Q1657" s="54">
        <v>5300</v>
      </c>
      <c r="R1657" s="54">
        <v>0</v>
      </c>
      <c r="S1657" s="54">
        <v>0</v>
      </c>
      <c r="T1657" s="54">
        <v>0</v>
      </c>
      <c r="U1657" s="54">
        <v>5300</v>
      </c>
      <c r="V1657" s="54">
        <v>5300</v>
      </c>
      <c r="W1657" s="54">
        <v>5300</v>
      </c>
    </row>
    <row r="1658" spans="1:23" outlineLevel="2" x14ac:dyDescent="0.2">
      <c r="A1658" s="21" t="s">
        <v>999</v>
      </c>
      <c r="B1658" s="21" t="s">
        <v>39</v>
      </c>
      <c r="C1658" s="21" t="s">
        <v>58</v>
      </c>
      <c r="D1658" s="21" t="s">
        <v>147</v>
      </c>
      <c r="E1658" s="21" t="s">
        <v>148</v>
      </c>
      <c r="F1658" s="21" t="s">
        <v>1005</v>
      </c>
      <c r="G1658" s="21" t="s">
        <v>1006</v>
      </c>
      <c r="H1658" s="21" t="s">
        <v>1007</v>
      </c>
      <c r="I1658" s="21" t="s">
        <v>1008</v>
      </c>
      <c r="J1658" s="21" t="s">
        <v>1000</v>
      </c>
      <c r="K1658" s="21" t="s">
        <v>1013</v>
      </c>
      <c r="L1658" s="21" t="s">
        <v>1014</v>
      </c>
      <c r="M1658" s="21" t="s">
        <v>12</v>
      </c>
      <c r="N1658" s="54">
        <v>83758</v>
      </c>
      <c r="O1658" s="54">
        <v>0</v>
      </c>
      <c r="P1658" s="54">
        <v>0</v>
      </c>
      <c r="Q1658" s="54">
        <v>83758</v>
      </c>
      <c r="R1658" s="54">
        <v>0</v>
      </c>
      <c r="S1658" s="54">
        <v>0</v>
      </c>
      <c r="T1658" s="54">
        <v>0</v>
      </c>
      <c r="U1658" s="54">
        <v>83758</v>
      </c>
      <c r="V1658" s="54">
        <v>83758</v>
      </c>
      <c r="W1658" s="54">
        <v>83758</v>
      </c>
    </row>
    <row r="1659" spans="1:23" outlineLevel="2" x14ac:dyDescent="0.2">
      <c r="A1659" s="21" t="s">
        <v>999</v>
      </c>
      <c r="B1659" s="21" t="s">
        <v>39</v>
      </c>
      <c r="C1659" s="21" t="s">
        <v>58</v>
      </c>
      <c r="D1659" s="21" t="s">
        <v>143</v>
      </c>
      <c r="E1659" s="21" t="s">
        <v>144</v>
      </c>
      <c r="F1659" s="21" t="s">
        <v>1005</v>
      </c>
      <c r="G1659" s="21" t="s">
        <v>1006</v>
      </c>
      <c r="H1659" s="21" t="s">
        <v>1007</v>
      </c>
      <c r="I1659" s="21" t="s">
        <v>1008</v>
      </c>
      <c r="J1659" s="21" t="s">
        <v>1000</v>
      </c>
      <c r="K1659" s="21" t="s">
        <v>1015</v>
      </c>
      <c r="L1659" s="21" t="s">
        <v>1016</v>
      </c>
      <c r="M1659" s="21" t="s">
        <v>12</v>
      </c>
      <c r="N1659" s="54">
        <v>15000</v>
      </c>
      <c r="O1659" s="54">
        <v>0</v>
      </c>
      <c r="P1659" s="54">
        <v>0</v>
      </c>
      <c r="Q1659" s="54">
        <v>15000</v>
      </c>
      <c r="R1659" s="54">
        <v>0</v>
      </c>
      <c r="S1659" s="54">
        <v>0</v>
      </c>
      <c r="T1659" s="54">
        <v>0</v>
      </c>
      <c r="U1659" s="54">
        <v>15000</v>
      </c>
      <c r="V1659" s="54">
        <v>15000</v>
      </c>
      <c r="W1659" s="54">
        <v>15000</v>
      </c>
    </row>
    <row r="1660" spans="1:23" outlineLevel="2" x14ac:dyDescent="0.2">
      <c r="A1660" s="21" t="s">
        <v>999</v>
      </c>
      <c r="B1660" s="21" t="s">
        <v>39</v>
      </c>
      <c r="C1660" s="21" t="s">
        <v>58</v>
      </c>
      <c r="D1660" s="21" t="s">
        <v>59</v>
      </c>
      <c r="E1660" s="21" t="s">
        <v>60</v>
      </c>
      <c r="F1660" s="21" t="s">
        <v>1005</v>
      </c>
      <c r="G1660" s="21" t="s">
        <v>1006</v>
      </c>
      <c r="H1660" s="21" t="s">
        <v>1007</v>
      </c>
      <c r="I1660" s="21" t="s">
        <v>1008</v>
      </c>
      <c r="J1660" s="21" t="s">
        <v>1000</v>
      </c>
      <c r="K1660" s="21" t="s">
        <v>1015</v>
      </c>
      <c r="L1660" s="21" t="s">
        <v>1016</v>
      </c>
      <c r="M1660" s="21" t="s">
        <v>12</v>
      </c>
      <c r="N1660" s="54">
        <v>15000</v>
      </c>
      <c r="O1660" s="54">
        <v>0</v>
      </c>
      <c r="P1660" s="54">
        <v>0</v>
      </c>
      <c r="Q1660" s="54">
        <v>15000</v>
      </c>
      <c r="R1660" s="54">
        <v>0</v>
      </c>
      <c r="S1660" s="54">
        <v>0</v>
      </c>
      <c r="T1660" s="54">
        <v>0</v>
      </c>
      <c r="U1660" s="54">
        <v>15000</v>
      </c>
      <c r="V1660" s="54">
        <v>15000</v>
      </c>
      <c r="W1660" s="54">
        <v>15000</v>
      </c>
    </row>
    <row r="1661" spans="1:23" outlineLevel="2" x14ac:dyDescent="0.2">
      <c r="A1661" s="21" t="s">
        <v>999</v>
      </c>
      <c r="B1661" s="21" t="s">
        <v>39</v>
      </c>
      <c r="C1661" s="21" t="s">
        <v>58</v>
      </c>
      <c r="D1661" s="21" t="s">
        <v>143</v>
      </c>
      <c r="E1661" s="21" t="s">
        <v>144</v>
      </c>
      <c r="F1661" s="21" t="s">
        <v>1005</v>
      </c>
      <c r="G1661" s="21" t="s">
        <v>1006</v>
      </c>
      <c r="H1661" s="21" t="s">
        <v>1007</v>
      </c>
      <c r="I1661" s="21" t="s">
        <v>1008</v>
      </c>
      <c r="J1661" s="21" t="s">
        <v>1000</v>
      </c>
      <c r="K1661" s="21" t="s">
        <v>1017</v>
      </c>
      <c r="L1661" s="21" t="s">
        <v>1018</v>
      </c>
      <c r="M1661" s="21" t="s">
        <v>12</v>
      </c>
      <c r="N1661" s="54">
        <v>3159.01</v>
      </c>
      <c r="O1661" s="54">
        <v>0</v>
      </c>
      <c r="P1661" s="54">
        <v>0</v>
      </c>
      <c r="Q1661" s="54">
        <v>3159.01</v>
      </c>
      <c r="R1661" s="54">
        <v>0</v>
      </c>
      <c r="S1661" s="54">
        <v>0</v>
      </c>
      <c r="T1661" s="54">
        <v>0</v>
      </c>
      <c r="U1661" s="54">
        <v>3159.01</v>
      </c>
      <c r="V1661" s="54">
        <v>3159.01</v>
      </c>
      <c r="W1661" s="54">
        <v>3159.01</v>
      </c>
    </row>
    <row r="1662" spans="1:23" outlineLevel="2" x14ac:dyDescent="0.2">
      <c r="A1662" s="21" t="s">
        <v>999</v>
      </c>
      <c r="B1662" s="21" t="s">
        <v>39</v>
      </c>
      <c r="C1662" s="21" t="s">
        <v>58</v>
      </c>
      <c r="D1662" s="21" t="s">
        <v>59</v>
      </c>
      <c r="E1662" s="21" t="s">
        <v>60</v>
      </c>
      <c r="F1662" s="21" t="s">
        <v>1005</v>
      </c>
      <c r="G1662" s="21" t="s">
        <v>1006</v>
      </c>
      <c r="H1662" s="21" t="s">
        <v>1007</v>
      </c>
      <c r="I1662" s="21" t="s">
        <v>1008</v>
      </c>
      <c r="J1662" s="21" t="s">
        <v>1000</v>
      </c>
      <c r="K1662" s="21" t="s">
        <v>1017</v>
      </c>
      <c r="L1662" s="21" t="s">
        <v>1018</v>
      </c>
      <c r="M1662" s="21" t="s">
        <v>12</v>
      </c>
      <c r="N1662" s="54">
        <v>3158</v>
      </c>
      <c r="O1662" s="54">
        <v>0</v>
      </c>
      <c r="P1662" s="54">
        <v>0</v>
      </c>
      <c r="Q1662" s="54">
        <v>3158</v>
      </c>
      <c r="R1662" s="54">
        <v>0</v>
      </c>
      <c r="S1662" s="54">
        <v>0</v>
      </c>
      <c r="T1662" s="54">
        <v>0</v>
      </c>
      <c r="U1662" s="54">
        <v>3158</v>
      </c>
      <c r="V1662" s="54">
        <v>3158</v>
      </c>
      <c r="W1662" s="54">
        <v>3158</v>
      </c>
    </row>
    <row r="1663" spans="1:23" outlineLevel="2" x14ac:dyDescent="0.2">
      <c r="A1663" s="21" t="s">
        <v>999</v>
      </c>
      <c r="B1663" s="21" t="s">
        <v>39</v>
      </c>
      <c r="C1663" s="21" t="s">
        <v>58</v>
      </c>
      <c r="D1663" s="21" t="s">
        <v>143</v>
      </c>
      <c r="E1663" s="21" t="s">
        <v>144</v>
      </c>
      <c r="F1663" s="21" t="s">
        <v>1005</v>
      </c>
      <c r="G1663" s="21" t="s">
        <v>1006</v>
      </c>
      <c r="H1663" s="21" t="s">
        <v>1007</v>
      </c>
      <c r="I1663" s="21" t="s">
        <v>1008</v>
      </c>
      <c r="J1663" s="21" t="s">
        <v>1000</v>
      </c>
      <c r="K1663" s="21" t="s">
        <v>1019</v>
      </c>
      <c r="L1663" s="21" t="s">
        <v>1020</v>
      </c>
      <c r="M1663" s="21" t="s">
        <v>12</v>
      </c>
      <c r="N1663" s="54">
        <v>300</v>
      </c>
      <c r="O1663" s="54">
        <v>0</v>
      </c>
      <c r="P1663" s="54">
        <v>0</v>
      </c>
      <c r="Q1663" s="54">
        <v>300</v>
      </c>
      <c r="R1663" s="54">
        <v>0</v>
      </c>
      <c r="S1663" s="54">
        <v>0</v>
      </c>
      <c r="T1663" s="54">
        <v>0</v>
      </c>
      <c r="U1663" s="54">
        <v>300</v>
      </c>
      <c r="V1663" s="54">
        <v>300</v>
      </c>
      <c r="W1663" s="54">
        <v>300</v>
      </c>
    </row>
    <row r="1664" spans="1:23" outlineLevel="2" x14ac:dyDescent="0.2">
      <c r="A1664" s="21" t="s">
        <v>999</v>
      </c>
      <c r="B1664" s="21" t="s">
        <v>39</v>
      </c>
      <c r="C1664" s="21" t="s">
        <v>58</v>
      </c>
      <c r="D1664" s="21" t="s">
        <v>59</v>
      </c>
      <c r="E1664" s="21" t="s">
        <v>60</v>
      </c>
      <c r="F1664" s="21" t="s">
        <v>1005</v>
      </c>
      <c r="G1664" s="21" t="s">
        <v>1006</v>
      </c>
      <c r="H1664" s="21" t="s">
        <v>1007</v>
      </c>
      <c r="I1664" s="21" t="s">
        <v>1008</v>
      </c>
      <c r="J1664" s="21" t="s">
        <v>1000</v>
      </c>
      <c r="K1664" s="21" t="s">
        <v>1019</v>
      </c>
      <c r="L1664" s="21" t="s">
        <v>1020</v>
      </c>
      <c r="M1664" s="21" t="s">
        <v>12</v>
      </c>
      <c r="N1664" s="54">
        <v>300</v>
      </c>
      <c r="O1664" s="54">
        <v>0</v>
      </c>
      <c r="P1664" s="54">
        <v>0</v>
      </c>
      <c r="Q1664" s="54">
        <v>300</v>
      </c>
      <c r="R1664" s="54">
        <v>0</v>
      </c>
      <c r="S1664" s="54">
        <v>0</v>
      </c>
      <c r="T1664" s="54">
        <v>0</v>
      </c>
      <c r="U1664" s="54">
        <v>300</v>
      </c>
      <c r="V1664" s="54">
        <v>300</v>
      </c>
      <c r="W1664" s="54">
        <v>300</v>
      </c>
    </row>
    <row r="1665" spans="1:23" outlineLevel="2" x14ac:dyDescent="0.2">
      <c r="A1665" s="21" t="s">
        <v>999</v>
      </c>
      <c r="B1665" s="21" t="s">
        <v>39</v>
      </c>
      <c r="C1665" s="21" t="s">
        <v>58</v>
      </c>
      <c r="D1665" s="21" t="s">
        <v>143</v>
      </c>
      <c r="E1665" s="21" t="s">
        <v>144</v>
      </c>
      <c r="F1665" s="21" t="s">
        <v>1005</v>
      </c>
      <c r="G1665" s="21" t="s">
        <v>1006</v>
      </c>
      <c r="H1665" s="21" t="s">
        <v>1007</v>
      </c>
      <c r="I1665" s="21" t="s">
        <v>1008</v>
      </c>
      <c r="J1665" s="21" t="s">
        <v>1000</v>
      </c>
      <c r="K1665" s="21" t="s">
        <v>1021</v>
      </c>
      <c r="L1665" s="21" t="s">
        <v>1022</v>
      </c>
      <c r="M1665" s="21" t="s">
        <v>12</v>
      </c>
      <c r="N1665" s="54">
        <v>700</v>
      </c>
      <c r="O1665" s="54">
        <v>0</v>
      </c>
      <c r="P1665" s="54">
        <v>0</v>
      </c>
      <c r="Q1665" s="54">
        <v>700</v>
      </c>
      <c r="R1665" s="54">
        <v>0</v>
      </c>
      <c r="S1665" s="54">
        <v>0</v>
      </c>
      <c r="T1665" s="54">
        <v>0</v>
      </c>
      <c r="U1665" s="54">
        <v>700</v>
      </c>
      <c r="V1665" s="54">
        <v>700</v>
      </c>
      <c r="W1665" s="54">
        <v>700</v>
      </c>
    </row>
    <row r="1666" spans="1:23" outlineLevel="2" x14ac:dyDescent="0.2">
      <c r="A1666" s="21" t="s">
        <v>999</v>
      </c>
      <c r="B1666" s="21" t="s">
        <v>39</v>
      </c>
      <c r="C1666" s="21" t="s">
        <v>58</v>
      </c>
      <c r="D1666" s="21" t="s">
        <v>59</v>
      </c>
      <c r="E1666" s="21" t="s">
        <v>60</v>
      </c>
      <c r="F1666" s="21" t="s">
        <v>1005</v>
      </c>
      <c r="G1666" s="21" t="s">
        <v>1006</v>
      </c>
      <c r="H1666" s="21" t="s">
        <v>1007</v>
      </c>
      <c r="I1666" s="21" t="s">
        <v>1008</v>
      </c>
      <c r="J1666" s="21" t="s">
        <v>1000</v>
      </c>
      <c r="K1666" s="21" t="s">
        <v>1021</v>
      </c>
      <c r="L1666" s="21" t="s">
        <v>1022</v>
      </c>
      <c r="M1666" s="21" t="s">
        <v>12</v>
      </c>
      <c r="N1666" s="54">
        <v>1000</v>
      </c>
      <c r="O1666" s="54">
        <v>0</v>
      </c>
      <c r="P1666" s="54">
        <v>0</v>
      </c>
      <c r="Q1666" s="54">
        <v>1000</v>
      </c>
      <c r="R1666" s="54">
        <v>0</v>
      </c>
      <c r="S1666" s="54">
        <v>0</v>
      </c>
      <c r="T1666" s="54">
        <v>0</v>
      </c>
      <c r="U1666" s="54">
        <v>1000</v>
      </c>
      <c r="V1666" s="54">
        <v>1000</v>
      </c>
      <c r="W1666" s="54">
        <v>1000</v>
      </c>
    </row>
    <row r="1667" spans="1:23" outlineLevel="2" x14ac:dyDescent="0.2">
      <c r="A1667" s="21" t="s">
        <v>999</v>
      </c>
      <c r="B1667" s="21" t="s">
        <v>39</v>
      </c>
      <c r="C1667" s="21" t="s">
        <v>58</v>
      </c>
      <c r="D1667" s="21" t="s">
        <v>59</v>
      </c>
      <c r="E1667" s="21" t="s">
        <v>60</v>
      </c>
      <c r="F1667" s="21" t="s">
        <v>1005</v>
      </c>
      <c r="G1667" s="21" t="s">
        <v>1006</v>
      </c>
      <c r="H1667" s="21" t="s">
        <v>1007</v>
      </c>
      <c r="I1667" s="21" t="s">
        <v>1008</v>
      </c>
      <c r="J1667" s="21" t="s">
        <v>1000</v>
      </c>
      <c r="K1667" s="21" t="s">
        <v>1023</v>
      </c>
      <c r="L1667" s="21" t="s">
        <v>1024</v>
      </c>
      <c r="M1667" s="21" t="s">
        <v>12</v>
      </c>
      <c r="N1667" s="54">
        <v>1000</v>
      </c>
      <c r="O1667" s="54">
        <v>0</v>
      </c>
      <c r="P1667" s="54">
        <v>0</v>
      </c>
      <c r="Q1667" s="54">
        <v>1000</v>
      </c>
      <c r="R1667" s="54">
        <v>0</v>
      </c>
      <c r="S1667" s="54">
        <v>0</v>
      </c>
      <c r="T1667" s="54">
        <v>0</v>
      </c>
      <c r="U1667" s="54">
        <v>1000</v>
      </c>
      <c r="V1667" s="54">
        <v>1000</v>
      </c>
      <c r="W1667" s="54">
        <v>1000</v>
      </c>
    </row>
    <row r="1668" spans="1:23" outlineLevel="2" x14ac:dyDescent="0.2">
      <c r="A1668" s="21" t="s">
        <v>999</v>
      </c>
      <c r="B1668" s="21" t="s">
        <v>39</v>
      </c>
      <c r="C1668" s="21" t="s">
        <v>58</v>
      </c>
      <c r="D1668" s="21" t="s">
        <v>143</v>
      </c>
      <c r="E1668" s="21" t="s">
        <v>144</v>
      </c>
      <c r="F1668" s="21" t="s">
        <v>1005</v>
      </c>
      <c r="G1668" s="21" t="s">
        <v>1006</v>
      </c>
      <c r="H1668" s="21" t="s">
        <v>1007</v>
      </c>
      <c r="I1668" s="21" t="s">
        <v>1008</v>
      </c>
      <c r="J1668" s="21" t="s">
        <v>1000</v>
      </c>
      <c r="K1668" s="21" t="s">
        <v>1023</v>
      </c>
      <c r="L1668" s="21" t="s">
        <v>1024</v>
      </c>
      <c r="M1668" s="21" t="s">
        <v>12</v>
      </c>
      <c r="N1668" s="54">
        <v>600</v>
      </c>
      <c r="O1668" s="54">
        <v>0</v>
      </c>
      <c r="P1668" s="54">
        <v>0</v>
      </c>
      <c r="Q1668" s="54">
        <v>600</v>
      </c>
      <c r="R1668" s="54">
        <v>0</v>
      </c>
      <c r="S1668" s="54">
        <v>0</v>
      </c>
      <c r="T1668" s="54">
        <v>0</v>
      </c>
      <c r="U1668" s="54">
        <v>600</v>
      </c>
      <c r="V1668" s="54">
        <v>600</v>
      </c>
      <c r="W1668" s="54">
        <v>600</v>
      </c>
    </row>
    <row r="1669" spans="1:23" outlineLevel="2" x14ac:dyDescent="0.2">
      <c r="A1669" s="21" t="s">
        <v>999</v>
      </c>
      <c r="B1669" s="21" t="s">
        <v>39</v>
      </c>
      <c r="C1669" s="21" t="s">
        <v>95</v>
      </c>
      <c r="D1669" s="21" t="s">
        <v>96</v>
      </c>
      <c r="E1669" s="21" t="s">
        <v>97</v>
      </c>
      <c r="F1669" s="21" t="s">
        <v>1025</v>
      </c>
      <c r="G1669" s="21" t="s">
        <v>1026</v>
      </c>
      <c r="H1669" s="21" t="s">
        <v>1027</v>
      </c>
      <c r="I1669" s="21" t="s">
        <v>1028</v>
      </c>
      <c r="J1669" s="21" t="s">
        <v>1000</v>
      </c>
      <c r="K1669" s="21" t="s">
        <v>1029</v>
      </c>
      <c r="L1669" s="21" t="s">
        <v>1030</v>
      </c>
      <c r="M1669" s="21" t="s">
        <v>12</v>
      </c>
      <c r="N1669" s="54">
        <v>10000</v>
      </c>
      <c r="O1669" s="54">
        <v>0</v>
      </c>
      <c r="P1669" s="54">
        <v>0</v>
      </c>
      <c r="Q1669" s="54">
        <v>10000</v>
      </c>
      <c r="R1669" s="54">
        <v>0</v>
      </c>
      <c r="S1669" s="54">
        <v>0</v>
      </c>
      <c r="T1669" s="54">
        <v>0</v>
      </c>
      <c r="U1669" s="54">
        <v>10000</v>
      </c>
      <c r="V1669" s="54">
        <v>10000</v>
      </c>
      <c r="W1669" s="54">
        <v>10000</v>
      </c>
    </row>
    <row r="1670" spans="1:23" outlineLevel="2" x14ac:dyDescent="0.2">
      <c r="A1670" s="21" t="s">
        <v>999</v>
      </c>
      <c r="B1670" s="21" t="s">
        <v>39</v>
      </c>
      <c r="C1670" s="21" t="s">
        <v>95</v>
      </c>
      <c r="D1670" s="21" t="s">
        <v>96</v>
      </c>
      <c r="E1670" s="21" t="s">
        <v>97</v>
      </c>
      <c r="F1670" s="21" t="s">
        <v>1025</v>
      </c>
      <c r="G1670" s="21" t="s">
        <v>1026</v>
      </c>
      <c r="H1670" s="21" t="s">
        <v>1027</v>
      </c>
      <c r="I1670" s="21" t="s">
        <v>1028</v>
      </c>
      <c r="J1670" s="21" t="s">
        <v>1000</v>
      </c>
      <c r="K1670" s="21" t="s">
        <v>1031</v>
      </c>
      <c r="L1670" s="21" t="s">
        <v>1032</v>
      </c>
      <c r="M1670" s="21" t="s">
        <v>12</v>
      </c>
      <c r="N1670" s="54">
        <v>45000</v>
      </c>
      <c r="O1670" s="54">
        <v>0</v>
      </c>
      <c r="P1670" s="54">
        <v>0</v>
      </c>
      <c r="Q1670" s="54">
        <v>45000</v>
      </c>
      <c r="R1670" s="54">
        <v>0</v>
      </c>
      <c r="S1670" s="54">
        <v>0</v>
      </c>
      <c r="T1670" s="54">
        <v>0</v>
      </c>
      <c r="U1670" s="54">
        <v>45000</v>
      </c>
      <c r="V1670" s="54">
        <v>45000</v>
      </c>
      <c r="W1670" s="54">
        <v>45000</v>
      </c>
    </row>
    <row r="1671" spans="1:23" outlineLevel="2" x14ac:dyDescent="0.2">
      <c r="A1671" s="21" t="s">
        <v>999</v>
      </c>
      <c r="B1671" s="21" t="s">
        <v>39</v>
      </c>
      <c r="C1671" s="21" t="s">
        <v>95</v>
      </c>
      <c r="D1671" s="21" t="s">
        <v>96</v>
      </c>
      <c r="E1671" s="21" t="s">
        <v>97</v>
      </c>
      <c r="F1671" s="21" t="s">
        <v>1033</v>
      </c>
      <c r="G1671" s="21" t="s">
        <v>1034</v>
      </c>
      <c r="H1671" s="21" t="s">
        <v>1035</v>
      </c>
      <c r="I1671" s="21" t="s">
        <v>1036</v>
      </c>
      <c r="J1671" s="21" t="s">
        <v>1000</v>
      </c>
      <c r="K1671" s="21" t="s">
        <v>1037</v>
      </c>
      <c r="L1671" s="21" t="s">
        <v>1038</v>
      </c>
      <c r="M1671" s="21" t="s">
        <v>12</v>
      </c>
      <c r="N1671" s="54">
        <v>5000</v>
      </c>
      <c r="O1671" s="54">
        <v>0</v>
      </c>
      <c r="P1671" s="54">
        <v>0</v>
      </c>
      <c r="Q1671" s="54">
        <v>5000</v>
      </c>
      <c r="R1671" s="54">
        <v>0</v>
      </c>
      <c r="S1671" s="54">
        <v>0</v>
      </c>
      <c r="T1671" s="54">
        <v>0</v>
      </c>
      <c r="U1671" s="54">
        <v>5000</v>
      </c>
      <c r="V1671" s="54">
        <v>5000</v>
      </c>
      <c r="W1671" s="54">
        <v>5000</v>
      </c>
    </row>
    <row r="1672" spans="1:23" outlineLevel="2" x14ac:dyDescent="0.2">
      <c r="A1672" s="21" t="s">
        <v>999</v>
      </c>
      <c r="B1672" s="21" t="s">
        <v>39</v>
      </c>
      <c r="C1672" s="21" t="s">
        <v>95</v>
      </c>
      <c r="D1672" s="21" t="s">
        <v>96</v>
      </c>
      <c r="E1672" s="21" t="s">
        <v>97</v>
      </c>
      <c r="F1672" s="21" t="s">
        <v>1033</v>
      </c>
      <c r="G1672" s="21" t="s">
        <v>1034</v>
      </c>
      <c r="H1672" s="21" t="s">
        <v>1035</v>
      </c>
      <c r="I1672" s="21" t="s">
        <v>1036</v>
      </c>
      <c r="J1672" s="21" t="s">
        <v>1000</v>
      </c>
      <c r="K1672" s="21" t="s">
        <v>1039</v>
      </c>
      <c r="L1672" s="21" t="s">
        <v>1040</v>
      </c>
      <c r="M1672" s="21" t="s">
        <v>12</v>
      </c>
      <c r="N1672" s="54">
        <v>5000</v>
      </c>
      <c r="O1672" s="54">
        <v>0</v>
      </c>
      <c r="P1672" s="54">
        <v>0</v>
      </c>
      <c r="Q1672" s="54">
        <v>5000</v>
      </c>
      <c r="R1672" s="54">
        <v>0</v>
      </c>
      <c r="S1672" s="54">
        <v>0</v>
      </c>
      <c r="T1672" s="54">
        <v>0</v>
      </c>
      <c r="U1672" s="54">
        <v>5000</v>
      </c>
      <c r="V1672" s="54">
        <v>5000</v>
      </c>
      <c r="W1672" s="54">
        <v>5000</v>
      </c>
    </row>
    <row r="1673" spans="1:23" outlineLevel="2" x14ac:dyDescent="0.2">
      <c r="A1673" s="21" t="s">
        <v>999</v>
      </c>
      <c r="B1673" s="21" t="s">
        <v>39</v>
      </c>
      <c r="C1673" s="21" t="s">
        <v>95</v>
      </c>
      <c r="D1673" s="21" t="s">
        <v>96</v>
      </c>
      <c r="E1673" s="21" t="s">
        <v>97</v>
      </c>
      <c r="F1673" s="21" t="s">
        <v>1033</v>
      </c>
      <c r="G1673" s="21" t="s">
        <v>1034</v>
      </c>
      <c r="H1673" s="21" t="s">
        <v>1035</v>
      </c>
      <c r="I1673" s="21" t="s">
        <v>1036</v>
      </c>
      <c r="J1673" s="21" t="s">
        <v>1000</v>
      </c>
      <c r="K1673" s="21" t="s">
        <v>1041</v>
      </c>
      <c r="L1673" s="21" t="s">
        <v>1042</v>
      </c>
      <c r="M1673" s="21" t="s">
        <v>12</v>
      </c>
      <c r="N1673" s="54">
        <v>28500</v>
      </c>
      <c r="O1673" s="54">
        <v>67500</v>
      </c>
      <c r="P1673" s="54">
        <v>0</v>
      </c>
      <c r="Q1673" s="54">
        <v>96000</v>
      </c>
      <c r="R1673" s="54">
        <v>0</v>
      </c>
      <c r="S1673" s="54">
        <v>0</v>
      </c>
      <c r="T1673" s="54">
        <v>0</v>
      </c>
      <c r="U1673" s="54">
        <v>96000</v>
      </c>
      <c r="V1673" s="54">
        <v>96000</v>
      </c>
      <c r="W1673" s="54">
        <v>96000</v>
      </c>
    </row>
    <row r="1674" spans="1:23" outlineLevel="2" x14ac:dyDescent="0.2">
      <c r="A1674" s="21" t="s">
        <v>999</v>
      </c>
      <c r="B1674" s="21" t="s">
        <v>39</v>
      </c>
      <c r="C1674" s="21" t="s">
        <v>95</v>
      </c>
      <c r="D1674" s="21" t="s">
        <v>96</v>
      </c>
      <c r="E1674" s="21" t="s">
        <v>97</v>
      </c>
      <c r="F1674" s="21" t="s">
        <v>1033</v>
      </c>
      <c r="G1674" s="21" t="s">
        <v>1034</v>
      </c>
      <c r="H1674" s="21" t="s">
        <v>1035</v>
      </c>
      <c r="I1674" s="21" t="s">
        <v>1036</v>
      </c>
      <c r="J1674" s="21" t="s">
        <v>1000</v>
      </c>
      <c r="K1674" s="21" t="s">
        <v>1043</v>
      </c>
      <c r="L1674" s="21" t="s">
        <v>1044</v>
      </c>
      <c r="M1674" s="21" t="s">
        <v>12</v>
      </c>
      <c r="N1674" s="54">
        <v>71000</v>
      </c>
      <c r="O1674" s="54">
        <v>-51000</v>
      </c>
      <c r="P1674" s="54">
        <v>0</v>
      </c>
      <c r="Q1674" s="54">
        <v>20000</v>
      </c>
      <c r="R1674" s="54">
        <v>0</v>
      </c>
      <c r="S1674" s="54">
        <v>0</v>
      </c>
      <c r="T1674" s="54">
        <v>0</v>
      </c>
      <c r="U1674" s="54">
        <v>20000</v>
      </c>
      <c r="V1674" s="54">
        <v>20000</v>
      </c>
      <c r="W1674" s="54">
        <v>20000</v>
      </c>
    </row>
    <row r="1675" spans="1:23" outlineLevel="2" x14ac:dyDescent="0.2">
      <c r="A1675" s="21" t="s">
        <v>999</v>
      </c>
      <c r="B1675" s="21" t="s">
        <v>39</v>
      </c>
      <c r="C1675" s="21" t="s">
        <v>95</v>
      </c>
      <c r="D1675" s="21" t="s">
        <v>96</v>
      </c>
      <c r="E1675" s="21" t="s">
        <v>97</v>
      </c>
      <c r="F1675" s="21" t="s">
        <v>1033</v>
      </c>
      <c r="G1675" s="21" t="s">
        <v>1034</v>
      </c>
      <c r="H1675" s="21" t="s">
        <v>1035</v>
      </c>
      <c r="I1675" s="21" t="s">
        <v>1036</v>
      </c>
      <c r="J1675" s="21" t="s">
        <v>1000</v>
      </c>
      <c r="K1675" s="21" t="s">
        <v>1045</v>
      </c>
      <c r="L1675" s="21" t="s">
        <v>1046</v>
      </c>
      <c r="M1675" s="21" t="s">
        <v>12</v>
      </c>
      <c r="N1675" s="54">
        <v>16500</v>
      </c>
      <c r="O1675" s="54">
        <v>-16500</v>
      </c>
      <c r="P1675" s="54">
        <v>0</v>
      </c>
      <c r="Q1675" s="54">
        <v>0</v>
      </c>
      <c r="R1675" s="54">
        <v>0</v>
      </c>
      <c r="S1675" s="54">
        <v>0</v>
      </c>
      <c r="T1675" s="54">
        <v>0</v>
      </c>
      <c r="U1675" s="54">
        <v>0</v>
      </c>
      <c r="V1675" s="54">
        <v>0</v>
      </c>
      <c r="W1675" s="54">
        <v>0</v>
      </c>
    </row>
    <row r="1676" spans="1:23" outlineLevel="2" x14ac:dyDescent="0.2">
      <c r="A1676" s="21" t="s">
        <v>999</v>
      </c>
      <c r="B1676" s="21" t="s">
        <v>39</v>
      </c>
      <c r="C1676" s="21" t="s">
        <v>95</v>
      </c>
      <c r="D1676" s="21" t="s">
        <v>96</v>
      </c>
      <c r="E1676" s="21" t="s">
        <v>97</v>
      </c>
      <c r="F1676" s="21" t="s">
        <v>1047</v>
      </c>
      <c r="G1676" s="21" t="s">
        <v>1048</v>
      </c>
      <c r="H1676" s="21" t="s">
        <v>1049</v>
      </c>
      <c r="I1676" s="21" t="s">
        <v>1050</v>
      </c>
      <c r="J1676" s="21" t="s">
        <v>1000</v>
      </c>
      <c r="K1676" s="21" t="s">
        <v>1029</v>
      </c>
      <c r="L1676" s="21" t="s">
        <v>1051</v>
      </c>
      <c r="M1676" s="21" t="s">
        <v>12</v>
      </c>
      <c r="N1676" s="54">
        <v>22000</v>
      </c>
      <c r="O1676" s="54">
        <v>28000</v>
      </c>
      <c r="P1676" s="54">
        <v>0</v>
      </c>
      <c r="Q1676" s="54">
        <v>50000</v>
      </c>
      <c r="R1676" s="54">
        <v>0</v>
      </c>
      <c r="S1676" s="54">
        <v>0</v>
      </c>
      <c r="T1676" s="54">
        <v>0</v>
      </c>
      <c r="U1676" s="54">
        <v>50000</v>
      </c>
      <c r="V1676" s="54">
        <v>50000</v>
      </c>
      <c r="W1676" s="54">
        <v>50000</v>
      </c>
    </row>
    <row r="1677" spans="1:23" outlineLevel="2" x14ac:dyDescent="0.2">
      <c r="A1677" s="21" t="s">
        <v>999</v>
      </c>
      <c r="B1677" s="21" t="s">
        <v>39</v>
      </c>
      <c r="C1677" s="21" t="s">
        <v>95</v>
      </c>
      <c r="D1677" s="21" t="s">
        <v>96</v>
      </c>
      <c r="E1677" s="21" t="s">
        <v>97</v>
      </c>
      <c r="F1677" s="21" t="s">
        <v>1047</v>
      </c>
      <c r="G1677" s="21" t="s">
        <v>1048</v>
      </c>
      <c r="H1677" s="21" t="s">
        <v>1049</v>
      </c>
      <c r="I1677" s="21" t="s">
        <v>1050</v>
      </c>
      <c r="J1677" s="21" t="s">
        <v>1000</v>
      </c>
      <c r="K1677" s="21" t="s">
        <v>1031</v>
      </c>
      <c r="L1677" s="21" t="s">
        <v>1052</v>
      </c>
      <c r="M1677" s="21" t="s">
        <v>12</v>
      </c>
      <c r="N1677" s="54">
        <v>15000</v>
      </c>
      <c r="O1677" s="54">
        <v>-15000</v>
      </c>
      <c r="P1677" s="54">
        <v>0</v>
      </c>
      <c r="Q1677" s="54">
        <v>0</v>
      </c>
      <c r="R1677" s="54">
        <v>0</v>
      </c>
      <c r="S1677" s="54">
        <v>0</v>
      </c>
      <c r="T1677" s="54">
        <v>0</v>
      </c>
      <c r="U1677" s="54">
        <v>0</v>
      </c>
      <c r="V1677" s="54">
        <v>0</v>
      </c>
      <c r="W1677" s="54">
        <v>0</v>
      </c>
    </row>
    <row r="1678" spans="1:23" outlineLevel="2" x14ac:dyDescent="0.2">
      <c r="A1678" s="21" t="s">
        <v>999</v>
      </c>
      <c r="B1678" s="21" t="s">
        <v>39</v>
      </c>
      <c r="C1678" s="21" t="s">
        <v>95</v>
      </c>
      <c r="D1678" s="21" t="s">
        <v>96</v>
      </c>
      <c r="E1678" s="21" t="s">
        <v>97</v>
      </c>
      <c r="F1678" s="21" t="s">
        <v>1053</v>
      </c>
      <c r="G1678" s="21" t="s">
        <v>1054</v>
      </c>
      <c r="H1678" s="21" t="s">
        <v>1055</v>
      </c>
      <c r="I1678" s="21" t="s">
        <v>1056</v>
      </c>
      <c r="J1678" s="21" t="s">
        <v>1000</v>
      </c>
      <c r="K1678" s="21" t="s">
        <v>1037</v>
      </c>
      <c r="L1678" s="21" t="s">
        <v>1057</v>
      </c>
      <c r="M1678" s="21" t="s">
        <v>12</v>
      </c>
      <c r="N1678" s="54">
        <v>30000</v>
      </c>
      <c r="O1678" s="54">
        <v>0</v>
      </c>
      <c r="P1678" s="54">
        <v>0</v>
      </c>
      <c r="Q1678" s="54">
        <v>30000</v>
      </c>
      <c r="R1678" s="54">
        <v>0</v>
      </c>
      <c r="S1678" s="54">
        <v>0</v>
      </c>
      <c r="T1678" s="54">
        <v>0</v>
      </c>
      <c r="U1678" s="54">
        <v>30000</v>
      </c>
      <c r="V1678" s="54">
        <v>30000</v>
      </c>
      <c r="W1678" s="54">
        <v>30000</v>
      </c>
    </row>
    <row r="1679" spans="1:23" outlineLevel="2" x14ac:dyDescent="0.2">
      <c r="A1679" s="21" t="s">
        <v>999</v>
      </c>
      <c r="B1679" s="21" t="s">
        <v>39</v>
      </c>
      <c r="C1679" s="21" t="s">
        <v>95</v>
      </c>
      <c r="D1679" s="21" t="s">
        <v>96</v>
      </c>
      <c r="E1679" s="21" t="s">
        <v>97</v>
      </c>
      <c r="F1679" s="21" t="s">
        <v>1053</v>
      </c>
      <c r="G1679" s="21" t="s">
        <v>1054</v>
      </c>
      <c r="H1679" s="21" t="s">
        <v>1055</v>
      </c>
      <c r="I1679" s="21" t="s">
        <v>1056</v>
      </c>
      <c r="J1679" s="21" t="s">
        <v>1000</v>
      </c>
      <c r="K1679" s="21" t="s">
        <v>1058</v>
      </c>
      <c r="L1679" s="21" t="s">
        <v>1059</v>
      </c>
      <c r="M1679" s="21" t="s">
        <v>12</v>
      </c>
      <c r="N1679" s="54">
        <v>5000</v>
      </c>
      <c r="O1679" s="54">
        <v>0</v>
      </c>
      <c r="P1679" s="54">
        <v>0</v>
      </c>
      <c r="Q1679" s="54">
        <v>5000</v>
      </c>
      <c r="R1679" s="54">
        <v>0</v>
      </c>
      <c r="S1679" s="54">
        <v>0</v>
      </c>
      <c r="T1679" s="54">
        <v>0</v>
      </c>
      <c r="U1679" s="54">
        <v>5000</v>
      </c>
      <c r="V1679" s="54">
        <v>5000</v>
      </c>
      <c r="W1679" s="54">
        <v>5000</v>
      </c>
    </row>
    <row r="1680" spans="1:23" outlineLevel="2" x14ac:dyDescent="0.2">
      <c r="A1680" s="21" t="s">
        <v>999</v>
      </c>
      <c r="B1680" s="21" t="s">
        <v>39</v>
      </c>
      <c r="C1680" s="21" t="s">
        <v>95</v>
      </c>
      <c r="D1680" s="21" t="s">
        <v>96</v>
      </c>
      <c r="E1680" s="21" t="s">
        <v>97</v>
      </c>
      <c r="F1680" s="21" t="s">
        <v>1053</v>
      </c>
      <c r="G1680" s="21" t="s">
        <v>1054</v>
      </c>
      <c r="H1680" s="21" t="s">
        <v>1055</v>
      </c>
      <c r="I1680" s="21" t="s">
        <v>1056</v>
      </c>
      <c r="J1680" s="21" t="s">
        <v>1000</v>
      </c>
      <c r="K1680" s="21" t="s">
        <v>1041</v>
      </c>
      <c r="L1680" s="21" t="s">
        <v>1060</v>
      </c>
      <c r="M1680" s="21" t="s">
        <v>12</v>
      </c>
      <c r="N1680" s="54">
        <v>267000</v>
      </c>
      <c r="O1680" s="54">
        <v>0</v>
      </c>
      <c r="P1680" s="54">
        <v>0</v>
      </c>
      <c r="Q1680" s="54">
        <v>267000</v>
      </c>
      <c r="R1680" s="54">
        <v>0</v>
      </c>
      <c r="S1680" s="54">
        <v>0</v>
      </c>
      <c r="T1680" s="54">
        <v>0</v>
      </c>
      <c r="U1680" s="54">
        <v>267000</v>
      </c>
      <c r="V1680" s="54">
        <v>267000</v>
      </c>
      <c r="W1680" s="54">
        <v>267000</v>
      </c>
    </row>
    <row r="1681" spans="1:23" outlineLevel="2" x14ac:dyDescent="0.2">
      <c r="A1681" s="21" t="s">
        <v>999</v>
      </c>
      <c r="B1681" s="21" t="s">
        <v>39</v>
      </c>
      <c r="C1681" s="21" t="s">
        <v>95</v>
      </c>
      <c r="D1681" s="21" t="s">
        <v>96</v>
      </c>
      <c r="E1681" s="21" t="s">
        <v>97</v>
      </c>
      <c r="F1681" s="21" t="s">
        <v>1053</v>
      </c>
      <c r="G1681" s="21" t="s">
        <v>1054</v>
      </c>
      <c r="H1681" s="21" t="s">
        <v>1055</v>
      </c>
      <c r="I1681" s="21" t="s">
        <v>1056</v>
      </c>
      <c r="J1681" s="21" t="s">
        <v>1000</v>
      </c>
      <c r="K1681" s="21" t="s">
        <v>1061</v>
      </c>
      <c r="L1681" s="21" t="s">
        <v>1062</v>
      </c>
      <c r="M1681" s="21" t="s">
        <v>12</v>
      </c>
      <c r="N1681" s="54">
        <v>3570</v>
      </c>
      <c r="O1681" s="54">
        <v>0</v>
      </c>
      <c r="P1681" s="54">
        <v>0</v>
      </c>
      <c r="Q1681" s="54">
        <v>3570</v>
      </c>
      <c r="R1681" s="54">
        <v>0</v>
      </c>
      <c r="S1681" s="54">
        <v>0</v>
      </c>
      <c r="T1681" s="54">
        <v>0</v>
      </c>
      <c r="U1681" s="54">
        <v>3570</v>
      </c>
      <c r="V1681" s="54">
        <v>3570</v>
      </c>
      <c r="W1681" s="54">
        <v>3570</v>
      </c>
    </row>
    <row r="1682" spans="1:23" outlineLevel="2" x14ac:dyDescent="0.2">
      <c r="A1682" s="21" t="s">
        <v>999</v>
      </c>
      <c r="B1682" s="21" t="s">
        <v>39</v>
      </c>
      <c r="C1682" s="21" t="s">
        <v>95</v>
      </c>
      <c r="D1682" s="21" t="s">
        <v>96</v>
      </c>
      <c r="E1682" s="21" t="s">
        <v>97</v>
      </c>
      <c r="F1682" s="21" t="s">
        <v>1053</v>
      </c>
      <c r="G1682" s="21" t="s">
        <v>1054</v>
      </c>
      <c r="H1682" s="21" t="s">
        <v>1055</v>
      </c>
      <c r="I1682" s="21" t="s">
        <v>1056</v>
      </c>
      <c r="J1682" s="21" t="s">
        <v>1000</v>
      </c>
      <c r="K1682" s="21" t="s">
        <v>1023</v>
      </c>
      <c r="L1682" s="21" t="s">
        <v>1063</v>
      </c>
      <c r="M1682" s="21" t="s">
        <v>12</v>
      </c>
      <c r="N1682" s="54">
        <v>1430</v>
      </c>
      <c r="O1682" s="54">
        <v>0</v>
      </c>
      <c r="P1682" s="54">
        <v>0</v>
      </c>
      <c r="Q1682" s="54">
        <v>1430</v>
      </c>
      <c r="R1682" s="54">
        <v>0</v>
      </c>
      <c r="S1682" s="54">
        <v>0</v>
      </c>
      <c r="T1682" s="54">
        <v>0</v>
      </c>
      <c r="U1682" s="54">
        <v>1430</v>
      </c>
      <c r="V1682" s="54">
        <v>1430</v>
      </c>
      <c r="W1682" s="54">
        <v>1430</v>
      </c>
    </row>
    <row r="1683" spans="1:23" outlineLevel="2" x14ac:dyDescent="0.2">
      <c r="A1683" s="21" t="s">
        <v>999</v>
      </c>
      <c r="B1683" s="21" t="s">
        <v>39</v>
      </c>
      <c r="C1683" s="21" t="s">
        <v>58</v>
      </c>
      <c r="D1683" s="21" t="s">
        <v>149</v>
      </c>
      <c r="E1683" s="21" t="s">
        <v>150</v>
      </c>
      <c r="F1683" s="21" t="s">
        <v>837</v>
      </c>
      <c r="G1683" s="21" t="s">
        <v>838</v>
      </c>
      <c r="H1683" s="21" t="s">
        <v>1064</v>
      </c>
      <c r="I1683" s="21" t="s">
        <v>1065</v>
      </c>
      <c r="J1683" s="21" t="s">
        <v>1000</v>
      </c>
      <c r="K1683" s="21" t="s">
        <v>1037</v>
      </c>
      <c r="L1683" s="21" t="s">
        <v>1066</v>
      </c>
      <c r="M1683" s="21" t="s">
        <v>12</v>
      </c>
      <c r="N1683" s="54">
        <v>12262.5</v>
      </c>
      <c r="O1683" s="54">
        <v>11160.22</v>
      </c>
      <c r="P1683" s="54">
        <v>0</v>
      </c>
      <c r="Q1683" s="54">
        <v>23422.720000000001</v>
      </c>
      <c r="R1683" s="54">
        <v>0</v>
      </c>
      <c r="S1683" s="54">
        <v>10422.700000000001</v>
      </c>
      <c r="T1683" s="54">
        <v>10422.700000000001</v>
      </c>
      <c r="U1683" s="54">
        <v>13000.02</v>
      </c>
      <c r="V1683" s="54">
        <v>13000.02</v>
      </c>
      <c r="W1683" s="54">
        <v>13000.02</v>
      </c>
    </row>
    <row r="1684" spans="1:23" outlineLevel="2" x14ac:dyDescent="0.2">
      <c r="A1684" s="21" t="s">
        <v>999</v>
      </c>
      <c r="B1684" s="21" t="s">
        <v>39</v>
      </c>
      <c r="C1684" s="21" t="s">
        <v>58</v>
      </c>
      <c r="D1684" s="21" t="s">
        <v>145</v>
      </c>
      <c r="E1684" s="21" t="s">
        <v>146</v>
      </c>
      <c r="F1684" s="21" t="s">
        <v>837</v>
      </c>
      <c r="G1684" s="21" t="s">
        <v>838</v>
      </c>
      <c r="H1684" s="21" t="s">
        <v>1064</v>
      </c>
      <c r="I1684" s="21" t="s">
        <v>1065</v>
      </c>
      <c r="J1684" s="21" t="s">
        <v>1000</v>
      </c>
      <c r="K1684" s="21" t="s">
        <v>1037</v>
      </c>
      <c r="L1684" s="21" t="s">
        <v>1066</v>
      </c>
      <c r="M1684" s="21" t="s">
        <v>12</v>
      </c>
      <c r="N1684" s="54">
        <v>7860</v>
      </c>
      <c r="O1684" s="54">
        <v>0</v>
      </c>
      <c r="P1684" s="54">
        <v>0</v>
      </c>
      <c r="Q1684" s="54">
        <v>7860</v>
      </c>
      <c r="R1684" s="54">
        <v>0</v>
      </c>
      <c r="S1684" s="54">
        <v>0</v>
      </c>
      <c r="T1684" s="54">
        <v>0</v>
      </c>
      <c r="U1684" s="54">
        <v>7860</v>
      </c>
      <c r="V1684" s="54">
        <v>7860</v>
      </c>
      <c r="W1684" s="54">
        <v>7860</v>
      </c>
    </row>
    <row r="1685" spans="1:23" outlineLevel="2" x14ac:dyDescent="0.2">
      <c r="A1685" s="21" t="s">
        <v>999</v>
      </c>
      <c r="B1685" s="21" t="s">
        <v>39</v>
      </c>
      <c r="C1685" s="21" t="s">
        <v>58</v>
      </c>
      <c r="D1685" s="21" t="s">
        <v>143</v>
      </c>
      <c r="E1685" s="21" t="s">
        <v>144</v>
      </c>
      <c r="F1685" s="21" t="s">
        <v>837</v>
      </c>
      <c r="G1685" s="21" t="s">
        <v>838</v>
      </c>
      <c r="H1685" s="21" t="s">
        <v>1064</v>
      </c>
      <c r="I1685" s="21" t="s">
        <v>1065</v>
      </c>
      <c r="J1685" s="21" t="s">
        <v>1000</v>
      </c>
      <c r="K1685" s="21" t="s">
        <v>1039</v>
      </c>
      <c r="L1685" s="21" t="s">
        <v>1067</v>
      </c>
      <c r="M1685" s="21" t="s">
        <v>12</v>
      </c>
      <c r="N1685" s="54">
        <v>125141.75</v>
      </c>
      <c r="O1685" s="54">
        <v>0</v>
      </c>
      <c r="P1685" s="54">
        <v>0</v>
      </c>
      <c r="Q1685" s="54">
        <v>125141.75</v>
      </c>
      <c r="R1685" s="54">
        <v>0</v>
      </c>
      <c r="S1685" s="54">
        <v>0</v>
      </c>
      <c r="T1685" s="54">
        <v>0</v>
      </c>
      <c r="U1685" s="54">
        <v>125141.75</v>
      </c>
      <c r="V1685" s="54">
        <v>125141.75</v>
      </c>
      <c r="W1685" s="54">
        <v>125141.75</v>
      </c>
    </row>
    <row r="1686" spans="1:23" outlineLevel="2" x14ac:dyDescent="0.2">
      <c r="A1686" s="21" t="s">
        <v>999</v>
      </c>
      <c r="B1686" s="21" t="s">
        <v>39</v>
      </c>
      <c r="C1686" s="21" t="s">
        <v>58</v>
      </c>
      <c r="D1686" s="21" t="s">
        <v>145</v>
      </c>
      <c r="E1686" s="21" t="s">
        <v>146</v>
      </c>
      <c r="F1686" s="21" t="s">
        <v>837</v>
      </c>
      <c r="G1686" s="21" t="s">
        <v>838</v>
      </c>
      <c r="H1686" s="21" t="s">
        <v>1064</v>
      </c>
      <c r="I1686" s="21" t="s">
        <v>1065</v>
      </c>
      <c r="J1686" s="21" t="s">
        <v>1000</v>
      </c>
      <c r="K1686" s="21" t="s">
        <v>1039</v>
      </c>
      <c r="L1686" s="21" t="s">
        <v>1067</v>
      </c>
      <c r="M1686" s="21" t="s">
        <v>12</v>
      </c>
      <c r="N1686" s="54">
        <v>58766</v>
      </c>
      <c r="O1686" s="54">
        <v>1624</v>
      </c>
      <c r="P1686" s="54">
        <v>0</v>
      </c>
      <c r="Q1686" s="54">
        <v>60390</v>
      </c>
      <c r="R1686" s="54">
        <v>0</v>
      </c>
      <c r="S1686" s="54">
        <v>0</v>
      </c>
      <c r="T1686" s="54">
        <v>0</v>
      </c>
      <c r="U1686" s="54">
        <v>60390</v>
      </c>
      <c r="V1686" s="54">
        <v>60390</v>
      </c>
      <c r="W1686" s="54">
        <v>60390</v>
      </c>
    </row>
    <row r="1687" spans="1:23" outlineLevel="2" x14ac:dyDescent="0.2">
      <c r="A1687" s="21" t="s">
        <v>999</v>
      </c>
      <c r="B1687" s="21" t="s">
        <v>39</v>
      </c>
      <c r="C1687" s="21" t="s">
        <v>58</v>
      </c>
      <c r="D1687" s="21" t="s">
        <v>149</v>
      </c>
      <c r="E1687" s="21" t="s">
        <v>150</v>
      </c>
      <c r="F1687" s="21" t="s">
        <v>837</v>
      </c>
      <c r="G1687" s="21" t="s">
        <v>838</v>
      </c>
      <c r="H1687" s="21" t="s">
        <v>1064</v>
      </c>
      <c r="I1687" s="21" t="s">
        <v>1065</v>
      </c>
      <c r="J1687" s="21" t="s">
        <v>1000</v>
      </c>
      <c r="K1687" s="21" t="s">
        <v>1039</v>
      </c>
      <c r="L1687" s="21" t="s">
        <v>1067</v>
      </c>
      <c r="M1687" s="21" t="s">
        <v>12</v>
      </c>
      <c r="N1687" s="54">
        <v>79526.759999999995</v>
      </c>
      <c r="O1687" s="54">
        <v>0</v>
      </c>
      <c r="P1687" s="54">
        <v>0</v>
      </c>
      <c r="Q1687" s="54">
        <v>79526.759999999995</v>
      </c>
      <c r="R1687" s="54">
        <v>0</v>
      </c>
      <c r="S1687" s="54">
        <v>33376</v>
      </c>
      <c r="T1687" s="54">
        <v>33376</v>
      </c>
      <c r="U1687" s="54">
        <v>46150.76</v>
      </c>
      <c r="V1687" s="54">
        <v>46150.76</v>
      </c>
      <c r="W1687" s="54">
        <v>46150.76</v>
      </c>
    </row>
    <row r="1688" spans="1:23" outlineLevel="2" x14ac:dyDescent="0.2">
      <c r="A1688" s="21" t="s">
        <v>999</v>
      </c>
      <c r="B1688" s="21" t="s">
        <v>39</v>
      </c>
      <c r="C1688" s="21" t="s">
        <v>58</v>
      </c>
      <c r="D1688" s="21" t="s">
        <v>139</v>
      </c>
      <c r="E1688" s="21" t="s">
        <v>140</v>
      </c>
      <c r="F1688" s="21" t="s">
        <v>837</v>
      </c>
      <c r="G1688" s="21" t="s">
        <v>838</v>
      </c>
      <c r="H1688" s="21" t="s">
        <v>1064</v>
      </c>
      <c r="I1688" s="21" t="s">
        <v>1065</v>
      </c>
      <c r="J1688" s="21" t="s">
        <v>1000</v>
      </c>
      <c r="K1688" s="21" t="s">
        <v>1039</v>
      </c>
      <c r="L1688" s="21" t="s">
        <v>1067</v>
      </c>
      <c r="M1688" s="21" t="s">
        <v>12</v>
      </c>
      <c r="N1688" s="54">
        <v>5000</v>
      </c>
      <c r="O1688" s="54">
        <v>0</v>
      </c>
      <c r="P1688" s="54">
        <v>0</v>
      </c>
      <c r="Q1688" s="54">
        <v>5000</v>
      </c>
      <c r="R1688" s="54">
        <v>0</v>
      </c>
      <c r="S1688" s="54">
        <v>0</v>
      </c>
      <c r="T1688" s="54">
        <v>0</v>
      </c>
      <c r="U1688" s="54">
        <v>5000</v>
      </c>
      <c r="V1688" s="54">
        <v>5000</v>
      </c>
      <c r="W1688" s="54">
        <v>5000</v>
      </c>
    </row>
    <row r="1689" spans="1:23" outlineLevel="2" x14ac:dyDescent="0.2">
      <c r="A1689" s="21" t="s">
        <v>999</v>
      </c>
      <c r="B1689" s="21" t="s">
        <v>39</v>
      </c>
      <c r="C1689" s="21" t="s">
        <v>58</v>
      </c>
      <c r="D1689" s="21" t="s">
        <v>145</v>
      </c>
      <c r="E1689" s="21" t="s">
        <v>146</v>
      </c>
      <c r="F1689" s="21" t="s">
        <v>837</v>
      </c>
      <c r="G1689" s="21" t="s">
        <v>838</v>
      </c>
      <c r="H1689" s="21" t="s">
        <v>1064</v>
      </c>
      <c r="I1689" s="21" t="s">
        <v>1065</v>
      </c>
      <c r="J1689" s="21" t="s">
        <v>1000</v>
      </c>
      <c r="K1689" s="21" t="s">
        <v>1068</v>
      </c>
      <c r="L1689" s="21" t="s">
        <v>1069</v>
      </c>
      <c r="M1689" s="21" t="s">
        <v>12</v>
      </c>
      <c r="N1689" s="54">
        <v>6368</v>
      </c>
      <c r="O1689" s="54">
        <v>560</v>
      </c>
      <c r="P1689" s="54">
        <v>0</v>
      </c>
      <c r="Q1689" s="54">
        <v>6928</v>
      </c>
      <c r="R1689" s="54">
        <v>0</v>
      </c>
      <c r="S1689" s="54">
        <v>0</v>
      </c>
      <c r="T1689" s="54">
        <v>0</v>
      </c>
      <c r="U1689" s="54">
        <v>6928</v>
      </c>
      <c r="V1689" s="54">
        <v>6928</v>
      </c>
      <c r="W1689" s="54">
        <v>6928</v>
      </c>
    </row>
    <row r="1690" spans="1:23" outlineLevel="2" x14ac:dyDescent="0.2">
      <c r="A1690" s="21" t="s">
        <v>999</v>
      </c>
      <c r="B1690" s="21" t="s">
        <v>39</v>
      </c>
      <c r="C1690" s="21" t="s">
        <v>58</v>
      </c>
      <c r="D1690" s="21" t="s">
        <v>143</v>
      </c>
      <c r="E1690" s="21" t="s">
        <v>144</v>
      </c>
      <c r="F1690" s="21" t="s">
        <v>837</v>
      </c>
      <c r="G1690" s="21" t="s">
        <v>838</v>
      </c>
      <c r="H1690" s="21" t="s">
        <v>1064</v>
      </c>
      <c r="I1690" s="21" t="s">
        <v>1065</v>
      </c>
      <c r="J1690" s="21" t="s">
        <v>1000</v>
      </c>
      <c r="K1690" s="21" t="s">
        <v>1043</v>
      </c>
      <c r="L1690" s="21" t="s">
        <v>1070</v>
      </c>
      <c r="M1690" s="21" t="s">
        <v>12</v>
      </c>
      <c r="N1690" s="54">
        <v>235978.45</v>
      </c>
      <c r="O1690" s="54">
        <v>0</v>
      </c>
      <c r="P1690" s="54">
        <v>0</v>
      </c>
      <c r="Q1690" s="54">
        <v>235978.45</v>
      </c>
      <c r="R1690" s="54">
        <v>0</v>
      </c>
      <c r="S1690" s="54">
        <v>0</v>
      </c>
      <c r="T1690" s="54">
        <v>0</v>
      </c>
      <c r="U1690" s="54">
        <v>235978.45</v>
      </c>
      <c r="V1690" s="54">
        <v>235978.45</v>
      </c>
      <c r="W1690" s="54">
        <v>235978.45</v>
      </c>
    </row>
    <row r="1691" spans="1:23" outlineLevel="2" x14ac:dyDescent="0.2">
      <c r="A1691" s="21" t="s">
        <v>999</v>
      </c>
      <c r="B1691" s="21" t="s">
        <v>39</v>
      </c>
      <c r="C1691" s="21" t="s">
        <v>58</v>
      </c>
      <c r="D1691" s="21" t="s">
        <v>149</v>
      </c>
      <c r="E1691" s="21" t="s">
        <v>150</v>
      </c>
      <c r="F1691" s="21" t="s">
        <v>837</v>
      </c>
      <c r="G1691" s="21" t="s">
        <v>838</v>
      </c>
      <c r="H1691" s="21" t="s">
        <v>1064</v>
      </c>
      <c r="I1691" s="21" t="s">
        <v>1065</v>
      </c>
      <c r="J1691" s="21" t="s">
        <v>1000</v>
      </c>
      <c r="K1691" s="21" t="s">
        <v>1043</v>
      </c>
      <c r="L1691" s="21" t="s">
        <v>1070</v>
      </c>
      <c r="M1691" s="21" t="s">
        <v>12</v>
      </c>
      <c r="N1691" s="54">
        <v>37618.75</v>
      </c>
      <c r="O1691" s="54">
        <v>0</v>
      </c>
      <c r="P1691" s="54">
        <v>0</v>
      </c>
      <c r="Q1691" s="54">
        <v>37618.75</v>
      </c>
      <c r="R1691" s="54">
        <v>0</v>
      </c>
      <c r="S1691" s="54">
        <v>21618.76</v>
      </c>
      <c r="T1691" s="54">
        <v>21618.76</v>
      </c>
      <c r="U1691" s="54">
        <v>15999.99</v>
      </c>
      <c r="V1691" s="54">
        <v>15999.99</v>
      </c>
      <c r="W1691" s="54">
        <v>15999.99</v>
      </c>
    </row>
    <row r="1692" spans="1:23" outlineLevel="2" x14ac:dyDescent="0.2">
      <c r="A1692" s="21" t="s">
        <v>999</v>
      </c>
      <c r="B1692" s="21" t="s">
        <v>39</v>
      </c>
      <c r="C1692" s="21" t="s">
        <v>58</v>
      </c>
      <c r="D1692" s="21" t="s">
        <v>149</v>
      </c>
      <c r="E1692" s="21" t="s">
        <v>150</v>
      </c>
      <c r="F1692" s="21" t="s">
        <v>837</v>
      </c>
      <c r="G1692" s="21" t="s">
        <v>838</v>
      </c>
      <c r="H1692" s="21" t="s">
        <v>1064</v>
      </c>
      <c r="I1692" s="21" t="s">
        <v>1065</v>
      </c>
      <c r="J1692" s="21" t="s">
        <v>1000</v>
      </c>
      <c r="K1692" s="21" t="s">
        <v>1043</v>
      </c>
      <c r="L1692" s="21" t="s">
        <v>1070</v>
      </c>
      <c r="M1692" s="21" t="s">
        <v>15</v>
      </c>
      <c r="N1692" s="54">
        <v>0</v>
      </c>
      <c r="O1692" s="54">
        <v>36031.24</v>
      </c>
      <c r="P1692" s="54">
        <v>0</v>
      </c>
      <c r="Q1692" s="54">
        <v>36031.24</v>
      </c>
      <c r="R1692" s="54">
        <v>0</v>
      </c>
      <c r="S1692" s="54">
        <v>36031.24</v>
      </c>
      <c r="T1692" s="54">
        <v>36031.24</v>
      </c>
      <c r="U1692" s="54">
        <v>0</v>
      </c>
      <c r="V1692" s="54">
        <v>0</v>
      </c>
      <c r="W1692" s="54">
        <v>0</v>
      </c>
    </row>
    <row r="1693" spans="1:23" outlineLevel="2" x14ac:dyDescent="0.2">
      <c r="A1693" s="21" t="s">
        <v>999</v>
      </c>
      <c r="B1693" s="21" t="s">
        <v>39</v>
      </c>
      <c r="C1693" s="21" t="s">
        <v>58</v>
      </c>
      <c r="D1693" s="21" t="s">
        <v>143</v>
      </c>
      <c r="E1693" s="21" t="s">
        <v>144</v>
      </c>
      <c r="F1693" s="21" t="s">
        <v>837</v>
      </c>
      <c r="G1693" s="21" t="s">
        <v>838</v>
      </c>
      <c r="H1693" s="21" t="s">
        <v>1064</v>
      </c>
      <c r="I1693" s="21" t="s">
        <v>1065</v>
      </c>
      <c r="J1693" s="21" t="s">
        <v>1000</v>
      </c>
      <c r="K1693" s="21" t="s">
        <v>1071</v>
      </c>
      <c r="L1693" s="21" t="s">
        <v>1072</v>
      </c>
      <c r="M1693" s="21" t="s">
        <v>12</v>
      </c>
      <c r="N1693" s="54">
        <v>0</v>
      </c>
      <c r="O1693" s="54">
        <v>149381.75</v>
      </c>
      <c r="P1693" s="54">
        <v>0</v>
      </c>
      <c r="Q1693" s="54">
        <v>149381.75</v>
      </c>
      <c r="R1693" s="54">
        <v>56000</v>
      </c>
      <c r="S1693" s="54">
        <v>0</v>
      </c>
      <c r="T1693" s="54">
        <v>0</v>
      </c>
      <c r="U1693" s="54">
        <v>149381.75</v>
      </c>
      <c r="V1693" s="54">
        <v>149381.75</v>
      </c>
      <c r="W1693" s="54">
        <v>93381.75</v>
      </c>
    </row>
    <row r="1694" spans="1:23" outlineLevel="2" x14ac:dyDescent="0.2">
      <c r="A1694" s="21" t="s">
        <v>999</v>
      </c>
      <c r="B1694" s="21" t="s">
        <v>39</v>
      </c>
      <c r="C1694" s="21" t="s">
        <v>58</v>
      </c>
      <c r="D1694" s="21" t="s">
        <v>145</v>
      </c>
      <c r="E1694" s="21" t="s">
        <v>146</v>
      </c>
      <c r="F1694" s="21" t="s">
        <v>837</v>
      </c>
      <c r="G1694" s="21" t="s">
        <v>838</v>
      </c>
      <c r="H1694" s="21" t="s">
        <v>1064</v>
      </c>
      <c r="I1694" s="21" t="s">
        <v>1065</v>
      </c>
      <c r="J1694" s="21" t="s">
        <v>1000</v>
      </c>
      <c r="K1694" s="21" t="s">
        <v>1011</v>
      </c>
      <c r="L1694" s="21" t="s">
        <v>1073</v>
      </c>
      <c r="M1694" s="21" t="s">
        <v>12</v>
      </c>
      <c r="N1694" s="54">
        <v>9532</v>
      </c>
      <c r="O1694" s="54">
        <v>0</v>
      </c>
      <c r="P1694" s="54">
        <v>0</v>
      </c>
      <c r="Q1694" s="54">
        <v>9532</v>
      </c>
      <c r="R1694" s="54">
        <v>0</v>
      </c>
      <c r="S1694" s="54">
        <v>0</v>
      </c>
      <c r="T1694" s="54">
        <v>0</v>
      </c>
      <c r="U1694" s="54">
        <v>9532</v>
      </c>
      <c r="V1694" s="54">
        <v>9532</v>
      </c>
      <c r="W1694" s="54">
        <v>9532</v>
      </c>
    </row>
    <row r="1695" spans="1:23" outlineLevel="2" x14ac:dyDescent="0.2">
      <c r="A1695" s="21" t="s">
        <v>999</v>
      </c>
      <c r="B1695" s="21" t="s">
        <v>39</v>
      </c>
      <c r="C1695" s="21" t="s">
        <v>58</v>
      </c>
      <c r="D1695" s="21" t="s">
        <v>149</v>
      </c>
      <c r="E1695" s="21" t="s">
        <v>150</v>
      </c>
      <c r="F1695" s="21" t="s">
        <v>837</v>
      </c>
      <c r="G1695" s="21" t="s">
        <v>838</v>
      </c>
      <c r="H1695" s="21" t="s">
        <v>1064</v>
      </c>
      <c r="I1695" s="21" t="s">
        <v>1065</v>
      </c>
      <c r="J1695" s="21" t="s">
        <v>1000</v>
      </c>
      <c r="K1695" s="21" t="s">
        <v>1011</v>
      </c>
      <c r="L1695" s="21" t="s">
        <v>1073</v>
      </c>
      <c r="M1695" s="21" t="s">
        <v>12</v>
      </c>
      <c r="N1695" s="54">
        <v>3500</v>
      </c>
      <c r="O1695" s="54">
        <v>-2000</v>
      </c>
      <c r="P1695" s="54">
        <v>0</v>
      </c>
      <c r="Q1695" s="54">
        <v>1500</v>
      </c>
      <c r="R1695" s="54">
        <v>0</v>
      </c>
      <c r="S1695" s="54">
        <v>0</v>
      </c>
      <c r="T1695" s="54">
        <v>0</v>
      </c>
      <c r="U1695" s="54">
        <v>1500</v>
      </c>
      <c r="V1695" s="54">
        <v>1500</v>
      </c>
      <c r="W1695" s="54">
        <v>1500</v>
      </c>
    </row>
    <row r="1696" spans="1:23" outlineLevel="2" x14ac:dyDescent="0.2">
      <c r="A1696" s="21" t="s">
        <v>999</v>
      </c>
      <c r="B1696" s="21" t="s">
        <v>39</v>
      </c>
      <c r="C1696" s="21" t="s">
        <v>58</v>
      </c>
      <c r="D1696" s="21" t="s">
        <v>139</v>
      </c>
      <c r="E1696" s="21" t="s">
        <v>140</v>
      </c>
      <c r="F1696" s="21" t="s">
        <v>837</v>
      </c>
      <c r="G1696" s="21" t="s">
        <v>838</v>
      </c>
      <c r="H1696" s="21" t="s">
        <v>1064</v>
      </c>
      <c r="I1696" s="21" t="s">
        <v>1065</v>
      </c>
      <c r="J1696" s="21" t="s">
        <v>1000</v>
      </c>
      <c r="K1696" s="21" t="s">
        <v>1074</v>
      </c>
      <c r="L1696" s="21" t="s">
        <v>1075</v>
      </c>
      <c r="M1696" s="21" t="s">
        <v>12</v>
      </c>
      <c r="N1696" s="54">
        <v>63199.360000000001</v>
      </c>
      <c r="O1696" s="54">
        <v>-11331.6</v>
      </c>
      <c r="P1696" s="54">
        <v>0</v>
      </c>
      <c r="Q1696" s="54">
        <v>51867.76</v>
      </c>
      <c r="R1696" s="54">
        <v>0</v>
      </c>
      <c r="S1696" s="54">
        <v>0</v>
      </c>
      <c r="T1696" s="54">
        <v>0</v>
      </c>
      <c r="U1696" s="54">
        <v>51867.76</v>
      </c>
      <c r="V1696" s="54">
        <v>51867.76</v>
      </c>
      <c r="W1696" s="54">
        <v>51867.76</v>
      </c>
    </row>
    <row r="1697" spans="1:23" outlineLevel="2" x14ac:dyDescent="0.2">
      <c r="A1697" s="21" t="s">
        <v>999</v>
      </c>
      <c r="B1697" s="21" t="s">
        <v>39</v>
      </c>
      <c r="C1697" s="21" t="s">
        <v>58</v>
      </c>
      <c r="D1697" s="21" t="s">
        <v>149</v>
      </c>
      <c r="E1697" s="21" t="s">
        <v>150</v>
      </c>
      <c r="F1697" s="21" t="s">
        <v>837</v>
      </c>
      <c r="G1697" s="21" t="s">
        <v>838</v>
      </c>
      <c r="H1697" s="21" t="s">
        <v>1064</v>
      </c>
      <c r="I1697" s="21" t="s">
        <v>1065</v>
      </c>
      <c r="J1697" s="21" t="s">
        <v>1000</v>
      </c>
      <c r="K1697" s="21" t="s">
        <v>1015</v>
      </c>
      <c r="L1697" s="21" t="s">
        <v>1076</v>
      </c>
      <c r="M1697" s="21" t="s">
        <v>15</v>
      </c>
      <c r="N1697" s="54">
        <v>0</v>
      </c>
      <c r="O1697" s="54">
        <v>15812.51</v>
      </c>
      <c r="P1697" s="54">
        <v>0</v>
      </c>
      <c r="Q1697" s="54">
        <v>15812.51</v>
      </c>
      <c r="R1697" s="54">
        <v>0</v>
      </c>
      <c r="S1697" s="54">
        <v>15812.5</v>
      </c>
      <c r="T1697" s="54">
        <v>15812.5</v>
      </c>
      <c r="U1697" s="54">
        <v>0.01</v>
      </c>
      <c r="V1697" s="54">
        <v>0.01</v>
      </c>
      <c r="W1697" s="54">
        <v>0.01</v>
      </c>
    </row>
    <row r="1698" spans="1:23" outlineLevel="2" x14ac:dyDescent="0.2">
      <c r="A1698" s="21" t="s">
        <v>999</v>
      </c>
      <c r="B1698" s="21" t="s">
        <v>39</v>
      </c>
      <c r="C1698" s="21" t="s">
        <v>58</v>
      </c>
      <c r="D1698" s="21" t="s">
        <v>149</v>
      </c>
      <c r="E1698" s="21" t="s">
        <v>150</v>
      </c>
      <c r="F1698" s="21" t="s">
        <v>837</v>
      </c>
      <c r="G1698" s="21" t="s">
        <v>838</v>
      </c>
      <c r="H1698" s="21" t="s">
        <v>1064</v>
      </c>
      <c r="I1698" s="21" t="s">
        <v>1065</v>
      </c>
      <c r="J1698" s="21" t="s">
        <v>1000</v>
      </c>
      <c r="K1698" s="21" t="s">
        <v>1015</v>
      </c>
      <c r="L1698" s="21" t="s">
        <v>1076</v>
      </c>
      <c r="M1698" s="21" t="s">
        <v>12</v>
      </c>
      <c r="N1698" s="54">
        <v>14005.36</v>
      </c>
      <c r="O1698" s="54">
        <v>0</v>
      </c>
      <c r="P1698" s="54">
        <v>0</v>
      </c>
      <c r="Q1698" s="54">
        <v>14005.36</v>
      </c>
      <c r="R1698" s="54">
        <v>0.01</v>
      </c>
      <c r="S1698" s="54">
        <v>9487.49</v>
      </c>
      <c r="T1698" s="54">
        <v>9487.49</v>
      </c>
      <c r="U1698" s="54">
        <v>4517.87</v>
      </c>
      <c r="V1698" s="54">
        <v>4517.87</v>
      </c>
      <c r="W1698" s="54">
        <v>4517.8599999999997</v>
      </c>
    </row>
    <row r="1699" spans="1:23" outlineLevel="2" x14ac:dyDescent="0.2">
      <c r="A1699" s="21" t="s">
        <v>999</v>
      </c>
      <c r="B1699" s="21" t="s">
        <v>39</v>
      </c>
      <c r="C1699" s="21" t="s">
        <v>58</v>
      </c>
      <c r="D1699" s="21" t="s">
        <v>135</v>
      </c>
      <c r="E1699" s="21" t="s">
        <v>136</v>
      </c>
      <c r="F1699" s="21" t="s">
        <v>837</v>
      </c>
      <c r="G1699" s="21" t="s">
        <v>838</v>
      </c>
      <c r="H1699" s="21" t="s">
        <v>1064</v>
      </c>
      <c r="I1699" s="21" t="s">
        <v>1065</v>
      </c>
      <c r="J1699" s="21" t="s">
        <v>1000</v>
      </c>
      <c r="K1699" s="21" t="s">
        <v>1015</v>
      </c>
      <c r="L1699" s="21" t="s">
        <v>1076</v>
      </c>
      <c r="M1699" s="21" t="s">
        <v>12</v>
      </c>
      <c r="N1699" s="54">
        <v>53420.66</v>
      </c>
      <c r="O1699" s="54">
        <v>-2399.89</v>
      </c>
      <c r="P1699" s="54">
        <v>0</v>
      </c>
      <c r="Q1699" s="54">
        <v>51020.77</v>
      </c>
      <c r="R1699" s="54">
        <v>0</v>
      </c>
      <c r="S1699" s="54">
        <v>49690.03</v>
      </c>
      <c r="T1699" s="54">
        <v>49690.03</v>
      </c>
      <c r="U1699" s="54">
        <v>1330.74</v>
      </c>
      <c r="V1699" s="54">
        <v>1330.74</v>
      </c>
      <c r="W1699" s="54">
        <v>1330.74</v>
      </c>
    </row>
    <row r="1700" spans="1:23" outlineLevel="2" x14ac:dyDescent="0.2">
      <c r="A1700" s="21" t="s">
        <v>999</v>
      </c>
      <c r="B1700" s="21" t="s">
        <v>39</v>
      </c>
      <c r="C1700" s="21" t="s">
        <v>58</v>
      </c>
      <c r="D1700" s="21" t="s">
        <v>145</v>
      </c>
      <c r="E1700" s="21" t="s">
        <v>146</v>
      </c>
      <c r="F1700" s="21" t="s">
        <v>837</v>
      </c>
      <c r="G1700" s="21" t="s">
        <v>838</v>
      </c>
      <c r="H1700" s="21" t="s">
        <v>1064</v>
      </c>
      <c r="I1700" s="21" t="s">
        <v>1065</v>
      </c>
      <c r="J1700" s="21" t="s">
        <v>1000</v>
      </c>
      <c r="K1700" s="21" t="s">
        <v>1015</v>
      </c>
      <c r="L1700" s="21" t="s">
        <v>1076</v>
      </c>
      <c r="M1700" s="21" t="s">
        <v>12</v>
      </c>
      <c r="N1700" s="54">
        <v>0</v>
      </c>
      <c r="O1700" s="54">
        <v>77800</v>
      </c>
      <c r="P1700" s="54">
        <v>0</v>
      </c>
      <c r="Q1700" s="54">
        <v>77800</v>
      </c>
      <c r="R1700" s="54">
        <v>0</v>
      </c>
      <c r="S1700" s="54">
        <v>0</v>
      </c>
      <c r="T1700" s="54">
        <v>0</v>
      </c>
      <c r="U1700" s="54">
        <v>77800</v>
      </c>
      <c r="V1700" s="54">
        <v>77800</v>
      </c>
      <c r="W1700" s="54">
        <v>77800</v>
      </c>
    </row>
    <row r="1701" spans="1:23" outlineLevel="2" x14ac:dyDescent="0.2">
      <c r="A1701" s="21" t="s">
        <v>999</v>
      </c>
      <c r="B1701" s="21" t="s">
        <v>39</v>
      </c>
      <c r="C1701" s="21" t="s">
        <v>58</v>
      </c>
      <c r="D1701" s="21" t="s">
        <v>143</v>
      </c>
      <c r="E1701" s="21" t="s">
        <v>144</v>
      </c>
      <c r="F1701" s="21" t="s">
        <v>837</v>
      </c>
      <c r="G1701" s="21" t="s">
        <v>838</v>
      </c>
      <c r="H1701" s="21" t="s">
        <v>1064</v>
      </c>
      <c r="I1701" s="21" t="s">
        <v>1065</v>
      </c>
      <c r="J1701" s="21" t="s">
        <v>1000</v>
      </c>
      <c r="K1701" s="21" t="s">
        <v>1015</v>
      </c>
      <c r="L1701" s="21" t="s">
        <v>1076</v>
      </c>
      <c r="M1701" s="21" t="s">
        <v>12</v>
      </c>
      <c r="N1701" s="54">
        <v>0</v>
      </c>
      <c r="O1701" s="54">
        <v>45000</v>
      </c>
      <c r="P1701" s="54">
        <v>0</v>
      </c>
      <c r="Q1701" s="54">
        <v>45000</v>
      </c>
      <c r="R1701" s="54">
        <v>26768</v>
      </c>
      <c r="S1701" s="54">
        <v>0</v>
      </c>
      <c r="T1701" s="54">
        <v>0</v>
      </c>
      <c r="U1701" s="54">
        <v>45000</v>
      </c>
      <c r="V1701" s="54">
        <v>45000</v>
      </c>
      <c r="W1701" s="54">
        <v>18232</v>
      </c>
    </row>
    <row r="1702" spans="1:23" outlineLevel="2" x14ac:dyDescent="0.2">
      <c r="A1702" s="21" t="s">
        <v>999</v>
      </c>
      <c r="B1702" s="21" t="s">
        <v>39</v>
      </c>
      <c r="C1702" s="21" t="s">
        <v>58</v>
      </c>
      <c r="D1702" s="21" t="s">
        <v>149</v>
      </c>
      <c r="E1702" s="21" t="s">
        <v>150</v>
      </c>
      <c r="F1702" s="21" t="s">
        <v>837</v>
      </c>
      <c r="G1702" s="21" t="s">
        <v>838</v>
      </c>
      <c r="H1702" s="21" t="s">
        <v>1064</v>
      </c>
      <c r="I1702" s="21" t="s">
        <v>1065</v>
      </c>
      <c r="J1702" s="21" t="s">
        <v>1000</v>
      </c>
      <c r="K1702" s="21" t="s">
        <v>1017</v>
      </c>
      <c r="L1702" s="21" t="s">
        <v>1077</v>
      </c>
      <c r="M1702" s="21" t="s">
        <v>12</v>
      </c>
      <c r="N1702" s="54">
        <v>11309.76</v>
      </c>
      <c r="O1702" s="54">
        <v>0</v>
      </c>
      <c r="P1702" s="54">
        <v>0</v>
      </c>
      <c r="Q1702" s="54">
        <v>11309.76</v>
      </c>
      <c r="R1702" s="54">
        <v>0</v>
      </c>
      <c r="S1702" s="54">
        <v>0</v>
      </c>
      <c r="T1702" s="54">
        <v>0</v>
      </c>
      <c r="U1702" s="54">
        <v>11309.76</v>
      </c>
      <c r="V1702" s="54">
        <v>11309.76</v>
      </c>
      <c r="W1702" s="54">
        <v>11309.76</v>
      </c>
    </row>
    <row r="1703" spans="1:23" outlineLevel="2" x14ac:dyDescent="0.2">
      <c r="A1703" s="21" t="s">
        <v>999</v>
      </c>
      <c r="B1703" s="21" t="s">
        <v>39</v>
      </c>
      <c r="C1703" s="21" t="s">
        <v>58</v>
      </c>
      <c r="D1703" s="21" t="s">
        <v>143</v>
      </c>
      <c r="E1703" s="21" t="s">
        <v>144</v>
      </c>
      <c r="F1703" s="21" t="s">
        <v>837</v>
      </c>
      <c r="G1703" s="21" t="s">
        <v>838</v>
      </c>
      <c r="H1703" s="21" t="s">
        <v>1064</v>
      </c>
      <c r="I1703" s="21" t="s">
        <v>1065</v>
      </c>
      <c r="J1703" s="21" t="s">
        <v>1000</v>
      </c>
      <c r="K1703" s="21" t="s">
        <v>1017</v>
      </c>
      <c r="L1703" s="21" t="s">
        <v>1077</v>
      </c>
      <c r="M1703" s="21" t="s">
        <v>12</v>
      </c>
      <c r="N1703" s="54">
        <v>0</v>
      </c>
      <c r="O1703" s="54">
        <v>50000</v>
      </c>
      <c r="P1703" s="54">
        <v>0</v>
      </c>
      <c r="Q1703" s="54">
        <v>50000</v>
      </c>
      <c r="R1703" s="54">
        <v>0</v>
      </c>
      <c r="S1703" s="54">
        <v>0</v>
      </c>
      <c r="T1703" s="54">
        <v>0</v>
      </c>
      <c r="U1703" s="54">
        <v>50000</v>
      </c>
      <c r="V1703" s="54">
        <v>50000</v>
      </c>
      <c r="W1703" s="54">
        <v>50000</v>
      </c>
    </row>
    <row r="1704" spans="1:23" outlineLevel="2" x14ac:dyDescent="0.2">
      <c r="A1704" s="21" t="s">
        <v>999</v>
      </c>
      <c r="B1704" s="21" t="s">
        <v>39</v>
      </c>
      <c r="C1704" s="21" t="s">
        <v>58</v>
      </c>
      <c r="D1704" s="21" t="s">
        <v>139</v>
      </c>
      <c r="E1704" s="21" t="s">
        <v>140</v>
      </c>
      <c r="F1704" s="21" t="s">
        <v>837</v>
      </c>
      <c r="G1704" s="21" t="s">
        <v>838</v>
      </c>
      <c r="H1704" s="21" t="s">
        <v>1064</v>
      </c>
      <c r="I1704" s="21" t="s">
        <v>1065</v>
      </c>
      <c r="J1704" s="21" t="s">
        <v>1000</v>
      </c>
      <c r="K1704" s="21" t="s">
        <v>1078</v>
      </c>
      <c r="L1704" s="21" t="s">
        <v>1079</v>
      </c>
      <c r="M1704" s="21" t="s">
        <v>12</v>
      </c>
      <c r="N1704" s="54">
        <v>5000</v>
      </c>
      <c r="O1704" s="54">
        <v>0</v>
      </c>
      <c r="P1704" s="54">
        <v>0</v>
      </c>
      <c r="Q1704" s="54">
        <v>5000</v>
      </c>
      <c r="R1704" s="54">
        <v>0</v>
      </c>
      <c r="S1704" s="54">
        <v>0</v>
      </c>
      <c r="T1704" s="54">
        <v>0</v>
      </c>
      <c r="U1704" s="54">
        <v>5000</v>
      </c>
      <c r="V1704" s="54">
        <v>5000</v>
      </c>
      <c r="W1704" s="54">
        <v>5000</v>
      </c>
    </row>
    <row r="1705" spans="1:23" outlineLevel="2" x14ac:dyDescent="0.2">
      <c r="A1705" s="21" t="s">
        <v>999</v>
      </c>
      <c r="B1705" s="21" t="s">
        <v>39</v>
      </c>
      <c r="C1705" s="21" t="s">
        <v>58</v>
      </c>
      <c r="D1705" s="21" t="s">
        <v>145</v>
      </c>
      <c r="E1705" s="21" t="s">
        <v>146</v>
      </c>
      <c r="F1705" s="21" t="s">
        <v>837</v>
      </c>
      <c r="G1705" s="21" t="s">
        <v>838</v>
      </c>
      <c r="H1705" s="21" t="s">
        <v>1064</v>
      </c>
      <c r="I1705" s="21" t="s">
        <v>1065</v>
      </c>
      <c r="J1705" s="21" t="s">
        <v>1000</v>
      </c>
      <c r="K1705" s="21" t="s">
        <v>1078</v>
      </c>
      <c r="L1705" s="21" t="s">
        <v>1079</v>
      </c>
      <c r="M1705" s="21" t="s">
        <v>12</v>
      </c>
      <c r="N1705" s="54">
        <v>46895.199999999997</v>
      </c>
      <c r="O1705" s="54">
        <v>2240</v>
      </c>
      <c r="P1705" s="54">
        <v>0</v>
      </c>
      <c r="Q1705" s="54">
        <v>49135.199999999997</v>
      </c>
      <c r="R1705" s="54">
        <v>0</v>
      </c>
      <c r="S1705" s="54">
        <v>0</v>
      </c>
      <c r="T1705" s="54">
        <v>0</v>
      </c>
      <c r="U1705" s="54">
        <v>49135.199999999997</v>
      </c>
      <c r="V1705" s="54">
        <v>49135.199999999997</v>
      </c>
      <c r="W1705" s="54">
        <v>49135.199999999997</v>
      </c>
    </row>
    <row r="1706" spans="1:23" outlineLevel="2" x14ac:dyDescent="0.2">
      <c r="A1706" s="21" t="s">
        <v>999</v>
      </c>
      <c r="B1706" s="21" t="s">
        <v>39</v>
      </c>
      <c r="C1706" s="21" t="s">
        <v>58</v>
      </c>
      <c r="D1706" s="21" t="s">
        <v>149</v>
      </c>
      <c r="E1706" s="21" t="s">
        <v>150</v>
      </c>
      <c r="F1706" s="21" t="s">
        <v>837</v>
      </c>
      <c r="G1706" s="21" t="s">
        <v>838</v>
      </c>
      <c r="H1706" s="21" t="s">
        <v>1064</v>
      </c>
      <c r="I1706" s="21" t="s">
        <v>1065</v>
      </c>
      <c r="J1706" s="21" t="s">
        <v>1000</v>
      </c>
      <c r="K1706" s="21" t="s">
        <v>1078</v>
      </c>
      <c r="L1706" s="21" t="s">
        <v>1079</v>
      </c>
      <c r="M1706" s="21" t="s">
        <v>12</v>
      </c>
      <c r="N1706" s="54">
        <v>9500</v>
      </c>
      <c r="O1706" s="54">
        <v>-5000</v>
      </c>
      <c r="P1706" s="54">
        <v>0</v>
      </c>
      <c r="Q1706" s="54">
        <v>4500</v>
      </c>
      <c r="R1706" s="54">
        <v>0</v>
      </c>
      <c r="S1706" s="54">
        <v>0</v>
      </c>
      <c r="T1706" s="54">
        <v>0</v>
      </c>
      <c r="U1706" s="54">
        <v>4500</v>
      </c>
      <c r="V1706" s="54">
        <v>4500</v>
      </c>
      <c r="W1706" s="54">
        <v>4500</v>
      </c>
    </row>
    <row r="1707" spans="1:23" outlineLevel="2" x14ac:dyDescent="0.2">
      <c r="A1707" s="21" t="s">
        <v>999</v>
      </c>
      <c r="B1707" s="21" t="s">
        <v>39</v>
      </c>
      <c r="C1707" s="21" t="s">
        <v>58</v>
      </c>
      <c r="D1707" s="21" t="s">
        <v>147</v>
      </c>
      <c r="E1707" s="21" t="s">
        <v>148</v>
      </c>
      <c r="F1707" s="21" t="s">
        <v>837</v>
      </c>
      <c r="G1707" s="21" t="s">
        <v>838</v>
      </c>
      <c r="H1707" s="21" t="s">
        <v>1064</v>
      </c>
      <c r="I1707" s="21" t="s">
        <v>1065</v>
      </c>
      <c r="J1707" s="21" t="s">
        <v>1000</v>
      </c>
      <c r="K1707" s="21" t="s">
        <v>1078</v>
      </c>
      <c r="L1707" s="21" t="s">
        <v>1079</v>
      </c>
      <c r="M1707" s="21" t="s">
        <v>12</v>
      </c>
      <c r="N1707" s="54">
        <v>11520</v>
      </c>
      <c r="O1707" s="54">
        <v>0</v>
      </c>
      <c r="P1707" s="54">
        <v>0</v>
      </c>
      <c r="Q1707" s="54">
        <v>11520</v>
      </c>
      <c r="R1707" s="54">
        <v>7840</v>
      </c>
      <c r="S1707" s="54">
        <v>0</v>
      </c>
      <c r="T1707" s="54">
        <v>0</v>
      </c>
      <c r="U1707" s="54">
        <v>11520</v>
      </c>
      <c r="V1707" s="54">
        <v>11520</v>
      </c>
      <c r="W1707" s="54">
        <v>3680</v>
      </c>
    </row>
    <row r="1708" spans="1:23" outlineLevel="2" x14ac:dyDescent="0.2">
      <c r="A1708" s="21" t="s">
        <v>999</v>
      </c>
      <c r="B1708" s="21" t="s">
        <v>39</v>
      </c>
      <c r="C1708" s="21" t="s">
        <v>58</v>
      </c>
      <c r="D1708" s="21" t="s">
        <v>143</v>
      </c>
      <c r="E1708" s="21" t="s">
        <v>144</v>
      </c>
      <c r="F1708" s="21" t="s">
        <v>837</v>
      </c>
      <c r="G1708" s="21" t="s">
        <v>838</v>
      </c>
      <c r="H1708" s="21" t="s">
        <v>1064</v>
      </c>
      <c r="I1708" s="21" t="s">
        <v>1065</v>
      </c>
      <c r="J1708" s="21" t="s">
        <v>1000</v>
      </c>
      <c r="K1708" s="21" t="s">
        <v>1078</v>
      </c>
      <c r="L1708" s="21" t="s">
        <v>1079</v>
      </c>
      <c r="M1708" s="21" t="s">
        <v>12</v>
      </c>
      <c r="N1708" s="54">
        <v>16557.95</v>
      </c>
      <c r="O1708" s="54">
        <v>0</v>
      </c>
      <c r="P1708" s="54">
        <v>0</v>
      </c>
      <c r="Q1708" s="54">
        <v>16557.95</v>
      </c>
      <c r="R1708" s="54">
        <v>0</v>
      </c>
      <c r="S1708" s="54">
        <v>0</v>
      </c>
      <c r="T1708" s="54">
        <v>0</v>
      </c>
      <c r="U1708" s="54">
        <v>16557.95</v>
      </c>
      <c r="V1708" s="54">
        <v>16557.95</v>
      </c>
      <c r="W1708" s="54">
        <v>16557.95</v>
      </c>
    </row>
    <row r="1709" spans="1:23" outlineLevel="2" x14ac:dyDescent="0.2">
      <c r="A1709" s="21" t="s">
        <v>999</v>
      </c>
      <c r="B1709" s="21" t="s">
        <v>39</v>
      </c>
      <c r="C1709" s="21" t="s">
        <v>58</v>
      </c>
      <c r="D1709" s="21" t="s">
        <v>149</v>
      </c>
      <c r="E1709" s="21" t="s">
        <v>150</v>
      </c>
      <c r="F1709" s="21" t="s">
        <v>837</v>
      </c>
      <c r="G1709" s="21" t="s">
        <v>838</v>
      </c>
      <c r="H1709" s="21" t="s">
        <v>1064</v>
      </c>
      <c r="I1709" s="21" t="s">
        <v>1065</v>
      </c>
      <c r="J1709" s="21" t="s">
        <v>1000</v>
      </c>
      <c r="K1709" s="21" t="s">
        <v>1061</v>
      </c>
      <c r="L1709" s="21" t="s">
        <v>1080</v>
      </c>
      <c r="M1709" s="21" t="s">
        <v>12</v>
      </c>
      <c r="N1709" s="54">
        <v>1000</v>
      </c>
      <c r="O1709" s="54">
        <v>0</v>
      </c>
      <c r="P1709" s="54">
        <v>0</v>
      </c>
      <c r="Q1709" s="54">
        <v>1000</v>
      </c>
      <c r="R1709" s="54">
        <v>0</v>
      </c>
      <c r="S1709" s="54">
        <v>0</v>
      </c>
      <c r="T1709" s="54">
        <v>0</v>
      </c>
      <c r="U1709" s="54">
        <v>1000</v>
      </c>
      <c r="V1709" s="54">
        <v>1000</v>
      </c>
      <c r="W1709" s="54">
        <v>1000</v>
      </c>
    </row>
    <row r="1710" spans="1:23" outlineLevel="2" x14ac:dyDescent="0.2">
      <c r="A1710" s="21" t="s">
        <v>999</v>
      </c>
      <c r="B1710" s="21" t="s">
        <v>39</v>
      </c>
      <c r="C1710" s="21" t="s">
        <v>58</v>
      </c>
      <c r="D1710" s="21" t="s">
        <v>145</v>
      </c>
      <c r="E1710" s="21" t="s">
        <v>146</v>
      </c>
      <c r="F1710" s="21" t="s">
        <v>837</v>
      </c>
      <c r="G1710" s="21" t="s">
        <v>838</v>
      </c>
      <c r="H1710" s="21" t="s">
        <v>1064</v>
      </c>
      <c r="I1710" s="21" t="s">
        <v>1065</v>
      </c>
      <c r="J1710" s="21" t="s">
        <v>1000</v>
      </c>
      <c r="K1710" s="21" t="s">
        <v>1061</v>
      </c>
      <c r="L1710" s="21" t="s">
        <v>1080</v>
      </c>
      <c r="M1710" s="21" t="s">
        <v>12</v>
      </c>
      <c r="N1710" s="54">
        <v>1580.8</v>
      </c>
      <c r="O1710" s="54">
        <v>0</v>
      </c>
      <c r="P1710" s="54">
        <v>0</v>
      </c>
      <c r="Q1710" s="54">
        <v>1580.8</v>
      </c>
      <c r="R1710" s="54">
        <v>0</v>
      </c>
      <c r="S1710" s="54">
        <v>0</v>
      </c>
      <c r="T1710" s="54">
        <v>0</v>
      </c>
      <c r="U1710" s="54">
        <v>1580.8</v>
      </c>
      <c r="V1710" s="54">
        <v>1580.8</v>
      </c>
      <c r="W1710" s="54">
        <v>1580.8</v>
      </c>
    </row>
    <row r="1711" spans="1:23" outlineLevel="2" x14ac:dyDescent="0.2">
      <c r="A1711" s="21" t="s">
        <v>999</v>
      </c>
      <c r="B1711" s="21" t="s">
        <v>39</v>
      </c>
      <c r="C1711" s="21" t="s">
        <v>58</v>
      </c>
      <c r="D1711" s="21" t="s">
        <v>145</v>
      </c>
      <c r="E1711" s="21" t="s">
        <v>146</v>
      </c>
      <c r="F1711" s="21" t="s">
        <v>837</v>
      </c>
      <c r="G1711" s="21" t="s">
        <v>838</v>
      </c>
      <c r="H1711" s="21" t="s">
        <v>1064</v>
      </c>
      <c r="I1711" s="21" t="s">
        <v>1065</v>
      </c>
      <c r="J1711" s="21" t="s">
        <v>1000</v>
      </c>
      <c r="K1711" s="21" t="s">
        <v>1019</v>
      </c>
      <c r="L1711" s="21" t="s">
        <v>1081</v>
      </c>
      <c r="M1711" s="21" t="s">
        <v>12</v>
      </c>
      <c r="N1711" s="54">
        <v>2860</v>
      </c>
      <c r="O1711" s="54">
        <v>0</v>
      </c>
      <c r="P1711" s="54">
        <v>0</v>
      </c>
      <c r="Q1711" s="54">
        <v>2860</v>
      </c>
      <c r="R1711" s="54">
        <v>0</v>
      </c>
      <c r="S1711" s="54">
        <v>0</v>
      </c>
      <c r="T1711" s="54">
        <v>0</v>
      </c>
      <c r="U1711" s="54">
        <v>2860</v>
      </c>
      <c r="V1711" s="54">
        <v>2860</v>
      </c>
      <c r="W1711" s="54">
        <v>2860</v>
      </c>
    </row>
    <row r="1712" spans="1:23" outlineLevel="2" x14ac:dyDescent="0.2">
      <c r="A1712" s="21" t="s">
        <v>999</v>
      </c>
      <c r="B1712" s="21" t="s">
        <v>39</v>
      </c>
      <c r="C1712" s="21" t="s">
        <v>58</v>
      </c>
      <c r="D1712" s="21" t="s">
        <v>137</v>
      </c>
      <c r="E1712" s="21" t="s">
        <v>138</v>
      </c>
      <c r="F1712" s="21" t="s">
        <v>837</v>
      </c>
      <c r="G1712" s="21" t="s">
        <v>838</v>
      </c>
      <c r="H1712" s="21" t="s">
        <v>1064</v>
      </c>
      <c r="I1712" s="21" t="s">
        <v>1065</v>
      </c>
      <c r="J1712" s="21" t="s">
        <v>1000</v>
      </c>
      <c r="K1712" s="21" t="s">
        <v>1082</v>
      </c>
      <c r="L1712" s="21" t="s">
        <v>1083</v>
      </c>
      <c r="M1712" s="21" t="s">
        <v>12</v>
      </c>
      <c r="N1712" s="54">
        <v>100000</v>
      </c>
      <c r="O1712" s="54">
        <v>0</v>
      </c>
      <c r="P1712" s="54">
        <v>0</v>
      </c>
      <c r="Q1712" s="54">
        <v>100000</v>
      </c>
      <c r="R1712" s="54">
        <v>99999.66</v>
      </c>
      <c r="S1712" s="54">
        <v>0</v>
      </c>
      <c r="T1712" s="54">
        <v>0</v>
      </c>
      <c r="U1712" s="54">
        <v>100000</v>
      </c>
      <c r="V1712" s="54">
        <v>100000</v>
      </c>
      <c r="W1712" s="54">
        <v>0.34</v>
      </c>
    </row>
    <row r="1713" spans="1:23" outlineLevel="2" x14ac:dyDescent="0.2">
      <c r="A1713" s="21" t="s">
        <v>999</v>
      </c>
      <c r="B1713" s="21" t="s">
        <v>39</v>
      </c>
      <c r="C1713" s="21" t="s">
        <v>58</v>
      </c>
      <c r="D1713" s="21" t="s">
        <v>135</v>
      </c>
      <c r="E1713" s="21" t="s">
        <v>136</v>
      </c>
      <c r="F1713" s="21" t="s">
        <v>837</v>
      </c>
      <c r="G1713" s="21" t="s">
        <v>838</v>
      </c>
      <c r="H1713" s="21" t="s">
        <v>1064</v>
      </c>
      <c r="I1713" s="21" t="s">
        <v>1065</v>
      </c>
      <c r="J1713" s="21" t="s">
        <v>1000</v>
      </c>
      <c r="K1713" s="21" t="s">
        <v>1082</v>
      </c>
      <c r="L1713" s="21" t="s">
        <v>1083</v>
      </c>
      <c r="M1713" s="21" t="s">
        <v>12</v>
      </c>
      <c r="N1713" s="54">
        <v>316988.88</v>
      </c>
      <c r="O1713" s="54">
        <v>-19518</v>
      </c>
      <c r="P1713" s="54">
        <v>0</v>
      </c>
      <c r="Q1713" s="54">
        <v>297470.88</v>
      </c>
      <c r="R1713" s="54">
        <v>114860.8</v>
      </c>
      <c r="S1713" s="54">
        <v>182610.08</v>
      </c>
      <c r="T1713" s="54">
        <v>0</v>
      </c>
      <c r="U1713" s="54">
        <v>114860.8</v>
      </c>
      <c r="V1713" s="54">
        <v>297470.88</v>
      </c>
      <c r="W1713" s="54">
        <v>0</v>
      </c>
    </row>
    <row r="1714" spans="1:23" outlineLevel="2" x14ac:dyDescent="0.2">
      <c r="A1714" s="21" t="s">
        <v>999</v>
      </c>
      <c r="B1714" s="21" t="s">
        <v>39</v>
      </c>
      <c r="C1714" s="21" t="s">
        <v>58</v>
      </c>
      <c r="D1714" s="21" t="s">
        <v>149</v>
      </c>
      <c r="E1714" s="21" t="s">
        <v>150</v>
      </c>
      <c r="F1714" s="21" t="s">
        <v>837</v>
      </c>
      <c r="G1714" s="21" t="s">
        <v>838</v>
      </c>
      <c r="H1714" s="21" t="s">
        <v>1064</v>
      </c>
      <c r="I1714" s="21" t="s">
        <v>1065</v>
      </c>
      <c r="J1714" s="21" t="s">
        <v>1000</v>
      </c>
      <c r="K1714" s="21" t="s">
        <v>1082</v>
      </c>
      <c r="L1714" s="21" t="s">
        <v>1083</v>
      </c>
      <c r="M1714" s="21" t="s">
        <v>12</v>
      </c>
      <c r="N1714" s="54">
        <v>3000</v>
      </c>
      <c r="O1714" s="54">
        <v>0</v>
      </c>
      <c r="P1714" s="54">
        <v>0</v>
      </c>
      <c r="Q1714" s="54">
        <v>3000</v>
      </c>
      <c r="R1714" s="54">
        <v>2700.19</v>
      </c>
      <c r="S1714" s="54">
        <v>0</v>
      </c>
      <c r="T1714" s="54">
        <v>0</v>
      </c>
      <c r="U1714" s="54">
        <v>3000</v>
      </c>
      <c r="V1714" s="54">
        <v>3000</v>
      </c>
      <c r="W1714" s="54">
        <v>299.81</v>
      </c>
    </row>
    <row r="1715" spans="1:23" outlineLevel="2" x14ac:dyDescent="0.2">
      <c r="A1715" s="21" t="s">
        <v>999</v>
      </c>
      <c r="B1715" s="21" t="s">
        <v>39</v>
      </c>
      <c r="C1715" s="21" t="s">
        <v>58</v>
      </c>
      <c r="D1715" s="21" t="s">
        <v>145</v>
      </c>
      <c r="E1715" s="21" t="s">
        <v>146</v>
      </c>
      <c r="F1715" s="21" t="s">
        <v>837</v>
      </c>
      <c r="G1715" s="21" t="s">
        <v>838</v>
      </c>
      <c r="H1715" s="21" t="s">
        <v>1064</v>
      </c>
      <c r="I1715" s="21" t="s">
        <v>1065</v>
      </c>
      <c r="J1715" s="21" t="s">
        <v>1000</v>
      </c>
      <c r="K1715" s="21" t="s">
        <v>1082</v>
      </c>
      <c r="L1715" s="21" t="s">
        <v>1083</v>
      </c>
      <c r="M1715" s="21" t="s">
        <v>12</v>
      </c>
      <c r="N1715" s="54">
        <v>12308.8</v>
      </c>
      <c r="O1715" s="54">
        <v>0</v>
      </c>
      <c r="P1715" s="54">
        <v>0</v>
      </c>
      <c r="Q1715" s="54">
        <v>12308.8</v>
      </c>
      <c r="R1715" s="54">
        <v>0</v>
      </c>
      <c r="S1715" s="54">
        <v>0</v>
      </c>
      <c r="T1715" s="54">
        <v>0</v>
      </c>
      <c r="U1715" s="54">
        <v>12308.8</v>
      </c>
      <c r="V1715" s="54">
        <v>12308.8</v>
      </c>
      <c r="W1715" s="54">
        <v>12308.8</v>
      </c>
    </row>
    <row r="1716" spans="1:23" outlineLevel="2" x14ac:dyDescent="0.2">
      <c r="A1716" s="21" t="s">
        <v>999</v>
      </c>
      <c r="B1716" s="21" t="s">
        <v>39</v>
      </c>
      <c r="C1716" s="21" t="s">
        <v>58</v>
      </c>
      <c r="D1716" s="21" t="s">
        <v>59</v>
      </c>
      <c r="E1716" s="21" t="s">
        <v>60</v>
      </c>
      <c r="F1716" s="21" t="s">
        <v>837</v>
      </c>
      <c r="G1716" s="21" t="s">
        <v>838</v>
      </c>
      <c r="H1716" s="21" t="s">
        <v>1064</v>
      </c>
      <c r="I1716" s="21" t="s">
        <v>1065</v>
      </c>
      <c r="J1716" s="21" t="s">
        <v>1000</v>
      </c>
      <c r="K1716" s="21" t="s">
        <v>1082</v>
      </c>
      <c r="L1716" s="21" t="s">
        <v>1083</v>
      </c>
      <c r="M1716" s="21" t="s">
        <v>12</v>
      </c>
      <c r="N1716" s="54">
        <v>201873</v>
      </c>
      <c r="O1716" s="54">
        <v>21627</v>
      </c>
      <c r="P1716" s="54">
        <v>0</v>
      </c>
      <c r="Q1716" s="54">
        <v>223500</v>
      </c>
      <c r="R1716" s="54">
        <v>0</v>
      </c>
      <c r="S1716" s="54">
        <v>0</v>
      </c>
      <c r="T1716" s="54">
        <v>0</v>
      </c>
      <c r="U1716" s="54">
        <v>223500</v>
      </c>
      <c r="V1716" s="54">
        <v>223500</v>
      </c>
      <c r="W1716" s="54">
        <v>223500</v>
      </c>
    </row>
    <row r="1717" spans="1:23" outlineLevel="2" x14ac:dyDescent="0.2">
      <c r="A1717" s="21" t="s">
        <v>999</v>
      </c>
      <c r="B1717" s="21" t="s">
        <v>39</v>
      </c>
      <c r="C1717" s="21" t="s">
        <v>58</v>
      </c>
      <c r="D1717" s="21" t="s">
        <v>139</v>
      </c>
      <c r="E1717" s="21" t="s">
        <v>140</v>
      </c>
      <c r="F1717" s="21" t="s">
        <v>837</v>
      </c>
      <c r="G1717" s="21" t="s">
        <v>838</v>
      </c>
      <c r="H1717" s="21" t="s">
        <v>1064</v>
      </c>
      <c r="I1717" s="21" t="s">
        <v>1065</v>
      </c>
      <c r="J1717" s="21" t="s">
        <v>1000</v>
      </c>
      <c r="K1717" s="21" t="s">
        <v>1084</v>
      </c>
      <c r="L1717" s="21" t="s">
        <v>1085</v>
      </c>
      <c r="M1717" s="21" t="s">
        <v>12</v>
      </c>
      <c r="N1717" s="54">
        <v>3440</v>
      </c>
      <c r="O1717" s="54">
        <v>0</v>
      </c>
      <c r="P1717" s="54">
        <v>0</v>
      </c>
      <c r="Q1717" s="54">
        <v>3440</v>
      </c>
      <c r="R1717" s="54">
        <v>0</v>
      </c>
      <c r="S1717" s="54">
        <v>0</v>
      </c>
      <c r="T1717" s="54">
        <v>0</v>
      </c>
      <c r="U1717" s="54">
        <v>3440</v>
      </c>
      <c r="V1717" s="54">
        <v>3440</v>
      </c>
      <c r="W1717" s="54">
        <v>3440</v>
      </c>
    </row>
    <row r="1718" spans="1:23" outlineLevel="2" x14ac:dyDescent="0.2">
      <c r="A1718" s="21" t="s">
        <v>999</v>
      </c>
      <c r="B1718" s="21" t="s">
        <v>39</v>
      </c>
      <c r="C1718" s="21" t="s">
        <v>58</v>
      </c>
      <c r="D1718" s="21" t="s">
        <v>145</v>
      </c>
      <c r="E1718" s="21" t="s">
        <v>146</v>
      </c>
      <c r="F1718" s="21" t="s">
        <v>837</v>
      </c>
      <c r="G1718" s="21" t="s">
        <v>838</v>
      </c>
      <c r="H1718" s="21" t="s">
        <v>1064</v>
      </c>
      <c r="I1718" s="21" t="s">
        <v>1065</v>
      </c>
      <c r="J1718" s="21" t="s">
        <v>1000</v>
      </c>
      <c r="K1718" s="21" t="s">
        <v>1084</v>
      </c>
      <c r="L1718" s="21" t="s">
        <v>1085</v>
      </c>
      <c r="M1718" s="21" t="s">
        <v>12</v>
      </c>
      <c r="N1718" s="54">
        <v>8260</v>
      </c>
      <c r="O1718" s="54">
        <v>0</v>
      </c>
      <c r="P1718" s="54">
        <v>0</v>
      </c>
      <c r="Q1718" s="54">
        <v>8260</v>
      </c>
      <c r="R1718" s="54">
        <v>0</v>
      </c>
      <c r="S1718" s="54">
        <v>0</v>
      </c>
      <c r="T1718" s="54">
        <v>0</v>
      </c>
      <c r="U1718" s="54">
        <v>8260</v>
      </c>
      <c r="V1718" s="54">
        <v>8260</v>
      </c>
      <c r="W1718" s="54">
        <v>8260</v>
      </c>
    </row>
    <row r="1719" spans="1:23" outlineLevel="2" x14ac:dyDescent="0.2">
      <c r="A1719" s="21" t="s">
        <v>999</v>
      </c>
      <c r="B1719" s="21" t="s">
        <v>39</v>
      </c>
      <c r="C1719" s="21" t="s">
        <v>58</v>
      </c>
      <c r="D1719" s="21" t="s">
        <v>143</v>
      </c>
      <c r="E1719" s="21" t="s">
        <v>144</v>
      </c>
      <c r="F1719" s="21" t="s">
        <v>837</v>
      </c>
      <c r="G1719" s="21" t="s">
        <v>838</v>
      </c>
      <c r="H1719" s="21" t="s">
        <v>1064</v>
      </c>
      <c r="I1719" s="21" t="s">
        <v>1065</v>
      </c>
      <c r="J1719" s="21" t="s">
        <v>1000</v>
      </c>
      <c r="K1719" s="21" t="s">
        <v>1021</v>
      </c>
      <c r="L1719" s="21" t="s">
        <v>1086</v>
      </c>
      <c r="M1719" s="21" t="s">
        <v>12</v>
      </c>
      <c r="N1719" s="54">
        <v>3000</v>
      </c>
      <c r="O1719" s="54">
        <v>0</v>
      </c>
      <c r="P1719" s="54">
        <v>0</v>
      </c>
      <c r="Q1719" s="54">
        <v>3000</v>
      </c>
      <c r="R1719" s="54">
        <v>0</v>
      </c>
      <c r="S1719" s="54">
        <v>0</v>
      </c>
      <c r="T1719" s="54">
        <v>0</v>
      </c>
      <c r="U1719" s="54">
        <v>3000</v>
      </c>
      <c r="V1719" s="54">
        <v>3000</v>
      </c>
      <c r="W1719" s="54">
        <v>3000</v>
      </c>
    </row>
    <row r="1720" spans="1:23" outlineLevel="2" x14ac:dyDescent="0.2">
      <c r="A1720" s="21" t="s">
        <v>999</v>
      </c>
      <c r="B1720" s="21" t="s">
        <v>39</v>
      </c>
      <c r="C1720" s="21" t="s">
        <v>58</v>
      </c>
      <c r="D1720" s="21" t="s">
        <v>145</v>
      </c>
      <c r="E1720" s="21" t="s">
        <v>146</v>
      </c>
      <c r="F1720" s="21" t="s">
        <v>837</v>
      </c>
      <c r="G1720" s="21" t="s">
        <v>838</v>
      </c>
      <c r="H1720" s="21" t="s">
        <v>839</v>
      </c>
      <c r="I1720" s="21" t="s">
        <v>840</v>
      </c>
      <c r="J1720" s="21" t="s">
        <v>1000</v>
      </c>
      <c r="K1720" s="21" t="s">
        <v>1037</v>
      </c>
      <c r="L1720" s="21" t="s">
        <v>1066</v>
      </c>
      <c r="M1720" s="21" t="s">
        <v>12</v>
      </c>
      <c r="N1720" s="54">
        <v>2800</v>
      </c>
      <c r="O1720" s="54">
        <v>0</v>
      </c>
      <c r="P1720" s="54">
        <v>0</v>
      </c>
      <c r="Q1720" s="54">
        <v>2800</v>
      </c>
      <c r="R1720" s="54">
        <v>0</v>
      </c>
      <c r="S1720" s="54">
        <v>0</v>
      </c>
      <c r="T1720" s="54">
        <v>0</v>
      </c>
      <c r="U1720" s="54">
        <v>2800</v>
      </c>
      <c r="V1720" s="54">
        <v>2800</v>
      </c>
      <c r="W1720" s="54">
        <v>2800</v>
      </c>
    </row>
    <row r="1721" spans="1:23" outlineLevel="2" x14ac:dyDescent="0.2">
      <c r="A1721" s="21" t="s">
        <v>999</v>
      </c>
      <c r="B1721" s="21" t="s">
        <v>39</v>
      </c>
      <c r="C1721" s="21" t="s">
        <v>58</v>
      </c>
      <c r="D1721" s="21" t="s">
        <v>135</v>
      </c>
      <c r="E1721" s="21" t="s">
        <v>136</v>
      </c>
      <c r="F1721" s="21" t="s">
        <v>837</v>
      </c>
      <c r="G1721" s="21" t="s">
        <v>838</v>
      </c>
      <c r="H1721" s="21" t="s">
        <v>839</v>
      </c>
      <c r="I1721" s="21" t="s">
        <v>840</v>
      </c>
      <c r="J1721" s="21" t="s">
        <v>1000</v>
      </c>
      <c r="K1721" s="21" t="s">
        <v>1037</v>
      </c>
      <c r="L1721" s="21" t="s">
        <v>1066</v>
      </c>
      <c r="M1721" s="21" t="s">
        <v>12</v>
      </c>
      <c r="N1721" s="54">
        <v>2500</v>
      </c>
      <c r="O1721" s="54">
        <v>0</v>
      </c>
      <c r="P1721" s="54">
        <v>0</v>
      </c>
      <c r="Q1721" s="54">
        <v>2500</v>
      </c>
      <c r="R1721" s="54">
        <v>0</v>
      </c>
      <c r="S1721" s="54">
        <v>0</v>
      </c>
      <c r="T1721" s="54">
        <v>0</v>
      </c>
      <c r="U1721" s="54">
        <v>2500</v>
      </c>
      <c r="V1721" s="54">
        <v>2500</v>
      </c>
      <c r="W1721" s="54">
        <v>2500</v>
      </c>
    </row>
    <row r="1722" spans="1:23" outlineLevel="2" x14ac:dyDescent="0.2">
      <c r="A1722" s="21" t="s">
        <v>999</v>
      </c>
      <c r="B1722" s="21" t="s">
        <v>39</v>
      </c>
      <c r="C1722" s="21" t="s">
        <v>58</v>
      </c>
      <c r="D1722" s="21" t="s">
        <v>137</v>
      </c>
      <c r="E1722" s="21" t="s">
        <v>138</v>
      </c>
      <c r="F1722" s="21" t="s">
        <v>837</v>
      </c>
      <c r="G1722" s="21" t="s">
        <v>838</v>
      </c>
      <c r="H1722" s="21" t="s">
        <v>839</v>
      </c>
      <c r="I1722" s="21" t="s">
        <v>840</v>
      </c>
      <c r="J1722" s="21" t="s">
        <v>1000</v>
      </c>
      <c r="K1722" s="21" t="s">
        <v>1037</v>
      </c>
      <c r="L1722" s="21" t="s">
        <v>1066</v>
      </c>
      <c r="M1722" s="21" t="s">
        <v>12</v>
      </c>
      <c r="N1722" s="54">
        <v>2000</v>
      </c>
      <c r="O1722" s="54">
        <v>0</v>
      </c>
      <c r="P1722" s="54">
        <v>0</v>
      </c>
      <c r="Q1722" s="54">
        <v>2000</v>
      </c>
      <c r="R1722" s="54">
        <v>0</v>
      </c>
      <c r="S1722" s="54">
        <v>0</v>
      </c>
      <c r="T1722" s="54">
        <v>0</v>
      </c>
      <c r="U1722" s="54">
        <v>2000</v>
      </c>
      <c r="V1722" s="54">
        <v>2000</v>
      </c>
      <c r="W1722" s="54">
        <v>2000</v>
      </c>
    </row>
    <row r="1723" spans="1:23" outlineLevel="2" x14ac:dyDescent="0.2">
      <c r="A1723" s="21" t="s">
        <v>999</v>
      </c>
      <c r="B1723" s="21" t="s">
        <v>39</v>
      </c>
      <c r="C1723" s="21" t="s">
        <v>58</v>
      </c>
      <c r="D1723" s="21" t="s">
        <v>149</v>
      </c>
      <c r="E1723" s="21" t="s">
        <v>150</v>
      </c>
      <c r="F1723" s="21" t="s">
        <v>837</v>
      </c>
      <c r="G1723" s="21" t="s">
        <v>838</v>
      </c>
      <c r="H1723" s="21" t="s">
        <v>839</v>
      </c>
      <c r="I1723" s="21" t="s">
        <v>840</v>
      </c>
      <c r="J1723" s="21" t="s">
        <v>1000</v>
      </c>
      <c r="K1723" s="21" t="s">
        <v>1037</v>
      </c>
      <c r="L1723" s="21" t="s">
        <v>1066</v>
      </c>
      <c r="M1723" s="21" t="s">
        <v>12</v>
      </c>
      <c r="N1723" s="54">
        <v>1308.05</v>
      </c>
      <c r="O1723" s="54">
        <v>0</v>
      </c>
      <c r="P1723" s="54">
        <v>0</v>
      </c>
      <c r="Q1723" s="54">
        <v>1308.05</v>
      </c>
      <c r="R1723" s="54">
        <v>0</v>
      </c>
      <c r="S1723" s="54">
        <v>0</v>
      </c>
      <c r="T1723" s="54">
        <v>0</v>
      </c>
      <c r="U1723" s="54">
        <v>1308.05</v>
      </c>
      <c r="V1723" s="54">
        <v>1308.05</v>
      </c>
      <c r="W1723" s="54">
        <v>1308.05</v>
      </c>
    </row>
    <row r="1724" spans="1:23" outlineLevel="2" x14ac:dyDescent="0.2">
      <c r="A1724" s="21" t="s">
        <v>999</v>
      </c>
      <c r="B1724" s="21" t="s">
        <v>39</v>
      </c>
      <c r="C1724" s="21" t="s">
        <v>58</v>
      </c>
      <c r="D1724" s="21" t="s">
        <v>143</v>
      </c>
      <c r="E1724" s="21" t="s">
        <v>144</v>
      </c>
      <c r="F1724" s="21" t="s">
        <v>837</v>
      </c>
      <c r="G1724" s="21" t="s">
        <v>838</v>
      </c>
      <c r="H1724" s="21" t="s">
        <v>839</v>
      </c>
      <c r="I1724" s="21" t="s">
        <v>840</v>
      </c>
      <c r="J1724" s="21" t="s">
        <v>1000</v>
      </c>
      <c r="K1724" s="21" t="s">
        <v>1037</v>
      </c>
      <c r="L1724" s="21" t="s">
        <v>1066</v>
      </c>
      <c r="M1724" s="21" t="s">
        <v>12</v>
      </c>
      <c r="N1724" s="54">
        <v>1400</v>
      </c>
      <c r="O1724" s="54">
        <v>0</v>
      </c>
      <c r="P1724" s="54">
        <v>0</v>
      </c>
      <c r="Q1724" s="54">
        <v>1400</v>
      </c>
      <c r="R1724" s="54">
        <v>0</v>
      </c>
      <c r="S1724" s="54">
        <v>0</v>
      </c>
      <c r="T1724" s="54">
        <v>0</v>
      </c>
      <c r="U1724" s="54">
        <v>1400</v>
      </c>
      <c r="V1724" s="54">
        <v>1400</v>
      </c>
      <c r="W1724" s="54">
        <v>1400</v>
      </c>
    </row>
    <row r="1725" spans="1:23" outlineLevel="2" x14ac:dyDescent="0.2">
      <c r="A1725" s="21" t="s">
        <v>999</v>
      </c>
      <c r="B1725" s="21" t="s">
        <v>39</v>
      </c>
      <c r="C1725" s="21" t="s">
        <v>58</v>
      </c>
      <c r="D1725" s="21" t="s">
        <v>59</v>
      </c>
      <c r="E1725" s="21" t="s">
        <v>60</v>
      </c>
      <c r="F1725" s="21" t="s">
        <v>837</v>
      </c>
      <c r="G1725" s="21" t="s">
        <v>838</v>
      </c>
      <c r="H1725" s="21" t="s">
        <v>839</v>
      </c>
      <c r="I1725" s="21" t="s">
        <v>840</v>
      </c>
      <c r="J1725" s="21" t="s">
        <v>1000</v>
      </c>
      <c r="K1725" s="21" t="s">
        <v>1037</v>
      </c>
      <c r="L1725" s="21" t="s">
        <v>1066</v>
      </c>
      <c r="M1725" s="21" t="s">
        <v>12</v>
      </c>
      <c r="N1725" s="54">
        <v>3000</v>
      </c>
      <c r="O1725" s="54">
        <v>0</v>
      </c>
      <c r="P1725" s="54">
        <v>0</v>
      </c>
      <c r="Q1725" s="54">
        <v>3000</v>
      </c>
      <c r="R1725" s="54">
        <v>0</v>
      </c>
      <c r="S1725" s="54">
        <v>0</v>
      </c>
      <c r="T1725" s="54">
        <v>0</v>
      </c>
      <c r="U1725" s="54">
        <v>3000</v>
      </c>
      <c r="V1725" s="54">
        <v>3000</v>
      </c>
      <c r="W1725" s="54">
        <v>3000</v>
      </c>
    </row>
    <row r="1726" spans="1:23" outlineLevel="2" x14ac:dyDescent="0.2">
      <c r="A1726" s="21" t="s">
        <v>999</v>
      </c>
      <c r="B1726" s="21" t="s">
        <v>39</v>
      </c>
      <c r="C1726" s="21" t="s">
        <v>58</v>
      </c>
      <c r="D1726" s="21" t="s">
        <v>147</v>
      </c>
      <c r="E1726" s="21" t="s">
        <v>148</v>
      </c>
      <c r="F1726" s="21" t="s">
        <v>837</v>
      </c>
      <c r="G1726" s="21" t="s">
        <v>838</v>
      </c>
      <c r="H1726" s="21" t="s">
        <v>839</v>
      </c>
      <c r="I1726" s="21" t="s">
        <v>840</v>
      </c>
      <c r="J1726" s="21" t="s">
        <v>1000</v>
      </c>
      <c r="K1726" s="21" t="s">
        <v>1037</v>
      </c>
      <c r="L1726" s="21" t="s">
        <v>1066</v>
      </c>
      <c r="M1726" s="21" t="s">
        <v>12</v>
      </c>
      <c r="N1726" s="54">
        <v>3500</v>
      </c>
      <c r="O1726" s="54">
        <v>0</v>
      </c>
      <c r="P1726" s="54">
        <v>0</v>
      </c>
      <c r="Q1726" s="54">
        <v>3500</v>
      </c>
      <c r="R1726" s="54">
        <v>0</v>
      </c>
      <c r="S1726" s="54">
        <v>0</v>
      </c>
      <c r="T1726" s="54">
        <v>0</v>
      </c>
      <c r="U1726" s="54">
        <v>3500</v>
      </c>
      <c r="V1726" s="54">
        <v>3500</v>
      </c>
      <c r="W1726" s="54">
        <v>3500</v>
      </c>
    </row>
    <row r="1727" spans="1:23" outlineLevel="2" x14ac:dyDescent="0.2">
      <c r="A1727" s="21" t="s">
        <v>999</v>
      </c>
      <c r="B1727" s="21" t="s">
        <v>39</v>
      </c>
      <c r="C1727" s="21" t="s">
        <v>58</v>
      </c>
      <c r="D1727" s="21" t="s">
        <v>149</v>
      </c>
      <c r="E1727" s="21" t="s">
        <v>150</v>
      </c>
      <c r="F1727" s="21" t="s">
        <v>837</v>
      </c>
      <c r="G1727" s="21" t="s">
        <v>838</v>
      </c>
      <c r="H1727" s="21" t="s">
        <v>839</v>
      </c>
      <c r="I1727" s="21" t="s">
        <v>840</v>
      </c>
      <c r="J1727" s="21" t="s">
        <v>1000</v>
      </c>
      <c r="K1727" s="21" t="s">
        <v>1039</v>
      </c>
      <c r="L1727" s="21" t="s">
        <v>1067</v>
      </c>
      <c r="M1727" s="21" t="s">
        <v>12</v>
      </c>
      <c r="N1727" s="54">
        <v>2000</v>
      </c>
      <c r="O1727" s="54">
        <v>0</v>
      </c>
      <c r="P1727" s="54">
        <v>0</v>
      </c>
      <c r="Q1727" s="54">
        <v>2000</v>
      </c>
      <c r="R1727" s="54">
        <v>0</v>
      </c>
      <c r="S1727" s="54">
        <v>0</v>
      </c>
      <c r="T1727" s="54">
        <v>0</v>
      </c>
      <c r="U1727" s="54">
        <v>2000</v>
      </c>
      <c r="V1727" s="54">
        <v>2000</v>
      </c>
      <c r="W1727" s="54">
        <v>2000</v>
      </c>
    </row>
    <row r="1728" spans="1:23" outlineLevel="2" x14ac:dyDescent="0.2">
      <c r="A1728" s="21" t="s">
        <v>999</v>
      </c>
      <c r="B1728" s="21" t="s">
        <v>39</v>
      </c>
      <c r="C1728" s="21" t="s">
        <v>58</v>
      </c>
      <c r="D1728" s="21" t="s">
        <v>137</v>
      </c>
      <c r="E1728" s="21" t="s">
        <v>138</v>
      </c>
      <c r="F1728" s="21" t="s">
        <v>837</v>
      </c>
      <c r="G1728" s="21" t="s">
        <v>838</v>
      </c>
      <c r="H1728" s="21" t="s">
        <v>839</v>
      </c>
      <c r="I1728" s="21" t="s">
        <v>840</v>
      </c>
      <c r="J1728" s="21" t="s">
        <v>1000</v>
      </c>
      <c r="K1728" s="21" t="s">
        <v>1039</v>
      </c>
      <c r="L1728" s="21" t="s">
        <v>1067</v>
      </c>
      <c r="M1728" s="21" t="s">
        <v>12</v>
      </c>
      <c r="N1728" s="54">
        <v>4000</v>
      </c>
      <c r="O1728" s="54">
        <v>0</v>
      </c>
      <c r="P1728" s="54">
        <v>0</v>
      </c>
      <c r="Q1728" s="54">
        <v>4000</v>
      </c>
      <c r="R1728" s="54">
        <v>0</v>
      </c>
      <c r="S1728" s="54">
        <v>0</v>
      </c>
      <c r="T1728" s="54">
        <v>0</v>
      </c>
      <c r="U1728" s="54">
        <v>4000</v>
      </c>
      <c r="V1728" s="54">
        <v>4000</v>
      </c>
      <c r="W1728" s="54">
        <v>4000</v>
      </c>
    </row>
    <row r="1729" spans="1:23" outlineLevel="2" x14ac:dyDescent="0.2">
      <c r="A1729" s="21" t="s">
        <v>999</v>
      </c>
      <c r="B1729" s="21" t="s">
        <v>39</v>
      </c>
      <c r="C1729" s="21" t="s">
        <v>58</v>
      </c>
      <c r="D1729" s="21" t="s">
        <v>59</v>
      </c>
      <c r="E1729" s="21" t="s">
        <v>60</v>
      </c>
      <c r="F1729" s="21" t="s">
        <v>837</v>
      </c>
      <c r="G1729" s="21" t="s">
        <v>838</v>
      </c>
      <c r="H1729" s="21" t="s">
        <v>839</v>
      </c>
      <c r="I1729" s="21" t="s">
        <v>840</v>
      </c>
      <c r="J1729" s="21" t="s">
        <v>1000</v>
      </c>
      <c r="K1729" s="21" t="s">
        <v>1039</v>
      </c>
      <c r="L1729" s="21" t="s">
        <v>1067</v>
      </c>
      <c r="M1729" s="21" t="s">
        <v>12</v>
      </c>
      <c r="N1729" s="54">
        <v>1906.48</v>
      </c>
      <c r="O1729" s="54">
        <v>0</v>
      </c>
      <c r="P1729" s="54">
        <v>0</v>
      </c>
      <c r="Q1729" s="54">
        <v>1906.48</v>
      </c>
      <c r="R1729" s="54">
        <v>0</v>
      </c>
      <c r="S1729" s="54">
        <v>0</v>
      </c>
      <c r="T1729" s="54">
        <v>0</v>
      </c>
      <c r="U1729" s="54">
        <v>1906.48</v>
      </c>
      <c r="V1729" s="54">
        <v>1906.48</v>
      </c>
      <c r="W1729" s="54">
        <v>1906.48</v>
      </c>
    </row>
    <row r="1730" spans="1:23" outlineLevel="2" x14ac:dyDescent="0.2">
      <c r="A1730" s="21" t="s">
        <v>999</v>
      </c>
      <c r="B1730" s="21" t="s">
        <v>39</v>
      </c>
      <c r="C1730" s="21" t="s">
        <v>58</v>
      </c>
      <c r="D1730" s="21" t="s">
        <v>143</v>
      </c>
      <c r="E1730" s="21" t="s">
        <v>144</v>
      </c>
      <c r="F1730" s="21" t="s">
        <v>837</v>
      </c>
      <c r="G1730" s="21" t="s">
        <v>838</v>
      </c>
      <c r="H1730" s="21" t="s">
        <v>839</v>
      </c>
      <c r="I1730" s="21" t="s">
        <v>840</v>
      </c>
      <c r="J1730" s="21" t="s">
        <v>1000</v>
      </c>
      <c r="K1730" s="21" t="s">
        <v>1039</v>
      </c>
      <c r="L1730" s="21" t="s">
        <v>1067</v>
      </c>
      <c r="M1730" s="21" t="s">
        <v>12</v>
      </c>
      <c r="N1730" s="54">
        <v>16395.41</v>
      </c>
      <c r="O1730" s="54">
        <v>0</v>
      </c>
      <c r="P1730" s="54">
        <v>0</v>
      </c>
      <c r="Q1730" s="54">
        <v>16395.41</v>
      </c>
      <c r="R1730" s="54">
        <v>0</v>
      </c>
      <c r="S1730" s="54">
        <v>0</v>
      </c>
      <c r="T1730" s="54">
        <v>0</v>
      </c>
      <c r="U1730" s="54">
        <v>16395.41</v>
      </c>
      <c r="V1730" s="54">
        <v>16395.41</v>
      </c>
      <c r="W1730" s="54">
        <v>16395.41</v>
      </c>
    </row>
    <row r="1731" spans="1:23" outlineLevel="2" x14ac:dyDescent="0.2">
      <c r="A1731" s="21" t="s">
        <v>999</v>
      </c>
      <c r="B1731" s="21" t="s">
        <v>39</v>
      </c>
      <c r="C1731" s="21" t="s">
        <v>58</v>
      </c>
      <c r="D1731" s="21" t="s">
        <v>147</v>
      </c>
      <c r="E1731" s="21" t="s">
        <v>148</v>
      </c>
      <c r="F1731" s="21" t="s">
        <v>837</v>
      </c>
      <c r="G1731" s="21" t="s">
        <v>838</v>
      </c>
      <c r="H1731" s="21" t="s">
        <v>839</v>
      </c>
      <c r="I1731" s="21" t="s">
        <v>840</v>
      </c>
      <c r="J1731" s="21" t="s">
        <v>1000</v>
      </c>
      <c r="K1731" s="21" t="s">
        <v>1039</v>
      </c>
      <c r="L1731" s="21" t="s">
        <v>1067</v>
      </c>
      <c r="M1731" s="21" t="s">
        <v>12</v>
      </c>
      <c r="N1731" s="54">
        <v>7500</v>
      </c>
      <c r="O1731" s="54">
        <v>0</v>
      </c>
      <c r="P1731" s="54">
        <v>0</v>
      </c>
      <c r="Q1731" s="54">
        <v>7500</v>
      </c>
      <c r="R1731" s="54">
        <v>0</v>
      </c>
      <c r="S1731" s="54">
        <v>0</v>
      </c>
      <c r="T1731" s="54">
        <v>0</v>
      </c>
      <c r="U1731" s="54">
        <v>7500</v>
      </c>
      <c r="V1731" s="54">
        <v>7500</v>
      </c>
      <c r="W1731" s="54">
        <v>7500</v>
      </c>
    </row>
    <row r="1732" spans="1:23" outlineLevel="2" x14ac:dyDescent="0.2">
      <c r="A1732" s="21" t="s">
        <v>999</v>
      </c>
      <c r="B1732" s="21" t="s">
        <v>39</v>
      </c>
      <c r="C1732" s="21" t="s">
        <v>58</v>
      </c>
      <c r="D1732" s="21" t="s">
        <v>139</v>
      </c>
      <c r="E1732" s="21" t="s">
        <v>140</v>
      </c>
      <c r="F1732" s="21" t="s">
        <v>837</v>
      </c>
      <c r="G1732" s="21" t="s">
        <v>838</v>
      </c>
      <c r="H1732" s="21" t="s">
        <v>839</v>
      </c>
      <c r="I1732" s="21" t="s">
        <v>840</v>
      </c>
      <c r="J1732" s="21" t="s">
        <v>1000</v>
      </c>
      <c r="K1732" s="21" t="s">
        <v>1039</v>
      </c>
      <c r="L1732" s="21" t="s">
        <v>1067</v>
      </c>
      <c r="M1732" s="21" t="s">
        <v>12</v>
      </c>
      <c r="N1732" s="54">
        <v>46491.57</v>
      </c>
      <c r="O1732" s="54">
        <v>0</v>
      </c>
      <c r="P1732" s="54">
        <v>0</v>
      </c>
      <c r="Q1732" s="54">
        <v>46491.57</v>
      </c>
      <c r="R1732" s="54">
        <v>0</v>
      </c>
      <c r="S1732" s="54">
        <v>0</v>
      </c>
      <c r="T1732" s="54">
        <v>0</v>
      </c>
      <c r="U1732" s="54">
        <v>46491.57</v>
      </c>
      <c r="V1732" s="54">
        <v>46491.57</v>
      </c>
      <c r="W1732" s="54">
        <v>46491.57</v>
      </c>
    </row>
    <row r="1733" spans="1:23" outlineLevel="2" x14ac:dyDescent="0.2">
      <c r="A1733" s="21" t="s">
        <v>999</v>
      </c>
      <c r="B1733" s="21" t="s">
        <v>39</v>
      </c>
      <c r="C1733" s="21" t="s">
        <v>58</v>
      </c>
      <c r="D1733" s="21" t="s">
        <v>105</v>
      </c>
      <c r="E1733" s="21" t="s">
        <v>106</v>
      </c>
      <c r="F1733" s="21" t="s">
        <v>837</v>
      </c>
      <c r="G1733" s="21" t="s">
        <v>838</v>
      </c>
      <c r="H1733" s="21" t="s">
        <v>839</v>
      </c>
      <c r="I1733" s="21" t="s">
        <v>840</v>
      </c>
      <c r="J1733" s="21" t="s">
        <v>1000</v>
      </c>
      <c r="K1733" s="21" t="s">
        <v>1039</v>
      </c>
      <c r="L1733" s="21" t="s">
        <v>1067</v>
      </c>
      <c r="M1733" s="21" t="s">
        <v>12</v>
      </c>
      <c r="N1733" s="54">
        <v>4772.79</v>
      </c>
      <c r="O1733" s="54">
        <v>0</v>
      </c>
      <c r="P1733" s="54">
        <v>0</v>
      </c>
      <c r="Q1733" s="54">
        <v>4772.79</v>
      </c>
      <c r="R1733" s="54">
        <v>0</v>
      </c>
      <c r="S1733" s="54">
        <v>0</v>
      </c>
      <c r="T1733" s="54">
        <v>0</v>
      </c>
      <c r="U1733" s="54">
        <v>4772.79</v>
      </c>
      <c r="V1733" s="54">
        <v>4772.79</v>
      </c>
      <c r="W1733" s="54">
        <v>4772.79</v>
      </c>
    </row>
    <row r="1734" spans="1:23" outlineLevel="2" x14ac:dyDescent="0.2">
      <c r="A1734" s="21" t="s">
        <v>999</v>
      </c>
      <c r="B1734" s="21" t="s">
        <v>39</v>
      </c>
      <c r="C1734" s="21" t="s">
        <v>58</v>
      </c>
      <c r="D1734" s="21" t="s">
        <v>145</v>
      </c>
      <c r="E1734" s="21" t="s">
        <v>146</v>
      </c>
      <c r="F1734" s="21" t="s">
        <v>837</v>
      </c>
      <c r="G1734" s="21" t="s">
        <v>838</v>
      </c>
      <c r="H1734" s="21" t="s">
        <v>839</v>
      </c>
      <c r="I1734" s="21" t="s">
        <v>840</v>
      </c>
      <c r="J1734" s="21" t="s">
        <v>1000</v>
      </c>
      <c r="K1734" s="21" t="s">
        <v>1039</v>
      </c>
      <c r="L1734" s="21" t="s">
        <v>1067</v>
      </c>
      <c r="M1734" s="21" t="s">
        <v>12</v>
      </c>
      <c r="N1734" s="54">
        <v>13000</v>
      </c>
      <c r="O1734" s="54">
        <v>0</v>
      </c>
      <c r="P1734" s="54">
        <v>0</v>
      </c>
      <c r="Q1734" s="54">
        <v>13000</v>
      </c>
      <c r="R1734" s="54">
        <v>0</v>
      </c>
      <c r="S1734" s="54">
        <v>0</v>
      </c>
      <c r="T1734" s="54">
        <v>0</v>
      </c>
      <c r="U1734" s="54">
        <v>13000</v>
      </c>
      <c r="V1734" s="54">
        <v>13000</v>
      </c>
      <c r="W1734" s="54">
        <v>13000</v>
      </c>
    </row>
    <row r="1735" spans="1:23" outlineLevel="2" x14ac:dyDescent="0.2">
      <c r="A1735" s="21" t="s">
        <v>999</v>
      </c>
      <c r="B1735" s="21" t="s">
        <v>39</v>
      </c>
      <c r="C1735" s="21" t="s">
        <v>58</v>
      </c>
      <c r="D1735" s="21" t="s">
        <v>135</v>
      </c>
      <c r="E1735" s="21" t="s">
        <v>136</v>
      </c>
      <c r="F1735" s="21" t="s">
        <v>837</v>
      </c>
      <c r="G1735" s="21" t="s">
        <v>838</v>
      </c>
      <c r="H1735" s="21" t="s">
        <v>839</v>
      </c>
      <c r="I1735" s="21" t="s">
        <v>840</v>
      </c>
      <c r="J1735" s="21" t="s">
        <v>1000</v>
      </c>
      <c r="K1735" s="21" t="s">
        <v>1039</v>
      </c>
      <c r="L1735" s="21" t="s">
        <v>1067</v>
      </c>
      <c r="M1735" s="21" t="s">
        <v>12</v>
      </c>
      <c r="N1735" s="54">
        <v>2477.34</v>
      </c>
      <c r="O1735" s="54">
        <v>0</v>
      </c>
      <c r="P1735" s="54">
        <v>0</v>
      </c>
      <c r="Q1735" s="54">
        <v>2477.34</v>
      </c>
      <c r="R1735" s="54">
        <v>0</v>
      </c>
      <c r="S1735" s="54">
        <v>0</v>
      </c>
      <c r="T1735" s="54">
        <v>0</v>
      </c>
      <c r="U1735" s="54">
        <v>2477.34</v>
      </c>
      <c r="V1735" s="54">
        <v>2477.34</v>
      </c>
      <c r="W1735" s="54">
        <v>2477.34</v>
      </c>
    </row>
    <row r="1736" spans="1:23" outlineLevel="2" x14ac:dyDescent="0.2">
      <c r="A1736" s="21" t="s">
        <v>999</v>
      </c>
      <c r="B1736" s="21" t="s">
        <v>39</v>
      </c>
      <c r="C1736" s="21" t="s">
        <v>58</v>
      </c>
      <c r="D1736" s="21" t="s">
        <v>129</v>
      </c>
      <c r="E1736" s="21" t="s">
        <v>130</v>
      </c>
      <c r="F1736" s="21" t="s">
        <v>837</v>
      </c>
      <c r="G1736" s="21" t="s">
        <v>838</v>
      </c>
      <c r="H1736" s="21" t="s">
        <v>839</v>
      </c>
      <c r="I1736" s="21" t="s">
        <v>840</v>
      </c>
      <c r="J1736" s="21" t="s">
        <v>1000</v>
      </c>
      <c r="K1736" s="21" t="s">
        <v>1039</v>
      </c>
      <c r="L1736" s="21" t="s">
        <v>1067</v>
      </c>
      <c r="M1736" s="21" t="s">
        <v>12</v>
      </c>
      <c r="N1736" s="54">
        <v>348.47</v>
      </c>
      <c r="O1736" s="54">
        <v>0</v>
      </c>
      <c r="P1736" s="54">
        <v>0</v>
      </c>
      <c r="Q1736" s="54">
        <v>348.47</v>
      </c>
      <c r="R1736" s="54">
        <v>0</v>
      </c>
      <c r="S1736" s="54">
        <v>0</v>
      </c>
      <c r="T1736" s="54">
        <v>0</v>
      </c>
      <c r="U1736" s="54">
        <v>348.47</v>
      </c>
      <c r="V1736" s="54">
        <v>348.47</v>
      </c>
      <c r="W1736" s="54">
        <v>348.47</v>
      </c>
    </row>
    <row r="1737" spans="1:23" outlineLevel="2" x14ac:dyDescent="0.2">
      <c r="A1737" s="21" t="s">
        <v>999</v>
      </c>
      <c r="B1737" s="21" t="s">
        <v>39</v>
      </c>
      <c r="C1737" s="21" t="s">
        <v>58</v>
      </c>
      <c r="D1737" s="21" t="s">
        <v>105</v>
      </c>
      <c r="E1737" s="21" t="s">
        <v>106</v>
      </c>
      <c r="F1737" s="21" t="s">
        <v>837</v>
      </c>
      <c r="G1737" s="21" t="s">
        <v>838</v>
      </c>
      <c r="H1737" s="21" t="s">
        <v>839</v>
      </c>
      <c r="I1737" s="21" t="s">
        <v>840</v>
      </c>
      <c r="J1737" s="21" t="s">
        <v>1000</v>
      </c>
      <c r="K1737" s="21" t="s">
        <v>1058</v>
      </c>
      <c r="L1737" s="21" t="s">
        <v>1087</v>
      </c>
      <c r="M1737" s="21" t="s">
        <v>12</v>
      </c>
      <c r="N1737" s="54">
        <v>7500</v>
      </c>
      <c r="O1737" s="54">
        <v>0</v>
      </c>
      <c r="P1737" s="54">
        <v>0</v>
      </c>
      <c r="Q1737" s="54">
        <v>7500</v>
      </c>
      <c r="R1737" s="54">
        <v>0</v>
      </c>
      <c r="S1737" s="54">
        <v>0</v>
      </c>
      <c r="T1737" s="54">
        <v>0</v>
      </c>
      <c r="U1737" s="54">
        <v>7500</v>
      </c>
      <c r="V1737" s="54">
        <v>7500</v>
      </c>
      <c r="W1737" s="54">
        <v>7500</v>
      </c>
    </row>
    <row r="1738" spans="1:23" outlineLevel="2" x14ac:dyDescent="0.2">
      <c r="A1738" s="21" t="s">
        <v>999</v>
      </c>
      <c r="B1738" s="21" t="s">
        <v>39</v>
      </c>
      <c r="C1738" s="21" t="s">
        <v>58</v>
      </c>
      <c r="D1738" s="21" t="s">
        <v>137</v>
      </c>
      <c r="E1738" s="21" t="s">
        <v>138</v>
      </c>
      <c r="F1738" s="21" t="s">
        <v>837</v>
      </c>
      <c r="G1738" s="21" t="s">
        <v>838</v>
      </c>
      <c r="H1738" s="21" t="s">
        <v>839</v>
      </c>
      <c r="I1738" s="21" t="s">
        <v>840</v>
      </c>
      <c r="J1738" s="21" t="s">
        <v>1000</v>
      </c>
      <c r="K1738" s="21" t="s">
        <v>1068</v>
      </c>
      <c r="L1738" s="21" t="s">
        <v>1069</v>
      </c>
      <c r="M1738" s="21" t="s">
        <v>12</v>
      </c>
      <c r="N1738" s="54">
        <v>1000</v>
      </c>
      <c r="O1738" s="54">
        <v>0</v>
      </c>
      <c r="P1738" s="54">
        <v>0</v>
      </c>
      <c r="Q1738" s="54">
        <v>1000</v>
      </c>
      <c r="R1738" s="54">
        <v>0</v>
      </c>
      <c r="S1738" s="54">
        <v>0</v>
      </c>
      <c r="T1738" s="54">
        <v>0</v>
      </c>
      <c r="U1738" s="54">
        <v>1000</v>
      </c>
      <c r="V1738" s="54">
        <v>1000</v>
      </c>
      <c r="W1738" s="54">
        <v>1000</v>
      </c>
    </row>
    <row r="1739" spans="1:23" outlineLevel="2" x14ac:dyDescent="0.2">
      <c r="A1739" s="21" t="s">
        <v>999</v>
      </c>
      <c r="B1739" s="21" t="s">
        <v>39</v>
      </c>
      <c r="C1739" s="21" t="s">
        <v>58</v>
      </c>
      <c r="D1739" s="21" t="s">
        <v>145</v>
      </c>
      <c r="E1739" s="21" t="s">
        <v>146</v>
      </c>
      <c r="F1739" s="21" t="s">
        <v>837</v>
      </c>
      <c r="G1739" s="21" t="s">
        <v>838</v>
      </c>
      <c r="H1739" s="21" t="s">
        <v>839</v>
      </c>
      <c r="I1739" s="21" t="s">
        <v>840</v>
      </c>
      <c r="J1739" s="21" t="s">
        <v>1000</v>
      </c>
      <c r="K1739" s="21" t="s">
        <v>1068</v>
      </c>
      <c r="L1739" s="21" t="s">
        <v>1069</v>
      </c>
      <c r="M1739" s="21" t="s">
        <v>12</v>
      </c>
      <c r="N1739" s="54">
        <v>6172.82</v>
      </c>
      <c r="O1739" s="54">
        <v>0</v>
      </c>
      <c r="P1739" s="54">
        <v>0</v>
      </c>
      <c r="Q1739" s="54">
        <v>6172.82</v>
      </c>
      <c r="R1739" s="54">
        <v>0</v>
      </c>
      <c r="S1739" s="54">
        <v>0</v>
      </c>
      <c r="T1739" s="54">
        <v>0</v>
      </c>
      <c r="U1739" s="54">
        <v>6172.82</v>
      </c>
      <c r="V1739" s="54">
        <v>6172.82</v>
      </c>
      <c r="W1739" s="54">
        <v>6172.82</v>
      </c>
    </row>
    <row r="1740" spans="1:23" outlineLevel="2" x14ac:dyDescent="0.2">
      <c r="A1740" s="21" t="s">
        <v>999</v>
      </c>
      <c r="B1740" s="21" t="s">
        <v>39</v>
      </c>
      <c r="C1740" s="21" t="s">
        <v>58</v>
      </c>
      <c r="D1740" s="21" t="s">
        <v>147</v>
      </c>
      <c r="E1740" s="21" t="s">
        <v>148</v>
      </c>
      <c r="F1740" s="21" t="s">
        <v>837</v>
      </c>
      <c r="G1740" s="21" t="s">
        <v>838</v>
      </c>
      <c r="H1740" s="21" t="s">
        <v>839</v>
      </c>
      <c r="I1740" s="21" t="s">
        <v>840</v>
      </c>
      <c r="J1740" s="21" t="s">
        <v>1000</v>
      </c>
      <c r="K1740" s="21" t="s">
        <v>1068</v>
      </c>
      <c r="L1740" s="21" t="s">
        <v>1069</v>
      </c>
      <c r="M1740" s="21" t="s">
        <v>12</v>
      </c>
      <c r="N1740" s="54">
        <v>4500</v>
      </c>
      <c r="O1740" s="54">
        <v>0</v>
      </c>
      <c r="P1740" s="54">
        <v>0</v>
      </c>
      <c r="Q1740" s="54">
        <v>4500</v>
      </c>
      <c r="R1740" s="54">
        <v>0</v>
      </c>
      <c r="S1740" s="54">
        <v>0</v>
      </c>
      <c r="T1740" s="54">
        <v>0</v>
      </c>
      <c r="U1740" s="54">
        <v>4500</v>
      </c>
      <c r="V1740" s="54">
        <v>4500</v>
      </c>
      <c r="W1740" s="54">
        <v>4500</v>
      </c>
    </row>
    <row r="1741" spans="1:23" outlineLevel="2" x14ac:dyDescent="0.2">
      <c r="A1741" s="21" t="s">
        <v>999</v>
      </c>
      <c r="B1741" s="21" t="s">
        <v>39</v>
      </c>
      <c r="C1741" s="21" t="s">
        <v>58</v>
      </c>
      <c r="D1741" s="21" t="s">
        <v>135</v>
      </c>
      <c r="E1741" s="21" t="s">
        <v>136</v>
      </c>
      <c r="F1741" s="21" t="s">
        <v>837</v>
      </c>
      <c r="G1741" s="21" t="s">
        <v>838</v>
      </c>
      <c r="H1741" s="21" t="s">
        <v>839</v>
      </c>
      <c r="I1741" s="21" t="s">
        <v>840</v>
      </c>
      <c r="J1741" s="21" t="s">
        <v>1000</v>
      </c>
      <c r="K1741" s="21" t="s">
        <v>1068</v>
      </c>
      <c r="L1741" s="21" t="s">
        <v>1069</v>
      </c>
      <c r="M1741" s="21" t="s">
        <v>12</v>
      </c>
      <c r="N1741" s="54">
        <v>7000</v>
      </c>
      <c r="O1741" s="54">
        <v>0</v>
      </c>
      <c r="P1741" s="54">
        <v>0</v>
      </c>
      <c r="Q1741" s="54">
        <v>7000</v>
      </c>
      <c r="R1741" s="54">
        <v>0</v>
      </c>
      <c r="S1741" s="54">
        <v>0</v>
      </c>
      <c r="T1741" s="54">
        <v>0</v>
      </c>
      <c r="U1741" s="54">
        <v>7000</v>
      </c>
      <c r="V1741" s="54">
        <v>7000</v>
      </c>
      <c r="W1741" s="54">
        <v>7000</v>
      </c>
    </row>
    <row r="1742" spans="1:23" outlineLevel="2" x14ac:dyDescent="0.2">
      <c r="A1742" s="21" t="s">
        <v>999</v>
      </c>
      <c r="B1742" s="21" t="s">
        <v>39</v>
      </c>
      <c r="C1742" s="21" t="s">
        <v>58</v>
      </c>
      <c r="D1742" s="21" t="s">
        <v>59</v>
      </c>
      <c r="E1742" s="21" t="s">
        <v>60</v>
      </c>
      <c r="F1742" s="21" t="s">
        <v>837</v>
      </c>
      <c r="G1742" s="21" t="s">
        <v>838</v>
      </c>
      <c r="H1742" s="21" t="s">
        <v>839</v>
      </c>
      <c r="I1742" s="21" t="s">
        <v>840</v>
      </c>
      <c r="J1742" s="21" t="s">
        <v>1000</v>
      </c>
      <c r="K1742" s="21" t="s">
        <v>1068</v>
      </c>
      <c r="L1742" s="21" t="s">
        <v>1069</v>
      </c>
      <c r="M1742" s="21" t="s">
        <v>12</v>
      </c>
      <c r="N1742" s="54">
        <v>4000</v>
      </c>
      <c r="O1742" s="54">
        <v>0</v>
      </c>
      <c r="P1742" s="54">
        <v>0</v>
      </c>
      <c r="Q1742" s="54">
        <v>4000</v>
      </c>
      <c r="R1742" s="54">
        <v>0</v>
      </c>
      <c r="S1742" s="54">
        <v>0</v>
      </c>
      <c r="T1742" s="54">
        <v>0</v>
      </c>
      <c r="U1742" s="54">
        <v>4000</v>
      </c>
      <c r="V1742" s="54">
        <v>4000</v>
      </c>
      <c r="W1742" s="54">
        <v>4000</v>
      </c>
    </row>
    <row r="1743" spans="1:23" outlineLevel="2" x14ac:dyDescent="0.2">
      <c r="A1743" s="21" t="s">
        <v>999</v>
      </c>
      <c r="B1743" s="21" t="s">
        <v>39</v>
      </c>
      <c r="C1743" s="21" t="s">
        <v>58</v>
      </c>
      <c r="D1743" s="21" t="s">
        <v>143</v>
      </c>
      <c r="E1743" s="21" t="s">
        <v>144</v>
      </c>
      <c r="F1743" s="21" t="s">
        <v>837</v>
      </c>
      <c r="G1743" s="21" t="s">
        <v>838</v>
      </c>
      <c r="H1743" s="21" t="s">
        <v>839</v>
      </c>
      <c r="I1743" s="21" t="s">
        <v>840</v>
      </c>
      <c r="J1743" s="21" t="s">
        <v>1000</v>
      </c>
      <c r="K1743" s="21" t="s">
        <v>1068</v>
      </c>
      <c r="L1743" s="21" t="s">
        <v>1069</v>
      </c>
      <c r="M1743" s="21" t="s">
        <v>12</v>
      </c>
      <c r="N1743" s="54">
        <v>1845</v>
      </c>
      <c r="O1743" s="54">
        <v>0</v>
      </c>
      <c r="P1743" s="54">
        <v>0</v>
      </c>
      <c r="Q1743" s="54">
        <v>1845</v>
      </c>
      <c r="R1743" s="54">
        <v>0</v>
      </c>
      <c r="S1743" s="54">
        <v>0</v>
      </c>
      <c r="T1743" s="54">
        <v>0</v>
      </c>
      <c r="U1743" s="54">
        <v>1845</v>
      </c>
      <c r="V1743" s="54">
        <v>1845</v>
      </c>
      <c r="W1743" s="54">
        <v>1845</v>
      </c>
    </row>
    <row r="1744" spans="1:23" outlineLevel="2" x14ac:dyDescent="0.2">
      <c r="A1744" s="21" t="s">
        <v>999</v>
      </c>
      <c r="B1744" s="21" t="s">
        <v>39</v>
      </c>
      <c r="C1744" s="21" t="s">
        <v>58</v>
      </c>
      <c r="D1744" s="21" t="s">
        <v>149</v>
      </c>
      <c r="E1744" s="21" t="s">
        <v>150</v>
      </c>
      <c r="F1744" s="21" t="s">
        <v>837</v>
      </c>
      <c r="G1744" s="21" t="s">
        <v>838</v>
      </c>
      <c r="H1744" s="21" t="s">
        <v>839</v>
      </c>
      <c r="I1744" s="21" t="s">
        <v>840</v>
      </c>
      <c r="J1744" s="21" t="s">
        <v>1000</v>
      </c>
      <c r="K1744" s="21" t="s">
        <v>1068</v>
      </c>
      <c r="L1744" s="21" t="s">
        <v>1069</v>
      </c>
      <c r="M1744" s="21" t="s">
        <v>12</v>
      </c>
      <c r="N1744" s="54">
        <v>2000</v>
      </c>
      <c r="O1744" s="54">
        <v>0</v>
      </c>
      <c r="P1744" s="54">
        <v>0</v>
      </c>
      <c r="Q1744" s="54">
        <v>2000</v>
      </c>
      <c r="R1744" s="54">
        <v>0</v>
      </c>
      <c r="S1744" s="54">
        <v>0</v>
      </c>
      <c r="T1744" s="54">
        <v>0</v>
      </c>
      <c r="U1744" s="54">
        <v>2000</v>
      </c>
      <c r="V1744" s="54">
        <v>2000</v>
      </c>
      <c r="W1744" s="54">
        <v>2000</v>
      </c>
    </row>
    <row r="1745" spans="1:23" outlineLevel="2" x14ac:dyDescent="0.2">
      <c r="A1745" s="21" t="s">
        <v>999</v>
      </c>
      <c r="B1745" s="21" t="s">
        <v>39</v>
      </c>
      <c r="C1745" s="21" t="s">
        <v>58</v>
      </c>
      <c r="D1745" s="21" t="s">
        <v>59</v>
      </c>
      <c r="E1745" s="21" t="s">
        <v>60</v>
      </c>
      <c r="F1745" s="21" t="s">
        <v>837</v>
      </c>
      <c r="G1745" s="21" t="s">
        <v>838</v>
      </c>
      <c r="H1745" s="21" t="s">
        <v>839</v>
      </c>
      <c r="I1745" s="21" t="s">
        <v>840</v>
      </c>
      <c r="J1745" s="21" t="s">
        <v>1000</v>
      </c>
      <c r="K1745" s="21" t="s">
        <v>1088</v>
      </c>
      <c r="L1745" s="21" t="s">
        <v>1089</v>
      </c>
      <c r="M1745" s="21" t="s">
        <v>12</v>
      </c>
      <c r="N1745" s="54">
        <v>7152.23</v>
      </c>
      <c r="O1745" s="54">
        <v>0</v>
      </c>
      <c r="P1745" s="54">
        <v>0</v>
      </c>
      <c r="Q1745" s="54">
        <v>7152.23</v>
      </c>
      <c r="R1745" s="54">
        <v>0</v>
      </c>
      <c r="S1745" s="54">
        <v>0</v>
      </c>
      <c r="T1745" s="54">
        <v>0</v>
      </c>
      <c r="U1745" s="54">
        <v>7152.23</v>
      </c>
      <c r="V1745" s="54">
        <v>7152.23</v>
      </c>
      <c r="W1745" s="54">
        <v>7152.23</v>
      </c>
    </row>
    <row r="1746" spans="1:23" outlineLevel="2" x14ac:dyDescent="0.2">
      <c r="A1746" s="21" t="s">
        <v>999</v>
      </c>
      <c r="B1746" s="21" t="s">
        <v>39</v>
      </c>
      <c r="C1746" s="21" t="s">
        <v>58</v>
      </c>
      <c r="D1746" s="21" t="s">
        <v>143</v>
      </c>
      <c r="E1746" s="21" t="s">
        <v>144</v>
      </c>
      <c r="F1746" s="21" t="s">
        <v>837</v>
      </c>
      <c r="G1746" s="21" t="s">
        <v>838</v>
      </c>
      <c r="H1746" s="21" t="s">
        <v>839</v>
      </c>
      <c r="I1746" s="21" t="s">
        <v>840</v>
      </c>
      <c r="J1746" s="21" t="s">
        <v>1000</v>
      </c>
      <c r="K1746" s="21" t="s">
        <v>1071</v>
      </c>
      <c r="L1746" s="21" t="s">
        <v>1072</v>
      </c>
      <c r="M1746" s="21" t="s">
        <v>12</v>
      </c>
      <c r="N1746" s="54">
        <v>16739.79</v>
      </c>
      <c r="O1746" s="54">
        <v>0</v>
      </c>
      <c r="P1746" s="54">
        <v>0</v>
      </c>
      <c r="Q1746" s="54">
        <v>16739.79</v>
      </c>
      <c r="R1746" s="54">
        <v>0</v>
      </c>
      <c r="S1746" s="54">
        <v>0</v>
      </c>
      <c r="T1746" s="54">
        <v>0</v>
      </c>
      <c r="U1746" s="54">
        <v>16739.79</v>
      </c>
      <c r="V1746" s="54">
        <v>16739.79</v>
      </c>
      <c r="W1746" s="54">
        <v>16739.79</v>
      </c>
    </row>
    <row r="1747" spans="1:23" outlineLevel="2" x14ac:dyDescent="0.2">
      <c r="A1747" s="21" t="s">
        <v>999</v>
      </c>
      <c r="B1747" s="21" t="s">
        <v>39</v>
      </c>
      <c r="C1747" s="21" t="s">
        <v>58</v>
      </c>
      <c r="D1747" s="21" t="s">
        <v>147</v>
      </c>
      <c r="E1747" s="21" t="s">
        <v>148</v>
      </c>
      <c r="F1747" s="21" t="s">
        <v>837</v>
      </c>
      <c r="G1747" s="21" t="s">
        <v>838</v>
      </c>
      <c r="H1747" s="21" t="s">
        <v>839</v>
      </c>
      <c r="I1747" s="21" t="s">
        <v>840</v>
      </c>
      <c r="J1747" s="21" t="s">
        <v>1000</v>
      </c>
      <c r="K1747" s="21" t="s">
        <v>1071</v>
      </c>
      <c r="L1747" s="21" t="s">
        <v>1072</v>
      </c>
      <c r="M1747" s="21" t="s">
        <v>12</v>
      </c>
      <c r="N1747" s="54">
        <v>10900.35</v>
      </c>
      <c r="O1747" s="54">
        <v>0</v>
      </c>
      <c r="P1747" s="54">
        <v>0</v>
      </c>
      <c r="Q1747" s="54">
        <v>10900.35</v>
      </c>
      <c r="R1747" s="54">
        <v>10900.35</v>
      </c>
      <c r="S1747" s="54">
        <v>0</v>
      </c>
      <c r="T1747" s="54">
        <v>0</v>
      </c>
      <c r="U1747" s="54">
        <v>10900.35</v>
      </c>
      <c r="V1747" s="54">
        <v>10900.35</v>
      </c>
      <c r="W1747" s="54">
        <v>0</v>
      </c>
    </row>
    <row r="1748" spans="1:23" outlineLevel="2" x14ac:dyDescent="0.2">
      <c r="A1748" s="21" t="s">
        <v>999</v>
      </c>
      <c r="B1748" s="21" t="s">
        <v>39</v>
      </c>
      <c r="C1748" s="21" t="s">
        <v>58</v>
      </c>
      <c r="D1748" s="21" t="s">
        <v>143</v>
      </c>
      <c r="E1748" s="21" t="s">
        <v>144</v>
      </c>
      <c r="F1748" s="21" t="s">
        <v>837</v>
      </c>
      <c r="G1748" s="21" t="s">
        <v>838</v>
      </c>
      <c r="H1748" s="21" t="s">
        <v>839</v>
      </c>
      <c r="I1748" s="21" t="s">
        <v>840</v>
      </c>
      <c r="J1748" s="21" t="s">
        <v>1000</v>
      </c>
      <c r="K1748" s="21" t="s">
        <v>1011</v>
      </c>
      <c r="L1748" s="21" t="s">
        <v>1073</v>
      </c>
      <c r="M1748" s="21" t="s">
        <v>12</v>
      </c>
      <c r="N1748" s="54">
        <v>1300</v>
      </c>
      <c r="O1748" s="54">
        <v>0</v>
      </c>
      <c r="P1748" s="54">
        <v>0</v>
      </c>
      <c r="Q1748" s="54">
        <v>1300</v>
      </c>
      <c r="R1748" s="54">
        <v>0</v>
      </c>
      <c r="S1748" s="54">
        <v>0</v>
      </c>
      <c r="T1748" s="54">
        <v>0</v>
      </c>
      <c r="U1748" s="54">
        <v>1300</v>
      </c>
      <c r="V1748" s="54">
        <v>1300</v>
      </c>
      <c r="W1748" s="54">
        <v>1300</v>
      </c>
    </row>
    <row r="1749" spans="1:23" outlineLevel="2" x14ac:dyDescent="0.2">
      <c r="A1749" s="21" t="s">
        <v>999</v>
      </c>
      <c r="B1749" s="21" t="s">
        <v>39</v>
      </c>
      <c r="C1749" s="21" t="s">
        <v>58</v>
      </c>
      <c r="D1749" s="21" t="s">
        <v>137</v>
      </c>
      <c r="E1749" s="21" t="s">
        <v>138</v>
      </c>
      <c r="F1749" s="21" t="s">
        <v>837</v>
      </c>
      <c r="G1749" s="21" t="s">
        <v>838</v>
      </c>
      <c r="H1749" s="21" t="s">
        <v>839</v>
      </c>
      <c r="I1749" s="21" t="s">
        <v>840</v>
      </c>
      <c r="J1749" s="21" t="s">
        <v>1000</v>
      </c>
      <c r="K1749" s="21" t="s">
        <v>1011</v>
      </c>
      <c r="L1749" s="21" t="s">
        <v>1073</v>
      </c>
      <c r="M1749" s="21" t="s">
        <v>12</v>
      </c>
      <c r="N1749" s="54">
        <v>9353.44</v>
      </c>
      <c r="O1749" s="54">
        <v>0</v>
      </c>
      <c r="P1749" s="54">
        <v>0</v>
      </c>
      <c r="Q1749" s="54">
        <v>9353.44</v>
      </c>
      <c r="R1749" s="54">
        <v>0</v>
      </c>
      <c r="S1749" s="54">
        <v>0</v>
      </c>
      <c r="T1749" s="54">
        <v>0</v>
      </c>
      <c r="U1749" s="54">
        <v>9353.44</v>
      </c>
      <c r="V1749" s="54">
        <v>9353.44</v>
      </c>
      <c r="W1749" s="54">
        <v>9353.44</v>
      </c>
    </row>
    <row r="1750" spans="1:23" outlineLevel="2" x14ac:dyDescent="0.2">
      <c r="A1750" s="21" t="s">
        <v>999</v>
      </c>
      <c r="B1750" s="21" t="s">
        <v>39</v>
      </c>
      <c r="C1750" s="21" t="s">
        <v>58</v>
      </c>
      <c r="D1750" s="21" t="s">
        <v>59</v>
      </c>
      <c r="E1750" s="21" t="s">
        <v>60</v>
      </c>
      <c r="F1750" s="21" t="s">
        <v>837</v>
      </c>
      <c r="G1750" s="21" t="s">
        <v>838</v>
      </c>
      <c r="H1750" s="21" t="s">
        <v>839</v>
      </c>
      <c r="I1750" s="21" t="s">
        <v>840</v>
      </c>
      <c r="J1750" s="21" t="s">
        <v>1000</v>
      </c>
      <c r="K1750" s="21" t="s">
        <v>1011</v>
      </c>
      <c r="L1750" s="21" t="s">
        <v>1073</v>
      </c>
      <c r="M1750" s="21" t="s">
        <v>12</v>
      </c>
      <c r="N1750" s="54">
        <v>1800</v>
      </c>
      <c r="O1750" s="54">
        <v>0</v>
      </c>
      <c r="P1750" s="54">
        <v>0</v>
      </c>
      <c r="Q1750" s="54">
        <v>1800</v>
      </c>
      <c r="R1750" s="54">
        <v>0</v>
      </c>
      <c r="S1750" s="54">
        <v>0</v>
      </c>
      <c r="T1750" s="54">
        <v>0</v>
      </c>
      <c r="U1750" s="54">
        <v>1800</v>
      </c>
      <c r="V1750" s="54">
        <v>1800</v>
      </c>
      <c r="W1750" s="54">
        <v>1800</v>
      </c>
    </row>
    <row r="1751" spans="1:23" outlineLevel="2" x14ac:dyDescent="0.2">
      <c r="A1751" s="21" t="s">
        <v>999</v>
      </c>
      <c r="B1751" s="21" t="s">
        <v>39</v>
      </c>
      <c r="C1751" s="21" t="s">
        <v>58</v>
      </c>
      <c r="D1751" s="21" t="s">
        <v>145</v>
      </c>
      <c r="E1751" s="21" t="s">
        <v>146</v>
      </c>
      <c r="F1751" s="21" t="s">
        <v>837</v>
      </c>
      <c r="G1751" s="21" t="s">
        <v>838</v>
      </c>
      <c r="H1751" s="21" t="s">
        <v>839</v>
      </c>
      <c r="I1751" s="21" t="s">
        <v>840</v>
      </c>
      <c r="J1751" s="21" t="s">
        <v>1000</v>
      </c>
      <c r="K1751" s="21" t="s">
        <v>1011</v>
      </c>
      <c r="L1751" s="21" t="s">
        <v>1073</v>
      </c>
      <c r="M1751" s="21" t="s">
        <v>12</v>
      </c>
      <c r="N1751" s="54">
        <v>3400</v>
      </c>
      <c r="O1751" s="54">
        <v>0</v>
      </c>
      <c r="P1751" s="54">
        <v>0</v>
      </c>
      <c r="Q1751" s="54">
        <v>3400</v>
      </c>
      <c r="R1751" s="54">
        <v>0</v>
      </c>
      <c r="S1751" s="54">
        <v>0</v>
      </c>
      <c r="T1751" s="54">
        <v>0</v>
      </c>
      <c r="U1751" s="54">
        <v>3400</v>
      </c>
      <c r="V1751" s="54">
        <v>3400</v>
      </c>
      <c r="W1751" s="54">
        <v>3400</v>
      </c>
    </row>
    <row r="1752" spans="1:23" outlineLevel="2" x14ac:dyDescent="0.2">
      <c r="A1752" s="21" t="s">
        <v>999</v>
      </c>
      <c r="B1752" s="21" t="s">
        <v>39</v>
      </c>
      <c r="C1752" s="21" t="s">
        <v>58</v>
      </c>
      <c r="D1752" s="21" t="s">
        <v>147</v>
      </c>
      <c r="E1752" s="21" t="s">
        <v>148</v>
      </c>
      <c r="F1752" s="21" t="s">
        <v>837</v>
      </c>
      <c r="G1752" s="21" t="s">
        <v>838</v>
      </c>
      <c r="H1752" s="21" t="s">
        <v>839</v>
      </c>
      <c r="I1752" s="21" t="s">
        <v>840</v>
      </c>
      <c r="J1752" s="21" t="s">
        <v>1000</v>
      </c>
      <c r="K1752" s="21" t="s">
        <v>1011</v>
      </c>
      <c r="L1752" s="21" t="s">
        <v>1073</v>
      </c>
      <c r="M1752" s="21" t="s">
        <v>12</v>
      </c>
      <c r="N1752" s="54">
        <v>5500</v>
      </c>
      <c r="O1752" s="54">
        <v>0</v>
      </c>
      <c r="P1752" s="54">
        <v>0</v>
      </c>
      <c r="Q1752" s="54">
        <v>5500</v>
      </c>
      <c r="R1752" s="54">
        <v>0</v>
      </c>
      <c r="S1752" s="54">
        <v>0</v>
      </c>
      <c r="T1752" s="54">
        <v>0</v>
      </c>
      <c r="U1752" s="54">
        <v>5500</v>
      </c>
      <c r="V1752" s="54">
        <v>5500</v>
      </c>
      <c r="W1752" s="54">
        <v>5500</v>
      </c>
    </row>
    <row r="1753" spans="1:23" outlineLevel="2" x14ac:dyDescent="0.2">
      <c r="A1753" s="21" t="s">
        <v>999</v>
      </c>
      <c r="B1753" s="21" t="s">
        <v>39</v>
      </c>
      <c r="C1753" s="21" t="s">
        <v>58</v>
      </c>
      <c r="D1753" s="21" t="s">
        <v>149</v>
      </c>
      <c r="E1753" s="21" t="s">
        <v>150</v>
      </c>
      <c r="F1753" s="21" t="s">
        <v>837</v>
      </c>
      <c r="G1753" s="21" t="s">
        <v>838</v>
      </c>
      <c r="H1753" s="21" t="s">
        <v>839</v>
      </c>
      <c r="I1753" s="21" t="s">
        <v>840</v>
      </c>
      <c r="J1753" s="21" t="s">
        <v>1000</v>
      </c>
      <c r="K1753" s="21" t="s">
        <v>1011</v>
      </c>
      <c r="L1753" s="21" t="s">
        <v>1073</v>
      </c>
      <c r="M1753" s="21" t="s">
        <v>12</v>
      </c>
      <c r="N1753" s="54">
        <v>14124.51</v>
      </c>
      <c r="O1753" s="54">
        <v>0</v>
      </c>
      <c r="P1753" s="54">
        <v>0</v>
      </c>
      <c r="Q1753" s="54">
        <v>14124.51</v>
      </c>
      <c r="R1753" s="54">
        <v>0</v>
      </c>
      <c r="S1753" s="54">
        <v>0</v>
      </c>
      <c r="T1753" s="54">
        <v>0</v>
      </c>
      <c r="U1753" s="54">
        <v>14124.51</v>
      </c>
      <c r="V1753" s="54">
        <v>14124.51</v>
      </c>
      <c r="W1753" s="54">
        <v>14124.51</v>
      </c>
    </row>
    <row r="1754" spans="1:23" outlineLevel="2" x14ac:dyDescent="0.2">
      <c r="A1754" s="21" t="s">
        <v>999</v>
      </c>
      <c r="B1754" s="21" t="s">
        <v>39</v>
      </c>
      <c r="C1754" s="21" t="s">
        <v>58</v>
      </c>
      <c r="D1754" s="21" t="s">
        <v>143</v>
      </c>
      <c r="E1754" s="21" t="s">
        <v>144</v>
      </c>
      <c r="F1754" s="21" t="s">
        <v>837</v>
      </c>
      <c r="G1754" s="21" t="s">
        <v>838</v>
      </c>
      <c r="H1754" s="21" t="s">
        <v>839</v>
      </c>
      <c r="I1754" s="21" t="s">
        <v>840</v>
      </c>
      <c r="J1754" s="21" t="s">
        <v>1000</v>
      </c>
      <c r="K1754" s="21" t="s">
        <v>1017</v>
      </c>
      <c r="L1754" s="21" t="s">
        <v>1077</v>
      </c>
      <c r="M1754" s="21" t="s">
        <v>12</v>
      </c>
      <c r="N1754" s="54">
        <v>11200</v>
      </c>
      <c r="O1754" s="54">
        <v>0</v>
      </c>
      <c r="P1754" s="54">
        <v>0</v>
      </c>
      <c r="Q1754" s="54">
        <v>11200</v>
      </c>
      <c r="R1754" s="54">
        <v>0</v>
      </c>
      <c r="S1754" s="54">
        <v>0</v>
      </c>
      <c r="T1754" s="54">
        <v>0</v>
      </c>
      <c r="U1754" s="54">
        <v>11200</v>
      </c>
      <c r="V1754" s="54">
        <v>11200</v>
      </c>
      <c r="W1754" s="54">
        <v>11200</v>
      </c>
    </row>
    <row r="1755" spans="1:23" outlineLevel="2" x14ac:dyDescent="0.2">
      <c r="A1755" s="21" t="s">
        <v>999</v>
      </c>
      <c r="B1755" s="21" t="s">
        <v>39</v>
      </c>
      <c r="C1755" s="21" t="s">
        <v>58</v>
      </c>
      <c r="D1755" s="21" t="s">
        <v>149</v>
      </c>
      <c r="E1755" s="21" t="s">
        <v>150</v>
      </c>
      <c r="F1755" s="21" t="s">
        <v>837</v>
      </c>
      <c r="G1755" s="21" t="s">
        <v>838</v>
      </c>
      <c r="H1755" s="21" t="s">
        <v>839</v>
      </c>
      <c r="I1755" s="21" t="s">
        <v>840</v>
      </c>
      <c r="J1755" s="21" t="s">
        <v>1000</v>
      </c>
      <c r="K1755" s="21" t="s">
        <v>1017</v>
      </c>
      <c r="L1755" s="21" t="s">
        <v>1077</v>
      </c>
      <c r="M1755" s="21" t="s">
        <v>12</v>
      </c>
      <c r="N1755" s="54">
        <v>11500</v>
      </c>
      <c r="O1755" s="54">
        <v>0</v>
      </c>
      <c r="P1755" s="54">
        <v>0</v>
      </c>
      <c r="Q1755" s="54">
        <v>11500</v>
      </c>
      <c r="R1755" s="54">
        <v>0</v>
      </c>
      <c r="S1755" s="54">
        <v>0</v>
      </c>
      <c r="T1755" s="54">
        <v>0</v>
      </c>
      <c r="U1755" s="54">
        <v>11500</v>
      </c>
      <c r="V1755" s="54">
        <v>11500</v>
      </c>
      <c r="W1755" s="54">
        <v>11500</v>
      </c>
    </row>
    <row r="1756" spans="1:23" outlineLevel="2" x14ac:dyDescent="0.2">
      <c r="A1756" s="21" t="s">
        <v>999</v>
      </c>
      <c r="B1756" s="21" t="s">
        <v>39</v>
      </c>
      <c r="C1756" s="21" t="s">
        <v>58</v>
      </c>
      <c r="D1756" s="21" t="s">
        <v>105</v>
      </c>
      <c r="E1756" s="21" t="s">
        <v>106</v>
      </c>
      <c r="F1756" s="21" t="s">
        <v>837</v>
      </c>
      <c r="G1756" s="21" t="s">
        <v>838</v>
      </c>
      <c r="H1756" s="21" t="s">
        <v>839</v>
      </c>
      <c r="I1756" s="21" t="s">
        <v>840</v>
      </c>
      <c r="J1756" s="21" t="s">
        <v>1000</v>
      </c>
      <c r="K1756" s="21" t="s">
        <v>1017</v>
      </c>
      <c r="L1756" s="21" t="s">
        <v>1077</v>
      </c>
      <c r="M1756" s="21" t="s">
        <v>12</v>
      </c>
      <c r="N1756" s="54">
        <v>15360</v>
      </c>
      <c r="O1756" s="54">
        <v>0</v>
      </c>
      <c r="P1756" s="54">
        <v>0</v>
      </c>
      <c r="Q1756" s="54">
        <v>15360</v>
      </c>
      <c r="R1756" s="54">
        <v>0</v>
      </c>
      <c r="S1756" s="54">
        <v>0</v>
      </c>
      <c r="T1756" s="54">
        <v>0</v>
      </c>
      <c r="U1756" s="54">
        <v>15360</v>
      </c>
      <c r="V1756" s="54">
        <v>15360</v>
      </c>
      <c r="W1756" s="54">
        <v>15360</v>
      </c>
    </row>
    <row r="1757" spans="1:23" outlineLevel="2" x14ac:dyDescent="0.2">
      <c r="A1757" s="21" t="s">
        <v>999</v>
      </c>
      <c r="B1757" s="21" t="s">
        <v>39</v>
      </c>
      <c r="C1757" s="21" t="s">
        <v>58</v>
      </c>
      <c r="D1757" s="21" t="s">
        <v>59</v>
      </c>
      <c r="E1757" s="21" t="s">
        <v>60</v>
      </c>
      <c r="F1757" s="21" t="s">
        <v>837</v>
      </c>
      <c r="G1757" s="21" t="s">
        <v>838</v>
      </c>
      <c r="H1757" s="21" t="s">
        <v>839</v>
      </c>
      <c r="I1757" s="21" t="s">
        <v>840</v>
      </c>
      <c r="J1757" s="21" t="s">
        <v>1000</v>
      </c>
      <c r="K1757" s="21" t="s">
        <v>1078</v>
      </c>
      <c r="L1757" s="21" t="s">
        <v>1079</v>
      </c>
      <c r="M1757" s="21" t="s">
        <v>12</v>
      </c>
      <c r="N1757" s="54">
        <v>2000</v>
      </c>
      <c r="O1757" s="54">
        <v>0</v>
      </c>
      <c r="P1757" s="54">
        <v>0</v>
      </c>
      <c r="Q1757" s="54">
        <v>2000</v>
      </c>
      <c r="R1757" s="54">
        <v>0</v>
      </c>
      <c r="S1757" s="54">
        <v>0</v>
      </c>
      <c r="T1757" s="54">
        <v>0</v>
      </c>
      <c r="U1757" s="54">
        <v>2000</v>
      </c>
      <c r="V1757" s="54">
        <v>2000</v>
      </c>
      <c r="W1757" s="54">
        <v>2000</v>
      </c>
    </row>
    <row r="1758" spans="1:23" outlineLevel="2" x14ac:dyDescent="0.2">
      <c r="A1758" s="21" t="s">
        <v>999</v>
      </c>
      <c r="B1758" s="21" t="s">
        <v>39</v>
      </c>
      <c r="C1758" s="21" t="s">
        <v>58</v>
      </c>
      <c r="D1758" s="21" t="s">
        <v>137</v>
      </c>
      <c r="E1758" s="21" t="s">
        <v>138</v>
      </c>
      <c r="F1758" s="21" t="s">
        <v>837</v>
      </c>
      <c r="G1758" s="21" t="s">
        <v>838</v>
      </c>
      <c r="H1758" s="21" t="s">
        <v>839</v>
      </c>
      <c r="I1758" s="21" t="s">
        <v>840</v>
      </c>
      <c r="J1758" s="21" t="s">
        <v>1000</v>
      </c>
      <c r="K1758" s="21" t="s">
        <v>1078</v>
      </c>
      <c r="L1758" s="21" t="s">
        <v>1079</v>
      </c>
      <c r="M1758" s="21" t="s">
        <v>12</v>
      </c>
      <c r="N1758" s="54">
        <v>21015.599999999999</v>
      </c>
      <c r="O1758" s="54">
        <v>0</v>
      </c>
      <c r="P1758" s="54">
        <v>0</v>
      </c>
      <c r="Q1758" s="54">
        <v>21015.599999999999</v>
      </c>
      <c r="R1758" s="54">
        <v>0</v>
      </c>
      <c r="S1758" s="54">
        <v>0</v>
      </c>
      <c r="T1758" s="54">
        <v>0</v>
      </c>
      <c r="U1758" s="54">
        <v>21015.599999999999</v>
      </c>
      <c r="V1758" s="54">
        <v>21015.599999999999</v>
      </c>
      <c r="W1758" s="54">
        <v>21015.599999999999</v>
      </c>
    </row>
    <row r="1759" spans="1:23" outlineLevel="2" x14ac:dyDescent="0.2">
      <c r="A1759" s="21" t="s">
        <v>999</v>
      </c>
      <c r="B1759" s="21" t="s">
        <v>39</v>
      </c>
      <c r="C1759" s="21" t="s">
        <v>58</v>
      </c>
      <c r="D1759" s="21" t="s">
        <v>143</v>
      </c>
      <c r="E1759" s="21" t="s">
        <v>144</v>
      </c>
      <c r="F1759" s="21" t="s">
        <v>837</v>
      </c>
      <c r="G1759" s="21" t="s">
        <v>838</v>
      </c>
      <c r="H1759" s="21" t="s">
        <v>839</v>
      </c>
      <c r="I1759" s="21" t="s">
        <v>840</v>
      </c>
      <c r="J1759" s="21" t="s">
        <v>1000</v>
      </c>
      <c r="K1759" s="21" t="s">
        <v>1078</v>
      </c>
      <c r="L1759" s="21" t="s">
        <v>1079</v>
      </c>
      <c r="M1759" s="21" t="s">
        <v>12</v>
      </c>
      <c r="N1759" s="54">
        <v>3000</v>
      </c>
      <c r="O1759" s="54">
        <v>0</v>
      </c>
      <c r="P1759" s="54">
        <v>0</v>
      </c>
      <c r="Q1759" s="54">
        <v>3000</v>
      </c>
      <c r="R1759" s="54">
        <v>0</v>
      </c>
      <c r="S1759" s="54">
        <v>0</v>
      </c>
      <c r="T1759" s="54">
        <v>0</v>
      </c>
      <c r="U1759" s="54">
        <v>3000</v>
      </c>
      <c r="V1759" s="54">
        <v>3000</v>
      </c>
      <c r="W1759" s="54">
        <v>3000</v>
      </c>
    </row>
    <row r="1760" spans="1:23" outlineLevel="2" x14ac:dyDescent="0.2">
      <c r="A1760" s="21" t="s">
        <v>999</v>
      </c>
      <c r="B1760" s="21" t="s">
        <v>39</v>
      </c>
      <c r="C1760" s="21" t="s">
        <v>58</v>
      </c>
      <c r="D1760" s="21" t="s">
        <v>147</v>
      </c>
      <c r="E1760" s="21" t="s">
        <v>148</v>
      </c>
      <c r="F1760" s="21" t="s">
        <v>837</v>
      </c>
      <c r="G1760" s="21" t="s">
        <v>838</v>
      </c>
      <c r="H1760" s="21" t="s">
        <v>839</v>
      </c>
      <c r="I1760" s="21" t="s">
        <v>840</v>
      </c>
      <c r="J1760" s="21" t="s">
        <v>1000</v>
      </c>
      <c r="K1760" s="21" t="s">
        <v>1078</v>
      </c>
      <c r="L1760" s="21" t="s">
        <v>1079</v>
      </c>
      <c r="M1760" s="21" t="s">
        <v>12</v>
      </c>
      <c r="N1760" s="54">
        <v>6500</v>
      </c>
      <c r="O1760" s="54">
        <v>0</v>
      </c>
      <c r="P1760" s="54">
        <v>0</v>
      </c>
      <c r="Q1760" s="54">
        <v>6500</v>
      </c>
      <c r="R1760" s="54">
        <v>0</v>
      </c>
      <c r="S1760" s="54">
        <v>0</v>
      </c>
      <c r="T1760" s="54">
        <v>0</v>
      </c>
      <c r="U1760" s="54">
        <v>6500</v>
      </c>
      <c r="V1760" s="54">
        <v>6500</v>
      </c>
      <c r="W1760" s="54">
        <v>6500</v>
      </c>
    </row>
    <row r="1761" spans="1:23" outlineLevel="2" x14ac:dyDescent="0.2">
      <c r="A1761" s="21" t="s">
        <v>999</v>
      </c>
      <c r="B1761" s="21" t="s">
        <v>39</v>
      </c>
      <c r="C1761" s="21" t="s">
        <v>58</v>
      </c>
      <c r="D1761" s="21" t="s">
        <v>149</v>
      </c>
      <c r="E1761" s="21" t="s">
        <v>150</v>
      </c>
      <c r="F1761" s="21" t="s">
        <v>837</v>
      </c>
      <c r="G1761" s="21" t="s">
        <v>838</v>
      </c>
      <c r="H1761" s="21" t="s">
        <v>839</v>
      </c>
      <c r="I1761" s="21" t="s">
        <v>840</v>
      </c>
      <c r="J1761" s="21" t="s">
        <v>1000</v>
      </c>
      <c r="K1761" s="21" t="s">
        <v>1078</v>
      </c>
      <c r="L1761" s="21" t="s">
        <v>1079</v>
      </c>
      <c r="M1761" s="21" t="s">
        <v>12</v>
      </c>
      <c r="N1761" s="54">
        <v>3000</v>
      </c>
      <c r="O1761" s="54">
        <v>0</v>
      </c>
      <c r="P1761" s="54">
        <v>0</v>
      </c>
      <c r="Q1761" s="54">
        <v>3000</v>
      </c>
      <c r="R1761" s="54">
        <v>0</v>
      </c>
      <c r="S1761" s="54">
        <v>0</v>
      </c>
      <c r="T1761" s="54">
        <v>0</v>
      </c>
      <c r="U1761" s="54">
        <v>3000</v>
      </c>
      <c r="V1761" s="54">
        <v>3000</v>
      </c>
      <c r="W1761" s="54">
        <v>3000</v>
      </c>
    </row>
    <row r="1762" spans="1:23" outlineLevel="2" x14ac:dyDescent="0.2">
      <c r="A1762" s="21" t="s">
        <v>999</v>
      </c>
      <c r="B1762" s="21" t="s">
        <v>39</v>
      </c>
      <c r="C1762" s="21" t="s">
        <v>58</v>
      </c>
      <c r="D1762" s="21" t="s">
        <v>145</v>
      </c>
      <c r="E1762" s="21" t="s">
        <v>146</v>
      </c>
      <c r="F1762" s="21" t="s">
        <v>837</v>
      </c>
      <c r="G1762" s="21" t="s">
        <v>838</v>
      </c>
      <c r="H1762" s="21" t="s">
        <v>839</v>
      </c>
      <c r="I1762" s="21" t="s">
        <v>840</v>
      </c>
      <c r="J1762" s="21" t="s">
        <v>1000</v>
      </c>
      <c r="K1762" s="21" t="s">
        <v>1078</v>
      </c>
      <c r="L1762" s="21" t="s">
        <v>1079</v>
      </c>
      <c r="M1762" s="21" t="s">
        <v>12</v>
      </c>
      <c r="N1762" s="54">
        <v>4500</v>
      </c>
      <c r="O1762" s="54">
        <v>0</v>
      </c>
      <c r="P1762" s="54">
        <v>0</v>
      </c>
      <c r="Q1762" s="54">
        <v>4500</v>
      </c>
      <c r="R1762" s="54">
        <v>0</v>
      </c>
      <c r="S1762" s="54">
        <v>0</v>
      </c>
      <c r="T1762" s="54">
        <v>0</v>
      </c>
      <c r="U1762" s="54">
        <v>4500</v>
      </c>
      <c r="V1762" s="54">
        <v>4500</v>
      </c>
      <c r="W1762" s="54">
        <v>4500</v>
      </c>
    </row>
    <row r="1763" spans="1:23" outlineLevel="2" x14ac:dyDescent="0.2">
      <c r="A1763" s="21" t="s">
        <v>999</v>
      </c>
      <c r="B1763" s="21" t="s">
        <v>39</v>
      </c>
      <c r="C1763" s="21" t="s">
        <v>58</v>
      </c>
      <c r="D1763" s="21" t="s">
        <v>135</v>
      </c>
      <c r="E1763" s="21" t="s">
        <v>136</v>
      </c>
      <c r="F1763" s="21" t="s">
        <v>837</v>
      </c>
      <c r="G1763" s="21" t="s">
        <v>838</v>
      </c>
      <c r="H1763" s="21" t="s">
        <v>839</v>
      </c>
      <c r="I1763" s="21" t="s">
        <v>840</v>
      </c>
      <c r="J1763" s="21" t="s">
        <v>1000</v>
      </c>
      <c r="K1763" s="21" t="s">
        <v>1078</v>
      </c>
      <c r="L1763" s="21" t="s">
        <v>1079</v>
      </c>
      <c r="M1763" s="21" t="s">
        <v>12</v>
      </c>
      <c r="N1763" s="54">
        <v>3000</v>
      </c>
      <c r="O1763" s="54">
        <v>0</v>
      </c>
      <c r="P1763" s="54">
        <v>0</v>
      </c>
      <c r="Q1763" s="54">
        <v>3000</v>
      </c>
      <c r="R1763" s="54">
        <v>0</v>
      </c>
      <c r="S1763" s="54">
        <v>0</v>
      </c>
      <c r="T1763" s="54">
        <v>0</v>
      </c>
      <c r="U1763" s="54">
        <v>3000</v>
      </c>
      <c r="V1763" s="54">
        <v>3000</v>
      </c>
      <c r="W1763" s="54">
        <v>3000</v>
      </c>
    </row>
    <row r="1764" spans="1:23" outlineLevel="2" x14ac:dyDescent="0.2">
      <c r="A1764" s="21" t="s">
        <v>999</v>
      </c>
      <c r="B1764" s="21" t="s">
        <v>39</v>
      </c>
      <c r="C1764" s="21" t="s">
        <v>58</v>
      </c>
      <c r="D1764" s="21" t="s">
        <v>129</v>
      </c>
      <c r="E1764" s="21" t="s">
        <v>130</v>
      </c>
      <c r="F1764" s="21" t="s">
        <v>837</v>
      </c>
      <c r="G1764" s="21" t="s">
        <v>838</v>
      </c>
      <c r="H1764" s="21" t="s">
        <v>839</v>
      </c>
      <c r="I1764" s="21" t="s">
        <v>840</v>
      </c>
      <c r="J1764" s="21" t="s">
        <v>1000</v>
      </c>
      <c r="K1764" s="21" t="s">
        <v>1078</v>
      </c>
      <c r="L1764" s="21" t="s">
        <v>1079</v>
      </c>
      <c r="M1764" s="21" t="s">
        <v>12</v>
      </c>
      <c r="N1764" s="54">
        <v>1400</v>
      </c>
      <c r="O1764" s="54">
        <v>0</v>
      </c>
      <c r="P1764" s="54">
        <v>0</v>
      </c>
      <c r="Q1764" s="54">
        <v>1400</v>
      </c>
      <c r="R1764" s="54">
        <v>0</v>
      </c>
      <c r="S1764" s="54">
        <v>0</v>
      </c>
      <c r="T1764" s="54">
        <v>0</v>
      </c>
      <c r="U1764" s="54">
        <v>1400</v>
      </c>
      <c r="V1764" s="54">
        <v>1400</v>
      </c>
      <c r="W1764" s="54">
        <v>1400</v>
      </c>
    </row>
    <row r="1765" spans="1:23" outlineLevel="2" x14ac:dyDescent="0.2">
      <c r="A1765" s="21" t="s">
        <v>999</v>
      </c>
      <c r="B1765" s="21" t="s">
        <v>39</v>
      </c>
      <c r="C1765" s="21" t="s">
        <v>58</v>
      </c>
      <c r="D1765" s="21" t="s">
        <v>139</v>
      </c>
      <c r="E1765" s="21" t="s">
        <v>140</v>
      </c>
      <c r="F1765" s="21" t="s">
        <v>837</v>
      </c>
      <c r="G1765" s="21" t="s">
        <v>838</v>
      </c>
      <c r="H1765" s="21" t="s">
        <v>839</v>
      </c>
      <c r="I1765" s="21" t="s">
        <v>840</v>
      </c>
      <c r="J1765" s="21" t="s">
        <v>1000</v>
      </c>
      <c r="K1765" s="21" t="s">
        <v>1078</v>
      </c>
      <c r="L1765" s="21" t="s">
        <v>1079</v>
      </c>
      <c r="M1765" s="21" t="s">
        <v>12</v>
      </c>
      <c r="N1765" s="54">
        <v>15000</v>
      </c>
      <c r="O1765" s="54">
        <v>0</v>
      </c>
      <c r="P1765" s="54">
        <v>0</v>
      </c>
      <c r="Q1765" s="54">
        <v>15000</v>
      </c>
      <c r="R1765" s="54">
        <v>0</v>
      </c>
      <c r="S1765" s="54">
        <v>0</v>
      </c>
      <c r="T1765" s="54">
        <v>0</v>
      </c>
      <c r="U1765" s="54">
        <v>15000</v>
      </c>
      <c r="V1765" s="54">
        <v>15000</v>
      </c>
      <c r="W1765" s="54">
        <v>15000</v>
      </c>
    </row>
    <row r="1766" spans="1:23" outlineLevel="2" x14ac:dyDescent="0.2">
      <c r="A1766" s="21" t="s">
        <v>999</v>
      </c>
      <c r="B1766" s="21" t="s">
        <v>39</v>
      </c>
      <c r="C1766" s="21" t="s">
        <v>58</v>
      </c>
      <c r="D1766" s="21" t="s">
        <v>59</v>
      </c>
      <c r="E1766" s="21" t="s">
        <v>60</v>
      </c>
      <c r="F1766" s="21" t="s">
        <v>837</v>
      </c>
      <c r="G1766" s="21" t="s">
        <v>838</v>
      </c>
      <c r="H1766" s="21" t="s">
        <v>839</v>
      </c>
      <c r="I1766" s="21" t="s">
        <v>840</v>
      </c>
      <c r="J1766" s="21" t="s">
        <v>1000</v>
      </c>
      <c r="K1766" s="21" t="s">
        <v>1061</v>
      </c>
      <c r="L1766" s="21" t="s">
        <v>1080</v>
      </c>
      <c r="M1766" s="21" t="s">
        <v>12</v>
      </c>
      <c r="N1766" s="54">
        <v>4000</v>
      </c>
      <c r="O1766" s="54">
        <v>0</v>
      </c>
      <c r="P1766" s="54">
        <v>0</v>
      </c>
      <c r="Q1766" s="54">
        <v>4000</v>
      </c>
      <c r="R1766" s="54">
        <v>0</v>
      </c>
      <c r="S1766" s="54">
        <v>0</v>
      </c>
      <c r="T1766" s="54">
        <v>0</v>
      </c>
      <c r="U1766" s="54">
        <v>4000</v>
      </c>
      <c r="V1766" s="54">
        <v>4000</v>
      </c>
      <c r="W1766" s="54">
        <v>4000</v>
      </c>
    </row>
    <row r="1767" spans="1:23" outlineLevel="2" x14ac:dyDescent="0.2">
      <c r="A1767" s="21" t="s">
        <v>999</v>
      </c>
      <c r="B1767" s="21" t="s">
        <v>39</v>
      </c>
      <c r="C1767" s="21" t="s">
        <v>58</v>
      </c>
      <c r="D1767" s="21" t="s">
        <v>139</v>
      </c>
      <c r="E1767" s="21" t="s">
        <v>140</v>
      </c>
      <c r="F1767" s="21" t="s">
        <v>837</v>
      </c>
      <c r="G1767" s="21" t="s">
        <v>838</v>
      </c>
      <c r="H1767" s="21" t="s">
        <v>839</v>
      </c>
      <c r="I1767" s="21" t="s">
        <v>840</v>
      </c>
      <c r="J1767" s="21" t="s">
        <v>1000</v>
      </c>
      <c r="K1767" s="21" t="s">
        <v>1061</v>
      </c>
      <c r="L1767" s="21" t="s">
        <v>1080</v>
      </c>
      <c r="M1767" s="21" t="s">
        <v>12</v>
      </c>
      <c r="N1767" s="54">
        <v>10000</v>
      </c>
      <c r="O1767" s="54">
        <v>0</v>
      </c>
      <c r="P1767" s="54">
        <v>0</v>
      </c>
      <c r="Q1767" s="54">
        <v>10000</v>
      </c>
      <c r="R1767" s="54">
        <v>0</v>
      </c>
      <c r="S1767" s="54">
        <v>0</v>
      </c>
      <c r="T1767" s="54">
        <v>0</v>
      </c>
      <c r="U1767" s="54">
        <v>10000</v>
      </c>
      <c r="V1767" s="54">
        <v>10000</v>
      </c>
      <c r="W1767" s="54">
        <v>10000</v>
      </c>
    </row>
    <row r="1768" spans="1:23" outlineLevel="2" x14ac:dyDescent="0.2">
      <c r="A1768" s="21" t="s">
        <v>999</v>
      </c>
      <c r="B1768" s="21" t="s">
        <v>39</v>
      </c>
      <c r="C1768" s="21" t="s">
        <v>58</v>
      </c>
      <c r="D1768" s="21" t="s">
        <v>145</v>
      </c>
      <c r="E1768" s="21" t="s">
        <v>146</v>
      </c>
      <c r="F1768" s="21" t="s">
        <v>837</v>
      </c>
      <c r="G1768" s="21" t="s">
        <v>838</v>
      </c>
      <c r="H1768" s="21" t="s">
        <v>839</v>
      </c>
      <c r="I1768" s="21" t="s">
        <v>840</v>
      </c>
      <c r="J1768" s="21" t="s">
        <v>1000</v>
      </c>
      <c r="K1768" s="21" t="s">
        <v>1019</v>
      </c>
      <c r="L1768" s="21" t="s">
        <v>1081</v>
      </c>
      <c r="M1768" s="21" t="s">
        <v>12</v>
      </c>
      <c r="N1768" s="54">
        <v>2000</v>
      </c>
      <c r="O1768" s="54">
        <v>0</v>
      </c>
      <c r="P1768" s="54">
        <v>0</v>
      </c>
      <c r="Q1768" s="54">
        <v>2000</v>
      </c>
      <c r="R1768" s="54">
        <v>0</v>
      </c>
      <c r="S1768" s="54">
        <v>0</v>
      </c>
      <c r="T1768" s="54">
        <v>0</v>
      </c>
      <c r="U1768" s="54">
        <v>2000</v>
      </c>
      <c r="V1768" s="54">
        <v>2000</v>
      </c>
      <c r="W1768" s="54">
        <v>2000</v>
      </c>
    </row>
    <row r="1769" spans="1:23" outlineLevel="2" x14ac:dyDescent="0.2">
      <c r="A1769" s="21" t="s">
        <v>999</v>
      </c>
      <c r="B1769" s="21" t="s">
        <v>39</v>
      </c>
      <c r="C1769" s="21" t="s">
        <v>58</v>
      </c>
      <c r="D1769" s="21" t="s">
        <v>147</v>
      </c>
      <c r="E1769" s="21" t="s">
        <v>148</v>
      </c>
      <c r="F1769" s="21" t="s">
        <v>837</v>
      </c>
      <c r="G1769" s="21" t="s">
        <v>838</v>
      </c>
      <c r="H1769" s="21" t="s">
        <v>839</v>
      </c>
      <c r="I1769" s="21" t="s">
        <v>840</v>
      </c>
      <c r="J1769" s="21" t="s">
        <v>1000</v>
      </c>
      <c r="K1769" s="21" t="s">
        <v>1092</v>
      </c>
      <c r="L1769" s="21" t="s">
        <v>1093</v>
      </c>
      <c r="M1769" s="21" t="s">
        <v>12</v>
      </c>
      <c r="N1769" s="54">
        <v>3000</v>
      </c>
      <c r="O1769" s="54">
        <v>0</v>
      </c>
      <c r="P1769" s="54">
        <v>0</v>
      </c>
      <c r="Q1769" s="54">
        <v>3000</v>
      </c>
      <c r="R1769" s="54">
        <v>0</v>
      </c>
      <c r="S1769" s="54">
        <v>0</v>
      </c>
      <c r="T1769" s="54">
        <v>0</v>
      </c>
      <c r="U1769" s="54">
        <v>3000</v>
      </c>
      <c r="V1769" s="54">
        <v>3000</v>
      </c>
      <c r="W1769" s="54">
        <v>3000</v>
      </c>
    </row>
    <row r="1770" spans="1:23" outlineLevel="2" x14ac:dyDescent="0.2">
      <c r="A1770" s="21" t="s">
        <v>999</v>
      </c>
      <c r="B1770" s="21" t="s">
        <v>39</v>
      </c>
      <c r="C1770" s="21" t="s">
        <v>58</v>
      </c>
      <c r="D1770" s="21" t="s">
        <v>147</v>
      </c>
      <c r="E1770" s="21" t="s">
        <v>148</v>
      </c>
      <c r="F1770" s="21" t="s">
        <v>837</v>
      </c>
      <c r="G1770" s="21" t="s">
        <v>838</v>
      </c>
      <c r="H1770" s="21" t="s">
        <v>839</v>
      </c>
      <c r="I1770" s="21" t="s">
        <v>840</v>
      </c>
      <c r="J1770" s="21" t="s">
        <v>1000</v>
      </c>
      <c r="K1770" s="21" t="s">
        <v>1082</v>
      </c>
      <c r="L1770" s="21" t="s">
        <v>1083</v>
      </c>
      <c r="M1770" s="21" t="s">
        <v>12</v>
      </c>
      <c r="N1770" s="54">
        <v>8500</v>
      </c>
      <c r="O1770" s="54">
        <v>0</v>
      </c>
      <c r="P1770" s="54">
        <v>0</v>
      </c>
      <c r="Q1770" s="54">
        <v>8500</v>
      </c>
      <c r="R1770" s="54">
        <v>1778.27</v>
      </c>
      <c r="S1770" s="54">
        <v>6721.73</v>
      </c>
      <c r="T1770" s="54">
        <v>0</v>
      </c>
      <c r="U1770" s="54">
        <v>1778.27</v>
      </c>
      <c r="V1770" s="54">
        <v>8500</v>
      </c>
      <c r="W1770" s="54">
        <v>0</v>
      </c>
    </row>
    <row r="1771" spans="1:23" outlineLevel="2" x14ac:dyDescent="0.2">
      <c r="A1771" s="21" t="s">
        <v>999</v>
      </c>
      <c r="B1771" s="21" t="s">
        <v>39</v>
      </c>
      <c r="C1771" s="21" t="s">
        <v>58</v>
      </c>
      <c r="D1771" s="21" t="s">
        <v>59</v>
      </c>
      <c r="E1771" s="21" t="s">
        <v>60</v>
      </c>
      <c r="F1771" s="21" t="s">
        <v>837</v>
      </c>
      <c r="G1771" s="21" t="s">
        <v>838</v>
      </c>
      <c r="H1771" s="21" t="s">
        <v>839</v>
      </c>
      <c r="I1771" s="21" t="s">
        <v>840</v>
      </c>
      <c r="J1771" s="21" t="s">
        <v>1000</v>
      </c>
      <c r="K1771" s="21" t="s">
        <v>1082</v>
      </c>
      <c r="L1771" s="21" t="s">
        <v>1083</v>
      </c>
      <c r="M1771" s="21" t="s">
        <v>12</v>
      </c>
      <c r="N1771" s="54">
        <v>1500</v>
      </c>
      <c r="O1771" s="54">
        <v>0</v>
      </c>
      <c r="P1771" s="54">
        <v>0</v>
      </c>
      <c r="Q1771" s="54">
        <v>1500</v>
      </c>
      <c r="R1771" s="54">
        <v>0</v>
      </c>
      <c r="S1771" s="54">
        <v>0</v>
      </c>
      <c r="T1771" s="54">
        <v>0</v>
      </c>
      <c r="U1771" s="54">
        <v>1500</v>
      </c>
      <c r="V1771" s="54">
        <v>1500</v>
      </c>
      <c r="W1771" s="54">
        <v>1500</v>
      </c>
    </row>
    <row r="1772" spans="1:23" outlineLevel="2" x14ac:dyDescent="0.2">
      <c r="A1772" s="21" t="s">
        <v>999</v>
      </c>
      <c r="B1772" s="21" t="s">
        <v>39</v>
      </c>
      <c r="C1772" s="21" t="s">
        <v>58</v>
      </c>
      <c r="D1772" s="21" t="s">
        <v>149</v>
      </c>
      <c r="E1772" s="21" t="s">
        <v>150</v>
      </c>
      <c r="F1772" s="21" t="s">
        <v>837</v>
      </c>
      <c r="G1772" s="21" t="s">
        <v>838</v>
      </c>
      <c r="H1772" s="21" t="s">
        <v>839</v>
      </c>
      <c r="I1772" s="21" t="s">
        <v>840</v>
      </c>
      <c r="J1772" s="21" t="s">
        <v>1000</v>
      </c>
      <c r="K1772" s="21" t="s">
        <v>1082</v>
      </c>
      <c r="L1772" s="21" t="s">
        <v>1083</v>
      </c>
      <c r="M1772" s="21" t="s">
        <v>12</v>
      </c>
      <c r="N1772" s="54">
        <v>3000</v>
      </c>
      <c r="O1772" s="54">
        <v>0</v>
      </c>
      <c r="P1772" s="54">
        <v>0</v>
      </c>
      <c r="Q1772" s="54">
        <v>3000</v>
      </c>
      <c r="R1772" s="54">
        <v>0</v>
      </c>
      <c r="S1772" s="54">
        <v>0</v>
      </c>
      <c r="T1772" s="54">
        <v>0</v>
      </c>
      <c r="U1772" s="54">
        <v>3000</v>
      </c>
      <c r="V1772" s="54">
        <v>3000</v>
      </c>
      <c r="W1772" s="54">
        <v>3000</v>
      </c>
    </row>
    <row r="1773" spans="1:23" outlineLevel="2" x14ac:dyDescent="0.2">
      <c r="A1773" s="21" t="s">
        <v>999</v>
      </c>
      <c r="B1773" s="21" t="s">
        <v>39</v>
      </c>
      <c r="C1773" s="21" t="s">
        <v>58</v>
      </c>
      <c r="D1773" s="21" t="s">
        <v>139</v>
      </c>
      <c r="E1773" s="21" t="s">
        <v>140</v>
      </c>
      <c r="F1773" s="21" t="s">
        <v>837</v>
      </c>
      <c r="G1773" s="21" t="s">
        <v>838</v>
      </c>
      <c r="H1773" s="21" t="s">
        <v>839</v>
      </c>
      <c r="I1773" s="21" t="s">
        <v>840</v>
      </c>
      <c r="J1773" s="21" t="s">
        <v>1000</v>
      </c>
      <c r="K1773" s="21" t="s">
        <v>1084</v>
      </c>
      <c r="L1773" s="21" t="s">
        <v>1085</v>
      </c>
      <c r="M1773" s="21" t="s">
        <v>12</v>
      </c>
      <c r="N1773" s="54">
        <v>5000</v>
      </c>
      <c r="O1773" s="54">
        <v>0</v>
      </c>
      <c r="P1773" s="54">
        <v>0</v>
      </c>
      <c r="Q1773" s="54">
        <v>5000</v>
      </c>
      <c r="R1773" s="54">
        <v>0</v>
      </c>
      <c r="S1773" s="54">
        <v>0</v>
      </c>
      <c r="T1773" s="54">
        <v>0</v>
      </c>
      <c r="U1773" s="54">
        <v>5000</v>
      </c>
      <c r="V1773" s="54">
        <v>5000</v>
      </c>
      <c r="W1773" s="54">
        <v>5000</v>
      </c>
    </row>
    <row r="1774" spans="1:23" outlineLevel="2" x14ac:dyDescent="0.2">
      <c r="A1774" s="21" t="s">
        <v>999</v>
      </c>
      <c r="B1774" s="21" t="s">
        <v>39</v>
      </c>
      <c r="C1774" s="21" t="s">
        <v>58</v>
      </c>
      <c r="D1774" s="21" t="s">
        <v>149</v>
      </c>
      <c r="E1774" s="21" t="s">
        <v>150</v>
      </c>
      <c r="F1774" s="21" t="s">
        <v>837</v>
      </c>
      <c r="G1774" s="21" t="s">
        <v>838</v>
      </c>
      <c r="H1774" s="21" t="s">
        <v>1094</v>
      </c>
      <c r="I1774" s="21" t="s">
        <v>1095</v>
      </c>
      <c r="J1774" s="21" t="s">
        <v>1000</v>
      </c>
      <c r="K1774" s="21" t="s">
        <v>1037</v>
      </c>
      <c r="L1774" s="21" t="s">
        <v>1066</v>
      </c>
      <c r="M1774" s="21" t="s">
        <v>12</v>
      </c>
      <c r="N1774" s="54">
        <v>2000</v>
      </c>
      <c r="O1774" s="54">
        <v>0</v>
      </c>
      <c r="P1774" s="54">
        <v>0</v>
      </c>
      <c r="Q1774" s="54">
        <v>2000</v>
      </c>
      <c r="R1774" s="54">
        <v>0</v>
      </c>
      <c r="S1774" s="54">
        <v>0</v>
      </c>
      <c r="T1774" s="54">
        <v>0</v>
      </c>
      <c r="U1774" s="54">
        <v>2000</v>
      </c>
      <c r="V1774" s="54">
        <v>2000</v>
      </c>
      <c r="W1774" s="54">
        <v>2000</v>
      </c>
    </row>
    <row r="1775" spans="1:23" outlineLevel="2" x14ac:dyDescent="0.2">
      <c r="A1775" s="21" t="s">
        <v>999</v>
      </c>
      <c r="B1775" s="21" t="s">
        <v>39</v>
      </c>
      <c r="C1775" s="21" t="s">
        <v>58</v>
      </c>
      <c r="D1775" s="21" t="s">
        <v>129</v>
      </c>
      <c r="E1775" s="21" t="s">
        <v>130</v>
      </c>
      <c r="F1775" s="21" t="s">
        <v>837</v>
      </c>
      <c r="G1775" s="21" t="s">
        <v>838</v>
      </c>
      <c r="H1775" s="21" t="s">
        <v>1094</v>
      </c>
      <c r="I1775" s="21" t="s">
        <v>1095</v>
      </c>
      <c r="J1775" s="21" t="s">
        <v>1000</v>
      </c>
      <c r="K1775" s="21" t="s">
        <v>1039</v>
      </c>
      <c r="L1775" s="21" t="s">
        <v>1067</v>
      </c>
      <c r="M1775" s="21" t="s">
        <v>12</v>
      </c>
      <c r="N1775" s="54">
        <v>9000</v>
      </c>
      <c r="O1775" s="54">
        <v>0</v>
      </c>
      <c r="P1775" s="54">
        <v>0</v>
      </c>
      <c r="Q1775" s="54">
        <v>9000</v>
      </c>
      <c r="R1775" s="54">
        <v>0</v>
      </c>
      <c r="S1775" s="54">
        <v>0</v>
      </c>
      <c r="T1775" s="54">
        <v>0</v>
      </c>
      <c r="U1775" s="54">
        <v>9000</v>
      </c>
      <c r="V1775" s="54">
        <v>9000</v>
      </c>
      <c r="W1775" s="54">
        <v>9000</v>
      </c>
    </row>
    <row r="1776" spans="1:23" outlineLevel="2" x14ac:dyDescent="0.2">
      <c r="A1776" s="21" t="s">
        <v>999</v>
      </c>
      <c r="B1776" s="21" t="s">
        <v>39</v>
      </c>
      <c r="C1776" s="21" t="s">
        <v>58</v>
      </c>
      <c r="D1776" s="21" t="s">
        <v>145</v>
      </c>
      <c r="E1776" s="21" t="s">
        <v>146</v>
      </c>
      <c r="F1776" s="21" t="s">
        <v>837</v>
      </c>
      <c r="G1776" s="21" t="s">
        <v>838</v>
      </c>
      <c r="H1776" s="21" t="s">
        <v>1094</v>
      </c>
      <c r="I1776" s="21" t="s">
        <v>1095</v>
      </c>
      <c r="J1776" s="21" t="s">
        <v>1000</v>
      </c>
      <c r="K1776" s="21" t="s">
        <v>1039</v>
      </c>
      <c r="L1776" s="21" t="s">
        <v>1067</v>
      </c>
      <c r="M1776" s="21" t="s">
        <v>12</v>
      </c>
      <c r="N1776" s="54">
        <v>5600</v>
      </c>
      <c r="O1776" s="54">
        <v>0</v>
      </c>
      <c r="P1776" s="54">
        <v>0</v>
      </c>
      <c r="Q1776" s="54">
        <v>5600</v>
      </c>
      <c r="R1776" s="54">
        <v>0</v>
      </c>
      <c r="S1776" s="54">
        <v>0</v>
      </c>
      <c r="T1776" s="54">
        <v>0</v>
      </c>
      <c r="U1776" s="54">
        <v>5600</v>
      </c>
      <c r="V1776" s="54">
        <v>5600</v>
      </c>
      <c r="W1776" s="54">
        <v>5600</v>
      </c>
    </row>
    <row r="1777" spans="1:23" outlineLevel="2" x14ac:dyDescent="0.2">
      <c r="A1777" s="21" t="s">
        <v>999</v>
      </c>
      <c r="B1777" s="21" t="s">
        <v>39</v>
      </c>
      <c r="C1777" s="21" t="s">
        <v>58</v>
      </c>
      <c r="D1777" s="21" t="s">
        <v>149</v>
      </c>
      <c r="E1777" s="21" t="s">
        <v>150</v>
      </c>
      <c r="F1777" s="21" t="s">
        <v>837</v>
      </c>
      <c r="G1777" s="21" t="s">
        <v>838</v>
      </c>
      <c r="H1777" s="21" t="s">
        <v>1094</v>
      </c>
      <c r="I1777" s="21" t="s">
        <v>1095</v>
      </c>
      <c r="J1777" s="21" t="s">
        <v>1000</v>
      </c>
      <c r="K1777" s="21" t="s">
        <v>1039</v>
      </c>
      <c r="L1777" s="21" t="s">
        <v>1067</v>
      </c>
      <c r="M1777" s="21" t="s">
        <v>12</v>
      </c>
      <c r="N1777" s="54">
        <v>4500</v>
      </c>
      <c r="O1777" s="54">
        <v>0</v>
      </c>
      <c r="P1777" s="54">
        <v>0</v>
      </c>
      <c r="Q1777" s="54">
        <v>4500</v>
      </c>
      <c r="R1777" s="54">
        <v>0</v>
      </c>
      <c r="S1777" s="54">
        <v>0</v>
      </c>
      <c r="T1777" s="54">
        <v>0</v>
      </c>
      <c r="U1777" s="54">
        <v>4500</v>
      </c>
      <c r="V1777" s="54">
        <v>4500</v>
      </c>
      <c r="W1777" s="54">
        <v>4500</v>
      </c>
    </row>
    <row r="1778" spans="1:23" outlineLevel="2" x14ac:dyDescent="0.2">
      <c r="A1778" s="21" t="s">
        <v>999</v>
      </c>
      <c r="B1778" s="21" t="s">
        <v>39</v>
      </c>
      <c r="C1778" s="21" t="s">
        <v>58</v>
      </c>
      <c r="D1778" s="21" t="s">
        <v>147</v>
      </c>
      <c r="E1778" s="21" t="s">
        <v>148</v>
      </c>
      <c r="F1778" s="21" t="s">
        <v>837</v>
      </c>
      <c r="G1778" s="21" t="s">
        <v>838</v>
      </c>
      <c r="H1778" s="21" t="s">
        <v>1094</v>
      </c>
      <c r="I1778" s="21" t="s">
        <v>1095</v>
      </c>
      <c r="J1778" s="21" t="s">
        <v>1000</v>
      </c>
      <c r="K1778" s="21" t="s">
        <v>1039</v>
      </c>
      <c r="L1778" s="21" t="s">
        <v>1067</v>
      </c>
      <c r="M1778" s="21" t="s">
        <v>12</v>
      </c>
      <c r="N1778" s="54">
        <v>4775</v>
      </c>
      <c r="O1778" s="54">
        <v>0</v>
      </c>
      <c r="P1778" s="54">
        <v>0</v>
      </c>
      <c r="Q1778" s="54">
        <v>4775</v>
      </c>
      <c r="R1778" s="54">
        <v>0</v>
      </c>
      <c r="S1778" s="54">
        <v>0</v>
      </c>
      <c r="T1778" s="54">
        <v>0</v>
      </c>
      <c r="U1778" s="54">
        <v>4775</v>
      </c>
      <c r="V1778" s="54">
        <v>4775</v>
      </c>
      <c r="W1778" s="54">
        <v>4775</v>
      </c>
    </row>
    <row r="1779" spans="1:23" outlineLevel="2" x14ac:dyDescent="0.2">
      <c r="A1779" s="21" t="s">
        <v>999</v>
      </c>
      <c r="B1779" s="21" t="s">
        <v>39</v>
      </c>
      <c r="C1779" s="21" t="s">
        <v>58</v>
      </c>
      <c r="D1779" s="21" t="s">
        <v>137</v>
      </c>
      <c r="E1779" s="21" t="s">
        <v>138</v>
      </c>
      <c r="F1779" s="21" t="s">
        <v>837</v>
      </c>
      <c r="G1779" s="21" t="s">
        <v>838</v>
      </c>
      <c r="H1779" s="21" t="s">
        <v>1094</v>
      </c>
      <c r="I1779" s="21" t="s">
        <v>1095</v>
      </c>
      <c r="J1779" s="21" t="s">
        <v>1000</v>
      </c>
      <c r="K1779" s="21" t="s">
        <v>1039</v>
      </c>
      <c r="L1779" s="21" t="s">
        <v>1067</v>
      </c>
      <c r="M1779" s="21" t="s">
        <v>12</v>
      </c>
      <c r="N1779" s="54">
        <v>3000</v>
      </c>
      <c r="O1779" s="54">
        <v>0</v>
      </c>
      <c r="P1779" s="54">
        <v>0</v>
      </c>
      <c r="Q1779" s="54">
        <v>3000</v>
      </c>
      <c r="R1779" s="54">
        <v>0</v>
      </c>
      <c r="S1779" s="54">
        <v>0</v>
      </c>
      <c r="T1779" s="54">
        <v>0</v>
      </c>
      <c r="U1779" s="54">
        <v>3000</v>
      </c>
      <c r="V1779" s="54">
        <v>3000</v>
      </c>
      <c r="W1779" s="54">
        <v>3000</v>
      </c>
    </row>
    <row r="1780" spans="1:23" outlineLevel="2" x14ac:dyDescent="0.2">
      <c r="A1780" s="21" t="s">
        <v>999</v>
      </c>
      <c r="B1780" s="21" t="s">
        <v>39</v>
      </c>
      <c r="C1780" s="21" t="s">
        <v>58</v>
      </c>
      <c r="D1780" s="21" t="s">
        <v>143</v>
      </c>
      <c r="E1780" s="21" t="s">
        <v>144</v>
      </c>
      <c r="F1780" s="21" t="s">
        <v>837</v>
      </c>
      <c r="G1780" s="21" t="s">
        <v>838</v>
      </c>
      <c r="H1780" s="21" t="s">
        <v>1094</v>
      </c>
      <c r="I1780" s="21" t="s">
        <v>1095</v>
      </c>
      <c r="J1780" s="21" t="s">
        <v>1000</v>
      </c>
      <c r="K1780" s="21" t="s">
        <v>1039</v>
      </c>
      <c r="L1780" s="21" t="s">
        <v>1067</v>
      </c>
      <c r="M1780" s="21" t="s">
        <v>12</v>
      </c>
      <c r="N1780" s="54">
        <v>7894.24</v>
      </c>
      <c r="O1780" s="54">
        <v>0</v>
      </c>
      <c r="P1780" s="54">
        <v>0</v>
      </c>
      <c r="Q1780" s="54">
        <v>7894.24</v>
      </c>
      <c r="R1780" s="54">
        <v>0</v>
      </c>
      <c r="S1780" s="54">
        <v>0</v>
      </c>
      <c r="T1780" s="54">
        <v>0</v>
      </c>
      <c r="U1780" s="54">
        <v>7894.24</v>
      </c>
      <c r="V1780" s="54">
        <v>7894.24</v>
      </c>
      <c r="W1780" s="54">
        <v>7894.24</v>
      </c>
    </row>
    <row r="1781" spans="1:23" outlineLevel="2" x14ac:dyDescent="0.2">
      <c r="A1781" s="21" t="s">
        <v>999</v>
      </c>
      <c r="B1781" s="21" t="s">
        <v>39</v>
      </c>
      <c r="C1781" s="21" t="s">
        <v>58</v>
      </c>
      <c r="D1781" s="21" t="s">
        <v>59</v>
      </c>
      <c r="E1781" s="21" t="s">
        <v>60</v>
      </c>
      <c r="F1781" s="21" t="s">
        <v>837</v>
      </c>
      <c r="G1781" s="21" t="s">
        <v>838</v>
      </c>
      <c r="H1781" s="21" t="s">
        <v>1094</v>
      </c>
      <c r="I1781" s="21" t="s">
        <v>1095</v>
      </c>
      <c r="J1781" s="21" t="s">
        <v>1000</v>
      </c>
      <c r="K1781" s="21" t="s">
        <v>1039</v>
      </c>
      <c r="L1781" s="21" t="s">
        <v>1067</v>
      </c>
      <c r="M1781" s="21" t="s">
        <v>12</v>
      </c>
      <c r="N1781" s="54">
        <v>5000</v>
      </c>
      <c r="O1781" s="54">
        <v>0</v>
      </c>
      <c r="P1781" s="54">
        <v>0</v>
      </c>
      <c r="Q1781" s="54">
        <v>5000</v>
      </c>
      <c r="R1781" s="54">
        <v>0</v>
      </c>
      <c r="S1781" s="54">
        <v>0</v>
      </c>
      <c r="T1781" s="54">
        <v>0</v>
      </c>
      <c r="U1781" s="54">
        <v>5000</v>
      </c>
      <c r="V1781" s="54">
        <v>5000</v>
      </c>
      <c r="W1781" s="54">
        <v>5000</v>
      </c>
    </row>
    <row r="1782" spans="1:23" outlineLevel="2" x14ac:dyDescent="0.2">
      <c r="A1782" s="21" t="s">
        <v>999</v>
      </c>
      <c r="B1782" s="21" t="s">
        <v>39</v>
      </c>
      <c r="C1782" s="21" t="s">
        <v>58</v>
      </c>
      <c r="D1782" s="21" t="s">
        <v>105</v>
      </c>
      <c r="E1782" s="21" t="s">
        <v>106</v>
      </c>
      <c r="F1782" s="21" t="s">
        <v>837</v>
      </c>
      <c r="G1782" s="21" t="s">
        <v>838</v>
      </c>
      <c r="H1782" s="21" t="s">
        <v>1094</v>
      </c>
      <c r="I1782" s="21" t="s">
        <v>1095</v>
      </c>
      <c r="J1782" s="21" t="s">
        <v>1000</v>
      </c>
      <c r="K1782" s="21" t="s">
        <v>1039</v>
      </c>
      <c r="L1782" s="21" t="s">
        <v>1067</v>
      </c>
      <c r="M1782" s="21" t="s">
        <v>12</v>
      </c>
      <c r="N1782" s="54">
        <v>1800</v>
      </c>
      <c r="O1782" s="54">
        <v>0</v>
      </c>
      <c r="P1782" s="54">
        <v>0</v>
      </c>
      <c r="Q1782" s="54">
        <v>1800</v>
      </c>
      <c r="R1782" s="54">
        <v>0</v>
      </c>
      <c r="S1782" s="54">
        <v>0</v>
      </c>
      <c r="T1782" s="54">
        <v>0</v>
      </c>
      <c r="U1782" s="54">
        <v>1800</v>
      </c>
      <c r="V1782" s="54">
        <v>1800</v>
      </c>
      <c r="W1782" s="54">
        <v>1800</v>
      </c>
    </row>
    <row r="1783" spans="1:23" outlineLevel="2" x14ac:dyDescent="0.2">
      <c r="A1783" s="21" t="s">
        <v>999</v>
      </c>
      <c r="B1783" s="21" t="s">
        <v>39</v>
      </c>
      <c r="C1783" s="21" t="s">
        <v>58</v>
      </c>
      <c r="D1783" s="21" t="s">
        <v>105</v>
      </c>
      <c r="E1783" s="21" t="s">
        <v>106</v>
      </c>
      <c r="F1783" s="21" t="s">
        <v>837</v>
      </c>
      <c r="G1783" s="21" t="s">
        <v>838</v>
      </c>
      <c r="H1783" s="21" t="s">
        <v>1094</v>
      </c>
      <c r="I1783" s="21" t="s">
        <v>1095</v>
      </c>
      <c r="J1783" s="21" t="s">
        <v>1000</v>
      </c>
      <c r="K1783" s="21" t="s">
        <v>1068</v>
      </c>
      <c r="L1783" s="21" t="s">
        <v>1069</v>
      </c>
      <c r="M1783" s="21" t="s">
        <v>12</v>
      </c>
      <c r="N1783" s="54">
        <v>4000</v>
      </c>
      <c r="O1783" s="54">
        <v>0</v>
      </c>
      <c r="P1783" s="54">
        <v>0</v>
      </c>
      <c r="Q1783" s="54">
        <v>4000</v>
      </c>
      <c r="R1783" s="54">
        <v>0</v>
      </c>
      <c r="S1783" s="54">
        <v>0</v>
      </c>
      <c r="T1783" s="54">
        <v>0</v>
      </c>
      <c r="U1783" s="54">
        <v>4000</v>
      </c>
      <c r="V1783" s="54">
        <v>4000</v>
      </c>
      <c r="W1783" s="54">
        <v>4000</v>
      </c>
    </row>
    <row r="1784" spans="1:23" outlineLevel="2" x14ac:dyDescent="0.2">
      <c r="A1784" s="21" t="s">
        <v>999</v>
      </c>
      <c r="B1784" s="21" t="s">
        <v>39</v>
      </c>
      <c r="C1784" s="21" t="s">
        <v>58</v>
      </c>
      <c r="D1784" s="21" t="s">
        <v>147</v>
      </c>
      <c r="E1784" s="21" t="s">
        <v>148</v>
      </c>
      <c r="F1784" s="21" t="s">
        <v>837</v>
      </c>
      <c r="G1784" s="21" t="s">
        <v>838</v>
      </c>
      <c r="H1784" s="21" t="s">
        <v>1094</v>
      </c>
      <c r="I1784" s="21" t="s">
        <v>1095</v>
      </c>
      <c r="J1784" s="21" t="s">
        <v>1000</v>
      </c>
      <c r="K1784" s="21" t="s">
        <v>1068</v>
      </c>
      <c r="L1784" s="21" t="s">
        <v>1069</v>
      </c>
      <c r="M1784" s="21" t="s">
        <v>12</v>
      </c>
      <c r="N1784" s="54">
        <v>1000</v>
      </c>
      <c r="O1784" s="54">
        <v>0</v>
      </c>
      <c r="P1784" s="54">
        <v>0</v>
      </c>
      <c r="Q1784" s="54">
        <v>1000</v>
      </c>
      <c r="R1784" s="54">
        <v>0</v>
      </c>
      <c r="S1784" s="54">
        <v>0</v>
      </c>
      <c r="T1784" s="54">
        <v>0</v>
      </c>
      <c r="U1784" s="54">
        <v>1000</v>
      </c>
      <c r="V1784" s="54">
        <v>1000</v>
      </c>
      <c r="W1784" s="54">
        <v>1000</v>
      </c>
    </row>
    <row r="1785" spans="1:23" outlineLevel="2" x14ac:dyDescent="0.2">
      <c r="A1785" s="21" t="s">
        <v>999</v>
      </c>
      <c r="B1785" s="21" t="s">
        <v>39</v>
      </c>
      <c r="C1785" s="21" t="s">
        <v>58</v>
      </c>
      <c r="D1785" s="21" t="s">
        <v>143</v>
      </c>
      <c r="E1785" s="21" t="s">
        <v>144</v>
      </c>
      <c r="F1785" s="21" t="s">
        <v>837</v>
      </c>
      <c r="G1785" s="21" t="s">
        <v>838</v>
      </c>
      <c r="H1785" s="21" t="s">
        <v>1094</v>
      </c>
      <c r="I1785" s="21" t="s">
        <v>1095</v>
      </c>
      <c r="J1785" s="21" t="s">
        <v>1000</v>
      </c>
      <c r="K1785" s="21" t="s">
        <v>1068</v>
      </c>
      <c r="L1785" s="21" t="s">
        <v>1069</v>
      </c>
      <c r="M1785" s="21" t="s">
        <v>12</v>
      </c>
      <c r="N1785" s="54">
        <v>1600</v>
      </c>
      <c r="O1785" s="54">
        <v>0</v>
      </c>
      <c r="P1785" s="54">
        <v>0</v>
      </c>
      <c r="Q1785" s="54">
        <v>1600</v>
      </c>
      <c r="R1785" s="54">
        <v>0</v>
      </c>
      <c r="S1785" s="54">
        <v>0</v>
      </c>
      <c r="T1785" s="54">
        <v>0</v>
      </c>
      <c r="U1785" s="54">
        <v>1600</v>
      </c>
      <c r="V1785" s="54">
        <v>1600</v>
      </c>
      <c r="W1785" s="54">
        <v>1600</v>
      </c>
    </row>
    <row r="1786" spans="1:23" outlineLevel="2" x14ac:dyDescent="0.2">
      <c r="A1786" s="21" t="s">
        <v>999</v>
      </c>
      <c r="B1786" s="21" t="s">
        <v>39</v>
      </c>
      <c r="C1786" s="21" t="s">
        <v>58</v>
      </c>
      <c r="D1786" s="21" t="s">
        <v>137</v>
      </c>
      <c r="E1786" s="21" t="s">
        <v>138</v>
      </c>
      <c r="F1786" s="21" t="s">
        <v>837</v>
      </c>
      <c r="G1786" s="21" t="s">
        <v>838</v>
      </c>
      <c r="H1786" s="21" t="s">
        <v>1094</v>
      </c>
      <c r="I1786" s="21" t="s">
        <v>1095</v>
      </c>
      <c r="J1786" s="21" t="s">
        <v>1000</v>
      </c>
      <c r="K1786" s="21" t="s">
        <v>1068</v>
      </c>
      <c r="L1786" s="21" t="s">
        <v>1069</v>
      </c>
      <c r="M1786" s="21" t="s">
        <v>12</v>
      </c>
      <c r="N1786" s="54">
        <v>500</v>
      </c>
      <c r="O1786" s="54">
        <v>0</v>
      </c>
      <c r="P1786" s="54">
        <v>0</v>
      </c>
      <c r="Q1786" s="54">
        <v>500</v>
      </c>
      <c r="R1786" s="54">
        <v>0</v>
      </c>
      <c r="S1786" s="54">
        <v>0</v>
      </c>
      <c r="T1786" s="54">
        <v>0</v>
      </c>
      <c r="U1786" s="54">
        <v>500</v>
      </c>
      <c r="V1786" s="54">
        <v>500</v>
      </c>
      <c r="W1786" s="54">
        <v>500</v>
      </c>
    </row>
    <row r="1787" spans="1:23" outlineLevel="2" x14ac:dyDescent="0.2">
      <c r="A1787" s="21" t="s">
        <v>999</v>
      </c>
      <c r="B1787" s="21" t="s">
        <v>39</v>
      </c>
      <c r="C1787" s="21" t="s">
        <v>58</v>
      </c>
      <c r="D1787" s="21" t="s">
        <v>145</v>
      </c>
      <c r="E1787" s="21" t="s">
        <v>146</v>
      </c>
      <c r="F1787" s="21" t="s">
        <v>837</v>
      </c>
      <c r="G1787" s="21" t="s">
        <v>838</v>
      </c>
      <c r="H1787" s="21" t="s">
        <v>1094</v>
      </c>
      <c r="I1787" s="21" t="s">
        <v>1095</v>
      </c>
      <c r="J1787" s="21" t="s">
        <v>1000</v>
      </c>
      <c r="K1787" s="21" t="s">
        <v>1068</v>
      </c>
      <c r="L1787" s="21" t="s">
        <v>1069</v>
      </c>
      <c r="M1787" s="21" t="s">
        <v>12</v>
      </c>
      <c r="N1787" s="54">
        <v>3700</v>
      </c>
      <c r="O1787" s="54">
        <v>0</v>
      </c>
      <c r="P1787" s="54">
        <v>0</v>
      </c>
      <c r="Q1787" s="54">
        <v>3700</v>
      </c>
      <c r="R1787" s="54">
        <v>0</v>
      </c>
      <c r="S1787" s="54">
        <v>0</v>
      </c>
      <c r="T1787" s="54">
        <v>0</v>
      </c>
      <c r="U1787" s="54">
        <v>3700</v>
      </c>
      <c r="V1787" s="54">
        <v>3700</v>
      </c>
      <c r="W1787" s="54">
        <v>3700</v>
      </c>
    </row>
    <row r="1788" spans="1:23" outlineLevel="2" x14ac:dyDescent="0.2">
      <c r="A1788" s="21" t="s">
        <v>999</v>
      </c>
      <c r="B1788" s="21" t="s">
        <v>39</v>
      </c>
      <c r="C1788" s="21" t="s">
        <v>58</v>
      </c>
      <c r="D1788" s="21" t="s">
        <v>59</v>
      </c>
      <c r="E1788" s="21" t="s">
        <v>60</v>
      </c>
      <c r="F1788" s="21" t="s">
        <v>837</v>
      </c>
      <c r="G1788" s="21" t="s">
        <v>838</v>
      </c>
      <c r="H1788" s="21" t="s">
        <v>1094</v>
      </c>
      <c r="I1788" s="21" t="s">
        <v>1095</v>
      </c>
      <c r="J1788" s="21" t="s">
        <v>1000</v>
      </c>
      <c r="K1788" s="21" t="s">
        <v>1011</v>
      </c>
      <c r="L1788" s="21" t="s">
        <v>1073</v>
      </c>
      <c r="M1788" s="21" t="s">
        <v>12</v>
      </c>
      <c r="N1788" s="54">
        <v>1000</v>
      </c>
      <c r="O1788" s="54">
        <v>0</v>
      </c>
      <c r="P1788" s="54">
        <v>0</v>
      </c>
      <c r="Q1788" s="54">
        <v>1000</v>
      </c>
      <c r="R1788" s="54">
        <v>0</v>
      </c>
      <c r="S1788" s="54">
        <v>0</v>
      </c>
      <c r="T1788" s="54">
        <v>0</v>
      </c>
      <c r="U1788" s="54">
        <v>1000</v>
      </c>
      <c r="V1788" s="54">
        <v>1000</v>
      </c>
      <c r="W1788" s="54">
        <v>1000</v>
      </c>
    </row>
    <row r="1789" spans="1:23" outlineLevel="2" x14ac:dyDescent="0.2">
      <c r="A1789" s="21" t="s">
        <v>999</v>
      </c>
      <c r="B1789" s="21" t="s">
        <v>39</v>
      </c>
      <c r="C1789" s="21" t="s">
        <v>58</v>
      </c>
      <c r="D1789" s="21" t="s">
        <v>143</v>
      </c>
      <c r="E1789" s="21" t="s">
        <v>144</v>
      </c>
      <c r="F1789" s="21" t="s">
        <v>837</v>
      </c>
      <c r="G1789" s="21" t="s">
        <v>838</v>
      </c>
      <c r="H1789" s="21" t="s">
        <v>1094</v>
      </c>
      <c r="I1789" s="21" t="s">
        <v>1095</v>
      </c>
      <c r="J1789" s="21" t="s">
        <v>1000</v>
      </c>
      <c r="K1789" s="21" t="s">
        <v>1011</v>
      </c>
      <c r="L1789" s="21" t="s">
        <v>1073</v>
      </c>
      <c r="M1789" s="21" t="s">
        <v>12</v>
      </c>
      <c r="N1789" s="54">
        <v>1000</v>
      </c>
      <c r="O1789" s="54">
        <v>0</v>
      </c>
      <c r="P1789" s="54">
        <v>0</v>
      </c>
      <c r="Q1789" s="54">
        <v>1000</v>
      </c>
      <c r="R1789" s="54">
        <v>0</v>
      </c>
      <c r="S1789" s="54">
        <v>0</v>
      </c>
      <c r="T1789" s="54">
        <v>0</v>
      </c>
      <c r="U1789" s="54">
        <v>1000</v>
      </c>
      <c r="V1789" s="54">
        <v>1000</v>
      </c>
      <c r="W1789" s="54">
        <v>1000</v>
      </c>
    </row>
    <row r="1790" spans="1:23" outlineLevel="2" x14ac:dyDescent="0.2">
      <c r="A1790" s="21" t="s">
        <v>999</v>
      </c>
      <c r="B1790" s="21" t="s">
        <v>39</v>
      </c>
      <c r="C1790" s="21" t="s">
        <v>58</v>
      </c>
      <c r="D1790" s="21" t="s">
        <v>137</v>
      </c>
      <c r="E1790" s="21" t="s">
        <v>138</v>
      </c>
      <c r="F1790" s="21" t="s">
        <v>837</v>
      </c>
      <c r="G1790" s="21" t="s">
        <v>838</v>
      </c>
      <c r="H1790" s="21" t="s">
        <v>1094</v>
      </c>
      <c r="I1790" s="21" t="s">
        <v>1095</v>
      </c>
      <c r="J1790" s="21" t="s">
        <v>1000</v>
      </c>
      <c r="K1790" s="21" t="s">
        <v>1011</v>
      </c>
      <c r="L1790" s="21" t="s">
        <v>1073</v>
      </c>
      <c r="M1790" s="21" t="s">
        <v>12</v>
      </c>
      <c r="N1790" s="54">
        <v>4400</v>
      </c>
      <c r="O1790" s="54">
        <v>0</v>
      </c>
      <c r="P1790" s="54">
        <v>0</v>
      </c>
      <c r="Q1790" s="54">
        <v>4400</v>
      </c>
      <c r="R1790" s="54">
        <v>0</v>
      </c>
      <c r="S1790" s="54">
        <v>0</v>
      </c>
      <c r="T1790" s="54">
        <v>0</v>
      </c>
      <c r="U1790" s="54">
        <v>4400</v>
      </c>
      <c r="V1790" s="54">
        <v>4400</v>
      </c>
      <c r="W1790" s="54">
        <v>4400</v>
      </c>
    </row>
    <row r="1791" spans="1:23" outlineLevel="2" x14ac:dyDescent="0.2">
      <c r="A1791" s="21" t="s">
        <v>999</v>
      </c>
      <c r="B1791" s="21" t="s">
        <v>39</v>
      </c>
      <c r="C1791" s="21" t="s">
        <v>58</v>
      </c>
      <c r="D1791" s="21" t="s">
        <v>149</v>
      </c>
      <c r="E1791" s="21" t="s">
        <v>150</v>
      </c>
      <c r="F1791" s="21" t="s">
        <v>837</v>
      </c>
      <c r="G1791" s="21" t="s">
        <v>838</v>
      </c>
      <c r="H1791" s="21" t="s">
        <v>1094</v>
      </c>
      <c r="I1791" s="21" t="s">
        <v>1095</v>
      </c>
      <c r="J1791" s="21" t="s">
        <v>1000</v>
      </c>
      <c r="K1791" s="21" t="s">
        <v>1011</v>
      </c>
      <c r="L1791" s="21" t="s">
        <v>1073</v>
      </c>
      <c r="M1791" s="21" t="s">
        <v>12</v>
      </c>
      <c r="N1791" s="54">
        <v>1500</v>
      </c>
      <c r="O1791" s="54">
        <v>0</v>
      </c>
      <c r="P1791" s="54">
        <v>0</v>
      </c>
      <c r="Q1791" s="54">
        <v>1500</v>
      </c>
      <c r="R1791" s="54">
        <v>0</v>
      </c>
      <c r="S1791" s="54">
        <v>0</v>
      </c>
      <c r="T1791" s="54">
        <v>0</v>
      </c>
      <c r="U1791" s="54">
        <v>1500</v>
      </c>
      <c r="V1791" s="54">
        <v>1500</v>
      </c>
      <c r="W1791" s="54">
        <v>1500</v>
      </c>
    </row>
    <row r="1792" spans="1:23" outlineLevel="2" x14ac:dyDescent="0.2">
      <c r="A1792" s="21" t="s">
        <v>999</v>
      </c>
      <c r="B1792" s="21" t="s">
        <v>39</v>
      </c>
      <c r="C1792" s="21" t="s">
        <v>58</v>
      </c>
      <c r="D1792" s="21" t="s">
        <v>147</v>
      </c>
      <c r="E1792" s="21" t="s">
        <v>148</v>
      </c>
      <c r="F1792" s="21" t="s">
        <v>837</v>
      </c>
      <c r="G1792" s="21" t="s">
        <v>838</v>
      </c>
      <c r="H1792" s="21" t="s">
        <v>1094</v>
      </c>
      <c r="I1792" s="21" t="s">
        <v>1095</v>
      </c>
      <c r="J1792" s="21" t="s">
        <v>1000</v>
      </c>
      <c r="K1792" s="21" t="s">
        <v>1011</v>
      </c>
      <c r="L1792" s="21" t="s">
        <v>1073</v>
      </c>
      <c r="M1792" s="21" t="s">
        <v>12</v>
      </c>
      <c r="N1792" s="54">
        <v>1000</v>
      </c>
      <c r="O1792" s="54">
        <v>0</v>
      </c>
      <c r="P1792" s="54">
        <v>0</v>
      </c>
      <c r="Q1792" s="54">
        <v>1000</v>
      </c>
      <c r="R1792" s="54">
        <v>0</v>
      </c>
      <c r="S1792" s="54">
        <v>0</v>
      </c>
      <c r="T1792" s="54">
        <v>0</v>
      </c>
      <c r="U1792" s="54">
        <v>1000</v>
      </c>
      <c r="V1792" s="54">
        <v>1000</v>
      </c>
      <c r="W1792" s="54">
        <v>1000</v>
      </c>
    </row>
    <row r="1793" spans="1:23" outlineLevel="2" x14ac:dyDescent="0.2">
      <c r="A1793" s="21" t="s">
        <v>999</v>
      </c>
      <c r="B1793" s="21" t="s">
        <v>39</v>
      </c>
      <c r="C1793" s="21" t="s">
        <v>58</v>
      </c>
      <c r="D1793" s="21" t="s">
        <v>145</v>
      </c>
      <c r="E1793" s="21" t="s">
        <v>146</v>
      </c>
      <c r="F1793" s="21" t="s">
        <v>837</v>
      </c>
      <c r="G1793" s="21" t="s">
        <v>838</v>
      </c>
      <c r="H1793" s="21" t="s">
        <v>1094</v>
      </c>
      <c r="I1793" s="21" t="s">
        <v>1095</v>
      </c>
      <c r="J1793" s="21" t="s">
        <v>1000</v>
      </c>
      <c r="K1793" s="21" t="s">
        <v>1011</v>
      </c>
      <c r="L1793" s="21" t="s">
        <v>1073</v>
      </c>
      <c r="M1793" s="21" t="s">
        <v>12</v>
      </c>
      <c r="N1793" s="54">
        <v>2799</v>
      </c>
      <c r="O1793" s="54">
        <v>0</v>
      </c>
      <c r="P1793" s="54">
        <v>0</v>
      </c>
      <c r="Q1793" s="54">
        <v>2799</v>
      </c>
      <c r="R1793" s="54">
        <v>0</v>
      </c>
      <c r="S1793" s="54">
        <v>0</v>
      </c>
      <c r="T1793" s="54">
        <v>0</v>
      </c>
      <c r="U1793" s="54">
        <v>2799</v>
      </c>
      <c r="V1793" s="54">
        <v>2799</v>
      </c>
      <c r="W1793" s="54">
        <v>2799</v>
      </c>
    </row>
    <row r="1794" spans="1:23" outlineLevel="2" x14ac:dyDescent="0.2">
      <c r="A1794" s="21" t="s">
        <v>999</v>
      </c>
      <c r="B1794" s="21" t="s">
        <v>39</v>
      </c>
      <c r="C1794" s="21" t="s">
        <v>58</v>
      </c>
      <c r="D1794" s="21" t="s">
        <v>149</v>
      </c>
      <c r="E1794" s="21" t="s">
        <v>150</v>
      </c>
      <c r="F1794" s="21" t="s">
        <v>837</v>
      </c>
      <c r="G1794" s="21" t="s">
        <v>838</v>
      </c>
      <c r="H1794" s="21" t="s">
        <v>1094</v>
      </c>
      <c r="I1794" s="21" t="s">
        <v>1095</v>
      </c>
      <c r="J1794" s="21" t="s">
        <v>1000</v>
      </c>
      <c r="K1794" s="21" t="s">
        <v>1017</v>
      </c>
      <c r="L1794" s="21" t="s">
        <v>1077</v>
      </c>
      <c r="M1794" s="21" t="s">
        <v>12</v>
      </c>
      <c r="N1794" s="54">
        <v>11500</v>
      </c>
      <c r="O1794" s="54">
        <v>0</v>
      </c>
      <c r="P1794" s="54">
        <v>0</v>
      </c>
      <c r="Q1794" s="54">
        <v>11500</v>
      </c>
      <c r="R1794" s="54">
        <v>0</v>
      </c>
      <c r="S1794" s="54">
        <v>0</v>
      </c>
      <c r="T1794" s="54">
        <v>0</v>
      </c>
      <c r="U1794" s="54">
        <v>11500</v>
      </c>
      <c r="V1794" s="54">
        <v>11500</v>
      </c>
      <c r="W1794" s="54">
        <v>11500</v>
      </c>
    </row>
    <row r="1795" spans="1:23" outlineLevel="2" x14ac:dyDescent="0.2">
      <c r="A1795" s="21" t="s">
        <v>999</v>
      </c>
      <c r="B1795" s="21" t="s">
        <v>39</v>
      </c>
      <c r="C1795" s="21" t="s">
        <v>58</v>
      </c>
      <c r="D1795" s="21" t="s">
        <v>145</v>
      </c>
      <c r="E1795" s="21" t="s">
        <v>146</v>
      </c>
      <c r="F1795" s="21" t="s">
        <v>837</v>
      </c>
      <c r="G1795" s="21" t="s">
        <v>838</v>
      </c>
      <c r="H1795" s="21" t="s">
        <v>1094</v>
      </c>
      <c r="I1795" s="21" t="s">
        <v>1095</v>
      </c>
      <c r="J1795" s="21" t="s">
        <v>1000</v>
      </c>
      <c r="K1795" s="21" t="s">
        <v>1078</v>
      </c>
      <c r="L1795" s="21" t="s">
        <v>1079</v>
      </c>
      <c r="M1795" s="21" t="s">
        <v>12</v>
      </c>
      <c r="N1795" s="54">
        <v>1000</v>
      </c>
      <c r="O1795" s="54">
        <v>0</v>
      </c>
      <c r="P1795" s="54">
        <v>0</v>
      </c>
      <c r="Q1795" s="54">
        <v>1000</v>
      </c>
      <c r="R1795" s="54">
        <v>0</v>
      </c>
      <c r="S1795" s="54">
        <v>0</v>
      </c>
      <c r="T1795" s="54">
        <v>0</v>
      </c>
      <c r="U1795" s="54">
        <v>1000</v>
      </c>
      <c r="V1795" s="54">
        <v>1000</v>
      </c>
      <c r="W1795" s="54">
        <v>1000</v>
      </c>
    </row>
    <row r="1796" spans="1:23" outlineLevel="2" x14ac:dyDescent="0.2">
      <c r="A1796" s="21" t="s">
        <v>999</v>
      </c>
      <c r="B1796" s="21" t="s">
        <v>39</v>
      </c>
      <c r="C1796" s="21" t="s">
        <v>58</v>
      </c>
      <c r="D1796" s="21" t="s">
        <v>139</v>
      </c>
      <c r="E1796" s="21" t="s">
        <v>140</v>
      </c>
      <c r="F1796" s="21" t="s">
        <v>837</v>
      </c>
      <c r="G1796" s="21" t="s">
        <v>838</v>
      </c>
      <c r="H1796" s="21" t="s">
        <v>1094</v>
      </c>
      <c r="I1796" s="21" t="s">
        <v>1095</v>
      </c>
      <c r="J1796" s="21" t="s">
        <v>1000</v>
      </c>
      <c r="K1796" s="21" t="s">
        <v>1078</v>
      </c>
      <c r="L1796" s="21" t="s">
        <v>1079</v>
      </c>
      <c r="M1796" s="21" t="s">
        <v>12</v>
      </c>
      <c r="N1796" s="54">
        <v>4000</v>
      </c>
      <c r="O1796" s="54">
        <v>0</v>
      </c>
      <c r="P1796" s="54">
        <v>0</v>
      </c>
      <c r="Q1796" s="54">
        <v>4000</v>
      </c>
      <c r="R1796" s="54">
        <v>0</v>
      </c>
      <c r="S1796" s="54">
        <v>0</v>
      </c>
      <c r="T1796" s="54">
        <v>0</v>
      </c>
      <c r="U1796" s="54">
        <v>4000</v>
      </c>
      <c r="V1796" s="54">
        <v>4000</v>
      </c>
      <c r="W1796" s="54">
        <v>4000</v>
      </c>
    </row>
    <row r="1797" spans="1:23" outlineLevel="2" x14ac:dyDescent="0.2">
      <c r="A1797" s="21" t="s">
        <v>999</v>
      </c>
      <c r="B1797" s="21" t="s">
        <v>39</v>
      </c>
      <c r="C1797" s="21" t="s">
        <v>58</v>
      </c>
      <c r="D1797" s="21" t="s">
        <v>105</v>
      </c>
      <c r="E1797" s="21" t="s">
        <v>106</v>
      </c>
      <c r="F1797" s="21" t="s">
        <v>837</v>
      </c>
      <c r="G1797" s="21" t="s">
        <v>838</v>
      </c>
      <c r="H1797" s="21" t="s">
        <v>1094</v>
      </c>
      <c r="I1797" s="21" t="s">
        <v>1095</v>
      </c>
      <c r="J1797" s="21" t="s">
        <v>1000</v>
      </c>
      <c r="K1797" s="21" t="s">
        <v>1078</v>
      </c>
      <c r="L1797" s="21" t="s">
        <v>1079</v>
      </c>
      <c r="M1797" s="21" t="s">
        <v>12</v>
      </c>
      <c r="N1797" s="54">
        <v>11694.5</v>
      </c>
      <c r="O1797" s="54">
        <v>0</v>
      </c>
      <c r="P1797" s="54">
        <v>0</v>
      </c>
      <c r="Q1797" s="54">
        <v>11694.5</v>
      </c>
      <c r="R1797" s="54">
        <v>0</v>
      </c>
      <c r="S1797" s="54">
        <v>0</v>
      </c>
      <c r="T1797" s="54">
        <v>0</v>
      </c>
      <c r="U1797" s="54">
        <v>11694.5</v>
      </c>
      <c r="V1797" s="54">
        <v>11694.5</v>
      </c>
      <c r="W1797" s="54">
        <v>11694.5</v>
      </c>
    </row>
    <row r="1798" spans="1:23" outlineLevel="2" x14ac:dyDescent="0.2">
      <c r="A1798" s="21" t="s">
        <v>999</v>
      </c>
      <c r="B1798" s="21" t="s">
        <v>39</v>
      </c>
      <c r="C1798" s="21" t="s">
        <v>58</v>
      </c>
      <c r="D1798" s="21" t="s">
        <v>137</v>
      </c>
      <c r="E1798" s="21" t="s">
        <v>138</v>
      </c>
      <c r="F1798" s="21" t="s">
        <v>837</v>
      </c>
      <c r="G1798" s="21" t="s">
        <v>838</v>
      </c>
      <c r="H1798" s="21" t="s">
        <v>1094</v>
      </c>
      <c r="I1798" s="21" t="s">
        <v>1095</v>
      </c>
      <c r="J1798" s="21" t="s">
        <v>1000</v>
      </c>
      <c r="K1798" s="21" t="s">
        <v>1078</v>
      </c>
      <c r="L1798" s="21" t="s">
        <v>1079</v>
      </c>
      <c r="M1798" s="21" t="s">
        <v>12</v>
      </c>
      <c r="N1798" s="54">
        <v>3000</v>
      </c>
      <c r="O1798" s="54">
        <v>0</v>
      </c>
      <c r="P1798" s="54">
        <v>0</v>
      </c>
      <c r="Q1798" s="54">
        <v>3000</v>
      </c>
      <c r="R1798" s="54">
        <v>0</v>
      </c>
      <c r="S1798" s="54">
        <v>0</v>
      </c>
      <c r="T1798" s="54">
        <v>0</v>
      </c>
      <c r="U1798" s="54">
        <v>3000</v>
      </c>
      <c r="V1798" s="54">
        <v>3000</v>
      </c>
      <c r="W1798" s="54">
        <v>3000</v>
      </c>
    </row>
    <row r="1799" spans="1:23" outlineLevel="2" x14ac:dyDescent="0.2">
      <c r="A1799" s="21" t="s">
        <v>999</v>
      </c>
      <c r="B1799" s="21" t="s">
        <v>39</v>
      </c>
      <c r="C1799" s="21" t="s">
        <v>58</v>
      </c>
      <c r="D1799" s="21" t="s">
        <v>59</v>
      </c>
      <c r="E1799" s="21" t="s">
        <v>60</v>
      </c>
      <c r="F1799" s="21" t="s">
        <v>837</v>
      </c>
      <c r="G1799" s="21" t="s">
        <v>838</v>
      </c>
      <c r="H1799" s="21" t="s">
        <v>1094</v>
      </c>
      <c r="I1799" s="21" t="s">
        <v>1095</v>
      </c>
      <c r="J1799" s="21" t="s">
        <v>1000</v>
      </c>
      <c r="K1799" s="21" t="s">
        <v>1078</v>
      </c>
      <c r="L1799" s="21" t="s">
        <v>1079</v>
      </c>
      <c r="M1799" s="21" t="s">
        <v>12</v>
      </c>
      <c r="N1799" s="54">
        <v>2500</v>
      </c>
      <c r="O1799" s="54">
        <v>0</v>
      </c>
      <c r="P1799" s="54">
        <v>0</v>
      </c>
      <c r="Q1799" s="54">
        <v>2500</v>
      </c>
      <c r="R1799" s="54">
        <v>0</v>
      </c>
      <c r="S1799" s="54">
        <v>0</v>
      </c>
      <c r="T1799" s="54">
        <v>0</v>
      </c>
      <c r="U1799" s="54">
        <v>2500</v>
      </c>
      <c r="V1799" s="54">
        <v>2500</v>
      </c>
      <c r="W1799" s="54">
        <v>2500</v>
      </c>
    </row>
    <row r="1800" spans="1:23" outlineLevel="2" x14ac:dyDescent="0.2">
      <c r="A1800" s="21" t="s">
        <v>999</v>
      </c>
      <c r="B1800" s="21" t="s">
        <v>39</v>
      </c>
      <c r="C1800" s="21" t="s">
        <v>58</v>
      </c>
      <c r="D1800" s="21" t="s">
        <v>135</v>
      </c>
      <c r="E1800" s="21" t="s">
        <v>136</v>
      </c>
      <c r="F1800" s="21" t="s">
        <v>837</v>
      </c>
      <c r="G1800" s="21" t="s">
        <v>838</v>
      </c>
      <c r="H1800" s="21" t="s">
        <v>1094</v>
      </c>
      <c r="I1800" s="21" t="s">
        <v>1095</v>
      </c>
      <c r="J1800" s="21" t="s">
        <v>1000</v>
      </c>
      <c r="K1800" s="21" t="s">
        <v>1078</v>
      </c>
      <c r="L1800" s="21" t="s">
        <v>1079</v>
      </c>
      <c r="M1800" s="21" t="s">
        <v>12</v>
      </c>
      <c r="N1800" s="54">
        <v>4000</v>
      </c>
      <c r="O1800" s="54">
        <v>0</v>
      </c>
      <c r="P1800" s="54">
        <v>0</v>
      </c>
      <c r="Q1800" s="54">
        <v>4000</v>
      </c>
      <c r="R1800" s="54">
        <v>0</v>
      </c>
      <c r="S1800" s="54">
        <v>0</v>
      </c>
      <c r="T1800" s="54">
        <v>0</v>
      </c>
      <c r="U1800" s="54">
        <v>4000</v>
      </c>
      <c r="V1800" s="54">
        <v>4000</v>
      </c>
      <c r="W1800" s="54">
        <v>4000</v>
      </c>
    </row>
    <row r="1801" spans="1:23" outlineLevel="2" x14ac:dyDescent="0.2">
      <c r="A1801" s="21" t="s">
        <v>999</v>
      </c>
      <c r="B1801" s="21" t="s">
        <v>39</v>
      </c>
      <c r="C1801" s="21" t="s">
        <v>58</v>
      </c>
      <c r="D1801" s="21" t="s">
        <v>145</v>
      </c>
      <c r="E1801" s="21" t="s">
        <v>146</v>
      </c>
      <c r="F1801" s="21" t="s">
        <v>837</v>
      </c>
      <c r="G1801" s="21" t="s">
        <v>838</v>
      </c>
      <c r="H1801" s="21" t="s">
        <v>1094</v>
      </c>
      <c r="I1801" s="21" t="s">
        <v>1095</v>
      </c>
      <c r="J1801" s="21" t="s">
        <v>1000</v>
      </c>
      <c r="K1801" s="21" t="s">
        <v>1061</v>
      </c>
      <c r="L1801" s="21" t="s">
        <v>1080</v>
      </c>
      <c r="M1801" s="21" t="s">
        <v>12</v>
      </c>
      <c r="N1801" s="54">
        <v>2000</v>
      </c>
      <c r="O1801" s="54">
        <v>0</v>
      </c>
      <c r="P1801" s="54">
        <v>0</v>
      </c>
      <c r="Q1801" s="54">
        <v>2000</v>
      </c>
      <c r="R1801" s="54">
        <v>0</v>
      </c>
      <c r="S1801" s="54">
        <v>0</v>
      </c>
      <c r="T1801" s="54">
        <v>0</v>
      </c>
      <c r="U1801" s="54">
        <v>2000</v>
      </c>
      <c r="V1801" s="54">
        <v>2000</v>
      </c>
      <c r="W1801" s="54">
        <v>2000</v>
      </c>
    </row>
    <row r="1802" spans="1:23" outlineLevel="2" x14ac:dyDescent="0.2">
      <c r="A1802" s="21" t="s">
        <v>999</v>
      </c>
      <c r="B1802" s="21" t="s">
        <v>39</v>
      </c>
      <c r="C1802" s="21" t="s">
        <v>58</v>
      </c>
      <c r="D1802" s="21" t="s">
        <v>147</v>
      </c>
      <c r="E1802" s="21" t="s">
        <v>148</v>
      </c>
      <c r="F1802" s="21" t="s">
        <v>837</v>
      </c>
      <c r="G1802" s="21" t="s">
        <v>838</v>
      </c>
      <c r="H1802" s="21" t="s">
        <v>1094</v>
      </c>
      <c r="I1802" s="21" t="s">
        <v>1095</v>
      </c>
      <c r="J1802" s="21" t="s">
        <v>1000</v>
      </c>
      <c r="K1802" s="21" t="s">
        <v>1061</v>
      </c>
      <c r="L1802" s="21" t="s">
        <v>1080</v>
      </c>
      <c r="M1802" s="21" t="s">
        <v>12</v>
      </c>
      <c r="N1802" s="54">
        <v>1000</v>
      </c>
      <c r="O1802" s="54">
        <v>0</v>
      </c>
      <c r="P1802" s="54">
        <v>0</v>
      </c>
      <c r="Q1802" s="54">
        <v>1000</v>
      </c>
      <c r="R1802" s="54">
        <v>0</v>
      </c>
      <c r="S1802" s="54">
        <v>0</v>
      </c>
      <c r="T1802" s="54">
        <v>0</v>
      </c>
      <c r="U1802" s="54">
        <v>1000</v>
      </c>
      <c r="V1802" s="54">
        <v>1000</v>
      </c>
      <c r="W1802" s="54">
        <v>1000</v>
      </c>
    </row>
    <row r="1803" spans="1:23" outlineLevel="2" x14ac:dyDescent="0.2">
      <c r="A1803" s="21" t="s">
        <v>999</v>
      </c>
      <c r="B1803" s="21" t="s">
        <v>39</v>
      </c>
      <c r="C1803" s="21" t="s">
        <v>58</v>
      </c>
      <c r="D1803" s="21" t="s">
        <v>135</v>
      </c>
      <c r="E1803" s="21" t="s">
        <v>136</v>
      </c>
      <c r="F1803" s="21" t="s">
        <v>837</v>
      </c>
      <c r="G1803" s="21" t="s">
        <v>838</v>
      </c>
      <c r="H1803" s="21" t="s">
        <v>1094</v>
      </c>
      <c r="I1803" s="21" t="s">
        <v>1095</v>
      </c>
      <c r="J1803" s="21" t="s">
        <v>1000</v>
      </c>
      <c r="K1803" s="21" t="s">
        <v>1061</v>
      </c>
      <c r="L1803" s="21" t="s">
        <v>1080</v>
      </c>
      <c r="M1803" s="21" t="s">
        <v>12</v>
      </c>
      <c r="N1803" s="54">
        <v>7900</v>
      </c>
      <c r="O1803" s="54">
        <v>0</v>
      </c>
      <c r="P1803" s="54">
        <v>0</v>
      </c>
      <c r="Q1803" s="54">
        <v>7900</v>
      </c>
      <c r="R1803" s="54">
        <v>0</v>
      </c>
      <c r="S1803" s="54">
        <v>0</v>
      </c>
      <c r="T1803" s="54">
        <v>0</v>
      </c>
      <c r="U1803" s="54">
        <v>7900</v>
      </c>
      <c r="V1803" s="54">
        <v>7900</v>
      </c>
      <c r="W1803" s="54">
        <v>7900</v>
      </c>
    </row>
    <row r="1804" spans="1:23" outlineLevel="2" x14ac:dyDescent="0.2">
      <c r="A1804" s="21" t="s">
        <v>999</v>
      </c>
      <c r="B1804" s="21" t="s">
        <v>39</v>
      </c>
      <c r="C1804" s="21" t="s">
        <v>58</v>
      </c>
      <c r="D1804" s="21" t="s">
        <v>145</v>
      </c>
      <c r="E1804" s="21" t="s">
        <v>146</v>
      </c>
      <c r="F1804" s="21" t="s">
        <v>837</v>
      </c>
      <c r="G1804" s="21" t="s">
        <v>838</v>
      </c>
      <c r="H1804" s="21" t="s">
        <v>1094</v>
      </c>
      <c r="I1804" s="21" t="s">
        <v>1095</v>
      </c>
      <c r="J1804" s="21" t="s">
        <v>1000</v>
      </c>
      <c r="K1804" s="21" t="s">
        <v>1019</v>
      </c>
      <c r="L1804" s="21" t="s">
        <v>1081</v>
      </c>
      <c r="M1804" s="21" t="s">
        <v>12</v>
      </c>
      <c r="N1804" s="54">
        <v>400</v>
      </c>
      <c r="O1804" s="54">
        <v>0</v>
      </c>
      <c r="P1804" s="54">
        <v>0</v>
      </c>
      <c r="Q1804" s="54">
        <v>400</v>
      </c>
      <c r="R1804" s="54">
        <v>0</v>
      </c>
      <c r="S1804" s="54">
        <v>0</v>
      </c>
      <c r="T1804" s="54">
        <v>0</v>
      </c>
      <c r="U1804" s="54">
        <v>400</v>
      </c>
      <c r="V1804" s="54">
        <v>400</v>
      </c>
      <c r="W1804" s="54">
        <v>400</v>
      </c>
    </row>
    <row r="1805" spans="1:23" outlineLevel="2" x14ac:dyDescent="0.2">
      <c r="A1805" s="21" t="s">
        <v>999</v>
      </c>
      <c r="B1805" s="21" t="s">
        <v>39</v>
      </c>
      <c r="C1805" s="21" t="s">
        <v>58</v>
      </c>
      <c r="D1805" s="21" t="s">
        <v>137</v>
      </c>
      <c r="E1805" s="21" t="s">
        <v>138</v>
      </c>
      <c r="F1805" s="21" t="s">
        <v>837</v>
      </c>
      <c r="G1805" s="21" t="s">
        <v>838</v>
      </c>
      <c r="H1805" s="21" t="s">
        <v>1094</v>
      </c>
      <c r="I1805" s="21" t="s">
        <v>1095</v>
      </c>
      <c r="J1805" s="21" t="s">
        <v>1000</v>
      </c>
      <c r="K1805" s="21" t="s">
        <v>1082</v>
      </c>
      <c r="L1805" s="21" t="s">
        <v>1083</v>
      </c>
      <c r="M1805" s="21" t="s">
        <v>12</v>
      </c>
      <c r="N1805" s="54">
        <v>1000</v>
      </c>
      <c r="O1805" s="54">
        <v>0</v>
      </c>
      <c r="P1805" s="54">
        <v>0</v>
      </c>
      <c r="Q1805" s="54">
        <v>1000</v>
      </c>
      <c r="R1805" s="54">
        <v>0</v>
      </c>
      <c r="S1805" s="54">
        <v>0</v>
      </c>
      <c r="T1805" s="54">
        <v>0</v>
      </c>
      <c r="U1805" s="54">
        <v>1000</v>
      </c>
      <c r="V1805" s="54">
        <v>1000</v>
      </c>
      <c r="W1805" s="54">
        <v>1000</v>
      </c>
    </row>
    <row r="1806" spans="1:23" outlineLevel="2" x14ac:dyDescent="0.2">
      <c r="A1806" s="21" t="s">
        <v>999</v>
      </c>
      <c r="B1806" s="21" t="s">
        <v>39</v>
      </c>
      <c r="C1806" s="21" t="s">
        <v>58</v>
      </c>
      <c r="D1806" s="21" t="s">
        <v>149</v>
      </c>
      <c r="E1806" s="21" t="s">
        <v>150</v>
      </c>
      <c r="F1806" s="21" t="s">
        <v>837</v>
      </c>
      <c r="G1806" s="21" t="s">
        <v>838</v>
      </c>
      <c r="H1806" s="21" t="s">
        <v>1094</v>
      </c>
      <c r="I1806" s="21" t="s">
        <v>1095</v>
      </c>
      <c r="J1806" s="21" t="s">
        <v>1000</v>
      </c>
      <c r="K1806" s="21" t="s">
        <v>1082</v>
      </c>
      <c r="L1806" s="21" t="s">
        <v>1083</v>
      </c>
      <c r="M1806" s="21" t="s">
        <v>12</v>
      </c>
      <c r="N1806" s="54">
        <v>2000</v>
      </c>
      <c r="O1806" s="54">
        <v>0</v>
      </c>
      <c r="P1806" s="54">
        <v>0</v>
      </c>
      <c r="Q1806" s="54">
        <v>2000</v>
      </c>
      <c r="R1806" s="54">
        <v>0</v>
      </c>
      <c r="S1806" s="54">
        <v>0</v>
      </c>
      <c r="T1806" s="54">
        <v>0</v>
      </c>
      <c r="U1806" s="54">
        <v>2000</v>
      </c>
      <c r="V1806" s="54">
        <v>2000</v>
      </c>
      <c r="W1806" s="54">
        <v>2000</v>
      </c>
    </row>
    <row r="1807" spans="1:23" outlineLevel="2" x14ac:dyDescent="0.2">
      <c r="A1807" s="21" t="s">
        <v>999</v>
      </c>
      <c r="B1807" s="21" t="s">
        <v>39</v>
      </c>
      <c r="C1807" s="21" t="s">
        <v>58</v>
      </c>
      <c r="D1807" s="21" t="s">
        <v>145</v>
      </c>
      <c r="E1807" s="21" t="s">
        <v>146</v>
      </c>
      <c r="F1807" s="21" t="s">
        <v>837</v>
      </c>
      <c r="G1807" s="21" t="s">
        <v>838</v>
      </c>
      <c r="H1807" s="21" t="s">
        <v>1094</v>
      </c>
      <c r="I1807" s="21" t="s">
        <v>1095</v>
      </c>
      <c r="J1807" s="21" t="s">
        <v>1000</v>
      </c>
      <c r="K1807" s="21" t="s">
        <v>1082</v>
      </c>
      <c r="L1807" s="21" t="s">
        <v>1083</v>
      </c>
      <c r="M1807" s="21" t="s">
        <v>12</v>
      </c>
      <c r="N1807" s="54">
        <v>3000</v>
      </c>
      <c r="O1807" s="54">
        <v>0</v>
      </c>
      <c r="P1807" s="54">
        <v>0</v>
      </c>
      <c r="Q1807" s="54">
        <v>3000</v>
      </c>
      <c r="R1807" s="54">
        <v>0</v>
      </c>
      <c r="S1807" s="54">
        <v>0</v>
      </c>
      <c r="T1807" s="54">
        <v>0</v>
      </c>
      <c r="U1807" s="54">
        <v>3000</v>
      </c>
      <c r="V1807" s="54">
        <v>3000</v>
      </c>
      <c r="W1807" s="54">
        <v>3000</v>
      </c>
    </row>
    <row r="1808" spans="1:23" outlineLevel="2" x14ac:dyDescent="0.2">
      <c r="A1808" s="21" t="s">
        <v>999</v>
      </c>
      <c r="B1808" s="21" t="s">
        <v>39</v>
      </c>
      <c r="C1808" s="21" t="s">
        <v>58</v>
      </c>
      <c r="D1808" s="21" t="s">
        <v>147</v>
      </c>
      <c r="E1808" s="21" t="s">
        <v>148</v>
      </c>
      <c r="F1808" s="21" t="s">
        <v>837</v>
      </c>
      <c r="G1808" s="21" t="s">
        <v>838</v>
      </c>
      <c r="H1808" s="21" t="s">
        <v>1094</v>
      </c>
      <c r="I1808" s="21" t="s">
        <v>1095</v>
      </c>
      <c r="J1808" s="21" t="s">
        <v>1000</v>
      </c>
      <c r="K1808" s="21" t="s">
        <v>1082</v>
      </c>
      <c r="L1808" s="21" t="s">
        <v>1083</v>
      </c>
      <c r="M1808" s="21" t="s">
        <v>12</v>
      </c>
      <c r="N1808" s="54">
        <v>2000</v>
      </c>
      <c r="O1808" s="54">
        <v>0</v>
      </c>
      <c r="P1808" s="54">
        <v>0</v>
      </c>
      <c r="Q1808" s="54">
        <v>2000</v>
      </c>
      <c r="R1808" s="54">
        <v>605.98</v>
      </c>
      <c r="S1808" s="54">
        <v>1394.02</v>
      </c>
      <c r="T1808" s="54">
        <v>0</v>
      </c>
      <c r="U1808" s="54">
        <v>605.98</v>
      </c>
      <c r="V1808" s="54">
        <v>2000</v>
      </c>
      <c r="W1808" s="54">
        <v>0</v>
      </c>
    </row>
    <row r="1809" spans="1:23" outlineLevel="2" x14ac:dyDescent="0.2">
      <c r="A1809" s="21" t="s">
        <v>999</v>
      </c>
      <c r="B1809" s="21" t="s">
        <v>39</v>
      </c>
      <c r="C1809" s="21" t="s">
        <v>58</v>
      </c>
      <c r="D1809" s="21" t="s">
        <v>59</v>
      </c>
      <c r="E1809" s="21" t="s">
        <v>60</v>
      </c>
      <c r="F1809" s="21" t="s">
        <v>837</v>
      </c>
      <c r="G1809" s="21" t="s">
        <v>838</v>
      </c>
      <c r="H1809" s="21" t="s">
        <v>1094</v>
      </c>
      <c r="I1809" s="21" t="s">
        <v>1095</v>
      </c>
      <c r="J1809" s="21" t="s">
        <v>1000</v>
      </c>
      <c r="K1809" s="21" t="s">
        <v>1082</v>
      </c>
      <c r="L1809" s="21" t="s">
        <v>1083</v>
      </c>
      <c r="M1809" s="21" t="s">
        <v>12</v>
      </c>
      <c r="N1809" s="54">
        <v>2000</v>
      </c>
      <c r="O1809" s="54">
        <v>0</v>
      </c>
      <c r="P1809" s="54">
        <v>0</v>
      </c>
      <c r="Q1809" s="54">
        <v>2000</v>
      </c>
      <c r="R1809" s="54">
        <v>0</v>
      </c>
      <c r="S1809" s="54">
        <v>0</v>
      </c>
      <c r="T1809" s="54">
        <v>0</v>
      </c>
      <c r="U1809" s="54">
        <v>2000</v>
      </c>
      <c r="V1809" s="54">
        <v>2000</v>
      </c>
      <c r="W1809" s="54">
        <v>2000</v>
      </c>
    </row>
    <row r="1810" spans="1:23" outlineLevel="2" x14ac:dyDescent="0.2">
      <c r="A1810" s="21" t="s">
        <v>999</v>
      </c>
      <c r="B1810" s="21" t="s">
        <v>39</v>
      </c>
      <c r="C1810" s="21" t="s">
        <v>58</v>
      </c>
      <c r="D1810" s="21" t="s">
        <v>143</v>
      </c>
      <c r="E1810" s="21" t="s">
        <v>144</v>
      </c>
      <c r="F1810" s="21" t="s">
        <v>837</v>
      </c>
      <c r="G1810" s="21" t="s">
        <v>838</v>
      </c>
      <c r="H1810" s="21" t="s">
        <v>1094</v>
      </c>
      <c r="I1810" s="21" t="s">
        <v>1095</v>
      </c>
      <c r="J1810" s="21" t="s">
        <v>1000</v>
      </c>
      <c r="K1810" s="21" t="s">
        <v>1084</v>
      </c>
      <c r="L1810" s="21" t="s">
        <v>1085</v>
      </c>
      <c r="M1810" s="21" t="s">
        <v>12</v>
      </c>
      <c r="N1810" s="54">
        <v>300</v>
      </c>
      <c r="O1810" s="54">
        <v>0</v>
      </c>
      <c r="P1810" s="54">
        <v>0</v>
      </c>
      <c r="Q1810" s="54">
        <v>300</v>
      </c>
      <c r="R1810" s="54">
        <v>0</v>
      </c>
      <c r="S1810" s="54">
        <v>0</v>
      </c>
      <c r="T1810" s="54">
        <v>0</v>
      </c>
      <c r="U1810" s="54">
        <v>300</v>
      </c>
      <c r="V1810" s="54">
        <v>300</v>
      </c>
      <c r="W1810" s="54">
        <v>300</v>
      </c>
    </row>
    <row r="1811" spans="1:23" outlineLevel="2" x14ac:dyDescent="0.2">
      <c r="A1811" s="21" t="s">
        <v>999</v>
      </c>
      <c r="B1811" s="21" t="s">
        <v>39</v>
      </c>
      <c r="C1811" s="21" t="s">
        <v>58</v>
      </c>
      <c r="D1811" s="21" t="s">
        <v>145</v>
      </c>
      <c r="E1811" s="21" t="s">
        <v>146</v>
      </c>
      <c r="F1811" s="21" t="s">
        <v>837</v>
      </c>
      <c r="G1811" s="21" t="s">
        <v>838</v>
      </c>
      <c r="H1811" s="21" t="s">
        <v>1094</v>
      </c>
      <c r="I1811" s="21" t="s">
        <v>1095</v>
      </c>
      <c r="J1811" s="21" t="s">
        <v>1000</v>
      </c>
      <c r="K1811" s="21" t="s">
        <v>1084</v>
      </c>
      <c r="L1811" s="21" t="s">
        <v>1085</v>
      </c>
      <c r="M1811" s="21" t="s">
        <v>12</v>
      </c>
      <c r="N1811" s="54">
        <v>800</v>
      </c>
      <c r="O1811" s="54">
        <v>0</v>
      </c>
      <c r="P1811" s="54">
        <v>0</v>
      </c>
      <c r="Q1811" s="54">
        <v>800</v>
      </c>
      <c r="R1811" s="54">
        <v>0</v>
      </c>
      <c r="S1811" s="54">
        <v>0</v>
      </c>
      <c r="T1811" s="54">
        <v>0</v>
      </c>
      <c r="U1811" s="54">
        <v>800</v>
      </c>
      <c r="V1811" s="54">
        <v>800</v>
      </c>
      <c r="W1811" s="54">
        <v>800</v>
      </c>
    </row>
    <row r="1812" spans="1:23" outlineLevel="2" x14ac:dyDescent="0.2">
      <c r="A1812" s="21" t="s">
        <v>999</v>
      </c>
      <c r="B1812" s="21" t="s">
        <v>39</v>
      </c>
      <c r="C1812" s="21" t="s">
        <v>58</v>
      </c>
      <c r="D1812" s="21" t="s">
        <v>105</v>
      </c>
      <c r="E1812" s="21" t="s">
        <v>106</v>
      </c>
      <c r="F1812" s="21" t="s">
        <v>837</v>
      </c>
      <c r="G1812" s="21" t="s">
        <v>838</v>
      </c>
      <c r="H1812" s="21" t="s">
        <v>1094</v>
      </c>
      <c r="I1812" s="21" t="s">
        <v>1095</v>
      </c>
      <c r="J1812" s="21" t="s">
        <v>1000</v>
      </c>
      <c r="K1812" s="21" t="s">
        <v>1096</v>
      </c>
      <c r="L1812" s="21" t="s">
        <v>1097</v>
      </c>
      <c r="M1812" s="21" t="s">
        <v>12</v>
      </c>
      <c r="N1812" s="54">
        <v>800</v>
      </c>
      <c r="O1812" s="54">
        <v>1397.36</v>
      </c>
      <c r="P1812" s="54">
        <v>0</v>
      </c>
      <c r="Q1812" s="54">
        <v>2197.36</v>
      </c>
      <c r="R1812" s="54">
        <v>1397.36</v>
      </c>
      <c r="S1812" s="54">
        <v>0</v>
      </c>
      <c r="T1812" s="54">
        <v>0</v>
      </c>
      <c r="U1812" s="54">
        <v>2197.36</v>
      </c>
      <c r="V1812" s="54">
        <v>2197.36</v>
      </c>
      <c r="W1812" s="54">
        <v>800</v>
      </c>
    </row>
    <row r="1813" spans="1:23" outlineLevel="2" x14ac:dyDescent="0.2">
      <c r="A1813" s="21" t="s">
        <v>999</v>
      </c>
      <c r="B1813" s="21" t="s">
        <v>39</v>
      </c>
      <c r="C1813" s="21" t="s">
        <v>58</v>
      </c>
      <c r="D1813" s="21" t="s">
        <v>59</v>
      </c>
      <c r="E1813" s="21" t="s">
        <v>60</v>
      </c>
      <c r="F1813" s="21" t="s">
        <v>837</v>
      </c>
      <c r="G1813" s="21" t="s">
        <v>838</v>
      </c>
      <c r="H1813" s="21" t="s">
        <v>1094</v>
      </c>
      <c r="I1813" s="21" t="s">
        <v>1095</v>
      </c>
      <c r="J1813" s="21" t="s">
        <v>1000</v>
      </c>
      <c r="K1813" s="21" t="s">
        <v>1098</v>
      </c>
      <c r="L1813" s="21" t="s">
        <v>1099</v>
      </c>
      <c r="M1813" s="21" t="s">
        <v>12</v>
      </c>
      <c r="N1813" s="54">
        <v>500</v>
      </c>
      <c r="O1813" s="54">
        <v>0</v>
      </c>
      <c r="P1813" s="54">
        <v>0</v>
      </c>
      <c r="Q1813" s="54">
        <v>500</v>
      </c>
      <c r="R1813" s="54">
        <v>0</v>
      </c>
      <c r="S1813" s="54">
        <v>0</v>
      </c>
      <c r="T1813" s="54">
        <v>0</v>
      </c>
      <c r="U1813" s="54">
        <v>500</v>
      </c>
      <c r="V1813" s="54">
        <v>500</v>
      </c>
      <c r="W1813" s="54">
        <v>500</v>
      </c>
    </row>
    <row r="1814" spans="1:23" outlineLevel="2" x14ac:dyDescent="0.2">
      <c r="A1814" s="21" t="s">
        <v>999</v>
      </c>
      <c r="B1814" s="21" t="s">
        <v>39</v>
      </c>
      <c r="C1814" s="21" t="s">
        <v>58</v>
      </c>
      <c r="D1814" s="21" t="s">
        <v>147</v>
      </c>
      <c r="E1814" s="21" t="s">
        <v>148</v>
      </c>
      <c r="F1814" s="21" t="s">
        <v>837</v>
      </c>
      <c r="G1814" s="21" t="s">
        <v>838</v>
      </c>
      <c r="H1814" s="21" t="s">
        <v>852</v>
      </c>
      <c r="I1814" s="21" t="s">
        <v>853</v>
      </c>
      <c r="J1814" s="21" t="s">
        <v>1000</v>
      </c>
      <c r="K1814" s="21" t="s">
        <v>1100</v>
      </c>
      <c r="L1814" s="21" t="s">
        <v>1101</v>
      </c>
      <c r="M1814" s="21" t="s">
        <v>12</v>
      </c>
      <c r="N1814" s="54">
        <v>5200</v>
      </c>
      <c r="O1814" s="54">
        <v>0</v>
      </c>
      <c r="P1814" s="54">
        <v>0</v>
      </c>
      <c r="Q1814" s="54">
        <v>5200</v>
      </c>
      <c r="R1814" s="54">
        <v>0</v>
      </c>
      <c r="S1814" s="54">
        <v>5200</v>
      </c>
      <c r="T1814" s="54">
        <v>1198.6099999999999</v>
      </c>
      <c r="U1814" s="54">
        <v>0</v>
      </c>
      <c r="V1814" s="54">
        <v>4001.39</v>
      </c>
      <c r="W1814" s="54">
        <v>0</v>
      </c>
    </row>
    <row r="1815" spans="1:23" outlineLevel="2" x14ac:dyDescent="0.2">
      <c r="A1815" s="21" t="s">
        <v>999</v>
      </c>
      <c r="B1815" s="21" t="s">
        <v>39</v>
      </c>
      <c r="C1815" s="21" t="s">
        <v>58</v>
      </c>
      <c r="D1815" s="21" t="s">
        <v>147</v>
      </c>
      <c r="E1815" s="21" t="s">
        <v>148</v>
      </c>
      <c r="F1815" s="21" t="s">
        <v>837</v>
      </c>
      <c r="G1815" s="21" t="s">
        <v>838</v>
      </c>
      <c r="H1815" s="21" t="s">
        <v>852</v>
      </c>
      <c r="I1815" s="21" t="s">
        <v>853</v>
      </c>
      <c r="J1815" s="21" t="s">
        <v>1000</v>
      </c>
      <c r="K1815" s="21" t="s">
        <v>1102</v>
      </c>
      <c r="L1815" s="21" t="s">
        <v>1103</v>
      </c>
      <c r="M1815" s="21" t="s">
        <v>12</v>
      </c>
      <c r="N1815" s="54">
        <v>13119.1</v>
      </c>
      <c r="O1815" s="54">
        <v>0</v>
      </c>
      <c r="P1815" s="54">
        <v>0</v>
      </c>
      <c r="Q1815" s="54">
        <v>13119.1</v>
      </c>
      <c r="R1815" s="54">
        <v>0</v>
      </c>
      <c r="S1815" s="54">
        <v>13119.1</v>
      </c>
      <c r="T1815" s="54">
        <v>7205.78</v>
      </c>
      <c r="U1815" s="54">
        <v>0</v>
      </c>
      <c r="V1815" s="54">
        <v>5913.32</v>
      </c>
      <c r="W1815" s="54">
        <v>0</v>
      </c>
    </row>
    <row r="1816" spans="1:23" outlineLevel="2" x14ac:dyDescent="0.2">
      <c r="A1816" s="21" t="s">
        <v>999</v>
      </c>
      <c r="B1816" s="21" t="s">
        <v>39</v>
      </c>
      <c r="C1816" s="21" t="s">
        <v>58</v>
      </c>
      <c r="D1816" s="21" t="s">
        <v>147</v>
      </c>
      <c r="E1816" s="21" t="s">
        <v>148</v>
      </c>
      <c r="F1816" s="21" t="s">
        <v>837</v>
      </c>
      <c r="G1816" s="21" t="s">
        <v>838</v>
      </c>
      <c r="H1816" s="21" t="s">
        <v>852</v>
      </c>
      <c r="I1816" s="21" t="s">
        <v>853</v>
      </c>
      <c r="J1816" s="21" t="s">
        <v>1000</v>
      </c>
      <c r="K1816" s="21" t="s">
        <v>1104</v>
      </c>
      <c r="L1816" s="21" t="s">
        <v>1105</v>
      </c>
      <c r="M1816" s="21" t="s">
        <v>12</v>
      </c>
      <c r="N1816" s="54">
        <v>400</v>
      </c>
      <c r="O1816" s="54">
        <v>0</v>
      </c>
      <c r="P1816" s="54">
        <v>0</v>
      </c>
      <c r="Q1816" s="54">
        <v>400</v>
      </c>
      <c r="R1816" s="54">
        <v>0</v>
      </c>
      <c r="S1816" s="54">
        <v>400</v>
      </c>
      <c r="T1816" s="54">
        <v>177.21</v>
      </c>
      <c r="U1816" s="54">
        <v>0</v>
      </c>
      <c r="V1816" s="54">
        <v>222.79</v>
      </c>
      <c r="W1816" s="54">
        <v>0</v>
      </c>
    </row>
    <row r="1817" spans="1:23" outlineLevel="2" x14ac:dyDescent="0.2">
      <c r="A1817" s="21" t="s">
        <v>999</v>
      </c>
      <c r="B1817" s="21" t="s">
        <v>39</v>
      </c>
      <c r="C1817" s="21" t="s">
        <v>58</v>
      </c>
      <c r="D1817" s="21" t="s">
        <v>147</v>
      </c>
      <c r="E1817" s="21" t="s">
        <v>148</v>
      </c>
      <c r="F1817" s="21" t="s">
        <v>837</v>
      </c>
      <c r="G1817" s="21" t="s">
        <v>838</v>
      </c>
      <c r="H1817" s="21" t="s">
        <v>852</v>
      </c>
      <c r="I1817" s="21" t="s">
        <v>853</v>
      </c>
      <c r="J1817" s="21" t="s">
        <v>1000</v>
      </c>
      <c r="K1817" s="21" t="s">
        <v>1106</v>
      </c>
      <c r="L1817" s="21" t="s">
        <v>1107</v>
      </c>
      <c r="M1817" s="21" t="s">
        <v>12</v>
      </c>
      <c r="N1817" s="54">
        <v>1000</v>
      </c>
      <c r="O1817" s="54">
        <v>0</v>
      </c>
      <c r="P1817" s="54">
        <v>0</v>
      </c>
      <c r="Q1817" s="54">
        <v>1000</v>
      </c>
      <c r="R1817" s="54">
        <v>1000</v>
      </c>
      <c r="S1817" s="54">
        <v>0</v>
      </c>
      <c r="T1817" s="54">
        <v>0</v>
      </c>
      <c r="U1817" s="54">
        <v>1000</v>
      </c>
      <c r="V1817" s="54">
        <v>1000</v>
      </c>
      <c r="W1817" s="54">
        <v>0</v>
      </c>
    </row>
    <row r="1818" spans="1:23" outlineLevel="2" x14ac:dyDescent="0.2">
      <c r="A1818" s="21" t="s">
        <v>999</v>
      </c>
      <c r="B1818" s="21" t="s">
        <v>39</v>
      </c>
      <c r="C1818" s="21" t="s">
        <v>58</v>
      </c>
      <c r="D1818" s="21" t="s">
        <v>143</v>
      </c>
      <c r="E1818" s="21" t="s">
        <v>144</v>
      </c>
      <c r="F1818" s="21" t="s">
        <v>837</v>
      </c>
      <c r="G1818" s="21" t="s">
        <v>838</v>
      </c>
      <c r="H1818" s="21" t="s">
        <v>852</v>
      </c>
      <c r="I1818" s="21" t="s">
        <v>853</v>
      </c>
      <c r="J1818" s="21" t="s">
        <v>1000</v>
      </c>
      <c r="K1818" s="21" t="s">
        <v>1106</v>
      </c>
      <c r="L1818" s="21" t="s">
        <v>1107</v>
      </c>
      <c r="M1818" s="21" t="s">
        <v>12</v>
      </c>
      <c r="N1818" s="54">
        <v>1878.64</v>
      </c>
      <c r="O1818" s="54">
        <v>0</v>
      </c>
      <c r="P1818" s="54">
        <v>0</v>
      </c>
      <c r="Q1818" s="54">
        <v>1878.64</v>
      </c>
      <c r="R1818" s="54">
        <v>0</v>
      </c>
      <c r="S1818" s="54">
        <v>0</v>
      </c>
      <c r="T1818" s="54">
        <v>0</v>
      </c>
      <c r="U1818" s="54">
        <v>1878.64</v>
      </c>
      <c r="V1818" s="54">
        <v>1878.64</v>
      </c>
      <c r="W1818" s="54">
        <v>1878.64</v>
      </c>
    </row>
    <row r="1819" spans="1:23" outlineLevel="2" x14ac:dyDescent="0.2">
      <c r="A1819" s="21" t="s">
        <v>999</v>
      </c>
      <c r="B1819" s="21" t="s">
        <v>39</v>
      </c>
      <c r="C1819" s="21" t="s">
        <v>58</v>
      </c>
      <c r="D1819" s="21" t="s">
        <v>135</v>
      </c>
      <c r="E1819" s="21" t="s">
        <v>136</v>
      </c>
      <c r="F1819" s="21" t="s">
        <v>837</v>
      </c>
      <c r="G1819" s="21" t="s">
        <v>838</v>
      </c>
      <c r="H1819" s="21" t="s">
        <v>852</v>
      </c>
      <c r="I1819" s="21" t="s">
        <v>853</v>
      </c>
      <c r="J1819" s="21" t="s">
        <v>1000</v>
      </c>
      <c r="K1819" s="21" t="s">
        <v>1037</v>
      </c>
      <c r="L1819" s="21" t="s">
        <v>1066</v>
      </c>
      <c r="M1819" s="21" t="s">
        <v>12</v>
      </c>
      <c r="N1819" s="54">
        <v>6500</v>
      </c>
      <c r="O1819" s="54">
        <v>0</v>
      </c>
      <c r="P1819" s="54">
        <v>0</v>
      </c>
      <c r="Q1819" s="54">
        <v>6500</v>
      </c>
      <c r="R1819" s="54">
        <v>0</v>
      </c>
      <c r="S1819" s="54">
        <v>0</v>
      </c>
      <c r="T1819" s="54">
        <v>0</v>
      </c>
      <c r="U1819" s="54">
        <v>6500</v>
      </c>
      <c r="V1819" s="54">
        <v>6500</v>
      </c>
      <c r="W1819" s="54">
        <v>6500</v>
      </c>
    </row>
    <row r="1820" spans="1:23" outlineLevel="2" x14ac:dyDescent="0.2">
      <c r="A1820" s="21" t="s">
        <v>999</v>
      </c>
      <c r="B1820" s="21" t="s">
        <v>39</v>
      </c>
      <c r="C1820" s="21" t="s">
        <v>58</v>
      </c>
      <c r="D1820" s="21" t="s">
        <v>143</v>
      </c>
      <c r="E1820" s="21" t="s">
        <v>144</v>
      </c>
      <c r="F1820" s="21" t="s">
        <v>837</v>
      </c>
      <c r="G1820" s="21" t="s">
        <v>838</v>
      </c>
      <c r="H1820" s="21" t="s">
        <v>852</v>
      </c>
      <c r="I1820" s="21" t="s">
        <v>853</v>
      </c>
      <c r="J1820" s="21" t="s">
        <v>1000</v>
      </c>
      <c r="K1820" s="21" t="s">
        <v>1037</v>
      </c>
      <c r="L1820" s="21" t="s">
        <v>1066</v>
      </c>
      <c r="M1820" s="21" t="s">
        <v>12</v>
      </c>
      <c r="N1820" s="54">
        <v>1000</v>
      </c>
      <c r="O1820" s="54">
        <v>-1000</v>
      </c>
      <c r="P1820" s="54">
        <v>0</v>
      </c>
      <c r="Q1820" s="54">
        <v>0</v>
      </c>
      <c r="R1820" s="54">
        <v>0</v>
      </c>
      <c r="S1820" s="54">
        <v>0</v>
      </c>
      <c r="T1820" s="54">
        <v>0</v>
      </c>
      <c r="U1820" s="54">
        <v>0</v>
      </c>
      <c r="V1820" s="54">
        <v>0</v>
      </c>
      <c r="W1820" s="54">
        <v>0</v>
      </c>
    </row>
    <row r="1821" spans="1:23" outlineLevel="2" x14ac:dyDescent="0.2">
      <c r="A1821" s="21" t="s">
        <v>999</v>
      </c>
      <c r="B1821" s="21" t="s">
        <v>39</v>
      </c>
      <c r="C1821" s="21" t="s">
        <v>58</v>
      </c>
      <c r="D1821" s="21" t="s">
        <v>137</v>
      </c>
      <c r="E1821" s="21" t="s">
        <v>138</v>
      </c>
      <c r="F1821" s="21" t="s">
        <v>837</v>
      </c>
      <c r="G1821" s="21" t="s">
        <v>838</v>
      </c>
      <c r="H1821" s="21" t="s">
        <v>852</v>
      </c>
      <c r="I1821" s="21" t="s">
        <v>853</v>
      </c>
      <c r="J1821" s="21" t="s">
        <v>1000</v>
      </c>
      <c r="K1821" s="21" t="s">
        <v>1037</v>
      </c>
      <c r="L1821" s="21" t="s">
        <v>1066</v>
      </c>
      <c r="M1821" s="21" t="s">
        <v>12</v>
      </c>
      <c r="N1821" s="54">
        <v>2000</v>
      </c>
      <c r="O1821" s="54">
        <v>0</v>
      </c>
      <c r="P1821" s="54">
        <v>0</v>
      </c>
      <c r="Q1821" s="54">
        <v>2000</v>
      </c>
      <c r="R1821" s="54">
        <v>0</v>
      </c>
      <c r="S1821" s="54">
        <v>0</v>
      </c>
      <c r="T1821" s="54">
        <v>0</v>
      </c>
      <c r="U1821" s="54">
        <v>2000</v>
      </c>
      <c r="V1821" s="54">
        <v>2000</v>
      </c>
      <c r="W1821" s="54">
        <v>2000</v>
      </c>
    </row>
    <row r="1822" spans="1:23" outlineLevel="2" x14ac:dyDescent="0.2">
      <c r="A1822" s="21" t="s">
        <v>999</v>
      </c>
      <c r="B1822" s="21" t="s">
        <v>39</v>
      </c>
      <c r="C1822" s="21" t="s">
        <v>58</v>
      </c>
      <c r="D1822" s="21" t="s">
        <v>145</v>
      </c>
      <c r="E1822" s="21" t="s">
        <v>146</v>
      </c>
      <c r="F1822" s="21" t="s">
        <v>837</v>
      </c>
      <c r="G1822" s="21" t="s">
        <v>838</v>
      </c>
      <c r="H1822" s="21" t="s">
        <v>852</v>
      </c>
      <c r="I1822" s="21" t="s">
        <v>853</v>
      </c>
      <c r="J1822" s="21" t="s">
        <v>1000</v>
      </c>
      <c r="K1822" s="21" t="s">
        <v>1037</v>
      </c>
      <c r="L1822" s="21" t="s">
        <v>1066</v>
      </c>
      <c r="M1822" s="21" t="s">
        <v>12</v>
      </c>
      <c r="N1822" s="54">
        <v>2500</v>
      </c>
      <c r="O1822" s="54">
        <v>0</v>
      </c>
      <c r="P1822" s="54">
        <v>0</v>
      </c>
      <c r="Q1822" s="54">
        <v>2500</v>
      </c>
      <c r="R1822" s="54">
        <v>0</v>
      </c>
      <c r="S1822" s="54">
        <v>0</v>
      </c>
      <c r="T1822" s="54">
        <v>0</v>
      </c>
      <c r="U1822" s="54">
        <v>2500</v>
      </c>
      <c r="V1822" s="54">
        <v>2500</v>
      </c>
      <c r="W1822" s="54">
        <v>2500</v>
      </c>
    </row>
    <row r="1823" spans="1:23" outlineLevel="2" x14ac:dyDescent="0.2">
      <c r="A1823" s="21" t="s">
        <v>999</v>
      </c>
      <c r="B1823" s="21" t="s">
        <v>39</v>
      </c>
      <c r="C1823" s="21" t="s">
        <v>58</v>
      </c>
      <c r="D1823" s="21" t="s">
        <v>147</v>
      </c>
      <c r="E1823" s="21" t="s">
        <v>148</v>
      </c>
      <c r="F1823" s="21" t="s">
        <v>837</v>
      </c>
      <c r="G1823" s="21" t="s">
        <v>838</v>
      </c>
      <c r="H1823" s="21" t="s">
        <v>852</v>
      </c>
      <c r="I1823" s="21" t="s">
        <v>853</v>
      </c>
      <c r="J1823" s="21" t="s">
        <v>1000</v>
      </c>
      <c r="K1823" s="21" t="s">
        <v>1037</v>
      </c>
      <c r="L1823" s="21" t="s">
        <v>1066</v>
      </c>
      <c r="M1823" s="21" t="s">
        <v>12</v>
      </c>
      <c r="N1823" s="54">
        <v>3000</v>
      </c>
      <c r="O1823" s="54">
        <v>0</v>
      </c>
      <c r="P1823" s="54">
        <v>0</v>
      </c>
      <c r="Q1823" s="54">
        <v>3000</v>
      </c>
      <c r="R1823" s="54">
        <v>0</v>
      </c>
      <c r="S1823" s="54">
        <v>0</v>
      </c>
      <c r="T1823" s="54">
        <v>0</v>
      </c>
      <c r="U1823" s="54">
        <v>3000</v>
      </c>
      <c r="V1823" s="54">
        <v>3000</v>
      </c>
      <c r="W1823" s="54">
        <v>3000</v>
      </c>
    </row>
    <row r="1824" spans="1:23" outlineLevel="2" x14ac:dyDescent="0.2">
      <c r="A1824" s="21" t="s">
        <v>999</v>
      </c>
      <c r="B1824" s="21" t="s">
        <v>39</v>
      </c>
      <c r="C1824" s="21" t="s">
        <v>58</v>
      </c>
      <c r="D1824" s="21" t="s">
        <v>139</v>
      </c>
      <c r="E1824" s="21" t="s">
        <v>140</v>
      </c>
      <c r="F1824" s="21" t="s">
        <v>837</v>
      </c>
      <c r="G1824" s="21" t="s">
        <v>838</v>
      </c>
      <c r="H1824" s="21" t="s">
        <v>852</v>
      </c>
      <c r="I1824" s="21" t="s">
        <v>853</v>
      </c>
      <c r="J1824" s="21" t="s">
        <v>1000</v>
      </c>
      <c r="K1824" s="21" t="s">
        <v>1037</v>
      </c>
      <c r="L1824" s="21" t="s">
        <v>1066</v>
      </c>
      <c r="M1824" s="21" t="s">
        <v>12</v>
      </c>
      <c r="N1824" s="54">
        <v>1000</v>
      </c>
      <c r="O1824" s="54">
        <v>3000</v>
      </c>
      <c r="P1824" s="54">
        <v>0</v>
      </c>
      <c r="Q1824" s="54">
        <v>4000</v>
      </c>
      <c r="R1824" s="54">
        <v>0</v>
      </c>
      <c r="S1824" s="54">
        <v>0</v>
      </c>
      <c r="T1824" s="54">
        <v>0</v>
      </c>
      <c r="U1824" s="54">
        <v>4000</v>
      </c>
      <c r="V1824" s="54">
        <v>4000</v>
      </c>
      <c r="W1824" s="54">
        <v>4000</v>
      </c>
    </row>
    <row r="1825" spans="1:23" outlineLevel="2" x14ac:dyDescent="0.2">
      <c r="A1825" s="21" t="s">
        <v>999</v>
      </c>
      <c r="B1825" s="21" t="s">
        <v>39</v>
      </c>
      <c r="C1825" s="21" t="s">
        <v>58</v>
      </c>
      <c r="D1825" s="21" t="s">
        <v>59</v>
      </c>
      <c r="E1825" s="21" t="s">
        <v>60</v>
      </c>
      <c r="F1825" s="21" t="s">
        <v>837</v>
      </c>
      <c r="G1825" s="21" t="s">
        <v>838</v>
      </c>
      <c r="H1825" s="21" t="s">
        <v>852</v>
      </c>
      <c r="I1825" s="21" t="s">
        <v>853</v>
      </c>
      <c r="J1825" s="21" t="s">
        <v>1000</v>
      </c>
      <c r="K1825" s="21" t="s">
        <v>1037</v>
      </c>
      <c r="L1825" s="21" t="s">
        <v>1066</v>
      </c>
      <c r="M1825" s="21" t="s">
        <v>12</v>
      </c>
      <c r="N1825" s="54">
        <v>1500</v>
      </c>
      <c r="O1825" s="54">
        <v>0</v>
      </c>
      <c r="P1825" s="54">
        <v>0</v>
      </c>
      <c r="Q1825" s="54">
        <v>1500</v>
      </c>
      <c r="R1825" s="54">
        <v>0</v>
      </c>
      <c r="S1825" s="54">
        <v>0</v>
      </c>
      <c r="T1825" s="54">
        <v>0</v>
      </c>
      <c r="U1825" s="54">
        <v>1500</v>
      </c>
      <c r="V1825" s="54">
        <v>1500</v>
      </c>
      <c r="W1825" s="54">
        <v>1500</v>
      </c>
    </row>
    <row r="1826" spans="1:23" outlineLevel="2" x14ac:dyDescent="0.2">
      <c r="A1826" s="21" t="s">
        <v>999</v>
      </c>
      <c r="B1826" s="21" t="s">
        <v>39</v>
      </c>
      <c r="C1826" s="21" t="s">
        <v>58</v>
      </c>
      <c r="D1826" s="21" t="s">
        <v>149</v>
      </c>
      <c r="E1826" s="21" t="s">
        <v>150</v>
      </c>
      <c r="F1826" s="21" t="s">
        <v>837</v>
      </c>
      <c r="G1826" s="21" t="s">
        <v>838</v>
      </c>
      <c r="H1826" s="21" t="s">
        <v>852</v>
      </c>
      <c r="I1826" s="21" t="s">
        <v>853</v>
      </c>
      <c r="J1826" s="21" t="s">
        <v>1000</v>
      </c>
      <c r="K1826" s="21" t="s">
        <v>1037</v>
      </c>
      <c r="L1826" s="21" t="s">
        <v>1066</v>
      </c>
      <c r="M1826" s="21" t="s">
        <v>12</v>
      </c>
      <c r="N1826" s="54">
        <v>8500</v>
      </c>
      <c r="O1826" s="54">
        <v>0</v>
      </c>
      <c r="P1826" s="54">
        <v>0</v>
      </c>
      <c r="Q1826" s="54">
        <v>8500</v>
      </c>
      <c r="R1826" s="54">
        <v>0</v>
      </c>
      <c r="S1826" s="54">
        <v>0</v>
      </c>
      <c r="T1826" s="54">
        <v>0</v>
      </c>
      <c r="U1826" s="54">
        <v>8500</v>
      </c>
      <c r="V1826" s="54">
        <v>8500</v>
      </c>
      <c r="W1826" s="54">
        <v>8500</v>
      </c>
    </row>
    <row r="1827" spans="1:23" outlineLevel="2" x14ac:dyDescent="0.2">
      <c r="A1827" s="21" t="s">
        <v>999</v>
      </c>
      <c r="B1827" s="21" t="s">
        <v>39</v>
      </c>
      <c r="C1827" s="21" t="s">
        <v>58</v>
      </c>
      <c r="D1827" s="21" t="s">
        <v>145</v>
      </c>
      <c r="E1827" s="21" t="s">
        <v>146</v>
      </c>
      <c r="F1827" s="21" t="s">
        <v>837</v>
      </c>
      <c r="G1827" s="21" t="s">
        <v>838</v>
      </c>
      <c r="H1827" s="21" t="s">
        <v>852</v>
      </c>
      <c r="I1827" s="21" t="s">
        <v>853</v>
      </c>
      <c r="J1827" s="21" t="s">
        <v>1000</v>
      </c>
      <c r="K1827" s="21" t="s">
        <v>1039</v>
      </c>
      <c r="L1827" s="21" t="s">
        <v>1067</v>
      </c>
      <c r="M1827" s="21" t="s">
        <v>12</v>
      </c>
      <c r="N1827" s="54">
        <v>1500</v>
      </c>
      <c r="O1827" s="54">
        <v>0</v>
      </c>
      <c r="P1827" s="54">
        <v>0</v>
      </c>
      <c r="Q1827" s="54">
        <v>1500</v>
      </c>
      <c r="R1827" s="54">
        <v>0</v>
      </c>
      <c r="S1827" s="54">
        <v>0</v>
      </c>
      <c r="T1827" s="54">
        <v>0</v>
      </c>
      <c r="U1827" s="54">
        <v>1500</v>
      </c>
      <c r="V1827" s="54">
        <v>1500</v>
      </c>
      <c r="W1827" s="54">
        <v>1500</v>
      </c>
    </row>
    <row r="1828" spans="1:23" outlineLevel="2" x14ac:dyDescent="0.2">
      <c r="A1828" s="21" t="s">
        <v>999</v>
      </c>
      <c r="B1828" s="21" t="s">
        <v>39</v>
      </c>
      <c r="C1828" s="21" t="s">
        <v>58</v>
      </c>
      <c r="D1828" s="21" t="s">
        <v>59</v>
      </c>
      <c r="E1828" s="21" t="s">
        <v>60</v>
      </c>
      <c r="F1828" s="21" t="s">
        <v>837</v>
      </c>
      <c r="G1828" s="21" t="s">
        <v>838</v>
      </c>
      <c r="H1828" s="21" t="s">
        <v>852</v>
      </c>
      <c r="I1828" s="21" t="s">
        <v>853</v>
      </c>
      <c r="J1828" s="21" t="s">
        <v>1000</v>
      </c>
      <c r="K1828" s="21" t="s">
        <v>1039</v>
      </c>
      <c r="L1828" s="21" t="s">
        <v>1067</v>
      </c>
      <c r="M1828" s="21" t="s">
        <v>12</v>
      </c>
      <c r="N1828" s="54">
        <v>1000</v>
      </c>
      <c r="O1828" s="54">
        <v>0</v>
      </c>
      <c r="P1828" s="54">
        <v>0</v>
      </c>
      <c r="Q1828" s="54">
        <v>1000</v>
      </c>
      <c r="R1828" s="54">
        <v>0</v>
      </c>
      <c r="S1828" s="54">
        <v>0</v>
      </c>
      <c r="T1828" s="54">
        <v>0</v>
      </c>
      <c r="U1828" s="54">
        <v>1000</v>
      </c>
      <c r="V1828" s="54">
        <v>1000</v>
      </c>
      <c r="W1828" s="54">
        <v>1000</v>
      </c>
    </row>
    <row r="1829" spans="1:23" outlineLevel="2" x14ac:dyDescent="0.2">
      <c r="A1829" s="21" t="s">
        <v>999</v>
      </c>
      <c r="B1829" s="21" t="s">
        <v>39</v>
      </c>
      <c r="C1829" s="21" t="s">
        <v>58</v>
      </c>
      <c r="D1829" s="21" t="s">
        <v>137</v>
      </c>
      <c r="E1829" s="21" t="s">
        <v>138</v>
      </c>
      <c r="F1829" s="21" t="s">
        <v>837</v>
      </c>
      <c r="G1829" s="21" t="s">
        <v>838</v>
      </c>
      <c r="H1829" s="21" t="s">
        <v>852</v>
      </c>
      <c r="I1829" s="21" t="s">
        <v>853</v>
      </c>
      <c r="J1829" s="21" t="s">
        <v>1000</v>
      </c>
      <c r="K1829" s="21" t="s">
        <v>1039</v>
      </c>
      <c r="L1829" s="21" t="s">
        <v>1067</v>
      </c>
      <c r="M1829" s="21" t="s">
        <v>12</v>
      </c>
      <c r="N1829" s="54">
        <v>2000</v>
      </c>
      <c r="O1829" s="54">
        <v>0</v>
      </c>
      <c r="P1829" s="54">
        <v>0</v>
      </c>
      <c r="Q1829" s="54">
        <v>2000</v>
      </c>
      <c r="R1829" s="54">
        <v>0</v>
      </c>
      <c r="S1829" s="54">
        <v>0</v>
      </c>
      <c r="T1829" s="54">
        <v>0</v>
      </c>
      <c r="U1829" s="54">
        <v>2000</v>
      </c>
      <c r="V1829" s="54">
        <v>2000</v>
      </c>
      <c r="W1829" s="54">
        <v>2000</v>
      </c>
    </row>
    <row r="1830" spans="1:23" outlineLevel="2" x14ac:dyDescent="0.2">
      <c r="A1830" s="21" t="s">
        <v>999</v>
      </c>
      <c r="B1830" s="21" t="s">
        <v>39</v>
      </c>
      <c r="C1830" s="21" t="s">
        <v>58</v>
      </c>
      <c r="D1830" s="21" t="s">
        <v>147</v>
      </c>
      <c r="E1830" s="21" t="s">
        <v>148</v>
      </c>
      <c r="F1830" s="21" t="s">
        <v>837</v>
      </c>
      <c r="G1830" s="21" t="s">
        <v>838</v>
      </c>
      <c r="H1830" s="21" t="s">
        <v>852</v>
      </c>
      <c r="I1830" s="21" t="s">
        <v>853</v>
      </c>
      <c r="J1830" s="21" t="s">
        <v>1000</v>
      </c>
      <c r="K1830" s="21" t="s">
        <v>1039</v>
      </c>
      <c r="L1830" s="21" t="s">
        <v>1067</v>
      </c>
      <c r="M1830" s="21" t="s">
        <v>12</v>
      </c>
      <c r="N1830" s="54">
        <v>6000</v>
      </c>
      <c r="O1830" s="54">
        <v>0</v>
      </c>
      <c r="P1830" s="54">
        <v>0</v>
      </c>
      <c r="Q1830" s="54">
        <v>6000</v>
      </c>
      <c r="R1830" s="54">
        <v>0</v>
      </c>
      <c r="S1830" s="54">
        <v>0</v>
      </c>
      <c r="T1830" s="54">
        <v>0</v>
      </c>
      <c r="U1830" s="54">
        <v>6000</v>
      </c>
      <c r="V1830" s="54">
        <v>6000</v>
      </c>
      <c r="W1830" s="54">
        <v>6000</v>
      </c>
    </row>
    <row r="1831" spans="1:23" outlineLevel="2" x14ac:dyDescent="0.2">
      <c r="A1831" s="21" t="s">
        <v>999</v>
      </c>
      <c r="B1831" s="21" t="s">
        <v>39</v>
      </c>
      <c r="C1831" s="21" t="s">
        <v>58</v>
      </c>
      <c r="D1831" s="21" t="s">
        <v>143</v>
      </c>
      <c r="E1831" s="21" t="s">
        <v>144</v>
      </c>
      <c r="F1831" s="21" t="s">
        <v>837</v>
      </c>
      <c r="G1831" s="21" t="s">
        <v>838</v>
      </c>
      <c r="H1831" s="21" t="s">
        <v>852</v>
      </c>
      <c r="I1831" s="21" t="s">
        <v>853</v>
      </c>
      <c r="J1831" s="21" t="s">
        <v>1000</v>
      </c>
      <c r="K1831" s="21" t="s">
        <v>1039</v>
      </c>
      <c r="L1831" s="21" t="s">
        <v>1067</v>
      </c>
      <c r="M1831" s="21" t="s">
        <v>12</v>
      </c>
      <c r="N1831" s="54">
        <v>28000</v>
      </c>
      <c r="O1831" s="54">
        <v>-8553</v>
      </c>
      <c r="P1831" s="54">
        <v>0</v>
      </c>
      <c r="Q1831" s="54">
        <v>19447</v>
      </c>
      <c r="R1831" s="54">
        <v>0</v>
      </c>
      <c r="S1831" s="54">
        <v>19447</v>
      </c>
      <c r="T1831" s="54">
        <v>19447</v>
      </c>
      <c r="U1831" s="54">
        <v>0</v>
      </c>
      <c r="V1831" s="54">
        <v>0</v>
      </c>
      <c r="W1831" s="54">
        <v>0</v>
      </c>
    </row>
    <row r="1832" spans="1:23" outlineLevel="2" x14ac:dyDescent="0.2">
      <c r="A1832" s="21" t="s">
        <v>999</v>
      </c>
      <c r="B1832" s="21" t="s">
        <v>39</v>
      </c>
      <c r="C1832" s="21" t="s">
        <v>58</v>
      </c>
      <c r="D1832" s="21" t="s">
        <v>149</v>
      </c>
      <c r="E1832" s="21" t="s">
        <v>150</v>
      </c>
      <c r="F1832" s="21" t="s">
        <v>837</v>
      </c>
      <c r="G1832" s="21" t="s">
        <v>838</v>
      </c>
      <c r="H1832" s="21" t="s">
        <v>852</v>
      </c>
      <c r="I1832" s="21" t="s">
        <v>853</v>
      </c>
      <c r="J1832" s="21" t="s">
        <v>1000</v>
      </c>
      <c r="K1832" s="21" t="s">
        <v>1039</v>
      </c>
      <c r="L1832" s="21" t="s">
        <v>1067</v>
      </c>
      <c r="M1832" s="21" t="s">
        <v>12</v>
      </c>
      <c r="N1832" s="54">
        <v>7000</v>
      </c>
      <c r="O1832" s="54">
        <v>0</v>
      </c>
      <c r="P1832" s="54">
        <v>0</v>
      </c>
      <c r="Q1832" s="54">
        <v>7000</v>
      </c>
      <c r="R1832" s="54">
        <v>0</v>
      </c>
      <c r="S1832" s="54">
        <v>0</v>
      </c>
      <c r="T1832" s="54">
        <v>0</v>
      </c>
      <c r="U1832" s="54">
        <v>7000</v>
      </c>
      <c r="V1832" s="54">
        <v>7000</v>
      </c>
      <c r="W1832" s="54">
        <v>7000</v>
      </c>
    </row>
    <row r="1833" spans="1:23" outlineLevel="2" x14ac:dyDescent="0.2">
      <c r="A1833" s="21" t="s">
        <v>999</v>
      </c>
      <c r="B1833" s="21" t="s">
        <v>39</v>
      </c>
      <c r="C1833" s="21" t="s">
        <v>58</v>
      </c>
      <c r="D1833" s="21" t="s">
        <v>143</v>
      </c>
      <c r="E1833" s="21" t="s">
        <v>144</v>
      </c>
      <c r="F1833" s="21" t="s">
        <v>837</v>
      </c>
      <c r="G1833" s="21" t="s">
        <v>838</v>
      </c>
      <c r="H1833" s="21" t="s">
        <v>852</v>
      </c>
      <c r="I1833" s="21" t="s">
        <v>853</v>
      </c>
      <c r="J1833" s="21" t="s">
        <v>1000</v>
      </c>
      <c r="K1833" s="21" t="s">
        <v>1108</v>
      </c>
      <c r="L1833" s="21" t="s">
        <v>1109</v>
      </c>
      <c r="M1833" s="21" t="s">
        <v>12</v>
      </c>
      <c r="N1833" s="54">
        <v>0</v>
      </c>
      <c r="O1833" s="54">
        <v>150999.76</v>
      </c>
      <c r="P1833" s="54">
        <v>0</v>
      </c>
      <c r="Q1833" s="54">
        <v>150999.76</v>
      </c>
      <c r="R1833" s="54">
        <v>0</v>
      </c>
      <c r="S1833" s="54">
        <v>128910.6</v>
      </c>
      <c r="T1833" s="54">
        <v>0</v>
      </c>
      <c r="U1833" s="54">
        <v>22089.16</v>
      </c>
      <c r="V1833" s="54">
        <v>150999.76</v>
      </c>
      <c r="W1833" s="54">
        <v>22089.16</v>
      </c>
    </row>
    <row r="1834" spans="1:23" outlineLevel="2" x14ac:dyDescent="0.2">
      <c r="A1834" s="21" t="s">
        <v>999</v>
      </c>
      <c r="B1834" s="21" t="s">
        <v>39</v>
      </c>
      <c r="C1834" s="21" t="s">
        <v>58</v>
      </c>
      <c r="D1834" s="21" t="s">
        <v>129</v>
      </c>
      <c r="E1834" s="21" t="s">
        <v>130</v>
      </c>
      <c r="F1834" s="21" t="s">
        <v>837</v>
      </c>
      <c r="G1834" s="21" t="s">
        <v>838</v>
      </c>
      <c r="H1834" s="21" t="s">
        <v>852</v>
      </c>
      <c r="I1834" s="21" t="s">
        <v>853</v>
      </c>
      <c r="J1834" s="21" t="s">
        <v>1000</v>
      </c>
      <c r="K1834" s="21" t="s">
        <v>1108</v>
      </c>
      <c r="L1834" s="21" t="s">
        <v>1109</v>
      </c>
      <c r="M1834" s="21" t="s">
        <v>12</v>
      </c>
      <c r="N1834" s="54">
        <v>25000</v>
      </c>
      <c r="O1834" s="54">
        <v>0</v>
      </c>
      <c r="P1834" s="54">
        <v>0</v>
      </c>
      <c r="Q1834" s="54">
        <v>25000</v>
      </c>
      <c r="R1834" s="54">
        <v>0</v>
      </c>
      <c r="S1834" s="54">
        <v>23506.560000000001</v>
      </c>
      <c r="T1834" s="54">
        <v>7835.52</v>
      </c>
      <c r="U1834" s="54">
        <v>1493.44</v>
      </c>
      <c r="V1834" s="54">
        <v>17164.48</v>
      </c>
      <c r="W1834" s="54">
        <v>1493.44</v>
      </c>
    </row>
    <row r="1835" spans="1:23" outlineLevel="2" x14ac:dyDescent="0.2">
      <c r="A1835" s="21" t="s">
        <v>999</v>
      </c>
      <c r="B1835" s="21" t="s">
        <v>39</v>
      </c>
      <c r="C1835" s="21" t="s">
        <v>58</v>
      </c>
      <c r="D1835" s="21" t="s">
        <v>129</v>
      </c>
      <c r="E1835" s="21" t="s">
        <v>130</v>
      </c>
      <c r="F1835" s="21" t="s">
        <v>837</v>
      </c>
      <c r="G1835" s="21" t="s">
        <v>838</v>
      </c>
      <c r="H1835" s="21" t="s">
        <v>852</v>
      </c>
      <c r="I1835" s="21" t="s">
        <v>853</v>
      </c>
      <c r="J1835" s="21" t="s">
        <v>1000</v>
      </c>
      <c r="K1835" s="21" t="s">
        <v>1110</v>
      </c>
      <c r="L1835" s="21" t="s">
        <v>1111</v>
      </c>
      <c r="M1835" s="21" t="s">
        <v>12</v>
      </c>
      <c r="N1835" s="54">
        <v>5000</v>
      </c>
      <c r="O1835" s="54">
        <v>0</v>
      </c>
      <c r="P1835" s="54">
        <v>0</v>
      </c>
      <c r="Q1835" s="54">
        <v>5000</v>
      </c>
      <c r="R1835" s="54">
        <v>0</v>
      </c>
      <c r="S1835" s="54">
        <v>4859.8999999999996</v>
      </c>
      <c r="T1835" s="54">
        <v>1619.96</v>
      </c>
      <c r="U1835" s="54">
        <v>140.1</v>
      </c>
      <c r="V1835" s="54">
        <v>3380.04</v>
      </c>
      <c r="W1835" s="54">
        <v>140.1</v>
      </c>
    </row>
    <row r="1836" spans="1:23" outlineLevel="2" x14ac:dyDescent="0.2">
      <c r="A1836" s="21" t="s">
        <v>999</v>
      </c>
      <c r="B1836" s="21" t="s">
        <v>39</v>
      </c>
      <c r="C1836" s="21" t="s">
        <v>58</v>
      </c>
      <c r="D1836" s="21" t="s">
        <v>135</v>
      </c>
      <c r="E1836" s="21" t="s">
        <v>136</v>
      </c>
      <c r="F1836" s="21" t="s">
        <v>837</v>
      </c>
      <c r="G1836" s="21" t="s">
        <v>838</v>
      </c>
      <c r="H1836" s="21" t="s">
        <v>852</v>
      </c>
      <c r="I1836" s="21" t="s">
        <v>853</v>
      </c>
      <c r="J1836" s="21" t="s">
        <v>1000</v>
      </c>
      <c r="K1836" s="21" t="s">
        <v>1068</v>
      </c>
      <c r="L1836" s="21" t="s">
        <v>1069</v>
      </c>
      <c r="M1836" s="21" t="s">
        <v>12</v>
      </c>
      <c r="N1836" s="54">
        <v>500</v>
      </c>
      <c r="O1836" s="54">
        <v>0</v>
      </c>
      <c r="P1836" s="54">
        <v>0</v>
      </c>
      <c r="Q1836" s="54">
        <v>500</v>
      </c>
      <c r="R1836" s="54">
        <v>0</v>
      </c>
      <c r="S1836" s="54">
        <v>0</v>
      </c>
      <c r="T1836" s="54">
        <v>0</v>
      </c>
      <c r="U1836" s="54">
        <v>500</v>
      </c>
      <c r="V1836" s="54">
        <v>500</v>
      </c>
      <c r="W1836" s="54">
        <v>500</v>
      </c>
    </row>
    <row r="1837" spans="1:23" outlineLevel="2" x14ac:dyDescent="0.2">
      <c r="A1837" s="21" t="s">
        <v>999</v>
      </c>
      <c r="B1837" s="21" t="s">
        <v>39</v>
      </c>
      <c r="C1837" s="21" t="s">
        <v>58</v>
      </c>
      <c r="D1837" s="21" t="s">
        <v>147</v>
      </c>
      <c r="E1837" s="21" t="s">
        <v>148</v>
      </c>
      <c r="F1837" s="21" t="s">
        <v>837</v>
      </c>
      <c r="G1837" s="21" t="s">
        <v>838</v>
      </c>
      <c r="H1837" s="21" t="s">
        <v>852</v>
      </c>
      <c r="I1837" s="21" t="s">
        <v>853</v>
      </c>
      <c r="J1837" s="21" t="s">
        <v>1000</v>
      </c>
      <c r="K1837" s="21" t="s">
        <v>1003</v>
      </c>
      <c r="L1837" s="21" t="s">
        <v>1112</v>
      </c>
      <c r="M1837" s="21" t="s">
        <v>12</v>
      </c>
      <c r="N1837" s="54">
        <v>6000</v>
      </c>
      <c r="O1837" s="54">
        <v>0</v>
      </c>
      <c r="P1837" s="54">
        <v>0</v>
      </c>
      <c r="Q1837" s="54">
        <v>6000</v>
      </c>
      <c r="R1837" s="54">
        <v>0</v>
      </c>
      <c r="S1837" s="54">
        <v>0</v>
      </c>
      <c r="T1837" s="54">
        <v>0</v>
      </c>
      <c r="U1837" s="54">
        <v>6000</v>
      </c>
      <c r="V1837" s="54">
        <v>6000</v>
      </c>
      <c r="W1837" s="54">
        <v>6000</v>
      </c>
    </row>
    <row r="1838" spans="1:23" outlineLevel="2" x14ac:dyDescent="0.2">
      <c r="A1838" s="21" t="s">
        <v>999</v>
      </c>
      <c r="B1838" s="21" t="s">
        <v>39</v>
      </c>
      <c r="C1838" s="21" t="s">
        <v>58</v>
      </c>
      <c r="D1838" s="21" t="s">
        <v>143</v>
      </c>
      <c r="E1838" s="21" t="s">
        <v>144</v>
      </c>
      <c r="F1838" s="21" t="s">
        <v>837</v>
      </c>
      <c r="G1838" s="21" t="s">
        <v>838</v>
      </c>
      <c r="H1838" s="21" t="s">
        <v>852</v>
      </c>
      <c r="I1838" s="21" t="s">
        <v>853</v>
      </c>
      <c r="J1838" s="21" t="s">
        <v>1000</v>
      </c>
      <c r="K1838" s="21" t="s">
        <v>1003</v>
      </c>
      <c r="L1838" s="21" t="s">
        <v>1112</v>
      </c>
      <c r="M1838" s="21" t="s">
        <v>12</v>
      </c>
      <c r="N1838" s="54">
        <v>80000</v>
      </c>
      <c r="O1838" s="54">
        <v>-49524</v>
      </c>
      <c r="P1838" s="54">
        <v>0</v>
      </c>
      <c r="Q1838" s="54">
        <v>30476</v>
      </c>
      <c r="R1838" s="54">
        <v>29979.81</v>
      </c>
      <c r="S1838" s="54">
        <v>476</v>
      </c>
      <c r="T1838" s="54">
        <v>476</v>
      </c>
      <c r="U1838" s="54">
        <v>30000</v>
      </c>
      <c r="V1838" s="54">
        <v>30000</v>
      </c>
      <c r="W1838" s="54">
        <v>20.190000000000001</v>
      </c>
    </row>
    <row r="1839" spans="1:23" outlineLevel="2" x14ac:dyDescent="0.2">
      <c r="A1839" s="21" t="s">
        <v>999</v>
      </c>
      <c r="B1839" s="21" t="s">
        <v>39</v>
      </c>
      <c r="C1839" s="21" t="s">
        <v>58</v>
      </c>
      <c r="D1839" s="21" t="s">
        <v>59</v>
      </c>
      <c r="E1839" s="21" t="s">
        <v>60</v>
      </c>
      <c r="F1839" s="21" t="s">
        <v>837</v>
      </c>
      <c r="G1839" s="21" t="s">
        <v>838</v>
      </c>
      <c r="H1839" s="21" t="s">
        <v>852</v>
      </c>
      <c r="I1839" s="21" t="s">
        <v>853</v>
      </c>
      <c r="J1839" s="21" t="s">
        <v>1000</v>
      </c>
      <c r="K1839" s="21" t="s">
        <v>1003</v>
      </c>
      <c r="L1839" s="21" t="s">
        <v>1112</v>
      </c>
      <c r="M1839" s="21" t="s">
        <v>12</v>
      </c>
      <c r="N1839" s="54">
        <v>6400</v>
      </c>
      <c r="O1839" s="54">
        <v>0</v>
      </c>
      <c r="P1839" s="54">
        <v>0</v>
      </c>
      <c r="Q1839" s="54">
        <v>6400</v>
      </c>
      <c r="R1839" s="54">
        <v>0</v>
      </c>
      <c r="S1839" s="54">
        <v>0</v>
      </c>
      <c r="T1839" s="54">
        <v>0</v>
      </c>
      <c r="U1839" s="54">
        <v>6400</v>
      </c>
      <c r="V1839" s="54">
        <v>6400</v>
      </c>
      <c r="W1839" s="54">
        <v>6400</v>
      </c>
    </row>
    <row r="1840" spans="1:23" outlineLevel="2" x14ac:dyDescent="0.2">
      <c r="A1840" s="21" t="s">
        <v>999</v>
      </c>
      <c r="B1840" s="21" t="s">
        <v>39</v>
      </c>
      <c r="C1840" s="21" t="s">
        <v>58</v>
      </c>
      <c r="D1840" s="21" t="s">
        <v>135</v>
      </c>
      <c r="E1840" s="21" t="s">
        <v>136</v>
      </c>
      <c r="F1840" s="21" t="s">
        <v>837</v>
      </c>
      <c r="G1840" s="21" t="s">
        <v>838</v>
      </c>
      <c r="H1840" s="21" t="s">
        <v>852</v>
      </c>
      <c r="I1840" s="21" t="s">
        <v>853</v>
      </c>
      <c r="J1840" s="21" t="s">
        <v>1000</v>
      </c>
      <c r="K1840" s="21" t="s">
        <v>1003</v>
      </c>
      <c r="L1840" s="21" t="s">
        <v>1112</v>
      </c>
      <c r="M1840" s="21" t="s">
        <v>12</v>
      </c>
      <c r="N1840" s="54">
        <v>3000</v>
      </c>
      <c r="O1840" s="54">
        <v>0</v>
      </c>
      <c r="P1840" s="54">
        <v>0</v>
      </c>
      <c r="Q1840" s="54">
        <v>3000</v>
      </c>
      <c r="R1840" s="54">
        <v>0</v>
      </c>
      <c r="S1840" s="54">
        <v>0</v>
      </c>
      <c r="T1840" s="54">
        <v>0</v>
      </c>
      <c r="U1840" s="54">
        <v>3000</v>
      </c>
      <c r="V1840" s="54">
        <v>3000</v>
      </c>
      <c r="W1840" s="54">
        <v>3000</v>
      </c>
    </row>
    <row r="1841" spans="1:23" outlineLevel="2" x14ac:dyDescent="0.2">
      <c r="A1841" s="21" t="s">
        <v>999</v>
      </c>
      <c r="B1841" s="21" t="s">
        <v>39</v>
      </c>
      <c r="C1841" s="21" t="s">
        <v>58</v>
      </c>
      <c r="D1841" s="21" t="s">
        <v>145</v>
      </c>
      <c r="E1841" s="21" t="s">
        <v>146</v>
      </c>
      <c r="F1841" s="21" t="s">
        <v>837</v>
      </c>
      <c r="G1841" s="21" t="s">
        <v>838</v>
      </c>
      <c r="H1841" s="21" t="s">
        <v>852</v>
      </c>
      <c r="I1841" s="21" t="s">
        <v>853</v>
      </c>
      <c r="J1841" s="21" t="s">
        <v>1000</v>
      </c>
      <c r="K1841" s="21" t="s">
        <v>1003</v>
      </c>
      <c r="L1841" s="21" t="s">
        <v>1112</v>
      </c>
      <c r="M1841" s="21" t="s">
        <v>12</v>
      </c>
      <c r="N1841" s="54">
        <v>7500</v>
      </c>
      <c r="O1841" s="54">
        <v>0</v>
      </c>
      <c r="P1841" s="54">
        <v>0</v>
      </c>
      <c r="Q1841" s="54">
        <v>7500</v>
      </c>
      <c r="R1841" s="54">
        <v>0</v>
      </c>
      <c r="S1841" s="54">
        <v>0</v>
      </c>
      <c r="T1841" s="54">
        <v>0</v>
      </c>
      <c r="U1841" s="54">
        <v>7500</v>
      </c>
      <c r="V1841" s="54">
        <v>7500</v>
      </c>
      <c r="W1841" s="54">
        <v>7500</v>
      </c>
    </row>
    <row r="1842" spans="1:23" outlineLevel="2" x14ac:dyDescent="0.2">
      <c r="A1842" s="21" t="s">
        <v>999</v>
      </c>
      <c r="B1842" s="21" t="s">
        <v>39</v>
      </c>
      <c r="C1842" s="21" t="s">
        <v>58</v>
      </c>
      <c r="D1842" s="21" t="s">
        <v>129</v>
      </c>
      <c r="E1842" s="21" t="s">
        <v>130</v>
      </c>
      <c r="F1842" s="21" t="s">
        <v>837</v>
      </c>
      <c r="G1842" s="21" t="s">
        <v>838</v>
      </c>
      <c r="H1842" s="21" t="s">
        <v>852</v>
      </c>
      <c r="I1842" s="21" t="s">
        <v>853</v>
      </c>
      <c r="J1842" s="21" t="s">
        <v>1000</v>
      </c>
      <c r="K1842" s="21" t="s">
        <v>1003</v>
      </c>
      <c r="L1842" s="21" t="s">
        <v>1112</v>
      </c>
      <c r="M1842" s="21" t="s">
        <v>12</v>
      </c>
      <c r="N1842" s="54">
        <v>3000</v>
      </c>
      <c r="O1842" s="54">
        <v>14000</v>
      </c>
      <c r="P1842" s="54">
        <v>0</v>
      </c>
      <c r="Q1842" s="54">
        <v>17000</v>
      </c>
      <c r="R1842" s="54">
        <v>0</v>
      </c>
      <c r="S1842" s="54">
        <v>0</v>
      </c>
      <c r="T1842" s="54">
        <v>0</v>
      </c>
      <c r="U1842" s="54">
        <v>17000</v>
      </c>
      <c r="V1842" s="54">
        <v>17000</v>
      </c>
      <c r="W1842" s="54">
        <v>17000</v>
      </c>
    </row>
    <row r="1843" spans="1:23" outlineLevel="2" x14ac:dyDescent="0.2">
      <c r="A1843" s="21" t="s">
        <v>999</v>
      </c>
      <c r="B1843" s="21" t="s">
        <v>39</v>
      </c>
      <c r="C1843" s="21" t="s">
        <v>58</v>
      </c>
      <c r="D1843" s="21" t="s">
        <v>149</v>
      </c>
      <c r="E1843" s="21" t="s">
        <v>150</v>
      </c>
      <c r="F1843" s="21" t="s">
        <v>837</v>
      </c>
      <c r="G1843" s="21" t="s">
        <v>838</v>
      </c>
      <c r="H1843" s="21" t="s">
        <v>852</v>
      </c>
      <c r="I1843" s="21" t="s">
        <v>853</v>
      </c>
      <c r="J1843" s="21" t="s">
        <v>1000</v>
      </c>
      <c r="K1843" s="21" t="s">
        <v>1003</v>
      </c>
      <c r="L1843" s="21" t="s">
        <v>1112</v>
      </c>
      <c r="M1843" s="21" t="s">
        <v>12</v>
      </c>
      <c r="N1843" s="54">
        <v>10000</v>
      </c>
      <c r="O1843" s="54">
        <v>0</v>
      </c>
      <c r="P1843" s="54">
        <v>0</v>
      </c>
      <c r="Q1843" s="54">
        <v>10000</v>
      </c>
      <c r="R1843" s="54">
        <v>0</v>
      </c>
      <c r="S1843" s="54">
        <v>0</v>
      </c>
      <c r="T1843" s="54">
        <v>0</v>
      </c>
      <c r="U1843" s="54">
        <v>10000</v>
      </c>
      <c r="V1843" s="54">
        <v>10000</v>
      </c>
      <c r="W1843" s="54">
        <v>10000</v>
      </c>
    </row>
    <row r="1844" spans="1:23" outlineLevel="2" x14ac:dyDescent="0.2">
      <c r="A1844" s="21" t="s">
        <v>999</v>
      </c>
      <c r="B1844" s="21" t="s">
        <v>39</v>
      </c>
      <c r="C1844" s="21" t="s">
        <v>58</v>
      </c>
      <c r="D1844" s="21" t="s">
        <v>137</v>
      </c>
      <c r="E1844" s="21" t="s">
        <v>138</v>
      </c>
      <c r="F1844" s="21" t="s">
        <v>837</v>
      </c>
      <c r="G1844" s="21" t="s">
        <v>838</v>
      </c>
      <c r="H1844" s="21" t="s">
        <v>852</v>
      </c>
      <c r="I1844" s="21" t="s">
        <v>853</v>
      </c>
      <c r="J1844" s="21" t="s">
        <v>1000</v>
      </c>
      <c r="K1844" s="21" t="s">
        <v>1003</v>
      </c>
      <c r="L1844" s="21" t="s">
        <v>1112</v>
      </c>
      <c r="M1844" s="21" t="s">
        <v>12</v>
      </c>
      <c r="N1844" s="54">
        <v>2000</v>
      </c>
      <c r="O1844" s="54">
        <v>0</v>
      </c>
      <c r="P1844" s="54">
        <v>0</v>
      </c>
      <c r="Q1844" s="54">
        <v>2000</v>
      </c>
      <c r="R1844" s="54">
        <v>0</v>
      </c>
      <c r="S1844" s="54">
        <v>0</v>
      </c>
      <c r="T1844" s="54">
        <v>0</v>
      </c>
      <c r="U1844" s="54">
        <v>2000</v>
      </c>
      <c r="V1844" s="54">
        <v>2000</v>
      </c>
      <c r="W1844" s="54">
        <v>2000</v>
      </c>
    </row>
    <row r="1845" spans="1:23" outlineLevel="2" x14ac:dyDescent="0.2">
      <c r="A1845" s="21" t="s">
        <v>999</v>
      </c>
      <c r="B1845" s="21" t="s">
        <v>39</v>
      </c>
      <c r="C1845" s="21" t="s">
        <v>58</v>
      </c>
      <c r="D1845" s="21" t="s">
        <v>139</v>
      </c>
      <c r="E1845" s="21" t="s">
        <v>140</v>
      </c>
      <c r="F1845" s="21" t="s">
        <v>837</v>
      </c>
      <c r="G1845" s="21" t="s">
        <v>838</v>
      </c>
      <c r="H1845" s="21" t="s">
        <v>852</v>
      </c>
      <c r="I1845" s="21" t="s">
        <v>853</v>
      </c>
      <c r="J1845" s="21" t="s">
        <v>1000</v>
      </c>
      <c r="K1845" s="21" t="s">
        <v>1003</v>
      </c>
      <c r="L1845" s="21" t="s">
        <v>1112</v>
      </c>
      <c r="M1845" s="21" t="s">
        <v>12</v>
      </c>
      <c r="N1845" s="54">
        <v>52000</v>
      </c>
      <c r="O1845" s="54">
        <v>0</v>
      </c>
      <c r="P1845" s="54">
        <v>0</v>
      </c>
      <c r="Q1845" s="54">
        <v>52000</v>
      </c>
      <c r="R1845" s="54">
        <v>0</v>
      </c>
      <c r="S1845" s="54">
        <v>0</v>
      </c>
      <c r="T1845" s="54">
        <v>0</v>
      </c>
      <c r="U1845" s="54">
        <v>52000</v>
      </c>
      <c r="V1845" s="54">
        <v>52000</v>
      </c>
      <c r="W1845" s="54">
        <v>52000</v>
      </c>
    </row>
    <row r="1846" spans="1:23" outlineLevel="2" x14ac:dyDescent="0.2">
      <c r="A1846" s="21" t="s">
        <v>999</v>
      </c>
      <c r="B1846" s="21" t="s">
        <v>39</v>
      </c>
      <c r="C1846" s="21" t="s">
        <v>58</v>
      </c>
      <c r="D1846" s="21" t="s">
        <v>143</v>
      </c>
      <c r="E1846" s="21" t="s">
        <v>144</v>
      </c>
      <c r="F1846" s="21" t="s">
        <v>837</v>
      </c>
      <c r="G1846" s="21" t="s">
        <v>838</v>
      </c>
      <c r="H1846" s="21" t="s">
        <v>852</v>
      </c>
      <c r="I1846" s="21" t="s">
        <v>853</v>
      </c>
      <c r="J1846" s="21" t="s">
        <v>1000</v>
      </c>
      <c r="K1846" s="21" t="s">
        <v>1113</v>
      </c>
      <c r="L1846" s="21" t="s">
        <v>1114</v>
      </c>
      <c r="M1846" s="21" t="s">
        <v>12</v>
      </c>
      <c r="N1846" s="54">
        <v>20000</v>
      </c>
      <c r="O1846" s="54">
        <v>-20000</v>
      </c>
      <c r="P1846" s="54">
        <v>0</v>
      </c>
      <c r="Q1846" s="54">
        <v>0</v>
      </c>
      <c r="R1846" s="54">
        <v>0</v>
      </c>
      <c r="S1846" s="54">
        <v>0</v>
      </c>
      <c r="T1846" s="54">
        <v>0</v>
      </c>
      <c r="U1846" s="54">
        <v>0</v>
      </c>
      <c r="V1846" s="54">
        <v>0</v>
      </c>
      <c r="W1846" s="54">
        <v>0</v>
      </c>
    </row>
    <row r="1847" spans="1:23" outlineLevel="2" x14ac:dyDescent="0.2">
      <c r="A1847" s="21" t="s">
        <v>999</v>
      </c>
      <c r="B1847" s="21" t="s">
        <v>39</v>
      </c>
      <c r="C1847" s="21" t="s">
        <v>58</v>
      </c>
      <c r="D1847" s="21" t="s">
        <v>145</v>
      </c>
      <c r="E1847" s="21" t="s">
        <v>146</v>
      </c>
      <c r="F1847" s="21" t="s">
        <v>837</v>
      </c>
      <c r="G1847" s="21" t="s">
        <v>838</v>
      </c>
      <c r="H1847" s="21" t="s">
        <v>852</v>
      </c>
      <c r="I1847" s="21" t="s">
        <v>853</v>
      </c>
      <c r="J1847" s="21" t="s">
        <v>1000</v>
      </c>
      <c r="K1847" s="21" t="s">
        <v>1009</v>
      </c>
      <c r="L1847" s="21" t="s">
        <v>1115</v>
      </c>
      <c r="M1847" s="21" t="s">
        <v>12</v>
      </c>
      <c r="N1847" s="54">
        <v>1500</v>
      </c>
      <c r="O1847" s="54">
        <v>0</v>
      </c>
      <c r="P1847" s="54">
        <v>0</v>
      </c>
      <c r="Q1847" s="54">
        <v>1500</v>
      </c>
      <c r="R1847" s="54">
        <v>0</v>
      </c>
      <c r="S1847" s="54">
        <v>0</v>
      </c>
      <c r="T1847" s="54">
        <v>0</v>
      </c>
      <c r="U1847" s="54">
        <v>1500</v>
      </c>
      <c r="V1847" s="54">
        <v>1500</v>
      </c>
      <c r="W1847" s="54">
        <v>1500</v>
      </c>
    </row>
    <row r="1848" spans="1:23" outlineLevel="2" x14ac:dyDescent="0.2">
      <c r="A1848" s="21" t="s">
        <v>999</v>
      </c>
      <c r="B1848" s="21" t="s">
        <v>39</v>
      </c>
      <c r="C1848" s="21" t="s">
        <v>58</v>
      </c>
      <c r="D1848" s="21" t="s">
        <v>149</v>
      </c>
      <c r="E1848" s="21" t="s">
        <v>150</v>
      </c>
      <c r="F1848" s="21" t="s">
        <v>837</v>
      </c>
      <c r="G1848" s="21" t="s">
        <v>838</v>
      </c>
      <c r="H1848" s="21" t="s">
        <v>852</v>
      </c>
      <c r="I1848" s="21" t="s">
        <v>853</v>
      </c>
      <c r="J1848" s="21" t="s">
        <v>1000</v>
      </c>
      <c r="K1848" s="21" t="s">
        <v>1009</v>
      </c>
      <c r="L1848" s="21" t="s">
        <v>1115</v>
      </c>
      <c r="M1848" s="21" t="s">
        <v>12</v>
      </c>
      <c r="N1848" s="54">
        <v>844</v>
      </c>
      <c r="O1848" s="54">
        <v>0</v>
      </c>
      <c r="P1848" s="54">
        <v>0</v>
      </c>
      <c r="Q1848" s="54">
        <v>844</v>
      </c>
      <c r="R1848" s="54">
        <v>0</v>
      </c>
      <c r="S1848" s="54">
        <v>0</v>
      </c>
      <c r="T1848" s="54">
        <v>0</v>
      </c>
      <c r="U1848" s="54">
        <v>844</v>
      </c>
      <c r="V1848" s="54">
        <v>844</v>
      </c>
      <c r="W1848" s="54">
        <v>844</v>
      </c>
    </row>
    <row r="1849" spans="1:23" outlineLevel="2" x14ac:dyDescent="0.2">
      <c r="A1849" s="21" t="s">
        <v>999</v>
      </c>
      <c r="B1849" s="21" t="s">
        <v>39</v>
      </c>
      <c r="C1849" s="21" t="s">
        <v>58</v>
      </c>
      <c r="D1849" s="21" t="s">
        <v>137</v>
      </c>
      <c r="E1849" s="21" t="s">
        <v>138</v>
      </c>
      <c r="F1849" s="21" t="s">
        <v>837</v>
      </c>
      <c r="G1849" s="21" t="s">
        <v>838</v>
      </c>
      <c r="H1849" s="21" t="s">
        <v>852</v>
      </c>
      <c r="I1849" s="21" t="s">
        <v>853</v>
      </c>
      <c r="J1849" s="21" t="s">
        <v>1000</v>
      </c>
      <c r="K1849" s="21" t="s">
        <v>1009</v>
      </c>
      <c r="L1849" s="21" t="s">
        <v>1115</v>
      </c>
      <c r="M1849" s="21" t="s">
        <v>12</v>
      </c>
      <c r="N1849" s="54">
        <v>2000</v>
      </c>
      <c r="O1849" s="54">
        <v>0</v>
      </c>
      <c r="P1849" s="54">
        <v>0</v>
      </c>
      <c r="Q1849" s="54">
        <v>2000</v>
      </c>
      <c r="R1849" s="54">
        <v>0</v>
      </c>
      <c r="S1849" s="54">
        <v>0</v>
      </c>
      <c r="T1849" s="54">
        <v>0</v>
      </c>
      <c r="U1849" s="54">
        <v>2000</v>
      </c>
      <c r="V1849" s="54">
        <v>2000</v>
      </c>
      <c r="W1849" s="54">
        <v>2000</v>
      </c>
    </row>
    <row r="1850" spans="1:23" outlineLevel="2" x14ac:dyDescent="0.2">
      <c r="A1850" s="21" t="s">
        <v>999</v>
      </c>
      <c r="B1850" s="21" t="s">
        <v>39</v>
      </c>
      <c r="C1850" s="21" t="s">
        <v>58</v>
      </c>
      <c r="D1850" s="21" t="s">
        <v>147</v>
      </c>
      <c r="E1850" s="21" t="s">
        <v>148</v>
      </c>
      <c r="F1850" s="21" t="s">
        <v>837</v>
      </c>
      <c r="G1850" s="21" t="s">
        <v>838</v>
      </c>
      <c r="H1850" s="21" t="s">
        <v>852</v>
      </c>
      <c r="I1850" s="21" t="s">
        <v>853</v>
      </c>
      <c r="J1850" s="21" t="s">
        <v>1000</v>
      </c>
      <c r="K1850" s="21" t="s">
        <v>1011</v>
      </c>
      <c r="L1850" s="21" t="s">
        <v>1073</v>
      </c>
      <c r="M1850" s="21" t="s">
        <v>12</v>
      </c>
      <c r="N1850" s="54">
        <v>800</v>
      </c>
      <c r="O1850" s="54">
        <v>0</v>
      </c>
      <c r="P1850" s="54">
        <v>0</v>
      </c>
      <c r="Q1850" s="54">
        <v>800</v>
      </c>
      <c r="R1850" s="54">
        <v>0</v>
      </c>
      <c r="S1850" s="54">
        <v>0</v>
      </c>
      <c r="T1850" s="54">
        <v>0</v>
      </c>
      <c r="U1850" s="54">
        <v>800</v>
      </c>
      <c r="V1850" s="54">
        <v>800</v>
      </c>
      <c r="W1850" s="54">
        <v>800</v>
      </c>
    </row>
    <row r="1851" spans="1:23" outlineLevel="2" x14ac:dyDescent="0.2">
      <c r="A1851" s="21" t="s">
        <v>999</v>
      </c>
      <c r="B1851" s="21" t="s">
        <v>39</v>
      </c>
      <c r="C1851" s="21" t="s">
        <v>58</v>
      </c>
      <c r="D1851" s="21" t="s">
        <v>105</v>
      </c>
      <c r="E1851" s="21" t="s">
        <v>106</v>
      </c>
      <c r="F1851" s="21" t="s">
        <v>837</v>
      </c>
      <c r="G1851" s="21" t="s">
        <v>838</v>
      </c>
      <c r="H1851" s="21" t="s">
        <v>852</v>
      </c>
      <c r="I1851" s="21" t="s">
        <v>853</v>
      </c>
      <c r="J1851" s="21" t="s">
        <v>1000</v>
      </c>
      <c r="K1851" s="21" t="s">
        <v>1017</v>
      </c>
      <c r="L1851" s="21" t="s">
        <v>1077</v>
      </c>
      <c r="M1851" s="21" t="s">
        <v>12</v>
      </c>
      <c r="N1851" s="54">
        <v>38845.800000000003</v>
      </c>
      <c r="O1851" s="54">
        <v>-9237.36</v>
      </c>
      <c r="P1851" s="54">
        <v>0</v>
      </c>
      <c r="Q1851" s="54">
        <v>29608.44</v>
      </c>
      <c r="R1851" s="54">
        <v>0</v>
      </c>
      <c r="S1851" s="54">
        <v>0</v>
      </c>
      <c r="T1851" s="54">
        <v>0</v>
      </c>
      <c r="U1851" s="54">
        <v>29608.44</v>
      </c>
      <c r="V1851" s="54">
        <v>29608.44</v>
      </c>
      <c r="W1851" s="54">
        <v>29608.44</v>
      </c>
    </row>
    <row r="1852" spans="1:23" outlineLevel="2" x14ac:dyDescent="0.2">
      <c r="A1852" s="21" t="s">
        <v>999</v>
      </c>
      <c r="B1852" s="21" t="s">
        <v>39</v>
      </c>
      <c r="C1852" s="21" t="s">
        <v>58</v>
      </c>
      <c r="D1852" s="21" t="s">
        <v>135</v>
      </c>
      <c r="E1852" s="21" t="s">
        <v>136</v>
      </c>
      <c r="F1852" s="21" t="s">
        <v>837</v>
      </c>
      <c r="G1852" s="21" t="s">
        <v>838</v>
      </c>
      <c r="H1852" s="21" t="s">
        <v>852</v>
      </c>
      <c r="I1852" s="21" t="s">
        <v>853</v>
      </c>
      <c r="J1852" s="21" t="s">
        <v>1000</v>
      </c>
      <c r="K1852" s="21" t="s">
        <v>1017</v>
      </c>
      <c r="L1852" s="21" t="s">
        <v>1077</v>
      </c>
      <c r="M1852" s="21" t="s">
        <v>12</v>
      </c>
      <c r="N1852" s="54">
        <v>100845.48</v>
      </c>
      <c r="O1852" s="54">
        <v>0</v>
      </c>
      <c r="P1852" s="54">
        <v>0</v>
      </c>
      <c r="Q1852" s="54">
        <v>100845.48</v>
      </c>
      <c r="R1852" s="54">
        <v>0</v>
      </c>
      <c r="S1852" s="54">
        <v>0</v>
      </c>
      <c r="T1852" s="54">
        <v>0</v>
      </c>
      <c r="U1852" s="54">
        <v>100845.48</v>
      </c>
      <c r="V1852" s="54">
        <v>100845.48</v>
      </c>
      <c r="W1852" s="54">
        <v>100845.48</v>
      </c>
    </row>
    <row r="1853" spans="1:23" outlineLevel="2" x14ac:dyDescent="0.2">
      <c r="A1853" s="21" t="s">
        <v>999</v>
      </c>
      <c r="B1853" s="21" t="s">
        <v>39</v>
      </c>
      <c r="C1853" s="21" t="s">
        <v>58</v>
      </c>
      <c r="D1853" s="21" t="s">
        <v>145</v>
      </c>
      <c r="E1853" s="21" t="s">
        <v>146</v>
      </c>
      <c r="F1853" s="21" t="s">
        <v>837</v>
      </c>
      <c r="G1853" s="21" t="s">
        <v>838</v>
      </c>
      <c r="H1853" s="21" t="s">
        <v>852</v>
      </c>
      <c r="I1853" s="21" t="s">
        <v>853</v>
      </c>
      <c r="J1853" s="21" t="s">
        <v>1000</v>
      </c>
      <c r="K1853" s="21" t="s">
        <v>1078</v>
      </c>
      <c r="L1853" s="21" t="s">
        <v>1079</v>
      </c>
      <c r="M1853" s="21" t="s">
        <v>12</v>
      </c>
      <c r="N1853" s="54">
        <v>11100</v>
      </c>
      <c r="O1853" s="54">
        <v>0</v>
      </c>
      <c r="P1853" s="54">
        <v>0</v>
      </c>
      <c r="Q1853" s="54">
        <v>11100</v>
      </c>
      <c r="R1853" s="54">
        <v>0</v>
      </c>
      <c r="S1853" s="54">
        <v>0</v>
      </c>
      <c r="T1853" s="54">
        <v>0</v>
      </c>
      <c r="U1853" s="54">
        <v>11100</v>
      </c>
      <c r="V1853" s="54">
        <v>11100</v>
      </c>
      <c r="W1853" s="54">
        <v>11100</v>
      </c>
    </row>
    <row r="1854" spans="1:23" outlineLevel="2" x14ac:dyDescent="0.2">
      <c r="A1854" s="21" t="s">
        <v>999</v>
      </c>
      <c r="B1854" s="21" t="s">
        <v>39</v>
      </c>
      <c r="C1854" s="21" t="s">
        <v>58</v>
      </c>
      <c r="D1854" s="21" t="s">
        <v>143</v>
      </c>
      <c r="E1854" s="21" t="s">
        <v>144</v>
      </c>
      <c r="F1854" s="21" t="s">
        <v>837</v>
      </c>
      <c r="G1854" s="21" t="s">
        <v>838</v>
      </c>
      <c r="H1854" s="21" t="s">
        <v>852</v>
      </c>
      <c r="I1854" s="21" t="s">
        <v>853</v>
      </c>
      <c r="J1854" s="21" t="s">
        <v>1000</v>
      </c>
      <c r="K1854" s="21" t="s">
        <v>1078</v>
      </c>
      <c r="L1854" s="21" t="s">
        <v>1079</v>
      </c>
      <c r="M1854" s="21" t="s">
        <v>12</v>
      </c>
      <c r="N1854" s="54">
        <v>17000</v>
      </c>
      <c r="O1854" s="54">
        <v>-17000</v>
      </c>
      <c r="P1854" s="54">
        <v>0</v>
      </c>
      <c r="Q1854" s="54">
        <v>0</v>
      </c>
      <c r="R1854" s="54">
        <v>0</v>
      </c>
      <c r="S1854" s="54">
        <v>0</v>
      </c>
      <c r="T1854" s="54">
        <v>0</v>
      </c>
      <c r="U1854" s="54">
        <v>0</v>
      </c>
      <c r="V1854" s="54">
        <v>0</v>
      </c>
      <c r="W1854" s="54">
        <v>0</v>
      </c>
    </row>
    <row r="1855" spans="1:23" outlineLevel="2" x14ac:dyDescent="0.2">
      <c r="A1855" s="21" t="s">
        <v>999</v>
      </c>
      <c r="B1855" s="21" t="s">
        <v>39</v>
      </c>
      <c r="C1855" s="21" t="s">
        <v>58</v>
      </c>
      <c r="D1855" s="21" t="s">
        <v>105</v>
      </c>
      <c r="E1855" s="21" t="s">
        <v>106</v>
      </c>
      <c r="F1855" s="21" t="s">
        <v>837</v>
      </c>
      <c r="G1855" s="21" t="s">
        <v>838</v>
      </c>
      <c r="H1855" s="21" t="s">
        <v>852</v>
      </c>
      <c r="I1855" s="21" t="s">
        <v>853</v>
      </c>
      <c r="J1855" s="21" t="s">
        <v>1000</v>
      </c>
      <c r="K1855" s="21" t="s">
        <v>1078</v>
      </c>
      <c r="L1855" s="21" t="s">
        <v>1079</v>
      </c>
      <c r="M1855" s="21" t="s">
        <v>12</v>
      </c>
      <c r="N1855" s="54">
        <v>3456</v>
      </c>
      <c r="O1855" s="54">
        <v>0</v>
      </c>
      <c r="P1855" s="54">
        <v>0</v>
      </c>
      <c r="Q1855" s="54">
        <v>3456</v>
      </c>
      <c r="R1855" s="54">
        <v>0</v>
      </c>
      <c r="S1855" s="54">
        <v>0</v>
      </c>
      <c r="T1855" s="54">
        <v>0</v>
      </c>
      <c r="U1855" s="54">
        <v>3456</v>
      </c>
      <c r="V1855" s="54">
        <v>3456</v>
      </c>
      <c r="W1855" s="54">
        <v>3456</v>
      </c>
    </row>
    <row r="1856" spans="1:23" outlineLevel="2" x14ac:dyDescent="0.2">
      <c r="A1856" s="21" t="s">
        <v>999</v>
      </c>
      <c r="B1856" s="21" t="s">
        <v>39</v>
      </c>
      <c r="C1856" s="21" t="s">
        <v>58</v>
      </c>
      <c r="D1856" s="21" t="s">
        <v>147</v>
      </c>
      <c r="E1856" s="21" t="s">
        <v>148</v>
      </c>
      <c r="F1856" s="21" t="s">
        <v>837</v>
      </c>
      <c r="G1856" s="21" t="s">
        <v>838</v>
      </c>
      <c r="H1856" s="21" t="s">
        <v>852</v>
      </c>
      <c r="I1856" s="21" t="s">
        <v>853</v>
      </c>
      <c r="J1856" s="21" t="s">
        <v>1000</v>
      </c>
      <c r="K1856" s="21" t="s">
        <v>1078</v>
      </c>
      <c r="L1856" s="21" t="s">
        <v>1079</v>
      </c>
      <c r="M1856" s="21" t="s">
        <v>12</v>
      </c>
      <c r="N1856" s="54">
        <v>40000</v>
      </c>
      <c r="O1856" s="54">
        <v>0</v>
      </c>
      <c r="P1856" s="54">
        <v>0</v>
      </c>
      <c r="Q1856" s="54">
        <v>40000</v>
      </c>
      <c r="R1856" s="54">
        <v>0</v>
      </c>
      <c r="S1856" s="54">
        <v>7840</v>
      </c>
      <c r="T1856" s="54">
        <v>7840</v>
      </c>
      <c r="U1856" s="54">
        <v>32160</v>
      </c>
      <c r="V1856" s="54">
        <v>32160</v>
      </c>
      <c r="W1856" s="54">
        <v>32160</v>
      </c>
    </row>
    <row r="1857" spans="1:23" outlineLevel="2" x14ac:dyDescent="0.2">
      <c r="A1857" s="21" t="s">
        <v>999</v>
      </c>
      <c r="B1857" s="21" t="s">
        <v>39</v>
      </c>
      <c r="C1857" s="21" t="s">
        <v>58</v>
      </c>
      <c r="D1857" s="21" t="s">
        <v>137</v>
      </c>
      <c r="E1857" s="21" t="s">
        <v>138</v>
      </c>
      <c r="F1857" s="21" t="s">
        <v>837</v>
      </c>
      <c r="G1857" s="21" t="s">
        <v>838</v>
      </c>
      <c r="H1857" s="21" t="s">
        <v>852</v>
      </c>
      <c r="I1857" s="21" t="s">
        <v>853</v>
      </c>
      <c r="J1857" s="21" t="s">
        <v>1000</v>
      </c>
      <c r="K1857" s="21" t="s">
        <v>1078</v>
      </c>
      <c r="L1857" s="21" t="s">
        <v>1079</v>
      </c>
      <c r="M1857" s="21" t="s">
        <v>12</v>
      </c>
      <c r="N1857" s="54">
        <v>16000</v>
      </c>
      <c r="O1857" s="54">
        <v>0</v>
      </c>
      <c r="P1857" s="54">
        <v>0</v>
      </c>
      <c r="Q1857" s="54">
        <v>16000</v>
      </c>
      <c r="R1857" s="54">
        <v>0</v>
      </c>
      <c r="S1857" s="54">
        <v>0</v>
      </c>
      <c r="T1857" s="54">
        <v>0</v>
      </c>
      <c r="U1857" s="54">
        <v>16000</v>
      </c>
      <c r="V1857" s="54">
        <v>16000</v>
      </c>
      <c r="W1857" s="54">
        <v>16000</v>
      </c>
    </row>
    <row r="1858" spans="1:23" outlineLevel="2" x14ac:dyDescent="0.2">
      <c r="A1858" s="21" t="s">
        <v>999</v>
      </c>
      <c r="B1858" s="21" t="s">
        <v>39</v>
      </c>
      <c r="C1858" s="21" t="s">
        <v>58</v>
      </c>
      <c r="D1858" s="21" t="s">
        <v>149</v>
      </c>
      <c r="E1858" s="21" t="s">
        <v>150</v>
      </c>
      <c r="F1858" s="21" t="s">
        <v>837</v>
      </c>
      <c r="G1858" s="21" t="s">
        <v>838</v>
      </c>
      <c r="H1858" s="21" t="s">
        <v>852</v>
      </c>
      <c r="I1858" s="21" t="s">
        <v>853</v>
      </c>
      <c r="J1858" s="21" t="s">
        <v>1000</v>
      </c>
      <c r="K1858" s="21" t="s">
        <v>1078</v>
      </c>
      <c r="L1858" s="21" t="s">
        <v>1079</v>
      </c>
      <c r="M1858" s="21" t="s">
        <v>12</v>
      </c>
      <c r="N1858" s="54">
        <v>27000</v>
      </c>
      <c r="O1858" s="54">
        <v>0</v>
      </c>
      <c r="P1858" s="54">
        <v>0</v>
      </c>
      <c r="Q1858" s="54">
        <v>27000</v>
      </c>
      <c r="R1858" s="54">
        <v>0</v>
      </c>
      <c r="S1858" s="54">
        <v>0</v>
      </c>
      <c r="T1858" s="54">
        <v>0</v>
      </c>
      <c r="U1858" s="54">
        <v>27000</v>
      </c>
      <c r="V1858" s="54">
        <v>27000</v>
      </c>
      <c r="W1858" s="54">
        <v>27000</v>
      </c>
    </row>
    <row r="1859" spans="1:23" outlineLevel="2" x14ac:dyDescent="0.2">
      <c r="A1859" s="21" t="s">
        <v>999</v>
      </c>
      <c r="B1859" s="21" t="s">
        <v>39</v>
      </c>
      <c r="C1859" s="21" t="s">
        <v>58</v>
      </c>
      <c r="D1859" s="21" t="s">
        <v>129</v>
      </c>
      <c r="E1859" s="21" t="s">
        <v>130</v>
      </c>
      <c r="F1859" s="21" t="s">
        <v>837</v>
      </c>
      <c r="G1859" s="21" t="s">
        <v>838</v>
      </c>
      <c r="H1859" s="21" t="s">
        <v>852</v>
      </c>
      <c r="I1859" s="21" t="s">
        <v>853</v>
      </c>
      <c r="J1859" s="21" t="s">
        <v>1000</v>
      </c>
      <c r="K1859" s="21" t="s">
        <v>1078</v>
      </c>
      <c r="L1859" s="21" t="s">
        <v>1079</v>
      </c>
      <c r="M1859" s="21" t="s">
        <v>12</v>
      </c>
      <c r="N1859" s="54">
        <v>7500</v>
      </c>
      <c r="O1859" s="54">
        <v>-2086.54</v>
      </c>
      <c r="P1859" s="54">
        <v>0</v>
      </c>
      <c r="Q1859" s="54">
        <v>5413.46</v>
      </c>
      <c r="R1859" s="54">
        <v>0</v>
      </c>
      <c r="S1859" s="54">
        <v>5409.6</v>
      </c>
      <c r="T1859" s="54">
        <v>0</v>
      </c>
      <c r="U1859" s="54">
        <v>3.86</v>
      </c>
      <c r="V1859" s="54">
        <v>5413.46</v>
      </c>
      <c r="W1859" s="54">
        <v>3.86</v>
      </c>
    </row>
    <row r="1860" spans="1:23" outlineLevel="2" x14ac:dyDescent="0.2">
      <c r="A1860" s="21" t="s">
        <v>999</v>
      </c>
      <c r="B1860" s="21" t="s">
        <v>39</v>
      </c>
      <c r="C1860" s="21" t="s">
        <v>58</v>
      </c>
      <c r="D1860" s="21" t="s">
        <v>59</v>
      </c>
      <c r="E1860" s="21" t="s">
        <v>60</v>
      </c>
      <c r="F1860" s="21" t="s">
        <v>837</v>
      </c>
      <c r="G1860" s="21" t="s">
        <v>838</v>
      </c>
      <c r="H1860" s="21" t="s">
        <v>852</v>
      </c>
      <c r="I1860" s="21" t="s">
        <v>853</v>
      </c>
      <c r="J1860" s="21" t="s">
        <v>1000</v>
      </c>
      <c r="K1860" s="21" t="s">
        <v>1078</v>
      </c>
      <c r="L1860" s="21" t="s">
        <v>1079</v>
      </c>
      <c r="M1860" s="21" t="s">
        <v>12</v>
      </c>
      <c r="N1860" s="54">
        <v>9000</v>
      </c>
      <c r="O1860" s="54">
        <v>0</v>
      </c>
      <c r="P1860" s="54">
        <v>0</v>
      </c>
      <c r="Q1860" s="54">
        <v>9000</v>
      </c>
      <c r="R1860" s="54">
        <v>0</v>
      </c>
      <c r="S1860" s="54">
        <v>0</v>
      </c>
      <c r="T1860" s="54">
        <v>0</v>
      </c>
      <c r="U1860" s="54">
        <v>9000</v>
      </c>
      <c r="V1860" s="54">
        <v>9000</v>
      </c>
      <c r="W1860" s="54">
        <v>9000</v>
      </c>
    </row>
    <row r="1861" spans="1:23" outlineLevel="2" x14ac:dyDescent="0.2">
      <c r="A1861" s="21" t="s">
        <v>999</v>
      </c>
      <c r="B1861" s="21" t="s">
        <v>39</v>
      </c>
      <c r="C1861" s="21" t="s">
        <v>58</v>
      </c>
      <c r="D1861" s="21" t="s">
        <v>135</v>
      </c>
      <c r="E1861" s="21" t="s">
        <v>136</v>
      </c>
      <c r="F1861" s="21" t="s">
        <v>837</v>
      </c>
      <c r="G1861" s="21" t="s">
        <v>838</v>
      </c>
      <c r="H1861" s="21" t="s">
        <v>852</v>
      </c>
      <c r="I1861" s="21" t="s">
        <v>853</v>
      </c>
      <c r="J1861" s="21" t="s">
        <v>1000</v>
      </c>
      <c r="K1861" s="21" t="s">
        <v>1078</v>
      </c>
      <c r="L1861" s="21" t="s">
        <v>1079</v>
      </c>
      <c r="M1861" s="21" t="s">
        <v>12</v>
      </c>
      <c r="N1861" s="54">
        <v>25000</v>
      </c>
      <c r="O1861" s="54">
        <v>0</v>
      </c>
      <c r="P1861" s="54">
        <v>0</v>
      </c>
      <c r="Q1861" s="54">
        <v>25000</v>
      </c>
      <c r="R1861" s="54">
        <v>0</v>
      </c>
      <c r="S1861" s="54">
        <v>0</v>
      </c>
      <c r="T1861" s="54">
        <v>0</v>
      </c>
      <c r="U1861" s="54">
        <v>25000</v>
      </c>
      <c r="V1861" s="54">
        <v>25000</v>
      </c>
      <c r="W1861" s="54">
        <v>25000</v>
      </c>
    </row>
    <row r="1862" spans="1:23" outlineLevel="2" x14ac:dyDescent="0.2">
      <c r="A1862" s="21" t="s">
        <v>999</v>
      </c>
      <c r="B1862" s="21" t="s">
        <v>39</v>
      </c>
      <c r="C1862" s="21" t="s">
        <v>58</v>
      </c>
      <c r="D1862" s="21" t="s">
        <v>139</v>
      </c>
      <c r="E1862" s="21" t="s">
        <v>140</v>
      </c>
      <c r="F1862" s="21" t="s">
        <v>837</v>
      </c>
      <c r="G1862" s="21" t="s">
        <v>838</v>
      </c>
      <c r="H1862" s="21" t="s">
        <v>852</v>
      </c>
      <c r="I1862" s="21" t="s">
        <v>853</v>
      </c>
      <c r="J1862" s="21" t="s">
        <v>1000</v>
      </c>
      <c r="K1862" s="21" t="s">
        <v>1078</v>
      </c>
      <c r="L1862" s="21" t="s">
        <v>1079</v>
      </c>
      <c r="M1862" s="21" t="s">
        <v>12</v>
      </c>
      <c r="N1862" s="54">
        <v>4000</v>
      </c>
      <c r="O1862" s="54">
        <v>0</v>
      </c>
      <c r="P1862" s="54">
        <v>0</v>
      </c>
      <c r="Q1862" s="54">
        <v>4000</v>
      </c>
      <c r="R1862" s="54">
        <v>0</v>
      </c>
      <c r="S1862" s="54">
        <v>0</v>
      </c>
      <c r="T1862" s="54">
        <v>0</v>
      </c>
      <c r="U1862" s="54">
        <v>4000</v>
      </c>
      <c r="V1862" s="54">
        <v>4000</v>
      </c>
      <c r="W1862" s="54">
        <v>4000</v>
      </c>
    </row>
    <row r="1863" spans="1:23" outlineLevel="2" x14ac:dyDescent="0.2">
      <c r="A1863" s="21" t="s">
        <v>999</v>
      </c>
      <c r="B1863" s="21" t="s">
        <v>39</v>
      </c>
      <c r="C1863" s="21" t="s">
        <v>58</v>
      </c>
      <c r="D1863" s="21" t="s">
        <v>147</v>
      </c>
      <c r="E1863" s="21" t="s">
        <v>148</v>
      </c>
      <c r="F1863" s="21" t="s">
        <v>837</v>
      </c>
      <c r="G1863" s="21" t="s">
        <v>838</v>
      </c>
      <c r="H1863" s="21" t="s">
        <v>852</v>
      </c>
      <c r="I1863" s="21" t="s">
        <v>853</v>
      </c>
      <c r="J1863" s="21" t="s">
        <v>1000</v>
      </c>
      <c r="K1863" s="21" t="s">
        <v>1116</v>
      </c>
      <c r="L1863" s="21" t="s">
        <v>1117</v>
      </c>
      <c r="M1863" s="21" t="s">
        <v>12</v>
      </c>
      <c r="N1863" s="54">
        <v>2000</v>
      </c>
      <c r="O1863" s="54">
        <v>0</v>
      </c>
      <c r="P1863" s="54">
        <v>0</v>
      </c>
      <c r="Q1863" s="54">
        <v>2000</v>
      </c>
      <c r="R1863" s="54">
        <v>0</v>
      </c>
      <c r="S1863" s="54">
        <v>0</v>
      </c>
      <c r="T1863" s="54">
        <v>0</v>
      </c>
      <c r="U1863" s="54">
        <v>2000</v>
      </c>
      <c r="V1863" s="54">
        <v>2000</v>
      </c>
      <c r="W1863" s="54">
        <v>2000</v>
      </c>
    </row>
    <row r="1864" spans="1:23" outlineLevel="2" x14ac:dyDescent="0.2">
      <c r="A1864" s="21" t="s">
        <v>999</v>
      </c>
      <c r="B1864" s="21" t="s">
        <v>39</v>
      </c>
      <c r="C1864" s="21" t="s">
        <v>58</v>
      </c>
      <c r="D1864" s="21" t="s">
        <v>135</v>
      </c>
      <c r="E1864" s="21" t="s">
        <v>136</v>
      </c>
      <c r="F1864" s="21" t="s">
        <v>837</v>
      </c>
      <c r="G1864" s="21" t="s">
        <v>838</v>
      </c>
      <c r="H1864" s="21" t="s">
        <v>852</v>
      </c>
      <c r="I1864" s="21" t="s">
        <v>853</v>
      </c>
      <c r="J1864" s="21" t="s">
        <v>1000</v>
      </c>
      <c r="K1864" s="21" t="s">
        <v>1019</v>
      </c>
      <c r="L1864" s="21" t="s">
        <v>1081</v>
      </c>
      <c r="M1864" s="21" t="s">
        <v>12</v>
      </c>
      <c r="N1864" s="54">
        <v>1000</v>
      </c>
      <c r="O1864" s="54">
        <v>0</v>
      </c>
      <c r="P1864" s="54">
        <v>0</v>
      </c>
      <c r="Q1864" s="54">
        <v>1000</v>
      </c>
      <c r="R1864" s="54">
        <v>0</v>
      </c>
      <c r="S1864" s="54">
        <v>0</v>
      </c>
      <c r="T1864" s="54">
        <v>0</v>
      </c>
      <c r="U1864" s="54">
        <v>1000</v>
      </c>
      <c r="V1864" s="54">
        <v>1000</v>
      </c>
      <c r="W1864" s="54">
        <v>1000</v>
      </c>
    </row>
    <row r="1865" spans="1:23" outlineLevel="2" x14ac:dyDescent="0.2">
      <c r="A1865" s="21" t="s">
        <v>999</v>
      </c>
      <c r="B1865" s="21" t="s">
        <v>39</v>
      </c>
      <c r="C1865" s="21" t="s">
        <v>58</v>
      </c>
      <c r="D1865" s="21" t="s">
        <v>59</v>
      </c>
      <c r="E1865" s="21" t="s">
        <v>60</v>
      </c>
      <c r="F1865" s="21" t="s">
        <v>837</v>
      </c>
      <c r="G1865" s="21" t="s">
        <v>838</v>
      </c>
      <c r="H1865" s="21" t="s">
        <v>852</v>
      </c>
      <c r="I1865" s="21" t="s">
        <v>853</v>
      </c>
      <c r="J1865" s="21" t="s">
        <v>1000</v>
      </c>
      <c r="K1865" s="21" t="s">
        <v>1019</v>
      </c>
      <c r="L1865" s="21" t="s">
        <v>1081</v>
      </c>
      <c r="M1865" s="21" t="s">
        <v>12</v>
      </c>
      <c r="N1865" s="54">
        <v>300</v>
      </c>
      <c r="O1865" s="54">
        <v>0</v>
      </c>
      <c r="P1865" s="54">
        <v>0</v>
      </c>
      <c r="Q1865" s="54">
        <v>300</v>
      </c>
      <c r="R1865" s="54">
        <v>0</v>
      </c>
      <c r="S1865" s="54">
        <v>0</v>
      </c>
      <c r="T1865" s="54">
        <v>0</v>
      </c>
      <c r="U1865" s="54">
        <v>300</v>
      </c>
      <c r="V1865" s="54">
        <v>300</v>
      </c>
      <c r="W1865" s="54">
        <v>300</v>
      </c>
    </row>
    <row r="1866" spans="1:23" outlineLevel="2" x14ac:dyDescent="0.2">
      <c r="A1866" s="21" t="s">
        <v>999</v>
      </c>
      <c r="B1866" s="21" t="s">
        <v>39</v>
      </c>
      <c r="C1866" s="21" t="s">
        <v>58</v>
      </c>
      <c r="D1866" s="21" t="s">
        <v>147</v>
      </c>
      <c r="E1866" s="21" t="s">
        <v>148</v>
      </c>
      <c r="F1866" s="21" t="s">
        <v>837</v>
      </c>
      <c r="G1866" s="21" t="s">
        <v>838</v>
      </c>
      <c r="H1866" s="21" t="s">
        <v>852</v>
      </c>
      <c r="I1866" s="21" t="s">
        <v>853</v>
      </c>
      <c r="J1866" s="21" t="s">
        <v>1000</v>
      </c>
      <c r="K1866" s="21" t="s">
        <v>1019</v>
      </c>
      <c r="L1866" s="21" t="s">
        <v>1081</v>
      </c>
      <c r="M1866" s="21" t="s">
        <v>12</v>
      </c>
      <c r="N1866" s="54">
        <v>2000</v>
      </c>
      <c r="O1866" s="54">
        <v>0</v>
      </c>
      <c r="P1866" s="54">
        <v>0</v>
      </c>
      <c r="Q1866" s="54">
        <v>2000</v>
      </c>
      <c r="R1866" s="54">
        <v>498.48</v>
      </c>
      <c r="S1866" s="54">
        <v>1501.52</v>
      </c>
      <c r="T1866" s="54">
        <v>1501.52</v>
      </c>
      <c r="U1866" s="54">
        <v>498.48</v>
      </c>
      <c r="V1866" s="54">
        <v>498.48</v>
      </c>
      <c r="W1866" s="54">
        <v>0</v>
      </c>
    </row>
    <row r="1867" spans="1:23" outlineLevel="2" x14ac:dyDescent="0.2">
      <c r="A1867" s="21" t="s">
        <v>999</v>
      </c>
      <c r="B1867" s="21" t="s">
        <v>39</v>
      </c>
      <c r="C1867" s="21" t="s">
        <v>58</v>
      </c>
      <c r="D1867" s="21" t="s">
        <v>145</v>
      </c>
      <c r="E1867" s="21" t="s">
        <v>146</v>
      </c>
      <c r="F1867" s="21" t="s">
        <v>837</v>
      </c>
      <c r="G1867" s="21" t="s">
        <v>838</v>
      </c>
      <c r="H1867" s="21" t="s">
        <v>852</v>
      </c>
      <c r="I1867" s="21" t="s">
        <v>853</v>
      </c>
      <c r="J1867" s="21" t="s">
        <v>1000</v>
      </c>
      <c r="K1867" s="21" t="s">
        <v>1019</v>
      </c>
      <c r="L1867" s="21" t="s">
        <v>1081</v>
      </c>
      <c r="M1867" s="21" t="s">
        <v>12</v>
      </c>
      <c r="N1867" s="54">
        <v>600</v>
      </c>
      <c r="O1867" s="54">
        <v>0</v>
      </c>
      <c r="P1867" s="54">
        <v>0</v>
      </c>
      <c r="Q1867" s="54">
        <v>600</v>
      </c>
      <c r="R1867" s="54">
        <v>0</v>
      </c>
      <c r="S1867" s="54">
        <v>0</v>
      </c>
      <c r="T1867" s="54">
        <v>0</v>
      </c>
      <c r="U1867" s="54">
        <v>600</v>
      </c>
      <c r="V1867" s="54">
        <v>600</v>
      </c>
      <c r="W1867" s="54">
        <v>600</v>
      </c>
    </row>
    <row r="1868" spans="1:23" outlineLevel="2" x14ac:dyDescent="0.2">
      <c r="A1868" s="21" t="s">
        <v>999</v>
      </c>
      <c r="B1868" s="21" t="s">
        <v>39</v>
      </c>
      <c r="C1868" s="21" t="s">
        <v>58</v>
      </c>
      <c r="D1868" s="21" t="s">
        <v>139</v>
      </c>
      <c r="E1868" s="21" t="s">
        <v>140</v>
      </c>
      <c r="F1868" s="21" t="s">
        <v>837</v>
      </c>
      <c r="G1868" s="21" t="s">
        <v>838</v>
      </c>
      <c r="H1868" s="21" t="s">
        <v>852</v>
      </c>
      <c r="I1868" s="21" t="s">
        <v>853</v>
      </c>
      <c r="J1868" s="21" t="s">
        <v>1000</v>
      </c>
      <c r="K1868" s="21" t="s">
        <v>1019</v>
      </c>
      <c r="L1868" s="21" t="s">
        <v>1081</v>
      </c>
      <c r="M1868" s="21" t="s">
        <v>12</v>
      </c>
      <c r="N1868" s="54">
        <v>500</v>
      </c>
      <c r="O1868" s="54">
        <v>-500</v>
      </c>
      <c r="P1868" s="54">
        <v>0</v>
      </c>
      <c r="Q1868" s="54">
        <v>0</v>
      </c>
      <c r="R1868" s="54">
        <v>0</v>
      </c>
      <c r="S1868" s="54">
        <v>0</v>
      </c>
      <c r="T1868" s="54">
        <v>0</v>
      </c>
      <c r="U1868" s="54">
        <v>0</v>
      </c>
      <c r="V1868" s="54">
        <v>0</v>
      </c>
      <c r="W1868" s="54">
        <v>0</v>
      </c>
    </row>
    <row r="1869" spans="1:23" outlineLevel="2" x14ac:dyDescent="0.2">
      <c r="A1869" s="21" t="s">
        <v>999</v>
      </c>
      <c r="B1869" s="21" t="s">
        <v>39</v>
      </c>
      <c r="C1869" s="21" t="s">
        <v>58</v>
      </c>
      <c r="D1869" s="21" t="s">
        <v>137</v>
      </c>
      <c r="E1869" s="21" t="s">
        <v>138</v>
      </c>
      <c r="F1869" s="21" t="s">
        <v>837</v>
      </c>
      <c r="G1869" s="21" t="s">
        <v>838</v>
      </c>
      <c r="H1869" s="21" t="s">
        <v>852</v>
      </c>
      <c r="I1869" s="21" t="s">
        <v>853</v>
      </c>
      <c r="J1869" s="21" t="s">
        <v>1000</v>
      </c>
      <c r="K1869" s="21" t="s">
        <v>1019</v>
      </c>
      <c r="L1869" s="21" t="s">
        <v>1081</v>
      </c>
      <c r="M1869" s="21" t="s">
        <v>12</v>
      </c>
      <c r="N1869" s="54">
        <v>1000</v>
      </c>
      <c r="O1869" s="54">
        <v>0</v>
      </c>
      <c r="P1869" s="54">
        <v>0</v>
      </c>
      <c r="Q1869" s="54">
        <v>1000</v>
      </c>
      <c r="R1869" s="54">
        <v>0</v>
      </c>
      <c r="S1869" s="54">
        <v>0</v>
      </c>
      <c r="T1869" s="54">
        <v>0</v>
      </c>
      <c r="U1869" s="54">
        <v>1000</v>
      </c>
      <c r="V1869" s="54">
        <v>1000</v>
      </c>
      <c r="W1869" s="54">
        <v>1000</v>
      </c>
    </row>
    <row r="1870" spans="1:23" outlineLevel="2" x14ac:dyDescent="0.2">
      <c r="A1870" s="21" t="s">
        <v>999</v>
      </c>
      <c r="B1870" s="21" t="s">
        <v>39</v>
      </c>
      <c r="C1870" s="21" t="s">
        <v>58</v>
      </c>
      <c r="D1870" s="21" t="s">
        <v>129</v>
      </c>
      <c r="E1870" s="21" t="s">
        <v>130</v>
      </c>
      <c r="F1870" s="21" t="s">
        <v>837</v>
      </c>
      <c r="G1870" s="21" t="s">
        <v>838</v>
      </c>
      <c r="H1870" s="21" t="s">
        <v>852</v>
      </c>
      <c r="I1870" s="21" t="s">
        <v>853</v>
      </c>
      <c r="J1870" s="21" t="s">
        <v>1000</v>
      </c>
      <c r="K1870" s="21" t="s">
        <v>1019</v>
      </c>
      <c r="L1870" s="21" t="s">
        <v>1081</v>
      </c>
      <c r="M1870" s="21" t="s">
        <v>12</v>
      </c>
      <c r="N1870" s="54">
        <v>639.20000000000005</v>
      </c>
      <c r="O1870" s="54">
        <v>-295.27999999999997</v>
      </c>
      <c r="P1870" s="54">
        <v>0</v>
      </c>
      <c r="Q1870" s="54">
        <v>343.92</v>
      </c>
      <c r="R1870" s="54">
        <v>266.25</v>
      </c>
      <c r="S1870" s="54">
        <v>77.67</v>
      </c>
      <c r="T1870" s="54">
        <v>77.67</v>
      </c>
      <c r="U1870" s="54">
        <v>266.25</v>
      </c>
      <c r="V1870" s="54">
        <v>266.25</v>
      </c>
      <c r="W1870" s="54">
        <v>0</v>
      </c>
    </row>
    <row r="1871" spans="1:23" outlineLevel="2" x14ac:dyDescent="0.2">
      <c r="A1871" s="21" t="s">
        <v>999</v>
      </c>
      <c r="B1871" s="21" t="s">
        <v>39</v>
      </c>
      <c r="C1871" s="21" t="s">
        <v>58</v>
      </c>
      <c r="D1871" s="21" t="s">
        <v>143</v>
      </c>
      <c r="E1871" s="21" t="s">
        <v>144</v>
      </c>
      <c r="F1871" s="21" t="s">
        <v>837</v>
      </c>
      <c r="G1871" s="21" t="s">
        <v>838</v>
      </c>
      <c r="H1871" s="21" t="s">
        <v>852</v>
      </c>
      <c r="I1871" s="21" t="s">
        <v>853</v>
      </c>
      <c r="J1871" s="21" t="s">
        <v>1000</v>
      </c>
      <c r="K1871" s="21" t="s">
        <v>1019</v>
      </c>
      <c r="L1871" s="21" t="s">
        <v>1081</v>
      </c>
      <c r="M1871" s="21" t="s">
        <v>12</v>
      </c>
      <c r="N1871" s="54">
        <v>626.88</v>
      </c>
      <c r="O1871" s="54">
        <v>-626.88</v>
      </c>
      <c r="P1871" s="54">
        <v>0</v>
      </c>
      <c r="Q1871" s="54">
        <v>0</v>
      </c>
      <c r="R1871" s="54">
        <v>0</v>
      </c>
      <c r="S1871" s="54">
        <v>0</v>
      </c>
      <c r="T1871" s="54">
        <v>0</v>
      </c>
      <c r="U1871" s="54">
        <v>0</v>
      </c>
      <c r="V1871" s="54">
        <v>0</v>
      </c>
      <c r="W1871" s="54">
        <v>0</v>
      </c>
    </row>
    <row r="1872" spans="1:23" outlineLevel="2" x14ac:dyDescent="0.2">
      <c r="A1872" s="21" t="s">
        <v>999</v>
      </c>
      <c r="B1872" s="21" t="s">
        <v>39</v>
      </c>
      <c r="C1872" s="21" t="s">
        <v>58</v>
      </c>
      <c r="D1872" s="21" t="s">
        <v>147</v>
      </c>
      <c r="E1872" s="21" t="s">
        <v>148</v>
      </c>
      <c r="F1872" s="21" t="s">
        <v>837</v>
      </c>
      <c r="G1872" s="21" t="s">
        <v>838</v>
      </c>
      <c r="H1872" s="21" t="s">
        <v>852</v>
      </c>
      <c r="I1872" s="21" t="s">
        <v>853</v>
      </c>
      <c r="J1872" s="21" t="s">
        <v>1000</v>
      </c>
      <c r="K1872" s="21" t="s">
        <v>1092</v>
      </c>
      <c r="L1872" s="21" t="s">
        <v>1093</v>
      </c>
      <c r="M1872" s="21" t="s">
        <v>12</v>
      </c>
      <c r="N1872" s="54">
        <v>3000</v>
      </c>
      <c r="O1872" s="54">
        <v>0</v>
      </c>
      <c r="P1872" s="54">
        <v>0</v>
      </c>
      <c r="Q1872" s="54">
        <v>3000</v>
      </c>
      <c r="R1872" s="54">
        <v>0</v>
      </c>
      <c r="S1872" s="54">
        <v>0</v>
      </c>
      <c r="T1872" s="54">
        <v>0</v>
      </c>
      <c r="U1872" s="54">
        <v>3000</v>
      </c>
      <c r="V1872" s="54">
        <v>3000</v>
      </c>
      <c r="W1872" s="54">
        <v>3000</v>
      </c>
    </row>
    <row r="1873" spans="1:23" outlineLevel="2" x14ac:dyDescent="0.2">
      <c r="A1873" s="21" t="s">
        <v>999</v>
      </c>
      <c r="B1873" s="21" t="s">
        <v>39</v>
      </c>
      <c r="C1873" s="21" t="s">
        <v>58</v>
      </c>
      <c r="D1873" s="21" t="s">
        <v>137</v>
      </c>
      <c r="E1873" s="21" t="s">
        <v>138</v>
      </c>
      <c r="F1873" s="21" t="s">
        <v>837</v>
      </c>
      <c r="G1873" s="21" t="s">
        <v>838</v>
      </c>
      <c r="H1873" s="21" t="s">
        <v>852</v>
      </c>
      <c r="I1873" s="21" t="s">
        <v>853</v>
      </c>
      <c r="J1873" s="21" t="s">
        <v>1000</v>
      </c>
      <c r="K1873" s="21" t="s">
        <v>1092</v>
      </c>
      <c r="L1873" s="21" t="s">
        <v>1093</v>
      </c>
      <c r="M1873" s="21" t="s">
        <v>12</v>
      </c>
      <c r="N1873" s="54">
        <v>4000</v>
      </c>
      <c r="O1873" s="54">
        <v>0</v>
      </c>
      <c r="P1873" s="54">
        <v>0</v>
      </c>
      <c r="Q1873" s="54">
        <v>4000</v>
      </c>
      <c r="R1873" s="54">
        <v>0</v>
      </c>
      <c r="S1873" s="54">
        <v>0</v>
      </c>
      <c r="T1873" s="54">
        <v>0</v>
      </c>
      <c r="U1873" s="54">
        <v>4000</v>
      </c>
      <c r="V1873" s="54">
        <v>4000</v>
      </c>
      <c r="W1873" s="54">
        <v>4000</v>
      </c>
    </row>
    <row r="1874" spans="1:23" outlineLevel="2" x14ac:dyDescent="0.2">
      <c r="A1874" s="21" t="s">
        <v>999</v>
      </c>
      <c r="B1874" s="21" t="s">
        <v>39</v>
      </c>
      <c r="C1874" s="21" t="s">
        <v>58</v>
      </c>
      <c r="D1874" s="21" t="s">
        <v>59</v>
      </c>
      <c r="E1874" s="21" t="s">
        <v>60</v>
      </c>
      <c r="F1874" s="21" t="s">
        <v>837</v>
      </c>
      <c r="G1874" s="21" t="s">
        <v>838</v>
      </c>
      <c r="H1874" s="21" t="s">
        <v>852</v>
      </c>
      <c r="I1874" s="21" t="s">
        <v>853</v>
      </c>
      <c r="J1874" s="21" t="s">
        <v>1000</v>
      </c>
      <c r="K1874" s="21" t="s">
        <v>1092</v>
      </c>
      <c r="L1874" s="21" t="s">
        <v>1093</v>
      </c>
      <c r="M1874" s="21" t="s">
        <v>12</v>
      </c>
      <c r="N1874" s="54">
        <v>300</v>
      </c>
      <c r="O1874" s="54">
        <v>0</v>
      </c>
      <c r="P1874" s="54">
        <v>0</v>
      </c>
      <c r="Q1874" s="54">
        <v>300</v>
      </c>
      <c r="R1874" s="54">
        <v>0</v>
      </c>
      <c r="S1874" s="54">
        <v>0</v>
      </c>
      <c r="T1874" s="54">
        <v>0</v>
      </c>
      <c r="U1874" s="54">
        <v>300</v>
      </c>
      <c r="V1874" s="54">
        <v>300</v>
      </c>
      <c r="W1874" s="54">
        <v>300</v>
      </c>
    </row>
    <row r="1875" spans="1:23" outlineLevel="2" x14ac:dyDescent="0.2">
      <c r="A1875" s="21" t="s">
        <v>999</v>
      </c>
      <c r="B1875" s="21" t="s">
        <v>39</v>
      </c>
      <c r="C1875" s="21" t="s">
        <v>58</v>
      </c>
      <c r="D1875" s="21" t="s">
        <v>143</v>
      </c>
      <c r="E1875" s="21" t="s">
        <v>144</v>
      </c>
      <c r="F1875" s="21" t="s">
        <v>837</v>
      </c>
      <c r="G1875" s="21" t="s">
        <v>838</v>
      </c>
      <c r="H1875" s="21" t="s">
        <v>852</v>
      </c>
      <c r="I1875" s="21" t="s">
        <v>853</v>
      </c>
      <c r="J1875" s="21" t="s">
        <v>1000</v>
      </c>
      <c r="K1875" s="21" t="s">
        <v>1092</v>
      </c>
      <c r="L1875" s="21" t="s">
        <v>1093</v>
      </c>
      <c r="M1875" s="21" t="s">
        <v>12</v>
      </c>
      <c r="N1875" s="54">
        <v>10000</v>
      </c>
      <c r="O1875" s="54">
        <v>-10000</v>
      </c>
      <c r="P1875" s="54">
        <v>0</v>
      </c>
      <c r="Q1875" s="54">
        <v>0</v>
      </c>
      <c r="R1875" s="54">
        <v>0</v>
      </c>
      <c r="S1875" s="54">
        <v>0</v>
      </c>
      <c r="T1875" s="54">
        <v>0</v>
      </c>
      <c r="U1875" s="54">
        <v>0</v>
      </c>
      <c r="V1875" s="54">
        <v>0</v>
      </c>
      <c r="W1875" s="54">
        <v>0</v>
      </c>
    </row>
    <row r="1876" spans="1:23" outlineLevel="2" x14ac:dyDescent="0.2">
      <c r="A1876" s="21" t="s">
        <v>999</v>
      </c>
      <c r="B1876" s="21" t="s">
        <v>39</v>
      </c>
      <c r="C1876" s="21" t="s">
        <v>58</v>
      </c>
      <c r="D1876" s="21" t="s">
        <v>147</v>
      </c>
      <c r="E1876" s="21" t="s">
        <v>148</v>
      </c>
      <c r="F1876" s="21" t="s">
        <v>837</v>
      </c>
      <c r="G1876" s="21" t="s">
        <v>838</v>
      </c>
      <c r="H1876" s="21" t="s">
        <v>852</v>
      </c>
      <c r="I1876" s="21" t="s">
        <v>853</v>
      </c>
      <c r="J1876" s="21" t="s">
        <v>1000</v>
      </c>
      <c r="K1876" s="21" t="s">
        <v>1082</v>
      </c>
      <c r="L1876" s="21" t="s">
        <v>1083</v>
      </c>
      <c r="M1876" s="21" t="s">
        <v>12</v>
      </c>
      <c r="N1876" s="54">
        <v>2000</v>
      </c>
      <c r="O1876" s="54">
        <v>0</v>
      </c>
      <c r="P1876" s="54">
        <v>0</v>
      </c>
      <c r="Q1876" s="54">
        <v>2000</v>
      </c>
      <c r="R1876" s="54">
        <v>1141.06</v>
      </c>
      <c r="S1876" s="54">
        <v>858.94</v>
      </c>
      <c r="T1876" s="54">
        <v>0</v>
      </c>
      <c r="U1876" s="54">
        <v>1141.06</v>
      </c>
      <c r="V1876" s="54">
        <v>2000</v>
      </c>
      <c r="W1876" s="54">
        <v>0</v>
      </c>
    </row>
    <row r="1877" spans="1:23" outlineLevel="2" x14ac:dyDescent="0.2">
      <c r="A1877" s="21" t="s">
        <v>999</v>
      </c>
      <c r="B1877" s="21" t="s">
        <v>39</v>
      </c>
      <c r="C1877" s="21" t="s">
        <v>58</v>
      </c>
      <c r="D1877" s="21" t="s">
        <v>149</v>
      </c>
      <c r="E1877" s="21" t="s">
        <v>150</v>
      </c>
      <c r="F1877" s="21" t="s">
        <v>837</v>
      </c>
      <c r="G1877" s="21" t="s">
        <v>838</v>
      </c>
      <c r="H1877" s="21" t="s">
        <v>852</v>
      </c>
      <c r="I1877" s="21" t="s">
        <v>853</v>
      </c>
      <c r="J1877" s="21" t="s">
        <v>1000</v>
      </c>
      <c r="K1877" s="21" t="s">
        <v>1084</v>
      </c>
      <c r="L1877" s="21" t="s">
        <v>1085</v>
      </c>
      <c r="M1877" s="21" t="s">
        <v>12</v>
      </c>
      <c r="N1877" s="54">
        <v>15000</v>
      </c>
      <c r="O1877" s="54">
        <v>0</v>
      </c>
      <c r="P1877" s="54">
        <v>0</v>
      </c>
      <c r="Q1877" s="54">
        <v>15000</v>
      </c>
      <c r="R1877" s="54">
        <v>0</v>
      </c>
      <c r="S1877" s="54">
        <v>0</v>
      </c>
      <c r="T1877" s="54">
        <v>0</v>
      </c>
      <c r="U1877" s="54">
        <v>15000</v>
      </c>
      <c r="V1877" s="54">
        <v>15000</v>
      </c>
      <c r="W1877" s="54">
        <v>15000</v>
      </c>
    </row>
    <row r="1878" spans="1:23" outlineLevel="2" x14ac:dyDescent="0.2">
      <c r="A1878" s="21" t="s">
        <v>999</v>
      </c>
      <c r="B1878" s="21" t="s">
        <v>39</v>
      </c>
      <c r="C1878" s="21" t="s">
        <v>58</v>
      </c>
      <c r="D1878" s="21" t="s">
        <v>145</v>
      </c>
      <c r="E1878" s="21" t="s">
        <v>146</v>
      </c>
      <c r="F1878" s="21" t="s">
        <v>837</v>
      </c>
      <c r="G1878" s="21" t="s">
        <v>838</v>
      </c>
      <c r="H1878" s="21" t="s">
        <v>852</v>
      </c>
      <c r="I1878" s="21" t="s">
        <v>853</v>
      </c>
      <c r="J1878" s="21" t="s">
        <v>1000</v>
      </c>
      <c r="K1878" s="21" t="s">
        <v>1084</v>
      </c>
      <c r="L1878" s="21" t="s">
        <v>1085</v>
      </c>
      <c r="M1878" s="21" t="s">
        <v>12</v>
      </c>
      <c r="N1878" s="54">
        <v>1000</v>
      </c>
      <c r="O1878" s="54">
        <v>0</v>
      </c>
      <c r="P1878" s="54">
        <v>0</v>
      </c>
      <c r="Q1878" s="54">
        <v>1000</v>
      </c>
      <c r="R1878" s="54">
        <v>0</v>
      </c>
      <c r="S1878" s="54">
        <v>0</v>
      </c>
      <c r="T1878" s="54">
        <v>0</v>
      </c>
      <c r="U1878" s="54">
        <v>1000</v>
      </c>
      <c r="V1878" s="54">
        <v>1000</v>
      </c>
      <c r="W1878" s="54">
        <v>1000</v>
      </c>
    </row>
    <row r="1879" spans="1:23" outlineLevel="2" x14ac:dyDescent="0.2">
      <c r="A1879" s="21" t="s">
        <v>999</v>
      </c>
      <c r="B1879" s="21" t="s">
        <v>39</v>
      </c>
      <c r="C1879" s="21" t="s">
        <v>58</v>
      </c>
      <c r="D1879" s="21" t="s">
        <v>147</v>
      </c>
      <c r="E1879" s="21" t="s">
        <v>148</v>
      </c>
      <c r="F1879" s="21" t="s">
        <v>837</v>
      </c>
      <c r="G1879" s="21" t="s">
        <v>838</v>
      </c>
      <c r="H1879" s="21" t="s">
        <v>852</v>
      </c>
      <c r="I1879" s="21" t="s">
        <v>853</v>
      </c>
      <c r="J1879" s="21" t="s">
        <v>1000</v>
      </c>
      <c r="K1879" s="21" t="s">
        <v>1084</v>
      </c>
      <c r="L1879" s="21" t="s">
        <v>1085</v>
      </c>
      <c r="M1879" s="21" t="s">
        <v>12</v>
      </c>
      <c r="N1879" s="54">
        <v>400</v>
      </c>
      <c r="O1879" s="54">
        <v>0</v>
      </c>
      <c r="P1879" s="54">
        <v>0</v>
      </c>
      <c r="Q1879" s="54">
        <v>400</v>
      </c>
      <c r="R1879" s="54">
        <v>0</v>
      </c>
      <c r="S1879" s="54">
        <v>0</v>
      </c>
      <c r="T1879" s="54">
        <v>0</v>
      </c>
      <c r="U1879" s="54">
        <v>400</v>
      </c>
      <c r="V1879" s="54">
        <v>400</v>
      </c>
      <c r="W1879" s="54">
        <v>400</v>
      </c>
    </row>
    <row r="1880" spans="1:23" outlineLevel="2" x14ac:dyDescent="0.2">
      <c r="A1880" s="21" t="s">
        <v>999</v>
      </c>
      <c r="B1880" s="21" t="s">
        <v>39</v>
      </c>
      <c r="C1880" s="21" t="s">
        <v>58</v>
      </c>
      <c r="D1880" s="21" t="s">
        <v>139</v>
      </c>
      <c r="E1880" s="21" t="s">
        <v>140</v>
      </c>
      <c r="F1880" s="21" t="s">
        <v>837</v>
      </c>
      <c r="G1880" s="21" t="s">
        <v>838</v>
      </c>
      <c r="H1880" s="21" t="s">
        <v>852</v>
      </c>
      <c r="I1880" s="21" t="s">
        <v>853</v>
      </c>
      <c r="J1880" s="21" t="s">
        <v>1000</v>
      </c>
      <c r="K1880" s="21" t="s">
        <v>1084</v>
      </c>
      <c r="L1880" s="21" t="s">
        <v>1085</v>
      </c>
      <c r="M1880" s="21" t="s">
        <v>12</v>
      </c>
      <c r="N1880" s="54">
        <v>1000</v>
      </c>
      <c r="O1880" s="54">
        <v>-1000</v>
      </c>
      <c r="P1880" s="54">
        <v>0</v>
      </c>
      <c r="Q1880" s="54">
        <v>0</v>
      </c>
      <c r="R1880" s="54">
        <v>0</v>
      </c>
      <c r="S1880" s="54">
        <v>0</v>
      </c>
      <c r="T1880" s="54">
        <v>0</v>
      </c>
      <c r="U1880" s="54">
        <v>0</v>
      </c>
      <c r="V1880" s="54">
        <v>0</v>
      </c>
      <c r="W1880" s="54">
        <v>0</v>
      </c>
    </row>
    <row r="1881" spans="1:23" outlineLevel="2" x14ac:dyDescent="0.2">
      <c r="A1881" s="21" t="s">
        <v>999</v>
      </c>
      <c r="B1881" s="21" t="s">
        <v>39</v>
      </c>
      <c r="C1881" s="21" t="s">
        <v>58</v>
      </c>
      <c r="D1881" s="21" t="s">
        <v>143</v>
      </c>
      <c r="E1881" s="21" t="s">
        <v>144</v>
      </c>
      <c r="F1881" s="21" t="s">
        <v>837</v>
      </c>
      <c r="G1881" s="21" t="s">
        <v>838</v>
      </c>
      <c r="H1881" s="21" t="s">
        <v>852</v>
      </c>
      <c r="I1881" s="21" t="s">
        <v>853</v>
      </c>
      <c r="J1881" s="21" t="s">
        <v>1000</v>
      </c>
      <c r="K1881" s="21" t="s">
        <v>1118</v>
      </c>
      <c r="L1881" s="21" t="s">
        <v>1119</v>
      </c>
      <c r="M1881" s="21" t="s">
        <v>12</v>
      </c>
      <c r="N1881" s="54">
        <v>1000</v>
      </c>
      <c r="O1881" s="54">
        <v>-1000</v>
      </c>
      <c r="P1881" s="54">
        <v>0</v>
      </c>
      <c r="Q1881" s="54">
        <v>0</v>
      </c>
      <c r="R1881" s="54">
        <v>0</v>
      </c>
      <c r="S1881" s="54">
        <v>0</v>
      </c>
      <c r="T1881" s="54">
        <v>0</v>
      </c>
      <c r="U1881" s="54">
        <v>0</v>
      </c>
      <c r="V1881" s="54">
        <v>0</v>
      </c>
      <c r="W1881" s="54">
        <v>0</v>
      </c>
    </row>
    <row r="1882" spans="1:23" outlineLevel="2" x14ac:dyDescent="0.2">
      <c r="A1882" s="21" t="s">
        <v>999</v>
      </c>
      <c r="B1882" s="21" t="s">
        <v>39</v>
      </c>
      <c r="C1882" s="21" t="s">
        <v>58</v>
      </c>
      <c r="D1882" s="21" t="s">
        <v>147</v>
      </c>
      <c r="E1882" s="21" t="s">
        <v>148</v>
      </c>
      <c r="F1882" s="21" t="s">
        <v>837</v>
      </c>
      <c r="G1882" s="21" t="s">
        <v>838</v>
      </c>
      <c r="H1882" s="21" t="s">
        <v>852</v>
      </c>
      <c r="I1882" s="21" t="s">
        <v>853</v>
      </c>
      <c r="J1882" s="21" t="s">
        <v>1000</v>
      </c>
      <c r="K1882" s="21" t="s">
        <v>1118</v>
      </c>
      <c r="L1882" s="21" t="s">
        <v>1119</v>
      </c>
      <c r="M1882" s="21" t="s">
        <v>12</v>
      </c>
      <c r="N1882" s="54">
        <v>2000</v>
      </c>
      <c r="O1882" s="54">
        <v>0</v>
      </c>
      <c r="P1882" s="54">
        <v>0</v>
      </c>
      <c r="Q1882" s="54">
        <v>2000</v>
      </c>
      <c r="R1882" s="54">
        <v>0</v>
      </c>
      <c r="S1882" s="54">
        <v>0</v>
      </c>
      <c r="T1882" s="54">
        <v>0</v>
      </c>
      <c r="U1882" s="54">
        <v>2000</v>
      </c>
      <c r="V1882" s="54">
        <v>2000</v>
      </c>
      <c r="W1882" s="54">
        <v>2000</v>
      </c>
    </row>
    <row r="1883" spans="1:23" outlineLevel="2" x14ac:dyDescent="0.2">
      <c r="A1883" s="21" t="s">
        <v>999</v>
      </c>
      <c r="B1883" s="21" t="s">
        <v>39</v>
      </c>
      <c r="C1883" s="21" t="s">
        <v>58</v>
      </c>
      <c r="D1883" s="21" t="s">
        <v>145</v>
      </c>
      <c r="E1883" s="21" t="s">
        <v>146</v>
      </c>
      <c r="F1883" s="21" t="s">
        <v>837</v>
      </c>
      <c r="G1883" s="21" t="s">
        <v>838</v>
      </c>
      <c r="H1883" s="21" t="s">
        <v>852</v>
      </c>
      <c r="I1883" s="21" t="s">
        <v>853</v>
      </c>
      <c r="J1883" s="21" t="s">
        <v>1000</v>
      </c>
      <c r="K1883" s="21" t="s">
        <v>1118</v>
      </c>
      <c r="L1883" s="21" t="s">
        <v>1119</v>
      </c>
      <c r="M1883" s="21" t="s">
        <v>12</v>
      </c>
      <c r="N1883" s="54">
        <v>1500</v>
      </c>
      <c r="O1883" s="54">
        <v>0</v>
      </c>
      <c r="P1883" s="54">
        <v>0</v>
      </c>
      <c r="Q1883" s="54">
        <v>1500</v>
      </c>
      <c r="R1883" s="54">
        <v>0</v>
      </c>
      <c r="S1883" s="54">
        <v>0</v>
      </c>
      <c r="T1883" s="54">
        <v>0</v>
      </c>
      <c r="U1883" s="54">
        <v>1500</v>
      </c>
      <c r="V1883" s="54">
        <v>1500</v>
      </c>
      <c r="W1883" s="54">
        <v>1500</v>
      </c>
    </row>
    <row r="1884" spans="1:23" outlineLevel="2" x14ac:dyDescent="0.2">
      <c r="A1884" s="21" t="s">
        <v>999</v>
      </c>
      <c r="B1884" s="21" t="s">
        <v>39</v>
      </c>
      <c r="C1884" s="21" t="s">
        <v>58</v>
      </c>
      <c r="D1884" s="21" t="s">
        <v>147</v>
      </c>
      <c r="E1884" s="21" t="s">
        <v>148</v>
      </c>
      <c r="F1884" s="21" t="s">
        <v>837</v>
      </c>
      <c r="G1884" s="21" t="s">
        <v>838</v>
      </c>
      <c r="H1884" s="21" t="s">
        <v>852</v>
      </c>
      <c r="I1884" s="21" t="s">
        <v>853</v>
      </c>
      <c r="J1884" s="21" t="s">
        <v>1000</v>
      </c>
      <c r="K1884" s="21" t="s">
        <v>1120</v>
      </c>
      <c r="L1884" s="21" t="s">
        <v>1121</v>
      </c>
      <c r="M1884" s="21" t="s">
        <v>12</v>
      </c>
      <c r="N1884" s="54">
        <v>2000</v>
      </c>
      <c r="O1884" s="54">
        <v>0</v>
      </c>
      <c r="P1884" s="54">
        <v>0</v>
      </c>
      <c r="Q1884" s="54">
        <v>2000</v>
      </c>
      <c r="R1884" s="54">
        <v>0</v>
      </c>
      <c r="S1884" s="54">
        <v>0</v>
      </c>
      <c r="T1884" s="54">
        <v>0</v>
      </c>
      <c r="U1884" s="54">
        <v>2000</v>
      </c>
      <c r="V1884" s="54">
        <v>2000</v>
      </c>
      <c r="W1884" s="54">
        <v>2000</v>
      </c>
    </row>
    <row r="1885" spans="1:23" outlineLevel="2" x14ac:dyDescent="0.2">
      <c r="A1885" s="21" t="s">
        <v>999</v>
      </c>
      <c r="B1885" s="21" t="s">
        <v>39</v>
      </c>
      <c r="C1885" s="21" t="s">
        <v>58</v>
      </c>
      <c r="D1885" s="21" t="s">
        <v>129</v>
      </c>
      <c r="E1885" s="21" t="s">
        <v>130</v>
      </c>
      <c r="F1885" s="21" t="s">
        <v>837</v>
      </c>
      <c r="G1885" s="21" t="s">
        <v>838</v>
      </c>
      <c r="H1885" s="21" t="s">
        <v>852</v>
      </c>
      <c r="I1885" s="21" t="s">
        <v>853</v>
      </c>
      <c r="J1885" s="21" t="s">
        <v>1000</v>
      </c>
      <c r="K1885" s="21" t="s">
        <v>1120</v>
      </c>
      <c r="L1885" s="21" t="s">
        <v>1121</v>
      </c>
      <c r="M1885" s="21" t="s">
        <v>12</v>
      </c>
      <c r="N1885" s="54">
        <v>0</v>
      </c>
      <c r="O1885" s="54">
        <v>295.27999999999997</v>
      </c>
      <c r="P1885" s="54">
        <v>0</v>
      </c>
      <c r="Q1885" s="54">
        <v>295.27999999999997</v>
      </c>
      <c r="R1885" s="54">
        <v>0</v>
      </c>
      <c r="S1885" s="54">
        <v>0</v>
      </c>
      <c r="T1885" s="54">
        <v>0</v>
      </c>
      <c r="U1885" s="54">
        <v>295.27999999999997</v>
      </c>
      <c r="V1885" s="54">
        <v>295.27999999999997</v>
      </c>
      <c r="W1885" s="54">
        <v>295.27999999999997</v>
      </c>
    </row>
    <row r="1886" spans="1:23" outlineLevel="2" x14ac:dyDescent="0.2">
      <c r="A1886" s="21" t="s">
        <v>999</v>
      </c>
      <c r="B1886" s="21" t="s">
        <v>39</v>
      </c>
      <c r="C1886" s="21" t="s">
        <v>58</v>
      </c>
      <c r="D1886" s="21" t="s">
        <v>139</v>
      </c>
      <c r="E1886" s="21" t="s">
        <v>140</v>
      </c>
      <c r="F1886" s="21" t="s">
        <v>837</v>
      </c>
      <c r="G1886" s="21" t="s">
        <v>838</v>
      </c>
      <c r="H1886" s="21" t="s">
        <v>852</v>
      </c>
      <c r="I1886" s="21" t="s">
        <v>853</v>
      </c>
      <c r="J1886" s="21" t="s">
        <v>1000</v>
      </c>
      <c r="K1886" s="21" t="s">
        <v>1023</v>
      </c>
      <c r="L1886" s="21" t="s">
        <v>1122</v>
      </c>
      <c r="M1886" s="21" t="s">
        <v>12</v>
      </c>
      <c r="N1886" s="54">
        <v>300</v>
      </c>
      <c r="O1886" s="54">
        <v>-300</v>
      </c>
      <c r="P1886" s="54">
        <v>0</v>
      </c>
      <c r="Q1886" s="54">
        <v>0</v>
      </c>
      <c r="R1886" s="54">
        <v>0</v>
      </c>
      <c r="S1886" s="54">
        <v>0</v>
      </c>
      <c r="T1886" s="54">
        <v>0</v>
      </c>
      <c r="U1886" s="54">
        <v>0</v>
      </c>
      <c r="V1886" s="54">
        <v>0</v>
      </c>
      <c r="W1886" s="54">
        <v>0</v>
      </c>
    </row>
    <row r="1887" spans="1:23" outlineLevel="2" x14ac:dyDescent="0.2">
      <c r="A1887" s="21" t="s">
        <v>999</v>
      </c>
      <c r="B1887" s="21" t="s">
        <v>39</v>
      </c>
      <c r="C1887" s="21" t="s">
        <v>58</v>
      </c>
      <c r="D1887" s="21" t="s">
        <v>143</v>
      </c>
      <c r="E1887" s="21" t="s">
        <v>144</v>
      </c>
      <c r="F1887" s="21" t="s">
        <v>837</v>
      </c>
      <c r="G1887" s="21" t="s">
        <v>838</v>
      </c>
      <c r="H1887" s="21" t="s">
        <v>852</v>
      </c>
      <c r="I1887" s="21" t="s">
        <v>853</v>
      </c>
      <c r="J1887" s="21" t="s">
        <v>1000</v>
      </c>
      <c r="K1887" s="21" t="s">
        <v>1123</v>
      </c>
      <c r="L1887" s="21" t="s">
        <v>1124</v>
      </c>
      <c r="M1887" s="21" t="s">
        <v>12</v>
      </c>
      <c r="N1887" s="54">
        <v>2000</v>
      </c>
      <c r="O1887" s="54">
        <v>-2000</v>
      </c>
      <c r="P1887" s="54">
        <v>0</v>
      </c>
      <c r="Q1887" s="54">
        <v>0</v>
      </c>
      <c r="R1887" s="54">
        <v>0</v>
      </c>
      <c r="S1887" s="54">
        <v>0</v>
      </c>
      <c r="T1887" s="54">
        <v>0</v>
      </c>
      <c r="U1887" s="54">
        <v>0</v>
      </c>
      <c r="V1887" s="54">
        <v>0</v>
      </c>
      <c r="W1887" s="54">
        <v>0</v>
      </c>
    </row>
    <row r="1888" spans="1:23" outlineLevel="2" x14ac:dyDescent="0.2">
      <c r="A1888" s="21" t="s">
        <v>999</v>
      </c>
      <c r="B1888" s="21" t="s">
        <v>39</v>
      </c>
      <c r="C1888" s="21" t="s">
        <v>58</v>
      </c>
      <c r="D1888" s="21" t="s">
        <v>149</v>
      </c>
      <c r="E1888" s="21" t="s">
        <v>150</v>
      </c>
      <c r="F1888" s="21" t="s">
        <v>837</v>
      </c>
      <c r="G1888" s="21" t="s">
        <v>838</v>
      </c>
      <c r="H1888" s="21" t="s">
        <v>1125</v>
      </c>
      <c r="I1888" s="21" t="s">
        <v>1126</v>
      </c>
      <c r="J1888" s="21" t="s">
        <v>1000</v>
      </c>
      <c r="K1888" s="21" t="s">
        <v>1039</v>
      </c>
      <c r="L1888" s="21" t="s">
        <v>1067</v>
      </c>
      <c r="M1888" s="21" t="s">
        <v>12</v>
      </c>
      <c r="N1888" s="54">
        <v>45000</v>
      </c>
      <c r="O1888" s="54">
        <v>-44978.11</v>
      </c>
      <c r="P1888" s="54">
        <v>0</v>
      </c>
      <c r="Q1888" s="54">
        <v>21.89</v>
      </c>
      <c r="R1888" s="54">
        <v>0</v>
      </c>
      <c r="S1888" s="54">
        <v>0</v>
      </c>
      <c r="T1888" s="54">
        <v>0</v>
      </c>
      <c r="U1888" s="54">
        <v>21.89</v>
      </c>
      <c r="V1888" s="54">
        <v>21.89</v>
      </c>
      <c r="W1888" s="54">
        <v>21.89</v>
      </c>
    </row>
    <row r="1889" spans="1:23" outlineLevel="2" x14ac:dyDescent="0.2">
      <c r="A1889" s="21" t="s">
        <v>999</v>
      </c>
      <c r="B1889" s="21" t="s">
        <v>39</v>
      </c>
      <c r="C1889" s="21" t="s">
        <v>58</v>
      </c>
      <c r="D1889" s="21" t="s">
        <v>149</v>
      </c>
      <c r="E1889" s="21" t="s">
        <v>150</v>
      </c>
      <c r="F1889" s="21" t="s">
        <v>837</v>
      </c>
      <c r="G1889" s="21" t="s">
        <v>838</v>
      </c>
      <c r="H1889" s="21" t="s">
        <v>1125</v>
      </c>
      <c r="I1889" s="21" t="s">
        <v>1126</v>
      </c>
      <c r="J1889" s="21" t="s">
        <v>1000</v>
      </c>
      <c r="K1889" s="21" t="s">
        <v>1043</v>
      </c>
      <c r="L1889" s="21" t="s">
        <v>1070</v>
      </c>
      <c r="M1889" s="21" t="s">
        <v>12</v>
      </c>
      <c r="N1889" s="54">
        <v>65719.990000000005</v>
      </c>
      <c r="O1889" s="54">
        <v>0</v>
      </c>
      <c r="P1889" s="54">
        <v>0</v>
      </c>
      <c r="Q1889" s="54">
        <v>65719.990000000005</v>
      </c>
      <c r="R1889" s="54">
        <v>0</v>
      </c>
      <c r="S1889" s="54">
        <v>0</v>
      </c>
      <c r="T1889" s="54">
        <v>0</v>
      </c>
      <c r="U1889" s="54">
        <v>65719.990000000005</v>
      </c>
      <c r="V1889" s="54">
        <v>65719.990000000005</v>
      </c>
      <c r="W1889" s="54">
        <v>65719.990000000005</v>
      </c>
    </row>
    <row r="1890" spans="1:23" outlineLevel="2" x14ac:dyDescent="0.2">
      <c r="A1890" s="21" t="s">
        <v>999</v>
      </c>
      <c r="B1890" s="21" t="s">
        <v>39</v>
      </c>
      <c r="C1890" s="21" t="s">
        <v>58</v>
      </c>
      <c r="D1890" s="21" t="s">
        <v>135</v>
      </c>
      <c r="E1890" s="21" t="s">
        <v>136</v>
      </c>
      <c r="F1890" s="21" t="s">
        <v>837</v>
      </c>
      <c r="G1890" s="21" t="s">
        <v>838</v>
      </c>
      <c r="H1890" s="21" t="s">
        <v>1125</v>
      </c>
      <c r="I1890" s="21" t="s">
        <v>1126</v>
      </c>
      <c r="J1890" s="21" t="s">
        <v>1000</v>
      </c>
      <c r="K1890" s="21" t="s">
        <v>1127</v>
      </c>
      <c r="L1890" s="21" t="s">
        <v>1128</v>
      </c>
      <c r="M1890" s="21" t="s">
        <v>12</v>
      </c>
      <c r="N1890" s="54">
        <v>100000</v>
      </c>
      <c r="O1890" s="54">
        <v>-100000</v>
      </c>
      <c r="P1890" s="54">
        <v>0</v>
      </c>
      <c r="Q1890" s="54">
        <v>0</v>
      </c>
      <c r="R1890" s="54">
        <v>0</v>
      </c>
      <c r="S1890" s="54">
        <v>0</v>
      </c>
      <c r="T1890" s="54">
        <v>0</v>
      </c>
      <c r="U1890" s="54">
        <v>0</v>
      </c>
      <c r="V1890" s="54">
        <v>0</v>
      </c>
      <c r="W1890" s="54">
        <v>0</v>
      </c>
    </row>
    <row r="1891" spans="1:23" outlineLevel="2" x14ac:dyDescent="0.2">
      <c r="A1891" s="21" t="s">
        <v>999</v>
      </c>
      <c r="B1891" s="21" t="s">
        <v>39</v>
      </c>
      <c r="C1891" s="21" t="s">
        <v>58</v>
      </c>
      <c r="D1891" s="21" t="s">
        <v>143</v>
      </c>
      <c r="E1891" s="21" t="s">
        <v>144</v>
      </c>
      <c r="F1891" s="21" t="s">
        <v>837</v>
      </c>
      <c r="G1891" s="21" t="s">
        <v>838</v>
      </c>
      <c r="H1891" s="21" t="s">
        <v>1125</v>
      </c>
      <c r="I1891" s="21" t="s">
        <v>1126</v>
      </c>
      <c r="J1891" s="21" t="s">
        <v>1000</v>
      </c>
      <c r="K1891" s="21" t="s">
        <v>1129</v>
      </c>
      <c r="L1891" s="21" t="s">
        <v>1130</v>
      </c>
      <c r="M1891" s="21" t="s">
        <v>12</v>
      </c>
      <c r="N1891" s="54">
        <v>55000</v>
      </c>
      <c r="O1891" s="54">
        <v>0</v>
      </c>
      <c r="P1891" s="54">
        <v>0</v>
      </c>
      <c r="Q1891" s="54">
        <v>55000</v>
      </c>
      <c r="R1891" s="54">
        <v>0</v>
      </c>
      <c r="S1891" s="54">
        <v>7930.72</v>
      </c>
      <c r="T1891" s="54">
        <v>7930.72</v>
      </c>
      <c r="U1891" s="54">
        <v>47069.279999999999</v>
      </c>
      <c r="V1891" s="54">
        <v>47069.279999999999</v>
      </c>
      <c r="W1891" s="54">
        <v>47069.279999999999</v>
      </c>
    </row>
    <row r="1892" spans="1:23" outlineLevel="2" x14ac:dyDescent="0.2">
      <c r="A1892" s="21" t="s">
        <v>999</v>
      </c>
      <c r="B1892" s="21" t="s">
        <v>39</v>
      </c>
      <c r="C1892" s="21" t="s">
        <v>58</v>
      </c>
      <c r="D1892" s="21" t="s">
        <v>145</v>
      </c>
      <c r="E1892" s="21" t="s">
        <v>146</v>
      </c>
      <c r="F1892" s="21" t="s">
        <v>837</v>
      </c>
      <c r="G1892" s="21" t="s">
        <v>838</v>
      </c>
      <c r="H1892" s="21" t="s">
        <v>1125</v>
      </c>
      <c r="I1892" s="21" t="s">
        <v>1126</v>
      </c>
      <c r="J1892" s="21" t="s">
        <v>1000</v>
      </c>
      <c r="K1892" s="21" t="s">
        <v>1129</v>
      </c>
      <c r="L1892" s="21" t="s">
        <v>1130</v>
      </c>
      <c r="M1892" s="21" t="s">
        <v>12</v>
      </c>
      <c r="N1892" s="54">
        <v>60000</v>
      </c>
      <c r="O1892" s="54">
        <v>0</v>
      </c>
      <c r="P1892" s="54">
        <v>0</v>
      </c>
      <c r="Q1892" s="54">
        <v>60000</v>
      </c>
      <c r="R1892" s="54">
        <v>0</v>
      </c>
      <c r="S1892" s="54">
        <v>0</v>
      </c>
      <c r="T1892" s="54">
        <v>0</v>
      </c>
      <c r="U1892" s="54">
        <v>60000</v>
      </c>
      <c r="V1892" s="54">
        <v>60000</v>
      </c>
      <c r="W1892" s="54">
        <v>60000</v>
      </c>
    </row>
    <row r="1893" spans="1:23" outlineLevel="2" x14ac:dyDescent="0.2">
      <c r="A1893" s="21" t="s">
        <v>999</v>
      </c>
      <c r="B1893" s="21" t="s">
        <v>39</v>
      </c>
      <c r="C1893" s="21" t="s">
        <v>58</v>
      </c>
      <c r="D1893" s="21" t="s">
        <v>147</v>
      </c>
      <c r="E1893" s="21" t="s">
        <v>148</v>
      </c>
      <c r="F1893" s="21" t="s">
        <v>837</v>
      </c>
      <c r="G1893" s="21" t="s">
        <v>838</v>
      </c>
      <c r="H1893" s="21" t="s">
        <v>1125</v>
      </c>
      <c r="I1893" s="21" t="s">
        <v>1126</v>
      </c>
      <c r="J1893" s="21" t="s">
        <v>1000</v>
      </c>
      <c r="K1893" s="21" t="s">
        <v>1071</v>
      </c>
      <c r="L1893" s="21" t="s">
        <v>1072</v>
      </c>
      <c r="M1893" s="21" t="s">
        <v>12</v>
      </c>
      <c r="N1893" s="54">
        <v>100000</v>
      </c>
      <c r="O1893" s="54">
        <v>0</v>
      </c>
      <c r="P1893" s="54">
        <v>0</v>
      </c>
      <c r="Q1893" s="54">
        <v>100000</v>
      </c>
      <c r="R1893" s="54">
        <v>100000</v>
      </c>
      <c r="S1893" s="54">
        <v>0</v>
      </c>
      <c r="T1893" s="54">
        <v>0</v>
      </c>
      <c r="U1893" s="54">
        <v>100000</v>
      </c>
      <c r="V1893" s="54">
        <v>100000</v>
      </c>
      <c r="W1893" s="54">
        <v>0</v>
      </c>
    </row>
    <row r="1894" spans="1:23" outlineLevel="2" x14ac:dyDescent="0.2">
      <c r="A1894" s="21" t="s">
        <v>999</v>
      </c>
      <c r="B1894" s="21" t="s">
        <v>39</v>
      </c>
      <c r="C1894" s="21" t="s">
        <v>58</v>
      </c>
      <c r="D1894" s="21" t="s">
        <v>147</v>
      </c>
      <c r="E1894" s="21" t="s">
        <v>148</v>
      </c>
      <c r="F1894" s="21" t="s">
        <v>837</v>
      </c>
      <c r="G1894" s="21" t="s">
        <v>838</v>
      </c>
      <c r="H1894" s="21" t="s">
        <v>1125</v>
      </c>
      <c r="I1894" s="21" t="s">
        <v>1126</v>
      </c>
      <c r="J1894" s="21" t="s">
        <v>1000</v>
      </c>
      <c r="K1894" s="21" t="s">
        <v>1013</v>
      </c>
      <c r="L1894" s="21" t="s">
        <v>1131</v>
      </c>
      <c r="M1894" s="21" t="s">
        <v>12</v>
      </c>
      <c r="N1894" s="54">
        <v>20000</v>
      </c>
      <c r="O1894" s="54">
        <v>4757.49</v>
      </c>
      <c r="P1894" s="54">
        <v>0</v>
      </c>
      <c r="Q1894" s="54">
        <v>24757.49</v>
      </c>
      <c r="R1894" s="54">
        <v>0</v>
      </c>
      <c r="S1894" s="54">
        <v>4757.49</v>
      </c>
      <c r="T1894" s="54">
        <v>4757.49</v>
      </c>
      <c r="U1894" s="54">
        <v>20000</v>
      </c>
      <c r="V1894" s="54">
        <v>20000</v>
      </c>
      <c r="W1894" s="54">
        <v>20000</v>
      </c>
    </row>
    <row r="1895" spans="1:23" outlineLevel="2" x14ac:dyDescent="0.2">
      <c r="A1895" s="21" t="s">
        <v>999</v>
      </c>
      <c r="B1895" s="21" t="s">
        <v>39</v>
      </c>
      <c r="C1895" s="21" t="s">
        <v>58</v>
      </c>
      <c r="D1895" s="21" t="s">
        <v>147</v>
      </c>
      <c r="E1895" s="21" t="s">
        <v>148</v>
      </c>
      <c r="F1895" s="21" t="s">
        <v>837</v>
      </c>
      <c r="G1895" s="21" t="s">
        <v>838</v>
      </c>
      <c r="H1895" s="21" t="s">
        <v>1125</v>
      </c>
      <c r="I1895" s="21" t="s">
        <v>1126</v>
      </c>
      <c r="J1895" s="21" t="s">
        <v>1000</v>
      </c>
      <c r="K1895" s="21" t="s">
        <v>1074</v>
      </c>
      <c r="L1895" s="21" t="s">
        <v>1075</v>
      </c>
      <c r="M1895" s="21" t="s">
        <v>12</v>
      </c>
      <c r="N1895" s="54">
        <v>0</v>
      </c>
      <c r="O1895" s="54">
        <v>11500</v>
      </c>
      <c r="P1895" s="54">
        <v>0</v>
      </c>
      <c r="Q1895" s="54">
        <v>11500</v>
      </c>
      <c r="R1895" s="54">
        <v>0</v>
      </c>
      <c r="S1895" s="54">
        <v>0</v>
      </c>
      <c r="T1895" s="54">
        <v>0</v>
      </c>
      <c r="U1895" s="54">
        <v>11500</v>
      </c>
      <c r="V1895" s="54">
        <v>11500</v>
      </c>
      <c r="W1895" s="54">
        <v>11500</v>
      </c>
    </row>
    <row r="1896" spans="1:23" outlineLevel="2" x14ac:dyDescent="0.2">
      <c r="A1896" s="21" t="s">
        <v>999</v>
      </c>
      <c r="B1896" s="21" t="s">
        <v>39</v>
      </c>
      <c r="C1896" s="21" t="s">
        <v>58</v>
      </c>
      <c r="D1896" s="21" t="s">
        <v>149</v>
      </c>
      <c r="E1896" s="21" t="s">
        <v>150</v>
      </c>
      <c r="F1896" s="21" t="s">
        <v>837</v>
      </c>
      <c r="G1896" s="21" t="s">
        <v>838</v>
      </c>
      <c r="H1896" s="21" t="s">
        <v>1125</v>
      </c>
      <c r="I1896" s="21" t="s">
        <v>1126</v>
      </c>
      <c r="J1896" s="21" t="s">
        <v>1000</v>
      </c>
      <c r="K1896" s="21" t="s">
        <v>1015</v>
      </c>
      <c r="L1896" s="21" t="s">
        <v>1076</v>
      </c>
      <c r="M1896" s="21" t="s">
        <v>12</v>
      </c>
      <c r="N1896" s="54">
        <v>25300</v>
      </c>
      <c r="O1896" s="54">
        <v>-8678.08</v>
      </c>
      <c r="P1896" s="54">
        <v>0</v>
      </c>
      <c r="Q1896" s="54">
        <v>16621.919999999998</v>
      </c>
      <c r="R1896" s="54">
        <v>0</v>
      </c>
      <c r="S1896" s="54">
        <v>0</v>
      </c>
      <c r="T1896" s="54">
        <v>0</v>
      </c>
      <c r="U1896" s="54">
        <v>16621.919999999998</v>
      </c>
      <c r="V1896" s="54">
        <v>16621.919999999998</v>
      </c>
      <c r="W1896" s="54">
        <v>16621.919999999998</v>
      </c>
    </row>
    <row r="1897" spans="1:23" outlineLevel="2" x14ac:dyDescent="0.2">
      <c r="A1897" s="21" t="s">
        <v>999</v>
      </c>
      <c r="B1897" s="21" t="s">
        <v>39</v>
      </c>
      <c r="C1897" s="21" t="s">
        <v>58</v>
      </c>
      <c r="D1897" s="21" t="s">
        <v>145</v>
      </c>
      <c r="E1897" s="21" t="s">
        <v>146</v>
      </c>
      <c r="F1897" s="21" t="s">
        <v>837</v>
      </c>
      <c r="G1897" s="21" t="s">
        <v>838</v>
      </c>
      <c r="H1897" s="21" t="s">
        <v>1125</v>
      </c>
      <c r="I1897" s="21" t="s">
        <v>1126</v>
      </c>
      <c r="J1897" s="21" t="s">
        <v>1000</v>
      </c>
      <c r="K1897" s="21" t="s">
        <v>1015</v>
      </c>
      <c r="L1897" s="21" t="s">
        <v>1076</v>
      </c>
      <c r="M1897" s="21" t="s">
        <v>12</v>
      </c>
      <c r="N1897" s="54">
        <v>20000</v>
      </c>
      <c r="O1897" s="54">
        <v>10371.459999999999</v>
      </c>
      <c r="P1897" s="54">
        <v>0</v>
      </c>
      <c r="Q1897" s="54">
        <v>30371.46</v>
      </c>
      <c r="R1897" s="54">
        <v>0</v>
      </c>
      <c r="S1897" s="54">
        <v>0</v>
      </c>
      <c r="T1897" s="54">
        <v>0</v>
      </c>
      <c r="U1897" s="54">
        <v>30371.46</v>
      </c>
      <c r="V1897" s="54">
        <v>30371.46</v>
      </c>
      <c r="W1897" s="54">
        <v>30371.46</v>
      </c>
    </row>
    <row r="1898" spans="1:23" outlineLevel="2" x14ac:dyDescent="0.2">
      <c r="A1898" s="21" t="s">
        <v>999</v>
      </c>
      <c r="B1898" s="21" t="s">
        <v>39</v>
      </c>
      <c r="C1898" s="21" t="s">
        <v>58</v>
      </c>
      <c r="D1898" s="21" t="s">
        <v>59</v>
      </c>
      <c r="E1898" s="21" t="s">
        <v>60</v>
      </c>
      <c r="F1898" s="21" t="s">
        <v>837</v>
      </c>
      <c r="G1898" s="21" t="s">
        <v>838</v>
      </c>
      <c r="H1898" s="21" t="s">
        <v>1125</v>
      </c>
      <c r="I1898" s="21" t="s">
        <v>1126</v>
      </c>
      <c r="J1898" s="21" t="s">
        <v>1000</v>
      </c>
      <c r="K1898" s="21" t="s">
        <v>1017</v>
      </c>
      <c r="L1898" s="21" t="s">
        <v>1077</v>
      </c>
      <c r="M1898" s="21" t="s">
        <v>12</v>
      </c>
      <c r="N1898" s="54">
        <v>47100</v>
      </c>
      <c r="O1898" s="54">
        <v>0</v>
      </c>
      <c r="P1898" s="54">
        <v>0</v>
      </c>
      <c r="Q1898" s="54">
        <v>47100</v>
      </c>
      <c r="R1898" s="54">
        <v>0</v>
      </c>
      <c r="S1898" s="54">
        <v>0</v>
      </c>
      <c r="T1898" s="54">
        <v>0</v>
      </c>
      <c r="U1898" s="54">
        <v>47100</v>
      </c>
      <c r="V1898" s="54">
        <v>47100</v>
      </c>
      <c r="W1898" s="54">
        <v>47100</v>
      </c>
    </row>
    <row r="1899" spans="1:23" outlineLevel="2" x14ac:dyDescent="0.2">
      <c r="A1899" s="21" t="s">
        <v>999</v>
      </c>
      <c r="B1899" s="21" t="s">
        <v>39</v>
      </c>
      <c r="C1899" s="21" t="s">
        <v>58</v>
      </c>
      <c r="D1899" s="21" t="s">
        <v>143</v>
      </c>
      <c r="E1899" s="21" t="s">
        <v>144</v>
      </c>
      <c r="F1899" s="21" t="s">
        <v>837</v>
      </c>
      <c r="G1899" s="21" t="s">
        <v>838</v>
      </c>
      <c r="H1899" s="21" t="s">
        <v>1125</v>
      </c>
      <c r="I1899" s="21" t="s">
        <v>1126</v>
      </c>
      <c r="J1899" s="21" t="s">
        <v>1000</v>
      </c>
      <c r="K1899" s="21" t="s">
        <v>1082</v>
      </c>
      <c r="L1899" s="21" t="s">
        <v>1083</v>
      </c>
      <c r="M1899" s="21" t="s">
        <v>12</v>
      </c>
      <c r="N1899" s="54">
        <v>20000</v>
      </c>
      <c r="O1899" s="54">
        <v>0</v>
      </c>
      <c r="P1899" s="54">
        <v>0</v>
      </c>
      <c r="Q1899" s="54">
        <v>20000</v>
      </c>
      <c r="R1899" s="54">
        <v>0</v>
      </c>
      <c r="S1899" s="54">
        <v>0</v>
      </c>
      <c r="T1899" s="54">
        <v>0</v>
      </c>
      <c r="U1899" s="54">
        <v>20000</v>
      </c>
      <c r="V1899" s="54">
        <v>20000</v>
      </c>
      <c r="W1899" s="54">
        <v>20000</v>
      </c>
    </row>
    <row r="1900" spans="1:23" outlineLevel="2" x14ac:dyDescent="0.2">
      <c r="A1900" s="21" t="s">
        <v>999</v>
      </c>
      <c r="B1900" s="21" t="s">
        <v>39</v>
      </c>
      <c r="C1900" s="21" t="s">
        <v>58</v>
      </c>
      <c r="D1900" s="21" t="s">
        <v>147</v>
      </c>
      <c r="E1900" s="21" t="s">
        <v>148</v>
      </c>
      <c r="F1900" s="21" t="s">
        <v>837</v>
      </c>
      <c r="G1900" s="21" t="s">
        <v>838</v>
      </c>
      <c r="H1900" s="21" t="s">
        <v>1125</v>
      </c>
      <c r="I1900" s="21" t="s">
        <v>1126</v>
      </c>
      <c r="J1900" s="21" t="s">
        <v>1000</v>
      </c>
      <c r="K1900" s="21" t="s">
        <v>1082</v>
      </c>
      <c r="L1900" s="21" t="s">
        <v>1083</v>
      </c>
      <c r="M1900" s="21" t="s">
        <v>12</v>
      </c>
      <c r="N1900" s="54">
        <v>30000</v>
      </c>
      <c r="O1900" s="54">
        <v>0</v>
      </c>
      <c r="P1900" s="54">
        <v>0</v>
      </c>
      <c r="Q1900" s="54">
        <v>30000</v>
      </c>
      <c r="R1900" s="54">
        <v>8938.6299999999992</v>
      </c>
      <c r="S1900" s="54">
        <v>21061.37</v>
      </c>
      <c r="T1900" s="54">
        <v>0</v>
      </c>
      <c r="U1900" s="54">
        <v>8938.6299999999992</v>
      </c>
      <c r="V1900" s="54">
        <v>30000</v>
      </c>
      <c r="W1900" s="54">
        <v>0</v>
      </c>
    </row>
    <row r="1901" spans="1:23" outlineLevel="2" x14ac:dyDescent="0.2">
      <c r="A1901" s="21" t="s">
        <v>999</v>
      </c>
      <c r="B1901" s="21" t="s">
        <v>39</v>
      </c>
      <c r="C1901" s="21" t="s">
        <v>58</v>
      </c>
      <c r="D1901" s="21" t="s">
        <v>135</v>
      </c>
      <c r="E1901" s="21" t="s">
        <v>136</v>
      </c>
      <c r="F1901" s="21" t="s">
        <v>837</v>
      </c>
      <c r="G1901" s="21" t="s">
        <v>838</v>
      </c>
      <c r="H1901" s="21" t="s">
        <v>1125</v>
      </c>
      <c r="I1901" s="21" t="s">
        <v>1126</v>
      </c>
      <c r="J1901" s="21" t="s">
        <v>1000</v>
      </c>
      <c r="K1901" s="21" t="s">
        <v>1082</v>
      </c>
      <c r="L1901" s="21" t="s">
        <v>1083</v>
      </c>
      <c r="M1901" s="21" t="s">
        <v>12</v>
      </c>
      <c r="N1901" s="54">
        <v>11000</v>
      </c>
      <c r="O1901" s="54">
        <v>35000</v>
      </c>
      <c r="P1901" s="54">
        <v>0</v>
      </c>
      <c r="Q1901" s="54">
        <v>46000</v>
      </c>
      <c r="R1901" s="54">
        <v>6977.83</v>
      </c>
      <c r="S1901" s="54">
        <v>32715.98</v>
      </c>
      <c r="T1901" s="54">
        <v>23508.799999999999</v>
      </c>
      <c r="U1901" s="54">
        <v>13284.02</v>
      </c>
      <c r="V1901" s="54">
        <v>22491.200000000001</v>
      </c>
      <c r="W1901" s="54">
        <v>6306.19</v>
      </c>
    </row>
    <row r="1902" spans="1:23" outlineLevel="2" x14ac:dyDescent="0.2">
      <c r="A1902" s="21" t="s">
        <v>999</v>
      </c>
      <c r="B1902" s="21" t="s">
        <v>39</v>
      </c>
      <c r="C1902" s="21" t="s">
        <v>58</v>
      </c>
      <c r="D1902" s="21" t="s">
        <v>149</v>
      </c>
      <c r="E1902" s="21" t="s">
        <v>150</v>
      </c>
      <c r="F1902" s="21" t="s">
        <v>837</v>
      </c>
      <c r="G1902" s="21" t="s">
        <v>838</v>
      </c>
      <c r="H1902" s="21" t="s">
        <v>1132</v>
      </c>
      <c r="I1902" s="21" t="s">
        <v>1133</v>
      </c>
      <c r="J1902" s="21" t="s">
        <v>1000</v>
      </c>
      <c r="K1902" s="21" t="s">
        <v>1037</v>
      </c>
      <c r="L1902" s="21" t="s">
        <v>1066</v>
      </c>
      <c r="M1902" s="21" t="s">
        <v>12</v>
      </c>
      <c r="N1902" s="54">
        <v>3500</v>
      </c>
      <c r="O1902" s="54">
        <v>0</v>
      </c>
      <c r="P1902" s="54">
        <v>0</v>
      </c>
      <c r="Q1902" s="54">
        <v>3500</v>
      </c>
      <c r="R1902" s="54">
        <v>0</v>
      </c>
      <c r="S1902" s="54">
        <v>0</v>
      </c>
      <c r="T1902" s="54">
        <v>0</v>
      </c>
      <c r="U1902" s="54">
        <v>3500</v>
      </c>
      <c r="V1902" s="54">
        <v>3500</v>
      </c>
      <c r="W1902" s="54">
        <v>3500</v>
      </c>
    </row>
    <row r="1903" spans="1:23" outlineLevel="2" x14ac:dyDescent="0.2">
      <c r="A1903" s="21" t="s">
        <v>999</v>
      </c>
      <c r="B1903" s="21" t="s">
        <v>39</v>
      </c>
      <c r="C1903" s="21" t="s">
        <v>58</v>
      </c>
      <c r="D1903" s="21" t="s">
        <v>59</v>
      </c>
      <c r="E1903" s="21" t="s">
        <v>60</v>
      </c>
      <c r="F1903" s="21" t="s">
        <v>837</v>
      </c>
      <c r="G1903" s="21" t="s">
        <v>838</v>
      </c>
      <c r="H1903" s="21" t="s">
        <v>1132</v>
      </c>
      <c r="I1903" s="21" t="s">
        <v>1133</v>
      </c>
      <c r="J1903" s="21" t="s">
        <v>1000</v>
      </c>
      <c r="K1903" s="21" t="s">
        <v>1037</v>
      </c>
      <c r="L1903" s="21" t="s">
        <v>1066</v>
      </c>
      <c r="M1903" s="21" t="s">
        <v>12</v>
      </c>
      <c r="N1903" s="54">
        <v>2500</v>
      </c>
      <c r="O1903" s="54">
        <v>0</v>
      </c>
      <c r="P1903" s="54">
        <v>0</v>
      </c>
      <c r="Q1903" s="54">
        <v>2500</v>
      </c>
      <c r="R1903" s="54">
        <v>0</v>
      </c>
      <c r="S1903" s="54">
        <v>0</v>
      </c>
      <c r="T1903" s="54">
        <v>0</v>
      </c>
      <c r="U1903" s="54">
        <v>2500</v>
      </c>
      <c r="V1903" s="54">
        <v>2500</v>
      </c>
      <c r="W1903" s="54">
        <v>2500</v>
      </c>
    </row>
    <row r="1904" spans="1:23" outlineLevel="2" x14ac:dyDescent="0.2">
      <c r="A1904" s="21" t="s">
        <v>999</v>
      </c>
      <c r="B1904" s="21" t="s">
        <v>39</v>
      </c>
      <c r="C1904" s="21" t="s">
        <v>58</v>
      </c>
      <c r="D1904" s="21" t="s">
        <v>59</v>
      </c>
      <c r="E1904" s="21" t="s">
        <v>60</v>
      </c>
      <c r="F1904" s="21" t="s">
        <v>837</v>
      </c>
      <c r="G1904" s="21" t="s">
        <v>838</v>
      </c>
      <c r="H1904" s="21" t="s">
        <v>1132</v>
      </c>
      <c r="I1904" s="21" t="s">
        <v>1133</v>
      </c>
      <c r="J1904" s="21" t="s">
        <v>1000</v>
      </c>
      <c r="K1904" s="21" t="s">
        <v>1039</v>
      </c>
      <c r="L1904" s="21" t="s">
        <v>1067</v>
      </c>
      <c r="M1904" s="21" t="s">
        <v>12</v>
      </c>
      <c r="N1904" s="54">
        <v>8159</v>
      </c>
      <c r="O1904" s="54">
        <v>0</v>
      </c>
      <c r="P1904" s="54">
        <v>0</v>
      </c>
      <c r="Q1904" s="54">
        <v>8159</v>
      </c>
      <c r="R1904" s="54">
        <v>0</v>
      </c>
      <c r="S1904" s="54">
        <v>0</v>
      </c>
      <c r="T1904" s="54">
        <v>0</v>
      </c>
      <c r="U1904" s="54">
        <v>8159</v>
      </c>
      <c r="V1904" s="54">
        <v>8159</v>
      </c>
      <c r="W1904" s="54">
        <v>8159</v>
      </c>
    </row>
    <row r="1905" spans="1:23" outlineLevel="2" x14ac:dyDescent="0.2">
      <c r="A1905" s="21" t="s">
        <v>999</v>
      </c>
      <c r="B1905" s="21" t="s">
        <v>39</v>
      </c>
      <c r="C1905" s="21" t="s">
        <v>58</v>
      </c>
      <c r="D1905" s="21" t="s">
        <v>147</v>
      </c>
      <c r="E1905" s="21" t="s">
        <v>148</v>
      </c>
      <c r="F1905" s="21" t="s">
        <v>837</v>
      </c>
      <c r="G1905" s="21" t="s">
        <v>838</v>
      </c>
      <c r="H1905" s="21" t="s">
        <v>1132</v>
      </c>
      <c r="I1905" s="21" t="s">
        <v>1133</v>
      </c>
      <c r="J1905" s="21" t="s">
        <v>1000</v>
      </c>
      <c r="K1905" s="21" t="s">
        <v>1039</v>
      </c>
      <c r="L1905" s="21" t="s">
        <v>1067</v>
      </c>
      <c r="M1905" s="21" t="s">
        <v>12</v>
      </c>
      <c r="N1905" s="54">
        <v>5000</v>
      </c>
      <c r="O1905" s="54">
        <v>0</v>
      </c>
      <c r="P1905" s="54">
        <v>0</v>
      </c>
      <c r="Q1905" s="54">
        <v>5000</v>
      </c>
      <c r="R1905" s="54">
        <v>0</v>
      </c>
      <c r="S1905" s="54">
        <v>0</v>
      </c>
      <c r="T1905" s="54">
        <v>0</v>
      </c>
      <c r="U1905" s="54">
        <v>5000</v>
      </c>
      <c r="V1905" s="54">
        <v>5000</v>
      </c>
      <c r="W1905" s="54">
        <v>5000</v>
      </c>
    </row>
    <row r="1906" spans="1:23" outlineLevel="2" x14ac:dyDescent="0.2">
      <c r="A1906" s="21" t="s">
        <v>999</v>
      </c>
      <c r="B1906" s="21" t="s">
        <v>39</v>
      </c>
      <c r="C1906" s="21" t="s">
        <v>58</v>
      </c>
      <c r="D1906" s="21" t="s">
        <v>135</v>
      </c>
      <c r="E1906" s="21" t="s">
        <v>136</v>
      </c>
      <c r="F1906" s="21" t="s">
        <v>837</v>
      </c>
      <c r="G1906" s="21" t="s">
        <v>838</v>
      </c>
      <c r="H1906" s="21" t="s">
        <v>1132</v>
      </c>
      <c r="I1906" s="21" t="s">
        <v>1133</v>
      </c>
      <c r="J1906" s="21" t="s">
        <v>1000</v>
      </c>
      <c r="K1906" s="21" t="s">
        <v>1039</v>
      </c>
      <c r="L1906" s="21" t="s">
        <v>1067</v>
      </c>
      <c r="M1906" s="21" t="s">
        <v>12</v>
      </c>
      <c r="N1906" s="54">
        <v>3000</v>
      </c>
      <c r="O1906" s="54">
        <v>0</v>
      </c>
      <c r="P1906" s="54">
        <v>0</v>
      </c>
      <c r="Q1906" s="54">
        <v>3000</v>
      </c>
      <c r="R1906" s="54">
        <v>0</v>
      </c>
      <c r="S1906" s="54">
        <v>0</v>
      </c>
      <c r="T1906" s="54">
        <v>0</v>
      </c>
      <c r="U1906" s="54">
        <v>3000</v>
      </c>
      <c r="V1906" s="54">
        <v>3000</v>
      </c>
      <c r="W1906" s="54">
        <v>3000</v>
      </c>
    </row>
    <row r="1907" spans="1:23" outlineLevel="2" x14ac:dyDescent="0.2">
      <c r="A1907" s="21" t="s">
        <v>999</v>
      </c>
      <c r="B1907" s="21" t="s">
        <v>39</v>
      </c>
      <c r="C1907" s="21" t="s">
        <v>58</v>
      </c>
      <c r="D1907" s="21" t="s">
        <v>143</v>
      </c>
      <c r="E1907" s="21" t="s">
        <v>144</v>
      </c>
      <c r="F1907" s="21" t="s">
        <v>837</v>
      </c>
      <c r="G1907" s="21" t="s">
        <v>838</v>
      </c>
      <c r="H1907" s="21" t="s">
        <v>1132</v>
      </c>
      <c r="I1907" s="21" t="s">
        <v>1133</v>
      </c>
      <c r="J1907" s="21" t="s">
        <v>1000</v>
      </c>
      <c r="K1907" s="21" t="s">
        <v>1039</v>
      </c>
      <c r="L1907" s="21" t="s">
        <v>1067</v>
      </c>
      <c r="M1907" s="21" t="s">
        <v>12</v>
      </c>
      <c r="N1907" s="54">
        <v>1360</v>
      </c>
      <c r="O1907" s="54">
        <v>0</v>
      </c>
      <c r="P1907" s="54">
        <v>0</v>
      </c>
      <c r="Q1907" s="54">
        <v>1360</v>
      </c>
      <c r="R1907" s="54">
        <v>0</v>
      </c>
      <c r="S1907" s="54">
        <v>0</v>
      </c>
      <c r="T1907" s="54">
        <v>0</v>
      </c>
      <c r="U1907" s="54">
        <v>1360</v>
      </c>
      <c r="V1907" s="54">
        <v>1360</v>
      </c>
      <c r="W1907" s="54">
        <v>1360</v>
      </c>
    </row>
    <row r="1908" spans="1:23" outlineLevel="2" x14ac:dyDescent="0.2">
      <c r="A1908" s="21" t="s">
        <v>999</v>
      </c>
      <c r="B1908" s="21" t="s">
        <v>39</v>
      </c>
      <c r="C1908" s="21" t="s">
        <v>58</v>
      </c>
      <c r="D1908" s="21" t="s">
        <v>105</v>
      </c>
      <c r="E1908" s="21" t="s">
        <v>106</v>
      </c>
      <c r="F1908" s="21" t="s">
        <v>837</v>
      </c>
      <c r="G1908" s="21" t="s">
        <v>838</v>
      </c>
      <c r="H1908" s="21" t="s">
        <v>1132</v>
      </c>
      <c r="I1908" s="21" t="s">
        <v>1133</v>
      </c>
      <c r="J1908" s="21" t="s">
        <v>1000</v>
      </c>
      <c r="K1908" s="21" t="s">
        <v>1039</v>
      </c>
      <c r="L1908" s="21" t="s">
        <v>1067</v>
      </c>
      <c r="M1908" s="21" t="s">
        <v>12</v>
      </c>
      <c r="N1908" s="54">
        <v>6322.42</v>
      </c>
      <c r="O1908" s="54">
        <v>0</v>
      </c>
      <c r="P1908" s="54">
        <v>0</v>
      </c>
      <c r="Q1908" s="54">
        <v>6322.42</v>
      </c>
      <c r="R1908" s="54">
        <v>0</v>
      </c>
      <c r="S1908" s="54">
        <v>0</v>
      </c>
      <c r="T1908" s="54">
        <v>0</v>
      </c>
      <c r="U1908" s="54">
        <v>6322.42</v>
      </c>
      <c r="V1908" s="54">
        <v>6322.42</v>
      </c>
      <c r="W1908" s="54">
        <v>6322.42</v>
      </c>
    </row>
    <row r="1909" spans="1:23" outlineLevel="2" x14ac:dyDescent="0.2">
      <c r="A1909" s="21" t="s">
        <v>999</v>
      </c>
      <c r="B1909" s="21" t="s">
        <v>39</v>
      </c>
      <c r="C1909" s="21" t="s">
        <v>58</v>
      </c>
      <c r="D1909" s="21" t="s">
        <v>149</v>
      </c>
      <c r="E1909" s="21" t="s">
        <v>150</v>
      </c>
      <c r="F1909" s="21" t="s">
        <v>837</v>
      </c>
      <c r="G1909" s="21" t="s">
        <v>838</v>
      </c>
      <c r="H1909" s="21" t="s">
        <v>1132</v>
      </c>
      <c r="I1909" s="21" t="s">
        <v>1133</v>
      </c>
      <c r="J1909" s="21" t="s">
        <v>1000</v>
      </c>
      <c r="K1909" s="21" t="s">
        <v>1039</v>
      </c>
      <c r="L1909" s="21" t="s">
        <v>1067</v>
      </c>
      <c r="M1909" s="21" t="s">
        <v>12</v>
      </c>
      <c r="N1909" s="54">
        <v>5582.81</v>
      </c>
      <c r="O1909" s="54">
        <v>0</v>
      </c>
      <c r="P1909" s="54">
        <v>0</v>
      </c>
      <c r="Q1909" s="54">
        <v>5582.81</v>
      </c>
      <c r="R1909" s="54">
        <v>0</v>
      </c>
      <c r="S1909" s="54">
        <v>0</v>
      </c>
      <c r="T1909" s="54">
        <v>0</v>
      </c>
      <c r="U1909" s="54">
        <v>5582.81</v>
      </c>
      <c r="V1909" s="54">
        <v>5582.81</v>
      </c>
      <c r="W1909" s="54">
        <v>5582.81</v>
      </c>
    </row>
    <row r="1910" spans="1:23" outlineLevel="2" x14ac:dyDescent="0.2">
      <c r="A1910" s="21" t="s">
        <v>999</v>
      </c>
      <c r="B1910" s="21" t="s">
        <v>39</v>
      </c>
      <c r="C1910" s="21" t="s">
        <v>58</v>
      </c>
      <c r="D1910" s="21" t="s">
        <v>137</v>
      </c>
      <c r="E1910" s="21" t="s">
        <v>138</v>
      </c>
      <c r="F1910" s="21" t="s">
        <v>837</v>
      </c>
      <c r="G1910" s="21" t="s">
        <v>838</v>
      </c>
      <c r="H1910" s="21" t="s">
        <v>1132</v>
      </c>
      <c r="I1910" s="21" t="s">
        <v>1133</v>
      </c>
      <c r="J1910" s="21" t="s">
        <v>1000</v>
      </c>
      <c r="K1910" s="21" t="s">
        <v>1039</v>
      </c>
      <c r="L1910" s="21" t="s">
        <v>1067</v>
      </c>
      <c r="M1910" s="21" t="s">
        <v>12</v>
      </c>
      <c r="N1910" s="54">
        <v>3750</v>
      </c>
      <c r="O1910" s="54">
        <v>0</v>
      </c>
      <c r="P1910" s="54">
        <v>0</v>
      </c>
      <c r="Q1910" s="54">
        <v>3750</v>
      </c>
      <c r="R1910" s="54">
        <v>0</v>
      </c>
      <c r="S1910" s="54">
        <v>0</v>
      </c>
      <c r="T1910" s="54">
        <v>0</v>
      </c>
      <c r="U1910" s="54">
        <v>3750</v>
      </c>
      <c r="V1910" s="54">
        <v>3750</v>
      </c>
      <c r="W1910" s="54">
        <v>3750</v>
      </c>
    </row>
    <row r="1911" spans="1:23" outlineLevel="2" x14ac:dyDescent="0.2">
      <c r="A1911" s="21" t="s">
        <v>999</v>
      </c>
      <c r="B1911" s="21" t="s">
        <v>39</v>
      </c>
      <c r="C1911" s="21" t="s">
        <v>58</v>
      </c>
      <c r="D1911" s="21" t="s">
        <v>145</v>
      </c>
      <c r="E1911" s="21" t="s">
        <v>146</v>
      </c>
      <c r="F1911" s="21" t="s">
        <v>837</v>
      </c>
      <c r="G1911" s="21" t="s">
        <v>838</v>
      </c>
      <c r="H1911" s="21" t="s">
        <v>1132</v>
      </c>
      <c r="I1911" s="21" t="s">
        <v>1133</v>
      </c>
      <c r="J1911" s="21" t="s">
        <v>1000</v>
      </c>
      <c r="K1911" s="21" t="s">
        <v>1039</v>
      </c>
      <c r="L1911" s="21" t="s">
        <v>1067</v>
      </c>
      <c r="M1911" s="21" t="s">
        <v>12</v>
      </c>
      <c r="N1911" s="54">
        <v>10000</v>
      </c>
      <c r="O1911" s="54">
        <v>0</v>
      </c>
      <c r="P1911" s="54">
        <v>0</v>
      </c>
      <c r="Q1911" s="54">
        <v>10000</v>
      </c>
      <c r="R1911" s="54">
        <v>0</v>
      </c>
      <c r="S1911" s="54">
        <v>0</v>
      </c>
      <c r="T1911" s="54">
        <v>0</v>
      </c>
      <c r="U1911" s="54">
        <v>10000</v>
      </c>
      <c r="V1911" s="54">
        <v>10000</v>
      </c>
      <c r="W1911" s="54">
        <v>10000</v>
      </c>
    </row>
    <row r="1912" spans="1:23" outlineLevel="2" x14ac:dyDescent="0.2">
      <c r="A1912" s="21" t="s">
        <v>999</v>
      </c>
      <c r="B1912" s="21" t="s">
        <v>39</v>
      </c>
      <c r="C1912" s="21" t="s">
        <v>58</v>
      </c>
      <c r="D1912" s="21" t="s">
        <v>149</v>
      </c>
      <c r="E1912" s="21" t="s">
        <v>150</v>
      </c>
      <c r="F1912" s="21" t="s">
        <v>837</v>
      </c>
      <c r="G1912" s="21" t="s">
        <v>838</v>
      </c>
      <c r="H1912" s="21" t="s">
        <v>1132</v>
      </c>
      <c r="I1912" s="21" t="s">
        <v>1133</v>
      </c>
      <c r="J1912" s="21" t="s">
        <v>1000</v>
      </c>
      <c r="K1912" s="21" t="s">
        <v>1068</v>
      </c>
      <c r="L1912" s="21" t="s">
        <v>1069</v>
      </c>
      <c r="M1912" s="21" t="s">
        <v>12</v>
      </c>
      <c r="N1912" s="54">
        <v>39000</v>
      </c>
      <c r="O1912" s="54">
        <v>0</v>
      </c>
      <c r="P1912" s="54">
        <v>0</v>
      </c>
      <c r="Q1912" s="54">
        <v>39000</v>
      </c>
      <c r="R1912" s="54">
        <v>0</v>
      </c>
      <c r="S1912" s="54">
        <v>0</v>
      </c>
      <c r="T1912" s="54">
        <v>0</v>
      </c>
      <c r="U1912" s="54">
        <v>39000</v>
      </c>
      <c r="V1912" s="54">
        <v>39000</v>
      </c>
      <c r="W1912" s="54">
        <v>39000</v>
      </c>
    </row>
    <row r="1913" spans="1:23" outlineLevel="2" x14ac:dyDescent="0.2">
      <c r="A1913" s="21" t="s">
        <v>999</v>
      </c>
      <c r="B1913" s="21" t="s">
        <v>39</v>
      </c>
      <c r="C1913" s="21" t="s">
        <v>58</v>
      </c>
      <c r="D1913" s="21" t="s">
        <v>105</v>
      </c>
      <c r="E1913" s="21" t="s">
        <v>106</v>
      </c>
      <c r="F1913" s="21" t="s">
        <v>837</v>
      </c>
      <c r="G1913" s="21" t="s">
        <v>838</v>
      </c>
      <c r="H1913" s="21" t="s">
        <v>1132</v>
      </c>
      <c r="I1913" s="21" t="s">
        <v>1133</v>
      </c>
      <c r="J1913" s="21" t="s">
        <v>1000</v>
      </c>
      <c r="K1913" s="21" t="s">
        <v>1068</v>
      </c>
      <c r="L1913" s="21" t="s">
        <v>1069</v>
      </c>
      <c r="M1913" s="21" t="s">
        <v>12</v>
      </c>
      <c r="N1913" s="54">
        <v>6160</v>
      </c>
      <c r="O1913" s="54">
        <v>0</v>
      </c>
      <c r="P1913" s="54">
        <v>0</v>
      </c>
      <c r="Q1913" s="54">
        <v>6160</v>
      </c>
      <c r="R1913" s="54">
        <v>0</v>
      </c>
      <c r="S1913" s="54">
        <v>0</v>
      </c>
      <c r="T1913" s="54">
        <v>0</v>
      </c>
      <c r="U1913" s="54">
        <v>6160</v>
      </c>
      <c r="V1913" s="54">
        <v>6160</v>
      </c>
      <c r="W1913" s="54">
        <v>6160</v>
      </c>
    </row>
    <row r="1914" spans="1:23" outlineLevel="2" x14ac:dyDescent="0.2">
      <c r="A1914" s="21" t="s">
        <v>999</v>
      </c>
      <c r="B1914" s="21" t="s">
        <v>39</v>
      </c>
      <c r="C1914" s="21" t="s">
        <v>58</v>
      </c>
      <c r="D1914" s="21" t="s">
        <v>145</v>
      </c>
      <c r="E1914" s="21" t="s">
        <v>146</v>
      </c>
      <c r="F1914" s="21" t="s">
        <v>837</v>
      </c>
      <c r="G1914" s="21" t="s">
        <v>838</v>
      </c>
      <c r="H1914" s="21" t="s">
        <v>1132</v>
      </c>
      <c r="I1914" s="21" t="s">
        <v>1133</v>
      </c>
      <c r="J1914" s="21" t="s">
        <v>1000</v>
      </c>
      <c r="K1914" s="21" t="s">
        <v>1068</v>
      </c>
      <c r="L1914" s="21" t="s">
        <v>1069</v>
      </c>
      <c r="M1914" s="21" t="s">
        <v>12</v>
      </c>
      <c r="N1914" s="54">
        <v>67633.84</v>
      </c>
      <c r="O1914" s="54">
        <v>0</v>
      </c>
      <c r="P1914" s="54">
        <v>0</v>
      </c>
      <c r="Q1914" s="54">
        <v>67633.84</v>
      </c>
      <c r="R1914" s="54">
        <v>0</v>
      </c>
      <c r="S1914" s="54">
        <v>0</v>
      </c>
      <c r="T1914" s="54">
        <v>0</v>
      </c>
      <c r="U1914" s="54">
        <v>67633.84</v>
      </c>
      <c r="V1914" s="54">
        <v>67633.84</v>
      </c>
      <c r="W1914" s="54">
        <v>67633.84</v>
      </c>
    </row>
    <row r="1915" spans="1:23" outlineLevel="2" x14ac:dyDescent="0.2">
      <c r="A1915" s="21" t="s">
        <v>999</v>
      </c>
      <c r="B1915" s="21" t="s">
        <v>39</v>
      </c>
      <c r="C1915" s="21" t="s">
        <v>58</v>
      </c>
      <c r="D1915" s="21" t="s">
        <v>137</v>
      </c>
      <c r="E1915" s="21" t="s">
        <v>138</v>
      </c>
      <c r="F1915" s="21" t="s">
        <v>837</v>
      </c>
      <c r="G1915" s="21" t="s">
        <v>838</v>
      </c>
      <c r="H1915" s="21" t="s">
        <v>1132</v>
      </c>
      <c r="I1915" s="21" t="s">
        <v>1133</v>
      </c>
      <c r="J1915" s="21" t="s">
        <v>1000</v>
      </c>
      <c r="K1915" s="21" t="s">
        <v>1068</v>
      </c>
      <c r="L1915" s="21" t="s">
        <v>1069</v>
      </c>
      <c r="M1915" s="21" t="s">
        <v>12</v>
      </c>
      <c r="N1915" s="54">
        <v>37000</v>
      </c>
      <c r="O1915" s="54">
        <v>0</v>
      </c>
      <c r="P1915" s="54">
        <v>0</v>
      </c>
      <c r="Q1915" s="54">
        <v>37000</v>
      </c>
      <c r="R1915" s="54">
        <v>0</v>
      </c>
      <c r="S1915" s="54">
        <v>0</v>
      </c>
      <c r="T1915" s="54">
        <v>0</v>
      </c>
      <c r="U1915" s="54">
        <v>37000</v>
      </c>
      <c r="V1915" s="54">
        <v>37000</v>
      </c>
      <c r="W1915" s="54">
        <v>37000</v>
      </c>
    </row>
    <row r="1916" spans="1:23" outlineLevel="2" x14ac:dyDescent="0.2">
      <c r="A1916" s="21" t="s">
        <v>999</v>
      </c>
      <c r="B1916" s="21" t="s">
        <v>39</v>
      </c>
      <c r="C1916" s="21" t="s">
        <v>58</v>
      </c>
      <c r="D1916" s="21" t="s">
        <v>139</v>
      </c>
      <c r="E1916" s="21" t="s">
        <v>140</v>
      </c>
      <c r="F1916" s="21" t="s">
        <v>837</v>
      </c>
      <c r="G1916" s="21" t="s">
        <v>838</v>
      </c>
      <c r="H1916" s="21" t="s">
        <v>1132</v>
      </c>
      <c r="I1916" s="21" t="s">
        <v>1133</v>
      </c>
      <c r="J1916" s="21" t="s">
        <v>1000</v>
      </c>
      <c r="K1916" s="21" t="s">
        <v>1068</v>
      </c>
      <c r="L1916" s="21" t="s">
        <v>1069</v>
      </c>
      <c r="M1916" s="21" t="s">
        <v>12</v>
      </c>
      <c r="N1916" s="54">
        <v>48000</v>
      </c>
      <c r="O1916" s="54">
        <v>0</v>
      </c>
      <c r="P1916" s="54">
        <v>0</v>
      </c>
      <c r="Q1916" s="54">
        <v>48000</v>
      </c>
      <c r="R1916" s="54">
        <v>0</v>
      </c>
      <c r="S1916" s="54">
        <v>0</v>
      </c>
      <c r="T1916" s="54">
        <v>0</v>
      </c>
      <c r="U1916" s="54">
        <v>48000</v>
      </c>
      <c r="V1916" s="54">
        <v>48000</v>
      </c>
      <c r="W1916" s="54">
        <v>48000</v>
      </c>
    </row>
    <row r="1917" spans="1:23" outlineLevel="2" x14ac:dyDescent="0.2">
      <c r="A1917" s="21" t="s">
        <v>999</v>
      </c>
      <c r="B1917" s="21" t="s">
        <v>39</v>
      </c>
      <c r="C1917" s="21" t="s">
        <v>58</v>
      </c>
      <c r="D1917" s="21" t="s">
        <v>135</v>
      </c>
      <c r="E1917" s="21" t="s">
        <v>136</v>
      </c>
      <c r="F1917" s="21" t="s">
        <v>837</v>
      </c>
      <c r="G1917" s="21" t="s">
        <v>838</v>
      </c>
      <c r="H1917" s="21" t="s">
        <v>1132</v>
      </c>
      <c r="I1917" s="21" t="s">
        <v>1133</v>
      </c>
      <c r="J1917" s="21" t="s">
        <v>1000</v>
      </c>
      <c r="K1917" s="21" t="s">
        <v>1068</v>
      </c>
      <c r="L1917" s="21" t="s">
        <v>1069</v>
      </c>
      <c r="M1917" s="21" t="s">
        <v>12</v>
      </c>
      <c r="N1917" s="54">
        <v>52900</v>
      </c>
      <c r="O1917" s="54">
        <v>0</v>
      </c>
      <c r="P1917" s="54">
        <v>0</v>
      </c>
      <c r="Q1917" s="54">
        <v>52900</v>
      </c>
      <c r="R1917" s="54">
        <v>0</v>
      </c>
      <c r="S1917" s="54">
        <v>0</v>
      </c>
      <c r="T1917" s="54">
        <v>0</v>
      </c>
      <c r="U1917" s="54">
        <v>52900</v>
      </c>
      <c r="V1917" s="54">
        <v>52900</v>
      </c>
      <c r="W1917" s="54">
        <v>52900</v>
      </c>
    </row>
    <row r="1918" spans="1:23" outlineLevel="2" x14ac:dyDescent="0.2">
      <c r="A1918" s="21" t="s">
        <v>999</v>
      </c>
      <c r="B1918" s="21" t="s">
        <v>39</v>
      </c>
      <c r="C1918" s="21" t="s">
        <v>58</v>
      </c>
      <c r="D1918" s="21" t="s">
        <v>147</v>
      </c>
      <c r="E1918" s="21" t="s">
        <v>148</v>
      </c>
      <c r="F1918" s="21" t="s">
        <v>837</v>
      </c>
      <c r="G1918" s="21" t="s">
        <v>838</v>
      </c>
      <c r="H1918" s="21" t="s">
        <v>1132</v>
      </c>
      <c r="I1918" s="21" t="s">
        <v>1133</v>
      </c>
      <c r="J1918" s="21" t="s">
        <v>1000</v>
      </c>
      <c r="K1918" s="21" t="s">
        <v>1068</v>
      </c>
      <c r="L1918" s="21" t="s">
        <v>1069</v>
      </c>
      <c r="M1918" s="21" t="s">
        <v>12</v>
      </c>
      <c r="N1918" s="54">
        <v>17287.98</v>
      </c>
      <c r="O1918" s="54">
        <v>0</v>
      </c>
      <c r="P1918" s="54">
        <v>0</v>
      </c>
      <c r="Q1918" s="54">
        <v>17287.98</v>
      </c>
      <c r="R1918" s="54">
        <v>0</v>
      </c>
      <c r="S1918" s="54">
        <v>0</v>
      </c>
      <c r="T1918" s="54">
        <v>0</v>
      </c>
      <c r="U1918" s="54">
        <v>17287.98</v>
      </c>
      <c r="V1918" s="54">
        <v>17287.98</v>
      </c>
      <c r="W1918" s="54">
        <v>17287.98</v>
      </c>
    </row>
    <row r="1919" spans="1:23" outlineLevel="2" x14ac:dyDescent="0.2">
      <c r="A1919" s="21" t="s">
        <v>999</v>
      </c>
      <c r="B1919" s="21" t="s">
        <v>39</v>
      </c>
      <c r="C1919" s="21" t="s">
        <v>58</v>
      </c>
      <c r="D1919" s="21" t="s">
        <v>59</v>
      </c>
      <c r="E1919" s="21" t="s">
        <v>60</v>
      </c>
      <c r="F1919" s="21" t="s">
        <v>837</v>
      </c>
      <c r="G1919" s="21" t="s">
        <v>838</v>
      </c>
      <c r="H1919" s="21" t="s">
        <v>1132</v>
      </c>
      <c r="I1919" s="21" t="s">
        <v>1133</v>
      </c>
      <c r="J1919" s="21" t="s">
        <v>1000</v>
      </c>
      <c r="K1919" s="21" t="s">
        <v>1068</v>
      </c>
      <c r="L1919" s="21" t="s">
        <v>1069</v>
      </c>
      <c r="M1919" s="21" t="s">
        <v>12</v>
      </c>
      <c r="N1919" s="54">
        <v>38473.71</v>
      </c>
      <c r="O1919" s="54">
        <v>0</v>
      </c>
      <c r="P1919" s="54">
        <v>0</v>
      </c>
      <c r="Q1919" s="54">
        <v>38473.71</v>
      </c>
      <c r="R1919" s="54">
        <v>0</v>
      </c>
      <c r="S1919" s="54">
        <v>0</v>
      </c>
      <c r="T1919" s="54">
        <v>0</v>
      </c>
      <c r="U1919" s="54">
        <v>38473.71</v>
      </c>
      <c r="V1919" s="54">
        <v>38473.71</v>
      </c>
      <c r="W1919" s="54">
        <v>38473.71</v>
      </c>
    </row>
    <row r="1920" spans="1:23" outlineLevel="2" x14ac:dyDescent="0.2">
      <c r="A1920" s="21" t="s">
        <v>999</v>
      </c>
      <c r="B1920" s="21" t="s">
        <v>39</v>
      </c>
      <c r="C1920" s="21" t="s">
        <v>58</v>
      </c>
      <c r="D1920" s="21" t="s">
        <v>143</v>
      </c>
      <c r="E1920" s="21" t="s">
        <v>144</v>
      </c>
      <c r="F1920" s="21" t="s">
        <v>837</v>
      </c>
      <c r="G1920" s="21" t="s">
        <v>838</v>
      </c>
      <c r="H1920" s="21" t="s">
        <v>1132</v>
      </c>
      <c r="I1920" s="21" t="s">
        <v>1133</v>
      </c>
      <c r="J1920" s="21" t="s">
        <v>1000</v>
      </c>
      <c r="K1920" s="21" t="s">
        <v>1068</v>
      </c>
      <c r="L1920" s="21" t="s">
        <v>1069</v>
      </c>
      <c r="M1920" s="21" t="s">
        <v>12</v>
      </c>
      <c r="N1920" s="54">
        <v>46000</v>
      </c>
      <c r="O1920" s="54">
        <v>0</v>
      </c>
      <c r="P1920" s="54">
        <v>0</v>
      </c>
      <c r="Q1920" s="54">
        <v>46000</v>
      </c>
      <c r="R1920" s="54">
        <v>0</v>
      </c>
      <c r="S1920" s="54">
        <v>0</v>
      </c>
      <c r="T1920" s="54">
        <v>0</v>
      </c>
      <c r="U1920" s="54">
        <v>46000</v>
      </c>
      <c r="V1920" s="54">
        <v>46000</v>
      </c>
      <c r="W1920" s="54">
        <v>46000</v>
      </c>
    </row>
    <row r="1921" spans="1:23" outlineLevel="2" x14ac:dyDescent="0.2">
      <c r="A1921" s="21" t="s">
        <v>999</v>
      </c>
      <c r="B1921" s="21" t="s">
        <v>39</v>
      </c>
      <c r="C1921" s="21" t="s">
        <v>58</v>
      </c>
      <c r="D1921" s="21" t="s">
        <v>147</v>
      </c>
      <c r="E1921" s="21" t="s">
        <v>148</v>
      </c>
      <c r="F1921" s="21" t="s">
        <v>837</v>
      </c>
      <c r="G1921" s="21" t="s">
        <v>838</v>
      </c>
      <c r="H1921" s="21" t="s">
        <v>1132</v>
      </c>
      <c r="I1921" s="21" t="s">
        <v>1133</v>
      </c>
      <c r="J1921" s="21" t="s">
        <v>1000</v>
      </c>
      <c r="K1921" s="21" t="s">
        <v>1011</v>
      </c>
      <c r="L1921" s="21" t="s">
        <v>1073</v>
      </c>
      <c r="M1921" s="21" t="s">
        <v>12</v>
      </c>
      <c r="N1921" s="54">
        <v>8000</v>
      </c>
      <c r="O1921" s="54">
        <v>0</v>
      </c>
      <c r="P1921" s="54">
        <v>0</v>
      </c>
      <c r="Q1921" s="54">
        <v>8000</v>
      </c>
      <c r="R1921" s="54">
        <v>0</v>
      </c>
      <c r="S1921" s="54">
        <v>0</v>
      </c>
      <c r="T1921" s="54">
        <v>0</v>
      </c>
      <c r="U1921" s="54">
        <v>8000</v>
      </c>
      <c r="V1921" s="54">
        <v>8000</v>
      </c>
      <c r="W1921" s="54">
        <v>8000</v>
      </c>
    </row>
    <row r="1922" spans="1:23" outlineLevel="2" x14ac:dyDescent="0.2">
      <c r="A1922" s="21" t="s">
        <v>999</v>
      </c>
      <c r="B1922" s="21" t="s">
        <v>39</v>
      </c>
      <c r="C1922" s="21" t="s">
        <v>58</v>
      </c>
      <c r="D1922" s="21" t="s">
        <v>135</v>
      </c>
      <c r="E1922" s="21" t="s">
        <v>136</v>
      </c>
      <c r="F1922" s="21" t="s">
        <v>837</v>
      </c>
      <c r="G1922" s="21" t="s">
        <v>838</v>
      </c>
      <c r="H1922" s="21" t="s">
        <v>1132</v>
      </c>
      <c r="I1922" s="21" t="s">
        <v>1133</v>
      </c>
      <c r="J1922" s="21" t="s">
        <v>1000</v>
      </c>
      <c r="K1922" s="21" t="s">
        <v>1011</v>
      </c>
      <c r="L1922" s="21" t="s">
        <v>1073</v>
      </c>
      <c r="M1922" s="21" t="s">
        <v>12</v>
      </c>
      <c r="N1922" s="54">
        <v>13500</v>
      </c>
      <c r="O1922" s="54">
        <v>0</v>
      </c>
      <c r="P1922" s="54">
        <v>0</v>
      </c>
      <c r="Q1922" s="54">
        <v>13500</v>
      </c>
      <c r="R1922" s="54">
        <v>0</v>
      </c>
      <c r="S1922" s="54">
        <v>0</v>
      </c>
      <c r="T1922" s="54">
        <v>0</v>
      </c>
      <c r="U1922" s="54">
        <v>13500</v>
      </c>
      <c r="V1922" s="54">
        <v>13500</v>
      </c>
      <c r="W1922" s="54">
        <v>13500</v>
      </c>
    </row>
    <row r="1923" spans="1:23" outlineLevel="2" x14ac:dyDescent="0.2">
      <c r="A1923" s="21" t="s">
        <v>999</v>
      </c>
      <c r="B1923" s="21" t="s">
        <v>39</v>
      </c>
      <c r="C1923" s="21" t="s">
        <v>58</v>
      </c>
      <c r="D1923" s="21" t="s">
        <v>139</v>
      </c>
      <c r="E1923" s="21" t="s">
        <v>140</v>
      </c>
      <c r="F1923" s="21" t="s">
        <v>837</v>
      </c>
      <c r="G1923" s="21" t="s">
        <v>838</v>
      </c>
      <c r="H1923" s="21" t="s">
        <v>1132</v>
      </c>
      <c r="I1923" s="21" t="s">
        <v>1133</v>
      </c>
      <c r="J1923" s="21" t="s">
        <v>1000</v>
      </c>
      <c r="K1923" s="21" t="s">
        <v>1011</v>
      </c>
      <c r="L1923" s="21" t="s">
        <v>1073</v>
      </c>
      <c r="M1923" s="21" t="s">
        <v>12</v>
      </c>
      <c r="N1923" s="54">
        <v>13000</v>
      </c>
      <c r="O1923" s="54">
        <v>0</v>
      </c>
      <c r="P1923" s="54">
        <v>0</v>
      </c>
      <c r="Q1923" s="54">
        <v>13000</v>
      </c>
      <c r="R1923" s="54">
        <v>0</v>
      </c>
      <c r="S1923" s="54">
        <v>0</v>
      </c>
      <c r="T1923" s="54">
        <v>0</v>
      </c>
      <c r="U1923" s="54">
        <v>13000</v>
      </c>
      <c r="V1923" s="54">
        <v>13000</v>
      </c>
      <c r="W1923" s="54">
        <v>13000</v>
      </c>
    </row>
    <row r="1924" spans="1:23" outlineLevel="2" x14ac:dyDescent="0.2">
      <c r="A1924" s="21" t="s">
        <v>999</v>
      </c>
      <c r="B1924" s="21" t="s">
        <v>39</v>
      </c>
      <c r="C1924" s="21" t="s">
        <v>58</v>
      </c>
      <c r="D1924" s="21" t="s">
        <v>145</v>
      </c>
      <c r="E1924" s="21" t="s">
        <v>146</v>
      </c>
      <c r="F1924" s="21" t="s">
        <v>837</v>
      </c>
      <c r="G1924" s="21" t="s">
        <v>838</v>
      </c>
      <c r="H1924" s="21" t="s">
        <v>1132</v>
      </c>
      <c r="I1924" s="21" t="s">
        <v>1133</v>
      </c>
      <c r="J1924" s="21" t="s">
        <v>1000</v>
      </c>
      <c r="K1924" s="21" t="s">
        <v>1011</v>
      </c>
      <c r="L1924" s="21" t="s">
        <v>1073</v>
      </c>
      <c r="M1924" s="21" t="s">
        <v>12</v>
      </c>
      <c r="N1924" s="54">
        <v>15000</v>
      </c>
      <c r="O1924" s="54">
        <v>0</v>
      </c>
      <c r="P1924" s="54">
        <v>0</v>
      </c>
      <c r="Q1924" s="54">
        <v>15000</v>
      </c>
      <c r="R1924" s="54">
        <v>0</v>
      </c>
      <c r="S1924" s="54">
        <v>0</v>
      </c>
      <c r="T1924" s="54">
        <v>0</v>
      </c>
      <c r="U1924" s="54">
        <v>15000</v>
      </c>
      <c r="V1924" s="54">
        <v>15000</v>
      </c>
      <c r="W1924" s="54">
        <v>15000</v>
      </c>
    </row>
    <row r="1925" spans="1:23" outlineLevel="2" x14ac:dyDescent="0.2">
      <c r="A1925" s="21" t="s">
        <v>999</v>
      </c>
      <c r="B1925" s="21" t="s">
        <v>39</v>
      </c>
      <c r="C1925" s="21" t="s">
        <v>58</v>
      </c>
      <c r="D1925" s="21" t="s">
        <v>143</v>
      </c>
      <c r="E1925" s="21" t="s">
        <v>144</v>
      </c>
      <c r="F1925" s="21" t="s">
        <v>837</v>
      </c>
      <c r="G1925" s="21" t="s">
        <v>838</v>
      </c>
      <c r="H1925" s="21" t="s">
        <v>1132</v>
      </c>
      <c r="I1925" s="21" t="s">
        <v>1133</v>
      </c>
      <c r="J1925" s="21" t="s">
        <v>1000</v>
      </c>
      <c r="K1925" s="21" t="s">
        <v>1011</v>
      </c>
      <c r="L1925" s="21" t="s">
        <v>1073</v>
      </c>
      <c r="M1925" s="21" t="s">
        <v>12</v>
      </c>
      <c r="N1925" s="54">
        <v>14000</v>
      </c>
      <c r="O1925" s="54">
        <v>0</v>
      </c>
      <c r="P1925" s="54">
        <v>0</v>
      </c>
      <c r="Q1925" s="54">
        <v>14000</v>
      </c>
      <c r="R1925" s="54">
        <v>0</v>
      </c>
      <c r="S1925" s="54">
        <v>0</v>
      </c>
      <c r="T1925" s="54">
        <v>0</v>
      </c>
      <c r="U1925" s="54">
        <v>14000</v>
      </c>
      <c r="V1925" s="54">
        <v>14000</v>
      </c>
      <c r="W1925" s="54">
        <v>14000</v>
      </c>
    </row>
    <row r="1926" spans="1:23" outlineLevel="2" x14ac:dyDescent="0.2">
      <c r="A1926" s="21" t="s">
        <v>999</v>
      </c>
      <c r="B1926" s="21" t="s">
        <v>39</v>
      </c>
      <c r="C1926" s="21" t="s">
        <v>58</v>
      </c>
      <c r="D1926" s="21" t="s">
        <v>59</v>
      </c>
      <c r="E1926" s="21" t="s">
        <v>60</v>
      </c>
      <c r="F1926" s="21" t="s">
        <v>837</v>
      </c>
      <c r="G1926" s="21" t="s">
        <v>838</v>
      </c>
      <c r="H1926" s="21" t="s">
        <v>1132</v>
      </c>
      <c r="I1926" s="21" t="s">
        <v>1133</v>
      </c>
      <c r="J1926" s="21" t="s">
        <v>1000</v>
      </c>
      <c r="K1926" s="21" t="s">
        <v>1011</v>
      </c>
      <c r="L1926" s="21" t="s">
        <v>1073</v>
      </c>
      <c r="M1926" s="21" t="s">
        <v>12</v>
      </c>
      <c r="N1926" s="54">
        <v>14000</v>
      </c>
      <c r="O1926" s="54">
        <v>0</v>
      </c>
      <c r="P1926" s="54">
        <v>0</v>
      </c>
      <c r="Q1926" s="54">
        <v>14000</v>
      </c>
      <c r="R1926" s="54">
        <v>0</v>
      </c>
      <c r="S1926" s="54">
        <v>0</v>
      </c>
      <c r="T1926" s="54">
        <v>0</v>
      </c>
      <c r="U1926" s="54">
        <v>14000</v>
      </c>
      <c r="V1926" s="54">
        <v>14000</v>
      </c>
      <c r="W1926" s="54">
        <v>14000</v>
      </c>
    </row>
    <row r="1927" spans="1:23" outlineLevel="2" x14ac:dyDescent="0.2">
      <c r="A1927" s="21" t="s">
        <v>999</v>
      </c>
      <c r="B1927" s="21" t="s">
        <v>39</v>
      </c>
      <c r="C1927" s="21" t="s">
        <v>58</v>
      </c>
      <c r="D1927" s="21" t="s">
        <v>137</v>
      </c>
      <c r="E1927" s="21" t="s">
        <v>138</v>
      </c>
      <c r="F1927" s="21" t="s">
        <v>837</v>
      </c>
      <c r="G1927" s="21" t="s">
        <v>838</v>
      </c>
      <c r="H1927" s="21" t="s">
        <v>1132</v>
      </c>
      <c r="I1927" s="21" t="s">
        <v>1133</v>
      </c>
      <c r="J1927" s="21" t="s">
        <v>1000</v>
      </c>
      <c r="K1927" s="21" t="s">
        <v>1011</v>
      </c>
      <c r="L1927" s="21" t="s">
        <v>1073</v>
      </c>
      <c r="M1927" s="21" t="s">
        <v>12</v>
      </c>
      <c r="N1927" s="54">
        <v>14000</v>
      </c>
      <c r="O1927" s="54">
        <v>0</v>
      </c>
      <c r="P1927" s="54">
        <v>0</v>
      </c>
      <c r="Q1927" s="54">
        <v>14000</v>
      </c>
      <c r="R1927" s="54">
        <v>0</v>
      </c>
      <c r="S1927" s="54">
        <v>0</v>
      </c>
      <c r="T1927" s="54">
        <v>0</v>
      </c>
      <c r="U1927" s="54">
        <v>14000</v>
      </c>
      <c r="V1927" s="54">
        <v>14000</v>
      </c>
      <c r="W1927" s="54">
        <v>14000</v>
      </c>
    </row>
    <row r="1928" spans="1:23" outlineLevel="2" x14ac:dyDescent="0.2">
      <c r="A1928" s="21" t="s">
        <v>999</v>
      </c>
      <c r="B1928" s="21" t="s">
        <v>39</v>
      </c>
      <c r="C1928" s="21" t="s">
        <v>58</v>
      </c>
      <c r="D1928" s="21" t="s">
        <v>149</v>
      </c>
      <c r="E1928" s="21" t="s">
        <v>150</v>
      </c>
      <c r="F1928" s="21" t="s">
        <v>837</v>
      </c>
      <c r="G1928" s="21" t="s">
        <v>838</v>
      </c>
      <c r="H1928" s="21" t="s">
        <v>1132</v>
      </c>
      <c r="I1928" s="21" t="s">
        <v>1133</v>
      </c>
      <c r="J1928" s="21" t="s">
        <v>1000</v>
      </c>
      <c r="K1928" s="21" t="s">
        <v>1011</v>
      </c>
      <c r="L1928" s="21" t="s">
        <v>1073</v>
      </c>
      <c r="M1928" s="21" t="s">
        <v>12</v>
      </c>
      <c r="N1928" s="54">
        <v>13000</v>
      </c>
      <c r="O1928" s="54">
        <v>0</v>
      </c>
      <c r="P1928" s="54">
        <v>0</v>
      </c>
      <c r="Q1928" s="54">
        <v>13000</v>
      </c>
      <c r="R1928" s="54">
        <v>0</v>
      </c>
      <c r="S1928" s="54">
        <v>0</v>
      </c>
      <c r="T1928" s="54">
        <v>0</v>
      </c>
      <c r="U1928" s="54">
        <v>13000</v>
      </c>
      <c r="V1928" s="54">
        <v>13000</v>
      </c>
      <c r="W1928" s="54">
        <v>13000</v>
      </c>
    </row>
    <row r="1929" spans="1:23" outlineLevel="2" x14ac:dyDescent="0.2">
      <c r="A1929" s="21" t="s">
        <v>999</v>
      </c>
      <c r="B1929" s="21" t="s">
        <v>39</v>
      </c>
      <c r="C1929" s="21" t="s">
        <v>58</v>
      </c>
      <c r="D1929" s="21" t="s">
        <v>139</v>
      </c>
      <c r="E1929" s="21" t="s">
        <v>140</v>
      </c>
      <c r="F1929" s="21" t="s">
        <v>837</v>
      </c>
      <c r="G1929" s="21" t="s">
        <v>838</v>
      </c>
      <c r="H1929" s="21" t="s">
        <v>1132</v>
      </c>
      <c r="I1929" s="21" t="s">
        <v>1133</v>
      </c>
      <c r="J1929" s="21" t="s">
        <v>1000</v>
      </c>
      <c r="K1929" s="21" t="s">
        <v>1078</v>
      </c>
      <c r="L1929" s="21" t="s">
        <v>1079</v>
      </c>
      <c r="M1929" s="21" t="s">
        <v>12</v>
      </c>
      <c r="N1929" s="54">
        <v>7000</v>
      </c>
      <c r="O1929" s="54">
        <v>0</v>
      </c>
      <c r="P1929" s="54">
        <v>0</v>
      </c>
      <c r="Q1929" s="54">
        <v>7000</v>
      </c>
      <c r="R1929" s="54">
        <v>0</v>
      </c>
      <c r="S1929" s="54">
        <v>0</v>
      </c>
      <c r="T1929" s="54">
        <v>0</v>
      </c>
      <c r="U1929" s="54">
        <v>7000</v>
      </c>
      <c r="V1929" s="54">
        <v>7000</v>
      </c>
      <c r="W1929" s="54">
        <v>7000</v>
      </c>
    </row>
    <row r="1930" spans="1:23" outlineLevel="2" x14ac:dyDescent="0.2">
      <c r="A1930" s="21" t="s">
        <v>999</v>
      </c>
      <c r="B1930" s="21" t="s">
        <v>39</v>
      </c>
      <c r="C1930" s="21" t="s">
        <v>58</v>
      </c>
      <c r="D1930" s="21" t="s">
        <v>145</v>
      </c>
      <c r="E1930" s="21" t="s">
        <v>146</v>
      </c>
      <c r="F1930" s="21" t="s">
        <v>837</v>
      </c>
      <c r="G1930" s="21" t="s">
        <v>838</v>
      </c>
      <c r="H1930" s="21" t="s">
        <v>1132</v>
      </c>
      <c r="I1930" s="21" t="s">
        <v>1133</v>
      </c>
      <c r="J1930" s="21" t="s">
        <v>1000</v>
      </c>
      <c r="K1930" s="21" t="s">
        <v>1078</v>
      </c>
      <c r="L1930" s="21" t="s">
        <v>1079</v>
      </c>
      <c r="M1930" s="21" t="s">
        <v>12</v>
      </c>
      <c r="N1930" s="54">
        <v>5000</v>
      </c>
      <c r="O1930" s="54">
        <v>0</v>
      </c>
      <c r="P1930" s="54">
        <v>0</v>
      </c>
      <c r="Q1930" s="54">
        <v>5000</v>
      </c>
      <c r="R1930" s="54">
        <v>0</v>
      </c>
      <c r="S1930" s="54">
        <v>0</v>
      </c>
      <c r="T1930" s="54">
        <v>0</v>
      </c>
      <c r="U1930" s="54">
        <v>5000</v>
      </c>
      <c r="V1930" s="54">
        <v>5000</v>
      </c>
      <c r="W1930" s="54">
        <v>5000</v>
      </c>
    </row>
    <row r="1931" spans="1:23" outlineLevel="2" x14ac:dyDescent="0.2">
      <c r="A1931" s="21" t="s">
        <v>999</v>
      </c>
      <c r="B1931" s="21" t="s">
        <v>39</v>
      </c>
      <c r="C1931" s="21" t="s">
        <v>58</v>
      </c>
      <c r="D1931" s="21" t="s">
        <v>137</v>
      </c>
      <c r="E1931" s="21" t="s">
        <v>138</v>
      </c>
      <c r="F1931" s="21" t="s">
        <v>837</v>
      </c>
      <c r="G1931" s="21" t="s">
        <v>838</v>
      </c>
      <c r="H1931" s="21" t="s">
        <v>1132</v>
      </c>
      <c r="I1931" s="21" t="s">
        <v>1133</v>
      </c>
      <c r="J1931" s="21" t="s">
        <v>1000</v>
      </c>
      <c r="K1931" s="21" t="s">
        <v>1078</v>
      </c>
      <c r="L1931" s="21" t="s">
        <v>1079</v>
      </c>
      <c r="M1931" s="21" t="s">
        <v>12</v>
      </c>
      <c r="N1931" s="54">
        <v>1700</v>
      </c>
      <c r="O1931" s="54">
        <v>0</v>
      </c>
      <c r="P1931" s="54">
        <v>0</v>
      </c>
      <c r="Q1931" s="54">
        <v>1700</v>
      </c>
      <c r="R1931" s="54">
        <v>0</v>
      </c>
      <c r="S1931" s="54">
        <v>0</v>
      </c>
      <c r="T1931" s="54">
        <v>0</v>
      </c>
      <c r="U1931" s="54">
        <v>1700</v>
      </c>
      <c r="V1931" s="54">
        <v>1700</v>
      </c>
      <c r="W1931" s="54">
        <v>1700</v>
      </c>
    </row>
    <row r="1932" spans="1:23" outlineLevel="2" x14ac:dyDescent="0.2">
      <c r="A1932" s="21" t="s">
        <v>999</v>
      </c>
      <c r="B1932" s="21" t="s">
        <v>39</v>
      </c>
      <c r="C1932" s="21" t="s">
        <v>58</v>
      </c>
      <c r="D1932" s="21" t="s">
        <v>105</v>
      </c>
      <c r="E1932" s="21" t="s">
        <v>106</v>
      </c>
      <c r="F1932" s="21" t="s">
        <v>837</v>
      </c>
      <c r="G1932" s="21" t="s">
        <v>838</v>
      </c>
      <c r="H1932" s="21" t="s">
        <v>1132</v>
      </c>
      <c r="I1932" s="21" t="s">
        <v>1133</v>
      </c>
      <c r="J1932" s="21" t="s">
        <v>1000</v>
      </c>
      <c r="K1932" s="21" t="s">
        <v>1078</v>
      </c>
      <c r="L1932" s="21" t="s">
        <v>1079</v>
      </c>
      <c r="M1932" s="21" t="s">
        <v>12</v>
      </c>
      <c r="N1932" s="54">
        <v>12343.34</v>
      </c>
      <c r="O1932" s="54">
        <v>7840</v>
      </c>
      <c r="P1932" s="54">
        <v>0</v>
      </c>
      <c r="Q1932" s="54">
        <v>20183.34</v>
      </c>
      <c r="R1932" s="54">
        <v>0</v>
      </c>
      <c r="S1932" s="54">
        <v>7840</v>
      </c>
      <c r="T1932" s="54">
        <v>0</v>
      </c>
      <c r="U1932" s="54">
        <v>12343.34</v>
      </c>
      <c r="V1932" s="54">
        <v>20183.34</v>
      </c>
      <c r="W1932" s="54">
        <v>12343.34</v>
      </c>
    </row>
    <row r="1933" spans="1:23" outlineLevel="2" x14ac:dyDescent="0.2">
      <c r="A1933" s="21" t="s">
        <v>999</v>
      </c>
      <c r="B1933" s="21" t="s">
        <v>39</v>
      </c>
      <c r="C1933" s="21" t="s">
        <v>58</v>
      </c>
      <c r="D1933" s="21" t="s">
        <v>147</v>
      </c>
      <c r="E1933" s="21" t="s">
        <v>148</v>
      </c>
      <c r="F1933" s="21" t="s">
        <v>837</v>
      </c>
      <c r="G1933" s="21" t="s">
        <v>838</v>
      </c>
      <c r="H1933" s="21" t="s">
        <v>1132</v>
      </c>
      <c r="I1933" s="21" t="s">
        <v>1133</v>
      </c>
      <c r="J1933" s="21" t="s">
        <v>1000</v>
      </c>
      <c r="K1933" s="21" t="s">
        <v>1078</v>
      </c>
      <c r="L1933" s="21" t="s">
        <v>1079</v>
      </c>
      <c r="M1933" s="21" t="s">
        <v>12</v>
      </c>
      <c r="N1933" s="54">
        <v>4500</v>
      </c>
      <c r="O1933" s="54">
        <v>0</v>
      </c>
      <c r="P1933" s="54">
        <v>0</v>
      </c>
      <c r="Q1933" s="54">
        <v>4500</v>
      </c>
      <c r="R1933" s="54">
        <v>0</v>
      </c>
      <c r="S1933" s="54">
        <v>0</v>
      </c>
      <c r="T1933" s="54">
        <v>0</v>
      </c>
      <c r="U1933" s="54">
        <v>4500</v>
      </c>
      <c r="V1933" s="54">
        <v>4500</v>
      </c>
      <c r="W1933" s="54">
        <v>4500</v>
      </c>
    </row>
    <row r="1934" spans="1:23" outlineLevel="2" x14ac:dyDescent="0.2">
      <c r="A1934" s="21" t="s">
        <v>999</v>
      </c>
      <c r="B1934" s="21" t="s">
        <v>39</v>
      </c>
      <c r="C1934" s="21" t="s">
        <v>58</v>
      </c>
      <c r="D1934" s="21" t="s">
        <v>149</v>
      </c>
      <c r="E1934" s="21" t="s">
        <v>150</v>
      </c>
      <c r="F1934" s="21" t="s">
        <v>837</v>
      </c>
      <c r="G1934" s="21" t="s">
        <v>838</v>
      </c>
      <c r="H1934" s="21" t="s">
        <v>1132</v>
      </c>
      <c r="I1934" s="21" t="s">
        <v>1133</v>
      </c>
      <c r="J1934" s="21" t="s">
        <v>1000</v>
      </c>
      <c r="K1934" s="21" t="s">
        <v>1078</v>
      </c>
      <c r="L1934" s="21" t="s">
        <v>1079</v>
      </c>
      <c r="M1934" s="21" t="s">
        <v>12</v>
      </c>
      <c r="N1934" s="54">
        <v>2000</v>
      </c>
      <c r="O1934" s="54">
        <v>0</v>
      </c>
      <c r="P1934" s="54">
        <v>0</v>
      </c>
      <c r="Q1934" s="54">
        <v>2000</v>
      </c>
      <c r="R1934" s="54">
        <v>0</v>
      </c>
      <c r="S1934" s="54">
        <v>0</v>
      </c>
      <c r="T1934" s="54">
        <v>0</v>
      </c>
      <c r="U1934" s="54">
        <v>2000</v>
      </c>
      <c r="V1934" s="54">
        <v>2000</v>
      </c>
      <c r="W1934" s="54">
        <v>2000</v>
      </c>
    </row>
    <row r="1935" spans="1:23" outlineLevel="2" x14ac:dyDescent="0.2">
      <c r="A1935" s="21" t="s">
        <v>999</v>
      </c>
      <c r="B1935" s="21" t="s">
        <v>39</v>
      </c>
      <c r="C1935" s="21" t="s">
        <v>58</v>
      </c>
      <c r="D1935" s="21" t="s">
        <v>59</v>
      </c>
      <c r="E1935" s="21" t="s">
        <v>60</v>
      </c>
      <c r="F1935" s="21" t="s">
        <v>837</v>
      </c>
      <c r="G1935" s="21" t="s">
        <v>838</v>
      </c>
      <c r="H1935" s="21" t="s">
        <v>1132</v>
      </c>
      <c r="I1935" s="21" t="s">
        <v>1133</v>
      </c>
      <c r="J1935" s="21" t="s">
        <v>1000</v>
      </c>
      <c r="K1935" s="21" t="s">
        <v>1078</v>
      </c>
      <c r="L1935" s="21" t="s">
        <v>1079</v>
      </c>
      <c r="M1935" s="21" t="s">
        <v>12</v>
      </c>
      <c r="N1935" s="54">
        <v>2000</v>
      </c>
      <c r="O1935" s="54">
        <v>0</v>
      </c>
      <c r="P1935" s="54">
        <v>0</v>
      </c>
      <c r="Q1935" s="54">
        <v>2000</v>
      </c>
      <c r="R1935" s="54">
        <v>0</v>
      </c>
      <c r="S1935" s="54">
        <v>0</v>
      </c>
      <c r="T1935" s="54">
        <v>0</v>
      </c>
      <c r="U1935" s="54">
        <v>2000</v>
      </c>
      <c r="V1935" s="54">
        <v>2000</v>
      </c>
      <c r="W1935" s="54">
        <v>2000</v>
      </c>
    </row>
    <row r="1936" spans="1:23" outlineLevel="2" x14ac:dyDescent="0.2">
      <c r="A1936" s="21" t="s">
        <v>999</v>
      </c>
      <c r="B1936" s="21" t="s">
        <v>39</v>
      </c>
      <c r="C1936" s="21" t="s">
        <v>58</v>
      </c>
      <c r="D1936" s="21" t="s">
        <v>135</v>
      </c>
      <c r="E1936" s="21" t="s">
        <v>136</v>
      </c>
      <c r="F1936" s="21" t="s">
        <v>837</v>
      </c>
      <c r="G1936" s="21" t="s">
        <v>838</v>
      </c>
      <c r="H1936" s="21" t="s">
        <v>1132</v>
      </c>
      <c r="I1936" s="21" t="s">
        <v>1133</v>
      </c>
      <c r="J1936" s="21" t="s">
        <v>1000</v>
      </c>
      <c r="K1936" s="21" t="s">
        <v>1078</v>
      </c>
      <c r="L1936" s="21" t="s">
        <v>1079</v>
      </c>
      <c r="M1936" s="21" t="s">
        <v>12</v>
      </c>
      <c r="N1936" s="54">
        <v>9860.5</v>
      </c>
      <c r="O1936" s="54">
        <v>0</v>
      </c>
      <c r="P1936" s="54">
        <v>0</v>
      </c>
      <c r="Q1936" s="54">
        <v>9860.5</v>
      </c>
      <c r="R1936" s="54">
        <v>0</v>
      </c>
      <c r="S1936" s="54">
        <v>0</v>
      </c>
      <c r="T1936" s="54">
        <v>0</v>
      </c>
      <c r="U1936" s="54">
        <v>9860.5</v>
      </c>
      <c r="V1936" s="54">
        <v>9860.5</v>
      </c>
      <c r="W1936" s="54">
        <v>9860.5</v>
      </c>
    </row>
    <row r="1937" spans="1:23" outlineLevel="2" x14ac:dyDescent="0.2">
      <c r="A1937" s="21" t="s">
        <v>999</v>
      </c>
      <c r="B1937" s="21" t="s">
        <v>39</v>
      </c>
      <c r="C1937" s="21" t="s">
        <v>58</v>
      </c>
      <c r="D1937" s="21" t="s">
        <v>137</v>
      </c>
      <c r="E1937" s="21" t="s">
        <v>138</v>
      </c>
      <c r="F1937" s="21" t="s">
        <v>837</v>
      </c>
      <c r="G1937" s="21" t="s">
        <v>838</v>
      </c>
      <c r="H1937" s="21" t="s">
        <v>1132</v>
      </c>
      <c r="I1937" s="21" t="s">
        <v>1133</v>
      </c>
      <c r="J1937" s="21" t="s">
        <v>1000</v>
      </c>
      <c r="K1937" s="21" t="s">
        <v>1061</v>
      </c>
      <c r="L1937" s="21" t="s">
        <v>1080</v>
      </c>
      <c r="M1937" s="21" t="s">
        <v>12</v>
      </c>
      <c r="N1937" s="54">
        <v>9675</v>
      </c>
      <c r="O1937" s="54">
        <v>0</v>
      </c>
      <c r="P1937" s="54">
        <v>0</v>
      </c>
      <c r="Q1937" s="54">
        <v>9675</v>
      </c>
      <c r="R1937" s="54">
        <v>0</v>
      </c>
      <c r="S1937" s="54">
        <v>0</v>
      </c>
      <c r="T1937" s="54">
        <v>0</v>
      </c>
      <c r="U1937" s="54">
        <v>9675</v>
      </c>
      <c r="V1937" s="54">
        <v>9675</v>
      </c>
      <c r="W1937" s="54">
        <v>9675</v>
      </c>
    </row>
    <row r="1938" spans="1:23" outlineLevel="2" x14ac:dyDescent="0.2">
      <c r="A1938" s="21" t="s">
        <v>999</v>
      </c>
      <c r="B1938" s="21" t="s">
        <v>39</v>
      </c>
      <c r="C1938" s="21" t="s">
        <v>58</v>
      </c>
      <c r="D1938" s="21" t="s">
        <v>149</v>
      </c>
      <c r="E1938" s="21" t="s">
        <v>150</v>
      </c>
      <c r="F1938" s="21" t="s">
        <v>837</v>
      </c>
      <c r="G1938" s="21" t="s">
        <v>838</v>
      </c>
      <c r="H1938" s="21" t="s">
        <v>1132</v>
      </c>
      <c r="I1938" s="21" t="s">
        <v>1133</v>
      </c>
      <c r="J1938" s="21" t="s">
        <v>1000</v>
      </c>
      <c r="K1938" s="21" t="s">
        <v>1061</v>
      </c>
      <c r="L1938" s="21" t="s">
        <v>1080</v>
      </c>
      <c r="M1938" s="21" t="s">
        <v>12</v>
      </c>
      <c r="N1938" s="54">
        <v>18000</v>
      </c>
      <c r="O1938" s="54">
        <v>0</v>
      </c>
      <c r="P1938" s="54">
        <v>0</v>
      </c>
      <c r="Q1938" s="54">
        <v>18000</v>
      </c>
      <c r="R1938" s="54">
        <v>0</v>
      </c>
      <c r="S1938" s="54">
        <v>0</v>
      </c>
      <c r="T1938" s="54">
        <v>0</v>
      </c>
      <c r="U1938" s="54">
        <v>18000</v>
      </c>
      <c r="V1938" s="54">
        <v>18000</v>
      </c>
      <c r="W1938" s="54">
        <v>18000</v>
      </c>
    </row>
    <row r="1939" spans="1:23" outlineLevel="2" x14ac:dyDescent="0.2">
      <c r="A1939" s="21" t="s">
        <v>999</v>
      </c>
      <c r="B1939" s="21" t="s">
        <v>39</v>
      </c>
      <c r="C1939" s="21" t="s">
        <v>58</v>
      </c>
      <c r="D1939" s="21" t="s">
        <v>147</v>
      </c>
      <c r="E1939" s="21" t="s">
        <v>148</v>
      </c>
      <c r="F1939" s="21" t="s">
        <v>837</v>
      </c>
      <c r="G1939" s="21" t="s">
        <v>838</v>
      </c>
      <c r="H1939" s="21" t="s">
        <v>1132</v>
      </c>
      <c r="I1939" s="21" t="s">
        <v>1133</v>
      </c>
      <c r="J1939" s="21" t="s">
        <v>1000</v>
      </c>
      <c r="K1939" s="21" t="s">
        <v>1061</v>
      </c>
      <c r="L1939" s="21" t="s">
        <v>1080</v>
      </c>
      <c r="M1939" s="21" t="s">
        <v>12</v>
      </c>
      <c r="N1939" s="54">
        <v>15000</v>
      </c>
      <c r="O1939" s="54">
        <v>0</v>
      </c>
      <c r="P1939" s="54">
        <v>0</v>
      </c>
      <c r="Q1939" s="54">
        <v>15000</v>
      </c>
      <c r="R1939" s="54">
        <v>0</v>
      </c>
      <c r="S1939" s="54">
        <v>0</v>
      </c>
      <c r="T1939" s="54">
        <v>0</v>
      </c>
      <c r="U1939" s="54">
        <v>15000</v>
      </c>
      <c r="V1939" s="54">
        <v>15000</v>
      </c>
      <c r="W1939" s="54">
        <v>15000</v>
      </c>
    </row>
    <row r="1940" spans="1:23" outlineLevel="2" x14ac:dyDescent="0.2">
      <c r="A1940" s="21" t="s">
        <v>999</v>
      </c>
      <c r="B1940" s="21" t="s">
        <v>39</v>
      </c>
      <c r="C1940" s="21" t="s">
        <v>58</v>
      </c>
      <c r="D1940" s="21" t="s">
        <v>59</v>
      </c>
      <c r="E1940" s="21" t="s">
        <v>60</v>
      </c>
      <c r="F1940" s="21" t="s">
        <v>837</v>
      </c>
      <c r="G1940" s="21" t="s">
        <v>838</v>
      </c>
      <c r="H1940" s="21" t="s">
        <v>1132</v>
      </c>
      <c r="I1940" s="21" t="s">
        <v>1133</v>
      </c>
      <c r="J1940" s="21" t="s">
        <v>1000</v>
      </c>
      <c r="K1940" s="21" t="s">
        <v>1061</v>
      </c>
      <c r="L1940" s="21" t="s">
        <v>1080</v>
      </c>
      <c r="M1940" s="21" t="s">
        <v>12</v>
      </c>
      <c r="N1940" s="54">
        <v>16058</v>
      </c>
      <c r="O1940" s="54">
        <v>0</v>
      </c>
      <c r="P1940" s="54">
        <v>0</v>
      </c>
      <c r="Q1940" s="54">
        <v>16058</v>
      </c>
      <c r="R1940" s="54">
        <v>0</v>
      </c>
      <c r="S1940" s="54">
        <v>0</v>
      </c>
      <c r="T1940" s="54">
        <v>0</v>
      </c>
      <c r="U1940" s="54">
        <v>16058</v>
      </c>
      <c r="V1940" s="54">
        <v>16058</v>
      </c>
      <c r="W1940" s="54">
        <v>16058</v>
      </c>
    </row>
    <row r="1941" spans="1:23" outlineLevel="2" x14ac:dyDescent="0.2">
      <c r="A1941" s="21" t="s">
        <v>999</v>
      </c>
      <c r="B1941" s="21" t="s">
        <v>39</v>
      </c>
      <c r="C1941" s="21" t="s">
        <v>58</v>
      </c>
      <c r="D1941" s="21" t="s">
        <v>135</v>
      </c>
      <c r="E1941" s="21" t="s">
        <v>136</v>
      </c>
      <c r="F1941" s="21" t="s">
        <v>837</v>
      </c>
      <c r="G1941" s="21" t="s">
        <v>838</v>
      </c>
      <c r="H1941" s="21" t="s">
        <v>1132</v>
      </c>
      <c r="I1941" s="21" t="s">
        <v>1133</v>
      </c>
      <c r="J1941" s="21" t="s">
        <v>1000</v>
      </c>
      <c r="K1941" s="21" t="s">
        <v>1061</v>
      </c>
      <c r="L1941" s="21" t="s">
        <v>1080</v>
      </c>
      <c r="M1941" s="21" t="s">
        <v>12</v>
      </c>
      <c r="N1941" s="54">
        <v>12100</v>
      </c>
      <c r="O1941" s="54">
        <v>0</v>
      </c>
      <c r="P1941" s="54">
        <v>0</v>
      </c>
      <c r="Q1941" s="54">
        <v>12100</v>
      </c>
      <c r="R1941" s="54">
        <v>0</v>
      </c>
      <c r="S1941" s="54">
        <v>0</v>
      </c>
      <c r="T1941" s="54">
        <v>0</v>
      </c>
      <c r="U1941" s="54">
        <v>12100</v>
      </c>
      <c r="V1941" s="54">
        <v>12100</v>
      </c>
      <c r="W1941" s="54">
        <v>12100</v>
      </c>
    </row>
    <row r="1942" spans="1:23" outlineLevel="2" x14ac:dyDescent="0.2">
      <c r="A1942" s="21" t="s">
        <v>999</v>
      </c>
      <c r="B1942" s="21" t="s">
        <v>39</v>
      </c>
      <c r="C1942" s="21" t="s">
        <v>58</v>
      </c>
      <c r="D1942" s="21" t="s">
        <v>145</v>
      </c>
      <c r="E1942" s="21" t="s">
        <v>146</v>
      </c>
      <c r="F1942" s="21" t="s">
        <v>837</v>
      </c>
      <c r="G1942" s="21" t="s">
        <v>838</v>
      </c>
      <c r="H1942" s="21" t="s">
        <v>1132</v>
      </c>
      <c r="I1942" s="21" t="s">
        <v>1133</v>
      </c>
      <c r="J1942" s="21" t="s">
        <v>1000</v>
      </c>
      <c r="K1942" s="21" t="s">
        <v>1061</v>
      </c>
      <c r="L1942" s="21" t="s">
        <v>1080</v>
      </c>
      <c r="M1942" s="21" t="s">
        <v>12</v>
      </c>
      <c r="N1942" s="54">
        <v>30000</v>
      </c>
      <c r="O1942" s="54">
        <v>0</v>
      </c>
      <c r="P1942" s="54">
        <v>0</v>
      </c>
      <c r="Q1942" s="54">
        <v>30000</v>
      </c>
      <c r="R1942" s="54">
        <v>0</v>
      </c>
      <c r="S1942" s="54">
        <v>0</v>
      </c>
      <c r="T1942" s="54">
        <v>0</v>
      </c>
      <c r="U1942" s="54">
        <v>30000</v>
      </c>
      <c r="V1942" s="54">
        <v>30000</v>
      </c>
      <c r="W1942" s="54">
        <v>30000</v>
      </c>
    </row>
    <row r="1943" spans="1:23" outlineLevel="2" x14ac:dyDescent="0.2">
      <c r="A1943" s="21" t="s">
        <v>999</v>
      </c>
      <c r="B1943" s="21" t="s">
        <v>39</v>
      </c>
      <c r="C1943" s="21" t="s">
        <v>58</v>
      </c>
      <c r="D1943" s="21" t="s">
        <v>139</v>
      </c>
      <c r="E1943" s="21" t="s">
        <v>140</v>
      </c>
      <c r="F1943" s="21" t="s">
        <v>837</v>
      </c>
      <c r="G1943" s="21" t="s">
        <v>838</v>
      </c>
      <c r="H1943" s="21" t="s">
        <v>1132</v>
      </c>
      <c r="I1943" s="21" t="s">
        <v>1133</v>
      </c>
      <c r="J1943" s="21" t="s">
        <v>1000</v>
      </c>
      <c r="K1943" s="21" t="s">
        <v>1061</v>
      </c>
      <c r="L1943" s="21" t="s">
        <v>1080</v>
      </c>
      <c r="M1943" s="21" t="s">
        <v>12</v>
      </c>
      <c r="N1943" s="54">
        <v>25331.05</v>
      </c>
      <c r="O1943" s="54">
        <v>0</v>
      </c>
      <c r="P1943" s="54">
        <v>0</v>
      </c>
      <c r="Q1943" s="54">
        <v>25331.05</v>
      </c>
      <c r="R1943" s="54">
        <v>0</v>
      </c>
      <c r="S1943" s="54">
        <v>0</v>
      </c>
      <c r="T1943" s="54">
        <v>0</v>
      </c>
      <c r="U1943" s="54">
        <v>25331.05</v>
      </c>
      <c r="V1943" s="54">
        <v>25331.05</v>
      </c>
      <c r="W1943" s="54">
        <v>25331.05</v>
      </c>
    </row>
    <row r="1944" spans="1:23" outlineLevel="2" x14ac:dyDescent="0.2">
      <c r="A1944" s="21" t="s">
        <v>999</v>
      </c>
      <c r="B1944" s="21" t="s">
        <v>39</v>
      </c>
      <c r="C1944" s="21" t="s">
        <v>58</v>
      </c>
      <c r="D1944" s="21" t="s">
        <v>143</v>
      </c>
      <c r="E1944" s="21" t="s">
        <v>144</v>
      </c>
      <c r="F1944" s="21" t="s">
        <v>837</v>
      </c>
      <c r="G1944" s="21" t="s">
        <v>838</v>
      </c>
      <c r="H1944" s="21" t="s">
        <v>1132</v>
      </c>
      <c r="I1944" s="21" t="s">
        <v>1133</v>
      </c>
      <c r="J1944" s="21" t="s">
        <v>1000</v>
      </c>
      <c r="K1944" s="21" t="s">
        <v>1061</v>
      </c>
      <c r="L1944" s="21" t="s">
        <v>1080</v>
      </c>
      <c r="M1944" s="21" t="s">
        <v>12</v>
      </c>
      <c r="N1944" s="54">
        <v>15125.03</v>
      </c>
      <c r="O1944" s="54">
        <v>0</v>
      </c>
      <c r="P1944" s="54">
        <v>0</v>
      </c>
      <c r="Q1944" s="54">
        <v>15125.03</v>
      </c>
      <c r="R1944" s="54">
        <v>81.540000000000006</v>
      </c>
      <c r="S1944" s="54">
        <v>15039.89</v>
      </c>
      <c r="T1944" s="54">
        <v>15039.89</v>
      </c>
      <c r="U1944" s="54">
        <v>85.14</v>
      </c>
      <c r="V1944" s="54">
        <v>85.14</v>
      </c>
      <c r="W1944" s="54">
        <v>3.6</v>
      </c>
    </row>
    <row r="1945" spans="1:23" outlineLevel="2" x14ac:dyDescent="0.2">
      <c r="A1945" s="21" t="s">
        <v>999</v>
      </c>
      <c r="B1945" s="21" t="s">
        <v>39</v>
      </c>
      <c r="C1945" s="21" t="s">
        <v>58</v>
      </c>
      <c r="D1945" s="21" t="s">
        <v>145</v>
      </c>
      <c r="E1945" s="21" t="s">
        <v>146</v>
      </c>
      <c r="F1945" s="21" t="s">
        <v>837</v>
      </c>
      <c r="G1945" s="21" t="s">
        <v>838</v>
      </c>
      <c r="H1945" s="21" t="s">
        <v>1132</v>
      </c>
      <c r="I1945" s="21" t="s">
        <v>1133</v>
      </c>
      <c r="J1945" s="21" t="s">
        <v>1000</v>
      </c>
      <c r="K1945" s="21" t="s">
        <v>1019</v>
      </c>
      <c r="L1945" s="21" t="s">
        <v>1081</v>
      </c>
      <c r="M1945" s="21" t="s">
        <v>12</v>
      </c>
      <c r="N1945" s="54">
        <v>1000</v>
      </c>
      <c r="O1945" s="54">
        <v>0</v>
      </c>
      <c r="P1945" s="54">
        <v>0</v>
      </c>
      <c r="Q1945" s="54">
        <v>1000</v>
      </c>
      <c r="R1945" s="54">
        <v>0</v>
      </c>
      <c r="S1945" s="54">
        <v>0</v>
      </c>
      <c r="T1945" s="54">
        <v>0</v>
      </c>
      <c r="U1945" s="54">
        <v>1000</v>
      </c>
      <c r="V1945" s="54">
        <v>1000</v>
      </c>
      <c r="W1945" s="54">
        <v>1000</v>
      </c>
    </row>
    <row r="1946" spans="1:23" outlineLevel="2" x14ac:dyDescent="0.2">
      <c r="A1946" s="21" t="s">
        <v>999</v>
      </c>
      <c r="B1946" s="21" t="s">
        <v>39</v>
      </c>
      <c r="C1946" s="21" t="s">
        <v>58</v>
      </c>
      <c r="D1946" s="21" t="s">
        <v>135</v>
      </c>
      <c r="E1946" s="21" t="s">
        <v>136</v>
      </c>
      <c r="F1946" s="21" t="s">
        <v>837</v>
      </c>
      <c r="G1946" s="21" t="s">
        <v>838</v>
      </c>
      <c r="H1946" s="21" t="s">
        <v>1132</v>
      </c>
      <c r="I1946" s="21" t="s">
        <v>1133</v>
      </c>
      <c r="J1946" s="21" t="s">
        <v>1000</v>
      </c>
      <c r="K1946" s="21" t="s">
        <v>1082</v>
      </c>
      <c r="L1946" s="21" t="s">
        <v>1083</v>
      </c>
      <c r="M1946" s="21" t="s">
        <v>12</v>
      </c>
      <c r="N1946" s="54">
        <v>600</v>
      </c>
      <c r="O1946" s="54">
        <v>0</v>
      </c>
      <c r="P1946" s="54">
        <v>0</v>
      </c>
      <c r="Q1946" s="54">
        <v>600</v>
      </c>
      <c r="R1946" s="54">
        <v>0</v>
      </c>
      <c r="S1946" s="54">
        <v>0</v>
      </c>
      <c r="T1946" s="54">
        <v>0</v>
      </c>
      <c r="U1946" s="54">
        <v>600</v>
      </c>
      <c r="V1946" s="54">
        <v>600</v>
      </c>
      <c r="W1946" s="54">
        <v>600</v>
      </c>
    </row>
    <row r="1947" spans="1:23" outlineLevel="2" x14ac:dyDescent="0.2">
      <c r="A1947" s="21" t="s">
        <v>999</v>
      </c>
      <c r="B1947" s="21" t="s">
        <v>39</v>
      </c>
      <c r="C1947" s="21" t="s">
        <v>58</v>
      </c>
      <c r="D1947" s="21" t="s">
        <v>135</v>
      </c>
      <c r="E1947" s="21" t="s">
        <v>136</v>
      </c>
      <c r="F1947" s="21" t="s">
        <v>837</v>
      </c>
      <c r="G1947" s="21" t="s">
        <v>838</v>
      </c>
      <c r="H1947" s="21" t="s">
        <v>1132</v>
      </c>
      <c r="I1947" s="21" t="s">
        <v>1133</v>
      </c>
      <c r="J1947" s="21" t="s">
        <v>1000</v>
      </c>
      <c r="K1947" s="21" t="s">
        <v>1084</v>
      </c>
      <c r="L1947" s="21" t="s">
        <v>1085</v>
      </c>
      <c r="M1947" s="21" t="s">
        <v>12</v>
      </c>
      <c r="N1947" s="54">
        <v>5500</v>
      </c>
      <c r="O1947" s="54">
        <v>0</v>
      </c>
      <c r="P1947" s="54">
        <v>0</v>
      </c>
      <c r="Q1947" s="54">
        <v>5500</v>
      </c>
      <c r="R1947" s="54">
        <v>0</v>
      </c>
      <c r="S1947" s="54">
        <v>0</v>
      </c>
      <c r="T1947" s="54">
        <v>0</v>
      </c>
      <c r="U1947" s="54">
        <v>5500</v>
      </c>
      <c r="V1947" s="54">
        <v>5500</v>
      </c>
      <c r="W1947" s="54">
        <v>5500</v>
      </c>
    </row>
    <row r="1948" spans="1:23" outlineLevel="2" x14ac:dyDescent="0.2">
      <c r="A1948" s="21" t="s">
        <v>999</v>
      </c>
      <c r="B1948" s="21" t="s">
        <v>39</v>
      </c>
      <c r="C1948" s="21" t="s">
        <v>58</v>
      </c>
      <c r="D1948" s="21" t="s">
        <v>137</v>
      </c>
      <c r="E1948" s="21" t="s">
        <v>138</v>
      </c>
      <c r="F1948" s="21" t="s">
        <v>837</v>
      </c>
      <c r="G1948" s="21" t="s">
        <v>838</v>
      </c>
      <c r="H1948" s="21" t="s">
        <v>1132</v>
      </c>
      <c r="I1948" s="21" t="s">
        <v>1133</v>
      </c>
      <c r="J1948" s="21" t="s">
        <v>1000</v>
      </c>
      <c r="K1948" s="21" t="s">
        <v>1084</v>
      </c>
      <c r="L1948" s="21" t="s">
        <v>1085</v>
      </c>
      <c r="M1948" s="21" t="s">
        <v>12</v>
      </c>
      <c r="N1948" s="54">
        <v>7897.2</v>
      </c>
      <c r="O1948" s="54">
        <v>0</v>
      </c>
      <c r="P1948" s="54">
        <v>0</v>
      </c>
      <c r="Q1948" s="54">
        <v>7897.2</v>
      </c>
      <c r="R1948" s="54">
        <v>0</v>
      </c>
      <c r="S1948" s="54">
        <v>0</v>
      </c>
      <c r="T1948" s="54">
        <v>0</v>
      </c>
      <c r="U1948" s="54">
        <v>7897.2</v>
      </c>
      <c r="V1948" s="54">
        <v>7897.2</v>
      </c>
      <c r="W1948" s="54">
        <v>7897.2</v>
      </c>
    </row>
    <row r="1949" spans="1:23" outlineLevel="2" x14ac:dyDescent="0.2">
      <c r="A1949" s="21" t="s">
        <v>999</v>
      </c>
      <c r="B1949" s="21" t="s">
        <v>39</v>
      </c>
      <c r="C1949" s="21" t="s">
        <v>58</v>
      </c>
      <c r="D1949" s="21" t="s">
        <v>147</v>
      </c>
      <c r="E1949" s="21" t="s">
        <v>148</v>
      </c>
      <c r="F1949" s="21" t="s">
        <v>837</v>
      </c>
      <c r="G1949" s="21" t="s">
        <v>838</v>
      </c>
      <c r="H1949" s="21" t="s">
        <v>1132</v>
      </c>
      <c r="I1949" s="21" t="s">
        <v>1133</v>
      </c>
      <c r="J1949" s="21" t="s">
        <v>1000</v>
      </c>
      <c r="K1949" s="21" t="s">
        <v>1084</v>
      </c>
      <c r="L1949" s="21" t="s">
        <v>1085</v>
      </c>
      <c r="M1949" s="21" t="s">
        <v>12</v>
      </c>
      <c r="N1949" s="54">
        <v>3500</v>
      </c>
      <c r="O1949" s="54">
        <v>0</v>
      </c>
      <c r="P1949" s="54">
        <v>0</v>
      </c>
      <c r="Q1949" s="54">
        <v>3500</v>
      </c>
      <c r="R1949" s="54">
        <v>0</v>
      </c>
      <c r="S1949" s="54">
        <v>0</v>
      </c>
      <c r="T1949" s="54">
        <v>0</v>
      </c>
      <c r="U1949" s="54">
        <v>3500</v>
      </c>
      <c r="V1949" s="54">
        <v>3500</v>
      </c>
      <c r="W1949" s="54">
        <v>3500</v>
      </c>
    </row>
    <row r="1950" spans="1:23" outlineLevel="2" x14ac:dyDescent="0.2">
      <c r="A1950" s="21" t="s">
        <v>999</v>
      </c>
      <c r="B1950" s="21" t="s">
        <v>39</v>
      </c>
      <c r="C1950" s="21" t="s">
        <v>58</v>
      </c>
      <c r="D1950" s="21" t="s">
        <v>145</v>
      </c>
      <c r="E1950" s="21" t="s">
        <v>146</v>
      </c>
      <c r="F1950" s="21" t="s">
        <v>837</v>
      </c>
      <c r="G1950" s="21" t="s">
        <v>838</v>
      </c>
      <c r="H1950" s="21" t="s">
        <v>1132</v>
      </c>
      <c r="I1950" s="21" t="s">
        <v>1133</v>
      </c>
      <c r="J1950" s="21" t="s">
        <v>1000</v>
      </c>
      <c r="K1950" s="21" t="s">
        <v>1084</v>
      </c>
      <c r="L1950" s="21" t="s">
        <v>1085</v>
      </c>
      <c r="M1950" s="21" t="s">
        <v>12</v>
      </c>
      <c r="N1950" s="54">
        <v>7000</v>
      </c>
      <c r="O1950" s="54">
        <v>0</v>
      </c>
      <c r="P1950" s="54">
        <v>0</v>
      </c>
      <c r="Q1950" s="54">
        <v>7000</v>
      </c>
      <c r="R1950" s="54">
        <v>0</v>
      </c>
      <c r="S1950" s="54">
        <v>0</v>
      </c>
      <c r="T1950" s="54">
        <v>0</v>
      </c>
      <c r="U1950" s="54">
        <v>7000</v>
      </c>
      <c r="V1950" s="54">
        <v>7000</v>
      </c>
      <c r="W1950" s="54">
        <v>7000</v>
      </c>
    </row>
    <row r="1951" spans="1:23" outlineLevel="2" x14ac:dyDescent="0.2">
      <c r="A1951" s="21" t="s">
        <v>999</v>
      </c>
      <c r="B1951" s="21" t="s">
        <v>39</v>
      </c>
      <c r="C1951" s="21" t="s">
        <v>58</v>
      </c>
      <c r="D1951" s="21" t="s">
        <v>149</v>
      </c>
      <c r="E1951" s="21" t="s">
        <v>150</v>
      </c>
      <c r="F1951" s="21" t="s">
        <v>837</v>
      </c>
      <c r="G1951" s="21" t="s">
        <v>838</v>
      </c>
      <c r="H1951" s="21" t="s">
        <v>1132</v>
      </c>
      <c r="I1951" s="21" t="s">
        <v>1133</v>
      </c>
      <c r="J1951" s="21" t="s">
        <v>1000</v>
      </c>
      <c r="K1951" s="21" t="s">
        <v>1084</v>
      </c>
      <c r="L1951" s="21" t="s">
        <v>1085</v>
      </c>
      <c r="M1951" s="21" t="s">
        <v>12</v>
      </c>
      <c r="N1951" s="54">
        <v>15000</v>
      </c>
      <c r="O1951" s="54">
        <v>0</v>
      </c>
      <c r="P1951" s="54">
        <v>0</v>
      </c>
      <c r="Q1951" s="54">
        <v>15000</v>
      </c>
      <c r="R1951" s="54">
        <v>0</v>
      </c>
      <c r="S1951" s="54">
        <v>0</v>
      </c>
      <c r="T1951" s="54">
        <v>0</v>
      </c>
      <c r="U1951" s="54">
        <v>15000</v>
      </c>
      <c r="V1951" s="54">
        <v>15000</v>
      </c>
      <c r="W1951" s="54">
        <v>15000</v>
      </c>
    </row>
    <row r="1952" spans="1:23" outlineLevel="2" x14ac:dyDescent="0.2">
      <c r="A1952" s="21" t="s">
        <v>999</v>
      </c>
      <c r="B1952" s="21" t="s">
        <v>39</v>
      </c>
      <c r="C1952" s="21" t="s">
        <v>58</v>
      </c>
      <c r="D1952" s="21" t="s">
        <v>59</v>
      </c>
      <c r="E1952" s="21" t="s">
        <v>60</v>
      </c>
      <c r="F1952" s="21" t="s">
        <v>837</v>
      </c>
      <c r="G1952" s="21" t="s">
        <v>838</v>
      </c>
      <c r="H1952" s="21" t="s">
        <v>1132</v>
      </c>
      <c r="I1952" s="21" t="s">
        <v>1133</v>
      </c>
      <c r="J1952" s="21" t="s">
        <v>1000</v>
      </c>
      <c r="K1952" s="21" t="s">
        <v>1084</v>
      </c>
      <c r="L1952" s="21" t="s">
        <v>1085</v>
      </c>
      <c r="M1952" s="21" t="s">
        <v>12</v>
      </c>
      <c r="N1952" s="54">
        <v>8000</v>
      </c>
      <c r="O1952" s="54">
        <v>0</v>
      </c>
      <c r="P1952" s="54">
        <v>0</v>
      </c>
      <c r="Q1952" s="54">
        <v>8000</v>
      </c>
      <c r="R1952" s="54">
        <v>0</v>
      </c>
      <c r="S1952" s="54">
        <v>0</v>
      </c>
      <c r="T1952" s="54">
        <v>0</v>
      </c>
      <c r="U1952" s="54">
        <v>8000</v>
      </c>
      <c r="V1952" s="54">
        <v>8000</v>
      </c>
      <c r="W1952" s="54">
        <v>8000</v>
      </c>
    </row>
    <row r="1953" spans="1:23" outlineLevel="2" x14ac:dyDescent="0.2">
      <c r="A1953" s="21" t="s">
        <v>999</v>
      </c>
      <c r="B1953" s="21" t="s">
        <v>39</v>
      </c>
      <c r="C1953" s="21" t="s">
        <v>58</v>
      </c>
      <c r="D1953" s="21" t="s">
        <v>139</v>
      </c>
      <c r="E1953" s="21" t="s">
        <v>140</v>
      </c>
      <c r="F1953" s="21" t="s">
        <v>837</v>
      </c>
      <c r="G1953" s="21" t="s">
        <v>838</v>
      </c>
      <c r="H1953" s="21" t="s">
        <v>1132</v>
      </c>
      <c r="I1953" s="21" t="s">
        <v>1133</v>
      </c>
      <c r="J1953" s="21" t="s">
        <v>1000</v>
      </c>
      <c r="K1953" s="21" t="s">
        <v>1084</v>
      </c>
      <c r="L1953" s="21" t="s">
        <v>1085</v>
      </c>
      <c r="M1953" s="21" t="s">
        <v>12</v>
      </c>
      <c r="N1953" s="54">
        <v>6000</v>
      </c>
      <c r="O1953" s="54">
        <v>0</v>
      </c>
      <c r="P1953" s="54">
        <v>0</v>
      </c>
      <c r="Q1953" s="54">
        <v>6000</v>
      </c>
      <c r="R1953" s="54">
        <v>0</v>
      </c>
      <c r="S1953" s="54">
        <v>0</v>
      </c>
      <c r="T1953" s="54">
        <v>0</v>
      </c>
      <c r="U1953" s="54">
        <v>6000</v>
      </c>
      <c r="V1953" s="54">
        <v>6000</v>
      </c>
      <c r="W1953" s="54">
        <v>6000</v>
      </c>
    </row>
    <row r="1954" spans="1:23" outlineLevel="2" x14ac:dyDescent="0.2">
      <c r="A1954" s="21" t="s">
        <v>999</v>
      </c>
      <c r="B1954" s="21" t="s">
        <v>39</v>
      </c>
      <c r="C1954" s="21" t="s">
        <v>58</v>
      </c>
      <c r="D1954" s="21" t="s">
        <v>143</v>
      </c>
      <c r="E1954" s="21" t="s">
        <v>144</v>
      </c>
      <c r="F1954" s="21" t="s">
        <v>837</v>
      </c>
      <c r="G1954" s="21" t="s">
        <v>838</v>
      </c>
      <c r="H1954" s="21" t="s">
        <v>1132</v>
      </c>
      <c r="I1954" s="21" t="s">
        <v>1133</v>
      </c>
      <c r="J1954" s="21" t="s">
        <v>1000</v>
      </c>
      <c r="K1954" s="21" t="s">
        <v>1084</v>
      </c>
      <c r="L1954" s="21" t="s">
        <v>1085</v>
      </c>
      <c r="M1954" s="21" t="s">
        <v>12</v>
      </c>
      <c r="N1954" s="54">
        <v>8000</v>
      </c>
      <c r="O1954" s="54">
        <v>0</v>
      </c>
      <c r="P1954" s="54">
        <v>0</v>
      </c>
      <c r="Q1954" s="54">
        <v>8000</v>
      </c>
      <c r="R1954" s="54">
        <v>0</v>
      </c>
      <c r="S1954" s="54">
        <v>3483.98</v>
      </c>
      <c r="T1954" s="54">
        <v>3483.98</v>
      </c>
      <c r="U1954" s="54">
        <v>4516.0200000000004</v>
      </c>
      <c r="V1954" s="54">
        <v>4516.0200000000004</v>
      </c>
      <c r="W1954" s="54">
        <v>4516.0200000000004</v>
      </c>
    </row>
    <row r="1955" spans="1:23" outlineLevel="2" x14ac:dyDescent="0.2">
      <c r="A1955" s="21" t="s">
        <v>999</v>
      </c>
      <c r="B1955" s="21" t="s">
        <v>39</v>
      </c>
      <c r="C1955" s="21" t="s">
        <v>58</v>
      </c>
      <c r="D1955" s="21" t="s">
        <v>105</v>
      </c>
      <c r="E1955" s="21" t="s">
        <v>106</v>
      </c>
      <c r="F1955" s="21" t="s">
        <v>837</v>
      </c>
      <c r="G1955" s="21" t="s">
        <v>838</v>
      </c>
      <c r="H1955" s="21" t="s">
        <v>1134</v>
      </c>
      <c r="I1955" s="21" t="s">
        <v>1135</v>
      </c>
      <c r="J1955" s="21" t="s">
        <v>1000</v>
      </c>
      <c r="K1955" s="21" t="s">
        <v>1039</v>
      </c>
      <c r="L1955" s="21" t="s">
        <v>1067</v>
      </c>
      <c r="M1955" s="21" t="s">
        <v>12</v>
      </c>
      <c r="N1955" s="54">
        <v>1346248.22</v>
      </c>
      <c r="O1955" s="54">
        <v>4500</v>
      </c>
      <c r="P1955" s="54">
        <v>0</v>
      </c>
      <c r="Q1955" s="54">
        <v>1350748.22</v>
      </c>
      <c r="R1955" s="54">
        <v>0</v>
      </c>
      <c r="S1955" s="54">
        <v>4500</v>
      </c>
      <c r="T1955" s="54">
        <v>0</v>
      </c>
      <c r="U1955" s="54">
        <v>1346248.22</v>
      </c>
      <c r="V1955" s="54">
        <v>1350748.22</v>
      </c>
      <c r="W1955" s="54">
        <v>1346248.22</v>
      </c>
    </row>
    <row r="1956" spans="1:23" outlineLevel="2" x14ac:dyDescent="0.2">
      <c r="A1956" s="21" t="s">
        <v>999</v>
      </c>
      <c r="B1956" s="21" t="s">
        <v>39</v>
      </c>
      <c r="C1956" s="21" t="s">
        <v>58</v>
      </c>
      <c r="D1956" s="21" t="s">
        <v>105</v>
      </c>
      <c r="E1956" s="21" t="s">
        <v>106</v>
      </c>
      <c r="F1956" s="21" t="s">
        <v>837</v>
      </c>
      <c r="G1956" s="21" t="s">
        <v>838</v>
      </c>
      <c r="H1956" s="21" t="s">
        <v>1134</v>
      </c>
      <c r="I1956" s="21" t="s">
        <v>1135</v>
      </c>
      <c r="J1956" s="21" t="s">
        <v>1000</v>
      </c>
      <c r="K1956" s="21" t="s">
        <v>1090</v>
      </c>
      <c r="L1956" s="21" t="s">
        <v>1091</v>
      </c>
      <c r="M1956" s="21" t="s">
        <v>12</v>
      </c>
      <c r="N1956" s="54">
        <v>5000</v>
      </c>
      <c r="O1956" s="54">
        <v>0</v>
      </c>
      <c r="P1956" s="54">
        <v>0</v>
      </c>
      <c r="Q1956" s="54">
        <v>5000</v>
      </c>
      <c r="R1956" s="54">
        <v>0</v>
      </c>
      <c r="S1956" s="54">
        <v>0</v>
      </c>
      <c r="T1956" s="54">
        <v>0</v>
      </c>
      <c r="U1956" s="54">
        <v>5000</v>
      </c>
      <c r="V1956" s="54">
        <v>5000</v>
      </c>
      <c r="W1956" s="54">
        <v>5000</v>
      </c>
    </row>
    <row r="1957" spans="1:23" outlineLevel="2" x14ac:dyDescent="0.2">
      <c r="A1957" s="21" t="s">
        <v>999</v>
      </c>
      <c r="B1957" s="21" t="s">
        <v>39</v>
      </c>
      <c r="C1957" s="21" t="s">
        <v>58</v>
      </c>
      <c r="D1957" s="21" t="s">
        <v>105</v>
      </c>
      <c r="E1957" s="21" t="s">
        <v>106</v>
      </c>
      <c r="F1957" s="21" t="s">
        <v>837</v>
      </c>
      <c r="G1957" s="21" t="s">
        <v>838</v>
      </c>
      <c r="H1957" s="21" t="s">
        <v>1134</v>
      </c>
      <c r="I1957" s="21" t="s">
        <v>1135</v>
      </c>
      <c r="J1957" s="21" t="s">
        <v>1000</v>
      </c>
      <c r="K1957" s="21" t="s">
        <v>1011</v>
      </c>
      <c r="L1957" s="21" t="s">
        <v>1073</v>
      </c>
      <c r="M1957" s="21" t="s">
        <v>12</v>
      </c>
      <c r="N1957" s="54">
        <v>1300</v>
      </c>
      <c r="O1957" s="54">
        <v>0</v>
      </c>
      <c r="P1957" s="54">
        <v>0</v>
      </c>
      <c r="Q1957" s="54">
        <v>1300</v>
      </c>
      <c r="R1957" s="54">
        <v>0</v>
      </c>
      <c r="S1957" s="54">
        <v>0</v>
      </c>
      <c r="T1957" s="54">
        <v>0</v>
      </c>
      <c r="U1957" s="54">
        <v>1300</v>
      </c>
      <c r="V1957" s="54">
        <v>1300</v>
      </c>
      <c r="W1957" s="54">
        <v>1300</v>
      </c>
    </row>
    <row r="1958" spans="1:23" outlineLevel="2" x14ac:dyDescent="0.2">
      <c r="A1958" s="21" t="s">
        <v>999</v>
      </c>
      <c r="B1958" s="21" t="s">
        <v>39</v>
      </c>
      <c r="C1958" s="21" t="s">
        <v>58</v>
      </c>
      <c r="D1958" s="21" t="s">
        <v>105</v>
      </c>
      <c r="E1958" s="21" t="s">
        <v>106</v>
      </c>
      <c r="F1958" s="21" t="s">
        <v>837</v>
      </c>
      <c r="G1958" s="21" t="s">
        <v>838</v>
      </c>
      <c r="H1958" s="21" t="s">
        <v>1134</v>
      </c>
      <c r="I1958" s="21" t="s">
        <v>1135</v>
      </c>
      <c r="J1958" s="21" t="s">
        <v>1000</v>
      </c>
      <c r="K1958" s="21" t="s">
        <v>1078</v>
      </c>
      <c r="L1958" s="21" t="s">
        <v>1079</v>
      </c>
      <c r="M1958" s="21" t="s">
        <v>12</v>
      </c>
      <c r="N1958" s="54">
        <v>8000</v>
      </c>
      <c r="O1958" s="54">
        <v>-4500</v>
      </c>
      <c r="P1958" s="54">
        <v>0</v>
      </c>
      <c r="Q1958" s="54">
        <v>3500</v>
      </c>
      <c r="R1958" s="54">
        <v>0</v>
      </c>
      <c r="S1958" s="54">
        <v>0</v>
      </c>
      <c r="T1958" s="54">
        <v>0</v>
      </c>
      <c r="U1958" s="54">
        <v>3500</v>
      </c>
      <c r="V1958" s="54">
        <v>3500</v>
      </c>
      <c r="W1958" s="54">
        <v>3500</v>
      </c>
    </row>
    <row r="1959" spans="1:23" outlineLevel="2" x14ac:dyDescent="0.2">
      <c r="A1959" s="21" t="s">
        <v>999</v>
      </c>
      <c r="B1959" s="21" t="s">
        <v>39</v>
      </c>
      <c r="C1959" s="21" t="s">
        <v>58</v>
      </c>
      <c r="D1959" s="21" t="s">
        <v>105</v>
      </c>
      <c r="E1959" s="21" t="s">
        <v>106</v>
      </c>
      <c r="F1959" s="21" t="s">
        <v>837</v>
      </c>
      <c r="G1959" s="21" t="s">
        <v>838</v>
      </c>
      <c r="H1959" s="21" t="s">
        <v>1136</v>
      </c>
      <c r="I1959" s="21" t="s">
        <v>1137</v>
      </c>
      <c r="J1959" s="21" t="s">
        <v>1000</v>
      </c>
      <c r="K1959" s="21" t="s">
        <v>1082</v>
      </c>
      <c r="L1959" s="21" t="s">
        <v>1083</v>
      </c>
      <c r="M1959" s="21" t="s">
        <v>12</v>
      </c>
      <c r="N1959" s="54">
        <v>10000</v>
      </c>
      <c r="O1959" s="54">
        <v>0</v>
      </c>
      <c r="P1959" s="54">
        <v>0</v>
      </c>
      <c r="Q1959" s="54">
        <v>10000</v>
      </c>
      <c r="R1959" s="54">
        <v>0</v>
      </c>
      <c r="S1959" s="54">
        <v>0</v>
      </c>
      <c r="T1959" s="54">
        <v>0</v>
      </c>
      <c r="U1959" s="54">
        <v>10000</v>
      </c>
      <c r="V1959" s="54">
        <v>10000</v>
      </c>
      <c r="W1959" s="54">
        <v>10000</v>
      </c>
    </row>
    <row r="1960" spans="1:23" outlineLevel="2" x14ac:dyDescent="0.2">
      <c r="A1960" s="21" t="s">
        <v>999</v>
      </c>
      <c r="B1960" s="21" t="s">
        <v>39</v>
      </c>
      <c r="C1960" s="21" t="s">
        <v>58</v>
      </c>
      <c r="D1960" s="21" t="s">
        <v>147</v>
      </c>
      <c r="E1960" s="21" t="s">
        <v>148</v>
      </c>
      <c r="F1960" s="21" t="s">
        <v>856</v>
      </c>
      <c r="G1960" s="21" t="s">
        <v>857</v>
      </c>
      <c r="H1960" s="21" t="s">
        <v>858</v>
      </c>
      <c r="I1960" s="21" t="s">
        <v>859</v>
      </c>
      <c r="J1960" s="21" t="s">
        <v>1000</v>
      </c>
      <c r="K1960" s="21" t="s">
        <v>1037</v>
      </c>
      <c r="L1960" s="21" t="s">
        <v>1138</v>
      </c>
      <c r="M1960" s="21" t="s">
        <v>12</v>
      </c>
      <c r="N1960" s="54">
        <v>1800</v>
      </c>
      <c r="O1960" s="54">
        <v>0</v>
      </c>
      <c r="P1960" s="54">
        <v>0</v>
      </c>
      <c r="Q1960" s="54">
        <v>1800</v>
      </c>
      <c r="R1960" s="54">
        <v>0</v>
      </c>
      <c r="S1960" s="54">
        <v>0</v>
      </c>
      <c r="T1960" s="54">
        <v>0</v>
      </c>
      <c r="U1960" s="54">
        <v>1800</v>
      </c>
      <c r="V1960" s="54">
        <v>1800</v>
      </c>
      <c r="W1960" s="54">
        <v>1800</v>
      </c>
    </row>
    <row r="1961" spans="1:23" outlineLevel="2" x14ac:dyDescent="0.2">
      <c r="A1961" s="21" t="s">
        <v>999</v>
      </c>
      <c r="B1961" s="21" t="s">
        <v>39</v>
      </c>
      <c r="C1961" s="21" t="s">
        <v>58</v>
      </c>
      <c r="D1961" s="21" t="s">
        <v>129</v>
      </c>
      <c r="E1961" s="21" t="s">
        <v>130</v>
      </c>
      <c r="F1961" s="21" t="s">
        <v>856</v>
      </c>
      <c r="G1961" s="21" t="s">
        <v>857</v>
      </c>
      <c r="H1961" s="21" t="s">
        <v>858</v>
      </c>
      <c r="I1961" s="21" t="s">
        <v>859</v>
      </c>
      <c r="J1961" s="21" t="s">
        <v>1000</v>
      </c>
      <c r="K1961" s="21" t="s">
        <v>1039</v>
      </c>
      <c r="L1961" s="21" t="s">
        <v>1139</v>
      </c>
      <c r="M1961" s="21" t="s">
        <v>12</v>
      </c>
      <c r="N1961" s="54">
        <v>69318.759999999995</v>
      </c>
      <c r="O1961" s="54">
        <v>0</v>
      </c>
      <c r="P1961" s="54">
        <v>0</v>
      </c>
      <c r="Q1961" s="54">
        <v>69318.759999999995</v>
      </c>
      <c r="R1961" s="54">
        <v>0</v>
      </c>
      <c r="S1961" s="54">
        <v>0</v>
      </c>
      <c r="T1961" s="54">
        <v>0</v>
      </c>
      <c r="U1961" s="54">
        <v>69318.759999999995</v>
      </c>
      <c r="V1961" s="54">
        <v>69318.759999999995</v>
      </c>
      <c r="W1961" s="54">
        <v>69318.759999999995</v>
      </c>
    </row>
    <row r="1962" spans="1:23" outlineLevel="2" x14ac:dyDescent="0.2">
      <c r="A1962" s="21" t="s">
        <v>999</v>
      </c>
      <c r="B1962" s="21" t="s">
        <v>39</v>
      </c>
      <c r="C1962" s="21" t="s">
        <v>58</v>
      </c>
      <c r="D1962" s="21" t="s">
        <v>137</v>
      </c>
      <c r="E1962" s="21" t="s">
        <v>138</v>
      </c>
      <c r="F1962" s="21" t="s">
        <v>856</v>
      </c>
      <c r="G1962" s="21" t="s">
        <v>857</v>
      </c>
      <c r="H1962" s="21" t="s">
        <v>858</v>
      </c>
      <c r="I1962" s="21" t="s">
        <v>859</v>
      </c>
      <c r="J1962" s="21" t="s">
        <v>1000</v>
      </c>
      <c r="K1962" s="21" t="s">
        <v>1039</v>
      </c>
      <c r="L1962" s="21" t="s">
        <v>1139</v>
      </c>
      <c r="M1962" s="21" t="s">
        <v>12</v>
      </c>
      <c r="N1962" s="54">
        <v>45000</v>
      </c>
      <c r="O1962" s="54">
        <v>0</v>
      </c>
      <c r="P1962" s="54">
        <v>0</v>
      </c>
      <c r="Q1962" s="54">
        <v>45000</v>
      </c>
      <c r="R1962" s="54">
        <v>0</v>
      </c>
      <c r="S1962" s="54">
        <v>0</v>
      </c>
      <c r="T1962" s="54">
        <v>0</v>
      </c>
      <c r="U1962" s="54">
        <v>45000</v>
      </c>
      <c r="V1962" s="54">
        <v>45000</v>
      </c>
      <c r="W1962" s="54">
        <v>45000</v>
      </c>
    </row>
    <row r="1963" spans="1:23" outlineLevel="2" x14ac:dyDescent="0.2">
      <c r="A1963" s="21" t="s">
        <v>999</v>
      </c>
      <c r="B1963" s="21" t="s">
        <v>31</v>
      </c>
      <c r="C1963" s="21" t="s">
        <v>107</v>
      </c>
      <c r="D1963" s="21" t="s">
        <v>108</v>
      </c>
      <c r="E1963" s="21" t="s">
        <v>109</v>
      </c>
      <c r="F1963" s="21" t="s">
        <v>856</v>
      </c>
      <c r="G1963" s="21" t="s">
        <v>857</v>
      </c>
      <c r="H1963" s="21" t="s">
        <v>858</v>
      </c>
      <c r="I1963" s="21" t="s">
        <v>859</v>
      </c>
      <c r="J1963" s="21" t="s">
        <v>1000</v>
      </c>
      <c r="K1963" s="21" t="s">
        <v>1039</v>
      </c>
      <c r="L1963" s="21" t="s">
        <v>1140</v>
      </c>
      <c r="M1963" s="21" t="s">
        <v>12</v>
      </c>
      <c r="N1963" s="54">
        <v>2492000</v>
      </c>
      <c r="O1963" s="54">
        <v>-632150</v>
      </c>
      <c r="P1963" s="54">
        <v>0</v>
      </c>
      <c r="Q1963" s="54">
        <v>1859850</v>
      </c>
      <c r="R1963" s="54">
        <v>0</v>
      </c>
      <c r="S1963" s="54">
        <v>1263250</v>
      </c>
      <c r="T1963" s="54">
        <v>1263250</v>
      </c>
      <c r="U1963" s="54">
        <v>596600</v>
      </c>
      <c r="V1963" s="54">
        <v>596600</v>
      </c>
      <c r="W1963" s="54">
        <v>596600</v>
      </c>
    </row>
    <row r="1964" spans="1:23" outlineLevel="2" x14ac:dyDescent="0.2">
      <c r="A1964" s="21" t="s">
        <v>999</v>
      </c>
      <c r="B1964" s="21" t="s">
        <v>39</v>
      </c>
      <c r="C1964" s="21" t="s">
        <v>58</v>
      </c>
      <c r="D1964" s="21" t="s">
        <v>147</v>
      </c>
      <c r="E1964" s="21" t="s">
        <v>148</v>
      </c>
      <c r="F1964" s="21" t="s">
        <v>856</v>
      </c>
      <c r="G1964" s="21" t="s">
        <v>857</v>
      </c>
      <c r="H1964" s="21" t="s">
        <v>858</v>
      </c>
      <c r="I1964" s="21" t="s">
        <v>859</v>
      </c>
      <c r="J1964" s="21" t="s">
        <v>1000</v>
      </c>
      <c r="K1964" s="21" t="s">
        <v>1039</v>
      </c>
      <c r="L1964" s="21" t="s">
        <v>1139</v>
      </c>
      <c r="M1964" s="21" t="s">
        <v>12</v>
      </c>
      <c r="N1964" s="54">
        <v>38200</v>
      </c>
      <c r="O1964" s="54">
        <v>0</v>
      </c>
      <c r="P1964" s="54">
        <v>0</v>
      </c>
      <c r="Q1964" s="54">
        <v>38200</v>
      </c>
      <c r="R1964" s="54">
        <v>0</v>
      </c>
      <c r="S1964" s="54">
        <v>0</v>
      </c>
      <c r="T1964" s="54">
        <v>0</v>
      </c>
      <c r="U1964" s="54">
        <v>38200</v>
      </c>
      <c r="V1964" s="54">
        <v>38200</v>
      </c>
      <c r="W1964" s="54">
        <v>38200</v>
      </c>
    </row>
    <row r="1965" spans="1:23" outlineLevel="2" x14ac:dyDescent="0.2">
      <c r="A1965" s="21" t="s">
        <v>999</v>
      </c>
      <c r="B1965" s="21" t="s">
        <v>39</v>
      </c>
      <c r="C1965" s="21" t="s">
        <v>58</v>
      </c>
      <c r="D1965" s="21" t="s">
        <v>145</v>
      </c>
      <c r="E1965" s="21" t="s">
        <v>146</v>
      </c>
      <c r="F1965" s="21" t="s">
        <v>856</v>
      </c>
      <c r="G1965" s="21" t="s">
        <v>857</v>
      </c>
      <c r="H1965" s="21" t="s">
        <v>858</v>
      </c>
      <c r="I1965" s="21" t="s">
        <v>859</v>
      </c>
      <c r="J1965" s="21" t="s">
        <v>1000</v>
      </c>
      <c r="K1965" s="21" t="s">
        <v>1039</v>
      </c>
      <c r="L1965" s="21" t="s">
        <v>1139</v>
      </c>
      <c r="M1965" s="21" t="s">
        <v>12</v>
      </c>
      <c r="N1965" s="54">
        <v>40000</v>
      </c>
      <c r="O1965" s="54">
        <v>0</v>
      </c>
      <c r="P1965" s="54">
        <v>0</v>
      </c>
      <c r="Q1965" s="54">
        <v>40000</v>
      </c>
      <c r="R1965" s="54">
        <v>0</v>
      </c>
      <c r="S1965" s="54">
        <v>0</v>
      </c>
      <c r="T1965" s="54">
        <v>0</v>
      </c>
      <c r="U1965" s="54">
        <v>40000</v>
      </c>
      <c r="V1965" s="54">
        <v>40000</v>
      </c>
      <c r="W1965" s="54">
        <v>40000</v>
      </c>
    </row>
    <row r="1966" spans="1:23" outlineLevel="2" x14ac:dyDescent="0.2">
      <c r="A1966" s="21" t="s">
        <v>999</v>
      </c>
      <c r="B1966" s="21" t="s">
        <v>39</v>
      </c>
      <c r="C1966" s="21" t="s">
        <v>58</v>
      </c>
      <c r="D1966" s="21" t="s">
        <v>149</v>
      </c>
      <c r="E1966" s="21" t="s">
        <v>150</v>
      </c>
      <c r="F1966" s="21" t="s">
        <v>856</v>
      </c>
      <c r="G1966" s="21" t="s">
        <v>857</v>
      </c>
      <c r="H1966" s="21" t="s">
        <v>858</v>
      </c>
      <c r="I1966" s="21" t="s">
        <v>859</v>
      </c>
      <c r="J1966" s="21" t="s">
        <v>1000</v>
      </c>
      <c r="K1966" s="21" t="s">
        <v>1039</v>
      </c>
      <c r="L1966" s="21" t="s">
        <v>1139</v>
      </c>
      <c r="M1966" s="21" t="s">
        <v>12</v>
      </c>
      <c r="N1966" s="54">
        <v>45000</v>
      </c>
      <c r="O1966" s="54">
        <v>0</v>
      </c>
      <c r="P1966" s="54">
        <v>0</v>
      </c>
      <c r="Q1966" s="54">
        <v>45000</v>
      </c>
      <c r="R1966" s="54">
        <v>0</v>
      </c>
      <c r="S1966" s="54">
        <v>0</v>
      </c>
      <c r="T1966" s="54">
        <v>0</v>
      </c>
      <c r="U1966" s="54">
        <v>45000</v>
      </c>
      <c r="V1966" s="54">
        <v>45000</v>
      </c>
      <c r="W1966" s="54">
        <v>45000</v>
      </c>
    </row>
    <row r="1967" spans="1:23" outlineLevel="2" x14ac:dyDescent="0.2">
      <c r="A1967" s="21" t="s">
        <v>999</v>
      </c>
      <c r="B1967" s="21" t="s">
        <v>39</v>
      </c>
      <c r="C1967" s="21" t="s">
        <v>58</v>
      </c>
      <c r="D1967" s="21" t="s">
        <v>135</v>
      </c>
      <c r="E1967" s="21" t="s">
        <v>136</v>
      </c>
      <c r="F1967" s="21" t="s">
        <v>856</v>
      </c>
      <c r="G1967" s="21" t="s">
        <v>857</v>
      </c>
      <c r="H1967" s="21" t="s">
        <v>858</v>
      </c>
      <c r="I1967" s="21" t="s">
        <v>859</v>
      </c>
      <c r="J1967" s="21" t="s">
        <v>1000</v>
      </c>
      <c r="K1967" s="21" t="s">
        <v>1039</v>
      </c>
      <c r="L1967" s="21" t="s">
        <v>1139</v>
      </c>
      <c r="M1967" s="21" t="s">
        <v>12</v>
      </c>
      <c r="N1967" s="54">
        <v>120000</v>
      </c>
      <c r="O1967" s="54">
        <v>0</v>
      </c>
      <c r="P1967" s="54">
        <v>0</v>
      </c>
      <c r="Q1967" s="54">
        <v>120000</v>
      </c>
      <c r="R1967" s="54">
        <v>0</v>
      </c>
      <c r="S1967" s="54">
        <v>70000</v>
      </c>
      <c r="T1967" s="54">
        <v>70000</v>
      </c>
      <c r="U1967" s="54">
        <v>50000</v>
      </c>
      <c r="V1967" s="54">
        <v>50000</v>
      </c>
      <c r="W1967" s="54">
        <v>50000</v>
      </c>
    </row>
    <row r="1968" spans="1:23" outlineLevel="2" x14ac:dyDescent="0.2">
      <c r="A1968" s="21" t="s">
        <v>999</v>
      </c>
      <c r="B1968" s="21" t="s">
        <v>39</v>
      </c>
      <c r="C1968" s="21" t="s">
        <v>58</v>
      </c>
      <c r="D1968" s="21" t="s">
        <v>59</v>
      </c>
      <c r="E1968" s="21" t="s">
        <v>60</v>
      </c>
      <c r="F1968" s="21" t="s">
        <v>856</v>
      </c>
      <c r="G1968" s="21" t="s">
        <v>857</v>
      </c>
      <c r="H1968" s="21" t="s">
        <v>858</v>
      </c>
      <c r="I1968" s="21" t="s">
        <v>859</v>
      </c>
      <c r="J1968" s="21" t="s">
        <v>1000</v>
      </c>
      <c r="K1968" s="21" t="s">
        <v>1039</v>
      </c>
      <c r="L1968" s="21" t="s">
        <v>1139</v>
      </c>
      <c r="M1968" s="21" t="s">
        <v>12</v>
      </c>
      <c r="N1968" s="54">
        <v>45000</v>
      </c>
      <c r="O1968" s="54">
        <v>-8300</v>
      </c>
      <c r="P1968" s="54">
        <v>0</v>
      </c>
      <c r="Q1968" s="54">
        <v>36700</v>
      </c>
      <c r="R1968" s="54">
        <v>0</v>
      </c>
      <c r="S1968" s="54">
        <v>33000</v>
      </c>
      <c r="T1968" s="54">
        <v>0</v>
      </c>
      <c r="U1968" s="54">
        <v>3700</v>
      </c>
      <c r="V1968" s="54">
        <v>36700</v>
      </c>
      <c r="W1968" s="54">
        <v>3700</v>
      </c>
    </row>
    <row r="1969" spans="1:23" outlineLevel="2" x14ac:dyDescent="0.2">
      <c r="A1969" s="21" t="s">
        <v>999</v>
      </c>
      <c r="B1969" s="21" t="s">
        <v>39</v>
      </c>
      <c r="C1969" s="21" t="s">
        <v>58</v>
      </c>
      <c r="D1969" s="21" t="s">
        <v>143</v>
      </c>
      <c r="E1969" s="21" t="s">
        <v>144</v>
      </c>
      <c r="F1969" s="21" t="s">
        <v>856</v>
      </c>
      <c r="G1969" s="21" t="s">
        <v>857</v>
      </c>
      <c r="H1969" s="21" t="s">
        <v>858</v>
      </c>
      <c r="I1969" s="21" t="s">
        <v>859</v>
      </c>
      <c r="J1969" s="21" t="s">
        <v>1000</v>
      </c>
      <c r="K1969" s="21" t="s">
        <v>1039</v>
      </c>
      <c r="L1969" s="21" t="s">
        <v>1139</v>
      </c>
      <c r="M1969" s="21" t="s">
        <v>12</v>
      </c>
      <c r="N1969" s="54">
        <v>45000</v>
      </c>
      <c r="O1969" s="54">
        <v>0</v>
      </c>
      <c r="P1969" s="54">
        <v>0</v>
      </c>
      <c r="Q1969" s="54">
        <v>45000</v>
      </c>
      <c r="R1969" s="54">
        <v>0</v>
      </c>
      <c r="S1969" s="54">
        <v>0</v>
      </c>
      <c r="T1969" s="54">
        <v>0</v>
      </c>
      <c r="U1969" s="54">
        <v>45000</v>
      </c>
      <c r="V1969" s="54">
        <v>45000</v>
      </c>
      <c r="W1969" s="54">
        <v>45000</v>
      </c>
    </row>
    <row r="1970" spans="1:23" outlineLevel="2" x14ac:dyDescent="0.2">
      <c r="A1970" s="21" t="s">
        <v>999</v>
      </c>
      <c r="B1970" s="21" t="s">
        <v>39</v>
      </c>
      <c r="C1970" s="21" t="s">
        <v>58</v>
      </c>
      <c r="D1970" s="21" t="s">
        <v>139</v>
      </c>
      <c r="E1970" s="21" t="s">
        <v>140</v>
      </c>
      <c r="F1970" s="21" t="s">
        <v>856</v>
      </c>
      <c r="G1970" s="21" t="s">
        <v>857</v>
      </c>
      <c r="H1970" s="21" t="s">
        <v>858</v>
      </c>
      <c r="I1970" s="21" t="s">
        <v>859</v>
      </c>
      <c r="J1970" s="21" t="s">
        <v>1000</v>
      </c>
      <c r="K1970" s="21" t="s">
        <v>1039</v>
      </c>
      <c r="L1970" s="21" t="s">
        <v>1139</v>
      </c>
      <c r="M1970" s="21" t="s">
        <v>12</v>
      </c>
      <c r="N1970" s="54">
        <v>40000</v>
      </c>
      <c r="O1970" s="54">
        <v>0</v>
      </c>
      <c r="P1970" s="54">
        <v>0</v>
      </c>
      <c r="Q1970" s="54">
        <v>40000</v>
      </c>
      <c r="R1970" s="54">
        <v>0</v>
      </c>
      <c r="S1970" s="54">
        <v>0</v>
      </c>
      <c r="T1970" s="54">
        <v>0</v>
      </c>
      <c r="U1970" s="54">
        <v>40000</v>
      </c>
      <c r="V1970" s="54">
        <v>40000</v>
      </c>
      <c r="W1970" s="54">
        <v>40000</v>
      </c>
    </row>
    <row r="1971" spans="1:23" outlineLevel="2" x14ac:dyDescent="0.2">
      <c r="A1971" s="21" t="s">
        <v>999</v>
      </c>
      <c r="B1971" s="21" t="s">
        <v>31</v>
      </c>
      <c r="C1971" s="21" t="s">
        <v>107</v>
      </c>
      <c r="D1971" s="21" t="s">
        <v>108</v>
      </c>
      <c r="E1971" s="21" t="s">
        <v>109</v>
      </c>
      <c r="F1971" s="21" t="s">
        <v>856</v>
      </c>
      <c r="G1971" s="21" t="s">
        <v>857</v>
      </c>
      <c r="H1971" s="21" t="s">
        <v>858</v>
      </c>
      <c r="I1971" s="21" t="s">
        <v>859</v>
      </c>
      <c r="J1971" s="21" t="s">
        <v>1000</v>
      </c>
      <c r="K1971" s="21" t="s">
        <v>1071</v>
      </c>
      <c r="L1971" s="21" t="s">
        <v>1142</v>
      </c>
      <c r="M1971" s="21" t="s">
        <v>12</v>
      </c>
      <c r="N1971" s="54">
        <v>1068000</v>
      </c>
      <c r="O1971" s="54">
        <v>-1056000</v>
      </c>
      <c r="P1971" s="54">
        <v>0</v>
      </c>
      <c r="Q1971" s="54">
        <v>12000</v>
      </c>
      <c r="R1971" s="54">
        <v>0</v>
      </c>
      <c r="S1971" s="54">
        <v>0</v>
      </c>
      <c r="T1971" s="54">
        <v>0</v>
      </c>
      <c r="U1971" s="54">
        <v>12000</v>
      </c>
      <c r="V1971" s="54">
        <v>12000</v>
      </c>
      <c r="W1971" s="54">
        <v>12000</v>
      </c>
    </row>
    <row r="1972" spans="1:23" outlineLevel="2" x14ac:dyDescent="0.2">
      <c r="A1972" s="21" t="s">
        <v>999</v>
      </c>
      <c r="B1972" s="21" t="s">
        <v>31</v>
      </c>
      <c r="C1972" s="21" t="s">
        <v>107</v>
      </c>
      <c r="D1972" s="21" t="s">
        <v>108</v>
      </c>
      <c r="E1972" s="21" t="s">
        <v>109</v>
      </c>
      <c r="F1972" s="21" t="s">
        <v>856</v>
      </c>
      <c r="G1972" s="21" t="s">
        <v>857</v>
      </c>
      <c r="H1972" s="21" t="s">
        <v>1143</v>
      </c>
      <c r="I1972" s="21" t="s">
        <v>1144</v>
      </c>
      <c r="J1972" s="21" t="s">
        <v>1000</v>
      </c>
      <c r="K1972" s="21" t="s">
        <v>1037</v>
      </c>
      <c r="L1972" s="21" t="s">
        <v>1145</v>
      </c>
      <c r="M1972" s="21" t="s">
        <v>12</v>
      </c>
      <c r="N1972" s="54">
        <v>28000</v>
      </c>
      <c r="O1972" s="54">
        <v>-28000</v>
      </c>
      <c r="P1972" s="54">
        <v>0</v>
      </c>
      <c r="Q1972" s="54">
        <v>0</v>
      </c>
      <c r="R1972" s="54">
        <v>0</v>
      </c>
      <c r="S1972" s="54">
        <v>0</v>
      </c>
      <c r="T1972" s="54">
        <v>0</v>
      </c>
      <c r="U1972" s="54">
        <v>0</v>
      </c>
      <c r="V1972" s="54">
        <v>0</v>
      </c>
      <c r="W1972" s="54">
        <v>0</v>
      </c>
    </row>
    <row r="1973" spans="1:23" outlineLevel="2" x14ac:dyDescent="0.2">
      <c r="A1973" s="21" t="s">
        <v>999</v>
      </c>
      <c r="B1973" s="21" t="s">
        <v>31</v>
      </c>
      <c r="C1973" s="21" t="s">
        <v>107</v>
      </c>
      <c r="D1973" s="21" t="s">
        <v>108</v>
      </c>
      <c r="E1973" s="21" t="s">
        <v>109</v>
      </c>
      <c r="F1973" s="21" t="s">
        <v>856</v>
      </c>
      <c r="G1973" s="21" t="s">
        <v>857</v>
      </c>
      <c r="H1973" s="21" t="s">
        <v>1143</v>
      </c>
      <c r="I1973" s="21" t="s">
        <v>1144</v>
      </c>
      <c r="J1973" s="21" t="s">
        <v>1000</v>
      </c>
      <c r="K1973" s="21" t="s">
        <v>1039</v>
      </c>
      <c r="L1973" s="21" t="s">
        <v>1140</v>
      </c>
      <c r="M1973" s="21" t="s">
        <v>12</v>
      </c>
      <c r="N1973" s="54">
        <v>292500</v>
      </c>
      <c r="O1973" s="54">
        <v>-228000</v>
      </c>
      <c r="P1973" s="54">
        <v>0</v>
      </c>
      <c r="Q1973" s="54">
        <v>64500</v>
      </c>
      <c r="R1973" s="54">
        <v>0</v>
      </c>
      <c r="S1973" s="54">
        <v>0</v>
      </c>
      <c r="T1973" s="54">
        <v>0</v>
      </c>
      <c r="U1973" s="54">
        <v>64500</v>
      </c>
      <c r="V1973" s="54">
        <v>64500</v>
      </c>
      <c r="W1973" s="54">
        <v>64500</v>
      </c>
    </row>
    <row r="1974" spans="1:23" outlineLevel="2" x14ac:dyDescent="0.2">
      <c r="A1974" s="21" t="s">
        <v>999</v>
      </c>
      <c r="B1974" s="21" t="s">
        <v>31</v>
      </c>
      <c r="C1974" s="21" t="s">
        <v>107</v>
      </c>
      <c r="D1974" s="21" t="s">
        <v>108</v>
      </c>
      <c r="E1974" s="21" t="s">
        <v>109</v>
      </c>
      <c r="F1974" s="21" t="s">
        <v>856</v>
      </c>
      <c r="G1974" s="21" t="s">
        <v>857</v>
      </c>
      <c r="H1974" s="21" t="s">
        <v>1143</v>
      </c>
      <c r="I1974" s="21" t="s">
        <v>1144</v>
      </c>
      <c r="J1974" s="21" t="s">
        <v>1000</v>
      </c>
      <c r="K1974" s="21" t="s">
        <v>1058</v>
      </c>
      <c r="L1974" s="21" t="s">
        <v>1146</v>
      </c>
      <c r="M1974" s="21" t="s">
        <v>12</v>
      </c>
      <c r="N1974" s="54">
        <v>7000</v>
      </c>
      <c r="O1974" s="54">
        <v>-7000</v>
      </c>
      <c r="P1974" s="54">
        <v>0</v>
      </c>
      <c r="Q1974" s="54">
        <v>0</v>
      </c>
      <c r="R1974" s="54">
        <v>0</v>
      </c>
      <c r="S1974" s="54">
        <v>0</v>
      </c>
      <c r="T1974" s="54">
        <v>0</v>
      </c>
      <c r="U1974" s="54">
        <v>0</v>
      </c>
      <c r="V1974" s="54">
        <v>0</v>
      </c>
      <c r="W1974" s="54">
        <v>0</v>
      </c>
    </row>
    <row r="1975" spans="1:23" outlineLevel="2" x14ac:dyDescent="0.2">
      <c r="A1975" s="21" t="s">
        <v>999</v>
      </c>
      <c r="B1975" s="21" t="s">
        <v>31</v>
      </c>
      <c r="C1975" s="21" t="s">
        <v>107</v>
      </c>
      <c r="D1975" s="21" t="s">
        <v>108</v>
      </c>
      <c r="E1975" s="21" t="s">
        <v>109</v>
      </c>
      <c r="F1975" s="21" t="s">
        <v>856</v>
      </c>
      <c r="G1975" s="21" t="s">
        <v>857</v>
      </c>
      <c r="H1975" s="21" t="s">
        <v>1143</v>
      </c>
      <c r="I1975" s="21" t="s">
        <v>1144</v>
      </c>
      <c r="J1975" s="21" t="s">
        <v>1000</v>
      </c>
      <c r="K1975" s="21" t="s">
        <v>1068</v>
      </c>
      <c r="L1975" s="21" t="s">
        <v>1147</v>
      </c>
      <c r="M1975" s="21" t="s">
        <v>12</v>
      </c>
      <c r="N1975" s="54">
        <v>1000</v>
      </c>
      <c r="O1975" s="54">
        <v>-1000</v>
      </c>
      <c r="P1975" s="54">
        <v>0</v>
      </c>
      <c r="Q1975" s="54">
        <v>0</v>
      </c>
      <c r="R1975" s="54">
        <v>0</v>
      </c>
      <c r="S1975" s="54">
        <v>0</v>
      </c>
      <c r="T1975" s="54">
        <v>0</v>
      </c>
      <c r="U1975" s="54">
        <v>0</v>
      </c>
      <c r="V1975" s="54">
        <v>0</v>
      </c>
      <c r="W1975" s="54">
        <v>0</v>
      </c>
    </row>
    <row r="1976" spans="1:23" outlineLevel="2" x14ac:dyDescent="0.2">
      <c r="A1976" s="21" t="s">
        <v>999</v>
      </c>
      <c r="B1976" s="21" t="s">
        <v>31</v>
      </c>
      <c r="C1976" s="21" t="s">
        <v>107</v>
      </c>
      <c r="D1976" s="21" t="s">
        <v>108</v>
      </c>
      <c r="E1976" s="21" t="s">
        <v>109</v>
      </c>
      <c r="F1976" s="21" t="s">
        <v>856</v>
      </c>
      <c r="G1976" s="21" t="s">
        <v>857</v>
      </c>
      <c r="H1976" s="21" t="s">
        <v>1143</v>
      </c>
      <c r="I1976" s="21" t="s">
        <v>1144</v>
      </c>
      <c r="J1976" s="21" t="s">
        <v>1000</v>
      </c>
      <c r="K1976" s="21" t="s">
        <v>1003</v>
      </c>
      <c r="L1976" s="21" t="s">
        <v>1148</v>
      </c>
      <c r="M1976" s="21" t="s">
        <v>12</v>
      </c>
      <c r="N1976" s="54">
        <v>20000</v>
      </c>
      <c r="O1976" s="54">
        <v>0</v>
      </c>
      <c r="P1976" s="54">
        <v>0</v>
      </c>
      <c r="Q1976" s="54">
        <v>20000</v>
      </c>
      <c r="R1976" s="54">
        <v>0</v>
      </c>
      <c r="S1976" s="54">
        <v>0</v>
      </c>
      <c r="T1976" s="54">
        <v>0</v>
      </c>
      <c r="U1976" s="54">
        <v>20000</v>
      </c>
      <c r="V1976" s="54">
        <v>20000</v>
      </c>
      <c r="W1976" s="54">
        <v>20000</v>
      </c>
    </row>
    <row r="1977" spans="1:23" outlineLevel="2" x14ac:dyDescent="0.2">
      <c r="A1977" s="21" t="s">
        <v>999</v>
      </c>
      <c r="B1977" s="21" t="s">
        <v>31</v>
      </c>
      <c r="C1977" s="21" t="s">
        <v>107</v>
      </c>
      <c r="D1977" s="21" t="s">
        <v>108</v>
      </c>
      <c r="E1977" s="21" t="s">
        <v>109</v>
      </c>
      <c r="F1977" s="21" t="s">
        <v>856</v>
      </c>
      <c r="G1977" s="21" t="s">
        <v>857</v>
      </c>
      <c r="H1977" s="21" t="s">
        <v>1143</v>
      </c>
      <c r="I1977" s="21" t="s">
        <v>1144</v>
      </c>
      <c r="J1977" s="21" t="s">
        <v>1000</v>
      </c>
      <c r="K1977" s="21" t="s">
        <v>1149</v>
      </c>
      <c r="L1977" s="21" t="s">
        <v>1150</v>
      </c>
      <c r="M1977" s="21" t="s">
        <v>12</v>
      </c>
      <c r="N1977" s="54">
        <v>15000</v>
      </c>
      <c r="O1977" s="54">
        <v>0</v>
      </c>
      <c r="P1977" s="54">
        <v>0</v>
      </c>
      <c r="Q1977" s="54">
        <v>15000</v>
      </c>
      <c r="R1977" s="54">
        <v>0</v>
      </c>
      <c r="S1977" s="54">
        <v>0</v>
      </c>
      <c r="T1977" s="54">
        <v>0</v>
      </c>
      <c r="U1977" s="54">
        <v>15000</v>
      </c>
      <c r="V1977" s="54">
        <v>15000</v>
      </c>
      <c r="W1977" s="54">
        <v>15000</v>
      </c>
    </row>
    <row r="1978" spans="1:23" outlineLevel="2" x14ac:dyDescent="0.2">
      <c r="A1978" s="21" t="s">
        <v>999</v>
      </c>
      <c r="B1978" s="21" t="s">
        <v>31</v>
      </c>
      <c r="C1978" s="21" t="s">
        <v>107</v>
      </c>
      <c r="D1978" s="21" t="s">
        <v>108</v>
      </c>
      <c r="E1978" s="21" t="s">
        <v>109</v>
      </c>
      <c r="F1978" s="21" t="s">
        <v>856</v>
      </c>
      <c r="G1978" s="21" t="s">
        <v>857</v>
      </c>
      <c r="H1978" s="21" t="s">
        <v>1143</v>
      </c>
      <c r="I1978" s="21" t="s">
        <v>1144</v>
      </c>
      <c r="J1978" s="21" t="s">
        <v>1000</v>
      </c>
      <c r="K1978" s="21" t="s">
        <v>1017</v>
      </c>
      <c r="L1978" s="21" t="s">
        <v>1151</v>
      </c>
      <c r="M1978" s="21" t="s">
        <v>12</v>
      </c>
      <c r="N1978" s="54">
        <v>65000</v>
      </c>
      <c r="O1978" s="54">
        <v>-10000</v>
      </c>
      <c r="P1978" s="54">
        <v>0</v>
      </c>
      <c r="Q1978" s="54">
        <v>55000</v>
      </c>
      <c r="R1978" s="54">
        <v>0</v>
      </c>
      <c r="S1978" s="54">
        <v>0</v>
      </c>
      <c r="T1978" s="54">
        <v>0</v>
      </c>
      <c r="U1978" s="54">
        <v>55000</v>
      </c>
      <c r="V1978" s="54">
        <v>55000</v>
      </c>
      <c r="W1978" s="54">
        <v>55000</v>
      </c>
    </row>
    <row r="1979" spans="1:23" outlineLevel="2" x14ac:dyDescent="0.2">
      <c r="A1979" s="21" t="s">
        <v>999</v>
      </c>
      <c r="B1979" s="21" t="s">
        <v>31</v>
      </c>
      <c r="C1979" s="21" t="s">
        <v>107</v>
      </c>
      <c r="D1979" s="21" t="s">
        <v>108</v>
      </c>
      <c r="E1979" s="21" t="s">
        <v>109</v>
      </c>
      <c r="F1979" s="21" t="s">
        <v>856</v>
      </c>
      <c r="G1979" s="21" t="s">
        <v>857</v>
      </c>
      <c r="H1979" s="21" t="s">
        <v>1143</v>
      </c>
      <c r="I1979" s="21" t="s">
        <v>1144</v>
      </c>
      <c r="J1979" s="21" t="s">
        <v>1000</v>
      </c>
      <c r="K1979" s="21" t="s">
        <v>1078</v>
      </c>
      <c r="L1979" s="21" t="s">
        <v>1152</v>
      </c>
      <c r="M1979" s="21" t="s">
        <v>12</v>
      </c>
      <c r="N1979" s="54">
        <v>95000</v>
      </c>
      <c r="O1979" s="54">
        <v>-95000</v>
      </c>
      <c r="P1979" s="54">
        <v>0</v>
      </c>
      <c r="Q1979" s="54">
        <v>0</v>
      </c>
      <c r="R1979" s="54">
        <v>0</v>
      </c>
      <c r="S1979" s="54">
        <v>0</v>
      </c>
      <c r="T1979" s="54">
        <v>0</v>
      </c>
      <c r="U1979" s="54">
        <v>0</v>
      </c>
      <c r="V1979" s="54">
        <v>0</v>
      </c>
      <c r="W1979" s="54">
        <v>0</v>
      </c>
    </row>
    <row r="1980" spans="1:23" outlineLevel="2" x14ac:dyDescent="0.2">
      <c r="A1980" s="21" t="s">
        <v>999</v>
      </c>
      <c r="B1980" s="21" t="s">
        <v>31</v>
      </c>
      <c r="C1980" s="21" t="s">
        <v>107</v>
      </c>
      <c r="D1980" s="21" t="s">
        <v>108</v>
      </c>
      <c r="E1980" s="21" t="s">
        <v>109</v>
      </c>
      <c r="F1980" s="21" t="s">
        <v>856</v>
      </c>
      <c r="G1980" s="21" t="s">
        <v>857</v>
      </c>
      <c r="H1980" s="21" t="s">
        <v>1143</v>
      </c>
      <c r="I1980" s="21" t="s">
        <v>1144</v>
      </c>
      <c r="J1980" s="21" t="s">
        <v>1000</v>
      </c>
      <c r="K1980" s="21" t="s">
        <v>1084</v>
      </c>
      <c r="L1980" s="21" t="s">
        <v>1153</v>
      </c>
      <c r="M1980" s="21" t="s">
        <v>12</v>
      </c>
      <c r="N1980" s="54">
        <v>1500</v>
      </c>
      <c r="O1980" s="54">
        <v>-1000</v>
      </c>
      <c r="P1980" s="54">
        <v>0</v>
      </c>
      <c r="Q1980" s="54">
        <v>500</v>
      </c>
      <c r="R1980" s="54">
        <v>0</v>
      </c>
      <c r="S1980" s="54">
        <v>0</v>
      </c>
      <c r="T1980" s="54">
        <v>0</v>
      </c>
      <c r="U1980" s="54">
        <v>500</v>
      </c>
      <c r="V1980" s="54">
        <v>500</v>
      </c>
      <c r="W1980" s="54">
        <v>500</v>
      </c>
    </row>
    <row r="1981" spans="1:23" outlineLevel="2" x14ac:dyDescent="0.2">
      <c r="A1981" s="21" t="s">
        <v>999</v>
      </c>
      <c r="B1981" s="21" t="s">
        <v>31</v>
      </c>
      <c r="C1981" s="21" t="s">
        <v>107</v>
      </c>
      <c r="D1981" s="21" t="s">
        <v>108</v>
      </c>
      <c r="E1981" s="21" t="s">
        <v>109</v>
      </c>
      <c r="F1981" s="21" t="s">
        <v>856</v>
      </c>
      <c r="G1981" s="21" t="s">
        <v>857</v>
      </c>
      <c r="H1981" s="21" t="s">
        <v>870</v>
      </c>
      <c r="I1981" s="21" t="s">
        <v>871</v>
      </c>
      <c r="J1981" s="21" t="s">
        <v>1000</v>
      </c>
      <c r="K1981" s="21" t="s">
        <v>1037</v>
      </c>
      <c r="L1981" s="21" t="s">
        <v>1145</v>
      </c>
      <c r="M1981" s="21" t="s">
        <v>12</v>
      </c>
      <c r="N1981" s="54">
        <v>7000</v>
      </c>
      <c r="O1981" s="54">
        <v>0</v>
      </c>
      <c r="P1981" s="54">
        <v>0</v>
      </c>
      <c r="Q1981" s="54">
        <v>7000</v>
      </c>
      <c r="R1981" s="54">
        <v>0</v>
      </c>
      <c r="S1981" s="54">
        <v>0</v>
      </c>
      <c r="T1981" s="54">
        <v>0</v>
      </c>
      <c r="U1981" s="54">
        <v>7000</v>
      </c>
      <c r="V1981" s="54">
        <v>7000</v>
      </c>
      <c r="W1981" s="54">
        <v>7000</v>
      </c>
    </row>
    <row r="1982" spans="1:23" outlineLevel="2" x14ac:dyDescent="0.2">
      <c r="A1982" s="21" t="s">
        <v>999</v>
      </c>
      <c r="B1982" s="21" t="s">
        <v>31</v>
      </c>
      <c r="C1982" s="21" t="s">
        <v>107</v>
      </c>
      <c r="D1982" s="21" t="s">
        <v>108</v>
      </c>
      <c r="E1982" s="21" t="s">
        <v>109</v>
      </c>
      <c r="F1982" s="21" t="s">
        <v>856</v>
      </c>
      <c r="G1982" s="21" t="s">
        <v>857</v>
      </c>
      <c r="H1982" s="21" t="s">
        <v>870</v>
      </c>
      <c r="I1982" s="21" t="s">
        <v>871</v>
      </c>
      <c r="J1982" s="21" t="s">
        <v>1000</v>
      </c>
      <c r="K1982" s="21" t="s">
        <v>1039</v>
      </c>
      <c r="L1982" s="21" t="s">
        <v>1140</v>
      </c>
      <c r="M1982" s="21" t="s">
        <v>12</v>
      </c>
      <c r="N1982" s="54">
        <v>211700</v>
      </c>
      <c r="O1982" s="54">
        <v>-111440</v>
      </c>
      <c r="P1982" s="54">
        <v>0</v>
      </c>
      <c r="Q1982" s="54">
        <v>100260</v>
      </c>
      <c r="R1982" s="54">
        <v>0</v>
      </c>
      <c r="S1982" s="54">
        <v>0</v>
      </c>
      <c r="T1982" s="54">
        <v>0</v>
      </c>
      <c r="U1982" s="54">
        <v>100260</v>
      </c>
      <c r="V1982" s="54">
        <v>100260</v>
      </c>
      <c r="W1982" s="54">
        <v>100260</v>
      </c>
    </row>
    <row r="1983" spans="1:23" outlineLevel="2" x14ac:dyDescent="0.2">
      <c r="A1983" s="21" t="s">
        <v>999</v>
      </c>
      <c r="B1983" s="21" t="s">
        <v>31</v>
      </c>
      <c r="C1983" s="21" t="s">
        <v>107</v>
      </c>
      <c r="D1983" s="21" t="s">
        <v>108</v>
      </c>
      <c r="E1983" s="21" t="s">
        <v>109</v>
      </c>
      <c r="F1983" s="21" t="s">
        <v>856</v>
      </c>
      <c r="G1983" s="21" t="s">
        <v>857</v>
      </c>
      <c r="H1983" s="21" t="s">
        <v>870</v>
      </c>
      <c r="I1983" s="21" t="s">
        <v>871</v>
      </c>
      <c r="J1983" s="21" t="s">
        <v>1000</v>
      </c>
      <c r="K1983" s="21" t="s">
        <v>1058</v>
      </c>
      <c r="L1983" s="21" t="s">
        <v>1146</v>
      </c>
      <c r="M1983" s="21" t="s">
        <v>12</v>
      </c>
      <c r="N1983" s="54">
        <v>7500</v>
      </c>
      <c r="O1983" s="54">
        <v>0</v>
      </c>
      <c r="P1983" s="54">
        <v>0</v>
      </c>
      <c r="Q1983" s="54">
        <v>7500</v>
      </c>
      <c r="R1983" s="54">
        <v>0</v>
      </c>
      <c r="S1983" s="54">
        <v>0</v>
      </c>
      <c r="T1983" s="54">
        <v>0</v>
      </c>
      <c r="U1983" s="54">
        <v>7500</v>
      </c>
      <c r="V1983" s="54">
        <v>7500</v>
      </c>
      <c r="W1983" s="54">
        <v>7500</v>
      </c>
    </row>
    <row r="1984" spans="1:23" outlineLevel="2" x14ac:dyDescent="0.2">
      <c r="A1984" s="21" t="s">
        <v>999</v>
      </c>
      <c r="B1984" s="21" t="s">
        <v>31</v>
      </c>
      <c r="C1984" s="21" t="s">
        <v>107</v>
      </c>
      <c r="D1984" s="21" t="s">
        <v>108</v>
      </c>
      <c r="E1984" s="21" t="s">
        <v>109</v>
      </c>
      <c r="F1984" s="21" t="s">
        <v>856</v>
      </c>
      <c r="G1984" s="21" t="s">
        <v>857</v>
      </c>
      <c r="H1984" s="21" t="s">
        <v>870</v>
      </c>
      <c r="I1984" s="21" t="s">
        <v>871</v>
      </c>
      <c r="J1984" s="21" t="s">
        <v>1000</v>
      </c>
      <c r="K1984" s="21" t="s">
        <v>1110</v>
      </c>
      <c r="L1984" s="21" t="s">
        <v>1154</v>
      </c>
      <c r="M1984" s="21" t="s">
        <v>12</v>
      </c>
      <c r="N1984" s="54">
        <v>51570.400000000001</v>
      </c>
      <c r="O1984" s="54">
        <v>0</v>
      </c>
      <c r="P1984" s="54">
        <v>0</v>
      </c>
      <c r="Q1984" s="54">
        <v>51570.400000000001</v>
      </c>
      <c r="R1984" s="54">
        <v>0</v>
      </c>
      <c r="S1984" s="54">
        <v>10340.59</v>
      </c>
      <c r="T1984" s="54">
        <v>10340.59</v>
      </c>
      <c r="U1984" s="54">
        <v>41229.81</v>
      </c>
      <c r="V1984" s="54">
        <v>41229.81</v>
      </c>
      <c r="W1984" s="54">
        <v>41229.81</v>
      </c>
    </row>
    <row r="1985" spans="1:23" outlineLevel="2" x14ac:dyDescent="0.2">
      <c r="A1985" s="21" t="s">
        <v>999</v>
      </c>
      <c r="B1985" s="21" t="s">
        <v>31</v>
      </c>
      <c r="C1985" s="21" t="s">
        <v>107</v>
      </c>
      <c r="D1985" s="21" t="s">
        <v>108</v>
      </c>
      <c r="E1985" s="21" t="s">
        <v>109</v>
      </c>
      <c r="F1985" s="21" t="s">
        <v>856</v>
      </c>
      <c r="G1985" s="21" t="s">
        <v>857</v>
      </c>
      <c r="H1985" s="21" t="s">
        <v>870</v>
      </c>
      <c r="I1985" s="21" t="s">
        <v>871</v>
      </c>
      <c r="J1985" s="21" t="s">
        <v>1000</v>
      </c>
      <c r="K1985" s="21" t="s">
        <v>1003</v>
      </c>
      <c r="L1985" s="21" t="s">
        <v>1148</v>
      </c>
      <c r="M1985" s="21" t="s">
        <v>12</v>
      </c>
      <c r="N1985" s="54">
        <v>184154.4</v>
      </c>
      <c r="O1985" s="54">
        <v>0</v>
      </c>
      <c r="P1985" s="54">
        <v>0</v>
      </c>
      <c r="Q1985" s="54">
        <v>184154.4</v>
      </c>
      <c r="R1985" s="54">
        <v>0</v>
      </c>
      <c r="S1985" s="54">
        <v>4996.32</v>
      </c>
      <c r="T1985" s="54">
        <v>4996.32</v>
      </c>
      <c r="U1985" s="54">
        <v>179158.08</v>
      </c>
      <c r="V1985" s="54">
        <v>179158.08</v>
      </c>
      <c r="W1985" s="54">
        <v>179158.08</v>
      </c>
    </row>
    <row r="1986" spans="1:23" outlineLevel="2" x14ac:dyDescent="0.2">
      <c r="A1986" s="21" t="s">
        <v>999</v>
      </c>
      <c r="B1986" s="21" t="s">
        <v>31</v>
      </c>
      <c r="C1986" s="21" t="s">
        <v>107</v>
      </c>
      <c r="D1986" s="21" t="s">
        <v>108</v>
      </c>
      <c r="E1986" s="21" t="s">
        <v>109</v>
      </c>
      <c r="F1986" s="21" t="s">
        <v>856</v>
      </c>
      <c r="G1986" s="21" t="s">
        <v>857</v>
      </c>
      <c r="H1986" s="21" t="s">
        <v>870</v>
      </c>
      <c r="I1986" s="21" t="s">
        <v>871</v>
      </c>
      <c r="J1986" s="21" t="s">
        <v>1000</v>
      </c>
      <c r="K1986" s="21" t="s">
        <v>1113</v>
      </c>
      <c r="L1986" s="21" t="s">
        <v>1155</v>
      </c>
      <c r="M1986" s="21" t="s">
        <v>12</v>
      </c>
      <c r="N1986" s="54">
        <v>12804.62</v>
      </c>
      <c r="O1986" s="54">
        <v>0</v>
      </c>
      <c r="P1986" s="54">
        <v>0</v>
      </c>
      <c r="Q1986" s="54">
        <v>12804.62</v>
      </c>
      <c r="R1986" s="54">
        <v>0</v>
      </c>
      <c r="S1986" s="54">
        <v>0</v>
      </c>
      <c r="T1986" s="54">
        <v>0</v>
      </c>
      <c r="U1986" s="54">
        <v>12804.62</v>
      </c>
      <c r="V1986" s="54">
        <v>12804.62</v>
      </c>
      <c r="W1986" s="54">
        <v>12804.62</v>
      </c>
    </row>
    <row r="1987" spans="1:23" outlineLevel="2" x14ac:dyDescent="0.2">
      <c r="A1987" s="21" t="s">
        <v>999</v>
      </c>
      <c r="B1987" s="21" t="s">
        <v>31</v>
      </c>
      <c r="C1987" s="21" t="s">
        <v>107</v>
      </c>
      <c r="D1987" s="21" t="s">
        <v>108</v>
      </c>
      <c r="E1987" s="21" t="s">
        <v>109</v>
      </c>
      <c r="F1987" s="21" t="s">
        <v>856</v>
      </c>
      <c r="G1987" s="21" t="s">
        <v>857</v>
      </c>
      <c r="H1987" s="21" t="s">
        <v>870</v>
      </c>
      <c r="I1987" s="21" t="s">
        <v>871</v>
      </c>
      <c r="J1987" s="21" t="s">
        <v>1000</v>
      </c>
      <c r="K1987" s="21" t="s">
        <v>1009</v>
      </c>
      <c r="L1987" s="21" t="s">
        <v>1156</v>
      </c>
      <c r="M1987" s="21" t="s">
        <v>12</v>
      </c>
      <c r="N1987" s="54">
        <v>48352.3</v>
      </c>
      <c r="O1987" s="54">
        <v>0</v>
      </c>
      <c r="P1987" s="54">
        <v>0</v>
      </c>
      <c r="Q1987" s="54">
        <v>48352.3</v>
      </c>
      <c r="R1987" s="54">
        <v>0</v>
      </c>
      <c r="S1987" s="54">
        <v>16527.63</v>
      </c>
      <c r="T1987" s="54">
        <v>8682.24</v>
      </c>
      <c r="U1987" s="54">
        <v>31824.67</v>
      </c>
      <c r="V1987" s="54">
        <v>39670.06</v>
      </c>
      <c r="W1987" s="54">
        <v>31824.67</v>
      </c>
    </row>
    <row r="1988" spans="1:23" outlineLevel="2" x14ac:dyDescent="0.2">
      <c r="A1988" s="21" t="s">
        <v>999</v>
      </c>
      <c r="B1988" s="21" t="s">
        <v>31</v>
      </c>
      <c r="C1988" s="21" t="s">
        <v>107</v>
      </c>
      <c r="D1988" s="21" t="s">
        <v>108</v>
      </c>
      <c r="E1988" s="21" t="s">
        <v>109</v>
      </c>
      <c r="F1988" s="21" t="s">
        <v>856</v>
      </c>
      <c r="G1988" s="21" t="s">
        <v>857</v>
      </c>
      <c r="H1988" s="21" t="s">
        <v>870</v>
      </c>
      <c r="I1988" s="21" t="s">
        <v>871</v>
      </c>
      <c r="J1988" s="21" t="s">
        <v>1000</v>
      </c>
      <c r="K1988" s="21" t="s">
        <v>1129</v>
      </c>
      <c r="L1988" s="21" t="s">
        <v>1157</v>
      </c>
      <c r="M1988" s="21" t="s">
        <v>12</v>
      </c>
      <c r="N1988" s="54">
        <v>20913.28</v>
      </c>
      <c r="O1988" s="54">
        <v>0</v>
      </c>
      <c r="P1988" s="54">
        <v>0</v>
      </c>
      <c r="Q1988" s="54">
        <v>20913.28</v>
      </c>
      <c r="R1988" s="54">
        <v>0</v>
      </c>
      <c r="S1988" s="54">
        <v>0</v>
      </c>
      <c r="T1988" s="54">
        <v>0</v>
      </c>
      <c r="U1988" s="54">
        <v>20913.28</v>
      </c>
      <c r="V1988" s="54">
        <v>20913.28</v>
      </c>
      <c r="W1988" s="54">
        <v>20913.28</v>
      </c>
    </row>
    <row r="1989" spans="1:23" outlineLevel="2" x14ac:dyDescent="0.2">
      <c r="A1989" s="21" t="s">
        <v>999</v>
      </c>
      <c r="B1989" s="21" t="s">
        <v>31</v>
      </c>
      <c r="C1989" s="21" t="s">
        <v>107</v>
      </c>
      <c r="D1989" s="21" t="s">
        <v>108</v>
      </c>
      <c r="E1989" s="21" t="s">
        <v>109</v>
      </c>
      <c r="F1989" s="21" t="s">
        <v>856</v>
      </c>
      <c r="G1989" s="21" t="s">
        <v>857</v>
      </c>
      <c r="H1989" s="21" t="s">
        <v>870</v>
      </c>
      <c r="I1989" s="21" t="s">
        <v>871</v>
      </c>
      <c r="J1989" s="21" t="s">
        <v>1000</v>
      </c>
      <c r="K1989" s="21" t="s">
        <v>1017</v>
      </c>
      <c r="L1989" s="21" t="s">
        <v>1151</v>
      </c>
      <c r="M1989" s="21" t="s">
        <v>12</v>
      </c>
      <c r="N1989" s="54">
        <v>2240</v>
      </c>
      <c r="O1989" s="54">
        <v>-2240</v>
      </c>
      <c r="P1989" s="54">
        <v>0</v>
      </c>
      <c r="Q1989" s="54">
        <v>0</v>
      </c>
      <c r="R1989" s="54">
        <v>0</v>
      </c>
      <c r="S1989" s="54">
        <v>0</v>
      </c>
      <c r="T1989" s="54">
        <v>0</v>
      </c>
      <c r="U1989" s="54">
        <v>0</v>
      </c>
      <c r="V1989" s="54">
        <v>0</v>
      </c>
      <c r="W1989" s="54">
        <v>0</v>
      </c>
    </row>
    <row r="1990" spans="1:23" outlineLevel="2" x14ac:dyDescent="0.2">
      <c r="A1990" s="21" t="s">
        <v>999</v>
      </c>
      <c r="B1990" s="21" t="s">
        <v>31</v>
      </c>
      <c r="C1990" s="21" t="s">
        <v>107</v>
      </c>
      <c r="D1990" s="21" t="s">
        <v>108</v>
      </c>
      <c r="E1990" s="21" t="s">
        <v>109</v>
      </c>
      <c r="F1990" s="21" t="s">
        <v>856</v>
      </c>
      <c r="G1990" s="21" t="s">
        <v>857</v>
      </c>
      <c r="H1990" s="21" t="s">
        <v>870</v>
      </c>
      <c r="I1990" s="21" t="s">
        <v>871</v>
      </c>
      <c r="J1990" s="21" t="s">
        <v>1000</v>
      </c>
      <c r="K1990" s="21" t="s">
        <v>1078</v>
      </c>
      <c r="L1990" s="21" t="s">
        <v>1152</v>
      </c>
      <c r="M1990" s="21" t="s">
        <v>12</v>
      </c>
      <c r="N1990" s="54">
        <v>95870</v>
      </c>
      <c r="O1990" s="54">
        <v>-61870</v>
      </c>
      <c r="P1990" s="54">
        <v>0</v>
      </c>
      <c r="Q1990" s="54">
        <v>34000</v>
      </c>
      <c r="R1990" s="54">
        <v>0</v>
      </c>
      <c r="S1990" s="54">
        <v>0</v>
      </c>
      <c r="T1990" s="54">
        <v>0</v>
      </c>
      <c r="U1990" s="54">
        <v>34000</v>
      </c>
      <c r="V1990" s="54">
        <v>34000</v>
      </c>
      <c r="W1990" s="54">
        <v>34000</v>
      </c>
    </row>
    <row r="1991" spans="1:23" outlineLevel="2" x14ac:dyDescent="0.2">
      <c r="A1991" s="21" t="s">
        <v>999</v>
      </c>
      <c r="B1991" s="21" t="s">
        <v>31</v>
      </c>
      <c r="C1991" s="21" t="s">
        <v>107</v>
      </c>
      <c r="D1991" s="21" t="s">
        <v>108</v>
      </c>
      <c r="E1991" s="21" t="s">
        <v>109</v>
      </c>
      <c r="F1991" s="21" t="s">
        <v>856</v>
      </c>
      <c r="G1991" s="21" t="s">
        <v>857</v>
      </c>
      <c r="H1991" s="21" t="s">
        <v>870</v>
      </c>
      <c r="I1991" s="21" t="s">
        <v>871</v>
      </c>
      <c r="J1991" s="21" t="s">
        <v>1000</v>
      </c>
      <c r="K1991" s="21" t="s">
        <v>1116</v>
      </c>
      <c r="L1991" s="21" t="s">
        <v>1158</v>
      </c>
      <c r="M1991" s="21" t="s">
        <v>12</v>
      </c>
      <c r="N1991" s="54">
        <v>2500</v>
      </c>
      <c r="O1991" s="54">
        <v>0</v>
      </c>
      <c r="P1991" s="54">
        <v>0</v>
      </c>
      <c r="Q1991" s="54">
        <v>2500</v>
      </c>
      <c r="R1991" s="54">
        <v>0</v>
      </c>
      <c r="S1991" s="54">
        <v>0</v>
      </c>
      <c r="T1991" s="54">
        <v>0</v>
      </c>
      <c r="U1991" s="54">
        <v>2500</v>
      </c>
      <c r="V1991" s="54">
        <v>2500</v>
      </c>
      <c r="W1991" s="54">
        <v>2500</v>
      </c>
    </row>
    <row r="1992" spans="1:23" outlineLevel="2" x14ac:dyDescent="0.2">
      <c r="A1992" s="21" t="s">
        <v>999</v>
      </c>
      <c r="B1992" s="21" t="s">
        <v>31</v>
      </c>
      <c r="C1992" s="21" t="s">
        <v>107</v>
      </c>
      <c r="D1992" s="21" t="s">
        <v>108</v>
      </c>
      <c r="E1992" s="21" t="s">
        <v>109</v>
      </c>
      <c r="F1992" s="21" t="s">
        <v>856</v>
      </c>
      <c r="G1992" s="21" t="s">
        <v>857</v>
      </c>
      <c r="H1992" s="21" t="s">
        <v>870</v>
      </c>
      <c r="I1992" s="21" t="s">
        <v>871</v>
      </c>
      <c r="J1992" s="21" t="s">
        <v>1000</v>
      </c>
      <c r="K1992" s="21" t="s">
        <v>1082</v>
      </c>
      <c r="L1992" s="21" t="s">
        <v>1159</v>
      </c>
      <c r="M1992" s="21" t="s">
        <v>12</v>
      </c>
      <c r="N1992" s="54">
        <v>5340</v>
      </c>
      <c r="O1992" s="54">
        <v>0</v>
      </c>
      <c r="P1992" s="54">
        <v>0</v>
      </c>
      <c r="Q1992" s="54">
        <v>5340</v>
      </c>
      <c r="R1992" s="54">
        <v>0</v>
      </c>
      <c r="S1992" s="54">
        <v>0</v>
      </c>
      <c r="T1992" s="54">
        <v>0</v>
      </c>
      <c r="U1992" s="54">
        <v>5340</v>
      </c>
      <c r="V1992" s="54">
        <v>5340</v>
      </c>
      <c r="W1992" s="54">
        <v>5340</v>
      </c>
    </row>
    <row r="1993" spans="1:23" outlineLevel="2" x14ac:dyDescent="0.2">
      <c r="A1993" s="21" t="s">
        <v>999</v>
      </c>
      <c r="B1993" s="21" t="s">
        <v>31</v>
      </c>
      <c r="C1993" s="21" t="s">
        <v>107</v>
      </c>
      <c r="D1993" s="21" t="s">
        <v>108</v>
      </c>
      <c r="E1993" s="21" t="s">
        <v>109</v>
      </c>
      <c r="F1993" s="21" t="s">
        <v>856</v>
      </c>
      <c r="G1993" s="21" t="s">
        <v>857</v>
      </c>
      <c r="H1993" s="21" t="s">
        <v>870</v>
      </c>
      <c r="I1993" s="21" t="s">
        <v>871</v>
      </c>
      <c r="J1993" s="21" t="s">
        <v>1000</v>
      </c>
      <c r="K1993" s="21" t="s">
        <v>1084</v>
      </c>
      <c r="L1993" s="21" t="s">
        <v>1153</v>
      </c>
      <c r="M1993" s="21" t="s">
        <v>12</v>
      </c>
      <c r="N1993" s="54">
        <v>7000</v>
      </c>
      <c r="O1993" s="54">
        <v>0</v>
      </c>
      <c r="P1993" s="54">
        <v>0</v>
      </c>
      <c r="Q1993" s="54">
        <v>7000</v>
      </c>
      <c r="R1993" s="54">
        <v>0</v>
      </c>
      <c r="S1993" s="54">
        <v>0</v>
      </c>
      <c r="T1993" s="54">
        <v>0</v>
      </c>
      <c r="U1993" s="54">
        <v>7000</v>
      </c>
      <c r="V1993" s="54">
        <v>7000</v>
      </c>
      <c r="W1993" s="54">
        <v>7000</v>
      </c>
    </row>
    <row r="1994" spans="1:23" outlineLevel="2" x14ac:dyDescent="0.2">
      <c r="A1994" s="21" t="s">
        <v>999</v>
      </c>
      <c r="B1994" s="21" t="s">
        <v>31</v>
      </c>
      <c r="C1994" s="21" t="s">
        <v>107</v>
      </c>
      <c r="D1994" s="21" t="s">
        <v>108</v>
      </c>
      <c r="E1994" s="21" t="s">
        <v>109</v>
      </c>
      <c r="F1994" s="21" t="s">
        <v>856</v>
      </c>
      <c r="G1994" s="21" t="s">
        <v>857</v>
      </c>
      <c r="H1994" s="21" t="s">
        <v>870</v>
      </c>
      <c r="I1994" s="21" t="s">
        <v>871</v>
      </c>
      <c r="J1994" s="21" t="s">
        <v>1000</v>
      </c>
      <c r="K1994" s="21" t="s">
        <v>1160</v>
      </c>
      <c r="L1994" s="21" t="s">
        <v>1161</v>
      </c>
      <c r="M1994" s="21" t="s">
        <v>12</v>
      </c>
      <c r="N1994" s="54">
        <v>2000</v>
      </c>
      <c r="O1994" s="54">
        <v>0</v>
      </c>
      <c r="P1994" s="54">
        <v>0</v>
      </c>
      <c r="Q1994" s="54">
        <v>2000</v>
      </c>
      <c r="R1994" s="54">
        <v>0</v>
      </c>
      <c r="S1994" s="54">
        <v>0</v>
      </c>
      <c r="T1994" s="54">
        <v>0</v>
      </c>
      <c r="U1994" s="54">
        <v>2000</v>
      </c>
      <c r="V1994" s="54">
        <v>2000</v>
      </c>
      <c r="W1994" s="54">
        <v>2000</v>
      </c>
    </row>
    <row r="1995" spans="1:23" outlineLevel="2" x14ac:dyDescent="0.2">
      <c r="A1995" s="21" t="s">
        <v>999</v>
      </c>
      <c r="B1995" s="21" t="s">
        <v>31</v>
      </c>
      <c r="C1995" s="21" t="s">
        <v>107</v>
      </c>
      <c r="D1995" s="21" t="s">
        <v>108</v>
      </c>
      <c r="E1995" s="21" t="s">
        <v>109</v>
      </c>
      <c r="F1995" s="21" t="s">
        <v>856</v>
      </c>
      <c r="G1995" s="21" t="s">
        <v>857</v>
      </c>
      <c r="H1995" s="21" t="s">
        <v>870</v>
      </c>
      <c r="I1995" s="21" t="s">
        <v>871</v>
      </c>
      <c r="J1995" s="21" t="s">
        <v>1000</v>
      </c>
      <c r="K1995" s="21" t="s">
        <v>1162</v>
      </c>
      <c r="L1995" s="21" t="s">
        <v>1163</v>
      </c>
      <c r="M1995" s="21" t="s">
        <v>12</v>
      </c>
      <c r="N1995" s="54">
        <v>6160</v>
      </c>
      <c r="O1995" s="54">
        <v>0</v>
      </c>
      <c r="P1995" s="54">
        <v>0</v>
      </c>
      <c r="Q1995" s="54">
        <v>6160</v>
      </c>
      <c r="R1995" s="54">
        <v>0</v>
      </c>
      <c r="S1995" s="54">
        <v>0</v>
      </c>
      <c r="T1995" s="54">
        <v>0</v>
      </c>
      <c r="U1995" s="54">
        <v>6160</v>
      </c>
      <c r="V1995" s="54">
        <v>6160</v>
      </c>
      <c r="W1995" s="54">
        <v>6160</v>
      </c>
    </row>
    <row r="1996" spans="1:23" outlineLevel="2" x14ac:dyDescent="0.2">
      <c r="A1996" s="21" t="s">
        <v>999</v>
      </c>
      <c r="B1996" s="21" t="s">
        <v>31</v>
      </c>
      <c r="C1996" s="21" t="s">
        <v>107</v>
      </c>
      <c r="D1996" s="21" t="s">
        <v>1164</v>
      </c>
      <c r="E1996" s="21" t="s">
        <v>1165</v>
      </c>
      <c r="F1996" s="21" t="s">
        <v>856</v>
      </c>
      <c r="G1996" s="21" t="s">
        <v>857</v>
      </c>
      <c r="H1996" s="21" t="s">
        <v>1166</v>
      </c>
      <c r="I1996" s="21" t="s">
        <v>1167</v>
      </c>
      <c r="J1996" s="21" t="s">
        <v>1000</v>
      </c>
      <c r="K1996" s="21" t="s">
        <v>1037</v>
      </c>
      <c r="L1996" s="21" t="s">
        <v>1145</v>
      </c>
      <c r="M1996" s="21" t="s">
        <v>12</v>
      </c>
      <c r="N1996" s="54">
        <v>40000</v>
      </c>
      <c r="O1996" s="54">
        <v>0</v>
      </c>
      <c r="P1996" s="54">
        <v>0</v>
      </c>
      <c r="Q1996" s="54">
        <v>40000</v>
      </c>
      <c r="R1996" s="54">
        <v>0</v>
      </c>
      <c r="S1996" s="54">
        <v>0</v>
      </c>
      <c r="T1996" s="54">
        <v>0</v>
      </c>
      <c r="U1996" s="54">
        <v>40000</v>
      </c>
      <c r="V1996" s="54">
        <v>40000</v>
      </c>
      <c r="W1996" s="54">
        <v>40000</v>
      </c>
    </row>
    <row r="1997" spans="1:23" outlineLevel="2" x14ac:dyDescent="0.2">
      <c r="A1997" s="21" t="s">
        <v>999</v>
      </c>
      <c r="B1997" s="21" t="s">
        <v>31</v>
      </c>
      <c r="C1997" s="21" t="s">
        <v>107</v>
      </c>
      <c r="D1997" s="21" t="s">
        <v>1168</v>
      </c>
      <c r="E1997" s="21" t="s">
        <v>1169</v>
      </c>
      <c r="F1997" s="21" t="s">
        <v>856</v>
      </c>
      <c r="G1997" s="21" t="s">
        <v>857</v>
      </c>
      <c r="H1997" s="21" t="s">
        <v>1166</v>
      </c>
      <c r="I1997" s="21" t="s">
        <v>1167</v>
      </c>
      <c r="J1997" s="21" t="s">
        <v>1000</v>
      </c>
      <c r="K1997" s="21" t="s">
        <v>1039</v>
      </c>
      <c r="L1997" s="21" t="s">
        <v>1140</v>
      </c>
      <c r="M1997" s="21" t="s">
        <v>12</v>
      </c>
      <c r="N1997" s="54">
        <v>196000</v>
      </c>
      <c r="O1997" s="54">
        <v>-23730</v>
      </c>
      <c r="P1997" s="54">
        <v>0</v>
      </c>
      <c r="Q1997" s="54">
        <v>172270</v>
      </c>
      <c r="R1997" s="54">
        <v>3500</v>
      </c>
      <c r="S1997" s="54">
        <v>0</v>
      </c>
      <c r="T1997" s="54">
        <v>0</v>
      </c>
      <c r="U1997" s="54">
        <v>172270</v>
      </c>
      <c r="V1997" s="54">
        <v>172270</v>
      </c>
      <c r="W1997" s="54">
        <v>168770</v>
      </c>
    </row>
    <row r="1998" spans="1:23" outlineLevel="2" x14ac:dyDescent="0.2">
      <c r="A1998" s="21" t="s">
        <v>999</v>
      </c>
      <c r="B1998" s="21" t="s">
        <v>31</v>
      </c>
      <c r="C1998" s="21" t="s">
        <v>107</v>
      </c>
      <c r="D1998" s="21" t="s">
        <v>1164</v>
      </c>
      <c r="E1998" s="21" t="s">
        <v>1165</v>
      </c>
      <c r="F1998" s="21" t="s">
        <v>856</v>
      </c>
      <c r="G1998" s="21" t="s">
        <v>857</v>
      </c>
      <c r="H1998" s="21" t="s">
        <v>1166</v>
      </c>
      <c r="I1998" s="21" t="s">
        <v>1167</v>
      </c>
      <c r="J1998" s="21" t="s">
        <v>1000</v>
      </c>
      <c r="K1998" s="21" t="s">
        <v>1039</v>
      </c>
      <c r="L1998" s="21" t="s">
        <v>1140</v>
      </c>
      <c r="M1998" s="21" t="s">
        <v>12</v>
      </c>
      <c r="N1998" s="54">
        <v>75000</v>
      </c>
      <c r="O1998" s="54">
        <v>-10000</v>
      </c>
      <c r="P1998" s="54">
        <v>0</v>
      </c>
      <c r="Q1998" s="54">
        <v>65000</v>
      </c>
      <c r="R1998" s="54">
        <v>0</v>
      </c>
      <c r="S1998" s="54">
        <v>0</v>
      </c>
      <c r="T1998" s="54">
        <v>0</v>
      </c>
      <c r="U1998" s="54">
        <v>65000</v>
      </c>
      <c r="V1998" s="54">
        <v>65000</v>
      </c>
      <c r="W1998" s="54">
        <v>65000</v>
      </c>
    </row>
    <row r="1999" spans="1:23" outlineLevel="2" x14ac:dyDescent="0.2">
      <c r="A1999" s="21" t="s">
        <v>999</v>
      </c>
      <c r="B1999" s="21" t="s">
        <v>31</v>
      </c>
      <c r="C1999" s="21" t="s">
        <v>107</v>
      </c>
      <c r="D1999" s="21" t="s">
        <v>1168</v>
      </c>
      <c r="E1999" s="21" t="s">
        <v>1169</v>
      </c>
      <c r="F1999" s="21" t="s">
        <v>856</v>
      </c>
      <c r="G1999" s="21" t="s">
        <v>857</v>
      </c>
      <c r="H1999" s="21" t="s">
        <v>1166</v>
      </c>
      <c r="I1999" s="21" t="s">
        <v>1167</v>
      </c>
      <c r="J1999" s="21" t="s">
        <v>1000</v>
      </c>
      <c r="K1999" s="21" t="s">
        <v>1003</v>
      </c>
      <c r="L1999" s="21" t="s">
        <v>1148</v>
      </c>
      <c r="M1999" s="21" t="s">
        <v>12</v>
      </c>
      <c r="N1999" s="54">
        <v>20000</v>
      </c>
      <c r="O1999" s="54">
        <v>-20000</v>
      </c>
      <c r="P1999" s="54">
        <v>0</v>
      </c>
      <c r="Q1999" s="54">
        <v>0</v>
      </c>
      <c r="R1999" s="54">
        <v>0</v>
      </c>
      <c r="S1999" s="54">
        <v>0</v>
      </c>
      <c r="T1999" s="54">
        <v>0</v>
      </c>
      <c r="U1999" s="54">
        <v>0</v>
      </c>
      <c r="V1999" s="54">
        <v>0</v>
      </c>
      <c r="W1999" s="54">
        <v>0</v>
      </c>
    </row>
    <row r="2000" spans="1:23" outlineLevel="2" x14ac:dyDescent="0.2">
      <c r="A2000" s="21" t="s">
        <v>999</v>
      </c>
      <c r="B2000" s="21" t="s">
        <v>31</v>
      </c>
      <c r="C2000" s="21" t="s">
        <v>107</v>
      </c>
      <c r="D2000" s="21" t="s">
        <v>1168</v>
      </c>
      <c r="E2000" s="21" t="s">
        <v>1169</v>
      </c>
      <c r="F2000" s="21" t="s">
        <v>856</v>
      </c>
      <c r="G2000" s="21" t="s">
        <v>857</v>
      </c>
      <c r="H2000" s="21" t="s">
        <v>1166</v>
      </c>
      <c r="I2000" s="21" t="s">
        <v>1167</v>
      </c>
      <c r="J2000" s="21" t="s">
        <v>1000</v>
      </c>
      <c r="K2000" s="21" t="s">
        <v>1149</v>
      </c>
      <c r="L2000" s="21" t="s">
        <v>1150</v>
      </c>
      <c r="M2000" s="21" t="s">
        <v>12</v>
      </c>
      <c r="N2000" s="54">
        <v>14000</v>
      </c>
      <c r="O2000" s="54">
        <v>0</v>
      </c>
      <c r="P2000" s="54">
        <v>0</v>
      </c>
      <c r="Q2000" s="54">
        <v>14000</v>
      </c>
      <c r="R2000" s="54">
        <v>0</v>
      </c>
      <c r="S2000" s="54">
        <v>0</v>
      </c>
      <c r="T2000" s="54">
        <v>0</v>
      </c>
      <c r="U2000" s="54">
        <v>14000</v>
      </c>
      <c r="V2000" s="54">
        <v>14000</v>
      </c>
      <c r="W2000" s="54">
        <v>14000</v>
      </c>
    </row>
    <row r="2001" spans="1:23" outlineLevel="2" x14ac:dyDescent="0.2">
      <c r="A2001" s="21" t="s">
        <v>999</v>
      </c>
      <c r="B2001" s="21" t="s">
        <v>31</v>
      </c>
      <c r="C2001" s="21" t="s">
        <v>107</v>
      </c>
      <c r="D2001" s="21" t="s">
        <v>1164</v>
      </c>
      <c r="E2001" s="21" t="s">
        <v>1165</v>
      </c>
      <c r="F2001" s="21" t="s">
        <v>856</v>
      </c>
      <c r="G2001" s="21" t="s">
        <v>857</v>
      </c>
      <c r="H2001" s="21" t="s">
        <v>1166</v>
      </c>
      <c r="I2001" s="21" t="s">
        <v>1167</v>
      </c>
      <c r="J2001" s="21" t="s">
        <v>1000</v>
      </c>
      <c r="K2001" s="21" t="s">
        <v>1078</v>
      </c>
      <c r="L2001" s="21" t="s">
        <v>1152</v>
      </c>
      <c r="M2001" s="21" t="s">
        <v>12</v>
      </c>
      <c r="N2001" s="54">
        <v>15000</v>
      </c>
      <c r="O2001" s="54">
        <v>0</v>
      </c>
      <c r="P2001" s="54">
        <v>0</v>
      </c>
      <c r="Q2001" s="54">
        <v>15000</v>
      </c>
      <c r="R2001" s="54">
        <v>0</v>
      </c>
      <c r="S2001" s="54">
        <v>0</v>
      </c>
      <c r="T2001" s="54">
        <v>0</v>
      </c>
      <c r="U2001" s="54">
        <v>15000</v>
      </c>
      <c r="V2001" s="54">
        <v>15000</v>
      </c>
      <c r="W2001" s="54">
        <v>15000</v>
      </c>
    </row>
    <row r="2002" spans="1:23" outlineLevel="2" x14ac:dyDescent="0.2">
      <c r="A2002" s="21" t="s">
        <v>999</v>
      </c>
      <c r="B2002" s="21" t="s">
        <v>31</v>
      </c>
      <c r="C2002" s="21" t="s">
        <v>107</v>
      </c>
      <c r="D2002" s="21" t="s">
        <v>108</v>
      </c>
      <c r="E2002" s="21" t="s">
        <v>109</v>
      </c>
      <c r="F2002" s="21" t="s">
        <v>856</v>
      </c>
      <c r="G2002" s="21" t="s">
        <v>857</v>
      </c>
      <c r="H2002" s="21" t="s">
        <v>1170</v>
      </c>
      <c r="I2002" s="21" t="s">
        <v>1171</v>
      </c>
      <c r="J2002" s="21" t="s">
        <v>1000</v>
      </c>
      <c r="K2002" s="21" t="s">
        <v>1015</v>
      </c>
      <c r="L2002" s="21" t="s">
        <v>1172</v>
      </c>
      <c r="M2002" s="21" t="s">
        <v>12</v>
      </c>
      <c r="N2002" s="54">
        <v>50000</v>
      </c>
      <c r="O2002" s="54">
        <v>-50000</v>
      </c>
      <c r="P2002" s="54">
        <v>0</v>
      </c>
      <c r="Q2002" s="54">
        <v>0</v>
      </c>
      <c r="R2002" s="54">
        <v>0</v>
      </c>
      <c r="S2002" s="54">
        <v>0</v>
      </c>
      <c r="T2002" s="54">
        <v>0</v>
      </c>
      <c r="U2002" s="54">
        <v>0</v>
      </c>
      <c r="V2002" s="54">
        <v>0</v>
      </c>
      <c r="W2002" s="54">
        <v>0</v>
      </c>
    </row>
    <row r="2003" spans="1:23" outlineLevel="2" x14ac:dyDescent="0.2">
      <c r="A2003" s="21" t="s">
        <v>999</v>
      </c>
      <c r="B2003" s="21" t="s">
        <v>31</v>
      </c>
      <c r="C2003" s="21" t="s">
        <v>107</v>
      </c>
      <c r="D2003" s="21" t="s">
        <v>108</v>
      </c>
      <c r="E2003" s="21" t="s">
        <v>109</v>
      </c>
      <c r="F2003" s="21" t="s">
        <v>856</v>
      </c>
      <c r="G2003" s="21" t="s">
        <v>857</v>
      </c>
      <c r="H2003" s="21" t="s">
        <v>1170</v>
      </c>
      <c r="I2003" s="21" t="s">
        <v>1171</v>
      </c>
      <c r="J2003" s="21" t="s">
        <v>1000</v>
      </c>
      <c r="K2003" s="21" t="s">
        <v>1017</v>
      </c>
      <c r="L2003" s="21" t="s">
        <v>1151</v>
      </c>
      <c r="M2003" s="21" t="s">
        <v>12</v>
      </c>
      <c r="N2003" s="54">
        <v>50000</v>
      </c>
      <c r="O2003" s="54">
        <v>-50000</v>
      </c>
      <c r="P2003" s="54">
        <v>0</v>
      </c>
      <c r="Q2003" s="54">
        <v>0</v>
      </c>
      <c r="R2003" s="54">
        <v>0</v>
      </c>
      <c r="S2003" s="54">
        <v>0</v>
      </c>
      <c r="T2003" s="54">
        <v>0</v>
      </c>
      <c r="U2003" s="54">
        <v>0</v>
      </c>
      <c r="V2003" s="54">
        <v>0</v>
      </c>
      <c r="W2003" s="54">
        <v>0</v>
      </c>
    </row>
    <row r="2004" spans="1:23" outlineLevel="2" x14ac:dyDescent="0.2">
      <c r="A2004" s="21" t="s">
        <v>999</v>
      </c>
      <c r="B2004" s="21" t="s">
        <v>31</v>
      </c>
      <c r="C2004" s="21" t="s">
        <v>107</v>
      </c>
      <c r="D2004" s="21" t="s">
        <v>1168</v>
      </c>
      <c r="E2004" s="21" t="s">
        <v>1169</v>
      </c>
      <c r="F2004" s="21" t="s">
        <v>856</v>
      </c>
      <c r="G2004" s="21" t="s">
        <v>857</v>
      </c>
      <c r="H2004" s="21" t="s">
        <v>1173</v>
      </c>
      <c r="I2004" s="21" t="s">
        <v>1174</v>
      </c>
      <c r="J2004" s="21" t="s">
        <v>1000</v>
      </c>
      <c r="K2004" s="21" t="s">
        <v>1037</v>
      </c>
      <c r="L2004" s="21" t="s">
        <v>1145</v>
      </c>
      <c r="M2004" s="21" t="s">
        <v>12</v>
      </c>
      <c r="N2004" s="54">
        <v>15000</v>
      </c>
      <c r="O2004" s="54">
        <v>0</v>
      </c>
      <c r="P2004" s="54">
        <v>0</v>
      </c>
      <c r="Q2004" s="54">
        <v>15000</v>
      </c>
      <c r="R2004" s="54">
        <v>0</v>
      </c>
      <c r="S2004" s="54">
        <v>0</v>
      </c>
      <c r="T2004" s="54">
        <v>0</v>
      </c>
      <c r="U2004" s="54">
        <v>15000</v>
      </c>
      <c r="V2004" s="54">
        <v>15000</v>
      </c>
      <c r="W2004" s="54">
        <v>15000</v>
      </c>
    </row>
    <row r="2005" spans="1:23" outlineLevel="2" x14ac:dyDescent="0.2">
      <c r="A2005" s="21" t="s">
        <v>999</v>
      </c>
      <c r="B2005" s="21" t="s">
        <v>31</v>
      </c>
      <c r="C2005" s="21" t="s">
        <v>107</v>
      </c>
      <c r="D2005" s="21" t="s">
        <v>1168</v>
      </c>
      <c r="E2005" s="21" t="s">
        <v>1169</v>
      </c>
      <c r="F2005" s="21" t="s">
        <v>856</v>
      </c>
      <c r="G2005" s="21" t="s">
        <v>857</v>
      </c>
      <c r="H2005" s="21" t="s">
        <v>1173</v>
      </c>
      <c r="I2005" s="21" t="s">
        <v>1174</v>
      </c>
      <c r="J2005" s="21" t="s">
        <v>1000</v>
      </c>
      <c r="K2005" s="21" t="s">
        <v>1175</v>
      </c>
      <c r="L2005" s="21" t="s">
        <v>1176</v>
      </c>
      <c r="M2005" s="21" t="s">
        <v>12</v>
      </c>
      <c r="N2005" s="54">
        <v>5080</v>
      </c>
      <c r="O2005" s="54">
        <v>0</v>
      </c>
      <c r="P2005" s="54">
        <v>0</v>
      </c>
      <c r="Q2005" s="54">
        <v>5080</v>
      </c>
      <c r="R2005" s="54">
        <v>0</v>
      </c>
      <c r="S2005" s="54">
        <v>0</v>
      </c>
      <c r="T2005" s="54">
        <v>0</v>
      </c>
      <c r="U2005" s="54">
        <v>5080</v>
      </c>
      <c r="V2005" s="54">
        <v>5080</v>
      </c>
      <c r="W2005" s="54">
        <v>5080</v>
      </c>
    </row>
    <row r="2006" spans="1:23" outlineLevel="2" x14ac:dyDescent="0.2">
      <c r="A2006" s="21" t="s">
        <v>999</v>
      </c>
      <c r="B2006" s="21" t="s">
        <v>31</v>
      </c>
      <c r="C2006" s="21" t="s">
        <v>107</v>
      </c>
      <c r="D2006" s="21" t="s">
        <v>1168</v>
      </c>
      <c r="E2006" s="21" t="s">
        <v>1169</v>
      </c>
      <c r="F2006" s="21" t="s">
        <v>856</v>
      </c>
      <c r="G2006" s="21" t="s">
        <v>857</v>
      </c>
      <c r="H2006" s="21" t="s">
        <v>1173</v>
      </c>
      <c r="I2006" s="21" t="s">
        <v>1174</v>
      </c>
      <c r="J2006" s="21" t="s">
        <v>1000</v>
      </c>
      <c r="K2006" s="21" t="s">
        <v>1177</v>
      </c>
      <c r="L2006" s="21" t="s">
        <v>1178</v>
      </c>
      <c r="M2006" s="21" t="s">
        <v>12</v>
      </c>
      <c r="N2006" s="54">
        <v>2500</v>
      </c>
      <c r="O2006" s="54">
        <v>-2500</v>
      </c>
      <c r="P2006" s="54">
        <v>0</v>
      </c>
      <c r="Q2006" s="54">
        <v>0</v>
      </c>
      <c r="R2006" s="54">
        <v>0</v>
      </c>
      <c r="S2006" s="54">
        <v>0</v>
      </c>
      <c r="T2006" s="54">
        <v>0</v>
      </c>
      <c r="U2006" s="54">
        <v>0</v>
      </c>
      <c r="V2006" s="54">
        <v>0</v>
      </c>
      <c r="W2006" s="54">
        <v>0</v>
      </c>
    </row>
    <row r="2007" spans="1:23" outlineLevel="2" x14ac:dyDescent="0.2">
      <c r="A2007" s="21" t="s">
        <v>999</v>
      </c>
      <c r="B2007" s="21" t="s">
        <v>31</v>
      </c>
      <c r="C2007" s="21" t="s">
        <v>107</v>
      </c>
      <c r="D2007" s="21" t="s">
        <v>1168</v>
      </c>
      <c r="E2007" s="21" t="s">
        <v>1169</v>
      </c>
      <c r="F2007" s="21" t="s">
        <v>856</v>
      </c>
      <c r="G2007" s="21" t="s">
        <v>857</v>
      </c>
      <c r="H2007" s="21" t="s">
        <v>1173</v>
      </c>
      <c r="I2007" s="21" t="s">
        <v>1174</v>
      </c>
      <c r="J2007" s="21" t="s">
        <v>1000</v>
      </c>
      <c r="K2007" s="21" t="s">
        <v>1003</v>
      </c>
      <c r="L2007" s="21" t="s">
        <v>1148</v>
      </c>
      <c r="M2007" s="21" t="s">
        <v>12</v>
      </c>
      <c r="N2007" s="54">
        <v>10000</v>
      </c>
      <c r="O2007" s="54">
        <v>0</v>
      </c>
      <c r="P2007" s="54">
        <v>0</v>
      </c>
      <c r="Q2007" s="54">
        <v>10000</v>
      </c>
      <c r="R2007" s="54">
        <v>0</v>
      </c>
      <c r="S2007" s="54">
        <v>0</v>
      </c>
      <c r="T2007" s="54">
        <v>0</v>
      </c>
      <c r="U2007" s="54">
        <v>10000</v>
      </c>
      <c r="V2007" s="54">
        <v>10000</v>
      </c>
      <c r="W2007" s="54">
        <v>10000</v>
      </c>
    </row>
    <row r="2008" spans="1:23" outlineLevel="2" x14ac:dyDescent="0.2">
      <c r="A2008" s="21" t="s">
        <v>999</v>
      </c>
      <c r="B2008" s="21" t="s">
        <v>31</v>
      </c>
      <c r="C2008" s="21" t="s">
        <v>107</v>
      </c>
      <c r="D2008" s="21" t="s">
        <v>1168</v>
      </c>
      <c r="E2008" s="21" t="s">
        <v>1169</v>
      </c>
      <c r="F2008" s="21" t="s">
        <v>856</v>
      </c>
      <c r="G2008" s="21" t="s">
        <v>857</v>
      </c>
      <c r="H2008" s="21" t="s">
        <v>1173</v>
      </c>
      <c r="I2008" s="21" t="s">
        <v>1174</v>
      </c>
      <c r="J2008" s="21" t="s">
        <v>1000</v>
      </c>
      <c r="K2008" s="21" t="s">
        <v>1179</v>
      </c>
      <c r="L2008" s="21" t="s">
        <v>1180</v>
      </c>
      <c r="M2008" s="21" t="s">
        <v>12</v>
      </c>
      <c r="N2008" s="54">
        <v>5000</v>
      </c>
      <c r="O2008" s="54">
        <v>-5000</v>
      </c>
      <c r="P2008" s="54">
        <v>0</v>
      </c>
      <c r="Q2008" s="54">
        <v>0</v>
      </c>
      <c r="R2008" s="54">
        <v>0</v>
      </c>
      <c r="S2008" s="54">
        <v>0</v>
      </c>
      <c r="T2008" s="54">
        <v>0</v>
      </c>
      <c r="U2008" s="54">
        <v>0</v>
      </c>
      <c r="V2008" s="54">
        <v>0</v>
      </c>
      <c r="W2008" s="54">
        <v>0</v>
      </c>
    </row>
    <row r="2009" spans="1:23" outlineLevel="2" x14ac:dyDescent="0.2">
      <c r="A2009" s="21" t="s">
        <v>999</v>
      </c>
      <c r="B2009" s="21" t="s">
        <v>31</v>
      </c>
      <c r="C2009" s="21" t="s">
        <v>107</v>
      </c>
      <c r="D2009" s="21" t="s">
        <v>1168</v>
      </c>
      <c r="E2009" s="21" t="s">
        <v>1169</v>
      </c>
      <c r="F2009" s="21" t="s">
        <v>856</v>
      </c>
      <c r="G2009" s="21" t="s">
        <v>857</v>
      </c>
      <c r="H2009" s="21" t="s">
        <v>1173</v>
      </c>
      <c r="I2009" s="21" t="s">
        <v>1174</v>
      </c>
      <c r="J2009" s="21" t="s">
        <v>1000</v>
      </c>
      <c r="K2009" s="21" t="s">
        <v>1015</v>
      </c>
      <c r="L2009" s="21" t="s">
        <v>1172</v>
      </c>
      <c r="M2009" s="21" t="s">
        <v>12</v>
      </c>
      <c r="N2009" s="54">
        <v>15000</v>
      </c>
      <c r="O2009" s="54">
        <v>0</v>
      </c>
      <c r="P2009" s="54">
        <v>0</v>
      </c>
      <c r="Q2009" s="54">
        <v>15000</v>
      </c>
      <c r="R2009" s="54">
        <v>0</v>
      </c>
      <c r="S2009" s="54">
        <v>0</v>
      </c>
      <c r="T2009" s="54">
        <v>0</v>
      </c>
      <c r="U2009" s="54">
        <v>15000</v>
      </c>
      <c r="V2009" s="54">
        <v>15000</v>
      </c>
      <c r="W2009" s="54">
        <v>15000</v>
      </c>
    </row>
    <row r="2010" spans="1:23" outlineLevel="2" x14ac:dyDescent="0.2">
      <c r="A2010" s="21" t="s">
        <v>999</v>
      </c>
      <c r="B2010" s="21" t="s">
        <v>31</v>
      </c>
      <c r="C2010" s="21" t="s">
        <v>107</v>
      </c>
      <c r="D2010" s="21" t="s">
        <v>1168</v>
      </c>
      <c r="E2010" s="21" t="s">
        <v>1169</v>
      </c>
      <c r="F2010" s="21" t="s">
        <v>856</v>
      </c>
      <c r="G2010" s="21" t="s">
        <v>857</v>
      </c>
      <c r="H2010" s="21" t="s">
        <v>1173</v>
      </c>
      <c r="I2010" s="21" t="s">
        <v>1174</v>
      </c>
      <c r="J2010" s="21" t="s">
        <v>1000</v>
      </c>
      <c r="K2010" s="21" t="s">
        <v>1019</v>
      </c>
      <c r="L2010" s="21" t="s">
        <v>1181</v>
      </c>
      <c r="M2010" s="21" t="s">
        <v>12</v>
      </c>
      <c r="N2010" s="54">
        <v>2500</v>
      </c>
      <c r="O2010" s="54">
        <v>0</v>
      </c>
      <c r="P2010" s="54">
        <v>0</v>
      </c>
      <c r="Q2010" s="54">
        <v>2500</v>
      </c>
      <c r="R2010" s="54">
        <v>0</v>
      </c>
      <c r="S2010" s="54">
        <v>0</v>
      </c>
      <c r="T2010" s="54">
        <v>0</v>
      </c>
      <c r="U2010" s="54">
        <v>2500</v>
      </c>
      <c r="V2010" s="54">
        <v>2500</v>
      </c>
      <c r="W2010" s="54">
        <v>2500</v>
      </c>
    </row>
    <row r="2011" spans="1:23" outlineLevel="2" x14ac:dyDescent="0.2">
      <c r="A2011" s="21" t="s">
        <v>999</v>
      </c>
      <c r="B2011" s="21" t="s">
        <v>31</v>
      </c>
      <c r="C2011" s="21" t="s">
        <v>107</v>
      </c>
      <c r="D2011" s="21" t="s">
        <v>1168</v>
      </c>
      <c r="E2011" s="21" t="s">
        <v>1169</v>
      </c>
      <c r="F2011" s="21" t="s">
        <v>856</v>
      </c>
      <c r="G2011" s="21" t="s">
        <v>857</v>
      </c>
      <c r="H2011" s="21" t="s">
        <v>1173</v>
      </c>
      <c r="I2011" s="21" t="s">
        <v>1174</v>
      </c>
      <c r="J2011" s="21" t="s">
        <v>1000</v>
      </c>
      <c r="K2011" s="21" t="s">
        <v>1084</v>
      </c>
      <c r="L2011" s="21" t="s">
        <v>1153</v>
      </c>
      <c r="M2011" s="21" t="s">
        <v>12</v>
      </c>
      <c r="N2011" s="54">
        <v>30000</v>
      </c>
      <c r="O2011" s="54">
        <v>0</v>
      </c>
      <c r="P2011" s="54">
        <v>0</v>
      </c>
      <c r="Q2011" s="54">
        <v>30000</v>
      </c>
      <c r="R2011" s="54">
        <v>0</v>
      </c>
      <c r="S2011" s="54">
        <v>0</v>
      </c>
      <c r="T2011" s="54">
        <v>0</v>
      </c>
      <c r="U2011" s="54">
        <v>30000</v>
      </c>
      <c r="V2011" s="54">
        <v>30000</v>
      </c>
      <c r="W2011" s="54">
        <v>30000</v>
      </c>
    </row>
    <row r="2012" spans="1:23" outlineLevel="2" x14ac:dyDescent="0.2">
      <c r="A2012" s="21" t="s">
        <v>999</v>
      </c>
      <c r="B2012" s="21" t="s">
        <v>31</v>
      </c>
      <c r="C2012" s="21" t="s">
        <v>107</v>
      </c>
      <c r="D2012" s="21" t="s">
        <v>1168</v>
      </c>
      <c r="E2012" s="21" t="s">
        <v>1169</v>
      </c>
      <c r="F2012" s="21" t="s">
        <v>856</v>
      </c>
      <c r="G2012" s="21" t="s">
        <v>857</v>
      </c>
      <c r="H2012" s="21" t="s">
        <v>1173</v>
      </c>
      <c r="I2012" s="21" t="s">
        <v>1174</v>
      </c>
      <c r="J2012" s="21" t="s">
        <v>1000</v>
      </c>
      <c r="K2012" s="21" t="s">
        <v>1120</v>
      </c>
      <c r="L2012" s="21" t="s">
        <v>1182</v>
      </c>
      <c r="M2012" s="21" t="s">
        <v>12</v>
      </c>
      <c r="N2012" s="54">
        <v>25000</v>
      </c>
      <c r="O2012" s="54">
        <v>-5000</v>
      </c>
      <c r="P2012" s="54">
        <v>0</v>
      </c>
      <c r="Q2012" s="54">
        <v>20000</v>
      </c>
      <c r="R2012" s="54">
        <v>0</v>
      </c>
      <c r="S2012" s="54">
        <v>0</v>
      </c>
      <c r="T2012" s="54">
        <v>0</v>
      </c>
      <c r="U2012" s="54">
        <v>20000</v>
      </c>
      <c r="V2012" s="54">
        <v>20000</v>
      </c>
      <c r="W2012" s="54">
        <v>20000</v>
      </c>
    </row>
    <row r="2013" spans="1:23" outlineLevel="2" x14ac:dyDescent="0.2">
      <c r="A2013" s="21" t="s">
        <v>999</v>
      </c>
      <c r="B2013" s="21" t="s">
        <v>31</v>
      </c>
      <c r="C2013" s="21" t="s">
        <v>107</v>
      </c>
      <c r="D2013" s="21" t="s">
        <v>1168</v>
      </c>
      <c r="E2013" s="21" t="s">
        <v>1169</v>
      </c>
      <c r="F2013" s="21" t="s">
        <v>856</v>
      </c>
      <c r="G2013" s="21" t="s">
        <v>857</v>
      </c>
      <c r="H2013" s="21" t="s">
        <v>1173</v>
      </c>
      <c r="I2013" s="21" t="s">
        <v>1174</v>
      </c>
      <c r="J2013" s="21" t="s">
        <v>1000</v>
      </c>
      <c r="K2013" s="21" t="s">
        <v>1183</v>
      </c>
      <c r="L2013" s="21" t="s">
        <v>1184</v>
      </c>
      <c r="M2013" s="21" t="s">
        <v>12</v>
      </c>
      <c r="N2013" s="54">
        <v>10200</v>
      </c>
      <c r="O2013" s="54">
        <v>-10200</v>
      </c>
      <c r="P2013" s="54">
        <v>0</v>
      </c>
      <c r="Q2013" s="54">
        <v>0</v>
      </c>
      <c r="R2013" s="54">
        <v>0</v>
      </c>
      <c r="S2013" s="54">
        <v>0</v>
      </c>
      <c r="T2013" s="54">
        <v>0</v>
      </c>
      <c r="U2013" s="54">
        <v>0</v>
      </c>
      <c r="V2013" s="54">
        <v>0</v>
      </c>
      <c r="W2013" s="54">
        <v>0</v>
      </c>
    </row>
    <row r="2014" spans="1:23" outlineLevel="2" x14ac:dyDescent="0.2">
      <c r="A2014" s="21" t="s">
        <v>999</v>
      </c>
      <c r="B2014" s="21" t="s">
        <v>31</v>
      </c>
      <c r="C2014" s="21" t="s">
        <v>107</v>
      </c>
      <c r="D2014" s="21" t="s">
        <v>1168</v>
      </c>
      <c r="E2014" s="21" t="s">
        <v>1169</v>
      </c>
      <c r="F2014" s="21" t="s">
        <v>856</v>
      </c>
      <c r="G2014" s="21" t="s">
        <v>857</v>
      </c>
      <c r="H2014" s="21" t="s">
        <v>1173</v>
      </c>
      <c r="I2014" s="21" t="s">
        <v>1174</v>
      </c>
      <c r="J2014" s="21" t="s">
        <v>1000</v>
      </c>
      <c r="K2014" s="21" t="s">
        <v>1185</v>
      </c>
      <c r="L2014" s="21" t="s">
        <v>1186</v>
      </c>
      <c r="M2014" s="21" t="s">
        <v>12</v>
      </c>
      <c r="N2014" s="54">
        <v>18650</v>
      </c>
      <c r="O2014" s="54">
        <v>0</v>
      </c>
      <c r="P2014" s="54">
        <v>0</v>
      </c>
      <c r="Q2014" s="54">
        <v>18650</v>
      </c>
      <c r="R2014" s="54">
        <v>0</v>
      </c>
      <c r="S2014" s="54">
        <v>0</v>
      </c>
      <c r="T2014" s="54">
        <v>0</v>
      </c>
      <c r="U2014" s="54">
        <v>18650</v>
      </c>
      <c r="V2014" s="54">
        <v>18650</v>
      </c>
      <c r="W2014" s="54">
        <v>18650</v>
      </c>
    </row>
    <row r="2015" spans="1:23" outlineLevel="2" x14ac:dyDescent="0.2">
      <c r="A2015" s="21" t="s">
        <v>999</v>
      </c>
      <c r="B2015" s="21" t="s">
        <v>31</v>
      </c>
      <c r="C2015" s="21" t="s">
        <v>107</v>
      </c>
      <c r="D2015" s="21" t="s">
        <v>1168</v>
      </c>
      <c r="E2015" s="21" t="s">
        <v>1169</v>
      </c>
      <c r="F2015" s="21" t="s">
        <v>856</v>
      </c>
      <c r="G2015" s="21" t="s">
        <v>857</v>
      </c>
      <c r="H2015" s="21" t="s">
        <v>1173</v>
      </c>
      <c r="I2015" s="21" t="s">
        <v>1174</v>
      </c>
      <c r="J2015" s="21" t="s">
        <v>1000</v>
      </c>
      <c r="K2015" s="21" t="s">
        <v>1160</v>
      </c>
      <c r="L2015" s="21" t="s">
        <v>1161</v>
      </c>
      <c r="M2015" s="21" t="s">
        <v>12</v>
      </c>
      <c r="N2015" s="54">
        <v>7000</v>
      </c>
      <c r="O2015" s="54">
        <v>0</v>
      </c>
      <c r="P2015" s="54">
        <v>0</v>
      </c>
      <c r="Q2015" s="54">
        <v>7000</v>
      </c>
      <c r="R2015" s="54">
        <v>0</v>
      </c>
      <c r="S2015" s="54">
        <v>0</v>
      </c>
      <c r="T2015" s="54">
        <v>0</v>
      </c>
      <c r="U2015" s="54">
        <v>7000</v>
      </c>
      <c r="V2015" s="54">
        <v>7000</v>
      </c>
      <c r="W2015" s="54">
        <v>7000</v>
      </c>
    </row>
    <row r="2016" spans="1:23" outlineLevel="2" x14ac:dyDescent="0.2">
      <c r="A2016" s="21" t="s">
        <v>999</v>
      </c>
      <c r="B2016" s="21" t="s">
        <v>39</v>
      </c>
      <c r="C2016" s="21" t="s">
        <v>58</v>
      </c>
      <c r="D2016" s="21" t="s">
        <v>147</v>
      </c>
      <c r="E2016" s="21" t="s">
        <v>148</v>
      </c>
      <c r="F2016" s="21" t="s">
        <v>856</v>
      </c>
      <c r="G2016" s="21" t="s">
        <v>857</v>
      </c>
      <c r="H2016" s="21" t="s">
        <v>1187</v>
      </c>
      <c r="I2016" s="21" t="s">
        <v>1188</v>
      </c>
      <c r="J2016" s="21" t="s">
        <v>1000</v>
      </c>
      <c r="K2016" s="21" t="s">
        <v>1037</v>
      </c>
      <c r="L2016" s="21" t="s">
        <v>1138</v>
      </c>
      <c r="M2016" s="21" t="s">
        <v>12</v>
      </c>
      <c r="N2016" s="54">
        <v>3000</v>
      </c>
      <c r="O2016" s="54">
        <v>0</v>
      </c>
      <c r="P2016" s="54">
        <v>0</v>
      </c>
      <c r="Q2016" s="54">
        <v>3000</v>
      </c>
      <c r="R2016" s="54">
        <v>0</v>
      </c>
      <c r="S2016" s="54">
        <v>0</v>
      </c>
      <c r="T2016" s="54">
        <v>0</v>
      </c>
      <c r="U2016" s="54">
        <v>3000</v>
      </c>
      <c r="V2016" s="54">
        <v>3000</v>
      </c>
      <c r="W2016" s="54">
        <v>3000</v>
      </c>
    </row>
    <row r="2017" spans="1:23" outlineLevel="2" x14ac:dyDescent="0.2">
      <c r="A2017" s="21" t="s">
        <v>999</v>
      </c>
      <c r="B2017" s="21" t="s">
        <v>39</v>
      </c>
      <c r="C2017" s="21" t="s">
        <v>58</v>
      </c>
      <c r="D2017" s="21" t="s">
        <v>59</v>
      </c>
      <c r="E2017" s="21" t="s">
        <v>60</v>
      </c>
      <c r="F2017" s="21" t="s">
        <v>856</v>
      </c>
      <c r="G2017" s="21" t="s">
        <v>857</v>
      </c>
      <c r="H2017" s="21" t="s">
        <v>1187</v>
      </c>
      <c r="I2017" s="21" t="s">
        <v>1188</v>
      </c>
      <c r="J2017" s="21" t="s">
        <v>1000</v>
      </c>
      <c r="K2017" s="21" t="s">
        <v>1037</v>
      </c>
      <c r="L2017" s="21" t="s">
        <v>1138</v>
      </c>
      <c r="M2017" s="21" t="s">
        <v>12</v>
      </c>
      <c r="N2017" s="54">
        <v>3000</v>
      </c>
      <c r="O2017" s="54">
        <v>0</v>
      </c>
      <c r="P2017" s="54">
        <v>0</v>
      </c>
      <c r="Q2017" s="54">
        <v>3000</v>
      </c>
      <c r="R2017" s="54">
        <v>0</v>
      </c>
      <c r="S2017" s="54">
        <v>0</v>
      </c>
      <c r="T2017" s="54">
        <v>0</v>
      </c>
      <c r="U2017" s="54">
        <v>3000</v>
      </c>
      <c r="V2017" s="54">
        <v>3000</v>
      </c>
      <c r="W2017" s="54">
        <v>3000</v>
      </c>
    </row>
    <row r="2018" spans="1:23" outlineLevel="2" x14ac:dyDescent="0.2">
      <c r="A2018" s="21" t="s">
        <v>999</v>
      </c>
      <c r="B2018" s="21" t="s">
        <v>31</v>
      </c>
      <c r="C2018" s="21" t="s">
        <v>107</v>
      </c>
      <c r="D2018" s="21" t="s">
        <v>108</v>
      </c>
      <c r="E2018" s="21" t="s">
        <v>109</v>
      </c>
      <c r="F2018" s="21" t="s">
        <v>856</v>
      </c>
      <c r="G2018" s="21" t="s">
        <v>857</v>
      </c>
      <c r="H2018" s="21" t="s">
        <v>1187</v>
      </c>
      <c r="I2018" s="21" t="s">
        <v>1188</v>
      </c>
      <c r="J2018" s="21" t="s">
        <v>1000</v>
      </c>
      <c r="K2018" s="21" t="s">
        <v>1037</v>
      </c>
      <c r="L2018" s="21" t="s">
        <v>1145</v>
      </c>
      <c r="M2018" s="21" t="s">
        <v>12</v>
      </c>
      <c r="N2018" s="54">
        <v>33700</v>
      </c>
      <c r="O2018" s="54">
        <v>-17700</v>
      </c>
      <c r="P2018" s="54">
        <v>0</v>
      </c>
      <c r="Q2018" s="54">
        <v>16000</v>
      </c>
      <c r="R2018" s="54">
        <v>0</v>
      </c>
      <c r="S2018" s="54">
        <v>0</v>
      </c>
      <c r="T2018" s="54">
        <v>0</v>
      </c>
      <c r="U2018" s="54">
        <v>16000</v>
      </c>
      <c r="V2018" s="54">
        <v>16000</v>
      </c>
      <c r="W2018" s="54">
        <v>16000</v>
      </c>
    </row>
    <row r="2019" spans="1:23" outlineLevel="2" x14ac:dyDescent="0.2">
      <c r="A2019" s="21" t="s">
        <v>999</v>
      </c>
      <c r="B2019" s="21" t="s">
        <v>31</v>
      </c>
      <c r="C2019" s="21" t="s">
        <v>107</v>
      </c>
      <c r="D2019" s="21" t="s">
        <v>108</v>
      </c>
      <c r="E2019" s="21" t="s">
        <v>109</v>
      </c>
      <c r="F2019" s="21" t="s">
        <v>856</v>
      </c>
      <c r="G2019" s="21" t="s">
        <v>857</v>
      </c>
      <c r="H2019" s="21" t="s">
        <v>1187</v>
      </c>
      <c r="I2019" s="21" t="s">
        <v>1188</v>
      </c>
      <c r="J2019" s="21" t="s">
        <v>1000</v>
      </c>
      <c r="K2019" s="21" t="s">
        <v>1039</v>
      </c>
      <c r="L2019" s="21" t="s">
        <v>1140</v>
      </c>
      <c r="M2019" s="21" t="s">
        <v>12</v>
      </c>
      <c r="N2019" s="54">
        <v>505200</v>
      </c>
      <c r="O2019" s="54">
        <v>-365000</v>
      </c>
      <c r="P2019" s="54">
        <v>0</v>
      </c>
      <c r="Q2019" s="54">
        <v>140200</v>
      </c>
      <c r="R2019" s="54">
        <v>0</v>
      </c>
      <c r="S2019" s="54">
        <v>0</v>
      </c>
      <c r="T2019" s="54">
        <v>0</v>
      </c>
      <c r="U2019" s="54">
        <v>140200</v>
      </c>
      <c r="V2019" s="54">
        <v>140200</v>
      </c>
      <c r="W2019" s="54">
        <v>140200</v>
      </c>
    </row>
    <row r="2020" spans="1:23" outlineLevel="2" x14ac:dyDescent="0.2">
      <c r="A2020" s="21" t="s">
        <v>999</v>
      </c>
      <c r="B2020" s="21" t="s">
        <v>39</v>
      </c>
      <c r="C2020" s="21" t="s">
        <v>58</v>
      </c>
      <c r="D2020" s="21" t="s">
        <v>143</v>
      </c>
      <c r="E2020" s="21" t="s">
        <v>144</v>
      </c>
      <c r="F2020" s="21" t="s">
        <v>856</v>
      </c>
      <c r="G2020" s="21" t="s">
        <v>857</v>
      </c>
      <c r="H2020" s="21" t="s">
        <v>1187</v>
      </c>
      <c r="I2020" s="21" t="s">
        <v>1188</v>
      </c>
      <c r="J2020" s="21" t="s">
        <v>1000</v>
      </c>
      <c r="K2020" s="21" t="s">
        <v>1039</v>
      </c>
      <c r="L2020" s="21" t="s">
        <v>1139</v>
      </c>
      <c r="M2020" s="21" t="s">
        <v>12</v>
      </c>
      <c r="N2020" s="54">
        <v>67000</v>
      </c>
      <c r="O2020" s="54">
        <v>0</v>
      </c>
      <c r="P2020" s="54">
        <v>0</v>
      </c>
      <c r="Q2020" s="54">
        <v>67000</v>
      </c>
      <c r="R2020" s="54">
        <v>0</v>
      </c>
      <c r="S2020" s="54">
        <v>7095</v>
      </c>
      <c r="T2020" s="54">
        <v>7095</v>
      </c>
      <c r="U2020" s="54">
        <v>59905</v>
      </c>
      <c r="V2020" s="54">
        <v>59905</v>
      </c>
      <c r="W2020" s="54">
        <v>59905</v>
      </c>
    </row>
    <row r="2021" spans="1:23" outlineLevel="2" x14ac:dyDescent="0.2">
      <c r="A2021" s="21" t="s">
        <v>999</v>
      </c>
      <c r="B2021" s="21" t="s">
        <v>39</v>
      </c>
      <c r="C2021" s="21" t="s">
        <v>58</v>
      </c>
      <c r="D2021" s="21" t="s">
        <v>59</v>
      </c>
      <c r="E2021" s="21" t="s">
        <v>60</v>
      </c>
      <c r="F2021" s="21" t="s">
        <v>856</v>
      </c>
      <c r="G2021" s="21" t="s">
        <v>857</v>
      </c>
      <c r="H2021" s="21" t="s">
        <v>1187</v>
      </c>
      <c r="I2021" s="21" t="s">
        <v>1188</v>
      </c>
      <c r="J2021" s="21" t="s">
        <v>1000</v>
      </c>
      <c r="K2021" s="21" t="s">
        <v>1039</v>
      </c>
      <c r="L2021" s="21" t="s">
        <v>1139</v>
      </c>
      <c r="M2021" s="21" t="s">
        <v>12</v>
      </c>
      <c r="N2021" s="54">
        <v>50000</v>
      </c>
      <c r="O2021" s="54">
        <v>0</v>
      </c>
      <c r="P2021" s="54">
        <v>0</v>
      </c>
      <c r="Q2021" s="54">
        <v>50000</v>
      </c>
      <c r="R2021" s="54">
        <v>0</v>
      </c>
      <c r="S2021" s="54">
        <v>40000</v>
      </c>
      <c r="T2021" s="54">
        <v>15600</v>
      </c>
      <c r="U2021" s="54">
        <v>10000</v>
      </c>
      <c r="V2021" s="54">
        <v>34400</v>
      </c>
      <c r="W2021" s="54">
        <v>10000</v>
      </c>
    </row>
    <row r="2022" spans="1:23" outlineLevel="2" x14ac:dyDescent="0.2">
      <c r="A2022" s="21" t="s">
        <v>999</v>
      </c>
      <c r="B2022" s="21" t="s">
        <v>39</v>
      </c>
      <c r="C2022" s="21" t="s">
        <v>58</v>
      </c>
      <c r="D2022" s="21" t="s">
        <v>135</v>
      </c>
      <c r="E2022" s="21" t="s">
        <v>136</v>
      </c>
      <c r="F2022" s="21" t="s">
        <v>856</v>
      </c>
      <c r="G2022" s="21" t="s">
        <v>857</v>
      </c>
      <c r="H2022" s="21" t="s">
        <v>1187</v>
      </c>
      <c r="I2022" s="21" t="s">
        <v>1188</v>
      </c>
      <c r="J2022" s="21" t="s">
        <v>1000</v>
      </c>
      <c r="K2022" s="21" t="s">
        <v>1039</v>
      </c>
      <c r="L2022" s="21" t="s">
        <v>1139</v>
      </c>
      <c r="M2022" s="21" t="s">
        <v>12</v>
      </c>
      <c r="N2022" s="54">
        <v>62000</v>
      </c>
      <c r="O2022" s="54">
        <v>0</v>
      </c>
      <c r="P2022" s="54">
        <v>0</v>
      </c>
      <c r="Q2022" s="54">
        <v>62000</v>
      </c>
      <c r="R2022" s="54">
        <v>0</v>
      </c>
      <c r="S2022" s="54">
        <v>0</v>
      </c>
      <c r="T2022" s="54">
        <v>0</v>
      </c>
      <c r="U2022" s="54">
        <v>62000</v>
      </c>
      <c r="V2022" s="54">
        <v>62000</v>
      </c>
      <c r="W2022" s="54">
        <v>62000</v>
      </c>
    </row>
    <row r="2023" spans="1:23" outlineLevel="2" x14ac:dyDescent="0.2">
      <c r="A2023" s="21" t="s">
        <v>999</v>
      </c>
      <c r="B2023" s="21" t="s">
        <v>39</v>
      </c>
      <c r="C2023" s="21" t="s">
        <v>58</v>
      </c>
      <c r="D2023" s="21" t="s">
        <v>149</v>
      </c>
      <c r="E2023" s="21" t="s">
        <v>150</v>
      </c>
      <c r="F2023" s="21" t="s">
        <v>856</v>
      </c>
      <c r="G2023" s="21" t="s">
        <v>857</v>
      </c>
      <c r="H2023" s="21" t="s">
        <v>1187</v>
      </c>
      <c r="I2023" s="21" t="s">
        <v>1188</v>
      </c>
      <c r="J2023" s="21" t="s">
        <v>1000</v>
      </c>
      <c r="K2023" s="21" t="s">
        <v>1039</v>
      </c>
      <c r="L2023" s="21" t="s">
        <v>1139</v>
      </c>
      <c r="M2023" s="21" t="s">
        <v>12</v>
      </c>
      <c r="N2023" s="54">
        <v>67000</v>
      </c>
      <c r="O2023" s="54">
        <v>0</v>
      </c>
      <c r="P2023" s="54">
        <v>0</v>
      </c>
      <c r="Q2023" s="54">
        <v>67000</v>
      </c>
      <c r="R2023" s="54">
        <v>0</v>
      </c>
      <c r="S2023" s="54">
        <v>0</v>
      </c>
      <c r="T2023" s="54">
        <v>0</v>
      </c>
      <c r="U2023" s="54">
        <v>67000</v>
      </c>
      <c r="V2023" s="54">
        <v>67000</v>
      </c>
      <c r="W2023" s="54">
        <v>67000</v>
      </c>
    </row>
    <row r="2024" spans="1:23" outlineLevel="2" x14ac:dyDescent="0.2">
      <c r="A2024" s="21" t="s">
        <v>999</v>
      </c>
      <c r="B2024" s="21" t="s">
        <v>39</v>
      </c>
      <c r="C2024" s="21" t="s">
        <v>58</v>
      </c>
      <c r="D2024" s="21" t="s">
        <v>139</v>
      </c>
      <c r="E2024" s="21" t="s">
        <v>140</v>
      </c>
      <c r="F2024" s="21" t="s">
        <v>856</v>
      </c>
      <c r="G2024" s="21" t="s">
        <v>857</v>
      </c>
      <c r="H2024" s="21" t="s">
        <v>1187</v>
      </c>
      <c r="I2024" s="21" t="s">
        <v>1188</v>
      </c>
      <c r="J2024" s="21" t="s">
        <v>1000</v>
      </c>
      <c r="K2024" s="21" t="s">
        <v>1039</v>
      </c>
      <c r="L2024" s="21" t="s">
        <v>1139</v>
      </c>
      <c r="M2024" s="21" t="s">
        <v>12</v>
      </c>
      <c r="N2024" s="54">
        <v>62000</v>
      </c>
      <c r="O2024" s="54">
        <v>0</v>
      </c>
      <c r="P2024" s="54">
        <v>0</v>
      </c>
      <c r="Q2024" s="54">
        <v>62000</v>
      </c>
      <c r="R2024" s="54">
        <v>0</v>
      </c>
      <c r="S2024" s="54">
        <v>0</v>
      </c>
      <c r="T2024" s="54">
        <v>0</v>
      </c>
      <c r="U2024" s="54">
        <v>62000</v>
      </c>
      <c r="V2024" s="54">
        <v>62000</v>
      </c>
      <c r="W2024" s="54">
        <v>62000</v>
      </c>
    </row>
    <row r="2025" spans="1:23" outlineLevel="2" x14ac:dyDescent="0.2">
      <c r="A2025" s="21" t="s">
        <v>999</v>
      </c>
      <c r="B2025" s="21" t="s">
        <v>39</v>
      </c>
      <c r="C2025" s="21" t="s">
        <v>58</v>
      </c>
      <c r="D2025" s="21" t="s">
        <v>137</v>
      </c>
      <c r="E2025" s="21" t="s">
        <v>138</v>
      </c>
      <c r="F2025" s="21" t="s">
        <v>856</v>
      </c>
      <c r="G2025" s="21" t="s">
        <v>857</v>
      </c>
      <c r="H2025" s="21" t="s">
        <v>1187</v>
      </c>
      <c r="I2025" s="21" t="s">
        <v>1188</v>
      </c>
      <c r="J2025" s="21" t="s">
        <v>1000</v>
      </c>
      <c r="K2025" s="21" t="s">
        <v>1039</v>
      </c>
      <c r="L2025" s="21" t="s">
        <v>1139</v>
      </c>
      <c r="M2025" s="21" t="s">
        <v>12</v>
      </c>
      <c r="N2025" s="54">
        <v>62000</v>
      </c>
      <c r="O2025" s="54">
        <v>0</v>
      </c>
      <c r="P2025" s="54">
        <v>0</v>
      </c>
      <c r="Q2025" s="54">
        <v>62000</v>
      </c>
      <c r="R2025" s="54">
        <v>0</v>
      </c>
      <c r="S2025" s="54">
        <v>3000</v>
      </c>
      <c r="T2025" s="54">
        <v>0</v>
      </c>
      <c r="U2025" s="54">
        <v>59000</v>
      </c>
      <c r="V2025" s="54">
        <v>62000</v>
      </c>
      <c r="W2025" s="54">
        <v>59000</v>
      </c>
    </row>
    <row r="2026" spans="1:23" outlineLevel="2" x14ac:dyDescent="0.2">
      <c r="A2026" s="21" t="s">
        <v>999</v>
      </c>
      <c r="B2026" s="21" t="s">
        <v>39</v>
      </c>
      <c r="C2026" s="21" t="s">
        <v>58</v>
      </c>
      <c r="D2026" s="21" t="s">
        <v>147</v>
      </c>
      <c r="E2026" s="21" t="s">
        <v>148</v>
      </c>
      <c r="F2026" s="21" t="s">
        <v>856</v>
      </c>
      <c r="G2026" s="21" t="s">
        <v>857</v>
      </c>
      <c r="H2026" s="21" t="s">
        <v>1187</v>
      </c>
      <c r="I2026" s="21" t="s">
        <v>1188</v>
      </c>
      <c r="J2026" s="21" t="s">
        <v>1000</v>
      </c>
      <c r="K2026" s="21" t="s">
        <v>1039</v>
      </c>
      <c r="L2026" s="21" t="s">
        <v>1139</v>
      </c>
      <c r="M2026" s="21" t="s">
        <v>12</v>
      </c>
      <c r="N2026" s="54">
        <v>77250</v>
      </c>
      <c r="O2026" s="54">
        <v>0</v>
      </c>
      <c r="P2026" s="54">
        <v>0</v>
      </c>
      <c r="Q2026" s="54">
        <v>77250</v>
      </c>
      <c r="R2026" s="54">
        <v>300.24</v>
      </c>
      <c r="S2026" s="54">
        <v>12119.76</v>
      </c>
      <c r="T2026" s="54">
        <v>11656.22</v>
      </c>
      <c r="U2026" s="54">
        <v>65130.239999999998</v>
      </c>
      <c r="V2026" s="54">
        <v>65593.78</v>
      </c>
      <c r="W2026" s="54">
        <v>64830</v>
      </c>
    </row>
    <row r="2027" spans="1:23" outlineLevel="2" x14ac:dyDescent="0.2">
      <c r="A2027" s="21" t="s">
        <v>999</v>
      </c>
      <c r="B2027" s="21" t="s">
        <v>39</v>
      </c>
      <c r="C2027" s="21" t="s">
        <v>58</v>
      </c>
      <c r="D2027" s="21" t="s">
        <v>145</v>
      </c>
      <c r="E2027" s="21" t="s">
        <v>146</v>
      </c>
      <c r="F2027" s="21" t="s">
        <v>856</v>
      </c>
      <c r="G2027" s="21" t="s">
        <v>857</v>
      </c>
      <c r="H2027" s="21" t="s">
        <v>1187</v>
      </c>
      <c r="I2027" s="21" t="s">
        <v>1188</v>
      </c>
      <c r="J2027" s="21" t="s">
        <v>1000</v>
      </c>
      <c r="K2027" s="21" t="s">
        <v>1039</v>
      </c>
      <c r="L2027" s="21" t="s">
        <v>1139</v>
      </c>
      <c r="M2027" s="21" t="s">
        <v>12</v>
      </c>
      <c r="N2027" s="54">
        <v>66000</v>
      </c>
      <c r="O2027" s="54">
        <v>0</v>
      </c>
      <c r="P2027" s="54">
        <v>0</v>
      </c>
      <c r="Q2027" s="54">
        <v>66000</v>
      </c>
      <c r="R2027" s="54">
        <v>0</v>
      </c>
      <c r="S2027" s="54">
        <v>0</v>
      </c>
      <c r="T2027" s="54">
        <v>0</v>
      </c>
      <c r="U2027" s="54">
        <v>66000</v>
      </c>
      <c r="V2027" s="54">
        <v>66000</v>
      </c>
      <c r="W2027" s="54">
        <v>66000</v>
      </c>
    </row>
    <row r="2028" spans="1:23" outlineLevel="2" x14ac:dyDescent="0.2">
      <c r="A2028" s="21" t="s">
        <v>999</v>
      </c>
      <c r="B2028" s="21" t="s">
        <v>39</v>
      </c>
      <c r="C2028" s="21" t="s">
        <v>58</v>
      </c>
      <c r="D2028" s="21" t="s">
        <v>129</v>
      </c>
      <c r="E2028" s="21" t="s">
        <v>130</v>
      </c>
      <c r="F2028" s="21" t="s">
        <v>856</v>
      </c>
      <c r="G2028" s="21" t="s">
        <v>857</v>
      </c>
      <c r="H2028" s="21" t="s">
        <v>1187</v>
      </c>
      <c r="I2028" s="21" t="s">
        <v>1188</v>
      </c>
      <c r="J2028" s="21" t="s">
        <v>1000</v>
      </c>
      <c r="K2028" s="21" t="s">
        <v>1039</v>
      </c>
      <c r="L2028" s="21" t="s">
        <v>1139</v>
      </c>
      <c r="M2028" s="21" t="s">
        <v>12</v>
      </c>
      <c r="N2028" s="54">
        <v>30000</v>
      </c>
      <c r="O2028" s="54">
        <v>0</v>
      </c>
      <c r="P2028" s="54">
        <v>0</v>
      </c>
      <c r="Q2028" s="54">
        <v>30000</v>
      </c>
      <c r="R2028" s="54">
        <v>0</v>
      </c>
      <c r="S2028" s="54">
        <v>0</v>
      </c>
      <c r="T2028" s="54">
        <v>0</v>
      </c>
      <c r="U2028" s="54">
        <v>30000</v>
      </c>
      <c r="V2028" s="54">
        <v>30000</v>
      </c>
      <c r="W2028" s="54">
        <v>30000</v>
      </c>
    </row>
    <row r="2029" spans="1:23" outlineLevel="2" x14ac:dyDescent="0.2">
      <c r="A2029" s="21" t="s">
        <v>999</v>
      </c>
      <c r="B2029" s="21" t="s">
        <v>39</v>
      </c>
      <c r="C2029" s="21" t="s">
        <v>58</v>
      </c>
      <c r="D2029" s="21" t="s">
        <v>147</v>
      </c>
      <c r="E2029" s="21" t="s">
        <v>148</v>
      </c>
      <c r="F2029" s="21" t="s">
        <v>856</v>
      </c>
      <c r="G2029" s="21" t="s">
        <v>857</v>
      </c>
      <c r="H2029" s="21" t="s">
        <v>1187</v>
      </c>
      <c r="I2029" s="21" t="s">
        <v>1188</v>
      </c>
      <c r="J2029" s="21" t="s">
        <v>1000</v>
      </c>
      <c r="K2029" s="21" t="s">
        <v>1068</v>
      </c>
      <c r="L2029" s="21" t="s">
        <v>1189</v>
      </c>
      <c r="M2029" s="21" t="s">
        <v>12</v>
      </c>
      <c r="N2029" s="54">
        <v>1750</v>
      </c>
      <c r="O2029" s="54">
        <v>0</v>
      </c>
      <c r="P2029" s="54">
        <v>0</v>
      </c>
      <c r="Q2029" s="54">
        <v>1750</v>
      </c>
      <c r="R2029" s="54">
        <v>204.4</v>
      </c>
      <c r="S2029" s="54">
        <v>495.6</v>
      </c>
      <c r="T2029" s="54">
        <v>495.6</v>
      </c>
      <c r="U2029" s="54">
        <v>1254.4000000000001</v>
      </c>
      <c r="V2029" s="54">
        <v>1254.4000000000001</v>
      </c>
      <c r="W2029" s="54">
        <v>1050</v>
      </c>
    </row>
    <row r="2030" spans="1:23" outlineLevel="2" x14ac:dyDescent="0.2">
      <c r="A2030" s="21" t="s">
        <v>999</v>
      </c>
      <c r="B2030" s="21" t="s">
        <v>39</v>
      </c>
      <c r="C2030" s="21" t="s">
        <v>58</v>
      </c>
      <c r="D2030" s="21" t="s">
        <v>59</v>
      </c>
      <c r="E2030" s="21" t="s">
        <v>60</v>
      </c>
      <c r="F2030" s="21" t="s">
        <v>856</v>
      </c>
      <c r="G2030" s="21" t="s">
        <v>857</v>
      </c>
      <c r="H2030" s="21" t="s">
        <v>1187</v>
      </c>
      <c r="I2030" s="21" t="s">
        <v>1188</v>
      </c>
      <c r="J2030" s="21" t="s">
        <v>1000</v>
      </c>
      <c r="K2030" s="21" t="s">
        <v>1068</v>
      </c>
      <c r="L2030" s="21" t="s">
        <v>1189</v>
      </c>
      <c r="M2030" s="21" t="s">
        <v>12</v>
      </c>
      <c r="N2030" s="54">
        <v>2000</v>
      </c>
      <c r="O2030" s="54">
        <v>0</v>
      </c>
      <c r="P2030" s="54">
        <v>0</v>
      </c>
      <c r="Q2030" s="54">
        <v>2000</v>
      </c>
      <c r="R2030" s="54">
        <v>0</v>
      </c>
      <c r="S2030" s="54">
        <v>0</v>
      </c>
      <c r="T2030" s="54">
        <v>0</v>
      </c>
      <c r="U2030" s="54">
        <v>2000</v>
      </c>
      <c r="V2030" s="54">
        <v>2000</v>
      </c>
      <c r="W2030" s="54">
        <v>2000</v>
      </c>
    </row>
    <row r="2031" spans="1:23" outlineLevel="2" x14ac:dyDescent="0.2">
      <c r="A2031" s="21" t="s">
        <v>999</v>
      </c>
      <c r="B2031" s="21" t="s">
        <v>39</v>
      </c>
      <c r="C2031" s="21" t="s">
        <v>58</v>
      </c>
      <c r="D2031" s="21" t="s">
        <v>129</v>
      </c>
      <c r="E2031" s="21" t="s">
        <v>130</v>
      </c>
      <c r="F2031" s="21" t="s">
        <v>856</v>
      </c>
      <c r="G2031" s="21" t="s">
        <v>857</v>
      </c>
      <c r="H2031" s="21" t="s">
        <v>1187</v>
      </c>
      <c r="I2031" s="21" t="s">
        <v>1188</v>
      </c>
      <c r="J2031" s="21" t="s">
        <v>1000</v>
      </c>
      <c r="K2031" s="21" t="s">
        <v>1090</v>
      </c>
      <c r="L2031" s="21" t="s">
        <v>1141</v>
      </c>
      <c r="M2031" s="21" t="s">
        <v>12</v>
      </c>
      <c r="N2031" s="54">
        <v>10000</v>
      </c>
      <c r="O2031" s="54">
        <v>0</v>
      </c>
      <c r="P2031" s="54">
        <v>0</v>
      </c>
      <c r="Q2031" s="54">
        <v>10000</v>
      </c>
      <c r="R2031" s="54">
        <v>0</v>
      </c>
      <c r="S2031" s="54">
        <v>5415.2</v>
      </c>
      <c r="T2031" s="54">
        <v>2335.1999999999998</v>
      </c>
      <c r="U2031" s="54">
        <v>4584.8</v>
      </c>
      <c r="V2031" s="54">
        <v>7664.8</v>
      </c>
      <c r="W2031" s="54">
        <v>4584.8</v>
      </c>
    </row>
    <row r="2032" spans="1:23" outlineLevel="2" x14ac:dyDescent="0.2">
      <c r="A2032" s="21" t="s">
        <v>999</v>
      </c>
      <c r="B2032" s="21" t="s">
        <v>31</v>
      </c>
      <c r="C2032" s="21" t="s">
        <v>107</v>
      </c>
      <c r="D2032" s="21" t="s">
        <v>108</v>
      </c>
      <c r="E2032" s="21" t="s">
        <v>109</v>
      </c>
      <c r="F2032" s="21" t="s">
        <v>856</v>
      </c>
      <c r="G2032" s="21" t="s">
        <v>857</v>
      </c>
      <c r="H2032" s="21" t="s">
        <v>1187</v>
      </c>
      <c r="I2032" s="21" t="s">
        <v>1188</v>
      </c>
      <c r="J2032" s="21" t="s">
        <v>1000</v>
      </c>
      <c r="K2032" s="21" t="s">
        <v>1003</v>
      </c>
      <c r="L2032" s="21" t="s">
        <v>1148</v>
      </c>
      <c r="M2032" s="21" t="s">
        <v>12</v>
      </c>
      <c r="N2032" s="54">
        <v>60000</v>
      </c>
      <c r="O2032" s="54">
        <v>-7000</v>
      </c>
      <c r="P2032" s="54">
        <v>0</v>
      </c>
      <c r="Q2032" s="54">
        <v>53000</v>
      </c>
      <c r="R2032" s="54">
        <v>0</v>
      </c>
      <c r="S2032" s="54">
        <v>0</v>
      </c>
      <c r="T2032" s="54">
        <v>0</v>
      </c>
      <c r="U2032" s="54">
        <v>53000</v>
      </c>
      <c r="V2032" s="54">
        <v>53000</v>
      </c>
      <c r="W2032" s="54">
        <v>53000</v>
      </c>
    </row>
    <row r="2033" spans="1:23" outlineLevel="2" x14ac:dyDescent="0.2">
      <c r="A2033" s="21" t="s">
        <v>999</v>
      </c>
      <c r="B2033" s="21" t="s">
        <v>31</v>
      </c>
      <c r="C2033" s="21" t="s">
        <v>107</v>
      </c>
      <c r="D2033" s="21" t="s">
        <v>108</v>
      </c>
      <c r="E2033" s="21" t="s">
        <v>109</v>
      </c>
      <c r="F2033" s="21" t="s">
        <v>856</v>
      </c>
      <c r="G2033" s="21" t="s">
        <v>857</v>
      </c>
      <c r="H2033" s="21" t="s">
        <v>1187</v>
      </c>
      <c r="I2033" s="21" t="s">
        <v>1188</v>
      </c>
      <c r="J2033" s="21" t="s">
        <v>1000</v>
      </c>
      <c r="K2033" s="21" t="s">
        <v>1009</v>
      </c>
      <c r="L2033" s="21" t="s">
        <v>1156</v>
      </c>
      <c r="M2033" s="21" t="s">
        <v>12</v>
      </c>
      <c r="N2033" s="54">
        <v>8000</v>
      </c>
      <c r="O2033" s="54">
        <v>0</v>
      </c>
      <c r="P2033" s="54">
        <v>0</v>
      </c>
      <c r="Q2033" s="54">
        <v>8000</v>
      </c>
      <c r="R2033" s="54">
        <v>0</v>
      </c>
      <c r="S2033" s="54">
        <v>0</v>
      </c>
      <c r="T2033" s="54">
        <v>0</v>
      </c>
      <c r="U2033" s="54">
        <v>8000</v>
      </c>
      <c r="V2033" s="54">
        <v>8000</v>
      </c>
      <c r="W2033" s="54">
        <v>8000</v>
      </c>
    </row>
    <row r="2034" spans="1:23" outlineLevel="2" x14ac:dyDescent="0.2">
      <c r="A2034" s="21" t="s">
        <v>999</v>
      </c>
      <c r="B2034" s="21" t="s">
        <v>31</v>
      </c>
      <c r="C2034" s="21" t="s">
        <v>107</v>
      </c>
      <c r="D2034" s="21" t="s">
        <v>108</v>
      </c>
      <c r="E2034" s="21" t="s">
        <v>109</v>
      </c>
      <c r="F2034" s="21" t="s">
        <v>856</v>
      </c>
      <c r="G2034" s="21" t="s">
        <v>857</v>
      </c>
      <c r="H2034" s="21" t="s">
        <v>1187</v>
      </c>
      <c r="I2034" s="21" t="s">
        <v>1188</v>
      </c>
      <c r="J2034" s="21" t="s">
        <v>1000</v>
      </c>
      <c r="K2034" s="21" t="s">
        <v>1071</v>
      </c>
      <c r="L2034" s="21" t="s">
        <v>1142</v>
      </c>
      <c r="M2034" s="21" t="s">
        <v>12</v>
      </c>
      <c r="N2034" s="54">
        <v>113000</v>
      </c>
      <c r="O2034" s="54">
        <v>-89000</v>
      </c>
      <c r="P2034" s="54">
        <v>0</v>
      </c>
      <c r="Q2034" s="54">
        <v>24000</v>
      </c>
      <c r="R2034" s="54">
        <v>0</v>
      </c>
      <c r="S2034" s="54">
        <v>0</v>
      </c>
      <c r="T2034" s="54">
        <v>0</v>
      </c>
      <c r="U2034" s="54">
        <v>24000</v>
      </c>
      <c r="V2034" s="54">
        <v>24000</v>
      </c>
      <c r="W2034" s="54">
        <v>24000</v>
      </c>
    </row>
    <row r="2035" spans="1:23" outlineLevel="2" x14ac:dyDescent="0.2">
      <c r="A2035" s="21" t="s">
        <v>999</v>
      </c>
      <c r="B2035" s="21" t="s">
        <v>39</v>
      </c>
      <c r="C2035" s="21" t="s">
        <v>58</v>
      </c>
      <c r="D2035" s="21" t="s">
        <v>59</v>
      </c>
      <c r="E2035" s="21" t="s">
        <v>60</v>
      </c>
      <c r="F2035" s="21" t="s">
        <v>856</v>
      </c>
      <c r="G2035" s="21" t="s">
        <v>857</v>
      </c>
      <c r="H2035" s="21" t="s">
        <v>1187</v>
      </c>
      <c r="I2035" s="21" t="s">
        <v>1188</v>
      </c>
      <c r="J2035" s="21" t="s">
        <v>1000</v>
      </c>
      <c r="K2035" s="21" t="s">
        <v>1011</v>
      </c>
      <c r="L2035" s="21" t="s">
        <v>1190</v>
      </c>
      <c r="M2035" s="21" t="s">
        <v>12</v>
      </c>
      <c r="N2035" s="54">
        <v>2000</v>
      </c>
      <c r="O2035" s="54">
        <v>0</v>
      </c>
      <c r="P2035" s="54">
        <v>0</v>
      </c>
      <c r="Q2035" s="54">
        <v>2000</v>
      </c>
      <c r="R2035" s="54">
        <v>0</v>
      </c>
      <c r="S2035" s="54">
        <v>0</v>
      </c>
      <c r="T2035" s="54">
        <v>0</v>
      </c>
      <c r="U2035" s="54">
        <v>2000</v>
      </c>
      <c r="V2035" s="54">
        <v>2000</v>
      </c>
      <c r="W2035" s="54">
        <v>2000</v>
      </c>
    </row>
    <row r="2036" spans="1:23" outlineLevel="2" x14ac:dyDescent="0.2">
      <c r="A2036" s="21" t="s">
        <v>999</v>
      </c>
      <c r="B2036" s="21" t="s">
        <v>39</v>
      </c>
      <c r="C2036" s="21" t="s">
        <v>58</v>
      </c>
      <c r="D2036" s="21" t="s">
        <v>59</v>
      </c>
      <c r="E2036" s="21" t="s">
        <v>60</v>
      </c>
      <c r="F2036" s="21" t="s">
        <v>856</v>
      </c>
      <c r="G2036" s="21" t="s">
        <v>857</v>
      </c>
      <c r="H2036" s="21" t="s">
        <v>1187</v>
      </c>
      <c r="I2036" s="21" t="s">
        <v>1188</v>
      </c>
      <c r="J2036" s="21" t="s">
        <v>1000</v>
      </c>
      <c r="K2036" s="21" t="s">
        <v>1017</v>
      </c>
      <c r="L2036" s="21" t="s">
        <v>1191</v>
      </c>
      <c r="M2036" s="21" t="s">
        <v>12</v>
      </c>
      <c r="N2036" s="54">
        <v>0</v>
      </c>
      <c r="O2036" s="54">
        <v>8300</v>
      </c>
      <c r="P2036" s="54">
        <v>0</v>
      </c>
      <c r="Q2036" s="54">
        <v>8300</v>
      </c>
      <c r="R2036" s="54">
        <v>0</v>
      </c>
      <c r="S2036" s="54">
        <v>0</v>
      </c>
      <c r="T2036" s="54">
        <v>0</v>
      </c>
      <c r="U2036" s="54">
        <v>8300</v>
      </c>
      <c r="V2036" s="54">
        <v>8300</v>
      </c>
      <c r="W2036" s="54">
        <v>8300</v>
      </c>
    </row>
    <row r="2037" spans="1:23" outlineLevel="2" x14ac:dyDescent="0.2">
      <c r="A2037" s="21" t="s">
        <v>999</v>
      </c>
      <c r="B2037" s="21" t="s">
        <v>31</v>
      </c>
      <c r="C2037" s="21" t="s">
        <v>107</v>
      </c>
      <c r="D2037" s="21" t="s">
        <v>108</v>
      </c>
      <c r="E2037" s="21" t="s">
        <v>109</v>
      </c>
      <c r="F2037" s="21" t="s">
        <v>856</v>
      </c>
      <c r="G2037" s="21" t="s">
        <v>857</v>
      </c>
      <c r="H2037" s="21" t="s">
        <v>1187</v>
      </c>
      <c r="I2037" s="21" t="s">
        <v>1188</v>
      </c>
      <c r="J2037" s="21" t="s">
        <v>1000</v>
      </c>
      <c r="K2037" s="21" t="s">
        <v>1017</v>
      </c>
      <c r="L2037" s="21" t="s">
        <v>1151</v>
      </c>
      <c r="M2037" s="21" t="s">
        <v>12</v>
      </c>
      <c r="N2037" s="54">
        <v>24000</v>
      </c>
      <c r="O2037" s="54">
        <v>-14000</v>
      </c>
      <c r="P2037" s="54">
        <v>0</v>
      </c>
      <c r="Q2037" s="54">
        <v>10000</v>
      </c>
      <c r="R2037" s="54">
        <v>0</v>
      </c>
      <c r="S2037" s="54">
        <v>0</v>
      </c>
      <c r="T2037" s="54">
        <v>0</v>
      </c>
      <c r="U2037" s="54">
        <v>10000</v>
      </c>
      <c r="V2037" s="54">
        <v>10000</v>
      </c>
      <c r="W2037" s="54">
        <v>10000</v>
      </c>
    </row>
    <row r="2038" spans="1:23" outlineLevel="2" x14ac:dyDescent="0.2">
      <c r="A2038" s="21" t="s">
        <v>999</v>
      </c>
      <c r="B2038" s="21" t="s">
        <v>39</v>
      </c>
      <c r="C2038" s="21" t="s">
        <v>58</v>
      </c>
      <c r="D2038" s="21" t="s">
        <v>145</v>
      </c>
      <c r="E2038" s="21" t="s">
        <v>146</v>
      </c>
      <c r="F2038" s="21" t="s">
        <v>856</v>
      </c>
      <c r="G2038" s="21" t="s">
        <v>857</v>
      </c>
      <c r="H2038" s="21" t="s">
        <v>1187</v>
      </c>
      <c r="I2038" s="21" t="s">
        <v>1188</v>
      </c>
      <c r="J2038" s="21" t="s">
        <v>1000</v>
      </c>
      <c r="K2038" s="21" t="s">
        <v>1078</v>
      </c>
      <c r="L2038" s="21" t="s">
        <v>1192</v>
      </c>
      <c r="M2038" s="21" t="s">
        <v>12</v>
      </c>
      <c r="N2038" s="54">
        <v>6000</v>
      </c>
      <c r="O2038" s="54">
        <v>0</v>
      </c>
      <c r="P2038" s="54">
        <v>0</v>
      </c>
      <c r="Q2038" s="54">
        <v>6000</v>
      </c>
      <c r="R2038" s="54">
        <v>0</v>
      </c>
      <c r="S2038" s="54">
        <v>0</v>
      </c>
      <c r="T2038" s="54">
        <v>0</v>
      </c>
      <c r="U2038" s="54">
        <v>6000</v>
      </c>
      <c r="V2038" s="54">
        <v>6000</v>
      </c>
      <c r="W2038" s="54">
        <v>6000</v>
      </c>
    </row>
    <row r="2039" spans="1:23" outlineLevel="2" x14ac:dyDescent="0.2">
      <c r="A2039" s="21" t="s">
        <v>999</v>
      </c>
      <c r="B2039" s="21" t="s">
        <v>39</v>
      </c>
      <c r="C2039" s="21" t="s">
        <v>58</v>
      </c>
      <c r="D2039" s="21" t="s">
        <v>59</v>
      </c>
      <c r="E2039" s="21" t="s">
        <v>60</v>
      </c>
      <c r="F2039" s="21" t="s">
        <v>856</v>
      </c>
      <c r="G2039" s="21" t="s">
        <v>857</v>
      </c>
      <c r="H2039" s="21" t="s">
        <v>1187</v>
      </c>
      <c r="I2039" s="21" t="s">
        <v>1188</v>
      </c>
      <c r="J2039" s="21" t="s">
        <v>1000</v>
      </c>
      <c r="K2039" s="21" t="s">
        <v>1078</v>
      </c>
      <c r="L2039" s="21" t="s">
        <v>1192</v>
      </c>
      <c r="M2039" s="21" t="s">
        <v>12</v>
      </c>
      <c r="N2039" s="54">
        <v>2000</v>
      </c>
      <c r="O2039" s="54">
        <v>0</v>
      </c>
      <c r="P2039" s="54">
        <v>0</v>
      </c>
      <c r="Q2039" s="54">
        <v>2000</v>
      </c>
      <c r="R2039" s="54">
        <v>0</v>
      </c>
      <c r="S2039" s="54">
        <v>0</v>
      </c>
      <c r="T2039" s="54">
        <v>0</v>
      </c>
      <c r="U2039" s="54">
        <v>2000</v>
      </c>
      <c r="V2039" s="54">
        <v>2000</v>
      </c>
      <c r="W2039" s="54">
        <v>2000</v>
      </c>
    </row>
    <row r="2040" spans="1:23" outlineLevel="2" x14ac:dyDescent="0.2">
      <c r="A2040" s="21" t="s">
        <v>999</v>
      </c>
      <c r="B2040" s="21" t="s">
        <v>31</v>
      </c>
      <c r="C2040" s="21" t="s">
        <v>107</v>
      </c>
      <c r="D2040" s="21" t="s">
        <v>108</v>
      </c>
      <c r="E2040" s="21" t="s">
        <v>109</v>
      </c>
      <c r="F2040" s="21" t="s">
        <v>856</v>
      </c>
      <c r="G2040" s="21" t="s">
        <v>857</v>
      </c>
      <c r="H2040" s="21" t="s">
        <v>1187</v>
      </c>
      <c r="I2040" s="21" t="s">
        <v>1188</v>
      </c>
      <c r="J2040" s="21" t="s">
        <v>1000</v>
      </c>
      <c r="K2040" s="21" t="s">
        <v>1082</v>
      </c>
      <c r="L2040" s="21" t="s">
        <v>1159</v>
      </c>
      <c r="M2040" s="21" t="s">
        <v>12</v>
      </c>
      <c r="N2040" s="54">
        <v>3000</v>
      </c>
      <c r="O2040" s="54">
        <v>0</v>
      </c>
      <c r="P2040" s="54">
        <v>0</v>
      </c>
      <c r="Q2040" s="54">
        <v>3000</v>
      </c>
      <c r="R2040" s="54">
        <v>0</v>
      </c>
      <c r="S2040" s="54">
        <v>0</v>
      </c>
      <c r="T2040" s="54">
        <v>0</v>
      </c>
      <c r="U2040" s="54">
        <v>3000</v>
      </c>
      <c r="V2040" s="54">
        <v>3000</v>
      </c>
      <c r="W2040" s="54">
        <v>3000</v>
      </c>
    </row>
    <row r="2041" spans="1:23" outlineLevel="2" x14ac:dyDescent="0.2">
      <c r="A2041" s="21" t="s">
        <v>999</v>
      </c>
      <c r="B2041" s="21" t="s">
        <v>39</v>
      </c>
      <c r="C2041" s="21" t="s">
        <v>58</v>
      </c>
      <c r="D2041" s="21" t="s">
        <v>59</v>
      </c>
      <c r="E2041" s="21" t="s">
        <v>60</v>
      </c>
      <c r="F2041" s="21" t="s">
        <v>856</v>
      </c>
      <c r="G2041" s="21" t="s">
        <v>857</v>
      </c>
      <c r="H2041" s="21" t="s">
        <v>1187</v>
      </c>
      <c r="I2041" s="21" t="s">
        <v>1188</v>
      </c>
      <c r="J2041" s="21" t="s">
        <v>1000</v>
      </c>
      <c r="K2041" s="21" t="s">
        <v>1084</v>
      </c>
      <c r="L2041" s="21" t="s">
        <v>1193</v>
      </c>
      <c r="M2041" s="21" t="s">
        <v>12</v>
      </c>
      <c r="N2041" s="54">
        <v>3000</v>
      </c>
      <c r="O2041" s="54">
        <v>0</v>
      </c>
      <c r="P2041" s="54">
        <v>0</v>
      </c>
      <c r="Q2041" s="54">
        <v>3000</v>
      </c>
      <c r="R2041" s="54">
        <v>0</v>
      </c>
      <c r="S2041" s="54">
        <v>0</v>
      </c>
      <c r="T2041" s="54">
        <v>0</v>
      </c>
      <c r="U2041" s="54">
        <v>3000</v>
      </c>
      <c r="V2041" s="54">
        <v>3000</v>
      </c>
      <c r="W2041" s="54">
        <v>3000</v>
      </c>
    </row>
    <row r="2042" spans="1:23" outlineLevel="2" x14ac:dyDescent="0.2">
      <c r="A2042" s="21" t="s">
        <v>999</v>
      </c>
      <c r="B2042" s="21" t="s">
        <v>31</v>
      </c>
      <c r="C2042" s="21" t="s">
        <v>107</v>
      </c>
      <c r="D2042" s="21" t="s">
        <v>108</v>
      </c>
      <c r="E2042" s="21" t="s">
        <v>109</v>
      </c>
      <c r="F2042" s="21" t="s">
        <v>856</v>
      </c>
      <c r="G2042" s="21" t="s">
        <v>857</v>
      </c>
      <c r="H2042" s="21" t="s">
        <v>1187</v>
      </c>
      <c r="I2042" s="21" t="s">
        <v>1188</v>
      </c>
      <c r="J2042" s="21" t="s">
        <v>1000</v>
      </c>
      <c r="K2042" s="21" t="s">
        <v>1194</v>
      </c>
      <c r="L2042" s="21" t="s">
        <v>1195</v>
      </c>
      <c r="M2042" s="21" t="s">
        <v>12</v>
      </c>
      <c r="N2042" s="54">
        <v>10000</v>
      </c>
      <c r="O2042" s="54">
        <v>0</v>
      </c>
      <c r="P2042" s="54">
        <v>0</v>
      </c>
      <c r="Q2042" s="54">
        <v>10000</v>
      </c>
      <c r="R2042" s="54">
        <v>0.43</v>
      </c>
      <c r="S2042" s="54">
        <v>7799.56</v>
      </c>
      <c r="T2042" s="54">
        <v>0</v>
      </c>
      <c r="U2042" s="54">
        <v>2200.44</v>
      </c>
      <c r="V2042" s="54">
        <v>10000</v>
      </c>
      <c r="W2042" s="54">
        <v>2200.0100000000002</v>
      </c>
    </row>
    <row r="2043" spans="1:23" outlineLevel="2" x14ac:dyDescent="0.2">
      <c r="A2043" s="21" t="s">
        <v>999</v>
      </c>
      <c r="B2043" s="21" t="s">
        <v>31</v>
      </c>
      <c r="C2043" s="21" t="s">
        <v>107</v>
      </c>
      <c r="D2043" s="21" t="s">
        <v>108</v>
      </c>
      <c r="E2043" s="21" t="s">
        <v>109</v>
      </c>
      <c r="F2043" s="21" t="s">
        <v>856</v>
      </c>
      <c r="G2043" s="21" t="s">
        <v>857</v>
      </c>
      <c r="H2043" s="21" t="s">
        <v>1187</v>
      </c>
      <c r="I2043" s="21" t="s">
        <v>1188</v>
      </c>
      <c r="J2043" s="21" t="s">
        <v>1000</v>
      </c>
      <c r="K2043" s="21" t="s">
        <v>1120</v>
      </c>
      <c r="L2043" s="21" t="s">
        <v>1182</v>
      </c>
      <c r="M2043" s="21" t="s">
        <v>12</v>
      </c>
      <c r="N2043" s="54">
        <v>2000</v>
      </c>
      <c r="O2043" s="54">
        <v>0</v>
      </c>
      <c r="P2043" s="54">
        <v>0</v>
      </c>
      <c r="Q2043" s="54">
        <v>2000</v>
      </c>
      <c r="R2043" s="54">
        <v>0</v>
      </c>
      <c r="S2043" s="54">
        <v>0</v>
      </c>
      <c r="T2043" s="54">
        <v>0</v>
      </c>
      <c r="U2043" s="54">
        <v>2000</v>
      </c>
      <c r="V2043" s="54">
        <v>2000</v>
      </c>
      <c r="W2043" s="54">
        <v>2000</v>
      </c>
    </row>
    <row r="2044" spans="1:23" outlineLevel="2" x14ac:dyDescent="0.2">
      <c r="A2044" s="21" t="s">
        <v>999</v>
      </c>
      <c r="B2044" s="21" t="s">
        <v>53</v>
      </c>
      <c r="C2044" s="21" t="s">
        <v>54</v>
      </c>
      <c r="D2044" s="21" t="s">
        <v>55</v>
      </c>
      <c r="E2044" s="21" t="s">
        <v>56</v>
      </c>
      <c r="F2044" s="21" t="s">
        <v>1196</v>
      </c>
      <c r="G2044" s="21" t="s">
        <v>1197</v>
      </c>
      <c r="H2044" s="21" t="s">
        <v>1198</v>
      </c>
      <c r="I2044" s="21" t="s">
        <v>1199</v>
      </c>
      <c r="J2044" s="21" t="s">
        <v>1000</v>
      </c>
      <c r="K2044" s="21" t="s">
        <v>1013</v>
      </c>
      <c r="L2044" s="21" t="s">
        <v>1201</v>
      </c>
      <c r="M2044" s="21" t="s">
        <v>12</v>
      </c>
      <c r="N2044" s="54">
        <v>0</v>
      </c>
      <c r="O2044" s="54">
        <v>4188</v>
      </c>
      <c r="P2044" s="54">
        <v>0</v>
      </c>
      <c r="Q2044" s="54">
        <v>4188</v>
      </c>
      <c r="R2044" s="54">
        <v>2688</v>
      </c>
      <c r="S2044" s="54">
        <v>0</v>
      </c>
      <c r="T2044" s="54">
        <v>0</v>
      </c>
      <c r="U2044" s="54">
        <v>4188</v>
      </c>
      <c r="V2044" s="54">
        <v>4188</v>
      </c>
      <c r="W2044" s="54">
        <v>1500</v>
      </c>
    </row>
    <row r="2045" spans="1:23" outlineLevel="2" x14ac:dyDescent="0.2">
      <c r="A2045" s="21" t="s">
        <v>999</v>
      </c>
      <c r="B2045" s="21" t="s">
        <v>53</v>
      </c>
      <c r="C2045" s="21" t="s">
        <v>54</v>
      </c>
      <c r="D2045" s="21" t="s">
        <v>55</v>
      </c>
      <c r="E2045" s="21" t="s">
        <v>56</v>
      </c>
      <c r="F2045" s="21" t="s">
        <v>1196</v>
      </c>
      <c r="G2045" s="21" t="s">
        <v>1197</v>
      </c>
      <c r="H2045" s="21" t="s">
        <v>1202</v>
      </c>
      <c r="I2045" s="21" t="s">
        <v>1203</v>
      </c>
      <c r="J2045" s="21" t="s">
        <v>1000</v>
      </c>
      <c r="K2045" s="21" t="s">
        <v>1104</v>
      </c>
      <c r="L2045" s="21" t="s">
        <v>1204</v>
      </c>
      <c r="M2045" s="21" t="s">
        <v>12</v>
      </c>
      <c r="N2045" s="54">
        <v>0</v>
      </c>
      <c r="O2045" s="54">
        <v>5336</v>
      </c>
      <c r="P2045" s="54">
        <v>0</v>
      </c>
      <c r="Q2045" s="54">
        <v>5336</v>
      </c>
      <c r="R2045" s="54">
        <v>0</v>
      </c>
      <c r="S2045" s="54">
        <v>4790.24</v>
      </c>
      <c r="T2045" s="54">
        <v>3688.54</v>
      </c>
      <c r="U2045" s="54">
        <v>545.76</v>
      </c>
      <c r="V2045" s="54">
        <v>1647.46</v>
      </c>
      <c r="W2045" s="54">
        <v>545.76</v>
      </c>
    </row>
    <row r="2046" spans="1:23" outlineLevel="2" x14ac:dyDescent="0.2">
      <c r="A2046" s="21" t="s">
        <v>999</v>
      </c>
      <c r="B2046" s="21" t="s">
        <v>53</v>
      </c>
      <c r="C2046" s="21" t="s">
        <v>54</v>
      </c>
      <c r="D2046" s="21" t="s">
        <v>55</v>
      </c>
      <c r="E2046" s="21" t="s">
        <v>56</v>
      </c>
      <c r="F2046" s="21" t="s">
        <v>1196</v>
      </c>
      <c r="G2046" s="21" t="s">
        <v>1197</v>
      </c>
      <c r="H2046" s="21" t="s">
        <v>1202</v>
      </c>
      <c r="I2046" s="21" t="s">
        <v>1203</v>
      </c>
      <c r="J2046" s="21" t="s">
        <v>1000</v>
      </c>
      <c r="K2046" s="21" t="s">
        <v>1058</v>
      </c>
      <c r="L2046" s="21" t="s">
        <v>1205</v>
      </c>
      <c r="M2046" s="21" t="s">
        <v>12</v>
      </c>
      <c r="N2046" s="54">
        <v>255000</v>
      </c>
      <c r="O2046" s="54">
        <v>0</v>
      </c>
      <c r="P2046" s="54">
        <v>0</v>
      </c>
      <c r="Q2046" s="54">
        <v>255000</v>
      </c>
      <c r="R2046" s="54">
        <v>0</v>
      </c>
      <c r="S2046" s="54">
        <v>0</v>
      </c>
      <c r="T2046" s="54">
        <v>0</v>
      </c>
      <c r="U2046" s="54">
        <v>255000</v>
      </c>
      <c r="V2046" s="54">
        <v>255000</v>
      </c>
      <c r="W2046" s="54">
        <v>255000</v>
      </c>
    </row>
    <row r="2047" spans="1:23" outlineLevel="2" x14ac:dyDescent="0.2">
      <c r="A2047" s="21" t="s">
        <v>999</v>
      </c>
      <c r="B2047" s="21" t="s">
        <v>53</v>
      </c>
      <c r="C2047" s="21" t="s">
        <v>54</v>
      </c>
      <c r="D2047" s="21" t="s">
        <v>55</v>
      </c>
      <c r="E2047" s="21" t="s">
        <v>56</v>
      </c>
      <c r="F2047" s="21" t="s">
        <v>1196</v>
      </c>
      <c r="G2047" s="21" t="s">
        <v>1197</v>
      </c>
      <c r="H2047" s="21" t="s">
        <v>1202</v>
      </c>
      <c r="I2047" s="21" t="s">
        <v>1203</v>
      </c>
      <c r="J2047" s="21" t="s">
        <v>1000</v>
      </c>
      <c r="K2047" s="21" t="s">
        <v>1206</v>
      </c>
      <c r="L2047" s="21" t="s">
        <v>1207</v>
      </c>
      <c r="M2047" s="21" t="s">
        <v>12</v>
      </c>
      <c r="N2047" s="54">
        <v>15000</v>
      </c>
      <c r="O2047" s="54">
        <v>0</v>
      </c>
      <c r="P2047" s="54">
        <v>0</v>
      </c>
      <c r="Q2047" s="54">
        <v>15000</v>
      </c>
      <c r="R2047" s="54">
        <v>0</v>
      </c>
      <c r="S2047" s="54">
        <v>0</v>
      </c>
      <c r="T2047" s="54">
        <v>0</v>
      </c>
      <c r="U2047" s="54">
        <v>15000</v>
      </c>
      <c r="V2047" s="54">
        <v>15000</v>
      </c>
      <c r="W2047" s="54">
        <v>15000</v>
      </c>
    </row>
    <row r="2048" spans="1:23" outlineLevel="2" x14ac:dyDescent="0.2">
      <c r="A2048" s="21" t="s">
        <v>999</v>
      </c>
      <c r="B2048" s="21" t="s">
        <v>53</v>
      </c>
      <c r="C2048" s="21" t="s">
        <v>54</v>
      </c>
      <c r="D2048" s="21" t="s">
        <v>55</v>
      </c>
      <c r="E2048" s="21" t="s">
        <v>56</v>
      </c>
      <c r="F2048" s="21" t="s">
        <v>1196</v>
      </c>
      <c r="G2048" s="21" t="s">
        <v>1197</v>
      </c>
      <c r="H2048" s="21" t="s">
        <v>1202</v>
      </c>
      <c r="I2048" s="21" t="s">
        <v>1203</v>
      </c>
      <c r="J2048" s="21" t="s">
        <v>1000</v>
      </c>
      <c r="K2048" s="21" t="s">
        <v>1090</v>
      </c>
      <c r="L2048" s="21" t="s">
        <v>1208</v>
      </c>
      <c r="M2048" s="21" t="s">
        <v>12</v>
      </c>
      <c r="N2048" s="54">
        <v>100000</v>
      </c>
      <c r="O2048" s="54">
        <v>-100000</v>
      </c>
      <c r="P2048" s="54">
        <v>0</v>
      </c>
      <c r="Q2048" s="54">
        <v>0</v>
      </c>
      <c r="R2048" s="54">
        <v>0</v>
      </c>
      <c r="S2048" s="54">
        <v>0</v>
      </c>
      <c r="T2048" s="54">
        <v>0</v>
      </c>
      <c r="U2048" s="54">
        <v>0</v>
      </c>
      <c r="V2048" s="54">
        <v>0</v>
      </c>
      <c r="W2048" s="54">
        <v>0</v>
      </c>
    </row>
    <row r="2049" spans="1:23" outlineLevel="2" x14ac:dyDescent="0.2">
      <c r="A2049" s="21" t="s">
        <v>999</v>
      </c>
      <c r="B2049" s="21" t="s">
        <v>53</v>
      </c>
      <c r="C2049" s="21" t="s">
        <v>54</v>
      </c>
      <c r="D2049" s="21" t="s">
        <v>55</v>
      </c>
      <c r="E2049" s="21" t="s">
        <v>56</v>
      </c>
      <c r="F2049" s="21" t="s">
        <v>1196</v>
      </c>
      <c r="G2049" s="21" t="s">
        <v>1197</v>
      </c>
      <c r="H2049" s="21" t="s">
        <v>1202</v>
      </c>
      <c r="I2049" s="21" t="s">
        <v>1203</v>
      </c>
      <c r="J2049" s="21" t="s">
        <v>1000</v>
      </c>
      <c r="K2049" s="21" t="s">
        <v>1003</v>
      </c>
      <c r="L2049" s="21" t="s">
        <v>1200</v>
      </c>
      <c r="M2049" s="21" t="s">
        <v>12</v>
      </c>
      <c r="N2049" s="54">
        <v>50000</v>
      </c>
      <c r="O2049" s="54">
        <v>0</v>
      </c>
      <c r="P2049" s="54">
        <v>0</v>
      </c>
      <c r="Q2049" s="54">
        <v>50000</v>
      </c>
      <c r="R2049" s="54">
        <v>0</v>
      </c>
      <c r="S2049" s="54">
        <v>17663</v>
      </c>
      <c r="T2049" s="54">
        <v>0</v>
      </c>
      <c r="U2049" s="54">
        <v>32337</v>
      </c>
      <c r="V2049" s="54">
        <v>50000</v>
      </c>
      <c r="W2049" s="54">
        <v>32337</v>
      </c>
    </row>
    <row r="2050" spans="1:23" outlineLevel="2" x14ac:dyDescent="0.2">
      <c r="A2050" s="21" t="s">
        <v>999</v>
      </c>
      <c r="B2050" s="21" t="s">
        <v>53</v>
      </c>
      <c r="C2050" s="21" t="s">
        <v>54</v>
      </c>
      <c r="D2050" s="21" t="s">
        <v>55</v>
      </c>
      <c r="E2050" s="21" t="s">
        <v>56</v>
      </c>
      <c r="F2050" s="21" t="s">
        <v>1196</v>
      </c>
      <c r="G2050" s="21" t="s">
        <v>1197</v>
      </c>
      <c r="H2050" s="21" t="s">
        <v>1202</v>
      </c>
      <c r="I2050" s="21" t="s">
        <v>1203</v>
      </c>
      <c r="J2050" s="21" t="s">
        <v>1000</v>
      </c>
      <c r="K2050" s="21" t="s">
        <v>1009</v>
      </c>
      <c r="L2050" s="21" t="s">
        <v>1209</v>
      </c>
      <c r="M2050" s="21" t="s">
        <v>12</v>
      </c>
      <c r="N2050" s="54">
        <v>5000</v>
      </c>
      <c r="O2050" s="54">
        <v>0</v>
      </c>
      <c r="P2050" s="54">
        <v>0</v>
      </c>
      <c r="Q2050" s="54">
        <v>5000</v>
      </c>
      <c r="R2050" s="54">
        <v>4969.4399999999996</v>
      </c>
      <c r="S2050" s="54">
        <v>0</v>
      </c>
      <c r="T2050" s="54">
        <v>0</v>
      </c>
      <c r="U2050" s="54">
        <v>5000</v>
      </c>
      <c r="V2050" s="54">
        <v>5000</v>
      </c>
      <c r="W2050" s="54">
        <v>30.56</v>
      </c>
    </row>
    <row r="2051" spans="1:23" outlineLevel="2" x14ac:dyDescent="0.2">
      <c r="A2051" s="21" t="s">
        <v>999</v>
      </c>
      <c r="B2051" s="21" t="s">
        <v>53</v>
      </c>
      <c r="C2051" s="21" t="s">
        <v>54</v>
      </c>
      <c r="D2051" s="21" t="s">
        <v>55</v>
      </c>
      <c r="E2051" s="21" t="s">
        <v>56</v>
      </c>
      <c r="F2051" s="21" t="s">
        <v>1196</v>
      </c>
      <c r="G2051" s="21" t="s">
        <v>1197</v>
      </c>
      <c r="H2051" s="21" t="s">
        <v>1202</v>
      </c>
      <c r="I2051" s="21" t="s">
        <v>1203</v>
      </c>
      <c r="J2051" s="21" t="s">
        <v>1000</v>
      </c>
      <c r="K2051" s="21" t="s">
        <v>1013</v>
      </c>
      <c r="L2051" s="21" t="s">
        <v>1201</v>
      </c>
      <c r="M2051" s="21" t="s">
        <v>12</v>
      </c>
      <c r="N2051" s="54">
        <v>134000</v>
      </c>
      <c r="O2051" s="54">
        <v>0</v>
      </c>
      <c r="P2051" s="54">
        <v>0</v>
      </c>
      <c r="Q2051" s="54">
        <v>134000</v>
      </c>
      <c r="R2051" s="54">
        <v>0</v>
      </c>
      <c r="S2051" s="54">
        <v>0</v>
      </c>
      <c r="T2051" s="54">
        <v>0</v>
      </c>
      <c r="U2051" s="54">
        <v>134000</v>
      </c>
      <c r="V2051" s="54">
        <v>134000</v>
      </c>
      <c r="W2051" s="54">
        <v>134000</v>
      </c>
    </row>
    <row r="2052" spans="1:23" outlineLevel="2" x14ac:dyDescent="0.2">
      <c r="A2052" s="21" t="s">
        <v>999</v>
      </c>
      <c r="B2052" s="21" t="s">
        <v>53</v>
      </c>
      <c r="C2052" s="21" t="s">
        <v>54</v>
      </c>
      <c r="D2052" s="21" t="s">
        <v>55</v>
      </c>
      <c r="E2052" s="21" t="s">
        <v>56</v>
      </c>
      <c r="F2052" s="21" t="s">
        <v>1196</v>
      </c>
      <c r="G2052" s="21" t="s">
        <v>1197</v>
      </c>
      <c r="H2052" s="21" t="s">
        <v>1202</v>
      </c>
      <c r="I2052" s="21" t="s">
        <v>1203</v>
      </c>
      <c r="J2052" s="21" t="s">
        <v>1000</v>
      </c>
      <c r="K2052" s="21" t="s">
        <v>1078</v>
      </c>
      <c r="L2052" s="21" t="s">
        <v>1210</v>
      </c>
      <c r="M2052" s="21" t="s">
        <v>12</v>
      </c>
      <c r="N2052" s="54">
        <v>30000</v>
      </c>
      <c r="O2052" s="54">
        <v>0</v>
      </c>
      <c r="P2052" s="54">
        <v>0</v>
      </c>
      <c r="Q2052" s="54">
        <v>30000</v>
      </c>
      <c r="R2052" s="54">
        <v>0</v>
      </c>
      <c r="S2052" s="54">
        <v>0</v>
      </c>
      <c r="T2052" s="54">
        <v>0</v>
      </c>
      <c r="U2052" s="54">
        <v>30000</v>
      </c>
      <c r="V2052" s="54">
        <v>30000</v>
      </c>
      <c r="W2052" s="54">
        <v>30000</v>
      </c>
    </row>
    <row r="2053" spans="1:23" outlineLevel="2" x14ac:dyDescent="0.2">
      <c r="A2053" s="21" t="s">
        <v>999</v>
      </c>
      <c r="B2053" s="21" t="s">
        <v>53</v>
      </c>
      <c r="C2053" s="21" t="s">
        <v>54</v>
      </c>
      <c r="D2053" s="21" t="s">
        <v>55</v>
      </c>
      <c r="E2053" s="21" t="s">
        <v>56</v>
      </c>
      <c r="F2053" s="21" t="s">
        <v>1196</v>
      </c>
      <c r="G2053" s="21" t="s">
        <v>1197</v>
      </c>
      <c r="H2053" s="21" t="s">
        <v>1202</v>
      </c>
      <c r="I2053" s="21" t="s">
        <v>1203</v>
      </c>
      <c r="J2053" s="21" t="s">
        <v>1000</v>
      </c>
      <c r="K2053" s="21" t="s">
        <v>1031</v>
      </c>
      <c r="L2053" s="21" t="s">
        <v>1211</v>
      </c>
      <c r="M2053" s="21" t="s">
        <v>12</v>
      </c>
      <c r="N2053" s="54">
        <v>0</v>
      </c>
      <c r="O2053" s="54">
        <v>4032</v>
      </c>
      <c r="P2053" s="54">
        <v>0</v>
      </c>
      <c r="Q2053" s="54">
        <v>4032</v>
      </c>
      <c r="R2053" s="54">
        <v>0</v>
      </c>
      <c r="S2053" s="54">
        <v>0</v>
      </c>
      <c r="T2053" s="54">
        <v>0</v>
      </c>
      <c r="U2053" s="54">
        <v>4032</v>
      </c>
      <c r="V2053" s="54">
        <v>4032</v>
      </c>
      <c r="W2053" s="54">
        <v>4032</v>
      </c>
    </row>
    <row r="2054" spans="1:23" outlineLevel="2" x14ac:dyDescent="0.2">
      <c r="A2054" s="21" t="s">
        <v>999</v>
      </c>
      <c r="B2054" s="21" t="s">
        <v>53</v>
      </c>
      <c r="C2054" s="21" t="s">
        <v>54</v>
      </c>
      <c r="D2054" s="21" t="s">
        <v>55</v>
      </c>
      <c r="E2054" s="21" t="s">
        <v>56</v>
      </c>
      <c r="F2054" s="21" t="s">
        <v>1196</v>
      </c>
      <c r="G2054" s="21" t="s">
        <v>1197</v>
      </c>
      <c r="H2054" s="21" t="s">
        <v>1202</v>
      </c>
      <c r="I2054" s="21" t="s">
        <v>1203</v>
      </c>
      <c r="J2054" s="21" t="s">
        <v>1000</v>
      </c>
      <c r="K2054" s="21" t="s">
        <v>1061</v>
      </c>
      <c r="L2054" s="21" t="s">
        <v>1212</v>
      </c>
      <c r="M2054" s="21" t="s">
        <v>12</v>
      </c>
      <c r="N2054" s="54">
        <v>0</v>
      </c>
      <c r="O2054" s="54">
        <v>50000</v>
      </c>
      <c r="P2054" s="54">
        <v>0</v>
      </c>
      <c r="Q2054" s="54">
        <v>50000</v>
      </c>
      <c r="R2054" s="54">
        <v>10574.51</v>
      </c>
      <c r="S2054" s="54">
        <v>7425.49</v>
      </c>
      <c r="T2054" s="54">
        <v>4241.8900000000003</v>
      </c>
      <c r="U2054" s="54">
        <v>42574.51</v>
      </c>
      <c r="V2054" s="54">
        <v>45758.11</v>
      </c>
      <c r="W2054" s="54">
        <v>32000</v>
      </c>
    </row>
    <row r="2055" spans="1:23" outlineLevel="2" x14ac:dyDescent="0.2">
      <c r="A2055" s="21" t="s">
        <v>999</v>
      </c>
      <c r="B2055" s="21" t="s">
        <v>53</v>
      </c>
      <c r="C2055" s="21" t="s">
        <v>85</v>
      </c>
      <c r="D2055" s="21" t="s">
        <v>86</v>
      </c>
      <c r="E2055" s="21" t="s">
        <v>87</v>
      </c>
      <c r="F2055" s="21" t="s">
        <v>1215</v>
      </c>
      <c r="G2055" s="21" t="s">
        <v>1216</v>
      </c>
      <c r="H2055" s="21" t="s">
        <v>1217</v>
      </c>
      <c r="I2055" s="21" t="s">
        <v>1218</v>
      </c>
      <c r="J2055" s="21" t="s">
        <v>1000</v>
      </c>
      <c r="K2055" s="21" t="s">
        <v>1017</v>
      </c>
      <c r="L2055" s="21" t="s">
        <v>1219</v>
      </c>
      <c r="M2055" s="21" t="s">
        <v>12</v>
      </c>
      <c r="N2055" s="54">
        <v>6000</v>
      </c>
      <c r="O2055" s="54">
        <v>-6000</v>
      </c>
      <c r="P2055" s="54">
        <v>0</v>
      </c>
      <c r="Q2055" s="54">
        <v>0</v>
      </c>
      <c r="R2055" s="54">
        <v>0</v>
      </c>
      <c r="S2055" s="54">
        <v>0</v>
      </c>
      <c r="T2055" s="54">
        <v>0</v>
      </c>
      <c r="U2055" s="54">
        <v>0</v>
      </c>
      <c r="V2055" s="54">
        <v>0</v>
      </c>
      <c r="W2055" s="54">
        <v>0</v>
      </c>
    </row>
    <row r="2056" spans="1:23" outlineLevel="2" x14ac:dyDescent="0.2">
      <c r="A2056" s="21" t="s">
        <v>999</v>
      </c>
      <c r="B2056" s="21" t="s">
        <v>39</v>
      </c>
      <c r="C2056" s="21" t="s">
        <v>58</v>
      </c>
      <c r="D2056" s="21" t="s">
        <v>129</v>
      </c>
      <c r="E2056" s="21" t="s">
        <v>130</v>
      </c>
      <c r="F2056" s="21" t="s">
        <v>1220</v>
      </c>
      <c r="G2056" s="21" t="s">
        <v>1221</v>
      </c>
      <c r="H2056" s="21" t="s">
        <v>1222</v>
      </c>
      <c r="I2056" s="21" t="s">
        <v>1223</v>
      </c>
      <c r="J2056" s="21" t="s">
        <v>1000</v>
      </c>
      <c r="K2056" s="21" t="s">
        <v>1037</v>
      </c>
      <c r="L2056" s="21" t="s">
        <v>1224</v>
      </c>
      <c r="M2056" s="21" t="s">
        <v>12</v>
      </c>
      <c r="N2056" s="54">
        <v>2450</v>
      </c>
      <c r="O2056" s="54">
        <v>0</v>
      </c>
      <c r="P2056" s="54">
        <v>0</v>
      </c>
      <c r="Q2056" s="54">
        <v>2450</v>
      </c>
      <c r="R2056" s="54">
        <v>0</v>
      </c>
      <c r="S2056" s="54">
        <v>2450</v>
      </c>
      <c r="T2056" s="54">
        <v>2450</v>
      </c>
      <c r="U2056" s="54">
        <v>0</v>
      </c>
      <c r="V2056" s="54">
        <v>0</v>
      </c>
      <c r="W2056" s="54">
        <v>0</v>
      </c>
    </row>
    <row r="2057" spans="1:23" outlineLevel="2" x14ac:dyDescent="0.2">
      <c r="A2057" s="21" t="s">
        <v>999</v>
      </c>
      <c r="B2057" s="21" t="s">
        <v>39</v>
      </c>
      <c r="C2057" s="21" t="s">
        <v>58</v>
      </c>
      <c r="D2057" s="21" t="s">
        <v>147</v>
      </c>
      <c r="E2057" s="21" t="s">
        <v>148</v>
      </c>
      <c r="F2057" s="21" t="s">
        <v>1220</v>
      </c>
      <c r="G2057" s="21" t="s">
        <v>1221</v>
      </c>
      <c r="H2057" s="21" t="s">
        <v>1222</v>
      </c>
      <c r="I2057" s="21" t="s">
        <v>1223</v>
      </c>
      <c r="J2057" s="21" t="s">
        <v>1000</v>
      </c>
      <c r="K2057" s="21" t="s">
        <v>1037</v>
      </c>
      <c r="L2057" s="21" t="s">
        <v>1224</v>
      </c>
      <c r="M2057" s="21" t="s">
        <v>12</v>
      </c>
      <c r="N2057" s="54">
        <v>2000</v>
      </c>
      <c r="O2057" s="54">
        <v>0</v>
      </c>
      <c r="P2057" s="54">
        <v>0</v>
      </c>
      <c r="Q2057" s="54">
        <v>2000</v>
      </c>
      <c r="R2057" s="54">
        <v>0</v>
      </c>
      <c r="S2057" s="54">
        <v>0</v>
      </c>
      <c r="T2057" s="54">
        <v>0</v>
      </c>
      <c r="U2057" s="54">
        <v>2000</v>
      </c>
      <c r="V2057" s="54">
        <v>2000</v>
      </c>
      <c r="W2057" s="54">
        <v>2000</v>
      </c>
    </row>
    <row r="2058" spans="1:23" outlineLevel="2" x14ac:dyDescent="0.2">
      <c r="A2058" s="21" t="s">
        <v>999</v>
      </c>
      <c r="B2058" s="21" t="s">
        <v>39</v>
      </c>
      <c r="C2058" s="21" t="s">
        <v>58</v>
      </c>
      <c r="D2058" s="21" t="s">
        <v>145</v>
      </c>
      <c r="E2058" s="21" t="s">
        <v>146</v>
      </c>
      <c r="F2058" s="21" t="s">
        <v>1220</v>
      </c>
      <c r="G2058" s="21" t="s">
        <v>1221</v>
      </c>
      <c r="H2058" s="21" t="s">
        <v>1222</v>
      </c>
      <c r="I2058" s="21" t="s">
        <v>1223</v>
      </c>
      <c r="J2058" s="21" t="s">
        <v>1000</v>
      </c>
      <c r="K2058" s="21" t="s">
        <v>1037</v>
      </c>
      <c r="L2058" s="21" t="s">
        <v>1224</v>
      </c>
      <c r="M2058" s="21" t="s">
        <v>12</v>
      </c>
      <c r="N2058" s="54">
        <v>1500</v>
      </c>
      <c r="O2058" s="54">
        <v>0</v>
      </c>
      <c r="P2058" s="54">
        <v>0</v>
      </c>
      <c r="Q2058" s="54">
        <v>1500</v>
      </c>
      <c r="R2058" s="54">
        <v>0</v>
      </c>
      <c r="S2058" s="54">
        <v>0</v>
      </c>
      <c r="T2058" s="54">
        <v>0</v>
      </c>
      <c r="U2058" s="54">
        <v>1500</v>
      </c>
      <c r="V2058" s="54">
        <v>1500</v>
      </c>
      <c r="W2058" s="54">
        <v>1500</v>
      </c>
    </row>
    <row r="2059" spans="1:23" outlineLevel="2" x14ac:dyDescent="0.2">
      <c r="A2059" s="21" t="s">
        <v>999</v>
      </c>
      <c r="B2059" s="21" t="s">
        <v>39</v>
      </c>
      <c r="C2059" s="21" t="s">
        <v>58</v>
      </c>
      <c r="D2059" s="21" t="s">
        <v>135</v>
      </c>
      <c r="E2059" s="21" t="s">
        <v>136</v>
      </c>
      <c r="F2059" s="21" t="s">
        <v>1220</v>
      </c>
      <c r="G2059" s="21" t="s">
        <v>1221</v>
      </c>
      <c r="H2059" s="21" t="s">
        <v>1222</v>
      </c>
      <c r="I2059" s="21" t="s">
        <v>1223</v>
      </c>
      <c r="J2059" s="21" t="s">
        <v>1000</v>
      </c>
      <c r="K2059" s="21" t="s">
        <v>1037</v>
      </c>
      <c r="L2059" s="21" t="s">
        <v>1224</v>
      </c>
      <c r="M2059" s="21" t="s">
        <v>12</v>
      </c>
      <c r="N2059" s="54">
        <v>2014.23</v>
      </c>
      <c r="O2059" s="54">
        <v>0</v>
      </c>
      <c r="P2059" s="54">
        <v>0</v>
      </c>
      <c r="Q2059" s="54">
        <v>2014.23</v>
      </c>
      <c r="R2059" s="54">
        <v>0</v>
      </c>
      <c r="S2059" s="54">
        <v>0</v>
      </c>
      <c r="T2059" s="54">
        <v>0</v>
      </c>
      <c r="U2059" s="54">
        <v>2014.23</v>
      </c>
      <c r="V2059" s="54">
        <v>2014.23</v>
      </c>
      <c r="W2059" s="54">
        <v>2014.23</v>
      </c>
    </row>
    <row r="2060" spans="1:23" outlineLevel="2" x14ac:dyDescent="0.2">
      <c r="A2060" s="21" t="s">
        <v>999</v>
      </c>
      <c r="B2060" s="21" t="s">
        <v>39</v>
      </c>
      <c r="C2060" s="21" t="s">
        <v>58</v>
      </c>
      <c r="D2060" s="21" t="s">
        <v>59</v>
      </c>
      <c r="E2060" s="21" t="s">
        <v>60</v>
      </c>
      <c r="F2060" s="21" t="s">
        <v>1220</v>
      </c>
      <c r="G2060" s="21" t="s">
        <v>1221</v>
      </c>
      <c r="H2060" s="21" t="s">
        <v>1222</v>
      </c>
      <c r="I2060" s="21" t="s">
        <v>1223</v>
      </c>
      <c r="J2060" s="21" t="s">
        <v>1000</v>
      </c>
      <c r="K2060" s="21" t="s">
        <v>1037</v>
      </c>
      <c r="L2060" s="21" t="s">
        <v>1224</v>
      </c>
      <c r="M2060" s="21" t="s">
        <v>12</v>
      </c>
      <c r="N2060" s="54">
        <v>1000</v>
      </c>
      <c r="O2060" s="54">
        <v>0</v>
      </c>
      <c r="P2060" s="54">
        <v>0</v>
      </c>
      <c r="Q2060" s="54">
        <v>1000</v>
      </c>
      <c r="R2060" s="54">
        <v>0</v>
      </c>
      <c r="S2060" s="54">
        <v>0</v>
      </c>
      <c r="T2060" s="54">
        <v>0</v>
      </c>
      <c r="U2060" s="54">
        <v>1000</v>
      </c>
      <c r="V2060" s="54">
        <v>1000</v>
      </c>
      <c r="W2060" s="54">
        <v>1000</v>
      </c>
    </row>
    <row r="2061" spans="1:23" outlineLevel="2" x14ac:dyDescent="0.2">
      <c r="A2061" s="21" t="s">
        <v>999</v>
      </c>
      <c r="B2061" s="21" t="s">
        <v>39</v>
      </c>
      <c r="C2061" s="21" t="s">
        <v>58</v>
      </c>
      <c r="D2061" s="21" t="s">
        <v>149</v>
      </c>
      <c r="E2061" s="21" t="s">
        <v>150</v>
      </c>
      <c r="F2061" s="21" t="s">
        <v>1220</v>
      </c>
      <c r="G2061" s="21" t="s">
        <v>1221</v>
      </c>
      <c r="H2061" s="21" t="s">
        <v>1222</v>
      </c>
      <c r="I2061" s="21" t="s">
        <v>1223</v>
      </c>
      <c r="J2061" s="21" t="s">
        <v>1000</v>
      </c>
      <c r="K2061" s="21" t="s">
        <v>1037</v>
      </c>
      <c r="L2061" s="21" t="s">
        <v>1224</v>
      </c>
      <c r="M2061" s="21" t="s">
        <v>12</v>
      </c>
      <c r="N2061" s="54">
        <v>1000</v>
      </c>
      <c r="O2061" s="54">
        <v>0</v>
      </c>
      <c r="P2061" s="54">
        <v>0</v>
      </c>
      <c r="Q2061" s="54">
        <v>1000</v>
      </c>
      <c r="R2061" s="54">
        <v>0</v>
      </c>
      <c r="S2061" s="54">
        <v>0</v>
      </c>
      <c r="T2061" s="54">
        <v>0</v>
      </c>
      <c r="U2061" s="54">
        <v>1000</v>
      </c>
      <c r="V2061" s="54">
        <v>1000</v>
      </c>
      <c r="W2061" s="54">
        <v>1000</v>
      </c>
    </row>
    <row r="2062" spans="1:23" outlineLevel="2" x14ac:dyDescent="0.2">
      <c r="A2062" s="21" t="s">
        <v>999</v>
      </c>
      <c r="B2062" s="21" t="s">
        <v>39</v>
      </c>
      <c r="C2062" s="21" t="s">
        <v>58</v>
      </c>
      <c r="D2062" s="21" t="s">
        <v>143</v>
      </c>
      <c r="E2062" s="21" t="s">
        <v>144</v>
      </c>
      <c r="F2062" s="21" t="s">
        <v>1220</v>
      </c>
      <c r="G2062" s="21" t="s">
        <v>1221</v>
      </c>
      <c r="H2062" s="21" t="s">
        <v>1222</v>
      </c>
      <c r="I2062" s="21" t="s">
        <v>1223</v>
      </c>
      <c r="J2062" s="21" t="s">
        <v>1000</v>
      </c>
      <c r="K2062" s="21" t="s">
        <v>1037</v>
      </c>
      <c r="L2062" s="21" t="s">
        <v>1224</v>
      </c>
      <c r="M2062" s="21" t="s">
        <v>12</v>
      </c>
      <c r="N2062" s="54">
        <v>4255</v>
      </c>
      <c r="O2062" s="54">
        <v>0</v>
      </c>
      <c r="P2062" s="54">
        <v>0</v>
      </c>
      <c r="Q2062" s="54">
        <v>4255</v>
      </c>
      <c r="R2062" s="54">
        <v>0</v>
      </c>
      <c r="S2062" s="54">
        <v>0</v>
      </c>
      <c r="T2062" s="54">
        <v>0</v>
      </c>
      <c r="U2062" s="54">
        <v>4255</v>
      </c>
      <c r="V2062" s="54">
        <v>4255</v>
      </c>
      <c r="W2062" s="54">
        <v>4255</v>
      </c>
    </row>
    <row r="2063" spans="1:23" outlineLevel="2" x14ac:dyDescent="0.2">
      <c r="A2063" s="21" t="s">
        <v>999</v>
      </c>
      <c r="B2063" s="21" t="s">
        <v>39</v>
      </c>
      <c r="C2063" s="21" t="s">
        <v>58</v>
      </c>
      <c r="D2063" s="21" t="s">
        <v>145</v>
      </c>
      <c r="E2063" s="21" t="s">
        <v>146</v>
      </c>
      <c r="F2063" s="21" t="s">
        <v>1220</v>
      </c>
      <c r="G2063" s="21" t="s">
        <v>1221</v>
      </c>
      <c r="H2063" s="21" t="s">
        <v>1222</v>
      </c>
      <c r="I2063" s="21" t="s">
        <v>1223</v>
      </c>
      <c r="J2063" s="21" t="s">
        <v>1000</v>
      </c>
      <c r="K2063" s="21" t="s">
        <v>1039</v>
      </c>
      <c r="L2063" s="21" t="s">
        <v>1225</v>
      </c>
      <c r="M2063" s="21" t="s">
        <v>12</v>
      </c>
      <c r="N2063" s="54">
        <v>15500</v>
      </c>
      <c r="O2063" s="54">
        <v>0</v>
      </c>
      <c r="P2063" s="54">
        <v>0</v>
      </c>
      <c r="Q2063" s="54">
        <v>15500</v>
      </c>
      <c r="R2063" s="54">
        <v>0</v>
      </c>
      <c r="S2063" s="54">
        <v>0</v>
      </c>
      <c r="T2063" s="54">
        <v>0</v>
      </c>
      <c r="U2063" s="54">
        <v>15500</v>
      </c>
      <c r="V2063" s="54">
        <v>15500</v>
      </c>
      <c r="W2063" s="54">
        <v>15500</v>
      </c>
    </row>
    <row r="2064" spans="1:23" outlineLevel="2" x14ac:dyDescent="0.2">
      <c r="A2064" s="21" t="s">
        <v>999</v>
      </c>
      <c r="B2064" s="21" t="s">
        <v>39</v>
      </c>
      <c r="C2064" s="21" t="s">
        <v>58</v>
      </c>
      <c r="D2064" s="21" t="s">
        <v>139</v>
      </c>
      <c r="E2064" s="21" t="s">
        <v>140</v>
      </c>
      <c r="F2064" s="21" t="s">
        <v>1220</v>
      </c>
      <c r="G2064" s="21" t="s">
        <v>1221</v>
      </c>
      <c r="H2064" s="21" t="s">
        <v>1222</v>
      </c>
      <c r="I2064" s="21" t="s">
        <v>1223</v>
      </c>
      <c r="J2064" s="21" t="s">
        <v>1000</v>
      </c>
      <c r="K2064" s="21" t="s">
        <v>1039</v>
      </c>
      <c r="L2064" s="21" t="s">
        <v>1225</v>
      </c>
      <c r="M2064" s="21" t="s">
        <v>12</v>
      </c>
      <c r="N2064" s="54">
        <v>12500</v>
      </c>
      <c r="O2064" s="54">
        <v>0</v>
      </c>
      <c r="P2064" s="54">
        <v>0</v>
      </c>
      <c r="Q2064" s="54">
        <v>12500</v>
      </c>
      <c r="R2064" s="54">
        <v>0</v>
      </c>
      <c r="S2064" s="54">
        <v>0</v>
      </c>
      <c r="T2064" s="54">
        <v>0</v>
      </c>
      <c r="U2064" s="54">
        <v>12500</v>
      </c>
      <c r="V2064" s="54">
        <v>12500</v>
      </c>
      <c r="W2064" s="54">
        <v>12500</v>
      </c>
    </row>
    <row r="2065" spans="1:23" outlineLevel="2" x14ac:dyDescent="0.2">
      <c r="A2065" s="21" t="s">
        <v>999</v>
      </c>
      <c r="B2065" s="21" t="s">
        <v>39</v>
      </c>
      <c r="C2065" s="21" t="s">
        <v>58</v>
      </c>
      <c r="D2065" s="21" t="s">
        <v>147</v>
      </c>
      <c r="E2065" s="21" t="s">
        <v>148</v>
      </c>
      <c r="F2065" s="21" t="s">
        <v>1220</v>
      </c>
      <c r="G2065" s="21" t="s">
        <v>1221</v>
      </c>
      <c r="H2065" s="21" t="s">
        <v>1222</v>
      </c>
      <c r="I2065" s="21" t="s">
        <v>1223</v>
      </c>
      <c r="J2065" s="21" t="s">
        <v>1000</v>
      </c>
      <c r="K2065" s="21" t="s">
        <v>1039</v>
      </c>
      <c r="L2065" s="21" t="s">
        <v>1225</v>
      </c>
      <c r="M2065" s="21" t="s">
        <v>12</v>
      </c>
      <c r="N2065" s="54">
        <v>12000</v>
      </c>
      <c r="O2065" s="54">
        <v>0</v>
      </c>
      <c r="P2065" s="54">
        <v>0</v>
      </c>
      <c r="Q2065" s="54">
        <v>12000</v>
      </c>
      <c r="R2065" s="54">
        <v>0</v>
      </c>
      <c r="S2065" s="54">
        <v>0</v>
      </c>
      <c r="T2065" s="54">
        <v>0</v>
      </c>
      <c r="U2065" s="54">
        <v>12000</v>
      </c>
      <c r="V2065" s="54">
        <v>12000</v>
      </c>
      <c r="W2065" s="54">
        <v>12000</v>
      </c>
    </row>
    <row r="2066" spans="1:23" outlineLevel="2" x14ac:dyDescent="0.2">
      <c r="A2066" s="21" t="s">
        <v>999</v>
      </c>
      <c r="B2066" s="21" t="s">
        <v>39</v>
      </c>
      <c r="C2066" s="21" t="s">
        <v>58</v>
      </c>
      <c r="D2066" s="21" t="s">
        <v>149</v>
      </c>
      <c r="E2066" s="21" t="s">
        <v>150</v>
      </c>
      <c r="F2066" s="21" t="s">
        <v>1220</v>
      </c>
      <c r="G2066" s="21" t="s">
        <v>1221</v>
      </c>
      <c r="H2066" s="21" t="s">
        <v>1222</v>
      </c>
      <c r="I2066" s="21" t="s">
        <v>1223</v>
      </c>
      <c r="J2066" s="21" t="s">
        <v>1000</v>
      </c>
      <c r="K2066" s="21" t="s">
        <v>1039</v>
      </c>
      <c r="L2066" s="21" t="s">
        <v>1225</v>
      </c>
      <c r="M2066" s="21" t="s">
        <v>12</v>
      </c>
      <c r="N2066" s="54">
        <v>2000</v>
      </c>
      <c r="O2066" s="54">
        <v>0</v>
      </c>
      <c r="P2066" s="54">
        <v>0</v>
      </c>
      <c r="Q2066" s="54">
        <v>2000</v>
      </c>
      <c r="R2066" s="54">
        <v>0</v>
      </c>
      <c r="S2066" s="54">
        <v>0</v>
      </c>
      <c r="T2066" s="54">
        <v>0</v>
      </c>
      <c r="U2066" s="54">
        <v>2000</v>
      </c>
      <c r="V2066" s="54">
        <v>2000</v>
      </c>
      <c r="W2066" s="54">
        <v>2000</v>
      </c>
    </row>
    <row r="2067" spans="1:23" outlineLevel="2" x14ac:dyDescent="0.2">
      <c r="A2067" s="21" t="s">
        <v>999</v>
      </c>
      <c r="B2067" s="21" t="s">
        <v>39</v>
      </c>
      <c r="C2067" s="21" t="s">
        <v>58</v>
      </c>
      <c r="D2067" s="21" t="s">
        <v>143</v>
      </c>
      <c r="E2067" s="21" t="s">
        <v>144</v>
      </c>
      <c r="F2067" s="21" t="s">
        <v>1220</v>
      </c>
      <c r="G2067" s="21" t="s">
        <v>1221</v>
      </c>
      <c r="H2067" s="21" t="s">
        <v>1222</v>
      </c>
      <c r="I2067" s="21" t="s">
        <v>1223</v>
      </c>
      <c r="J2067" s="21" t="s">
        <v>1000</v>
      </c>
      <c r="K2067" s="21" t="s">
        <v>1068</v>
      </c>
      <c r="L2067" s="21" t="s">
        <v>1226</v>
      </c>
      <c r="M2067" s="21" t="s">
        <v>12</v>
      </c>
      <c r="N2067" s="54">
        <v>2300</v>
      </c>
      <c r="O2067" s="54">
        <v>0</v>
      </c>
      <c r="P2067" s="54">
        <v>0</v>
      </c>
      <c r="Q2067" s="54">
        <v>2300</v>
      </c>
      <c r="R2067" s="54">
        <v>0</v>
      </c>
      <c r="S2067" s="54">
        <v>0</v>
      </c>
      <c r="T2067" s="54">
        <v>0</v>
      </c>
      <c r="U2067" s="54">
        <v>2300</v>
      </c>
      <c r="V2067" s="54">
        <v>2300</v>
      </c>
      <c r="W2067" s="54">
        <v>2300</v>
      </c>
    </row>
    <row r="2068" spans="1:23" outlineLevel="2" x14ac:dyDescent="0.2">
      <c r="A2068" s="21" t="s">
        <v>999</v>
      </c>
      <c r="B2068" s="21" t="s">
        <v>39</v>
      </c>
      <c r="C2068" s="21" t="s">
        <v>58</v>
      </c>
      <c r="D2068" s="21" t="s">
        <v>129</v>
      </c>
      <c r="E2068" s="21" t="s">
        <v>130</v>
      </c>
      <c r="F2068" s="21" t="s">
        <v>1220</v>
      </c>
      <c r="G2068" s="21" t="s">
        <v>1221</v>
      </c>
      <c r="H2068" s="21" t="s">
        <v>1222</v>
      </c>
      <c r="I2068" s="21" t="s">
        <v>1223</v>
      </c>
      <c r="J2068" s="21" t="s">
        <v>1000</v>
      </c>
      <c r="K2068" s="21" t="s">
        <v>1090</v>
      </c>
      <c r="L2068" s="21" t="s">
        <v>1227</v>
      </c>
      <c r="M2068" s="21" t="s">
        <v>12</v>
      </c>
      <c r="N2068" s="54">
        <v>18000</v>
      </c>
      <c r="O2068" s="54">
        <v>0</v>
      </c>
      <c r="P2068" s="54">
        <v>0</v>
      </c>
      <c r="Q2068" s="54">
        <v>18000</v>
      </c>
      <c r="R2068" s="54">
        <v>0</v>
      </c>
      <c r="S2068" s="54">
        <v>10601.92</v>
      </c>
      <c r="T2068" s="54">
        <v>0</v>
      </c>
      <c r="U2068" s="54">
        <v>7398.08</v>
      </c>
      <c r="V2068" s="54">
        <v>18000</v>
      </c>
      <c r="W2068" s="54">
        <v>7398.08</v>
      </c>
    </row>
    <row r="2069" spans="1:23" outlineLevel="2" x14ac:dyDescent="0.2">
      <c r="A2069" s="21" t="s">
        <v>999</v>
      </c>
      <c r="B2069" s="21" t="s">
        <v>39</v>
      </c>
      <c r="C2069" s="21" t="s">
        <v>58</v>
      </c>
      <c r="D2069" s="21" t="s">
        <v>59</v>
      </c>
      <c r="E2069" s="21" t="s">
        <v>60</v>
      </c>
      <c r="F2069" s="21" t="s">
        <v>1220</v>
      </c>
      <c r="G2069" s="21" t="s">
        <v>1221</v>
      </c>
      <c r="H2069" s="21" t="s">
        <v>1222</v>
      </c>
      <c r="I2069" s="21" t="s">
        <v>1223</v>
      </c>
      <c r="J2069" s="21" t="s">
        <v>1000</v>
      </c>
      <c r="K2069" s="21" t="s">
        <v>1090</v>
      </c>
      <c r="L2069" s="21" t="s">
        <v>1227</v>
      </c>
      <c r="M2069" s="21" t="s">
        <v>12</v>
      </c>
      <c r="N2069" s="54">
        <v>14000</v>
      </c>
      <c r="O2069" s="54">
        <v>0</v>
      </c>
      <c r="P2069" s="54">
        <v>0</v>
      </c>
      <c r="Q2069" s="54">
        <v>14000</v>
      </c>
      <c r="R2069" s="54">
        <v>0</v>
      </c>
      <c r="S2069" s="54">
        <v>0</v>
      </c>
      <c r="T2069" s="54">
        <v>0</v>
      </c>
      <c r="U2069" s="54">
        <v>14000</v>
      </c>
      <c r="V2069" s="54">
        <v>14000</v>
      </c>
      <c r="W2069" s="54">
        <v>14000</v>
      </c>
    </row>
    <row r="2070" spans="1:23" outlineLevel="2" x14ac:dyDescent="0.2">
      <c r="A2070" s="21" t="s">
        <v>999</v>
      </c>
      <c r="B2070" s="21" t="s">
        <v>39</v>
      </c>
      <c r="C2070" s="21" t="s">
        <v>58</v>
      </c>
      <c r="D2070" s="21" t="s">
        <v>143</v>
      </c>
      <c r="E2070" s="21" t="s">
        <v>144</v>
      </c>
      <c r="F2070" s="21" t="s">
        <v>1220</v>
      </c>
      <c r="G2070" s="21" t="s">
        <v>1221</v>
      </c>
      <c r="H2070" s="21" t="s">
        <v>1222</v>
      </c>
      <c r="I2070" s="21" t="s">
        <v>1223</v>
      </c>
      <c r="J2070" s="21" t="s">
        <v>1000</v>
      </c>
      <c r="K2070" s="21" t="s">
        <v>1228</v>
      </c>
      <c r="L2070" s="21" t="s">
        <v>1229</v>
      </c>
      <c r="M2070" s="21" t="s">
        <v>12</v>
      </c>
      <c r="N2070" s="54">
        <v>6745</v>
      </c>
      <c r="O2070" s="54">
        <v>0</v>
      </c>
      <c r="P2070" s="54">
        <v>0</v>
      </c>
      <c r="Q2070" s="54">
        <v>6745</v>
      </c>
      <c r="R2070" s="54">
        <v>0</v>
      </c>
      <c r="S2070" s="54">
        <v>0</v>
      </c>
      <c r="T2070" s="54">
        <v>0</v>
      </c>
      <c r="U2070" s="54">
        <v>6745</v>
      </c>
      <c r="V2070" s="54">
        <v>6745</v>
      </c>
      <c r="W2070" s="54">
        <v>6745</v>
      </c>
    </row>
    <row r="2071" spans="1:23" outlineLevel="2" x14ac:dyDescent="0.2">
      <c r="A2071" s="21" t="s">
        <v>999</v>
      </c>
      <c r="B2071" s="21" t="s">
        <v>39</v>
      </c>
      <c r="C2071" s="21" t="s">
        <v>58</v>
      </c>
      <c r="D2071" s="21" t="s">
        <v>143</v>
      </c>
      <c r="E2071" s="21" t="s">
        <v>144</v>
      </c>
      <c r="F2071" s="21" t="s">
        <v>1220</v>
      </c>
      <c r="G2071" s="21" t="s">
        <v>1221</v>
      </c>
      <c r="H2071" s="21" t="s">
        <v>1222</v>
      </c>
      <c r="I2071" s="21" t="s">
        <v>1223</v>
      </c>
      <c r="J2071" s="21" t="s">
        <v>1000</v>
      </c>
      <c r="K2071" s="21" t="s">
        <v>1011</v>
      </c>
      <c r="L2071" s="21" t="s">
        <v>1230</v>
      </c>
      <c r="M2071" s="21" t="s">
        <v>12</v>
      </c>
      <c r="N2071" s="54">
        <v>2700</v>
      </c>
      <c r="O2071" s="54">
        <v>0</v>
      </c>
      <c r="P2071" s="54">
        <v>0</v>
      </c>
      <c r="Q2071" s="54">
        <v>2700</v>
      </c>
      <c r="R2071" s="54">
        <v>0</v>
      </c>
      <c r="S2071" s="54">
        <v>0</v>
      </c>
      <c r="T2071" s="54">
        <v>0</v>
      </c>
      <c r="U2071" s="54">
        <v>2700</v>
      </c>
      <c r="V2071" s="54">
        <v>2700</v>
      </c>
      <c r="W2071" s="54">
        <v>2700</v>
      </c>
    </row>
    <row r="2072" spans="1:23" outlineLevel="2" x14ac:dyDescent="0.2">
      <c r="A2072" s="21" t="s">
        <v>999</v>
      </c>
      <c r="B2072" s="21" t="s">
        <v>39</v>
      </c>
      <c r="C2072" s="21" t="s">
        <v>58</v>
      </c>
      <c r="D2072" s="21" t="s">
        <v>135</v>
      </c>
      <c r="E2072" s="21" t="s">
        <v>136</v>
      </c>
      <c r="F2072" s="21" t="s">
        <v>1220</v>
      </c>
      <c r="G2072" s="21" t="s">
        <v>1221</v>
      </c>
      <c r="H2072" s="21" t="s">
        <v>1222</v>
      </c>
      <c r="I2072" s="21" t="s">
        <v>1223</v>
      </c>
      <c r="J2072" s="21" t="s">
        <v>1000</v>
      </c>
      <c r="K2072" s="21" t="s">
        <v>1011</v>
      </c>
      <c r="L2072" s="21" t="s">
        <v>1230</v>
      </c>
      <c r="M2072" s="21" t="s">
        <v>12</v>
      </c>
      <c r="N2072" s="54">
        <v>1040</v>
      </c>
      <c r="O2072" s="54">
        <v>0</v>
      </c>
      <c r="P2072" s="54">
        <v>0</v>
      </c>
      <c r="Q2072" s="54">
        <v>1040</v>
      </c>
      <c r="R2072" s="54">
        <v>0</v>
      </c>
      <c r="S2072" s="54">
        <v>0</v>
      </c>
      <c r="T2072" s="54">
        <v>0</v>
      </c>
      <c r="U2072" s="54">
        <v>1040</v>
      </c>
      <c r="V2072" s="54">
        <v>1040</v>
      </c>
      <c r="W2072" s="54">
        <v>1040</v>
      </c>
    </row>
    <row r="2073" spans="1:23" outlineLevel="2" x14ac:dyDescent="0.2">
      <c r="A2073" s="21" t="s">
        <v>999</v>
      </c>
      <c r="B2073" s="21" t="s">
        <v>39</v>
      </c>
      <c r="C2073" s="21" t="s">
        <v>58</v>
      </c>
      <c r="D2073" s="21" t="s">
        <v>149</v>
      </c>
      <c r="E2073" s="21" t="s">
        <v>150</v>
      </c>
      <c r="F2073" s="21" t="s">
        <v>1220</v>
      </c>
      <c r="G2073" s="21" t="s">
        <v>1221</v>
      </c>
      <c r="H2073" s="21" t="s">
        <v>1222</v>
      </c>
      <c r="I2073" s="21" t="s">
        <v>1223</v>
      </c>
      <c r="J2073" s="21" t="s">
        <v>1000</v>
      </c>
      <c r="K2073" s="21" t="s">
        <v>1011</v>
      </c>
      <c r="L2073" s="21" t="s">
        <v>1230</v>
      </c>
      <c r="M2073" s="21" t="s">
        <v>12</v>
      </c>
      <c r="N2073" s="54">
        <v>5000</v>
      </c>
      <c r="O2073" s="54">
        <v>0</v>
      </c>
      <c r="P2073" s="54">
        <v>0</v>
      </c>
      <c r="Q2073" s="54">
        <v>5000</v>
      </c>
      <c r="R2073" s="54">
        <v>0</v>
      </c>
      <c r="S2073" s="54">
        <v>0</v>
      </c>
      <c r="T2073" s="54">
        <v>0</v>
      </c>
      <c r="U2073" s="54">
        <v>5000</v>
      </c>
      <c r="V2073" s="54">
        <v>5000</v>
      </c>
      <c r="W2073" s="54">
        <v>5000</v>
      </c>
    </row>
    <row r="2074" spans="1:23" outlineLevel="2" x14ac:dyDescent="0.2">
      <c r="A2074" s="21" t="s">
        <v>999</v>
      </c>
      <c r="B2074" s="21" t="s">
        <v>39</v>
      </c>
      <c r="C2074" s="21" t="s">
        <v>58</v>
      </c>
      <c r="D2074" s="21" t="s">
        <v>137</v>
      </c>
      <c r="E2074" s="21" t="s">
        <v>138</v>
      </c>
      <c r="F2074" s="21" t="s">
        <v>1220</v>
      </c>
      <c r="G2074" s="21" t="s">
        <v>1221</v>
      </c>
      <c r="H2074" s="21" t="s">
        <v>1222</v>
      </c>
      <c r="I2074" s="21" t="s">
        <v>1223</v>
      </c>
      <c r="J2074" s="21" t="s">
        <v>1000</v>
      </c>
      <c r="K2074" s="21" t="s">
        <v>1017</v>
      </c>
      <c r="L2074" s="21" t="s">
        <v>1231</v>
      </c>
      <c r="M2074" s="21" t="s">
        <v>12</v>
      </c>
      <c r="N2074" s="54">
        <v>12500</v>
      </c>
      <c r="O2074" s="54">
        <v>-4500</v>
      </c>
      <c r="P2074" s="54">
        <v>0</v>
      </c>
      <c r="Q2074" s="54">
        <v>8000</v>
      </c>
      <c r="R2074" s="54">
        <v>0</v>
      </c>
      <c r="S2074" s="54">
        <v>0</v>
      </c>
      <c r="T2074" s="54">
        <v>0</v>
      </c>
      <c r="U2074" s="54">
        <v>8000</v>
      </c>
      <c r="V2074" s="54">
        <v>8000</v>
      </c>
      <c r="W2074" s="54">
        <v>8000</v>
      </c>
    </row>
    <row r="2075" spans="1:23" outlineLevel="2" x14ac:dyDescent="0.2">
      <c r="A2075" s="21" t="s">
        <v>999</v>
      </c>
      <c r="B2075" s="21" t="s">
        <v>39</v>
      </c>
      <c r="C2075" s="21" t="s">
        <v>58</v>
      </c>
      <c r="D2075" s="21" t="s">
        <v>139</v>
      </c>
      <c r="E2075" s="21" t="s">
        <v>140</v>
      </c>
      <c r="F2075" s="21" t="s">
        <v>1220</v>
      </c>
      <c r="G2075" s="21" t="s">
        <v>1221</v>
      </c>
      <c r="H2075" s="21" t="s">
        <v>1222</v>
      </c>
      <c r="I2075" s="21" t="s">
        <v>1223</v>
      </c>
      <c r="J2075" s="21" t="s">
        <v>1000</v>
      </c>
      <c r="K2075" s="21" t="s">
        <v>1078</v>
      </c>
      <c r="L2075" s="21" t="s">
        <v>1232</v>
      </c>
      <c r="M2075" s="21" t="s">
        <v>12</v>
      </c>
      <c r="N2075" s="54">
        <v>15700</v>
      </c>
      <c r="O2075" s="54">
        <v>0</v>
      </c>
      <c r="P2075" s="54">
        <v>0</v>
      </c>
      <c r="Q2075" s="54">
        <v>15700</v>
      </c>
      <c r="R2075" s="54">
        <v>0</v>
      </c>
      <c r="S2075" s="54">
        <v>0</v>
      </c>
      <c r="T2075" s="54">
        <v>0</v>
      </c>
      <c r="U2075" s="54">
        <v>15700</v>
      </c>
      <c r="V2075" s="54">
        <v>15700</v>
      </c>
      <c r="W2075" s="54">
        <v>15700</v>
      </c>
    </row>
    <row r="2076" spans="1:23" outlineLevel="2" x14ac:dyDescent="0.2">
      <c r="A2076" s="21" t="s">
        <v>999</v>
      </c>
      <c r="B2076" s="21" t="s">
        <v>39</v>
      </c>
      <c r="C2076" s="21" t="s">
        <v>58</v>
      </c>
      <c r="D2076" s="21" t="s">
        <v>135</v>
      </c>
      <c r="E2076" s="21" t="s">
        <v>136</v>
      </c>
      <c r="F2076" s="21" t="s">
        <v>1220</v>
      </c>
      <c r="G2076" s="21" t="s">
        <v>1221</v>
      </c>
      <c r="H2076" s="21" t="s">
        <v>1222</v>
      </c>
      <c r="I2076" s="21" t="s">
        <v>1223</v>
      </c>
      <c r="J2076" s="21" t="s">
        <v>1000</v>
      </c>
      <c r="K2076" s="21" t="s">
        <v>1078</v>
      </c>
      <c r="L2076" s="21" t="s">
        <v>1232</v>
      </c>
      <c r="M2076" s="21" t="s">
        <v>12</v>
      </c>
      <c r="N2076" s="54">
        <v>5000</v>
      </c>
      <c r="O2076" s="54">
        <v>0</v>
      </c>
      <c r="P2076" s="54">
        <v>0</v>
      </c>
      <c r="Q2076" s="54">
        <v>5000</v>
      </c>
      <c r="R2076" s="54">
        <v>0</v>
      </c>
      <c r="S2076" s="54">
        <v>0</v>
      </c>
      <c r="T2076" s="54">
        <v>0</v>
      </c>
      <c r="U2076" s="54">
        <v>5000</v>
      </c>
      <c r="V2076" s="54">
        <v>5000</v>
      </c>
      <c r="W2076" s="54">
        <v>5000</v>
      </c>
    </row>
    <row r="2077" spans="1:23" outlineLevel="2" x14ac:dyDescent="0.2">
      <c r="A2077" s="21" t="s">
        <v>999</v>
      </c>
      <c r="B2077" s="21" t="s">
        <v>39</v>
      </c>
      <c r="C2077" s="21" t="s">
        <v>58</v>
      </c>
      <c r="D2077" s="21" t="s">
        <v>59</v>
      </c>
      <c r="E2077" s="21" t="s">
        <v>60</v>
      </c>
      <c r="F2077" s="21" t="s">
        <v>1220</v>
      </c>
      <c r="G2077" s="21" t="s">
        <v>1221</v>
      </c>
      <c r="H2077" s="21" t="s">
        <v>1222</v>
      </c>
      <c r="I2077" s="21" t="s">
        <v>1223</v>
      </c>
      <c r="J2077" s="21" t="s">
        <v>1000</v>
      </c>
      <c r="K2077" s="21" t="s">
        <v>1078</v>
      </c>
      <c r="L2077" s="21" t="s">
        <v>1232</v>
      </c>
      <c r="M2077" s="21" t="s">
        <v>12</v>
      </c>
      <c r="N2077" s="54">
        <v>8000</v>
      </c>
      <c r="O2077" s="54">
        <v>0</v>
      </c>
      <c r="P2077" s="54">
        <v>0</v>
      </c>
      <c r="Q2077" s="54">
        <v>8000</v>
      </c>
      <c r="R2077" s="54">
        <v>0</v>
      </c>
      <c r="S2077" s="54">
        <v>0</v>
      </c>
      <c r="T2077" s="54">
        <v>0</v>
      </c>
      <c r="U2077" s="54">
        <v>8000</v>
      </c>
      <c r="V2077" s="54">
        <v>8000</v>
      </c>
      <c r="W2077" s="54">
        <v>8000</v>
      </c>
    </row>
    <row r="2078" spans="1:23" outlineLevel="2" x14ac:dyDescent="0.2">
      <c r="A2078" s="21" t="s">
        <v>999</v>
      </c>
      <c r="B2078" s="21" t="s">
        <v>39</v>
      </c>
      <c r="C2078" s="21" t="s">
        <v>58</v>
      </c>
      <c r="D2078" s="21" t="s">
        <v>147</v>
      </c>
      <c r="E2078" s="21" t="s">
        <v>148</v>
      </c>
      <c r="F2078" s="21" t="s">
        <v>1220</v>
      </c>
      <c r="G2078" s="21" t="s">
        <v>1221</v>
      </c>
      <c r="H2078" s="21" t="s">
        <v>1222</v>
      </c>
      <c r="I2078" s="21" t="s">
        <v>1223</v>
      </c>
      <c r="J2078" s="21" t="s">
        <v>1000</v>
      </c>
      <c r="K2078" s="21" t="s">
        <v>1078</v>
      </c>
      <c r="L2078" s="21" t="s">
        <v>1232</v>
      </c>
      <c r="M2078" s="21" t="s">
        <v>12</v>
      </c>
      <c r="N2078" s="54">
        <v>5000</v>
      </c>
      <c r="O2078" s="54">
        <v>0</v>
      </c>
      <c r="P2078" s="54">
        <v>0</v>
      </c>
      <c r="Q2078" s="54">
        <v>5000</v>
      </c>
      <c r="R2078" s="54">
        <v>0</v>
      </c>
      <c r="S2078" s="54">
        <v>0</v>
      </c>
      <c r="T2078" s="54">
        <v>0</v>
      </c>
      <c r="U2078" s="54">
        <v>5000</v>
      </c>
      <c r="V2078" s="54">
        <v>5000</v>
      </c>
      <c r="W2078" s="54">
        <v>5000</v>
      </c>
    </row>
    <row r="2079" spans="1:23" outlineLevel="2" x14ac:dyDescent="0.2">
      <c r="A2079" s="21" t="s">
        <v>999</v>
      </c>
      <c r="B2079" s="21" t="s">
        <v>39</v>
      </c>
      <c r="C2079" s="21" t="s">
        <v>58</v>
      </c>
      <c r="D2079" s="21" t="s">
        <v>149</v>
      </c>
      <c r="E2079" s="21" t="s">
        <v>150</v>
      </c>
      <c r="F2079" s="21" t="s">
        <v>1220</v>
      </c>
      <c r="G2079" s="21" t="s">
        <v>1221</v>
      </c>
      <c r="H2079" s="21" t="s">
        <v>1222</v>
      </c>
      <c r="I2079" s="21" t="s">
        <v>1223</v>
      </c>
      <c r="J2079" s="21" t="s">
        <v>1000</v>
      </c>
      <c r="K2079" s="21" t="s">
        <v>1078</v>
      </c>
      <c r="L2079" s="21" t="s">
        <v>1232</v>
      </c>
      <c r="M2079" s="21" t="s">
        <v>12</v>
      </c>
      <c r="N2079" s="54">
        <v>11000</v>
      </c>
      <c r="O2079" s="54">
        <v>0</v>
      </c>
      <c r="P2079" s="54">
        <v>0</v>
      </c>
      <c r="Q2079" s="54">
        <v>11000</v>
      </c>
      <c r="R2079" s="54">
        <v>0</v>
      </c>
      <c r="S2079" s="54">
        <v>0</v>
      </c>
      <c r="T2079" s="54">
        <v>0</v>
      </c>
      <c r="U2079" s="54">
        <v>11000</v>
      </c>
      <c r="V2079" s="54">
        <v>11000</v>
      </c>
      <c r="W2079" s="54">
        <v>11000</v>
      </c>
    </row>
    <row r="2080" spans="1:23" outlineLevel="2" x14ac:dyDescent="0.2">
      <c r="A2080" s="21" t="s">
        <v>999</v>
      </c>
      <c r="B2080" s="21" t="s">
        <v>39</v>
      </c>
      <c r="C2080" s="21" t="s">
        <v>58</v>
      </c>
      <c r="D2080" s="21" t="s">
        <v>129</v>
      </c>
      <c r="E2080" s="21" t="s">
        <v>130</v>
      </c>
      <c r="F2080" s="21" t="s">
        <v>1220</v>
      </c>
      <c r="G2080" s="21" t="s">
        <v>1221</v>
      </c>
      <c r="H2080" s="21" t="s">
        <v>1222</v>
      </c>
      <c r="I2080" s="21" t="s">
        <v>1223</v>
      </c>
      <c r="J2080" s="21" t="s">
        <v>1000</v>
      </c>
      <c r="K2080" s="21" t="s">
        <v>1078</v>
      </c>
      <c r="L2080" s="21" t="s">
        <v>1232</v>
      </c>
      <c r="M2080" s="21" t="s">
        <v>12</v>
      </c>
      <c r="N2080" s="54">
        <v>20000</v>
      </c>
      <c r="O2080" s="54">
        <v>0</v>
      </c>
      <c r="P2080" s="54">
        <v>0</v>
      </c>
      <c r="Q2080" s="54">
        <v>20000</v>
      </c>
      <c r="R2080" s="54">
        <v>0</v>
      </c>
      <c r="S2080" s="54">
        <v>0</v>
      </c>
      <c r="T2080" s="54">
        <v>0</v>
      </c>
      <c r="U2080" s="54">
        <v>20000</v>
      </c>
      <c r="V2080" s="54">
        <v>20000</v>
      </c>
      <c r="W2080" s="54">
        <v>20000</v>
      </c>
    </row>
    <row r="2081" spans="1:23" outlineLevel="2" x14ac:dyDescent="0.2">
      <c r="A2081" s="21" t="s">
        <v>999</v>
      </c>
      <c r="B2081" s="21" t="s">
        <v>39</v>
      </c>
      <c r="C2081" s="21" t="s">
        <v>58</v>
      </c>
      <c r="D2081" s="21" t="s">
        <v>145</v>
      </c>
      <c r="E2081" s="21" t="s">
        <v>146</v>
      </c>
      <c r="F2081" s="21" t="s">
        <v>1220</v>
      </c>
      <c r="G2081" s="21" t="s">
        <v>1221</v>
      </c>
      <c r="H2081" s="21" t="s">
        <v>1222</v>
      </c>
      <c r="I2081" s="21" t="s">
        <v>1223</v>
      </c>
      <c r="J2081" s="21" t="s">
        <v>1000</v>
      </c>
      <c r="K2081" s="21" t="s">
        <v>1078</v>
      </c>
      <c r="L2081" s="21" t="s">
        <v>1232</v>
      </c>
      <c r="M2081" s="21" t="s">
        <v>12</v>
      </c>
      <c r="N2081" s="54">
        <v>5000</v>
      </c>
      <c r="O2081" s="54">
        <v>0</v>
      </c>
      <c r="P2081" s="54">
        <v>0</v>
      </c>
      <c r="Q2081" s="54">
        <v>5000</v>
      </c>
      <c r="R2081" s="54">
        <v>0</v>
      </c>
      <c r="S2081" s="54">
        <v>0</v>
      </c>
      <c r="T2081" s="54">
        <v>0</v>
      </c>
      <c r="U2081" s="54">
        <v>5000</v>
      </c>
      <c r="V2081" s="54">
        <v>5000</v>
      </c>
      <c r="W2081" s="54">
        <v>5000</v>
      </c>
    </row>
    <row r="2082" spans="1:23" outlineLevel="2" x14ac:dyDescent="0.2">
      <c r="A2082" s="21" t="s">
        <v>999</v>
      </c>
      <c r="B2082" s="21" t="s">
        <v>39</v>
      </c>
      <c r="C2082" s="21" t="s">
        <v>58</v>
      </c>
      <c r="D2082" s="21" t="s">
        <v>143</v>
      </c>
      <c r="E2082" s="21" t="s">
        <v>144</v>
      </c>
      <c r="F2082" s="21" t="s">
        <v>1220</v>
      </c>
      <c r="G2082" s="21" t="s">
        <v>1221</v>
      </c>
      <c r="H2082" s="21" t="s">
        <v>1222</v>
      </c>
      <c r="I2082" s="21" t="s">
        <v>1223</v>
      </c>
      <c r="J2082" s="21" t="s">
        <v>1000</v>
      </c>
      <c r="K2082" s="21" t="s">
        <v>1078</v>
      </c>
      <c r="L2082" s="21" t="s">
        <v>1232</v>
      </c>
      <c r="M2082" s="21" t="s">
        <v>12</v>
      </c>
      <c r="N2082" s="54">
        <v>7000</v>
      </c>
      <c r="O2082" s="54">
        <v>0</v>
      </c>
      <c r="P2082" s="54">
        <v>0</v>
      </c>
      <c r="Q2082" s="54">
        <v>7000</v>
      </c>
      <c r="R2082" s="54">
        <v>0</v>
      </c>
      <c r="S2082" s="54">
        <v>0</v>
      </c>
      <c r="T2082" s="54">
        <v>0</v>
      </c>
      <c r="U2082" s="54">
        <v>7000</v>
      </c>
      <c r="V2082" s="54">
        <v>7000</v>
      </c>
      <c r="W2082" s="54">
        <v>7000</v>
      </c>
    </row>
    <row r="2083" spans="1:23" outlineLevel="2" x14ac:dyDescent="0.2">
      <c r="A2083" s="21" t="s">
        <v>999</v>
      </c>
      <c r="B2083" s="21" t="s">
        <v>39</v>
      </c>
      <c r="C2083" s="21" t="s">
        <v>58</v>
      </c>
      <c r="D2083" s="21" t="s">
        <v>139</v>
      </c>
      <c r="E2083" s="21" t="s">
        <v>140</v>
      </c>
      <c r="F2083" s="21" t="s">
        <v>1220</v>
      </c>
      <c r="G2083" s="21" t="s">
        <v>1221</v>
      </c>
      <c r="H2083" s="21" t="s">
        <v>1222</v>
      </c>
      <c r="I2083" s="21" t="s">
        <v>1223</v>
      </c>
      <c r="J2083" s="21" t="s">
        <v>1000</v>
      </c>
      <c r="K2083" s="21" t="s">
        <v>1019</v>
      </c>
      <c r="L2083" s="21" t="s">
        <v>1233</v>
      </c>
      <c r="M2083" s="21" t="s">
        <v>12</v>
      </c>
      <c r="N2083" s="54">
        <v>1000</v>
      </c>
      <c r="O2083" s="54">
        <v>0</v>
      </c>
      <c r="P2083" s="54">
        <v>0</v>
      </c>
      <c r="Q2083" s="54">
        <v>1000</v>
      </c>
      <c r="R2083" s="54">
        <v>0</v>
      </c>
      <c r="S2083" s="54">
        <v>0</v>
      </c>
      <c r="T2083" s="54">
        <v>0</v>
      </c>
      <c r="U2083" s="54">
        <v>1000</v>
      </c>
      <c r="V2083" s="54">
        <v>1000</v>
      </c>
      <c r="W2083" s="54">
        <v>1000</v>
      </c>
    </row>
    <row r="2084" spans="1:23" outlineLevel="2" x14ac:dyDescent="0.2">
      <c r="A2084" s="21" t="s">
        <v>999</v>
      </c>
      <c r="B2084" s="21" t="s">
        <v>39</v>
      </c>
      <c r="C2084" s="21" t="s">
        <v>58</v>
      </c>
      <c r="D2084" s="21" t="s">
        <v>137</v>
      </c>
      <c r="E2084" s="21" t="s">
        <v>138</v>
      </c>
      <c r="F2084" s="21" t="s">
        <v>1220</v>
      </c>
      <c r="G2084" s="21" t="s">
        <v>1221</v>
      </c>
      <c r="H2084" s="21" t="s">
        <v>1222</v>
      </c>
      <c r="I2084" s="21" t="s">
        <v>1223</v>
      </c>
      <c r="J2084" s="21" t="s">
        <v>1000</v>
      </c>
      <c r="K2084" s="21" t="s">
        <v>1082</v>
      </c>
      <c r="L2084" s="21" t="s">
        <v>1234</v>
      </c>
      <c r="M2084" s="21" t="s">
        <v>12</v>
      </c>
      <c r="N2084" s="54">
        <v>1000</v>
      </c>
      <c r="O2084" s="54">
        <v>2500</v>
      </c>
      <c r="P2084" s="54">
        <v>0</v>
      </c>
      <c r="Q2084" s="54">
        <v>3500</v>
      </c>
      <c r="R2084" s="54">
        <v>0</v>
      </c>
      <c r="S2084" s="54">
        <v>0</v>
      </c>
      <c r="T2084" s="54">
        <v>0</v>
      </c>
      <c r="U2084" s="54">
        <v>3500</v>
      </c>
      <c r="V2084" s="54">
        <v>3500</v>
      </c>
      <c r="W2084" s="54">
        <v>3500</v>
      </c>
    </row>
    <row r="2085" spans="1:23" outlineLevel="2" x14ac:dyDescent="0.2">
      <c r="A2085" s="21" t="s">
        <v>999</v>
      </c>
      <c r="B2085" s="21" t="s">
        <v>39</v>
      </c>
      <c r="C2085" s="21" t="s">
        <v>58</v>
      </c>
      <c r="D2085" s="21" t="s">
        <v>135</v>
      </c>
      <c r="E2085" s="21" t="s">
        <v>136</v>
      </c>
      <c r="F2085" s="21" t="s">
        <v>1220</v>
      </c>
      <c r="G2085" s="21" t="s">
        <v>1221</v>
      </c>
      <c r="H2085" s="21" t="s">
        <v>1222</v>
      </c>
      <c r="I2085" s="21" t="s">
        <v>1223</v>
      </c>
      <c r="J2085" s="21" t="s">
        <v>1000</v>
      </c>
      <c r="K2085" s="21" t="s">
        <v>1021</v>
      </c>
      <c r="L2085" s="21" t="s">
        <v>1235</v>
      </c>
      <c r="M2085" s="21" t="s">
        <v>12</v>
      </c>
      <c r="N2085" s="54">
        <v>9000</v>
      </c>
      <c r="O2085" s="54">
        <v>0</v>
      </c>
      <c r="P2085" s="54">
        <v>0</v>
      </c>
      <c r="Q2085" s="54">
        <v>9000</v>
      </c>
      <c r="R2085" s="54">
        <v>0</v>
      </c>
      <c r="S2085" s="54">
        <v>0</v>
      </c>
      <c r="T2085" s="54">
        <v>0</v>
      </c>
      <c r="U2085" s="54">
        <v>9000</v>
      </c>
      <c r="V2085" s="54">
        <v>9000</v>
      </c>
      <c r="W2085" s="54">
        <v>9000</v>
      </c>
    </row>
    <row r="2086" spans="1:23" outlineLevel="2" x14ac:dyDescent="0.2">
      <c r="A2086" s="21" t="s">
        <v>999</v>
      </c>
      <c r="B2086" s="21" t="s">
        <v>39</v>
      </c>
      <c r="C2086" s="21" t="s">
        <v>58</v>
      </c>
      <c r="D2086" s="21" t="s">
        <v>143</v>
      </c>
      <c r="E2086" s="21" t="s">
        <v>144</v>
      </c>
      <c r="F2086" s="21" t="s">
        <v>1220</v>
      </c>
      <c r="G2086" s="21" t="s">
        <v>1221</v>
      </c>
      <c r="H2086" s="21" t="s">
        <v>1222</v>
      </c>
      <c r="I2086" s="21" t="s">
        <v>1223</v>
      </c>
      <c r="J2086" s="21" t="s">
        <v>1000</v>
      </c>
      <c r="K2086" s="21" t="s">
        <v>1021</v>
      </c>
      <c r="L2086" s="21" t="s">
        <v>1235</v>
      </c>
      <c r="M2086" s="21" t="s">
        <v>12</v>
      </c>
      <c r="N2086" s="54">
        <v>1500</v>
      </c>
      <c r="O2086" s="54">
        <v>0</v>
      </c>
      <c r="P2086" s="54">
        <v>0</v>
      </c>
      <c r="Q2086" s="54">
        <v>1500</v>
      </c>
      <c r="R2086" s="54">
        <v>0</v>
      </c>
      <c r="S2086" s="54">
        <v>1498.5</v>
      </c>
      <c r="T2086" s="54">
        <v>1498.5</v>
      </c>
      <c r="U2086" s="54">
        <v>1.5</v>
      </c>
      <c r="V2086" s="54">
        <v>1.5</v>
      </c>
      <c r="W2086" s="54">
        <v>1.5</v>
      </c>
    </row>
    <row r="2087" spans="1:23" outlineLevel="2" x14ac:dyDescent="0.2">
      <c r="A2087" s="21" t="s">
        <v>999</v>
      </c>
      <c r="B2087" s="21" t="s">
        <v>39</v>
      </c>
      <c r="C2087" s="21" t="s">
        <v>58</v>
      </c>
      <c r="D2087" s="21" t="s">
        <v>139</v>
      </c>
      <c r="E2087" s="21" t="s">
        <v>140</v>
      </c>
      <c r="F2087" s="21" t="s">
        <v>1220</v>
      </c>
      <c r="G2087" s="21" t="s">
        <v>1221</v>
      </c>
      <c r="H2087" s="21" t="s">
        <v>1222</v>
      </c>
      <c r="I2087" s="21" t="s">
        <v>1223</v>
      </c>
      <c r="J2087" s="21" t="s">
        <v>1000</v>
      </c>
      <c r="K2087" s="21" t="s">
        <v>1021</v>
      </c>
      <c r="L2087" s="21" t="s">
        <v>1235</v>
      </c>
      <c r="M2087" s="21" t="s">
        <v>12</v>
      </c>
      <c r="N2087" s="54">
        <v>5000</v>
      </c>
      <c r="O2087" s="54">
        <v>0</v>
      </c>
      <c r="P2087" s="54">
        <v>0</v>
      </c>
      <c r="Q2087" s="54">
        <v>5000</v>
      </c>
      <c r="R2087" s="54">
        <v>0</v>
      </c>
      <c r="S2087" s="54">
        <v>0</v>
      </c>
      <c r="T2087" s="54">
        <v>0</v>
      </c>
      <c r="U2087" s="54">
        <v>5000</v>
      </c>
      <c r="V2087" s="54">
        <v>5000</v>
      </c>
      <c r="W2087" s="54">
        <v>5000</v>
      </c>
    </row>
    <row r="2088" spans="1:23" outlineLevel="2" x14ac:dyDescent="0.2">
      <c r="A2088" s="21" t="s">
        <v>999</v>
      </c>
      <c r="B2088" s="21" t="s">
        <v>39</v>
      </c>
      <c r="C2088" s="21" t="s">
        <v>58</v>
      </c>
      <c r="D2088" s="21" t="s">
        <v>59</v>
      </c>
      <c r="E2088" s="21" t="s">
        <v>60</v>
      </c>
      <c r="F2088" s="21" t="s">
        <v>1220</v>
      </c>
      <c r="G2088" s="21" t="s">
        <v>1221</v>
      </c>
      <c r="H2088" s="21" t="s">
        <v>1222</v>
      </c>
      <c r="I2088" s="21" t="s">
        <v>1223</v>
      </c>
      <c r="J2088" s="21" t="s">
        <v>1000</v>
      </c>
      <c r="K2088" s="21" t="s">
        <v>1021</v>
      </c>
      <c r="L2088" s="21" t="s">
        <v>1235</v>
      </c>
      <c r="M2088" s="21" t="s">
        <v>12</v>
      </c>
      <c r="N2088" s="54">
        <v>2000</v>
      </c>
      <c r="O2088" s="54">
        <v>0</v>
      </c>
      <c r="P2088" s="54">
        <v>0</v>
      </c>
      <c r="Q2088" s="54">
        <v>2000</v>
      </c>
      <c r="R2088" s="54">
        <v>0</v>
      </c>
      <c r="S2088" s="54">
        <v>0</v>
      </c>
      <c r="T2088" s="54">
        <v>0</v>
      </c>
      <c r="U2088" s="54">
        <v>2000</v>
      </c>
      <c r="V2088" s="54">
        <v>2000</v>
      </c>
      <c r="W2088" s="54">
        <v>2000</v>
      </c>
    </row>
    <row r="2089" spans="1:23" outlineLevel="2" x14ac:dyDescent="0.2">
      <c r="A2089" s="21" t="s">
        <v>999</v>
      </c>
      <c r="B2089" s="21" t="s">
        <v>39</v>
      </c>
      <c r="C2089" s="21" t="s">
        <v>58</v>
      </c>
      <c r="D2089" s="21" t="s">
        <v>145</v>
      </c>
      <c r="E2089" s="21" t="s">
        <v>146</v>
      </c>
      <c r="F2089" s="21" t="s">
        <v>1220</v>
      </c>
      <c r="G2089" s="21" t="s">
        <v>1221</v>
      </c>
      <c r="H2089" s="21" t="s">
        <v>1222</v>
      </c>
      <c r="I2089" s="21" t="s">
        <v>1223</v>
      </c>
      <c r="J2089" s="21" t="s">
        <v>1000</v>
      </c>
      <c r="K2089" s="21" t="s">
        <v>1021</v>
      </c>
      <c r="L2089" s="21" t="s">
        <v>1235</v>
      </c>
      <c r="M2089" s="21" t="s">
        <v>12</v>
      </c>
      <c r="N2089" s="54">
        <v>8050</v>
      </c>
      <c r="O2089" s="54">
        <v>0</v>
      </c>
      <c r="P2089" s="54">
        <v>0</v>
      </c>
      <c r="Q2089" s="54">
        <v>8050</v>
      </c>
      <c r="R2089" s="54">
        <v>0</v>
      </c>
      <c r="S2089" s="54">
        <v>7050.5</v>
      </c>
      <c r="T2089" s="54">
        <v>7050.5</v>
      </c>
      <c r="U2089" s="54">
        <v>999.5</v>
      </c>
      <c r="V2089" s="54">
        <v>999.5</v>
      </c>
      <c r="W2089" s="54">
        <v>999.5</v>
      </c>
    </row>
    <row r="2090" spans="1:23" outlineLevel="2" x14ac:dyDescent="0.2">
      <c r="A2090" s="21" t="s">
        <v>999</v>
      </c>
      <c r="B2090" s="21" t="s">
        <v>39</v>
      </c>
      <c r="C2090" s="21" t="s">
        <v>58</v>
      </c>
      <c r="D2090" s="21" t="s">
        <v>149</v>
      </c>
      <c r="E2090" s="21" t="s">
        <v>150</v>
      </c>
      <c r="F2090" s="21" t="s">
        <v>1220</v>
      </c>
      <c r="G2090" s="21" t="s">
        <v>1221</v>
      </c>
      <c r="H2090" s="21" t="s">
        <v>1222</v>
      </c>
      <c r="I2090" s="21" t="s">
        <v>1223</v>
      </c>
      <c r="J2090" s="21" t="s">
        <v>1000</v>
      </c>
      <c r="K2090" s="21" t="s">
        <v>1021</v>
      </c>
      <c r="L2090" s="21" t="s">
        <v>1235</v>
      </c>
      <c r="M2090" s="21" t="s">
        <v>12</v>
      </c>
      <c r="N2090" s="54">
        <v>3000</v>
      </c>
      <c r="O2090" s="54">
        <v>0</v>
      </c>
      <c r="P2090" s="54">
        <v>0</v>
      </c>
      <c r="Q2090" s="54">
        <v>3000</v>
      </c>
      <c r="R2090" s="54">
        <v>0</v>
      </c>
      <c r="S2090" s="54">
        <v>2504.5500000000002</v>
      </c>
      <c r="T2090" s="54">
        <v>2504.5500000000002</v>
      </c>
      <c r="U2090" s="54">
        <v>495.45</v>
      </c>
      <c r="V2090" s="54">
        <v>495.45</v>
      </c>
      <c r="W2090" s="54">
        <v>495.45</v>
      </c>
    </row>
    <row r="2091" spans="1:23" outlineLevel="2" x14ac:dyDescent="0.2">
      <c r="A2091" s="21" t="s">
        <v>999</v>
      </c>
      <c r="B2091" s="21" t="s">
        <v>39</v>
      </c>
      <c r="C2091" s="21" t="s">
        <v>58</v>
      </c>
      <c r="D2091" s="21" t="s">
        <v>137</v>
      </c>
      <c r="E2091" s="21" t="s">
        <v>138</v>
      </c>
      <c r="F2091" s="21" t="s">
        <v>1220</v>
      </c>
      <c r="G2091" s="21" t="s">
        <v>1221</v>
      </c>
      <c r="H2091" s="21" t="s">
        <v>1222</v>
      </c>
      <c r="I2091" s="21" t="s">
        <v>1223</v>
      </c>
      <c r="J2091" s="21" t="s">
        <v>1000</v>
      </c>
      <c r="K2091" s="21" t="s">
        <v>1021</v>
      </c>
      <c r="L2091" s="21" t="s">
        <v>1235</v>
      </c>
      <c r="M2091" s="21" t="s">
        <v>12</v>
      </c>
      <c r="N2091" s="54">
        <v>1500</v>
      </c>
      <c r="O2091" s="54">
        <v>2000</v>
      </c>
      <c r="P2091" s="54">
        <v>0</v>
      </c>
      <c r="Q2091" s="54">
        <v>3500</v>
      </c>
      <c r="R2091" s="54">
        <v>0</v>
      </c>
      <c r="S2091" s="54">
        <v>0</v>
      </c>
      <c r="T2091" s="54">
        <v>0</v>
      </c>
      <c r="U2091" s="54">
        <v>3500</v>
      </c>
      <c r="V2091" s="54">
        <v>3500</v>
      </c>
      <c r="W2091" s="54">
        <v>3500</v>
      </c>
    </row>
    <row r="2092" spans="1:23" outlineLevel="2" x14ac:dyDescent="0.2">
      <c r="A2092" s="21" t="s">
        <v>999</v>
      </c>
      <c r="B2092" s="21" t="s">
        <v>53</v>
      </c>
      <c r="C2092" s="21" t="s">
        <v>85</v>
      </c>
      <c r="D2092" s="21" t="s">
        <v>86</v>
      </c>
      <c r="E2092" s="21" t="s">
        <v>87</v>
      </c>
      <c r="F2092" s="21" t="s">
        <v>1236</v>
      </c>
      <c r="G2092" s="21" t="s">
        <v>1237</v>
      </c>
      <c r="H2092" s="21" t="s">
        <v>1238</v>
      </c>
      <c r="I2092" s="21" t="s">
        <v>1239</v>
      </c>
      <c r="J2092" s="21" t="s">
        <v>1000</v>
      </c>
      <c r="K2092" s="21" t="s">
        <v>1090</v>
      </c>
      <c r="L2092" s="21" t="s">
        <v>1240</v>
      </c>
      <c r="M2092" s="21" t="s">
        <v>12</v>
      </c>
      <c r="N2092" s="54">
        <v>6000</v>
      </c>
      <c r="O2092" s="54">
        <v>0</v>
      </c>
      <c r="P2092" s="54">
        <v>0</v>
      </c>
      <c r="Q2092" s="54">
        <v>6000</v>
      </c>
      <c r="R2092" s="54">
        <v>0</v>
      </c>
      <c r="S2092" s="54">
        <v>1521.34</v>
      </c>
      <c r="T2092" s="54">
        <v>0</v>
      </c>
      <c r="U2092" s="54">
        <v>4478.66</v>
      </c>
      <c r="V2092" s="54">
        <v>6000</v>
      </c>
      <c r="W2092" s="54">
        <v>4478.66</v>
      </c>
    </row>
    <row r="2093" spans="1:23" outlineLevel="2" x14ac:dyDescent="0.2">
      <c r="A2093" s="21" t="s">
        <v>999</v>
      </c>
      <c r="B2093" s="21" t="s">
        <v>53</v>
      </c>
      <c r="C2093" s="21" t="s">
        <v>85</v>
      </c>
      <c r="D2093" s="21" t="s">
        <v>86</v>
      </c>
      <c r="E2093" s="21" t="s">
        <v>87</v>
      </c>
      <c r="F2093" s="21" t="s">
        <v>1236</v>
      </c>
      <c r="G2093" s="21" t="s">
        <v>1237</v>
      </c>
      <c r="H2093" s="21" t="s">
        <v>1238</v>
      </c>
      <c r="I2093" s="21" t="s">
        <v>1239</v>
      </c>
      <c r="J2093" s="21" t="s">
        <v>1000</v>
      </c>
      <c r="K2093" s="21" t="s">
        <v>1013</v>
      </c>
      <c r="L2093" s="21" t="s">
        <v>1241</v>
      </c>
      <c r="M2093" s="21" t="s">
        <v>12</v>
      </c>
      <c r="N2093" s="54">
        <v>83000</v>
      </c>
      <c r="O2093" s="54">
        <v>0</v>
      </c>
      <c r="P2093" s="54">
        <v>0</v>
      </c>
      <c r="Q2093" s="54">
        <v>83000</v>
      </c>
      <c r="R2093" s="54">
        <v>0</v>
      </c>
      <c r="S2093" s="54">
        <v>0</v>
      </c>
      <c r="T2093" s="54">
        <v>0</v>
      </c>
      <c r="U2093" s="54">
        <v>83000</v>
      </c>
      <c r="V2093" s="54">
        <v>83000</v>
      </c>
      <c r="W2093" s="54">
        <v>83000</v>
      </c>
    </row>
    <row r="2094" spans="1:23" outlineLevel="2" x14ac:dyDescent="0.2">
      <c r="A2094" s="21" t="s">
        <v>999</v>
      </c>
      <c r="B2094" s="21" t="s">
        <v>53</v>
      </c>
      <c r="C2094" s="21" t="s">
        <v>85</v>
      </c>
      <c r="D2094" s="21" t="s">
        <v>86</v>
      </c>
      <c r="E2094" s="21" t="s">
        <v>87</v>
      </c>
      <c r="F2094" s="21" t="s">
        <v>1236</v>
      </c>
      <c r="G2094" s="21" t="s">
        <v>1237</v>
      </c>
      <c r="H2094" s="21" t="s">
        <v>1238</v>
      </c>
      <c r="I2094" s="21" t="s">
        <v>1239</v>
      </c>
      <c r="J2094" s="21" t="s">
        <v>1000</v>
      </c>
      <c r="K2094" s="21" t="s">
        <v>1017</v>
      </c>
      <c r="L2094" s="21" t="s">
        <v>1242</v>
      </c>
      <c r="M2094" s="21" t="s">
        <v>12</v>
      </c>
      <c r="N2094" s="54">
        <v>4574</v>
      </c>
      <c r="O2094" s="54">
        <v>0</v>
      </c>
      <c r="P2094" s="54">
        <v>0</v>
      </c>
      <c r="Q2094" s="54">
        <v>4574</v>
      </c>
      <c r="R2094" s="54">
        <v>0</v>
      </c>
      <c r="S2094" s="54">
        <v>0</v>
      </c>
      <c r="T2094" s="54">
        <v>0</v>
      </c>
      <c r="U2094" s="54">
        <v>4574</v>
      </c>
      <c r="V2094" s="54">
        <v>4574</v>
      </c>
      <c r="W2094" s="54">
        <v>4574</v>
      </c>
    </row>
    <row r="2095" spans="1:23" outlineLevel="2" x14ac:dyDescent="0.2">
      <c r="A2095" s="21" t="s">
        <v>999</v>
      </c>
      <c r="B2095" s="21" t="s">
        <v>53</v>
      </c>
      <c r="C2095" s="21" t="s">
        <v>85</v>
      </c>
      <c r="D2095" s="21" t="s">
        <v>86</v>
      </c>
      <c r="E2095" s="21" t="s">
        <v>87</v>
      </c>
      <c r="F2095" s="21" t="s">
        <v>1243</v>
      </c>
      <c r="G2095" s="21" t="s">
        <v>1244</v>
      </c>
      <c r="H2095" s="21" t="s">
        <v>1245</v>
      </c>
      <c r="I2095" s="21" t="s">
        <v>1246</v>
      </c>
      <c r="J2095" s="21" t="s">
        <v>1000</v>
      </c>
      <c r="K2095" s="21" t="s">
        <v>1090</v>
      </c>
      <c r="L2095" s="21" t="s">
        <v>1247</v>
      </c>
      <c r="M2095" s="21" t="s">
        <v>12</v>
      </c>
      <c r="N2095" s="54">
        <v>1000</v>
      </c>
      <c r="O2095" s="54">
        <v>0</v>
      </c>
      <c r="P2095" s="54">
        <v>0</v>
      </c>
      <c r="Q2095" s="54">
        <v>1000</v>
      </c>
      <c r="R2095" s="54">
        <v>0</v>
      </c>
      <c r="S2095" s="54">
        <v>0</v>
      </c>
      <c r="T2095" s="54">
        <v>0</v>
      </c>
      <c r="U2095" s="54">
        <v>1000</v>
      </c>
      <c r="V2095" s="54">
        <v>1000</v>
      </c>
      <c r="W2095" s="54">
        <v>1000</v>
      </c>
    </row>
    <row r="2096" spans="1:23" outlineLevel="2" x14ac:dyDescent="0.2">
      <c r="A2096" s="21" t="s">
        <v>999</v>
      </c>
      <c r="B2096" s="21" t="s">
        <v>53</v>
      </c>
      <c r="C2096" s="21" t="s">
        <v>85</v>
      </c>
      <c r="D2096" s="21" t="s">
        <v>86</v>
      </c>
      <c r="E2096" s="21" t="s">
        <v>87</v>
      </c>
      <c r="F2096" s="21" t="s">
        <v>1243</v>
      </c>
      <c r="G2096" s="21" t="s">
        <v>1244</v>
      </c>
      <c r="H2096" s="21" t="s">
        <v>1245</v>
      </c>
      <c r="I2096" s="21" t="s">
        <v>1246</v>
      </c>
      <c r="J2096" s="21" t="s">
        <v>1000</v>
      </c>
      <c r="K2096" s="21" t="s">
        <v>1013</v>
      </c>
      <c r="L2096" s="21" t="s">
        <v>1248</v>
      </c>
      <c r="M2096" s="21" t="s">
        <v>12</v>
      </c>
      <c r="N2096" s="54">
        <v>44000</v>
      </c>
      <c r="O2096" s="54">
        <v>17000</v>
      </c>
      <c r="P2096" s="54">
        <v>0</v>
      </c>
      <c r="Q2096" s="54">
        <v>61000</v>
      </c>
      <c r="R2096" s="54">
        <v>0</v>
      </c>
      <c r="S2096" s="54">
        <v>0</v>
      </c>
      <c r="T2096" s="54">
        <v>0</v>
      </c>
      <c r="U2096" s="54">
        <v>61000</v>
      </c>
      <c r="V2096" s="54">
        <v>61000</v>
      </c>
      <c r="W2096" s="54">
        <v>61000</v>
      </c>
    </row>
    <row r="2097" spans="1:23" outlineLevel="2" x14ac:dyDescent="0.2">
      <c r="A2097" s="21" t="s">
        <v>999</v>
      </c>
      <c r="B2097" s="21" t="s">
        <v>31</v>
      </c>
      <c r="C2097" s="21" t="s">
        <v>79</v>
      </c>
      <c r="D2097" s="21" t="s">
        <v>83</v>
      </c>
      <c r="E2097" s="21" t="s">
        <v>84</v>
      </c>
      <c r="F2097" s="21" t="s">
        <v>874</v>
      </c>
      <c r="G2097" s="21" t="s">
        <v>875</v>
      </c>
      <c r="H2097" s="21" t="s">
        <v>876</v>
      </c>
      <c r="I2097" s="21" t="s">
        <v>877</v>
      </c>
      <c r="J2097" s="21" t="s">
        <v>1000</v>
      </c>
      <c r="K2097" s="21" t="s">
        <v>1039</v>
      </c>
      <c r="L2097" s="21" t="s">
        <v>1249</v>
      </c>
      <c r="M2097" s="21" t="s">
        <v>12</v>
      </c>
      <c r="N2097" s="54">
        <v>2647786.7799999998</v>
      </c>
      <c r="O2097" s="54">
        <v>-2095235.6</v>
      </c>
      <c r="P2097" s="54">
        <v>0</v>
      </c>
      <c r="Q2097" s="54">
        <v>552551.18000000005</v>
      </c>
      <c r="R2097" s="54">
        <v>0</v>
      </c>
      <c r="S2097" s="54">
        <v>299521.82</v>
      </c>
      <c r="T2097" s="54">
        <v>23215.58</v>
      </c>
      <c r="U2097" s="54">
        <v>253029.36</v>
      </c>
      <c r="V2097" s="54">
        <v>529335.6</v>
      </c>
      <c r="W2097" s="54">
        <v>253029.36</v>
      </c>
    </row>
    <row r="2098" spans="1:23" outlineLevel="2" x14ac:dyDescent="0.2">
      <c r="A2098" s="21" t="s">
        <v>999</v>
      </c>
      <c r="B2098" s="21" t="s">
        <v>31</v>
      </c>
      <c r="C2098" s="21" t="s">
        <v>79</v>
      </c>
      <c r="D2098" s="21" t="s">
        <v>83</v>
      </c>
      <c r="E2098" s="21" t="s">
        <v>84</v>
      </c>
      <c r="F2098" s="21" t="s">
        <v>874</v>
      </c>
      <c r="G2098" s="21" t="s">
        <v>875</v>
      </c>
      <c r="H2098" s="21" t="s">
        <v>876</v>
      </c>
      <c r="I2098" s="21" t="s">
        <v>877</v>
      </c>
      <c r="J2098" s="21" t="s">
        <v>1000</v>
      </c>
      <c r="K2098" s="21" t="s">
        <v>1017</v>
      </c>
      <c r="L2098" s="21" t="s">
        <v>1250</v>
      </c>
      <c r="M2098" s="21" t="s">
        <v>12</v>
      </c>
      <c r="N2098" s="54">
        <v>92213.22</v>
      </c>
      <c r="O2098" s="54">
        <v>0</v>
      </c>
      <c r="P2098" s="54">
        <v>0</v>
      </c>
      <c r="Q2098" s="54">
        <v>92213.22</v>
      </c>
      <c r="R2098" s="54">
        <v>0</v>
      </c>
      <c r="S2098" s="54">
        <v>0</v>
      </c>
      <c r="T2098" s="54">
        <v>0</v>
      </c>
      <c r="U2098" s="54">
        <v>92213.22</v>
      </c>
      <c r="V2098" s="54">
        <v>92213.22</v>
      </c>
      <c r="W2098" s="54">
        <v>92213.22</v>
      </c>
    </row>
    <row r="2099" spans="1:23" outlineLevel="2" x14ac:dyDescent="0.2">
      <c r="A2099" s="21" t="s">
        <v>999</v>
      </c>
      <c r="B2099" s="21" t="s">
        <v>31</v>
      </c>
      <c r="C2099" s="21" t="s">
        <v>79</v>
      </c>
      <c r="D2099" s="21" t="s">
        <v>83</v>
      </c>
      <c r="E2099" s="21" t="s">
        <v>84</v>
      </c>
      <c r="F2099" s="21" t="s">
        <v>874</v>
      </c>
      <c r="G2099" s="21" t="s">
        <v>875</v>
      </c>
      <c r="H2099" s="21" t="s">
        <v>1251</v>
      </c>
      <c r="I2099" s="21" t="s">
        <v>1252</v>
      </c>
      <c r="J2099" s="21" t="s">
        <v>1000</v>
      </c>
      <c r="K2099" s="21" t="s">
        <v>1074</v>
      </c>
      <c r="L2099" s="21" t="s">
        <v>1253</v>
      </c>
      <c r="M2099" s="21" t="s">
        <v>12</v>
      </c>
      <c r="N2099" s="54">
        <v>627328</v>
      </c>
      <c r="O2099" s="54">
        <v>-239086.56</v>
      </c>
      <c r="P2099" s="54">
        <v>0</v>
      </c>
      <c r="Q2099" s="54">
        <v>388241.44</v>
      </c>
      <c r="R2099" s="54">
        <v>0</v>
      </c>
      <c r="S2099" s="54">
        <v>0</v>
      </c>
      <c r="T2099" s="54">
        <v>0</v>
      </c>
      <c r="U2099" s="54">
        <v>388241.44</v>
      </c>
      <c r="V2099" s="54">
        <v>388241.44</v>
      </c>
      <c r="W2099" s="54">
        <v>388241.44</v>
      </c>
    </row>
    <row r="2100" spans="1:23" outlineLevel="2" x14ac:dyDescent="0.2">
      <c r="A2100" s="21" t="s">
        <v>999</v>
      </c>
      <c r="B2100" s="21" t="s">
        <v>31</v>
      </c>
      <c r="C2100" s="21" t="s">
        <v>79</v>
      </c>
      <c r="D2100" s="21" t="s">
        <v>83</v>
      </c>
      <c r="E2100" s="21" t="s">
        <v>84</v>
      </c>
      <c r="F2100" s="21" t="s">
        <v>874</v>
      </c>
      <c r="G2100" s="21" t="s">
        <v>875</v>
      </c>
      <c r="H2100" s="21" t="s">
        <v>1251</v>
      </c>
      <c r="I2100" s="21" t="s">
        <v>1252</v>
      </c>
      <c r="J2100" s="21" t="s">
        <v>1000</v>
      </c>
      <c r="K2100" s="21" t="s">
        <v>1017</v>
      </c>
      <c r="L2100" s="21" t="s">
        <v>1250</v>
      </c>
      <c r="M2100" s="21" t="s">
        <v>12</v>
      </c>
      <c r="N2100" s="54">
        <v>230000</v>
      </c>
      <c r="O2100" s="54">
        <v>0</v>
      </c>
      <c r="P2100" s="54">
        <v>0</v>
      </c>
      <c r="Q2100" s="54">
        <v>230000</v>
      </c>
      <c r="R2100" s="54">
        <v>89328</v>
      </c>
      <c r="S2100" s="54">
        <v>140672</v>
      </c>
      <c r="T2100" s="54">
        <v>44352</v>
      </c>
      <c r="U2100" s="54">
        <v>89328</v>
      </c>
      <c r="V2100" s="54">
        <v>185648</v>
      </c>
      <c r="W2100" s="54">
        <v>0</v>
      </c>
    </row>
    <row r="2101" spans="1:23" outlineLevel="2" x14ac:dyDescent="0.2">
      <c r="A2101" s="21" t="s">
        <v>999</v>
      </c>
      <c r="B2101" s="21" t="s">
        <v>31</v>
      </c>
      <c r="C2101" s="21" t="s">
        <v>79</v>
      </c>
      <c r="D2101" s="21" t="s">
        <v>83</v>
      </c>
      <c r="E2101" s="21" t="s">
        <v>84</v>
      </c>
      <c r="F2101" s="21" t="s">
        <v>874</v>
      </c>
      <c r="G2101" s="21" t="s">
        <v>875</v>
      </c>
      <c r="H2101" s="21" t="s">
        <v>1251</v>
      </c>
      <c r="I2101" s="21" t="s">
        <v>1252</v>
      </c>
      <c r="J2101" s="21" t="s">
        <v>1000</v>
      </c>
      <c r="K2101" s="21" t="s">
        <v>1031</v>
      </c>
      <c r="L2101" s="21" t="s">
        <v>1254</v>
      </c>
      <c r="M2101" s="21" t="s">
        <v>12</v>
      </c>
      <c r="N2101" s="54">
        <v>2000</v>
      </c>
      <c r="O2101" s="54">
        <v>-2000</v>
      </c>
      <c r="P2101" s="54">
        <v>0</v>
      </c>
      <c r="Q2101" s="54">
        <v>0</v>
      </c>
      <c r="R2101" s="54">
        <v>0</v>
      </c>
      <c r="S2101" s="54">
        <v>0</v>
      </c>
      <c r="T2101" s="54">
        <v>0</v>
      </c>
      <c r="U2101" s="54">
        <v>0</v>
      </c>
      <c r="V2101" s="54">
        <v>0</v>
      </c>
      <c r="W2101" s="54">
        <v>0</v>
      </c>
    </row>
    <row r="2102" spans="1:23" outlineLevel="2" x14ac:dyDescent="0.2">
      <c r="A2102" s="21" t="s">
        <v>999</v>
      </c>
      <c r="B2102" s="21" t="s">
        <v>31</v>
      </c>
      <c r="C2102" s="21" t="s">
        <v>79</v>
      </c>
      <c r="D2102" s="21" t="s">
        <v>80</v>
      </c>
      <c r="E2102" s="21" t="s">
        <v>81</v>
      </c>
      <c r="F2102" s="21" t="s">
        <v>883</v>
      </c>
      <c r="G2102" s="21" t="s">
        <v>884</v>
      </c>
      <c r="H2102" s="21" t="s">
        <v>1255</v>
      </c>
      <c r="I2102" s="21" t="s">
        <v>1256</v>
      </c>
      <c r="J2102" s="21" t="s">
        <v>1000</v>
      </c>
      <c r="K2102" s="21" t="s">
        <v>1001</v>
      </c>
      <c r="L2102" s="21" t="s">
        <v>1257</v>
      </c>
      <c r="M2102" s="21" t="s">
        <v>12</v>
      </c>
      <c r="N2102" s="54">
        <v>3500</v>
      </c>
      <c r="O2102" s="54">
        <v>0</v>
      </c>
      <c r="P2102" s="54">
        <v>0</v>
      </c>
      <c r="Q2102" s="54">
        <v>3500</v>
      </c>
      <c r="R2102" s="54">
        <v>0</v>
      </c>
      <c r="S2102" s="54">
        <v>0</v>
      </c>
      <c r="T2102" s="54">
        <v>0</v>
      </c>
      <c r="U2102" s="54">
        <v>3500</v>
      </c>
      <c r="V2102" s="54">
        <v>3500</v>
      </c>
      <c r="W2102" s="54">
        <v>3500</v>
      </c>
    </row>
    <row r="2103" spans="1:23" outlineLevel="2" x14ac:dyDescent="0.2">
      <c r="A2103" s="21" t="s">
        <v>999</v>
      </c>
      <c r="B2103" s="21" t="s">
        <v>31</v>
      </c>
      <c r="C2103" s="21" t="s">
        <v>79</v>
      </c>
      <c r="D2103" s="21" t="s">
        <v>80</v>
      </c>
      <c r="E2103" s="21" t="s">
        <v>81</v>
      </c>
      <c r="F2103" s="21" t="s">
        <v>883</v>
      </c>
      <c r="G2103" s="21" t="s">
        <v>884</v>
      </c>
      <c r="H2103" s="21" t="s">
        <v>1255</v>
      </c>
      <c r="I2103" s="21" t="s">
        <v>1256</v>
      </c>
      <c r="J2103" s="21" t="s">
        <v>1000</v>
      </c>
      <c r="K2103" s="21" t="s">
        <v>1037</v>
      </c>
      <c r="L2103" s="21" t="s">
        <v>1258</v>
      </c>
      <c r="M2103" s="21" t="s">
        <v>12</v>
      </c>
      <c r="N2103" s="54">
        <v>7000</v>
      </c>
      <c r="O2103" s="54">
        <v>0</v>
      </c>
      <c r="P2103" s="54">
        <v>0</v>
      </c>
      <c r="Q2103" s="54">
        <v>7000</v>
      </c>
      <c r="R2103" s="54">
        <v>0</v>
      </c>
      <c r="S2103" s="54">
        <v>0</v>
      </c>
      <c r="T2103" s="54">
        <v>0</v>
      </c>
      <c r="U2103" s="54">
        <v>7000</v>
      </c>
      <c r="V2103" s="54">
        <v>7000</v>
      </c>
      <c r="W2103" s="54">
        <v>7000</v>
      </c>
    </row>
    <row r="2104" spans="1:23" outlineLevel="2" x14ac:dyDescent="0.2">
      <c r="A2104" s="21" t="s">
        <v>999</v>
      </c>
      <c r="B2104" s="21" t="s">
        <v>31</v>
      </c>
      <c r="C2104" s="21" t="s">
        <v>79</v>
      </c>
      <c r="D2104" s="21" t="s">
        <v>80</v>
      </c>
      <c r="E2104" s="21" t="s">
        <v>81</v>
      </c>
      <c r="F2104" s="21" t="s">
        <v>883</v>
      </c>
      <c r="G2104" s="21" t="s">
        <v>884</v>
      </c>
      <c r="H2104" s="21" t="s">
        <v>1255</v>
      </c>
      <c r="I2104" s="21" t="s">
        <v>1256</v>
      </c>
      <c r="J2104" s="21" t="s">
        <v>1000</v>
      </c>
      <c r="K2104" s="21" t="s">
        <v>1175</v>
      </c>
      <c r="L2104" s="21" t="s">
        <v>1259</v>
      </c>
      <c r="M2104" s="21" t="s">
        <v>12</v>
      </c>
      <c r="N2104" s="54">
        <v>63500</v>
      </c>
      <c r="O2104" s="54">
        <v>0</v>
      </c>
      <c r="P2104" s="54">
        <v>0</v>
      </c>
      <c r="Q2104" s="54">
        <v>63500</v>
      </c>
      <c r="R2104" s="54">
        <v>0</v>
      </c>
      <c r="S2104" s="54">
        <v>63500</v>
      </c>
      <c r="T2104" s="54">
        <v>105</v>
      </c>
      <c r="U2104" s="54">
        <v>0</v>
      </c>
      <c r="V2104" s="54">
        <v>63395</v>
      </c>
      <c r="W2104" s="54">
        <v>0</v>
      </c>
    </row>
    <row r="2105" spans="1:23" outlineLevel="2" x14ac:dyDescent="0.2">
      <c r="A2105" s="21" t="s">
        <v>999</v>
      </c>
      <c r="B2105" s="21" t="s">
        <v>31</v>
      </c>
      <c r="C2105" s="21" t="s">
        <v>79</v>
      </c>
      <c r="D2105" s="21" t="s">
        <v>80</v>
      </c>
      <c r="E2105" s="21" t="s">
        <v>81</v>
      </c>
      <c r="F2105" s="21" t="s">
        <v>883</v>
      </c>
      <c r="G2105" s="21" t="s">
        <v>884</v>
      </c>
      <c r="H2105" s="21" t="s">
        <v>1255</v>
      </c>
      <c r="I2105" s="21" t="s">
        <v>1256</v>
      </c>
      <c r="J2105" s="21" t="s">
        <v>1000</v>
      </c>
      <c r="K2105" s="21" t="s">
        <v>1260</v>
      </c>
      <c r="L2105" s="21" t="s">
        <v>1261</v>
      </c>
      <c r="M2105" s="21" t="s">
        <v>12</v>
      </c>
      <c r="N2105" s="54">
        <v>10000</v>
      </c>
      <c r="O2105" s="54">
        <v>0</v>
      </c>
      <c r="P2105" s="54">
        <v>0</v>
      </c>
      <c r="Q2105" s="54">
        <v>10000</v>
      </c>
      <c r="R2105" s="54">
        <v>0</v>
      </c>
      <c r="S2105" s="54">
        <v>0</v>
      </c>
      <c r="T2105" s="54">
        <v>0</v>
      </c>
      <c r="U2105" s="54">
        <v>10000</v>
      </c>
      <c r="V2105" s="54">
        <v>10000</v>
      </c>
      <c r="W2105" s="54">
        <v>10000</v>
      </c>
    </row>
    <row r="2106" spans="1:23" outlineLevel="2" x14ac:dyDescent="0.2">
      <c r="A2106" s="21" t="s">
        <v>999</v>
      </c>
      <c r="B2106" s="21" t="s">
        <v>31</v>
      </c>
      <c r="C2106" s="21" t="s">
        <v>79</v>
      </c>
      <c r="D2106" s="21" t="s">
        <v>80</v>
      </c>
      <c r="E2106" s="21" t="s">
        <v>81</v>
      </c>
      <c r="F2106" s="21" t="s">
        <v>883</v>
      </c>
      <c r="G2106" s="21" t="s">
        <v>884</v>
      </c>
      <c r="H2106" s="21" t="s">
        <v>1255</v>
      </c>
      <c r="I2106" s="21" t="s">
        <v>1256</v>
      </c>
      <c r="J2106" s="21" t="s">
        <v>1000</v>
      </c>
      <c r="K2106" s="21" t="s">
        <v>1262</v>
      </c>
      <c r="L2106" s="21" t="s">
        <v>1263</v>
      </c>
      <c r="M2106" s="21" t="s">
        <v>12</v>
      </c>
      <c r="N2106" s="54">
        <v>10000</v>
      </c>
      <c r="O2106" s="54">
        <v>0</v>
      </c>
      <c r="P2106" s="54">
        <v>0</v>
      </c>
      <c r="Q2106" s="54">
        <v>10000</v>
      </c>
      <c r="R2106" s="54">
        <v>0</v>
      </c>
      <c r="S2106" s="54">
        <v>0</v>
      </c>
      <c r="T2106" s="54">
        <v>0</v>
      </c>
      <c r="U2106" s="54">
        <v>10000</v>
      </c>
      <c r="V2106" s="54">
        <v>10000</v>
      </c>
      <c r="W2106" s="54">
        <v>10000</v>
      </c>
    </row>
    <row r="2107" spans="1:23" outlineLevel="2" x14ac:dyDescent="0.2">
      <c r="A2107" s="21" t="s">
        <v>999</v>
      </c>
      <c r="B2107" s="21" t="s">
        <v>31</v>
      </c>
      <c r="C2107" s="21" t="s">
        <v>79</v>
      </c>
      <c r="D2107" s="21" t="s">
        <v>127</v>
      </c>
      <c r="E2107" s="21" t="s">
        <v>128</v>
      </c>
      <c r="F2107" s="21" t="s">
        <v>883</v>
      </c>
      <c r="G2107" s="21" t="s">
        <v>884</v>
      </c>
      <c r="H2107" s="21" t="s">
        <v>1255</v>
      </c>
      <c r="I2107" s="21" t="s">
        <v>1256</v>
      </c>
      <c r="J2107" s="21" t="s">
        <v>1000</v>
      </c>
      <c r="K2107" s="21" t="s">
        <v>1003</v>
      </c>
      <c r="L2107" s="21" t="s">
        <v>1264</v>
      </c>
      <c r="M2107" s="21" t="s">
        <v>12</v>
      </c>
      <c r="N2107" s="54">
        <v>0</v>
      </c>
      <c r="O2107" s="54">
        <v>50400</v>
      </c>
      <c r="P2107" s="54">
        <v>0</v>
      </c>
      <c r="Q2107" s="54">
        <v>50400</v>
      </c>
      <c r="R2107" s="54">
        <v>50400</v>
      </c>
      <c r="S2107" s="54">
        <v>0</v>
      </c>
      <c r="T2107" s="54">
        <v>0</v>
      </c>
      <c r="U2107" s="54">
        <v>50400</v>
      </c>
      <c r="V2107" s="54">
        <v>50400</v>
      </c>
      <c r="W2107" s="54">
        <v>0</v>
      </c>
    </row>
    <row r="2108" spans="1:23" outlineLevel="2" x14ac:dyDescent="0.2">
      <c r="A2108" s="21" t="s">
        <v>999</v>
      </c>
      <c r="B2108" s="21" t="s">
        <v>31</v>
      </c>
      <c r="C2108" s="21" t="s">
        <v>79</v>
      </c>
      <c r="D2108" s="21" t="s">
        <v>125</v>
      </c>
      <c r="E2108" s="21" t="s">
        <v>126</v>
      </c>
      <c r="F2108" s="21" t="s">
        <v>883</v>
      </c>
      <c r="G2108" s="21" t="s">
        <v>884</v>
      </c>
      <c r="H2108" s="21" t="s">
        <v>1255</v>
      </c>
      <c r="I2108" s="21" t="s">
        <v>1256</v>
      </c>
      <c r="J2108" s="21" t="s">
        <v>1000</v>
      </c>
      <c r="K2108" s="21" t="s">
        <v>1003</v>
      </c>
      <c r="L2108" s="21" t="s">
        <v>1264</v>
      </c>
      <c r="M2108" s="21" t="s">
        <v>12</v>
      </c>
      <c r="N2108" s="54">
        <v>502708.47</v>
      </c>
      <c r="O2108" s="54">
        <v>0</v>
      </c>
      <c r="P2108" s="54">
        <v>0</v>
      </c>
      <c r="Q2108" s="54">
        <v>502708.47</v>
      </c>
      <c r="R2108" s="54">
        <v>0</v>
      </c>
      <c r="S2108" s="54">
        <v>0</v>
      </c>
      <c r="T2108" s="54">
        <v>0</v>
      </c>
      <c r="U2108" s="54">
        <v>502708.47</v>
      </c>
      <c r="V2108" s="54">
        <v>502708.47</v>
      </c>
      <c r="W2108" s="54">
        <v>502708.47</v>
      </c>
    </row>
    <row r="2109" spans="1:23" outlineLevel="2" x14ac:dyDescent="0.2">
      <c r="A2109" s="21" t="s">
        <v>999</v>
      </c>
      <c r="B2109" s="21" t="s">
        <v>31</v>
      </c>
      <c r="C2109" s="21" t="s">
        <v>79</v>
      </c>
      <c r="D2109" s="21" t="s">
        <v>115</v>
      </c>
      <c r="E2109" s="21" t="s">
        <v>116</v>
      </c>
      <c r="F2109" s="21" t="s">
        <v>883</v>
      </c>
      <c r="G2109" s="21" t="s">
        <v>884</v>
      </c>
      <c r="H2109" s="21" t="s">
        <v>1255</v>
      </c>
      <c r="I2109" s="21" t="s">
        <v>1256</v>
      </c>
      <c r="J2109" s="21" t="s">
        <v>1000</v>
      </c>
      <c r="K2109" s="21" t="s">
        <v>1009</v>
      </c>
      <c r="L2109" s="21" t="s">
        <v>1265</v>
      </c>
      <c r="M2109" s="21" t="s">
        <v>12</v>
      </c>
      <c r="N2109" s="54">
        <v>800</v>
      </c>
      <c r="O2109" s="54">
        <v>0</v>
      </c>
      <c r="P2109" s="54">
        <v>0</v>
      </c>
      <c r="Q2109" s="54">
        <v>800</v>
      </c>
      <c r="R2109" s="54">
        <v>0</v>
      </c>
      <c r="S2109" s="54">
        <v>0</v>
      </c>
      <c r="T2109" s="54">
        <v>0</v>
      </c>
      <c r="U2109" s="54">
        <v>800</v>
      </c>
      <c r="V2109" s="54">
        <v>800</v>
      </c>
      <c r="W2109" s="54">
        <v>800</v>
      </c>
    </row>
    <row r="2110" spans="1:23" outlineLevel="2" x14ac:dyDescent="0.2">
      <c r="A2110" s="21" t="s">
        <v>999</v>
      </c>
      <c r="B2110" s="21" t="s">
        <v>31</v>
      </c>
      <c r="C2110" s="21" t="s">
        <v>79</v>
      </c>
      <c r="D2110" s="21" t="s">
        <v>133</v>
      </c>
      <c r="E2110" s="21" t="s">
        <v>134</v>
      </c>
      <c r="F2110" s="21" t="s">
        <v>883</v>
      </c>
      <c r="G2110" s="21" t="s">
        <v>884</v>
      </c>
      <c r="H2110" s="21" t="s">
        <v>1255</v>
      </c>
      <c r="I2110" s="21" t="s">
        <v>1256</v>
      </c>
      <c r="J2110" s="21" t="s">
        <v>1000</v>
      </c>
      <c r="K2110" s="21" t="s">
        <v>1017</v>
      </c>
      <c r="L2110" s="21" t="s">
        <v>1266</v>
      </c>
      <c r="M2110" s="21" t="s">
        <v>12</v>
      </c>
      <c r="N2110" s="54">
        <v>6000</v>
      </c>
      <c r="O2110" s="54">
        <v>0</v>
      </c>
      <c r="P2110" s="54">
        <v>0</v>
      </c>
      <c r="Q2110" s="54">
        <v>6000</v>
      </c>
      <c r="R2110" s="54">
        <v>0</v>
      </c>
      <c r="S2110" s="54">
        <v>0</v>
      </c>
      <c r="T2110" s="54">
        <v>0</v>
      </c>
      <c r="U2110" s="54">
        <v>6000</v>
      </c>
      <c r="V2110" s="54">
        <v>6000</v>
      </c>
      <c r="W2110" s="54">
        <v>6000</v>
      </c>
    </row>
    <row r="2111" spans="1:23" outlineLevel="2" x14ac:dyDescent="0.2">
      <c r="A2111" s="21" t="s">
        <v>999</v>
      </c>
      <c r="B2111" s="21" t="s">
        <v>31</v>
      </c>
      <c r="C2111" s="21" t="s">
        <v>79</v>
      </c>
      <c r="D2111" s="21" t="s">
        <v>113</v>
      </c>
      <c r="E2111" s="21" t="s">
        <v>114</v>
      </c>
      <c r="F2111" s="21" t="s">
        <v>883</v>
      </c>
      <c r="G2111" s="21" t="s">
        <v>884</v>
      </c>
      <c r="H2111" s="21" t="s">
        <v>1255</v>
      </c>
      <c r="I2111" s="21" t="s">
        <v>1256</v>
      </c>
      <c r="J2111" s="21" t="s">
        <v>1000</v>
      </c>
      <c r="K2111" s="21" t="s">
        <v>1267</v>
      </c>
      <c r="L2111" s="21" t="s">
        <v>1268</v>
      </c>
      <c r="M2111" s="21" t="s">
        <v>12</v>
      </c>
      <c r="N2111" s="54">
        <v>30000</v>
      </c>
      <c r="O2111" s="54">
        <v>0</v>
      </c>
      <c r="P2111" s="54">
        <v>0</v>
      </c>
      <c r="Q2111" s="54">
        <v>30000</v>
      </c>
      <c r="R2111" s="54">
        <v>5135</v>
      </c>
      <c r="S2111" s="54">
        <v>0</v>
      </c>
      <c r="T2111" s="54">
        <v>0</v>
      </c>
      <c r="U2111" s="54">
        <v>30000</v>
      </c>
      <c r="V2111" s="54">
        <v>30000</v>
      </c>
      <c r="W2111" s="54">
        <v>24865</v>
      </c>
    </row>
    <row r="2112" spans="1:23" outlineLevel="2" x14ac:dyDescent="0.2">
      <c r="A2112" s="21" t="s">
        <v>999</v>
      </c>
      <c r="B2112" s="21" t="s">
        <v>31</v>
      </c>
      <c r="C2112" s="21" t="s">
        <v>79</v>
      </c>
      <c r="D2112" s="21" t="s">
        <v>80</v>
      </c>
      <c r="E2112" s="21" t="s">
        <v>81</v>
      </c>
      <c r="F2112" s="21" t="s">
        <v>883</v>
      </c>
      <c r="G2112" s="21" t="s">
        <v>884</v>
      </c>
      <c r="H2112" s="21" t="s">
        <v>1255</v>
      </c>
      <c r="I2112" s="21" t="s">
        <v>1256</v>
      </c>
      <c r="J2112" s="21" t="s">
        <v>1000</v>
      </c>
      <c r="K2112" s="21" t="s">
        <v>1267</v>
      </c>
      <c r="L2112" s="21" t="s">
        <v>1268</v>
      </c>
      <c r="M2112" s="21" t="s">
        <v>12</v>
      </c>
      <c r="N2112" s="54">
        <v>40000</v>
      </c>
      <c r="O2112" s="54">
        <v>0</v>
      </c>
      <c r="P2112" s="54">
        <v>0</v>
      </c>
      <c r="Q2112" s="54">
        <v>40000</v>
      </c>
      <c r="R2112" s="54">
        <v>0</v>
      </c>
      <c r="S2112" s="54">
        <v>20000</v>
      </c>
      <c r="T2112" s="54">
        <v>0</v>
      </c>
      <c r="U2112" s="54">
        <v>20000</v>
      </c>
      <c r="V2112" s="54">
        <v>40000</v>
      </c>
      <c r="W2112" s="54">
        <v>20000</v>
      </c>
    </row>
    <row r="2113" spans="1:23" outlineLevel="2" x14ac:dyDescent="0.2">
      <c r="A2113" s="21" t="s">
        <v>999</v>
      </c>
      <c r="B2113" s="21" t="s">
        <v>31</v>
      </c>
      <c r="C2113" s="21" t="s">
        <v>79</v>
      </c>
      <c r="D2113" s="21" t="s">
        <v>111</v>
      </c>
      <c r="E2113" s="21" t="s">
        <v>112</v>
      </c>
      <c r="F2113" s="21" t="s">
        <v>883</v>
      </c>
      <c r="G2113" s="21" t="s">
        <v>884</v>
      </c>
      <c r="H2113" s="21" t="s">
        <v>1255</v>
      </c>
      <c r="I2113" s="21" t="s">
        <v>1256</v>
      </c>
      <c r="J2113" s="21" t="s">
        <v>1000</v>
      </c>
      <c r="K2113" s="21" t="s">
        <v>1267</v>
      </c>
      <c r="L2113" s="21" t="s">
        <v>1268</v>
      </c>
      <c r="M2113" s="21" t="s">
        <v>12</v>
      </c>
      <c r="N2113" s="54">
        <v>10260</v>
      </c>
      <c r="O2113" s="54">
        <v>0</v>
      </c>
      <c r="P2113" s="54">
        <v>0</v>
      </c>
      <c r="Q2113" s="54">
        <v>10260</v>
      </c>
      <c r="R2113" s="54">
        <v>0</v>
      </c>
      <c r="S2113" s="54">
        <v>0</v>
      </c>
      <c r="T2113" s="54">
        <v>0</v>
      </c>
      <c r="U2113" s="54">
        <v>10260</v>
      </c>
      <c r="V2113" s="54">
        <v>10260</v>
      </c>
      <c r="W2113" s="54">
        <v>10260</v>
      </c>
    </row>
    <row r="2114" spans="1:23" outlineLevel="2" x14ac:dyDescent="0.2">
      <c r="A2114" s="21" t="s">
        <v>999</v>
      </c>
      <c r="B2114" s="21" t="s">
        <v>31</v>
      </c>
      <c r="C2114" s="21" t="s">
        <v>79</v>
      </c>
      <c r="D2114" s="21" t="s">
        <v>115</v>
      </c>
      <c r="E2114" s="21" t="s">
        <v>116</v>
      </c>
      <c r="F2114" s="21" t="s">
        <v>883</v>
      </c>
      <c r="G2114" s="21" t="s">
        <v>884</v>
      </c>
      <c r="H2114" s="21" t="s">
        <v>1255</v>
      </c>
      <c r="I2114" s="21" t="s">
        <v>1256</v>
      </c>
      <c r="J2114" s="21" t="s">
        <v>1000</v>
      </c>
      <c r="K2114" s="21" t="s">
        <v>1061</v>
      </c>
      <c r="L2114" s="21" t="s">
        <v>1270</v>
      </c>
      <c r="M2114" s="21" t="s">
        <v>12</v>
      </c>
      <c r="N2114" s="54">
        <v>6475</v>
      </c>
      <c r="O2114" s="54">
        <v>0</v>
      </c>
      <c r="P2114" s="54">
        <v>0</v>
      </c>
      <c r="Q2114" s="54">
        <v>6475</v>
      </c>
      <c r="R2114" s="54">
        <v>0</v>
      </c>
      <c r="S2114" s="54">
        <v>0</v>
      </c>
      <c r="T2114" s="54">
        <v>0</v>
      </c>
      <c r="U2114" s="54">
        <v>6475</v>
      </c>
      <c r="V2114" s="54">
        <v>6475</v>
      </c>
      <c r="W2114" s="54">
        <v>6475</v>
      </c>
    </row>
    <row r="2115" spans="1:23" outlineLevel="2" x14ac:dyDescent="0.2">
      <c r="A2115" s="21" t="s">
        <v>999</v>
      </c>
      <c r="B2115" s="21" t="s">
        <v>31</v>
      </c>
      <c r="C2115" s="21" t="s">
        <v>79</v>
      </c>
      <c r="D2115" s="21" t="s">
        <v>115</v>
      </c>
      <c r="E2115" s="21" t="s">
        <v>116</v>
      </c>
      <c r="F2115" s="21" t="s">
        <v>883</v>
      </c>
      <c r="G2115" s="21" t="s">
        <v>884</v>
      </c>
      <c r="H2115" s="21" t="s">
        <v>1255</v>
      </c>
      <c r="I2115" s="21" t="s">
        <v>1256</v>
      </c>
      <c r="J2115" s="21" t="s">
        <v>1000</v>
      </c>
      <c r="K2115" s="21" t="s">
        <v>1194</v>
      </c>
      <c r="L2115" s="21" t="s">
        <v>1271</v>
      </c>
      <c r="M2115" s="21" t="s">
        <v>12</v>
      </c>
      <c r="N2115" s="54">
        <v>425</v>
      </c>
      <c r="O2115" s="54">
        <v>0</v>
      </c>
      <c r="P2115" s="54">
        <v>0</v>
      </c>
      <c r="Q2115" s="54">
        <v>425</v>
      </c>
      <c r="R2115" s="54">
        <v>0</v>
      </c>
      <c r="S2115" s="54">
        <v>0</v>
      </c>
      <c r="T2115" s="54">
        <v>0</v>
      </c>
      <c r="U2115" s="54">
        <v>425</v>
      </c>
      <c r="V2115" s="54">
        <v>425</v>
      </c>
      <c r="W2115" s="54">
        <v>425</v>
      </c>
    </row>
    <row r="2116" spans="1:23" outlineLevel="2" x14ac:dyDescent="0.2">
      <c r="A2116" s="21" t="s">
        <v>999</v>
      </c>
      <c r="B2116" s="21" t="s">
        <v>31</v>
      </c>
      <c r="C2116" s="21" t="s">
        <v>79</v>
      </c>
      <c r="D2116" s="21" t="s">
        <v>115</v>
      </c>
      <c r="E2116" s="21" t="s">
        <v>116</v>
      </c>
      <c r="F2116" s="21" t="s">
        <v>883</v>
      </c>
      <c r="G2116" s="21" t="s">
        <v>884</v>
      </c>
      <c r="H2116" s="21" t="s">
        <v>1255</v>
      </c>
      <c r="I2116" s="21" t="s">
        <v>1256</v>
      </c>
      <c r="J2116" s="21" t="s">
        <v>1000</v>
      </c>
      <c r="K2116" s="21" t="s">
        <v>1183</v>
      </c>
      <c r="L2116" s="21" t="s">
        <v>1272</v>
      </c>
      <c r="M2116" s="21" t="s">
        <v>12</v>
      </c>
      <c r="N2116" s="54">
        <v>1260</v>
      </c>
      <c r="O2116" s="54">
        <v>0</v>
      </c>
      <c r="P2116" s="54">
        <v>0</v>
      </c>
      <c r="Q2116" s="54">
        <v>1260</v>
      </c>
      <c r="R2116" s="54">
        <v>0</v>
      </c>
      <c r="S2116" s="54">
        <v>0</v>
      </c>
      <c r="T2116" s="54">
        <v>0</v>
      </c>
      <c r="U2116" s="54">
        <v>1260</v>
      </c>
      <c r="V2116" s="54">
        <v>1260</v>
      </c>
      <c r="W2116" s="54">
        <v>1260</v>
      </c>
    </row>
    <row r="2117" spans="1:23" outlineLevel="2" x14ac:dyDescent="0.2">
      <c r="A2117" s="21" t="s">
        <v>999</v>
      </c>
      <c r="B2117" s="21" t="s">
        <v>31</v>
      </c>
      <c r="C2117" s="21" t="s">
        <v>79</v>
      </c>
      <c r="D2117" s="21" t="s">
        <v>80</v>
      </c>
      <c r="E2117" s="21" t="s">
        <v>81</v>
      </c>
      <c r="F2117" s="21" t="s">
        <v>883</v>
      </c>
      <c r="G2117" s="21" t="s">
        <v>884</v>
      </c>
      <c r="H2117" s="21" t="s">
        <v>1255</v>
      </c>
      <c r="I2117" s="21" t="s">
        <v>1256</v>
      </c>
      <c r="J2117" s="21" t="s">
        <v>1000</v>
      </c>
      <c r="K2117" s="21" t="s">
        <v>1160</v>
      </c>
      <c r="L2117" s="21" t="s">
        <v>1273</v>
      </c>
      <c r="M2117" s="21" t="s">
        <v>12</v>
      </c>
      <c r="N2117" s="54">
        <v>3000</v>
      </c>
      <c r="O2117" s="54">
        <v>0</v>
      </c>
      <c r="P2117" s="54">
        <v>0</v>
      </c>
      <c r="Q2117" s="54">
        <v>3000</v>
      </c>
      <c r="R2117" s="54">
        <v>0</v>
      </c>
      <c r="S2117" s="54">
        <v>0</v>
      </c>
      <c r="T2117" s="54">
        <v>0</v>
      </c>
      <c r="U2117" s="54">
        <v>3000</v>
      </c>
      <c r="V2117" s="54">
        <v>3000</v>
      </c>
      <c r="W2117" s="54">
        <v>3000</v>
      </c>
    </row>
    <row r="2118" spans="1:23" outlineLevel="2" x14ac:dyDescent="0.2">
      <c r="A2118" s="21" t="s">
        <v>999</v>
      </c>
      <c r="B2118" s="21" t="s">
        <v>31</v>
      </c>
      <c r="C2118" s="21" t="s">
        <v>79</v>
      </c>
      <c r="D2118" s="21" t="s">
        <v>83</v>
      </c>
      <c r="E2118" s="21" t="s">
        <v>84</v>
      </c>
      <c r="F2118" s="21" t="s">
        <v>883</v>
      </c>
      <c r="G2118" s="21" t="s">
        <v>884</v>
      </c>
      <c r="H2118" s="21" t="s">
        <v>1274</v>
      </c>
      <c r="I2118" s="21" t="s">
        <v>1275</v>
      </c>
      <c r="J2118" s="21" t="s">
        <v>1000</v>
      </c>
      <c r="K2118" s="21" t="s">
        <v>1019</v>
      </c>
      <c r="L2118" s="21" t="s">
        <v>1276</v>
      </c>
      <c r="M2118" s="21" t="s">
        <v>12</v>
      </c>
      <c r="N2118" s="54">
        <v>25000</v>
      </c>
      <c r="O2118" s="54">
        <v>0</v>
      </c>
      <c r="P2118" s="54">
        <v>0</v>
      </c>
      <c r="Q2118" s="54">
        <v>25000</v>
      </c>
      <c r="R2118" s="54">
        <v>0</v>
      </c>
      <c r="S2118" s="54">
        <v>0</v>
      </c>
      <c r="T2118" s="54">
        <v>0</v>
      </c>
      <c r="U2118" s="54">
        <v>25000</v>
      </c>
      <c r="V2118" s="54">
        <v>25000</v>
      </c>
      <c r="W2118" s="54">
        <v>25000</v>
      </c>
    </row>
    <row r="2119" spans="1:23" outlineLevel="2" x14ac:dyDescent="0.2">
      <c r="A2119" s="21" t="s">
        <v>999</v>
      </c>
      <c r="B2119" s="21" t="s">
        <v>31</v>
      </c>
      <c r="C2119" s="21" t="s">
        <v>79</v>
      </c>
      <c r="D2119" s="21" t="s">
        <v>83</v>
      </c>
      <c r="E2119" s="21" t="s">
        <v>84</v>
      </c>
      <c r="F2119" s="21" t="s">
        <v>883</v>
      </c>
      <c r="G2119" s="21" t="s">
        <v>884</v>
      </c>
      <c r="H2119" s="21" t="s">
        <v>1274</v>
      </c>
      <c r="I2119" s="21" t="s">
        <v>1275</v>
      </c>
      <c r="J2119" s="21" t="s">
        <v>1000</v>
      </c>
      <c r="K2119" s="21" t="s">
        <v>1084</v>
      </c>
      <c r="L2119" s="21" t="s">
        <v>1277</v>
      </c>
      <c r="M2119" s="21" t="s">
        <v>12</v>
      </c>
      <c r="N2119" s="54">
        <v>30000</v>
      </c>
      <c r="O2119" s="54">
        <v>0</v>
      </c>
      <c r="P2119" s="54">
        <v>0</v>
      </c>
      <c r="Q2119" s="54">
        <v>30000</v>
      </c>
      <c r="R2119" s="54">
        <v>0</v>
      </c>
      <c r="S2119" s="54">
        <v>0</v>
      </c>
      <c r="T2119" s="54">
        <v>0</v>
      </c>
      <c r="U2119" s="54">
        <v>30000</v>
      </c>
      <c r="V2119" s="54">
        <v>30000</v>
      </c>
      <c r="W2119" s="54">
        <v>30000</v>
      </c>
    </row>
    <row r="2120" spans="1:23" outlineLevel="2" x14ac:dyDescent="0.2">
      <c r="A2120" s="21" t="s">
        <v>999</v>
      </c>
      <c r="B2120" s="21" t="s">
        <v>31</v>
      </c>
      <c r="C2120" s="21" t="s">
        <v>79</v>
      </c>
      <c r="D2120" s="21" t="s">
        <v>83</v>
      </c>
      <c r="E2120" s="21" t="s">
        <v>84</v>
      </c>
      <c r="F2120" s="21" t="s">
        <v>883</v>
      </c>
      <c r="G2120" s="21" t="s">
        <v>884</v>
      </c>
      <c r="H2120" s="21" t="s">
        <v>885</v>
      </c>
      <c r="I2120" s="21" t="s">
        <v>886</v>
      </c>
      <c r="J2120" s="21" t="s">
        <v>1000</v>
      </c>
      <c r="K2120" s="21" t="s">
        <v>1037</v>
      </c>
      <c r="L2120" s="21" t="s">
        <v>1258</v>
      </c>
      <c r="M2120" s="21" t="s">
        <v>12</v>
      </c>
      <c r="N2120" s="54">
        <v>5000</v>
      </c>
      <c r="O2120" s="54">
        <v>0</v>
      </c>
      <c r="P2120" s="54">
        <v>0</v>
      </c>
      <c r="Q2120" s="54">
        <v>5000</v>
      </c>
      <c r="R2120" s="54">
        <v>0</v>
      </c>
      <c r="S2120" s="54">
        <v>0</v>
      </c>
      <c r="T2120" s="54">
        <v>0</v>
      </c>
      <c r="U2120" s="54">
        <v>5000</v>
      </c>
      <c r="V2120" s="54">
        <v>5000</v>
      </c>
      <c r="W2120" s="54">
        <v>5000</v>
      </c>
    </row>
    <row r="2121" spans="1:23" outlineLevel="2" x14ac:dyDescent="0.2">
      <c r="A2121" s="21" t="s">
        <v>999</v>
      </c>
      <c r="B2121" s="21" t="s">
        <v>31</v>
      </c>
      <c r="C2121" s="21" t="s">
        <v>79</v>
      </c>
      <c r="D2121" s="21" t="s">
        <v>83</v>
      </c>
      <c r="E2121" s="21" t="s">
        <v>84</v>
      </c>
      <c r="F2121" s="21" t="s">
        <v>883</v>
      </c>
      <c r="G2121" s="21" t="s">
        <v>884</v>
      </c>
      <c r="H2121" s="21" t="s">
        <v>885</v>
      </c>
      <c r="I2121" s="21" t="s">
        <v>886</v>
      </c>
      <c r="J2121" s="21" t="s">
        <v>1000</v>
      </c>
      <c r="K2121" s="21" t="s">
        <v>1039</v>
      </c>
      <c r="L2121" s="21" t="s">
        <v>1278</v>
      </c>
      <c r="M2121" s="21" t="s">
        <v>12</v>
      </c>
      <c r="N2121" s="54">
        <v>16000</v>
      </c>
      <c r="O2121" s="54">
        <v>0</v>
      </c>
      <c r="P2121" s="54">
        <v>0</v>
      </c>
      <c r="Q2121" s="54">
        <v>16000</v>
      </c>
      <c r="R2121" s="54">
        <v>0</v>
      </c>
      <c r="S2121" s="54">
        <v>0</v>
      </c>
      <c r="T2121" s="54">
        <v>0</v>
      </c>
      <c r="U2121" s="54">
        <v>16000</v>
      </c>
      <c r="V2121" s="54">
        <v>16000</v>
      </c>
      <c r="W2121" s="54">
        <v>16000</v>
      </c>
    </row>
    <row r="2122" spans="1:23" outlineLevel="2" x14ac:dyDescent="0.2">
      <c r="A2122" s="21" t="s">
        <v>999</v>
      </c>
      <c r="B2122" s="21" t="s">
        <v>31</v>
      </c>
      <c r="C2122" s="21" t="s">
        <v>79</v>
      </c>
      <c r="D2122" s="21" t="s">
        <v>83</v>
      </c>
      <c r="E2122" s="21" t="s">
        <v>84</v>
      </c>
      <c r="F2122" s="21" t="s">
        <v>883</v>
      </c>
      <c r="G2122" s="21" t="s">
        <v>884</v>
      </c>
      <c r="H2122" s="21" t="s">
        <v>885</v>
      </c>
      <c r="I2122" s="21" t="s">
        <v>886</v>
      </c>
      <c r="J2122" s="21" t="s">
        <v>1000</v>
      </c>
      <c r="K2122" s="21" t="s">
        <v>1058</v>
      </c>
      <c r="L2122" s="21" t="s">
        <v>1279</v>
      </c>
      <c r="M2122" s="21" t="s">
        <v>12</v>
      </c>
      <c r="N2122" s="54">
        <v>10000</v>
      </c>
      <c r="O2122" s="54">
        <v>0</v>
      </c>
      <c r="P2122" s="54">
        <v>0</v>
      </c>
      <c r="Q2122" s="54">
        <v>10000</v>
      </c>
      <c r="R2122" s="54">
        <v>0</v>
      </c>
      <c r="S2122" s="54">
        <v>0</v>
      </c>
      <c r="T2122" s="54">
        <v>0</v>
      </c>
      <c r="U2122" s="54">
        <v>10000</v>
      </c>
      <c r="V2122" s="54">
        <v>10000</v>
      </c>
      <c r="W2122" s="54">
        <v>10000</v>
      </c>
    </row>
    <row r="2123" spans="1:23" outlineLevel="2" x14ac:dyDescent="0.2">
      <c r="A2123" s="21" t="s">
        <v>999</v>
      </c>
      <c r="B2123" s="21" t="s">
        <v>31</v>
      </c>
      <c r="C2123" s="21" t="s">
        <v>79</v>
      </c>
      <c r="D2123" s="21" t="s">
        <v>83</v>
      </c>
      <c r="E2123" s="21" t="s">
        <v>84</v>
      </c>
      <c r="F2123" s="21" t="s">
        <v>883</v>
      </c>
      <c r="G2123" s="21" t="s">
        <v>884</v>
      </c>
      <c r="H2123" s="21" t="s">
        <v>885</v>
      </c>
      <c r="I2123" s="21" t="s">
        <v>886</v>
      </c>
      <c r="J2123" s="21" t="s">
        <v>1000</v>
      </c>
      <c r="K2123" s="21" t="s">
        <v>1017</v>
      </c>
      <c r="L2123" s="21" t="s">
        <v>1266</v>
      </c>
      <c r="M2123" s="21" t="s">
        <v>12</v>
      </c>
      <c r="N2123" s="54">
        <v>1430013.75</v>
      </c>
      <c r="O2123" s="54">
        <v>-400000</v>
      </c>
      <c r="P2123" s="54">
        <v>0</v>
      </c>
      <c r="Q2123" s="54">
        <v>1030013.75</v>
      </c>
      <c r="R2123" s="54">
        <v>0</v>
      </c>
      <c r="S2123" s="54">
        <v>0</v>
      </c>
      <c r="T2123" s="54">
        <v>0</v>
      </c>
      <c r="U2123" s="54">
        <v>1030013.75</v>
      </c>
      <c r="V2123" s="54">
        <v>1030013.75</v>
      </c>
      <c r="W2123" s="54">
        <v>1030013.75</v>
      </c>
    </row>
    <row r="2124" spans="1:23" outlineLevel="2" x14ac:dyDescent="0.2">
      <c r="A2124" s="21" t="s">
        <v>999</v>
      </c>
      <c r="B2124" s="21" t="s">
        <v>31</v>
      </c>
      <c r="C2124" s="21" t="s">
        <v>79</v>
      </c>
      <c r="D2124" s="21" t="s">
        <v>83</v>
      </c>
      <c r="E2124" s="21" t="s">
        <v>84</v>
      </c>
      <c r="F2124" s="21" t="s">
        <v>883</v>
      </c>
      <c r="G2124" s="21" t="s">
        <v>884</v>
      </c>
      <c r="H2124" s="21" t="s">
        <v>885</v>
      </c>
      <c r="I2124" s="21" t="s">
        <v>886</v>
      </c>
      <c r="J2124" s="21" t="s">
        <v>1000</v>
      </c>
      <c r="K2124" s="21" t="s">
        <v>1267</v>
      </c>
      <c r="L2124" s="21" t="s">
        <v>1268</v>
      </c>
      <c r="M2124" s="21" t="s">
        <v>12</v>
      </c>
      <c r="N2124" s="54">
        <v>21000</v>
      </c>
      <c r="O2124" s="54">
        <v>0</v>
      </c>
      <c r="P2124" s="54">
        <v>0</v>
      </c>
      <c r="Q2124" s="54">
        <v>21000</v>
      </c>
      <c r="R2124" s="54">
        <v>0</v>
      </c>
      <c r="S2124" s="54">
        <v>0</v>
      </c>
      <c r="T2124" s="54">
        <v>0</v>
      </c>
      <c r="U2124" s="54">
        <v>21000</v>
      </c>
      <c r="V2124" s="54">
        <v>21000</v>
      </c>
      <c r="W2124" s="54">
        <v>21000</v>
      </c>
    </row>
    <row r="2125" spans="1:23" outlineLevel="2" x14ac:dyDescent="0.2">
      <c r="A2125" s="21" t="s">
        <v>999</v>
      </c>
      <c r="B2125" s="21" t="s">
        <v>31</v>
      </c>
      <c r="C2125" s="21" t="s">
        <v>79</v>
      </c>
      <c r="D2125" s="21" t="s">
        <v>83</v>
      </c>
      <c r="E2125" s="21" t="s">
        <v>84</v>
      </c>
      <c r="F2125" s="21" t="s">
        <v>883</v>
      </c>
      <c r="G2125" s="21" t="s">
        <v>884</v>
      </c>
      <c r="H2125" s="21" t="s">
        <v>885</v>
      </c>
      <c r="I2125" s="21" t="s">
        <v>886</v>
      </c>
      <c r="J2125" s="21" t="s">
        <v>1000</v>
      </c>
      <c r="K2125" s="21" t="s">
        <v>1029</v>
      </c>
      <c r="L2125" s="21" t="s">
        <v>1280</v>
      </c>
      <c r="M2125" s="21" t="s">
        <v>12</v>
      </c>
      <c r="N2125" s="54">
        <v>176986.25</v>
      </c>
      <c r="O2125" s="54">
        <v>0</v>
      </c>
      <c r="P2125" s="54">
        <v>0</v>
      </c>
      <c r="Q2125" s="54">
        <v>176986.25</v>
      </c>
      <c r="R2125" s="54">
        <v>0</v>
      </c>
      <c r="S2125" s="54">
        <v>0</v>
      </c>
      <c r="T2125" s="54">
        <v>0</v>
      </c>
      <c r="U2125" s="54">
        <v>176986.25</v>
      </c>
      <c r="V2125" s="54">
        <v>176986.25</v>
      </c>
      <c r="W2125" s="54">
        <v>176986.25</v>
      </c>
    </row>
    <row r="2126" spans="1:23" outlineLevel="2" x14ac:dyDescent="0.2">
      <c r="A2126" s="21" t="s">
        <v>999</v>
      </c>
      <c r="B2126" s="21" t="s">
        <v>31</v>
      </c>
      <c r="C2126" s="21" t="s">
        <v>79</v>
      </c>
      <c r="D2126" s="21" t="s">
        <v>83</v>
      </c>
      <c r="E2126" s="21" t="s">
        <v>84</v>
      </c>
      <c r="F2126" s="21" t="s">
        <v>883</v>
      </c>
      <c r="G2126" s="21" t="s">
        <v>884</v>
      </c>
      <c r="H2126" s="21" t="s">
        <v>885</v>
      </c>
      <c r="I2126" s="21" t="s">
        <v>886</v>
      </c>
      <c r="J2126" s="21" t="s">
        <v>1000</v>
      </c>
      <c r="K2126" s="21" t="s">
        <v>1061</v>
      </c>
      <c r="L2126" s="21" t="s">
        <v>1270</v>
      </c>
      <c r="M2126" s="21" t="s">
        <v>12</v>
      </c>
      <c r="N2126" s="54">
        <v>16500</v>
      </c>
      <c r="O2126" s="54">
        <v>0</v>
      </c>
      <c r="P2126" s="54">
        <v>0</v>
      </c>
      <c r="Q2126" s="54">
        <v>16500</v>
      </c>
      <c r="R2126" s="54">
        <v>0</v>
      </c>
      <c r="S2126" s="54">
        <v>0</v>
      </c>
      <c r="T2126" s="54">
        <v>0</v>
      </c>
      <c r="U2126" s="54">
        <v>16500</v>
      </c>
      <c r="V2126" s="54">
        <v>16500</v>
      </c>
      <c r="W2126" s="54">
        <v>16500</v>
      </c>
    </row>
    <row r="2127" spans="1:23" outlineLevel="2" x14ac:dyDescent="0.2">
      <c r="A2127" s="21" t="s">
        <v>999</v>
      </c>
      <c r="B2127" s="21" t="s">
        <v>31</v>
      </c>
      <c r="C2127" s="21" t="s">
        <v>79</v>
      </c>
      <c r="D2127" s="21" t="s">
        <v>83</v>
      </c>
      <c r="E2127" s="21" t="s">
        <v>84</v>
      </c>
      <c r="F2127" s="21" t="s">
        <v>883</v>
      </c>
      <c r="G2127" s="21" t="s">
        <v>884</v>
      </c>
      <c r="H2127" s="21" t="s">
        <v>885</v>
      </c>
      <c r="I2127" s="21" t="s">
        <v>886</v>
      </c>
      <c r="J2127" s="21" t="s">
        <v>1000</v>
      </c>
      <c r="K2127" s="21" t="s">
        <v>1019</v>
      </c>
      <c r="L2127" s="21" t="s">
        <v>1276</v>
      </c>
      <c r="M2127" s="21" t="s">
        <v>12</v>
      </c>
      <c r="N2127" s="54">
        <v>14000</v>
      </c>
      <c r="O2127" s="54">
        <v>0</v>
      </c>
      <c r="P2127" s="54">
        <v>0</v>
      </c>
      <c r="Q2127" s="54">
        <v>14000</v>
      </c>
      <c r="R2127" s="54">
        <v>0</v>
      </c>
      <c r="S2127" s="54">
        <v>0</v>
      </c>
      <c r="T2127" s="54">
        <v>0</v>
      </c>
      <c r="U2127" s="54">
        <v>14000</v>
      </c>
      <c r="V2127" s="54">
        <v>14000</v>
      </c>
      <c r="W2127" s="54">
        <v>14000</v>
      </c>
    </row>
    <row r="2128" spans="1:23" outlineLevel="2" x14ac:dyDescent="0.2">
      <c r="A2128" s="21" t="s">
        <v>999</v>
      </c>
      <c r="B2128" s="21" t="s">
        <v>31</v>
      </c>
      <c r="C2128" s="21" t="s">
        <v>79</v>
      </c>
      <c r="D2128" s="21" t="s">
        <v>83</v>
      </c>
      <c r="E2128" s="21" t="s">
        <v>84</v>
      </c>
      <c r="F2128" s="21" t="s">
        <v>883</v>
      </c>
      <c r="G2128" s="21" t="s">
        <v>884</v>
      </c>
      <c r="H2128" s="21" t="s">
        <v>885</v>
      </c>
      <c r="I2128" s="21" t="s">
        <v>886</v>
      </c>
      <c r="J2128" s="21" t="s">
        <v>1000</v>
      </c>
      <c r="K2128" s="21" t="s">
        <v>1185</v>
      </c>
      <c r="L2128" s="21" t="s">
        <v>1281</v>
      </c>
      <c r="M2128" s="21" t="s">
        <v>12</v>
      </c>
      <c r="N2128" s="54">
        <v>18500</v>
      </c>
      <c r="O2128" s="54">
        <v>0</v>
      </c>
      <c r="P2128" s="54">
        <v>0</v>
      </c>
      <c r="Q2128" s="54">
        <v>18500</v>
      </c>
      <c r="R2128" s="54">
        <v>0</v>
      </c>
      <c r="S2128" s="54">
        <v>0</v>
      </c>
      <c r="T2128" s="54">
        <v>0</v>
      </c>
      <c r="U2128" s="54">
        <v>18500</v>
      </c>
      <c r="V2128" s="54">
        <v>18500</v>
      </c>
      <c r="W2128" s="54">
        <v>18500</v>
      </c>
    </row>
    <row r="2129" spans="1:23" outlineLevel="2" x14ac:dyDescent="0.2">
      <c r="A2129" s="21" t="s">
        <v>999</v>
      </c>
      <c r="B2129" s="21" t="s">
        <v>31</v>
      </c>
      <c r="C2129" s="21" t="s">
        <v>79</v>
      </c>
      <c r="D2129" s="21" t="s">
        <v>83</v>
      </c>
      <c r="E2129" s="21" t="s">
        <v>84</v>
      </c>
      <c r="F2129" s="21" t="s">
        <v>883</v>
      </c>
      <c r="G2129" s="21" t="s">
        <v>884</v>
      </c>
      <c r="H2129" s="21" t="s">
        <v>1282</v>
      </c>
      <c r="I2129" s="21" t="s">
        <v>1283</v>
      </c>
      <c r="J2129" s="21" t="s">
        <v>1000</v>
      </c>
      <c r="K2129" s="21" t="s">
        <v>1039</v>
      </c>
      <c r="L2129" s="21" t="s">
        <v>1278</v>
      </c>
      <c r="M2129" s="21" t="s">
        <v>12</v>
      </c>
      <c r="N2129" s="54">
        <v>15000</v>
      </c>
      <c r="O2129" s="54">
        <v>0</v>
      </c>
      <c r="P2129" s="54">
        <v>0</v>
      </c>
      <c r="Q2129" s="54">
        <v>15000</v>
      </c>
      <c r="R2129" s="54">
        <v>0</v>
      </c>
      <c r="S2129" s="54">
        <v>0</v>
      </c>
      <c r="T2129" s="54">
        <v>0</v>
      </c>
      <c r="U2129" s="54">
        <v>15000</v>
      </c>
      <c r="V2129" s="54">
        <v>15000</v>
      </c>
      <c r="W2129" s="54">
        <v>15000</v>
      </c>
    </row>
    <row r="2130" spans="1:23" outlineLevel="2" x14ac:dyDescent="0.2">
      <c r="A2130" s="21" t="s">
        <v>999</v>
      </c>
      <c r="B2130" s="21" t="s">
        <v>31</v>
      </c>
      <c r="C2130" s="21" t="s">
        <v>79</v>
      </c>
      <c r="D2130" s="21" t="s">
        <v>83</v>
      </c>
      <c r="E2130" s="21" t="s">
        <v>84</v>
      </c>
      <c r="F2130" s="21" t="s">
        <v>883</v>
      </c>
      <c r="G2130" s="21" t="s">
        <v>884</v>
      </c>
      <c r="H2130" s="21" t="s">
        <v>1282</v>
      </c>
      <c r="I2130" s="21" t="s">
        <v>1283</v>
      </c>
      <c r="J2130" s="21" t="s">
        <v>1000</v>
      </c>
      <c r="K2130" s="21" t="s">
        <v>1058</v>
      </c>
      <c r="L2130" s="21" t="s">
        <v>1279</v>
      </c>
      <c r="M2130" s="21" t="s">
        <v>12</v>
      </c>
      <c r="N2130" s="54">
        <v>10000</v>
      </c>
      <c r="O2130" s="54">
        <v>0</v>
      </c>
      <c r="P2130" s="54">
        <v>0</v>
      </c>
      <c r="Q2130" s="54">
        <v>10000</v>
      </c>
      <c r="R2130" s="54">
        <v>0</v>
      </c>
      <c r="S2130" s="54">
        <v>0</v>
      </c>
      <c r="T2130" s="54">
        <v>0</v>
      </c>
      <c r="U2130" s="54">
        <v>10000</v>
      </c>
      <c r="V2130" s="54">
        <v>10000</v>
      </c>
      <c r="W2130" s="54">
        <v>10000</v>
      </c>
    </row>
    <row r="2131" spans="1:23" outlineLevel="2" x14ac:dyDescent="0.2">
      <c r="A2131" s="21" t="s">
        <v>999</v>
      </c>
      <c r="B2131" s="21" t="s">
        <v>31</v>
      </c>
      <c r="C2131" s="21" t="s">
        <v>79</v>
      </c>
      <c r="D2131" s="21" t="s">
        <v>83</v>
      </c>
      <c r="E2131" s="21" t="s">
        <v>84</v>
      </c>
      <c r="F2131" s="21" t="s">
        <v>883</v>
      </c>
      <c r="G2131" s="21" t="s">
        <v>884</v>
      </c>
      <c r="H2131" s="21" t="s">
        <v>1282</v>
      </c>
      <c r="I2131" s="21" t="s">
        <v>1283</v>
      </c>
      <c r="J2131" s="21" t="s">
        <v>1000</v>
      </c>
      <c r="K2131" s="21" t="s">
        <v>1078</v>
      </c>
      <c r="L2131" s="21" t="s">
        <v>1284</v>
      </c>
      <c r="M2131" s="21" t="s">
        <v>12</v>
      </c>
      <c r="N2131" s="54">
        <v>8600</v>
      </c>
      <c r="O2131" s="54">
        <v>0</v>
      </c>
      <c r="P2131" s="54">
        <v>0</v>
      </c>
      <c r="Q2131" s="54">
        <v>8600</v>
      </c>
      <c r="R2131" s="54">
        <v>0</v>
      </c>
      <c r="S2131" s="54">
        <v>0</v>
      </c>
      <c r="T2131" s="54">
        <v>0</v>
      </c>
      <c r="U2131" s="54">
        <v>8600</v>
      </c>
      <c r="V2131" s="54">
        <v>8600</v>
      </c>
      <c r="W2131" s="54">
        <v>8600</v>
      </c>
    </row>
    <row r="2132" spans="1:23" outlineLevel="2" x14ac:dyDescent="0.2">
      <c r="A2132" s="21" t="s">
        <v>999</v>
      </c>
      <c r="B2132" s="21" t="s">
        <v>31</v>
      </c>
      <c r="C2132" s="21" t="s">
        <v>79</v>
      </c>
      <c r="D2132" s="21" t="s">
        <v>83</v>
      </c>
      <c r="E2132" s="21" t="s">
        <v>84</v>
      </c>
      <c r="F2132" s="21" t="s">
        <v>883</v>
      </c>
      <c r="G2132" s="21" t="s">
        <v>884</v>
      </c>
      <c r="H2132" s="21" t="s">
        <v>1282</v>
      </c>
      <c r="I2132" s="21" t="s">
        <v>1283</v>
      </c>
      <c r="J2132" s="21" t="s">
        <v>1000</v>
      </c>
      <c r="K2132" s="21" t="s">
        <v>1061</v>
      </c>
      <c r="L2132" s="21" t="s">
        <v>1270</v>
      </c>
      <c r="M2132" s="21" t="s">
        <v>12</v>
      </c>
      <c r="N2132" s="54">
        <v>86800</v>
      </c>
      <c r="O2132" s="54">
        <v>0</v>
      </c>
      <c r="P2132" s="54">
        <v>0</v>
      </c>
      <c r="Q2132" s="54">
        <v>86800</v>
      </c>
      <c r="R2132" s="54">
        <v>0</v>
      </c>
      <c r="S2132" s="54">
        <v>0</v>
      </c>
      <c r="T2132" s="54">
        <v>0</v>
      </c>
      <c r="U2132" s="54">
        <v>86800</v>
      </c>
      <c r="V2132" s="54">
        <v>86800</v>
      </c>
      <c r="W2132" s="54">
        <v>86800</v>
      </c>
    </row>
    <row r="2133" spans="1:23" outlineLevel="2" x14ac:dyDescent="0.2">
      <c r="A2133" s="21" t="s">
        <v>999</v>
      </c>
      <c r="B2133" s="21" t="s">
        <v>31</v>
      </c>
      <c r="C2133" s="21" t="s">
        <v>79</v>
      </c>
      <c r="D2133" s="21" t="s">
        <v>83</v>
      </c>
      <c r="E2133" s="21" t="s">
        <v>84</v>
      </c>
      <c r="F2133" s="21" t="s">
        <v>883</v>
      </c>
      <c r="G2133" s="21" t="s">
        <v>884</v>
      </c>
      <c r="H2133" s="21" t="s">
        <v>1282</v>
      </c>
      <c r="I2133" s="21" t="s">
        <v>1283</v>
      </c>
      <c r="J2133" s="21" t="s">
        <v>1000</v>
      </c>
      <c r="K2133" s="21" t="s">
        <v>1019</v>
      </c>
      <c r="L2133" s="21" t="s">
        <v>1276</v>
      </c>
      <c r="M2133" s="21" t="s">
        <v>12</v>
      </c>
      <c r="N2133" s="54">
        <v>23360</v>
      </c>
      <c r="O2133" s="54">
        <v>0</v>
      </c>
      <c r="P2133" s="54">
        <v>0</v>
      </c>
      <c r="Q2133" s="54">
        <v>23360</v>
      </c>
      <c r="R2133" s="54">
        <v>0</v>
      </c>
      <c r="S2133" s="54">
        <v>0</v>
      </c>
      <c r="T2133" s="54">
        <v>0</v>
      </c>
      <c r="U2133" s="54">
        <v>23360</v>
      </c>
      <c r="V2133" s="54">
        <v>23360</v>
      </c>
      <c r="W2133" s="54">
        <v>23360</v>
      </c>
    </row>
    <row r="2134" spans="1:23" outlineLevel="2" x14ac:dyDescent="0.2">
      <c r="A2134" s="21" t="s">
        <v>999</v>
      </c>
      <c r="B2134" s="21" t="s">
        <v>31</v>
      </c>
      <c r="C2134" s="21" t="s">
        <v>79</v>
      </c>
      <c r="D2134" s="21" t="s">
        <v>83</v>
      </c>
      <c r="E2134" s="21" t="s">
        <v>84</v>
      </c>
      <c r="F2134" s="21" t="s">
        <v>883</v>
      </c>
      <c r="G2134" s="21" t="s">
        <v>884</v>
      </c>
      <c r="H2134" s="21" t="s">
        <v>1282</v>
      </c>
      <c r="I2134" s="21" t="s">
        <v>1283</v>
      </c>
      <c r="J2134" s="21" t="s">
        <v>1000</v>
      </c>
      <c r="K2134" s="21" t="s">
        <v>1092</v>
      </c>
      <c r="L2134" s="21" t="s">
        <v>1285</v>
      </c>
      <c r="M2134" s="21" t="s">
        <v>12</v>
      </c>
      <c r="N2134" s="54">
        <v>2000</v>
      </c>
      <c r="O2134" s="54">
        <v>0</v>
      </c>
      <c r="P2134" s="54">
        <v>0</v>
      </c>
      <c r="Q2134" s="54">
        <v>2000</v>
      </c>
      <c r="R2134" s="54">
        <v>0</v>
      </c>
      <c r="S2134" s="54">
        <v>0</v>
      </c>
      <c r="T2134" s="54">
        <v>0</v>
      </c>
      <c r="U2134" s="54">
        <v>2000</v>
      </c>
      <c r="V2134" s="54">
        <v>2000</v>
      </c>
      <c r="W2134" s="54">
        <v>2000</v>
      </c>
    </row>
    <row r="2135" spans="1:23" outlineLevel="2" x14ac:dyDescent="0.2">
      <c r="A2135" s="21" t="s">
        <v>999</v>
      </c>
      <c r="B2135" s="21" t="s">
        <v>31</v>
      </c>
      <c r="C2135" s="21" t="s">
        <v>79</v>
      </c>
      <c r="D2135" s="21" t="s">
        <v>83</v>
      </c>
      <c r="E2135" s="21" t="s">
        <v>84</v>
      </c>
      <c r="F2135" s="21" t="s">
        <v>883</v>
      </c>
      <c r="G2135" s="21" t="s">
        <v>884</v>
      </c>
      <c r="H2135" s="21" t="s">
        <v>1282</v>
      </c>
      <c r="I2135" s="21" t="s">
        <v>1283</v>
      </c>
      <c r="J2135" s="21" t="s">
        <v>1000</v>
      </c>
      <c r="K2135" s="21" t="s">
        <v>1084</v>
      </c>
      <c r="L2135" s="21" t="s">
        <v>1277</v>
      </c>
      <c r="M2135" s="21" t="s">
        <v>12</v>
      </c>
      <c r="N2135" s="54">
        <v>7000</v>
      </c>
      <c r="O2135" s="54">
        <v>0</v>
      </c>
      <c r="P2135" s="54">
        <v>0</v>
      </c>
      <c r="Q2135" s="54">
        <v>7000</v>
      </c>
      <c r="R2135" s="54">
        <v>0</v>
      </c>
      <c r="S2135" s="54">
        <v>0</v>
      </c>
      <c r="T2135" s="54">
        <v>0</v>
      </c>
      <c r="U2135" s="54">
        <v>7000</v>
      </c>
      <c r="V2135" s="54">
        <v>7000</v>
      </c>
      <c r="W2135" s="54">
        <v>7000</v>
      </c>
    </row>
    <row r="2136" spans="1:23" outlineLevel="2" x14ac:dyDescent="0.2">
      <c r="A2136" s="21" t="s">
        <v>999</v>
      </c>
      <c r="B2136" s="21" t="s">
        <v>31</v>
      </c>
      <c r="C2136" s="21" t="s">
        <v>79</v>
      </c>
      <c r="D2136" s="21" t="s">
        <v>83</v>
      </c>
      <c r="E2136" s="21" t="s">
        <v>84</v>
      </c>
      <c r="F2136" s="21" t="s">
        <v>883</v>
      </c>
      <c r="G2136" s="21" t="s">
        <v>884</v>
      </c>
      <c r="H2136" s="21" t="s">
        <v>1286</v>
      </c>
      <c r="I2136" s="21" t="s">
        <v>1287</v>
      </c>
      <c r="J2136" s="21" t="s">
        <v>1000</v>
      </c>
      <c r="K2136" s="21" t="s">
        <v>1104</v>
      </c>
      <c r="L2136" s="21" t="s">
        <v>1288</v>
      </c>
      <c r="M2136" s="21" t="s">
        <v>12</v>
      </c>
      <c r="N2136" s="54">
        <v>1000</v>
      </c>
      <c r="O2136" s="54">
        <v>0</v>
      </c>
      <c r="P2136" s="54">
        <v>0</v>
      </c>
      <c r="Q2136" s="54">
        <v>1000</v>
      </c>
      <c r="R2136" s="54">
        <v>0</v>
      </c>
      <c r="S2136" s="54">
        <v>0</v>
      </c>
      <c r="T2136" s="54">
        <v>0</v>
      </c>
      <c r="U2136" s="54">
        <v>1000</v>
      </c>
      <c r="V2136" s="54">
        <v>1000</v>
      </c>
      <c r="W2136" s="54">
        <v>1000</v>
      </c>
    </row>
    <row r="2137" spans="1:23" outlineLevel="2" x14ac:dyDescent="0.2">
      <c r="A2137" s="21" t="s">
        <v>999</v>
      </c>
      <c r="B2137" s="21" t="s">
        <v>31</v>
      </c>
      <c r="C2137" s="21" t="s">
        <v>79</v>
      </c>
      <c r="D2137" s="21" t="s">
        <v>83</v>
      </c>
      <c r="E2137" s="21" t="s">
        <v>84</v>
      </c>
      <c r="F2137" s="21" t="s">
        <v>883</v>
      </c>
      <c r="G2137" s="21" t="s">
        <v>884</v>
      </c>
      <c r="H2137" s="21" t="s">
        <v>1286</v>
      </c>
      <c r="I2137" s="21" t="s">
        <v>1287</v>
      </c>
      <c r="J2137" s="21" t="s">
        <v>1000</v>
      </c>
      <c r="K2137" s="21" t="s">
        <v>1037</v>
      </c>
      <c r="L2137" s="21" t="s">
        <v>1258</v>
      </c>
      <c r="M2137" s="21" t="s">
        <v>12</v>
      </c>
      <c r="N2137" s="54">
        <v>206770.83</v>
      </c>
      <c r="O2137" s="54">
        <v>0</v>
      </c>
      <c r="P2137" s="54">
        <v>0</v>
      </c>
      <c r="Q2137" s="54">
        <v>206770.83</v>
      </c>
      <c r="R2137" s="54">
        <v>0</v>
      </c>
      <c r="S2137" s="54">
        <v>0</v>
      </c>
      <c r="T2137" s="54">
        <v>0</v>
      </c>
      <c r="U2137" s="54">
        <v>206770.83</v>
      </c>
      <c r="V2137" s="54">
        <v>206770.83</v>
      </c>
      <c r="W2137" s="54">
        <v>206770.83</v>
      </c>
    </row>
    <row r="2138" spans="1:23" outlineLevel="2" x14ac:dyDescent="0.2">
      <c r="A2138" s="21" t="s">
        <v>999</v>
      </c>
      <c r="B2138" s="21" t="s">
        <v>31</v>
      </c>
      <c r="C2138" s="21" t="s">
        <v>79</v>
      </c>
      <c r="D2138" s="21" t="s">
        <v>83</v>
      </c>
      <c r="E2138" s="21" t="s">
        <v>84</v>
      </c>
      <c r="F2138" s="21" t="s">
        <v>883</v>
      </c>
      <c r="G2138" s="21" t="s">
        <v>884</v>
      </c>
      <c r="H2138" s="21" t="s">
        <v>1286</v>
      </c>
      <c r="I2138" s="21" t="s">
        <v>1287</v>
      </c>
      <c r="J2138" s="21" t="s">
        <v>1000</v>
      </c>
      <c r="K2138" s="21" t="s">
        <v>1039</v>
      </c>
      <c r="L2138" s="21" t="s">
        <v>1278</v>
      </c>
      <c r="M2138" s="21" t="s">
        <v>12</v>
      </c>
      <c r="N2138" s="54">
        <v>186500</v>
      </c>
      <c r="O2138" s="54">
        <v>0</v>
      </c>
      <c r="P2138" s="54">
        <v>0</v>
      </c>
      <c r="Q2138" s="54">
        <v>186500</v>
      </c>
      <c r="R2138" s="54">
        <v>0</v>
      </c>
      <c r="S2138" s="54">
        <v>0</v>
      </c>
      <c r="T2138" s="54">
        <v>0</v>
      </c>
      <c r="U2138" s="54">
        <v>186500</v>
      </c>
      <c r="V2138" s="54">
        <v>186500</v>
      </c>
      <c r="W2138" s="54">
        <v>186500</v>
      </c>
    </row>
    <row r="2139" spans="1:23" outlineLevel="2" x14ac:dyDescent="0.2">
      <c r="A2139" s="21" t="s">
        <v>999</v>
      </c>
      <c r="B2139" s="21" t="s">
        <v>31</v>
      </c>
      <c r="C2139" s="21" t="s">
        <v>79</v>
      </c>
      <c r="D2139" s="21" t="s">
        <v>83</v>
      </c>
      <c r="E2139" s="21" t="s">
        <v>84</v>
      </c>
      <c r="F2139" s="21" t="s">
        <v>883</v>
      </c>
      <c r="G2139" s="21" t="s">
        <v>884</v>
      </c>
      <c r="H2139" s="21" t="s">
        <v>1286</v>
      </c>
      <c r="I2139" s="21" t="s">
        <v>1287</v>
      </c>
      <c r="J2139" s="21" t="s">
        <v>1000</v>
      </c>
      <c r="K2139" s="21" t="s">
        <v>1003</v>
      </c>
      <c r="L2139" s="21" t="s">
        <v>1264</v>
      </c>
      <c r="M2139" s="21" t="s">
        <v>12</v>
      </c>
      <c r="N2139" s="54">
        <v>374273.69</v>
      </c>
      <c r="O2139" s="54">
        <v>0</v>
      </c>
      <c r="P2139" s="54">
        <v>0</v>
      </c>
      <c r="Q2139" s="54">
        <v>374273.69</v>
      </c>
      <c r="R2139" s="54">
        <v>0</v>
      </c>
      <c r="S2139" s="54">
        <v>0</v>
      </c>
      <c r="T2139" s="54">
        <v>0</v>
      </c>
      <c r="U2139" s="54">
        <v>374273.69</v>
      </c>
      <c r="V2139" s="54">
        <v>374273.69</v>
      </c>
      <c r="W2139" s="54">
        <v>374273.69</v>
      </c>
    </row>
    <row r="2140" spans="1:23" outlineLevel="2" x14ac:dyDescent="0.2">
      <c r="A2140" s="21" t="s">
        <v>999</v>
      </c>
      <c r="B2140" s="21" t="s">
        <v>31</v>
      </c>
      <c r="C2140" s="21" t="s">
        <v>79</v>
      </c>
      <c r="D2140" s="21" t="s">
        <v>83</v>
      </c>
      <c r="E2140" s="21" t="s">
        <v>84</v>
      </c>
      <c r="F2140" s="21" t="s">
        <v>883</v>
      </c>
      <c r="G2140" s="21" t="s">
        <v>884</v>
      </c>
      <c r="H2140" s="21" t="s">
        <v>1286</v>
      </c>
      <c r="I2140" s="21" t="s">
        <v>1287</v>
      </c>
      <c r="J2140" s="21" t="s">
        <v>1000</v>
      </c>
      <c r="K2140" s="21" t="s">
        <v>1289</v>
      </c>
      <c r="L2140" s="21" t="s">
        <v>1290</v>
      </c>
      <c r="M2140" s="21" t="s">
        <v>12</v>
      </c>
      <c r="N2140" s="54">
        <v>150000</v>
      </c>
      <c r="O2140" s="54">
        <v>0</v>
      </c>
      <c r="P2140" s="54">
        <v>0</v>
      </c>
      <c r="Q2140" s="54">
        <v>150000</v>
      </c>
      <c r="R2140" s="54">
        <v>0</v>
      </c>
      <c r="S2140" s="54">
        <v>0</v>
      </c>
      <c r="T2140" s="54">
        <v>0</v>
      </c>
      <c r="U2140" s="54">
        <v>150000</v>
      </c>
      <c r="V2140" s="54">
        <v>150000</v>
      </c>
      <c r="W2140" s="54">
        <v>150000</v>
      </c>
    </row>
    <row r="2141" spans="1:23" outlineLevel="2" x14ac:dyDescent="0.2">
      <c r="A2141" s="21" t="s">
        <v>999</v>
      </c>
      <c r="B2141" s="21" t="s">
        <v>31</v>
      </c>
      <c r="C2141" s="21" t="s">
        <v>79</v>
      </c>
      <c r="D2141" s="21" t="s">
        <v>83</v>
      </c>
      <c r="E2141" s="21" t="s">
        <v>84</v>
      </c>
      <c r="F2141" s="21" t="s">
        <v>883</v>
      </c>
      <c r="G2141" s="21" t="s">
        <v>884</v>
      </c>
      <c r="H2141" s="21" t="s">
        <v>1286</v>
      </c>
      <c r="I2141" s="21" t="s">
        <v>1287</v>
      </c>
      <c r="J2141" s="21" t="s">
        <v>1000</v>
      </c>
      <c r="K2141" s="21" t="s">
        <v>1267</v>
      </c>
      <c r="L2141" s="21" t="s">
        <v>1268</v>
      </c>
      <c r="M2141" s="21" t="s">
        <v>12</v>
      </c>
      <c r="N2141" s="54">
        <v>584209.28</v>
      </c>
      <c r="O2141" s="54">
        <v>-15000</v>
      </c>
      <c r="P2141" s="54">
        <v>0</v>
      </c>
      <c r="Q2141" s="54">
        <v>569209.28</v>
      </c>
      <c r="R2141" s="54">
        <v>0</v>
      </c>
      <c r="S2141" s="54">
        <v>0</v>
      </c>
      <c r="T2141" s="54">
        <v>0</v>
      </c>
      <c r="U2141" s="54">
        <v>569209.28</v>
      </c>
      <c r="V2141" s="54">
        <v>569209.28</v>
      </c>
      <c r="W2141" s="54">
        <v>569209.28</v>
      </c>
    </row>
    <row r="2142" spans="1:23" outlineLevel="2" x14ac:dyDescent="0.2">
      <c r="A2142" s="21" t="s">
        <v>999</v>
      </c>
      <c r="B2142" s="21" t="s">
        <v>31</v>
      </c>
      <c r="C2142" s="21" t="s">
        <v>79</v>
      </c>
      <c r="D2142" s="21" t="s">
        <v>83</v>
      </c>
      <c r="E2142" s="21" t="s">
        <v>84</v>
      </c>
      <c r="F2142" s="21" t="s">
        <v>883</v>
      </c>
      <c r="G2142" s="21" t="s">
        <v>884</v>
      </c>
      <c r="H2142" s="21" t="s">
        <v>1286</v>
      </c>
      <c r="I2142" s="21" t="s">
        <v>1287</v>
      </c>
      <c r="J2142" s="21" t="s">
        <v>1000</v>
      </c>
      <c r="K2142" s="21" t="s">
        <v>1029</v>
      </c>
      <c r="L2142" s="21" t="s">
        <v>1280</v>
      </c>
      <c r="M2142" s="21" t="s">
        <v>12</v>
      </c>
      <c r="N2142" s="54">
        <v>300000</v>
      </c>
      <c r="O2142" s="54">
        <v>0</v>
      </c>
      <c r="P2142" s="54">
        <v>0</v>
      </c>
      <c r="Q2142" s="54">
        <v>300000</v>
      </c>
      <c r="R2142" s="54">
        <v>0</v>
      </c>
      <c r="S2142" s="54">
        <v>0</v>
      </c>
      <c r="T2142" s="54">
        <v>0</v>
      </c>
      <c r="U2142" s="54">
        <v>300000</v>
      </c>
      <c r="V2142" s="54">
        <v>300000</v>
      </c>
      <c r="W2142" s="54">
        <v>300000</v>
      </c>
    </row>
    <row r="2143" spans="1:23" outlineLevel="2" x14ac:dyDescent="0.2">
      <c r="A2143" s="21" t="s">
        <v>999</v>
      </c>
      <c r="B2143" s="21" t="s">
        <v>31</v>
      </c>
      <c r="C2143" s="21" t="s">
        <v>79</v>
      </c>
      <c r="D2143" s="21" t="s">
        <v>83</v>
      </c>
      <c r="E2143" s="21" t="s">
        <v>84</v>
      </c>
      <c r="F2143" s="21" t="s">
        <v>883</v>
      </c>
      <c r="G2143" s="21" t="s">
        <v>884</v>
      </c>
      <c r="H2143" s="21" t="s">
        <v>1286</v>
      </c>
      <c r="I2143" s="21" t="s">
        <v>1287</v>
      </c>
      <c r="J2143" s="21" t="s">
        <v>1000</v>
      </c>
      <c r="K2143" s="21" t="s">
        <v>1116</v>
      </c>
      <c r="L2143" s="21" t="s">
        <v>1291</v>
      </c>
      <c r="M2143" s="21" t="s">
        <v>12</v>
      </c>
      <c r="N2143" s="54">
        <v>127680</v>
      </c>
      <c r="O2143" s="54">
        <v>0</v>
      </c>
      <c r="P2143" s="54">
        <v>0</v>
      </c>
      <c r="Q2143" s="54">
        <v>127680</v>
      </c>
      <c r="R2143" s="54">
        <v>0</v>
      </c>
      <c r="S2143" s="54">
        <v>0</v>
      </c>
      <c r="T2143" s="54">
        <v>0</v>
      </c>
      <c r="U2143" s="54">
        <v>127680</v>
      </c>
      <c r="V2143" s="54">
        <v>127680</v>
      </c>
      <c r="W2143" s="54">
        <v>127680</v>
      </c>
    </row>
    <row r="2144" spans="1:23" outlineLevel="2" x14ac:dyDescent="0.2">
      <c r="A2144" s="21" t="s">
        <v>999</v>
      </c>
      <c r="B2144" s="21" t="s">
        <v>31</v>
      </c>
      <c r="C2144" s="21" t="s">
        <v>79</v>
      </c>
      <c r="D2144" s="21" t="s">
        <v>83</v>
      </c>
      <c r="E2144" s="21" t="s">
        <v>84</v>
      </c>
      <c r="F2144" s="21" t="s">
        <v>883</v>
      </c>
      <c r="G2144" s="21" t="s">
        <v>884</v>
      </c>
      <c r="H2144" s="21" t="s">
        <v>1286</v>
      </c>
      <c r="I2144" s="21" t="s">
        <v>1287</v>
      </c>
      <c r="J2144" s="21" t="s">
        <v>1000</v>
      </c>
      <c r="K2144" s="21" t="s">
        <v>1084</v>
      </c>
      <c r="L2144" s="21" t="s">
        <v>1277</v>
      </c>
      <c r="M2144" s="21" t="s">
        <v>12</v>
      </c>
      <c r="N2144" s="54">
        <v>463565.65</v>
      </c>
      <c r="O2144" s="54">
        <v>0</v>
      </c>
      <c r="P2144" s="54">
        <v>0</v>
      </c>
      <c r="Q2144" s="54">
        <v>463565.65</v>
      </c>
      <c r="R2144" s="54">
        <v>0</v>
      </c>
      <c r="S2144" s="54">
        <v>0</v>
      </c>
      <c r="T2144" s="54">
        <v>0</v>
      </c>
      <c r="U2144" s="54">
        <v>463565.65</v>
      </c>
      <c r="V2144" s="54">
        <v>463565.65</v>
      </c>
      <c r="W2144" s="54">
        <v>463565.65</v>
      </c>
    </row>
    <row r="2145" spans="1:23" outlineLevel="2" x14ac:dyDescent="0.2">
      <c r="A2145" s="21" t="s">
        <v>999</v>
      </c>
      <c r="B2145" s="21" t="s">
        <v>31</v>
      </c>
      <c r="C2145" s="21" t="s">
        <v>79</v>
      </c>
      <c r="D2145" s="21" t="s">
        <v>83</v>
      </c>
      <c r="E2145" s="21" t="s">
        <v>84</v>
      </c>
      <c r="F2145" s="21" t="s">
        <v>883</v>
      </c>
      <c r="G2145" s="21" t="s">
        <v>884</v>
      </c>
      <c r="H2145" s="21" t="s">
        <v>1286</v>
      </c>
      <c r="I2145" s="21" t="s">
        <v>1287</v>
      </c>
      <c r="J2145" s="21" t="s">
        <v>1000</v>
      </c>
      <c r="K2145" s="21" t="s">
        <v>1123</v>
      </c>
      <c r="L2145" s="21" t="s">
        <v>1292</v>
      </c>
      <c r="M2145" s="21" t="s">
        <v>12</v>
      </c>
      <c r="N2145" s="54">
        <v>3240</v>
      </c>
      <c r="O2145" s="54">
        <v>0</v>
      </c>
      <c r="P2145" s="54">
        <v>0</v>
      </c>
      <c r="Q2145" s="54">
        <v>3240</v>
      </c>
      <c r="R2145" s="54">
        <v>0</v>
      </c>
      <c r="S2145" s="54">
        <v>0</v>
      </c>
      <c r="T2145" s="54">
        <v>0</v>
      </c>
      <c r="U2145" s="54">
        <v>3240</v>
      </c>
      <c r="V2145" s="54">
        <v>3240</v>
      </c>
      <c r="W2145" s="54">
        <v>3240</v>
      </c>
    </row>
    <row r="2146" spans="1:23" outlineLevel="2" x14ac:dyDescent="0.2">
      <c r="A2146" s="21" t="s">
        <v>999</v>
      </c>
      <c r="B2146" s="21" t="s">
        <v>31</v>
      </c>
      <c r="C2146" s="21" t="s">
        <v>79</v>
      </c>
      <c r="D2146" s="21" t="s">
        <v>83</v>
      </c>
      <c r="E2146" s="21" t="s">
        <v>84</v>
      </c>
      <c r="F2146" s="21" t="s">
        <v>883</v>
      </c>
      <c r="G2146" s="21" t="s">
        <v>884</v>
      </c>
      <c r="H2146" s="21" t="s">
        <v>1293</v>
      </c>
      <c r="I2146" s="21" t="s">
        <v>1294</v>
      </c>
      <c r="J2146" s="21" t="s">
        <v>1000</v>
      </c>
      <c r="K2146" s="21" t="s">
        <v>1003</v>
      </c>
      <c r="L2146" s="21" t="s">
        <v>1264</v>
      </c>
      <c r="M2146" s="21" t="s">
        <v>12</v>
      </c>
      <c r="N2146" s="54">
        <v>1308464.8400000001</v>
      </c>
      <c r="O2146" s="54">
        <v>0</v>
      </c>
      <c r="P2146" s="54">
        <v>0</v>
      </c>
      <c r="Q2146" s="54">
        <v>1308464.8400000001</v>
      </c>
      <c r="R2146" s="54">
        <v>0</v>
      </c>
      <c r="S2146" s="54">
        <v>0</v>
      </c>
      <c r="T2146" s="54">
        <v>0</v>
      </c>
      <c r="U2146" s="54">
        <v>1308464.8400000001</v>
      </c>
      <c r="V2146" s="54">
        <v>1308464.8400000001</v>
      </c>
      <c r="W2146" s="54">
        <v>1308464.8400000001</v>
      </c>
    </row>
    <row r="2147" spans="1:23" outlineLevel="2" x14ac:dyDescent="0.2">
      <c r="A2147" s="21" t="s">
        <v>999</v>
      </c>
      <c r="B2147" s="21" t="s">
        <v>31</v>
      </c>
      <c r="C2147" s="21" t="s">
        <v>79</v>
      </c>
      <c r="D2147" s="21" t="s">
        <v>83</v>
      </c>
      <c r="E2147" s="21" t="s">
        <v>84</v>
      </c>
      <c r="F2147" s="21" t="s">
        <v>883</v>
      </c>
      <c r="G2147" s="21" t="s">
        <v>884</v>
      </c>
      <c r="H2147" s="21" t="s">
        <v>1293</v>
      </c>
      <c r="I2147" s="21" t="s">
        <v>1294</v>
      </c>
      <c r="J2147" s="21" t="s">
        <v>1000</v>
      </c>
      <c r="K2147" s="21" t="s">
        <v>1015</v>
      </c>
      <c r="L2147" s="21" t="s">
        <v>1295</v>
      </c>
      <c r="M2147" s="21" t="s">
        <v>12</v>
      </c>
      <c r="N2147" s="54">
        <v>471065.16</v>
      </c>
      <c r="O2147" s="54">
        <v>0</v>
      </c>
      <c r="P2147" s="54">
        <v>0</v>
      </c>
      <c r="Q2147" s="54">
        <v>471065.16</v>
      </c>
      <c r="R2147" s="54">
        <v>0</v>
      </c>
      <c r="S2147" s="54">
        <v>15726.51</v>
      </c>
      <c r="T2147" s="54">
        <v>15726.51</v>
      </c>
      <c r="U2147" s="54">
        <v>455338.65</v>
      </c>
      <c r="V2147" s="54">
        <v>455338.65</v>
      </c>
      <c r="W2147" s="54">
        <v>455338.65</v>
      </c>
    </row>
    <row r="2148" spans="1:23" outlineLevel="2" x14ac:dyDescent="0.2">
      <c r="A2148" s="21" t="s">
        <v>999</v>
      </c>
      <c r="B2148" s="21" t="s">
        <v>31</v>
      </c>
      <c r="C2148" s="21" t="s">
        <v>79</v>
      </c>
      <c r="D2148" s="21" t="s">
        <v>83</v>
      </c>
      <c r="E2148" s="21" t="s">
        <v>84</v>
      </c>
      <c r="F2148" s="21" t="s">
        <v>883</v>
      </c>
      <c r="G2148" s="21" t="s">
        <v>884</v>
      </c>
      <c r="H2148" s="21" t="s">
        <v>1293</v>
      </c>
      <c r="I2148" s="21" t="s">
        <v>1294</v>
      </c>
      <c r="J2148" s="21" t="s">
        <v>1000</v>
      </c>
      <c r="K2148" s="21" t="s">
        <v>1017</v>
      </c>
      <c r="L2148" s="21" t="s">
        <v>1266</v>
      </c>
      <c r="M2148" s="21" t="s">
        <v>12</v>
      </c>
      <c r="N2148" s="54">
        <v>150000</v>
      </c>
      <c r="O2148" s="54">
        <v>0</v>
      </c>
      <c r="P2148" s="54">
        <v>0</v>
      </c>
      <c r="Q2148" s="54">
        <v>150000</v>
      </c>
      <c r="R2148" s="54">
        <v>0</v>
      </c>
      <c r="S2148" s="54">
        <v>0</v>
      </c>
      <c r="T2148" s="54">
        <v>0</v>
      </c>
      <c r="U2148" s="54">
        <v>150000</v>
      </c>
      <c r="V2148" s="54">
        <v>150000</v>
      </c>
      <c r="W2148" s="54">
        <v>150000</v>
      </c>
    </row>
    <row r="2149" spans="1:23" outlineLevel="2" x14ac:dyDescent="0.2">
      <c r="A2149" s="21" t="s">
        <v>999</v>
      </c>
      <c r="B2149" s="21" t="s">
        <v>31</v>
      </c>
      <c r="C2149" s="21" t="s">
        <v>79</v>
      </c>
      <c r="D2149" s="21" t="s">
        <v>83</v>
      </c>
      <c r="E2149" s="21" t="s">
        <v>84</v>
      </c>
      <c r="F2149" s="21" t="s">
        <v>883</v>
      </c>
      <c r="G2149" s="21" t="s">
        <v>884</v>
      </c>
      <c r="H2149" s="21" t="s">
        <v>1293</v>
      </c>
      <c r="I2149" s="21" t="s">
        <v>1294</v>
      </c>
      <c r="J2149" s="21" t="s">
        <v>1000</v>
      </c>
      <c r="K2149" s="21" t="s">
        <v>1031</v>
      </c>
      <c r="L2149" s="21" t="s">
        <v>1269</v>
      </c>
      <c r="M2149" s="21" t="s">
        <v>12</v>
      </c>
      <c r="N2149" s="54">
        <v>8500</v>
      </c>
      <c r="O2149" s="54">
        <v>0</v>
      </c>
      <c r="P2149" s="54">
        <v>0</v>
      </c>
      <c r="Q2149" s="54">
        <v>8500</v>
      </c>
      <c r="R2149" s="54">
        <v>0</v>
      </c>
      <c r="S2149" s="54">
        <v>0</v>
      </c>
      <c r="T2149" s="54">
        <v>0</v>
      </c>
      <c r="U2149" s="54">
        <v>8500</v>
      </c>
      <c r="V2149" s="54">
        <v>8500</v>
      </c>
      <c r="W2149" s="54">
        <v>8500</v>
      </c>
    </row>
    <row r="2150" spans="1:23" outlineLevel="2" x14ac:dyDescent="0.2">
      <c r="A2150" s="21" t="s">
        <v>999</v>
      </c>
      <c r="B2150" s="21" t="s">
        <v>31</v>
      </c>
      <c r="C2150" s="21" t="s">
        <v>79</v>
      </c>
      <c r="D2150" s="21" t="s">
        <v>83</v>
      </c>
      <c r="E2150" s="21" t="s">
        <v>84</v>
      </c>
      <c r="F2150" s="21" t="s">
        <v>883</v>
      </c>
      <c r="G2150" s="21" t="s">
        <v>884</v>
      </c>
      <c r="H2150" s="21" t="s">
        <v>1296</v>
      </c>
      <c r="I2150" s="21" t="s">
        <v>1297</v>
      </c>
      <c r="J2150" s="21" t="s">
        <v>1000</v>
      </c>
      <c r="K2150" s="21" t="s">
        <v>1298</v>
      </c>
      <c r="L2150" s="21" t="s">
        <v>1299</v>
      </c>
      <c r="M2150" s="21" t="s">
        <v>12</v>
      </c>
      <c r="N2150" s="54">
        <v>5000</v>
      </c>
      <c r="O2150" s="54">
        <v>0</v>
      </c>
      <c r="P2150" s="54">
        <v>0</v>
      </c>
      <c r="Q2150" s="54">
        <v>5000</v>
      </c>
      <c r="R2150" s="54">
        <v>0</v>
      </c>
      <c r="S2150" s="54">
        <v>0</v>
      </c>
      <c r="T2150" s="54">
        <v>0</v>
      </c>
      <c r="U2150" s="54">
        <v>5000</v>
      </c>
      <c r="V2150" s="54">
        <v>5000</v>
      </c>
      <c r="W2150" s="54">
        <v>5000</v>
      </c>
    </row>
    <row r="2151" spans="1:23" outlineLevel="2" x14ac:dyDescent="0.2">
      <c r="A2151" s="21" t="s">
        <v>999</v>
      </c>
      <c r="B2151" s="21" t="s">
        <v>31</v>
      </c>
      <c r="C2151" s="21" t="s">
        <v>79</v>
      </c>
      <c r="D2151" s="21" t="s">
        <v>83</v>
      </c>
      <c r="E2151" s="21" t="s">
        <v>84</v>
      </c>
      <c r="F2151" s="21" t="s">
        <v>883</v>
      </c>
      <c r="G2151" s="21" t="s">
        <v>884</v>
      </c>
      <c r="H2151" s="21" t="s">
        <v>1296</v>
      </c>
      <c r="I2151" s="21" t="s">
        <v>1297</v>
      </c>
      <c r="J2151" s="21" t="s">
        <v>1000</v>
      </c>
      <c r="K2151" s="21" t="s">
        <v>1078</v>
      </c>
      <c r="L2151" s="21" t="s">
        <v>1284</v>
      </c>
      <c r="M2151" s="21" t="s">
        <v>12</v>
      </c>
      <c r="N2151" s="54">
        <v>10000</v>
      </c>
      <c r="O2151" s="54">
        <v>0</v>
      </c>
      <c r="P2151" s="54">
        <v>0</v>
      </c>
      <c r="Q2151" s="54">
        <v>10000</v>
      </c>
      <c r="R2151" s="54">
        <v>0</v>
      </c>
      <c r="S2151" s="54">
        <v>0</v>
      </c>
      <c r="T2151" s="54">
        <v>0</v>
      </c>
      <c r="U2151" s="54">
        <v>10000</v>
      </c>
      <c r="V2151" s="54">
        <v>10000</v>
      </c>
      <c r="W2151" s="54">
        <v>10000</v>
      </c>
    </row>
    <row r="2152" spans="1:23" outlineLevel="2" x14ac:dyDescent="0.2">
      <c r="A2152" s="21" t="s">
        <v>999</v>
      </c>
      <c r="B2152" s="21" t="s">
        <v>31</v>
      </c>
      <c r="C2152" s="21" t="s">
        <v>79</v>
      </c>
      <c r="D2152" s="21" t="s">
        <v>83</v>
      </c>
      <c r="E2152" s="21" t="s">
        <v>84</v>
      </c>
      <c r="F2152" s="21" t="s">
        <v>883</v>
      </c>
      <c r="G2152" s="21" t="s">
        <v>884</v>
      </c>
      <c r="H2152" s="21" t="s">
        <v>1296</v>
      </c>
      <c r="I2152" s="21" t="s">
        <v>1297</v>
      </c>
      <c r="J2152" s="21" t="s">
        <v>1000</v>
      </c>
      <c r="K2152" s="21" t="s">
        <v>1084</v>
      </c>
      <c r="L2152" s="21" t="s">
        <v>1277</v>
      </c>
      <c r="M2152" s="21" t="s">
        <v>12</v>
      </c>
      <c r="N2152" s="54">
        <v>20000</v>
      </c>
      <c r="O2152" s="54">
        <v>0</v>
      </c>
      <c r="P2152" s="54">
        <v>0</v>
      </c>
      <c r="Q2152" s="54">
        <v>20000</v>
      </c>
      <c r="R2152" s="54">
        <v>0</v>
      </c>
      <c r="S2152" s="54">
        <v>0</v>
      </c>
      <c r="T2152" s="54">
        <v>0</v>
      </c>
      <c r="U2152" s="54">
        <v>20000</v>
      </c>
      <c r="V2152" s="54">
        <v>20000</v>
      </c>
      <c r="W2152" s="54">
        <v>20000</v>
      </c>
    </row>
    <row r="2153" spans="1:23" outlineLevel="2" x14ac:dyDescent="0.2">
      <c r="A2153" s="21" t="s">
        <v>999</v>
      </c>
      <c r="B2153" s="21" t="s">
        <v>31</v>
      </c>
      <c r="C2153" s="21" t="s">
        <v>32</v>
      </c>
      <c r="D2153" s="21" t="s">
        <v>141</v>
      </c>
      <c r="E2153" s="21" t="s">
        <v>142</v>
      </c>
      <c r="F2153" s="21" t="s">
        <v>1300</v>
      </c>
      <c r="G2153" s="21" t="s">
        <v>1301</v>
      </c>
      <c r="H2153" s="21" t="s">
        <v>1302</v>
      </c>
      <c r="I2153" s="21" t="s">
        <v>1303</v>
      </c>
      <c r="J2153" s="21" t="s">
        <v>1000</v>
      </c>
      <c r="K2153" s="21" t="s">
        <v>1088</v>
      </c>
      <c r="L2153" s="21" t="s">
        <v>1304</v>
      </c>
      <c r="M2153" s="21" t="s">
        <v>12</v>
      </c>
      <c r="N2153" s="54">
        <v>3500</v>
      </c>
      <c r="O2153" s="54">
        <v>-3500</v>
      </c>
      <c r="P2153" s="54">
        <v>0</v>
      </c>
      <c r="Q2153" s="54">
        <v>0</v>
      </c>
      <c r="R2153" s="54">
        <v>0</v>
      </c>
      <c r="S2153" s="54">
        <v>0</v>
      </c>
      <c r="T2153" s="54">
        <v>0</v>
      </c>
      <c r="U2153" s="54">
        <v>0</v>
      </c>
      <c r="V2153" s="54">
        <v>0</v>
      </c>
      <c r="W2153" s="54">
        <v>0</v>
      </c>
    </row>
    <row r="2154" spans="1:23" outlineLevel="2" x14ac:dyDescent="0.2">
      <c r="A2154" s="21" t="s">
        <v>999</v>
      </c>
      <c r="B2154" s="21" t="s">
        <v>31</v>
      </c>
      <c r="C2154" s="21" t="s">
        <v>32</v>
      </c>
      <c r="D2154" s="21" t="s">
        <v>141</v>
      </c>
      <c r="E2154" s="21" t="s">
        <v>142</v>
      </c>
      <c r="F2154" s="21" t="s">
        <v>1300</v>
      </c>
      <c r="G2154" s="21" t="s">
        <v>1301</v>
      </c>
      <c r="H2154" s="21" t="s">
        <v>1302</v>
      </c>
      <c r="I2154" s="21" t="s">
        <v>1303</v>
      </c>
      <c r="J2154" s="21" t="s">
        <v>1000</v>
      </c>
      <c r="K2154" s="21" t="s">
        <v>1090</v>
      </c>
      <c r="L2154" s="21" t="s">
        <v>1305</v>
      </c>
      <c r="M2154" s="21" t="s">
        <v>12</v>
      </c>
      <c r="N2154" s="54">
        <v>3500</v>
      </c>
      <c r="O2154" s="54">
        <v>-3500</v>
      </c>
      <c r="P2154" s="54">
        <v>0</v>
      </c>
      <c r="Q2154" s="54">
        <v>0</v>
      </c>
      <c r="R2154" s="54">
        <v>0</v>
      </c>
      <c r="S2154" s="54">
        <v>0</v>
      </c>
      <c r="T2154" s="54">
        <v>0</v>
      </c>
      <c r="U2154" s="54">
        <v>0</v>
      </c>
      <c r="V2154" s="54">
        <v>0</v>
      </c>
      <c r="W2154" s="54">
        <v>0</v>
      </c>
    </row>
    <row r="2155" spans="1:23" outlineLevel="2" x14ac:dyDescent="0.2">
      <c r="A2155" s="21" t="s">
        <v>999</v>
      </c>
      <c r="B2155" s="21" t="s">
        <v>31</v>
      </c>
      <c r="C2155" s="21" t="s">
        <v>32</v>
      </c>
      <c r="D2155" s="21" t="s">
        <v>141</v>
      </c>
      <c r="E2155" s="21" t="s">
        <v>142</v>
      </c>
      <c r="F2155" s="21" t="s">
        <v>1300</v>
      </c>
      <c r="G2155" s="21" t="s">
        <v>1301</v>
      </c>
      <c r="H2155" s="21" t="s">
        <v>1302</v>
      </c>
      <c r="I2155" s="21" t="s">
        <v>1303</v>
      </c>
      <c r="J2155" s="21" t="s">
        <v>1000</v>
      </c>
      <c r="K2155" s="21" t="s">
        <v>1015</v>
      </c>
      <c r="L2155" s="21" t="s">
        <v>1306</v>
      </c>
      <c r="M2155" s="21" t="s">
        <v>12</v>
      </c>
      <c r="N2155" s="54">
        <v>65000</v>
      </c>
      <c r="O2155" s="54">
        <v>-65000</v>
      </c>
      <c r="P2155" s="54">
        <v>0</v>
      </c>
      <c r="Q2155" s="54">
        <v>0</v>
      </c>
      <c r="R2155" s="54">
        <v>0</v>
      </c>
      <c r="S2155" s="54">
        <v>0</v>
      </c>
      <c r="T2155" s="54">
        <v>0</v>
      </c>
      <c r="U2155" s="54">
        <v>0</v>
      </c>
      <c r="V2155" s="54">
        <v>0</v>
      </c>
      <c r="W2155" s="54">
        <v>0</v>
      </c>
    </row>
    <row r="2156" spans="1:23" outlineLevel="2" x14ac:dyDescent="0.2">
      <c r="A2156" s="21" t="s">
        <v>999</v>
      </c>
      <c r="B2156" s="21" t="s">
        <v>31</v>
      </c>
      <c r="C2156" s="21" t="s">
        <v>49</v>
      </c>
      <c r="D2156" s="21" t="s">
        <v>50</v>
      </c>
      <c r="E2156" s="21" t="s">
        <v>51</v>
      </c>
      <c r="F2156" s="21" t="s">
        <v>893</v>
      </c>
      <c r="G2156" s="21" t="s">
        <v>894</v>
      </c>
      <c r="H2156" s="21" t="s">
        <v>895</v>
      </c>
      <c r="I2156" s="21" t="s">
        <v>896</v>
      </c>
      <c r="J2156" s="21" t="s">
        <v>1000</v>
      </c>
      <c r="K2156" s="21" t="s">
        <v>1039</v>
      </c>
      <c r="L2156" s="21" t="s">
        <v>1308</v>
      </c>
      <c r="M2156" s="21" t="s">
        <v>12</v>
      </c>
      <c r="N2156" s="54">
        <v>7000</v>
      </c>
      <c r="O2156" s="54">
        <v>0</v>
      </c>
      <c r="P2156" s="54">
        <v>0</v>
      </c>
      <c r="Q2156" s="54">
        <v>7000</v>
      </c>
      <c r="R2156" s="54">
        <v>0</v>
      </c>
      <c r="S2156" s="54">
        <v>0</v>
      </c>
      <c r="T2156" s="54">
        <v>0</v>
      </c>
      <c r="U2156" s="54">
        <v>7000</v>
      </c>
      <c r="V2156" s="54">
        <v>7000</v>
      </c>
      <c r="W2156" s="54">
        <v>7000</v>
      </c>
    </row>
    <row r="2157" spans="1:23" outlineLevel="2" x14ac:dyDescent="0.2">
      <c r="A2157" s="21" t="s">
        <v>999</v>
      </c>
      <c r="B2157" s="21" t="s">
        <v>31</v>
      </c>
      <c r="C2157" s="21" t="s">
        <v>49</v>
      </c>
      <c r="D2157" s="21" t="s">
        <v>50</v>
      </c>
      <c r="E2157" s="21" t="s">
        <v>51</v>
      </c>
      <c r="F2157" s="21" t="s">
        <v>893</v>
      </c>
      <c r="G2157" s="21" t="s">
        <v>894</v>
      </c>
      <c r="H2157" s="21" t="s">
        <v>895</v>
      </c>
      <c r="I2157" s="21" t="s">
        <v>896</v>
      </c>
      <c r="J2157" s="21" t="s">
        <v>1000</v>
      </c>
      <c r="K2157" s="21" t="s">
        <v>1068</v>
      </c>
      <c r="L2157" s="21" t="s">
        <v>1309</v>
      </c>
      <c r="M2157" s="21" t="s">
        <v>12</v>
      </c>
      <c r="N2157" s="54">
        <v>172000</v>
      </c>
      <c r="O2157" s="54">
        <v>0</v>
      </c>
      <c r="P2157" s="54">
        <v>0</v>
      </c>
      <c r="Q2157" s="54">
        <v>172000</v>
      </c>
      <c r="R2157" s="54">
        <v>0</v>
      </c>
      <c r="S2157" s="54">
        <v>0</v>
      </c>
      <c r="T2157" s="54">
        <v>0</v>
      </c>
      <c r="U2157" s="54">
        <v>172000</v>
      </c>
      <c r="V2157" s="54">
        <v>172000</v>
      </c>
      <c r="W2157" s="54">
        <v>172000</v>
      </c>
    </row>
    <row r="2158" spans="1:23" outlineLevel="2" x14ac:dyDescent="0.2">
      <c r="A2158" s="21" t="s">
        <v>999</v>
      </c>
      <c r="B2158" s="21" t="s">
        <v>31</v>
      </c>
      <c r="C2158" s="21" t="s">
        <v>49</v>
      </c>
      <c r="D2158" s="21" t="s">
        <v>50</v>
      </c>
      <c r="E2158" s="21" t="s">
        <v>51</v>
      </c>
      <c r="F2158" s="21" t="s">
        <v>893</v>
      </c>
      <c r="G2158" s="21" t="s">
        <v>894</v>
      </c>
      <c r="H2158" s="21" t="s">
        <v>895</v>
      </c>
      <c r="I2158" s="21" t="s">
        <v>896</v>
      </c>
      <c r="J2158" s="21" t="s">
        <v>1000</v>
      </c>
      <c r="K2158" s="21" t="s">
        <v>1003</v>
      </c>
      <c r="L2158" s="21" t="s">
        <v>1310</v>
      </c>
      <c r="M2158" s="21" t="s">
        <v>12</v>
      </c>
      <c r="N2158" s="54">
        <v>2500</v>
      </c>
      <c r="O2158" s="54">
        <v>0</v>
      </c>
      <c r="P2158" s="54">
        <v>0</v>
      </c>
      <c r="Q2158" s="54">
        <v>2500</v>
      </c>
      <c r="R2158" s="54">
        <v>0</v>
      </c>
      <c r="S2158" s="54">
        <v>0</v>
      </c>
      <c r="T2158" s="54">
        <v>0</v>
      </c>
      <c r="U2158" s="54">
        <v>2500</v>
      </c>
      <c r="V2158" s="54">
        <v>2500</v>
      </c>
      <c r="W2158" s="54">
        <v>2500</v>
      </c>
    </row>
    <row r="2159" spans="1:23" outlineLevel="2" x14ac:dyDescent="0.2">
      <c r="A2159" s="21" t="s">
        <v>999</v>
      </c>
      <c r="B2159" s="21" t="s">
        <v>31</v>
      </c>
      <c r="C2159" s="21" t="s">
        <v>49</v>
      </c>
      <c r="D2159" s="21" t="s">
        <v>50</v>
      </c>
      <c r="E2159" s="21" t="s">
        <v>51</v>
      </c>
      <c r="F2159" s="21" t="s">
        <v>893</v>
      </c>
      <c r="G2159" s="21" t="s">
        <v>894</v>
      </c>
      <c r="H2159" s="21" t="s">
        <v>895</v>
      </c>
      <c r="I2159" s="21" t="s">
        <v>896</v>
      </c>
      <c r="J2159" s="21" t="s">
        <v>1000</v>
      </c>
      <c r="K2159" s="21" t="s">
        <v>1017</v>
      </c>
      <c r="L2159" s="21" t="s">
        <v>1311</v>
      </c>
      <c r="M2159" s="21" t="s">
        <v>12</v>
      </c>
      <c r="N2159" s="54">
        <v>30000</v>
      </c>
      <c r="O2159" s="54">
        <v>0</v>
      </c>
      <c r="P2159" s="54">
        <v>0</v>
      </c>
      <c r="Q2159" s="54">
        <v>30000</v>
      </c>
      <c r="R2159" s="54">
        <v>0</v>
      </c>
      <c r="S2159" s="54">
        <v>0</v>
      </c>
      <c r="T2159" s="54">
        <v>0</v>
      </c>
      <c r="U2159" s="54">
        <v>30000</v>
      </c>
      <c r="V2159" s="54">
        <v>30000</v>
      </c>
      <c r="W2159" s="54">
        <v>30000</v>
      </c>
    </row>
    <row r="2160" spans="1:23" outlineLevel="2" x14ac:dyDescent="0.2">
      <c r="A2160" s="21" t="s">
        <v>999</v>
      </c>
      <c r="B2160" s="21" t="s">
        <v>31</v>
      </c>
      <c r="C2160" s="21" t="s">
        <v>49</v>
      </c>
      <c r="D2160" s="21" t="s">
        <v>50</v>
      </c>
      <c r="E2160" s="21" t="s">
        <v>51</v>
      </c>
      <c r="F2160" s="21" t="s">
        <v>893</v>
      </c>
      <c r="G2160" s="21" t="s">
        <v>894</v>
      </c>
      <c r="H2160" s="21" t="s">
        <v>895</v>
      </c>
      <c r="I2160" s="21" t="s">
        <v>896</v>
      </c>
      <c r="J2160" s="21" t="s">
        <v>1000</v>
      </c>
      <c r="K2160" s="21" t="s">
        <v>1078</v>
      </c>
      <c r="L2160" s="21" t="s">
        <v>1312</v>
      </c>
      <c r="M2160" s="21" t="s">
        <v>12</v>
      </c>
      <c r="N2160" s="54">
        <v>8000</v>
      </c>
      <c r="O2160" s="54">
        <v>0</v>
      </c>
      <c r="P2160" s="54">
        <v>0</v>
      </c>
      <c r="Q2160" s="54">
        <v>8000</v>
      </c>
      <c r="R2160" s="54">
        <v>0</v>
      </c>
      <c r="S2160" s="54">
        <v>1097.5999999999999</v>
      </c>
      <c r="T2160" s="54">
        <v>1097.5999999999999</v>
      </c>
      <c r="U2160" s="54">
        <v>6902.4</v>
      </c>
      <c r="V2160" s="54">
        <v>6902.4</v>
      </c>
      <c r="W2160" s="54">
        <v>6902.4</v>
      </c>
    </row>
    <row r="2161" spans="1:23" outlineLevel="2" x14ac:dyDescent="0.2">
      <c r="A2161" s="21" t="s">
        <v>999</v>
      </c>
      <c r="B2161" s="21" t="s">
        <v>31</v>
      </c>
      <c r="C2161" s="21" t="s">
        <v>49</v>
      </c>
      <c r="D2161" s="21" t="s">
        <v>50</v>
      </c>
      <c r="E2161" s="21" t="s">
        <v>51</v>
      </c>
      <c r="F2161" s="21" t="s">
        <v>893</v>
      </c>
      <c r="G2161" s="21" t="s">
        <v>894</v>
      </c>
      <c r="H2161" s="21" t="s">
        <v>895</v>
      </c>
      <c r="I2161" s="21" t="s">
        <v>896</v>
      </c>
      <c r="J2161" s="21" t="s">
        <v>1000</v>
      </c>
      <c r="K2161" s="21" t="s">
        <v>1118</v>
      </c>
      <c r="L2161" s="21" t="s">
        <v>1318</v>
      </c>
      <c r="M2161" s="21" t="s">
        <v>12</v>
      </c>
      <c r="N2161" s="54">
        <v>4000</v>
      </c>
      <c r="O2161" s="54">
        <v>0</v>
      </c>
      <c r="P2161" s="54">
        <v>0</v>
      </c>
      <c r="Q2161" s="54">
        <v>4000</v>
      </c>
      <c r="R2161" s="54">
        <v>0</v>
      </c>
      <c r="S2161" s="54">
        <v>0</v>
      </c>
      <c r="T2161" s="54">
        <v>0</v>
      </c>
      <c r="U2161" s="54">
        <v>4000</v>
      </c>
      <c r="V2161" s="54">
        <v>4000</v>
      </c>
      <c r="W2161" s="54">
        <v>4000</v>
      </c>
    </row>
    <row r="2162" spans="1:23" outlineLevel="2" x14ac:dyDescent="0.2">
      <c r="A2162" s="21" t="s">
        <v>999</v>
      </c>
      <c r="B2162" s="21" t="s">
        <v>31</v>
      </c>
      <c r="C2162" s="21" t="s">
        <v>49</v>
      </c>
      <c r="D2162" s="21" t="s">
        <v>50</v>
      </c>
      <c r="E2162" s="21" t="s">
        <v>51</v>
      </c>
      <c r="F2162" s="21" t="s">
        <v>893</v>
      </c>
      <c r="G2162" s="21" t="s">
        <v>894</v>
      </c>
      <c r="H2162" s="21" t="s">
        <v>895</v>
      </c>
      <c r="I2162" s="21" t="s">
        <v>896</v>
      </c>
      <c r="J2162" s="21" t="s">
        <v>1000</v>
      </c>
      <c r="K2162" s="21" t="s">
        <v>1183</v>
      </c>
      <c r="L2162" s="21" t="s">
        <v>1319</v>
      </c>
      <c r="M2162" s="21" t="s">
        <v>12</v>
      </c>
      <c r="N2162" s="54">
        <v>500</v>
      </c>
      <c r="O2162" s="54">
        <v>0</v>
      </c>
      <c r="P2162" s="54">
        <v>0</v>
      </c>
      <c r="Q2162" s="54">
        <v>500</v>
      </c>
      <c r="R2162" s="54">
        <v>0</v>
      </c>
      <c r="S2162" s="54">
        <v>0</v>
      </c>
      <c r="T2162" s="54">
        <v>0</v>
      </c>
      <c r="U2162" s="54">
        <v>500</v>
      </c>
      <c r="V2162" s="54">
        <v>500</v>
      </c>
      <c r="W2162" s="54">
        <v>500</v>
      </c>
    </row>
    <row r="2163" spans="1:23" outlineLevel="2" x14ac:dyDescent="0.2">
      <c r="A2163" s="21" t="s">
        <v>999</v>
      </c>
      <c r="B2163" s="21" t="s">
        <v>39</v>
      </c>
      <c r="C2163" s="21" t="s">
        <v>58</v>
      </c>
      <c r="D2163" s="21" t="s">
        <v>135</v>
      </c>
      <c r="E2163" s="21" t="s">
        <v>136</v>
      </c>
      <c r="F2163" s="21" t="s">
        <v>893</v>
      </c>
      <c r="G2163" s="21" t="s">
        <v>894</v>
      </c>
      <c r="H2163" s="21" t="s">
        <v>902</v>
      </c>
      <c r="I2163" s="21" t="s">
        <v>903</v>
      </c>
      <c r="J2163" s="21" t="s">
        <v>1000</v>
      </c>
      <c r="K2163" s="21" t="s">
        <v>1037</v>
      </c>
      <c r="L2163" s="21" t="s">
        <v>1320</v>
      </c>
      <c r="M2163" s="21" t="s">
        <v>12</v>
      </c>
      <c r="N2163" s="54">
        <v>10000</v>
      </c>
      <c r="O2163" s="54">
        <v>0</v>
      </c>
      <c r="P2163" s="54">
        <v>0</v>
      </c>
      <c r="Q2163" s="54">
        <v>10000</v>
      </c>
      <c r="R2163" s="54">
        <v>0</v>
      </c>
      <c r="S2163" s="54">
        <v>0</v>
      </c>
      <c r="T2163" s="54">
        <v>0</v>
      </c>
      <c r="U2163" s="54">
        <v>10000</v>
      </c>
      <c r="V2163" s="54">
        <v>10000</v>
      </c>
      <c r="W2163" s="54">
        <v>10000</v>
      </c>
    </row>
    <row r="2164" spans="1:23" outlineLevel="2" x14ac:dyDescent="0.2">
      <c r="A2164" s="21" t="s">
        <v>999</v>
      </c>
      <c r="B2164" s="21" t="s">
        <v>39</v>
      </c>
      <c r="C2164" s="21" t="s">
        <v>58</v>
      </c>
      <c r="D2164" s="21" t="s">
        <v>137</v>
      </c>
      <c r="E2164" s="21" t="s">
        <v>138</v>
      </c>
      <c r="F2164" s="21" t="s">
        <v>893</v>
      </c>
      <c r="G2164" s="21" t="s">
        <v>894</v>
      </c>
      <c r="H2164" s="21" t="s">
        <v>902</v>
      </c>
      <c r="I2164" s="21" t="s">
        <v>903</v>
      </c>
      <c r="J2164" s="21" t="s">
        <v>1000</v>
      </c>
      <c r="K2164" s="21" t="s">
        <v>1037</v>
      </c>
      <c r="L2164" s="21" t="s">
        <v>1320</v>
      </c>
      <c r="M2164" s="21" t="s">
        <v>12</v>
      </c>
      <c r="N2164" s="54">
        <v>2000</v>
      </c>
      <c r="O2164" s="54">
        <v>0</v>
      </c>
      <c r="P2164" s="54">
        <v>0</v>
      </c>
      <c r="Q2164" s="54">
        <v>2000</v>
      </c>
      <c r="R2164" s="54">
        <v>0</v>
      </c>
      <c r="S2164" s="54">
        <v>0</v>
      </c>
      <c r="T2164" s="54">
        <v>0</v>
      </c>
      <c r="U2164" s="54">
        <v>2000</v>
      </c>
      <c r="V2164" s="54">
        <v>2000</v>
      </c>
      <c r="W2164" s="54">
        <v>2000</v>
      </c>
    </row>
    <row r="2165" spans="1:23" outlineLevel="2" x14ac:dyDescent="0.2">
      <c r="A2165" s="21" t="s">
        <v>999</v>
      </c>
      <c r="B2165" s="21" t="s">
        <v>39</v>
      </c>
      <c r="C2165" s="21" t="s">
        <v>58</v>
      </c>
      <c r="D2165" s="21" t="s">
        <v>139</v>
      </c>
      <c r="E2165" s="21" t="s">
        <v>140</v>
      </c>
      <c r="F2165" s="21" t="s">
        <v>893</v>
      </c>
      <c r="G2165" s="21" t="s">
        <v>894</v>
      </c>
      <c r="H2165" s="21" t="s">
        <v>902</v>
      </c>
      <c r="I2165" s="21" t="s">
        <v>903</v>
      </c>
      <c r="J2165" s="21" t="s">
        <v>1000</v>
      </c>
      <c r="K2165" s="21" t="s">
        <v>1037</v>
      </c>
      <c r="L2165" s="21" t="s">
        <v>1320</v>
      </c>
      <c r="M2165" s="21" t="s">
        <v>12</v>
      </c>
      <c r="N2165" s="54">
        <v>8000</v>
      </c>
      <c r="O2165" s="54">
        <v>0</v>
      </c>
      <c r="P2165" s="54">
        <v>0</v>
      </c>
      <c r="Q2165" s="54">
        <v>8000</v>
      </c>
      <c r="R2165" s="54">
        <v>0</v>
      </c>
      <c r="S2165" s="54">
        <v>0</v>
      </c>
      <c r="T2165" s="54">
        <v>0</v>
      </c>
      <c r="U2165" s="54">
        <v>8000</v>
      </c>
      <c r="V2165" s="54">
        <v>8000</v>
      </c>
      <c r="W2165" s="54">
        <v>8000</v>
      </c>
    </row>
    <row r="2166" spans="1:23" outlineLevel="2" x14ac:dyDescent="0.2">
      <c r="A2166" s="21" t="s">
        <v>999</v>
      </c>
      <c r="B2166" s="21" t="s">
        <v>39</v>
      </c>
      <c r="C2166" s="21" t="s">
        <v>58</v>
      </c>
      <c r="D2166" s="21" t="s">
        <v>129</v>
      </c>
      <c r="E2166" s="21" t="s">
        <v>130</v>
      </c>
      <c r="F2166" s="21" t="s">
        <v>893</v>
      </c>
      <c r="G2166" s="21" t="s">
        <v>894</v>
      </c>
      <c r="H2166" s="21" t="s">
        <v>902</v>
      </c>
      <c r="I2166" s="21" t="s">
        <v>903</v>
      </c>
      <c r="J2166" s="21" t="s">
        <v>1000</v>
      </c>
      <c r="K2166" s="21" t="s">
        <v>1037</v>
      </c>
      <c r="L2166" s="21" t="s">
        <v>1320</v>
      </c>
      <c r="M2166" s="21" t="s">
        <v>12</v>
      </c>
      <c r="N2166" s="54">
        <v>3000</v>
      </c>
      <c r="O2166" s="54">
        <v>0</v>
      </c>
      <c r="P2166" s="54">
        <v>0</v>
      </c>
      <c r="Q2166" s="54">
        <v>3000</v>
      </c>
      <c r="R2166" s="54">
        <v>0</v>
      </c>
      <c r="S2166" s="54">
        <v>0</v>
      </c>
      <c r="T2166" s="54">
        <v>0</v>
      </c>
      <c r="U2166" s="54">
        <v>3000</v>
      </c>
      <c r="V2166" s="54">
        <v>3000</v>
      </c>
      <c r="W2166" s="54">
        <v>3000</v>
      </c>
    </row>
    <row r="2167" spans="1:23" outlineLevel="2" x14ac:dyDescent="0.2">
      <c r="A2167" s="21" t="s">
        <v>999</v>
      </c>
      <c r="B2167" s="21" t="s">
        <v>31</v>
      </c>
      <c r="C2167" s="21" t="s">
        <v>49</v>
      </c>
      <c r="D2167" s="21" t="s">
        <v>50</v>
      </c>
      <c r="E2167" s="21" t="s">
        <v>51</v>
      </c>
      <c r="F2167" s="21" t="s">
        <v>893</v>
      </c>
      <c r="G2167" s="21" t="s">
        <v>894</v>
      </c>
      <c r="H2167" s="21" t="s">
        <v>902</v>
      </c>
      <c r="I2167" s="21" t="s">
        <v>903</v>
      </c>
      <c r="J2167" s="21" t="s">
        <v>1000</v>
      </c>
      <c r="K2167" s="21" t="s">
        <v>1037</v>
      </c>
      <c r="L2167" s="21" t="s">
        <v>1307</v>
      </c>
      <c r="M2167" s="21" t="s">
        <v>12</v>
      </c>
      <c r="N2167" s="54">
        <v>50000</v>
      </c>
      <c r="O2167" s="54">
        <v>0</v>
      </c>
      <c r="P2167" s="54">
        <v>0</v>
      </c>
      <c r="Q2167" s="54">
        <v>50000</v>
      </c>
      <c r="R2167" s="54">
        <v>0</v>
      </c>
      <c r="S2167" s="54">
        <v>0</v>
      </c>
      <c r="T2167" s="54">
        <v>0</v>
      </c>
      <c r="U2167" s="54">
        <v>50000</v>
      </c>
      <c r="V2167" s="54">
        <v>50000</v>
      </c>
      <c r="W2167" s="54">
        <v>50000</v>
      </c>
    </row>
    <row r="2168" spans="1:23" outlineLevel="2" x14ac:dyDescent="0.2">
      <c r="A2168" s="21" t="s">
        <v>999</v>
      </c>
      <c r="B2168" s="21" t="s">
        <v>39</v>
      </c>
      <c r="C2168" s="21" t="s">
        <v>58</v>
      </c>
      <c r="D2168" s="21" t="s">
        <v>137</v>
      </c>
      <c r="E2168" s="21" t="s">
        <v>138</v>
      </c>
      <c r="F2168" s="21" t="s">
        <v>893</v>
      </c>
      <c r="G2168" s="21" t="s">
        <v>894</v>
      </c>
      <c r="H2168" s="21" t="s">
        <v>902</v>
      </c>
      <c r="I2168" s="21" t="s">
        <v>903</v>
      </c>
      <c r="J2168" s="21" t="s">
        <v>1000</v>
      </c>
      <c r="K2168" s="21" t="s">
        <v>1039</v>
      </c>
      <c r="L2168" s="21" t="s">
        <v>1321</v>
      </c>
      <c r="M2168" s="21" t="s">
        <v>12</v>
      </c>
      <c r="N2168" s="54">
        <v>11360</v>
      </c>
      <c r="O2168" s="54">
        <v>0</v>
      </c>
      <c r="P2168" s="54">
        <v>0</v>
      </c>
      <c r="Q2168" s="54">
        <v>11360</v>
      </c>
      <c r="R2168" s="54">
        <v>0</v>
      </c>
      <c r="S2168" s="54">
        <v>0</v>
      </c>
      <c r="T2168" s="54">
        <v>0</v>
      </c>
      <c r="U2168" s="54">
        <v>11360</v>
      </c>
      <c r="V2168" s="54">
        <v>11360</v>
      </c>
      <c r="W2168" s="54">
        <v>11360</v>
      </c>
    </row>
    <row r="2169" spans="1:23" outlineLevel="2" x14ac:dyDescent="0.2">
      <c r="A2169" s="21" t="s">
        <v>999</v>
      </c>
      <c r="B2169" s="21" t="s">
        <v>39</v>
      </c>
      <c r="C2169" s="21" t="s">
        <v>58</v>
      </c>
      <c r="D2169" s="21" t="s">
        <v>135</v>
      </c>
      <c r="E2169" s="21" t="s">
        <v>136</v>
      </c>
      <c r="F2169" s="21" t="s">
        <v>893</v>
      </c>
      <c r="G2169" s="21" t="s">
        <v>894</v>
      </c>
      <c r="H2169" s="21" t="s">
        <v>902</v>
      </c>
      <c r="I2169" s="21" t="s">
        <v>903</v>
      </c>
      <c r="J2169" s="21" t="s">
        <v>1000</v>
      </c>
      <c r="K2169" s="21" t="s">
        <v>1039</v>
      </c>
      <c r="L2169" s="21" t="s">
        <v>1321</v>
      </c>
      <c r="M2169" s="21" t="s">
        <v>12</v>
      </c>
      <c r="N2169" s="54">
        <v>23000</v>
      </c>
      <c r="O2169" s="54">
        <v>0</v>
      </c>
      <c r="P2169" s="54">
        <v>0</v>
      </c>
      <c r="Q2169" s="54">
        <v>23000</v>
      </c>
      <c r="R2169" s="54">
        <v>0</v>
      </c>
      <c r="S2169" s="54">
        <v>0</v>
      </c>
      <c r="T2169" s="54">
        <v>0</v>
      </c>
      <c r="U2169" s="54">
        <v>23000</v>
      </c>
      <c r="V2169" s="54">
        <v>23000</v>
      </c>
      <c r="W2169" s="54">
        <v>23000</v>
      </c>
    </row>
    <row r="2170" spans="1:23" outlineLevel="2" x14ac:dyDescent="0.2">
      <c r="A2170" s="21" t="s">
        <v>999</v>
      </c>
      <c r="B2170" s="21" t="s">
        <v>31</v>
      </c>
      <c r="C2170" s="21" t="s">
        <v>49</v>
      </c>
      <c r="D2170" s="21" t="s">
        <v>50</v>
      </c>
      <c r="E2170" s="21" t="s">
        <v>51</v>
      </c>
      <c r="F2170" s="21" t="s">
        <v>893</v>
      </c>
      <c r="G2170" s="21" t="s">
        <v>894</v>
      </c>
      <c r="H2170" s="21" t="s">
        <v>902</v>
      </c>
      <c r="I2170" s="21" t="s">
        <v>903</v>
      </c>
      <c r="J2170" s="21" t="s">
        <v>1000</v>
      </c>
      <c r="K2170" s="21" t="s">
        <v>1039</v>
      </c>
      <c r="L2170" s="21" t="s">
        <v>1308</v>
      </c>
      <c r="M2170" s="21" t="s">
        <v>12</v>
      </c>
      <c r="N2170" s="54">
        <v>476600</v>
      </c>
      <c r="O2170" s="54">
        <v>-240000</v>
      </c>
      <c r="P2170" s="54">
        <v>0</v>
      </c>
      <c r="Q2170" s="54">
        <v>236600</v>
      </c>
      <c r="R2170" s="54">
        <v>22.4</v>
      </c>
      <c r="S2170" s="54">
        <v>18853.3</v>
      </c>
      <c r="T2170" s="54">
        <v>18277.28</v>
      </c>
      <c r="U2170" s="54">
        <v>217746.7</v>
      </c>
      <c r="V2170" s="54">
        <v>218322.72</v>
      </c>
      <c r="W2170" s="54">
        <v>217724.3</v>
      </c>
    </row>
    <row r="2171" spans="1:23" outlineLevel="2" x14ac:dyDescent="0.2">
      <c r="A2171" s="21" t="s">
        <v>999</v>
      </c>
      <c r="B2171" s="21" t="s">
        <v>39</v>
      </c>
      <c r="C2171" s="21" t="s">
        <v>58</v>
      </c>
      <c r="D2171" s="21" t="s">
        <v>145</v>
      </c>
      <c r="E2171" s="21" t="s">
        <v>146</v>
      </c>
      <c r="F2171" s="21" t="s">
        <v>893</v>
      </c>
      <c r="G2171" s="21" t="s">
        <v>894</v>
      </c>
      <c r="H2171" s="21" t="s">
        <v>902</v>
      </c>
      <c r="I2171" s="21" t="s">
        <v>903</v>
      </c>
      <c r="J2171" s="21" t="s">
        <v>1000</v>
      </c>
      <c r="K2171" s="21" t="s">
        <v>1039</v>
      </c>
      <c r="L2171" s="21" t="s">
        <v>1321</v>
      </c>
      <c r="M2171" s="21" t="s">
        <v>12</v>
      </c>
      <c r="N2171" s="54">
        <v>26000</v>
      </c>
      <c r="O2171" s="54">
        <v>0</v>
      </c>
      <c r="P2171" s="54">
        <v>0</v>
      </c>
      <c r="Q2171" s="54">
        <v>26000</v>
      </c>
      <c r="R2171" s="54">
        <v>0</v>
      </c>
      <c r="S2171" s="54">
        <v>0</v>
      </c>
      <c r="T2171" s="54">
        <v>0</v>
      </c>
      <c r="U2171" s="54">
        <v>26000</v>
      </c>
      <c r="V2171" s="54">
        <v>26000</v>
      </c>
      <c r="W2171" s="54">
        <v>26000</v>
      </c>
    </row>
    <row r="2172" spans="1:23" outlineLevel="2" x14ac:dyDescent="0.2">
      <c r="A2172" s="21" t="s">
        <v>999</v>
      </c>
      <c r="B2172" s="21" t="s">
        <v>39</v>
      </c>
      <c r="C2172" s="21" t="s">
        <v>58</v>
      </c>
      <c r="D2172" s="21" t="s">
        <v>139</v>
      </c>
      <c r="E2172" s="21" t="s">
        <v>140</v>
      </c>
      <c r="F2172" s="21" t="s">
        <v>893</v>
      </c>
      <c r="G2172" s="21" t="s">
        <v>894</v>
      </c>
      <c r="H2172" s="21" t="s">
        <v>902</v>
      </c>
      <c r="I2172" s="21" t="s">
        <v>903</v>
      </c>
      <c r="J2172" s="21" t="s">
        <v>1000</v>
      </c>
      <c r="K2172" s="21" t="s">
        <v>1039</v>
      </c>
      <c r="L2172" s="21" t="s">
        <v>1321</v>
      </c>
      <c r="M2172" s="21" t="s">
        <v>12</v>
      </c>
      <c r="N2172" s="54">
        <v>10000</v>
      </c>
      <c r="O2172" s="54">
        <v>0</v>
      </c>
      <c r="P2172" s="54">
        <v>0</v>
      </c>
      <c r="Q2172" s="54">
        <v>10000</v>
      </c>
      <c r="R2172" s="54">
        <v>0</v>
      </c>
      <c r="S2172" s="54">
        <v>0</v>
      </c>
      <c r="T2172" s="54">
        <v>0</v>
      </c>
      <c r="U2172" s="54">
        <v>10000</v>
      </c>
      <c r="V2172" s="54">
        <v>10000</v>
      </c>
      <c r="W2172" s="54">
        <v>10000</v>
      </c>
    </row>
    <row r="2173" spans="1:23" outlineLevel="2" x14ac:dyDescent="0.2">
      <c r="A2173" s="21" t="s">
        <v>999</v>
      </c>
      <c r="B2173" s="21" t="s">
        <v>39</v>
      </c>
      <c r="C2173" s="21" t="s">
        <v>58</v>
      </c>
      <c r="D2173" s="21" t="s">
        <v>59</v>
      </c>
      <c r="E2173" s="21" t="s">
        <v>60</v>
      </c>
      <c r="F2173" s="21" t="s">
        <v>893</v>
      </c>
      <c r="G2173" s="21" t="s">
        <v>894</v>
      </c>
      <c r="H2173" s="21" t="s">
        <v>902</v>
      </c>
      <c r="I2173" s="21" t="s">
        <v>903</v>
      </c>
      <c r="J2173" s="21" t="s">
        <v>1000</v>
      </c>
      <c r="K2173" s="21" t="s">
        <v>1039</v>
      </c>
      <c r="L2173" s="21" t="s">
        <v>1321</v>
      </c>
      <c r="M2173" s="21" t="s">
        <v>12</v>
      </c>
      <c r="N2173" s="54">
        <v>20000</v>
      </c>
      <c r="O2173" s="54">
        <v>0</v>
      </c>
      <c r="P2173" s="54">
        <v>0</v>
      </c>
      <c r="Q2173" s="54">
        <v>20000</v>
      </c>
      <c r="R2173" s="54">
        <v>0</v>
      </c>
      <c r="S2173" s="54">
        <v>0</v>
      </c>
      <c r="T2173" s="54">
        <v>0</v>
      </c>
      <c r="U2173" s="54">
        <v>20000</v>
      </c>
      <c r="V2173" s="54">
        <v>20000</v>
      </c>
      <c r="W2173" s="54">
        <v>20000</v>
      </c>
    </row>
    <row r="2174" spans="1:23" outlineLevel="2" x14ac:dyDescent="0.2">
      <c r="A2174" s="21" t="s">
        <v>999</v>
      </c>
      <c r="B2174" s="21" t="s">
        <v>39</v>
      </c>
      <c r="C2174" s="21" t="s">
        <v>58</v>
      </c>
      <c r="D2174" s="21" t="s">
        <v>143</v>
      </c>
      <c r="E2174" s="21" t="s">
        <v>144</v>
      </c>
      <c r="F2174" s="21" t="s">
        <v>893</v>
      </c>
      <c r="G2174" s="21" t="s">
        <v>894</v>
      </c>
      <c r="H2174" s="21" t="s">
        <v>902</v>
      </c>
      <c r="I2174" s="21" t="s">
        <v>903</v>
      </c>
      <c r="J2174" s="21" t="s">
        <v>1000</v>
      </c>
      <c r="K2174" s="21" t="s">
        <v>1039</v>
      </c>
      <c r="L2174" s="21" t="s">
        <v>1321</v>
      </c>
      <c r="M2174" s="21" t="s">
        <v>12</v>
      </c>
      <c r="N2174" s="54">
        <v>31800</v>
      </c>
      <c r="O2174" s="54">
        <v>0</v>
      </c>
      <c r="P2174" s="54">
        <v>0</v>
      </c>
      <c r="Q2174" s="54">
        <v>31800</v>
      </c>
      <c r="R2174" s="54">
        <v>0</v>
      </c>
      <c r="S2174" s="54">
        <v>7000</v>
      </c>
      <c r="T2174" s="54">
        <v>7000</v>
      </c>
      <c r="U2174" s="54">
        <v>24800</v>
      </c>
      <c r="V2174" s="54">
        <v>24800</v>
      </c>
      <c r="W2174" s="54">
        <v>24800</v>
      </c>
    </row>
    <row r="2175" spans="1:23" outlineLevel="2" x14ac:dyDescent="0.2">
      <c r="A2175" s="21" t="s">
        <v>999</v>
      </c>
      <c r="B2175" s="21" t="s">
        <v>31</v>
      </c>
      <c r="C2175" s="21" t="s">
        <v>49</v>
      </c>
      <c r="D2175" s="21" t="s">
        <v>50</v>
      </c>
      <c r="E2175" s="21" t="s">
        <v>51</v>
      </c>
      <c r="F2175" s="21" t="s">
        <v>893</v>
      </c>
      <c r="G2175" s="21" t="s">
        <v>894</v>
      </c>
      <c r="H2175" s="21" t="s">
        <v>902</v>
      </c>
      <c r="I2175" s="21" t="s">
        <v>903</v>
      </c>
      <c r="J2175" s="21" t="s">
        <v>1000</v>
      </c>
      <c r="K2175" s="21" t="s">
        <v>1058</v>
      </c>
      <c r="L2175" s="21" t="s">
        <v>1322</v>
      </c>
      <c r="M2175" s="21" t="s">
        <v>12</v>
      </c>
      <c r="N2175" s="54">
        <v>30000</v>
      </c>
      <c r="O2175" s="54">
        <v>0</v>
      </c>
      <c r="P2175" s="54">
        <v>0</v>
      </c>
      <c r="Q2175" s="54">
        <v>30000</v>
      </c>
      <c r="R2175" s="54">
        <v>0</v>
      </c>
      <c r="S2175" s="54">
        <v>0</v>
      </c>
      <c r="T2175" s="54">
        <v>0</v>
      </c>
      <c r="U2175" s="54">
        <v>30000</v>
      </c>
      <c r="V2175" s="54">
        <v>30000</v>
      </c>
      <c r="W2175" s="54">
        <v>30000</v>
      </c>
    </row>
    <row r="2176" spans="1:23" outlineLevel="2" x14ac:dyDescent="0.2">
      <c r="A2176" s="21" t="s">
        <v>999</v>
      </c>
      <c r="B2176" s="21" t="s">
        <v>39</v>
      </c>
      <c r="C2176" s="21" t="s">
        <v>58</v>
      </c>
      <c r="D2176" s="21" t="s">
        <v>145</v>
      </c>
      <c r="E2176" s="21" t="s">
        <v>146</v>
      </c>
      <c r="F2176" s="21" t="s">
        <v>893</v>
      </c>
      <c r="G2176" s="21" t="s">
        <v>894</v>
      </c>
      <c r="H2176" s="21" t="s">
        <v>902</v>
      </c>
      <c r="I2176" s="21" t="s">
        <v>903</v>
      </c>
      <c r="J2176" s="21" t="s">
        <v>1000</v>
      </c>
      <c r="K2176" s="21" t="s">
        <v>1068</v>
      </c>
      <c r="L2176" s="21" t="s">
        <v>1323</v>
      </c>
      <c r="M2176" s="21" t="s">
        <v>12</v>
      </c>
      <c r="N2176" s="54">
        <v>3000</v>
      </c>
      <c r="O2176" s="54">
        <v>0</v>
      </c>
      <c r="P2176" s="54">
        <v>0</v>
      </c>
      <c r="Q2176" s="54">
        <v>3000</v>
      </c>
      <c r="R2176" s="54">
        <v>0</v>
      </c>
      <c r="S2176" s="54">
        <v>0</v>
      </c>
      <c r="T2176" s="54">
        <v>0</v>
      </c>
      <c r="U2176" s="54">
        <v>3000</v>
      </c>
      <c r="V2176" s="54">
        <v>3000</v>
      </c>
      <c r="W2176" s="54">
        <v>3000</v>
      </c>
    </row>
    <row r="2177" spans="1:23" outlineLevel="2" x14ac:dyDescent="0.2">
      <c r="A2177" s="21" t="s">
        <v>999</v>
      </c>
      <c r="B2177" s="21" t="s">
        <v>39</v>
      </c>
      <c r="C2177" s="21" t="s">
        <v>58</v>
      </c>
      <c r="D2177" s="21" t="s">
        <v>137</v>
      </c>
      <c r="E2177" s="21" t="s">
        <v>138</v>
      </c>
      <c r="F2177" s="21" t="s">
        <v>893</v>
      </c>
      <c r="G2177" s="21" t="s">
        <v>894</v>
      </c>
      <c r="H2177" s="21" t="s">
        <v>902</v>
      </c>
      <c r="I2177" s="21" t="s">
        <v>903</v>
      </c>
      <c r="J2177" s="21" t="s">
        <v>1000</v>
      </c>
      <c r="K2177" s="21" t="s">
        <v>1068</v>
      </c>
      <c r="L2177" s="21" t="s">
        <v>1323</v>
      </c>
      <c r="M2177" s="21" t="s">
        <v>12</v>
      </c>
      <c r="N2177" s="54">
        <v>1500</v>
      </c>
      <c r="O2177" s="54">
        <v>0</v>
      </c>
      <c r="P2177" s="54">
        <v>0</v>
      </c>
      <c r="Q2177" s="54">
        <v>1500</v>
      </c>
      <c r="R2177" s="54">
        <v>0</v>
      </c>
      <c r="S2177" s="54">
        <v>0</v>
      </c>
      <c r="T2177" s="54">
        <v>0</v>
      </c>
      <c r="U2177" s="54">
        <v>1500</v>
      </c>
      <c r="V2177" s="54">
        <v>1500</v>
      </c>
      <c r="W2177" s="54">
        <v>1500</v>
      </c>
    </row>
    <row r="2178" spans="1:23" outlineLevel="2" x14ac:dyDescent="0.2">
      <c r="A2178" s="21" t="s">
        <v>999</v>
      </c>
      <c r="B2178" s="21" t="s">
        <v>39</v>
      </c>
      <c r="C2178" s="21" t="s">
        <v>58</v>
      </c>
      <c r="D2178" s="21" t="s">
        <v>139</v>
      </c>
      <c r="E2178" s="21" t="s">
        <v>140</v>
      </c>
      <c r="F2178" s="21" t="s">
        <v>893</v>
      </c>
      <c r="G2178" s="21" t="s">
        <v>894</v>
      </c>
      <c r="H2178" s="21" t="s">
        <v>902</v>
      </c>
      <c r="I2178" s="21" t="s">
        <v>903</v>
      </c>
      <c r="J2178" s="21" t="s">
        <v>1000</v>
      </c>
      <c r="K2178" s="21" t="s">
        <v>1068</v>
      </c>
      <c r="L2178" s="21" t="s">
        <v>1323</v>
      </c>
      <c r="M2178" s="21" t="s">
        <v>12</v>
      </c>
      <c r="N2178" s="54">
        <v>4900</v>
      </c>
      <c r="O2178" s="54">
        <v>0</v>
      </c>
      <c r="P2178" s="54">
        <v>0</v>
      </c>
      <c r="Q2178" s="54">
        <v>4900</v>
      </c>
      <c r="R2178" s="54">
        <v>0</v>
      </c>
      <c r="S2178" s="54">
        <v>0</v>
      </c>
      <c r="T2178" s="54">
        <v>0</v>
      </c>
      <c r="U2178" s="54">
        <v>4900</v>
      </c>
      <c r="V2178" s="54">
        <v>4900</v>
      </c>
      <c r="W2178" s="54">
        <v>4900</v>
      </c>
    </row>
    <row r="2179" spans="1:23" outlineLevel="2" x14ac:dyDescent="0.2">
      <c r="A2179" s="21" t="s">
        <v>999</v>
      </c>
      <c r="B2179" s="21" t="s">
        <v>31</v>
      </c>
      <c r="C2179" s="21" t="s">
        <v>49</v>
      </c>
      <c r="D2179" s="21" t="s">
        <v>50</v>
      </c>
      <c r="E2179" s="21" t="s">
        <v>51</v>
      </c>
      <c r="F2179" s="21" t="s">
        <v>893</v>
      </c>
      <c r="G2179" s="21" t="s">
        <v>894</v>
      </c>
      <c r="H2179" s="21" t="s">
        <v>902</v>
      </c>
      <c r="I2179" s="21" t="s">
        <v>903</v>
      </c>
      <c r="J2179" s="21" t="s">
        <v>1000</v>
      </c>
      <c r="K2179" s="21" t="s">
        <v>1068</v>
      </c>
      <c r="L2179" s="21" t="s">
        <v>1309</v>
      </c>
      <c r="M2179" s="21" t="s">
        <v>12</v>
      </c>
      <c r="N2179" s="54">
        <v>20000</v>
      </c>
      <c r="O2179" s="54">
        <v>0</v>
      </c>
      <c r="P2179" s="54">
        <v>0</v>
      </c>
      <c r="Q2179" s="54">
        <v>20000</v>
      </c>
      <c r="R2179" s="54">
        <v>0</v>
      </c>
      <c r="S2179" s="54">
        <v>504</v>
      </c>
      <c r="T2179" s="54">
        <v>504</v>
      </c>
      <c r="U2179" s="54">
        <v>19496</v>
      </c>
      <c r="V2179" s="54">
        <v>19496</v>
      </c>
      <c r="W2179" s="54">
        <v>19496</v>
      </c>
    </row>
    <row r="2180" spans="1:23" outlineLevel="2" x14ac:dyDescent="0.2">
      <c r="A2180" s="21" t="s">
        <v>999</v>
      </c>
      <c r="B2180" s="21" t="s">
        <v>39</v>
      </c>
      <c r="C2180" s="21" t="s">
        <v>58</v>
      </c>
      <c r="D2180" s="21" t="s">
        <v>59</v>
      </c>
      <c r="E2180" s="21" t="s">
        <v>60</v>
      </c>
      <c r="F2180" s="21" t="s">
        <v>893</v>
      </c>
      <c r="G2180" s="21" t="s">
        <v>894</v>
      </c>
      <c r="H2180" s="21" t="s">
        <v>902</v>
      </c>
      <c r="I2180" s="21" t="s">
        <v>903</v>
      </c>
      <c r="J2180" s="21" t="s">
        <v>1000</v>
      </c>
      <c r="K2180" s="21" t="s">
        <v>1068</v>
      </c>
      <c r="L2180" s="21" t="s">
        <v>1323</v>
      </c>
      <c r="M2180" s="21" t="s">
        <v>12</v>
      </c>
      <c r="N2180" s="54">
        <v>700</v>
      </c>
      <c r="O2180" s="54">
        <v>0</v>
      </c>
      <c r="P2180" s="54">
        <v>0</v>
      </c>
      <c r="Q2180" s="54">
        <v>700</v>
      </c>
      <c r="R2180" s="54">
        <v>0</v>
      </c>
      <c r="S2180" s="54">
        <v>0</v>
      </c>
      <c r="T2180" s="54">
        <v>0</v>
      </c>
      <c r="U2180" s="54">
        <v>700</v>
      </c>
      <c r="V2180" s="54">
        <v>700</v>
      </c>
      <c r="W2180" s="54">
        <v>700</v>
      </c>
    </row>
    <row r="2181" spans="1:23" outlineLevel="2" x14ac:dyDescent="0.2">
      <c r="A2181" s="21" t="s">
        <v>999</v>
      </c>
      <c r="B2181" s="21" t="s">
        <v>39</v>
      </c>
      <c r="C2181" s="21" t="s">
        <v>58</v>
      </c>
      <c r="D2181" s="21" t="s">
        <v>149</v>
      </c>
      <c r="E2181" s="21" t="s">
        <v>150</v>
      </c>
      <c r="F2181" s="21" t="s">
        <v>893</v>
      </c>
      <c r="G2181" s="21" t="s">
        <v>894</v>
      </c>
      <c r="H2181" s="21" t="s">
        <v>902</v>
      </c>
      <c r="I2181" s="21" t="s">
        <v>903</v>
      </c>
      <c r="J2181" s="21" t="s">
        <v>1000</v>
      </c>
      <c r="K2181" s="21" t="s">
        <v>1090</v>
      </c>
      <c r="L2181" s="21" t="s">
        <v>1324</v>
      </c>
      <c r="M2181" s="21" t="s">
        <v>12</v>
      </c>
      <c r="N2181" s="54">
        <v>18000</v>
      </c>
      <c r="O2181" s="54">
        <v>0</v>
      </c>
      <c r="P2181" s="54">
        <v>0</v>
      </c>
      <c r="Q2181" s="54">
        <v>18000</v>
      </c>
      <c r="R2181" s="54">
        <v>0</v>
      </c>
      <c r="S2181" s="54">
        <v>0</v>
      </c>
      <c r="T2181" s="54">
        <v>0</v>
      </c>
      <c r="U2181" s="54">
        <v>18000</v>
      </c>
      <c r="V2181" s="54">
        <v>18000</v>
      </c>
      <c r="W2181" s="54">
        <v>18000</v>
      </c>
    </row>
    <row r="2182" spans="1:23" outlineLevel="2" x14ac:dyDescent="0.2">
      <c r="A2182" s="21" t="s">
        <v>999</v>
      </c>
      <c r="B2182" s="21" t="s">
        <v>39</v>
      </c>
      <c r="C2182" s="21" t="s">
        <v>58</v>
      </c>
      <c r="D2182" s="21" t="s">
        <v>129</v>
      </c>
      <c r="E2182" s="21" t="s">
        <v>130</v>
      </c>
      <c r="F2182" s="21" t="s">
        <v>893</v>
      </c>
      <c r="G2182" s="21" t="s">
        <v>894</v>
      </c>
      <c r="H2182" s="21" t="s">
        <v>902</v>
      </c>
      <c r="I2182" s="21" t="s">
        <v>903</v>
      </c>
      <c r="J2182" s="21" t="s">
        <v>1000</v>
      </c>
      <c r="K2182" s="21" t="s">
        <v>1090</v>
      </c>
      <c r="L2182" s="21" t="s">
        <v>1324</v>
      </c>
      <c r="M2182" s="21" t="s">
        <v>12</v>
      </c>
      <c r="N2182" s="54">
        <v>23000</v>
      </c>
      <c r="O2182" s="54">
        <v>0</v>
      </c>
      <c r="P2182" s="54">
        <v>0</v>
      </c>
      <c r="Q2182" s="54">
        <v>23000</v>
      </c>
      <c r="R2182" s="54">
        <v>0</v>
      </c>
      <c r="S2182" s="54">
        <v>12261.76</v>
      </c>
      <c r="T2182" s="54">
        <v>0</v>
      </c>
      <c r="U2182" s="54">
        <v>10738.24</v>
      </c>
      <c r="V2182" s="54">
        <v>23000</v>
      </c>
      <c r="W2182" s="54">
        <v>10738.24</v>
      </c>
    </row>
    <row r="2183" spans="1:23" outlineLevel="2" x14ac:dyDescent="0.2">
      <c r="A2183" s="21" t="s">
        <v>999</v>
      </c>
      <c r="B2183" s="21" t="s">
        <v>39</v>
      </c>
      <c r="C2183" s="21" t="s">
        <v>58</v>
      </c>
      <c r="D2183" s="21" t="s">
        <v>59</v>
      </c>
      <c r="E2183" s="21" t="s">
        <v>60</v>
      </c>
      <c r="F2183" s="21" t="s">
        <v>893</v>
      </c>
      <c r="G2183" s="21" t="s">
        <v>894</v>
      </c>
      <c r="H2183" s="21" t="s">
        <v>902</v>
      </c>
      <c r="I2183" s="21" t="s">
        <v>903</v>
      </c>
      <c r="J2183" s="21" t="s">
        <v>1000</v>
      </c>
      <c r="K2183" s="21" t="s">
        <v>1011</v>
      </c>
      <c r="L2183" s="21" t="s">
        <v>1325</v>
      </c>
      <c r="M2183" s="21" t="s">
        <v>12</v>
      </c>
      <c r="N2183" s="54">
        <v>14200</v>
      </c>
      <c r="O2183" s="54">
        <v>0</v>
      </c>
      <c r="P2183" s="54">
        <v>0</v>
      </c>
      <c r="Q2183" s="54">
        <v>14200</v>
      </c>
      <c r="R2183" s="54">
        <v>0</v>
      </c>
      <c r="S2183" s="54">
        <v>0</v>
      </c>
      <c r="T2183" s="54">
        <v>0</v>
      </c>
      <c r="U2183" s="54">
        <v>14200</v>
      </c>
      <c r="V2183" s="54">
        <v>14200</v>
      </c>
      <c r="W2183" s="54">
        <v>14200</v>
      </c>
    </row>
    <row r="2184" spans="1:23" outlineLevel="2" x14ac:dyDescent="0.2">
      <c r="A2184" s="21" t="s">
        <v>999</v>
      </c>
      <c r="B2184" s="21" t="s">
        <v>39</v>
      </c>
      <c r="C2184" s="21" t="s">
        <v>58</v>
      </c>
      <c r="D2184" s="21" t="s">
        <v>135</v>
      </c>
      <c r="E2184" s="21" t="s">
        <v>136</v>
      </c>
      <c r="F2184" s="21" t="s">
        <v>893</v>
      </c>
      <c r="G2184" s="21" t="s">
        <v>894</v>
      </c>
      <c r="H2184" s="21" t="s">
        <v>902</v>
      </c>
      <c r="I2184" s="21" t="s">
        <v>903</v>
      </c>
      <c r="J2184" s="21" t="s">
        <v>1000</v>
      </c>
      <c r="K2184" s="21" t="s">
        <v>1011</v>
      </c>
      <c r="L2184" s="21" t="s">
        <v>1325</v>
      </c>
      <c r="M2184" s="21" t="s">
        <v>12</v>
      </c>
      <c r="N2184" s="54">
        <v>3000</v>
      </c>
      <c r="O2184" s="54">
        <v>0</v>
      </c>
      <c r="P2184" s="54">
        <v>0</v>
      </c>
      <c r="Q2184" s="54">
        <v>3000</v>
      </c>
      <c r="R2184" s="54">
        <v>0</v>
      </c>
      <c r="S2184" s="54">
        <v>0</v>
      </c>
      <c r="T2184" s="54">
        <v>0</v>
      </c>
      <c r="U2184" s="54">
        <v>3000</v>
      </c>
      <c r="V2184" s="54">
        <v>3000</v>
      </c>
      <c r="W2184" s="54">
        <v>3000</v>
      </c>
    </row>
    <row r="2185" spans="1:23" outlineLevel="2" x14ac:dyDescent="0.2">
      <c r="A2185" s="21" t="s">
        <v>999</v>
      </c>
      <c r="B2185" s="21" t="s">
        <v>39</v>
      </c>
      <c r="C2185" s="21" t="s">
        <v>58</v>
      </c>
      <c r="D2185" s="21" t="s">
        <v>145</v>
      </c>
      <c r="E2185" s="21" t="s">
        <v>146</v>
      </c>
      <c r="F2185" s="21" t="s">
        <v>893</v>
      </c>
      <c r="G2185" s="21" t="s">
        <v>894</v>
      </c>
      <c r="H2185" s="21" t="s">
        <v>902</v>
      </c>
      <c r="I2185" s="21" t="s">
        <v>903</v>
      </c>
      <c r="J2185" s="21" t="s">
        <v>1000</v>
      </c>
      <c r="K2185" s="21" t="s">
        <v>1011</v>
      </c>
      <c r="L2185" s="21" t="s">
        <v>1325</v>
      </c>
      <c r="M2185" s="21" t="s">
        <v>12</v>
      </c>
      <c r="N2185" s="54">
        <v>4000</v>
      </c>
      <c r="O2185" s="54">
        <v>0</v>
      </c>
      <c r="P2185" s="54">
        <v>0</v>
      </c>
      <c r="Q2185" s="54">
        <v>4000</v>
      </c>
      <c r="R2185" s="54">
        <v>0</v>
      </c>
      <c r="S2185" s="54">
        <v>0</v>
      </c>
      <c r="T2185" s="54">
        <v>0</v>
      </c>
      <c r="U2185" s="54">
        <v>4000</v>
      </c>
      <c r="V2185" s="54">
        <v>4000</v>
      </c>
      <c r="W2185" s="54">
        <v>4000</v>
      </c>
    </row>
    <row r="2186" spans="1:23" outlineLevel="2" x14ac:dyDescent="0.2">
      <c r="A2186" s="21" t="s">
        <v>999</v>
      </c>
      <c r="B2186" s="21" t="s">
        <v>39</v>
      </c>
      <c r="C2186" s="21" t="s">
        <v>58</v>
      </c>
      <c r="D2186" s="21" t="s">
        <v>147</v>
      </c>
      <c r="E2186" s="21" t="s">
        <v>148</v>
      </c>
      <c r="F2186" s="21" t="s">
        <v>893</v>
      </c>
      <c r="G2186" s="21" t="s">
        <v>894</v>
      </c>
      <c r="H2186" s="21" t="s">
        <v>902</v>
      </c>
      <c r="I2186" s="21" t="s">
        <v>903</v>
      </c>
      <c r="J2186" s="21" t="s">
        <v>1000</v>
      </c>
      <c r="K2186" s="21" t="s">
        <v>1011</v>
      </c>
      <c r="L2186" s="21" t="s">
        <v>1325</v>
      </c>
      <c r="M2186" s="21" t="s">
        <v>12</v>
      </c>
      <c r="N2186" s="54">
        <v>10000</v>
      </c>
      <c r="O2186" s="54">
        <v>0</v>
      </c>
      <c r="P2186" s="54">
        <v>0</v>
      </c>
      <c r="Q2186" s="54">
        <v>10000</v>
      </c>
      <c r="R2186" s="54">
        <v>0</v>
      </c>
      <c r="S2186" s="54">
        <v>0</v>
      </c>
      <c r="T2186" s="54">
        <v>0</v>
      </c>
      <c r="U2186" s="54">
        <v>10000</v>
      </c>
      <c r="V2186" s="54">
        <v>10000</v>
      </c>
      <c r="W2186" s="54">
        <v>10000</v>
      </c>
    </row>
    <row r="2187" spans="1:23" outlineLevel="2" x14ac:dyDescent="0.2">
      <c r="A2187" s="21" t="s">
        <v>999</v>
      </c>
      <c r="B2187" s="21" t="s">
        <v>39</v>
      </c>
      <c r="C2187" s="21" t="s">
        <v>58</v>
      </c>
      <c r="D2187" s="21" t="s">
        <v>129</v>
      </c>
      <c r="E2187" s="21" t="s">
        <v>130</v>
      </c>
      <c r="F2187" s="21" t="s">
        <v>893</v>
      </c>
      <c r="G2187" s="21" t="s">
        <v>894</v>
      </c>
      <c r="H2187" s="21" t="s">
        <v>902</v>
      </c>
      <c r="I2187" s="21" t="s">
        <v>903</v>
      </c>
      <c r="J2187" s="21" t="s">
        <v>1000</v>
      </c>
      <c r="K2187" s="21" t="s">
        <v>1011</v>
      </c>
      <c r="L2187" s="21" t="s">
        <v>1325</v>
      </c>
      <c r="M2187" s="21" t="s">
        <v>12</v>
      </c>
      <c r="N2187" s="54">
        <v>6000</v>
      </c>
      <c r="O2187" s="54">
        <v>0</v>
      </c>
      <c r="P2187" s="54">
        <v>0</v>
      </c>
      <c r="Q2187" s="54">
        <v>6000</v>
      </c>
      <c r="R2187" s="54">
        <v>3942.4</v>
      </c>
      <c r="S2187" s="54">
        <v>0</v>
      </c>
      <c r="T2187" s="54">
        <v>0</v>
      </c>
      <c r="U2187" s="54">
        <v>6000</v>
      </c>
      <c r="V2187" s="54">
        <v>6000</v>
      </c>
      <c r="W2187" s="54">
        <v>2057.6</v>
      </c>
    </row>
    <row r="2188" spans="1:23" outlineLevel="2" x14ac:dyDescent="0.2">
      <c r="A2188" s="21" t="s">
        <v>999</v>
      </c>
      <c r="B2188" s="21" t="s">
        <v>39</v>
      </c>
      <c r="C2188" s="21" t="s">
        <v>58</v>
      </c>
      <c r="D2188" s="21" t="s">
        <v>137</v>
      </c>
      <c r="E2188" s="21" t="s">
        <v>138</v>
      </c>
      <c r="F2188" s="21" t="s">
        <v>893</v>
      </c>
      <c r="G2188" s="21" t="s">
        <v>894</v>
      </c>
      <c r="H2188" s="21" t="s">
        <v>902</v>
      </c>
      <c r="I2188" s="21" t="s">
        <v>903</v>
      </c>
      <c r="J2188" s="21" t="s">
        <v>1000</v>
      </c>
      <c r="K2188" s="21" t="s">
        <v>1011</v>
      </c>
      <c r="L2188" s="21" t="s">
        <v>1325</v>
      </c>
      <c r="M2188" s="21" t="s">
        <v>12</v>
      </c>
      <c r="N2188" s="54">
        <v>15540</v>
      </c>
      <c r="O2188" s="54">
        <v>0</v>
      </c>
      <c r="P2188" s="54">
        <v>0</v>
      </c>
      <c r="Q2188" s="54">
        <v>15540</v>
      </c>
      <c r="R2188" s="54">
        <v>0</v>
      </c>
      <c r="S2188" s="54">
        <v>0</v>
      </c>
      <c r="T2188" s="54">
        <v>0</v>
      </c>
      <c r="U2188" s="54">
        <v>15540</v>
      </c>
      <c r="V2188" s="54">
        <v>15540</v>
      </c>
      <c r="W2188" s="54">
        <v>15540</v>
      </c>
    </row>
    <row r="2189" spans="1:23" outlineLevel="2" x14ac:dyDescent="0.2">
      <c r="A2189" s="21" t="s">
        <v>999</v>
      </c>
      <c r="B2189" s="21" t="s">
        <v>39</v>
      </c>
      <c r="C2189" s="21" t="s">
        <v>58</v>
      </c>
      <c r="D2189" s="21" t="s">
        <v>59</v>
      </c>
      <c r="E2189" s="21" t="s">
        <v>60</v>
      </c>
      <c r="F2189" s="21" t="s">
        <v>893</v>
      </c>
      <c r="G2189" s="21" t="s">
        <v>894</v>
      </c>
      <c r="H2189" s="21" t="s">
        <v>902</v>
      </c>
      <c r="I2189" s="21" t="s">
        <v>903</v>
      </c>
      <c r="J2189" s="21" t="s">
        <v>1000</v>
      </c>
      <c r="K2189" s="21" t="s">
        <v>1017</v>
      </c>
      <c r="L2189" s="21" t="s">
        <v>1326</v>
      </c>
      <c r="M2189" s="21" t="s">
        <v>12</v>
      </c>
      <c r="N2189" s="54">
        <v>28800</v>
      </c>
      <c r="O2189" s="54">
        <v>0</v>
      </c>
      <c r="P2189" s="54">
        <v>0</v>
      </c>
      <c r="Q2189" s="54">
        <v>28800</v>
      </c>
      <c r="R2189" s="54">
        <v>0</v>
      </c>
      <c r="S2189" s="54">
        <v>0</v>
      </c>
      <c r="T2189" s="54">
        <v>0</v>
      </c>
      <c r="U2189" s="54">
        <v>28800</v>
      </c>
      <c r="V2189" s="54">
        <v>28800</v>
      </c>
      <c r="W2189" s="54">
        <v>28800</v>
      </c>
    </row>
    <row r="2190" spans="1:23" outlineLevel="2" x14ac:dyDescent="0.2">
      <c r="A2190" s="21" t="s">
        <v>999</v>
      </c>
      <c r="B2190" s="21" t="s">
        <v>39</v>
      </c>
      <c r="C2190" s="21" t="s">
        <v>58</v>
      </c>
      <c r="D2190" s="21" t="s">
        <v>147</v>
      </c>
      <c r="E2190" s="21" t="s">
        <v>148</v>
      </c>
      <c r="F2190" s="21" t="s">
        <v>893</v>
      </c>
      <c r="G2190" s="21" t="s">
        <v>894</v>
      </c>
      <c r="H2190" s="21" t="s">
        <v>902</v>
      </c>
      <c r="I2190" s="21" t="s">
        <v>903</v>
      </c>
      <c r="J2190" s="21" t="s">
        <v>1000</v>
      </c>
      <c r="K2190" s="21" t="s">
        <v>1017</v>
      </c>
      <c r="L2190" s="21" t="s">
        <v>1326</v>
      </c>
      <c r="M2190" s="21" t="s">
        <v>12</v>
      </c>
      <c r="N2190" s="54">
        <v>30000</v>
      </c>
      <c r="O2190" s="54">
        <v>0</v>
      </c>
      <c r="P2190" s="54">
        <v>0</v>
      </c>
      <c r="Q2190" s="54">
        <v>30000</v>
      </c>
      <c r="R2190" s="54">
        <v>0</v>
      </c>
      <c r="S2190" s="54">
        <v>0</v>
      </c>
      <c r="T2190" s="54">
        <v>0</v>
      </c>
      <c r="U2190" s="54">
        <v>30000</v>
      </c>
      <c r="V2190" s="54">
        <v>30000</v>
      </c>
      <c r="W2190" s="54">
        <v>30000</v>
      </c>
    </row>
    <row r="2191" spans="1:23" outlineLevel="2" x14ac:dyDescent="0.2">
      <c r="A2191" s="21" t="s">
        <v>999</v>
      </c>
      <c r="B2191" s="21" t="s">
        <v>39</v>
      </c>
      <c r="C2191" s="21" t="s">
        <v>58</v>
      </c>
      <c r="D2191" s="21" t="s">
        <v>139</v>
      </c>
      <c r="E2191" s="21" t="s">
        <v>140</v>
      </c>
      <c r="F2191" s="21" t="s">
        <v>893</v>
      </c>
      <c r="G2191" s="21" t="s">
        <v>894</v>
      </c>
      <c r="H2191" s="21" t="s">
        <v>902</v>
      </c>
      <c r="I2191" s="21" t="s">
        <v>903</v>
      </c>
      <c r="J2191" s="21" t="s">
        <v>1000</v>
      </c>
      <c r="K2191" s="21" t="s">
        <v>1017</v>
      </c>
      <c r="L2191" s="21" t="s">
        <v>1326</v>
      </c>
      <c r="M2191" s="21" t="s">
        <v>12</v>
      </c>
      <c r="N2191" s="54">
        <v>14400</v>
      </c>
      <c r="O2191" s="54">
        <v>0</v>
      </c>
      <c r="P2191" s="54">
        <v>0</v>
      </c>
      <c r="Q2191" s="54">
        <v>14400</v>
      </c>
      <c r="R2191" s="54">
        <v>0</v>
      </c>
      <c r="S2191" s="54">
        <v>0</v>
      </c>
      <c r="T2191" s="54">
        <v>0</v>
      </c>
      <c r="U2191" s="54">
        <v>14400</v>
      </c>
      <c r="V2191" s="54">
        <v>14400</v>
      </c>
      <c r="W2191" s="54">
        <v>14400</v>
      </c>
    </row>
    <row r="2192" spans="1:23" outlineLevel="2" x14ac:dyDescent="0.2">
      <c r="A2192" s="21" t="s">
        <v>999</v>
      </c>
      <c r="B2192" s="21" t="s">
        <v>39</v>
      </c>
      <c r="C2192" s="21" t="s">
        <v>58</v>
      </c>
      <c r="D2192" s="21" t="s">
        <v>137</v>
      </c>
      <c r="E2192" s="21" t="s">
        <v>138</v>
      </c>
      <c r="F2192" s="21" t="s">
        <v>893</v>
      </c>
      <c r="G2192" s="21" t="s">
        <v>894</v>
      </c>
      <c r="H2192" s="21" t="s">
        <v>902</v>
      </c>
      <c r="I2192" s="21" t="s">
        <v>903</v>
      </c>
      <c r="J2192" s="21" t="s">
        <v>1000</v>
      </c>
      <c r="K2192" s="21" t="s">
        <v>1017</v>
      </c>
      <c r="L2192" s="21" t="s">
        <v>1326</v>
      </c>
      <c r="M2192" s="21" t="s">
        <v>12</v>
      </c>
      <c r="N2192" s="54">
        <v>14400</v>
      </c>
      <c r="O2192" s="54">
        <v>0</v>
      </c>
      <c r="P2192" s="54">
        <v>0</v>
      </c>
      <c r="Q2192" s="54">
        <v>14400</v>
      </c>
      <c r="R2192" s="54">
        <v>0</v>
      </c>
      <c r="S2192" s="54">
        <v>0</v>
      </c>
      <c r="T2192" s="54">
        <v>0</v>
      </c>
      <c r="U2192" s="54">
        <v>14400</v>
      </c>
      <c r="V2192" s="54">
        <v>14400</v>
      </c>
      <c r="W2192" s="54">
        <v>14400</v>
      </c>
    </row>
    <row r="2193" spans="1:23" outlineLevel="2" x14ac:dyDescent="0.2">
      <c r="A2193" s="21" t="s">
        <v>999</v>
      </c>
      <c r="B2193" s="21" t="s">
        <v>39</v>
      </c>
      <c r="C2193" s="21" t="s">
        <v>58</v>
      </c>
      <c r="D2193" s="21" t="s">
        <v>129</v>
      </c>
      <c r="E2193" s="21" t="s">
        <v>130</v>
      </c>
      <c r="F2193" s="21" t="s">
        <v>893</v>
      </c>
      <c r="G2193" s="21" t="s">
        <v>894</v>
      </c>
      <c r="H2193" s="21" t="s">
        <v>902</v>
      </c>
      <c r="I2193" s="21" t="s">
        <v>903</v>
      </c>
      <c r="J2193" s="21" t="s">
        <v>1000</v>
      </c>
      <c r="K2193" s="21" t="s">
        <v>1017</v>
      </c>
      <c r="L2193" s="21" t="s">
        <v>1326</v>
      </c>
      <c r="M2193" s="21" t="s">
        <v>12</v>
      </c>
      <c r="N2193" s="54">
        <v>14000</v>
      </c>
      <c r="O2193" s="54">
        <v>0</v>
      </c>
      <c r="P2193" s="54">
        <v>0</v>
      </c>
      <c r="Q2193" s="54">
        <v>14000</v>
      </c>
      <c r="R2193" s="54">
        <v>0</v>
      </c>
      <c r="S2193" s="54">
        <v>5051.9799999999996</v>
      </c>
      <c r="T2193" s="54">
        <v>5051.9799999999996</v>
      </c>
      <c r="U2193" s="54">
        <v>8948.02</v>
      </c>
      <c r="V2193" s="54">
        <v>8948.02</v>
      </c>
      <c r="W2193" s="54">
        <v>8948.02</v>
      </c>
    </row>
    <row r="2194" spans="1:23" outlineLevel="2" x14ac:dyDescent="0.2">
      <c r="A2194" s="21" t="s">
        <v>999</v>
      </c>
      <c r="B2194" s="21" t="s">
        <v>39</v>
      </c>
      <c r="C2194" s="21" t="s">
        <v>58</v>
      </c>
      <c r="D2194" s="21" t="s">
        <v>145</v>
      </c>
      <c r="E2194" s="21" t="s">
        <v>146</v>
      </c>
      <c r="F2194" s="21" t="s">
        <v>893</v>
      </c>
      <c r="G2194" s="21" t="s">
        <v>894</v>
      </c>
      <c r="H2194" s="21" t="s">
        <v>902</v>
      </c>
      <c r="I2194" s="21" t="s">
        <v>903</v>
      </c>
      <c r="J2194" s="21" t="s">
        <v>1000</v>
      </c>
      <c r="K2194" s="21" t="s">
        <v>1017</v>
      </c>
      <c r="L2194" s="21" t="s">
        <v>1326</v>
      </c>
      <c r="M2194" s="21" t="s">
        <v>12</v>
      </c>
      <c r="N2194" s="54">
        <v>28700</v>
      </c>
      <c r="O2194" s="54">
        <v>0</v>
      </c>
      <c r="P2194" s="54">
        <v>0</v>
      </c>
      <c r="Q2194" s="54">
        <v>28700</v>
      </c>
      <c r="R2194" s="54">
        <v>0</v>
      </c>
      <c r="S2194" s="54">
        <v>0</v>
      </c>
      <c r="T2194" s="54">
        <v>0</v>
      </c>
      <c r="U2194" s="54">
        <v>28700</v>
      </c>
      <c r="V2194" s="54">
        <v>28700</v>
      </c>
      <c r="W2194" s="54">
        <v>28700</v>
      </c>
    </row>
    <row r="2195" spans="1:23" outlineLevel="2" x14ac:dyDescent="0.2">
      <c r="A2195" s="21" t="s">
        <v>999</v>
      </c>
      <c r="B2195" s="21" t="s">
        <v>31</v>
      </c>
      <c r="C2195" s="21" t="s">
        <v>49</v>
      </c>
      <c r="D2195" s="21" t="s">
        <v>50</v>
      </c>
      <c r="E2195" s="21" t="s">
        <v>51</v>
      </c>
      <c r="F2195" s="21" t="s">
        <v>893</v>
      </c>
      <c r="G2195" s="21" t="s">
        <v>894</v>
      </c>
      <c r="H2195" s="21" t="s">
        <v>902</v>
      </c>
      <c r="I2195" s="21" t="s">
        <v>903</v>
      </c>
      <c r="J2195" s="21" t="s">
        <v>1000</v>
      </c>
      <c r="K2195" s="21" t="s">
        <v>1327</v>
      </c>
      <c r="L2195" s="21" t="s">
        <v>1328</v>
      </c>
      <c r="M2195" s="21" t="s">
        <v>12</v>
      </c>
      <c r="N2195" s="54">
        <v>91500</v>
      </c>
      <c r="O2195" s="54">
        <v>-35000</v>
      </c>
      <c r="P2195" s="54">
        <v>0</v>
      </c>
      <c r="Q2195" s="54">
        <v>56500</v>
      </c>
      <c r="R2195" s="54">
        <v>0</v>
      </c>
      <c r="S2195" s="54">
        <v>0</v>
      </c>
      <c r="T2195" s="54">
        <v>0</v>
      </c>
      <c r="U2195" s="54">
        <v>56500</v>
      </c>
      <c r="V2195" s="54">
        <v>56500</v>
      </c>
      <c r="W2195" s="54">
        <v>56500</v>
      </c>
    </row>
    <row r="2196" spans="1:23" outlineLevel="2" x14ac:dyDescent="0.2">
      <c r="A2196" s="21" t="s">
        <v>999</v>
      </c>
      <c r="B2196" s="21" t="s">
        <v>39</v>
      </c>
      <c r="C2196" s="21" t="s">
        <v>58</v>
      </c>
      <c r="D2196" s="21" t="s">
        <v>135</v>
      </c>
      <c r="E2196" s="21" t="s">
        <v>136</v>
      </c>
      <c r="F2196" s="21" t="s">
        <v>893</v>
      </c>
      <c r="G2196" s="21" t="s">
        <v>894</v>
      </c>
      <c r="H2196" s="21" t="s">
        <v>902</v>
      </c>
      <c r="I2196" s="21" t="s">
        <v>903</v>
      </c>
      <c r="J2196" s="21" t="s">
        <v>1000</v>
      </c>
      <c r="K2196" s="21" t="s">
        <v>1078</v>
      </c>
      <c r="L2196" s="21" t="s">
        <v>1329</v>
      </c>
      <c r="M2196" s="21" t="s">
        <v>12</v>
      </c>
      <c r="N2196" s="54">
        <v>10000</v>
      </c>
      <c r="O2196" s="54">
        <v>0</v>
      </c>
      <c r="P2196" s="54">
        <v>0</v>
      </c>
      <c r="Q2196" s="54">
        <v>10000</v>
      </c>
      <c r="R2196" s="54">
        <v>0</v>
      </c>
      <c r="S2196" s="54">
        <v>0</v>
      </c>
      <c r="T2196" s="54">
        <v>0</v>
      </c>
      <c r="U2196" s="54">
        <v>10000</v>
      </c>
      <c r="V2196" s="54">
        <v>10000</v>
      </c>
      <c r="W2196" s="54">
        <v>10000</v>
      </c>
    </row>
    <row r="2197" spans="1:23" outlineLevel="2" x14ac:dyDescent="0.2">
      <c r="A2197" s="21" t="s">
        <v>999</v>
      </c>
      <c r="B2197" s="21" t="s">
        <v>39</v>
      </c>
      <c r="C2197" s="21" t="s">
        <v>58</v>
      </c>
      <c r="D2197" s="21" t="s">
        <v>149</v>
      </c>
      <c r="E2197" s="21" t="s">
        <v>150</v>
      </c>
      <c r="F2197" s="21" t="s">
        <v>893</v>
      </c>
      <c r="G2197" s="21" t="s">
        <v>894</v>
      </c>
      <c r="H2197" s="21" t="s">
        <v>902</v>
      </c>
      <c r="I2197" s="21" t="s">
        <v>903</v>
      </c>
      <c r="J2197" s="21" t="s">
        <v>1000</v>
      </c>
      <c r="K2197" s="21" t="s">
        <v>1078</v>
      </c>
      <c r="L2197" s="21" t="s">
        <v>1329</v>
      </c>
      <c r="M2197" s="21" t="s">
        <v>12</v>
      </c>
      <c r="N2197" s="54">
        <v>10000</v>
      </c>
      <c r="O2197" s="54">
        <v>0</v>
      </c>
      <c r="P2197" s="54">
        <v>0</v>
      </c>
      <c r="Q2197" s="54">
        <v>10000</v>
      </c>
      <c r="R2197" s="54">
        <v>0</v>
      </c>
      <c r="S2197" s="54">
        <v>0</v>
      </c>
      <c r="T2197" s="54">
        <v>0</v>
      </c>
      <c r="U2197" s="54">
        <v>10000</v>
      </c>
      <c r="V2197" s="54">
        <v>10000</v>
      </c>
      <c r="W2197" s="54">
        <v>10000</v>
      </c>
    </row>
    <row r="2198" spans="1:23" outlineLevel="2" x14ac:dyDescent="0.2">
      <c r="A2198" s="21" t="s">
        <v>999</v>
      </c>
      <c r="B2198" s="21" t="s">
        <v>39</v>
      </c>
      <c r="C2198" s="21" t="s">
        <v>58</v>
      </c>
      <c r="D2198" s="21" t="s">
        <v>139</v>
      </c>
      <c r="E2198" s="21" t="s">
        <v>140</v>
      </c>
      <c r="F2198" s="21" t="s">
        <v>893</v>
      </c>
      <c r="G2198" s="21" t="s">
        <v>894</v>
      </c>
      <c r="H2198" s="21" t="s">
        <v>902</v>
      </c>
      <c r="I2198" s="21" t="s">
        <v>903</v>
      </c>
      <c r="J2198" s="21" t="s">
        <v>1000</v>
      </c>
      <c r="K2198" s="21" t="s">
        <v>1078</v>
      </c>
      <c r="L2198" s="21" t="s">
        <v>1329</v>
      </c>
      <c r="M2198" s="21" t="s">
        <v>12</v>
      </c>
      <c r="N2198" s="54">
        <v>5000</v>
      </c>
      <c r="O2198" s="54">
        <v>0</v>
      </c>
      <c r="P2198" s="54">
        <v>0</v>
      </c>
      <c r="Q2198" s="54">
        <v>5000</v>
      </c>
      <c r="R2198" s="54">
        <v>0</v>
      </c>
      <c r="S2198" s="54">
        <v>0</v>
      </c>
      <c r="T2198" s="54">
        <v>0</v>
      </c>
      <c r="U2198" s="54">
        <v>5000</v>
      </c>
      <c r="V2198" s="54">
        <v>5000</v>
      </c>
      <c r="W2198" s="54">
        <v>5000</v>
      </c>
    </row>
    <row r="2199" spans="1:23" outlineLevel="2" x14ac:dyDescent="0.2">
      <c r="A2199" s="21" t="s">
        <v>999</v>
      </c>
      <c r="B2199" s="21" t="s">
        <v>39</v>
      </c>
      <c r="C2199" s="21" t="s">
        <v>58</v>
      </c>
      <c r="D2199" s="21" t="s">
        <v>143</v>
      </c>
      <c r="E2199" s="21" t="s">
        <v>144</v>
      </c>
      <c r="F2199" s="21" t="s">
        <v>893</v>
      </c>
      <c r="G2199" s="21" t="s">
        <v>894</v>
      </c>
      <c r="H2199" s="21" t="s">
        <v>902</v>
      </c>
      <c r="I2199" s="21" t="s">
        <v>903</v>
      </c>
      <c r="J2199" s="21" t="s">
        <v>1000</v>
      </c>
      <c r="K2199" s="21" t="s">
        <v>1078</v>
      </c>
      <c r="L2199" s="21" t="s">
        <v>1329</v>
      </c>
      <c r="M2199" s="21" t="s">
        <v>12</v>
      </c>
      <c r="N2199" s="54">
        <v>14200</v>
      </c>
      <c r="O2199" s="54">
        <v>0</v>
      </c>
      <c r="P2199" s="54">
        <v>0</v>
      </c>
      <c r="Q2199" s="54">
        <v>14200</v>
      </c>
      <c r="R2199" s="54">
        <v>0</v>
      </c>
      <c r="S2199" s="54">
        <v>0</v>
      </c>
      <c r="T2199" s="54">
        <v>0</v>
      </c>
      <c r="U2199" s="54">
        <v>14200</v>
      </c>
      <c r="V2199" s="54">
        <v>14200</v>
      </c>
      <c r="W2199" s="54">
        <v>14200</v>
      </c>
    </row>
    <row r="2200" spans="1:23" outlineLevel="2" x14ac:dyDescent="0.2">
      <c r="A2200" s="21" t="s">
        <v>999</v>
      </c>
      <c r="B2200" s="21" t="s">
        <v>39</v>
      </c>
      <c r="C2200" s="21" t="s">
        <v>58</v>
      </c>
      <c r="D2200" s="21" t="s">
        <v>137</v>
      </c>
      <c r="E2200" s="21" t="s">
        <v>138</v>
      </c>
      <c r="F2200" s="21" t="s">
        <v>893</v>
      </c>
      <c r="G2200" s="21" t="s">
        <v>894</v>
      </c>
      <c r="H2200" s="21" t="s">
        <v>902</v>
      </c>
      <c r="I2200" s="21" t="s">
        <v>903</v>
      </c>
      <c r="J2200" s="21" t="s">
        <v>1000</v>
      </c>
      <c r="K2200" s="21" t="s">
        <v>1078</v>
      </c>
      <c r="L2200" s="21" t="s">
        <v>1329</v>
      </c>
      <c r="M2200" s="21" t="s">
        <v>12</v>
      </c>
      <c r="N2200" s="54">
        <v>8000</v>
      </c>
      <c r="O2200" s="54">
        <v>0</v>
      </c>
      <c r="P2200" s="54">
        <v>0</v>
      </c>
      <c r="Q2200" s="54">
        <v>8000</v>
      </c>
      <c r="R2200" s="54">
        <v>0</v>
      </c>
      <c r="S2200" s="54">
        <v>0</v>
      </c>
      <c r="T2200" s="54">
        <v>0</v>
      </c>
      <c r="U2200" s="54">
        <v>8000</v>
      </c>
      <c r="V2200" s="54">
        <v>8000</v>
      </c>
      <c r="W2200" s="54">
        <v>8000</v>
      </c>
    </row>
    <row r="2201" spans="1:23" outlineLevel="2" x14ac:dyDescent="0.2">
      <c r="A2201" s="21" t="s">
        <v>999</v>
      </c>
      <c r="B2201" s="21" t="s">
        <v>39</v>
      </c>
      <c r="C2201" s="21" t="s">
        <v>58</v>
      </c>
      <c r="D2201" s="21" t="s">
        <v>59</v>
      </c>
      <c r="E2201" s="21" t="s">
        <v>60</v>
      </c>
      <c r="F2201" s="21" t="s">
        <v>893</v>
      </c>
      <c r="G2201" s="21" t="s">
        <v>894</v>
      </c>
      <c r="H2201" s="21" t="s">
        <v>902</v>
      </c>
      <c r="I2201" s="21" t="s">
        <v>903</v>
      </c>
      <c r="J2201" s="21" t="s">
        <v>1000</v>
      </c>
      <c r="K2201" s="21" t="s">
        <v>1078</v>
      </c>
      <c r="L2201" s="21" t="s">
        <v>1329</v>
      </c>
      <c r="M2201" s="21" t="s">
        <v>12</v>
      </c>
      <c r="N2201" s="54">
        <v>11000</v>
      </c>
      <c r="O2201" s="54">
        <v>0</v>
      </c>
      <c r="P2201" s="54">
        <v>0</v>
      </c>
      <c r="Q2201" s="54">
        <v>11000</v>
      </c>
      <c r="R2201" s="54">
        <v>0</v>
      </c>
      <c r="S2201" s="54">
        <v>0</v>
      </c>
      <c r="T2201" s="54">
        <v>0</v>
      </c>
      <c r="U2201" s="54">
        <v>11000</v>
      </c>
      <c r="V2201" s="54">
        <v>11000</v>
      </c>
      <c r="W2201" s="54">
        <v>11000</v>
      </c>
    </row>
    <row r="2202" spans="1:23" outlineLevel="2" x14ac:dyDescent="0.2">
      <c r="A2202" s="21" t="s">
        <v>999</v>
      </c>
      <c r="B2202" s="21" t="s">
        <v>39</v>
      </c>
      <c r="C2202" s="21" t="s">
        <v>58</v>
      </c>
      <c r="D2202" s="21" t="s">
        <v>147</v>
      </c>
      <c r="E2202" s="21" t="s">
        <v>148</v>
      </c>
      <c r="F2202" s="21" t="s">
        <v>893</v>
      </c>
      <c r="G2202" s="21" t="s">
        <v>894</v>
      </c>
      <c r="H2202" s="21" t="s">
        <v>902</v>
      </c>
      <c r="I2202" s="21" t="s">
        <v>903</v>
      </c>
      <c r="J2202" s="21" t="s">
        <v>1000</v>
      </c>
      <c r="K2202" s="21" t="s">
        <v>1078</v>
      </c>
      <c r="L2202" s="21" t="s">
        <v>1329</v>
      </c>
      <c r="M2202" s="21" t="s">
        <v>12</v>
      </c>
      <c r="N2202" s="54">
        <v>6000</v>
      </c>
      <c r="O2202" s="54">
        <v>0</v>
      </c>
      <c r="P2202" s="54">
        <v>0</v>
      </c>
      <c r="Q2202" s="54">
        <v>6000</v>
      </c>
      <c r="R2202" s="54">
        <v>0</v>
      </c>
      <c r="S2202" s="54">
        <v>0</v>
      </c>
      <c r="T2202" s="54">
        <v>0</v>
      </c>
      <c r="U2202" s="54">
        <v>6000</v>
      </c>
      <c r="V2202" s="54">
        <v>6000</v>
      </c>
      <c r="W2202" s="54">
        <v>6000</v>
      </c>
    </row>
    <row r="2203" spans="1:23" outlineLevel="2" x14ac:dyDescent="0.2">
      <c r="A2203" s="21" t="s">
        <v>999</v>
      </c>
      <c r="B2203" s="21" t="s">
        <v>31</v>
      </c>
      <c r="C2203" s="21" t="s">
        <v>49</v>
      </c>
      <c r="D2203" s="21" t="s">
        <v>50</v>
      </c>
      <c r="E2203" s="21" t="s">
        <v>51</v>
      </c>
      <c r="F2203" s="21" t="s">
        <v>893</v>
      </c>
      <c r="G2203" s="21" t="s">
        <v>894</v>
      </c>
      <c r="H2203" s="21" t="s">
        <v>902</v>
      </c>
      <c r="I2203" s="21" t="s">
        <v>903</v>
      </c>
      <c r="J2203" s="21" t="s">
        <v>1000</v>
      </c>
      <c r="K2203" s="21" t="s">
        <v>1078</v>
      </c>
      <c r="L2203" s="21" t="s">
        <v>1312</v>
      </c>
      <c r="M2203" s="21" t="s">
        <v>12</v>
      </c>
      <c r="N2203" s="54">
        <v>71000</v>
      </c>
      <c r="O2203" s="54">
        <v>-6500</v>
      </c>
      <c r="P2203" s="54">
        <v>0</v>
      </c>
      <c r="Q2203" s="54">
        <v>64500</v>
      </c>
      <c r="R2203" s="54">
        <v>0</v>
      </c>
      <c r="S2203" s="54">
        <v>4228</v>
      </c>
      <c r="T2203" s="54">
        <v>4228</v>
      </c>
      <c r="U2203" s="54">
        <v>60272</v>
      </c>
      <c r="V2203" s="54">
        <v>60272</v>
      </c>
      <c r="W2203" s="54">
        <v>60272</v>
      </c>
    </row>
    <row r="2204" spans="1:23" outlineLevel="2" x14ac:dyDescent="0.2">
      <c r="A2204" s="21" t="s">
        <v>999</v>
      </c>
      <c r="B2204" s="21" t="s">
        <v>39</v>
      </c>
      <c r="C2204" s="21" t="s">
        <v>58</v>
      </c>
      <c r="D2204" s="21" t="s">
        <v>145</v>
      </c>
      <c r="E2204" s="21" t="s">
        <v>146</v>
      </c>
      <c r="F2204" s="21" t="s">
        <v>893</v>
      </c>
      <c r="G2204" s="21" t="s">
        <v>894</v>
      </c>
      <c r="H2204" s="21" t="s">
        <v>902</v>
      </c>
      <c r="I2204" s="21" t="s">
        <v>903</v>
      </c>
      <c r="J2204" s="21" t="s">
        <v>1000</v>
      </c>
      <c r="K2204" s="21" t="s">
        <v>1078</v>
      </c>
      <c r="L2204" s="21" t="s">
        <v>1329</v>
      </c>
      <c r="M2204" s="21" t="s">
        <v>12</v>
      </c>
      <c r="N2204" s="54">
        <v>7000</v>
      </c>
      <c r="O2204" s="54">
        <v>0</v>
      </c>
      <c r="P2204" s="54">
        <v>0</v>
      </c>
      <c r="Q2204" s="54">
        <v>7000</v>
      </c>
      <c r="R2204" s="54">
        <v>0</v>
      </c>
      <c r="S2204" s="54">
        <v>0</v>
      </c>
      <c r="T2204" s="54">
        <v>0</v>
      </c>
      <c r="U2204" s="54">
        <v>7000</v>
      </c>
      <c r="V2204" s="54">
        <v>7000</v>
      </c>
      <c r="W2204" s="54">
        <v>7000</v>
      </c>
    </row>
    <row r="2205" spans="1:23" outlineLevel="2" x14ac:dyDescent="0.2">
      <c r="A2205" s="21" t="s">
        <v>999</v>
      </c>
      <c r="B2205" s="21" t="s">
        <v>31</v>
      </c>
      <c r="C2205" s="21" t="s">
        <v>49</v>
      </c>
      <c r="D2205" s="21" t="s">
        <v>50</v>
      </c>
      <c r="E2205" s="21" t="s">
        <v>51</v>
      </c>
      <c r="F2205" s="21" t="s">
        <v>893</v>
      </c>
      <c r="G2205" s="21" t="s">
        <v>894</v>
      </c>
      <c r="H2205" s="21" t="s">
        <v>902</v>
      </c>
      <c r="I2205" s="21" t="s">
        <v>903</v>
      </c>
      <c r="J2205" s="21" t="s">
        <v>1000</v>
      </c>
      <c r="K2205" s="21" t="s">
        <v>1331</v>
      </c>
      <c r="L2205" s="21" t="s">
        <v>1332</v>
      </c>
      <c r="M2205" s="21" t="s">
        <v>12</v>
      </c>
      <c r="N2205" s="54">
        <v>0</v>
      </c>
      <c r="O2205" s="54">
        <v>32000</v>
      </c>
      <c r="P2205" s="54">
        <v>0</v>
      </c>
      <c r="Q2205" s="54">
        <v>32000</v>
      </c>
      <c r="R2205" s="54">
        <v>2997</v>
      </c>
      <c r="S2205" s="54">
        <v>24975</v>
      </c>
      <c r="T2205" s="54">
        <v>24975</v>
      </c>
      <c r="U2205" s="54">
        <v>7025</v>
      </c>
      <c r="V2205" s="54">
        <v>7025</v>
      </c>
      <c r="W2205" s="54">
        <v>4028</v>
      </c>
    </row>
    <row r="2206" spans="1:23" outlineLevel="2" x14ac:dyDescent="0.2">
      <c r="A2206" s="21" t="s">
        <v>999</v>
      </c>
      <c r="B2206" s="21" t="s">
        <v>39</v>
      </c>
      <c r="C2206" s="21" t="s">
        <v>58</v>
      </c>
      <c r="D2206" s="21" t="s">
        <v>139</v>
      </c>
      <c r="E2206" s="21" t="s">
        <v>140</v>
      </c>
      <c r="F2206" s="21" t="s">
        <v>893</v>
      </c>
      <c r="G2206" s="21" t="s">
        <v>894</v>
      </c>
      <c r="H2206" s="21" t="s">
        <v>902</v>
      </c>
      <c r="I2206" s="21" t="s">
        <v>903</v>
      </c>
      <c r="J2206" s="21" t="s">
        <v>1000</v>
      </c>
      <c r="K2206" s="21" t="s">
        <v>1061</v>
      </c>
      <c r="L2206" s="21" t="s">
        <v>1334</v>
      </c>
      <c r="M2206" s="21" t="s">
        <v>12</v>
      </c>
      <c r="N2206" s="54">
        <v>15000</v>
      </c>
      <c r="O2206" s="54">
        <v>0</v>
      </c>
      <c r="P2206" s="54">
        <v>0</v>
      </c>
      <c r="Q2206" s="54">
        <v>15000</v>
      </c>
      <c r="R2206" s="54">
        <v>0</v>
      </c>
      <c r="S2206" s="54">
        <v>0</v>
      </c>
      <c r="T2206" s="54">
        <v>0</v>
      </c>
      <c r="U2206" s="54">
        <v>15000</v>
      </c>
      <c r="V2206" s="54">
        <v>15000</v>
      </c>
      <c r="W2206" s="54">
        <v>15000</v>
      </c>
    </row>
    <row r="2207" spans="1:23" outlineLevel="2" x14ac:dyDescent="0.2">
      <c r="A2207" s="21" t="s">
        <v>999</v>
      </c>
      <c r="B2207" s="21" t="s">
        <v>31</v>
      </c>
      <c r="C2207" s="21" t="s">
        <v>49</v>
      </c>
      <c r="D2207" s="21" t="s">
        <v>50</v>
      </c>
      <c r="E2207" s="21" t="s">
        <v>51</v>
      </c>
      <c r="F2207" s="21" t="s">
        <v>893</v>
      </c>
      <c r="G2207" s="21" t="s">
        <v>894</v>
      </c>
      <c r="H2207" s="21" t="s">
        <v>902</v>
      </c>
      <c r="I2207" s="21" t="s">
        <v>903</v>
      </c>
      <c r="J2207" s="21" t="s">
        <v>1000</v>
      </c>
      <c r="K2207" s="21" t="s">
        <v>1061</v>
      </c>
      <c r="L2207" s="21" t="s">
        <v>1333</v>
      </c>
      <c r="M2207" s="21" t="s">
        <v>12</v>
      </c>
      <c r="N2207" s="54">
        <v>0</v>
      </c>
      <c r="O2207" s="54">
        <v>12700</v>
      </c>
      <c r="P2207" s="54">
        <v>0</v>
      </c>
      <c r="Q2207" s="54">
        <v>12700</v>
      </c>
      <c r="R2207" s="54">
        <v>0</v>
      </c>
      <c r="S2207" s="54">
        <v>11745.16</v>
      </c>
      <c r="T2207" s="54">
        <v>11745.16</v>
      </c>
      <c r="U2207" s="54">
        <v>954.84</v>
      </c>
      <c r="V2207" s="54">
        <v>954.84</v>
      </c>
      <c r="W2207" s="54">
        <v>954.84</v>
      </c>
    </row>
    <row r="2208" spans="1:23" outlineLevel="2" x14ac:dyDescent="0.2">
      <c r="A2208" s="21" t="s">
        <v>999</v>
      </c>
      <c r="B2208" s="21" t="s">
        <v>39</v>
      </c>
      <c r="C2208" s="21" t="s">
        <v>58</v>
      </c>
      <c r="D2208" s="21" t="s">
        <v>145</v>
      </c>
      <c r="E2208" s="21" t="s">
        <v>146</v>
      </c>
      <c r="F2208" s="21" t="s">
        <v>893</v>
      </c>
      <c r="G2208" s="21" t="s">
        <v>894</v>
      </c>
      <c r="H2208" s="21" t="s">
        <v>902</v>
      </c>
      <c r="I2208" s="21" t="s">
        <v>903</v>
      </c>
      <c r="J2208" s="21" t="s">
        <v>1000</v>
      </c>
      <c r="K2208" s="21" t="s">
        <v>1061</v>
      </c>
      <c r="L2208" s="21" t="s">
        <v>1334</v>
      </c>
      <c r="M2208" s="21" t="s">
        <v>12</v>
      </c>
      <c r="N2208" s="54">
        <v>2500</v>
      </c>
      <c r="O2208" s="54">
        <v>0</v>
      </c>
      <c r="P2208" s="54">
        <v>0</v>
      </c>
      <c r="Q2208" s="54">
        <v>2500</v>
      </c>
      <c r="R2208" s="54">
        <v>0</v>
      </c>
      <c r="S2208" s="54">
        <v>0</v>
      </c>
      <c r="T2208" s="54">
        <v>0</v>
      </c>
      <c r="U2208" s="54">
        <v>2500</v>
      </c>
      <c r="V2208" s="54">
        <v>2500</v>
      </c>
      <c r="W2208" s="54">
        <v>2500</v>
      </c>
    </row>
    <row r="2209" spans="1:23" outlineLevel="2" x14ac:dyDescent="0.2">
      <c r="A2209" s="21" t="s">
        <v>999</v>
      </c>
      <c r="B2209" s="21" t="s">
        <v>39</v>
      </c>
      <c r="C2209" s="21" t="s">
        <v>58</v>
      </c>
      <c r="D2209" s="21" t="s">
        <v>145</v>
      </c>
      <c r="E2209" s="21" t="s">
        <v>146</v>
      </c>
      <c r="F2209" s="21" t="s">
        <v>893</v>
      </c>
      <c r="G2209" s="21" t="s">
        <v>894</v>
      </c>
      <c r="H2209" s="21" t="s">
        <v>902</v>
      </c>
      <c r="I2209" s="21" t="s">
        <v>903</v>
      </c>
      <c r="J2209" s="21" t="s">
        <v>1000</v>
      </c>
      <c r="K2209" s="21" t="s">
        <v>1019</v>
      </c>
      <c r="L2209" s="21" t="s">
        <v>1335</v>
      </c>
      <c r="M2209" s="21" t="s">
        <v>12</v>
      </c>
      <c r="N2209" s="54">
        <v>1000</v>
      </c>
      <c r="O2209" s="54">
        <v>0</v>
      </c>
      <c r="P2209" s="54">
        <v>0</v>
      </c>
      <c r="Q2209" s="54">
        <v>1000</v>
      </c>
      <c r="R2209" s="54">
        <v>0</v>
      </c>
      <c r="S2209" s="54">
        <v>0</v>
      </c>
      <c r="T2209" s="54">
        <v>0</v>
      </c>
      <c r="U2209" s="54">
        <v>1000</v>
      </c>
      <c r="V2209" s="54">
        <v>1000</v>
      </c>
      <c r="W2209" s="54">
        <v>1000</v>
      </c>
    </row>
    <row r="2210" spans="1:23" outlineLevel="2" x14ac:dyDescent="0.2">
      <c r="A2210" s="21" t="s">
        <v>999</v>
      </c>
      <c r="B2210" s="21" t="s">
        <v>31</v>
      </c>
      <c r="C2210" s="21" t="s">
        <v>49</v>
      </c>
      <c r="D2210" s="21" t="s">
        <v>50</v>
      </c>
      <c r="E2210" s="21" t="s">
        <v>51</v>
      </c>
      <c r="F2210" s="21" t="s">
        <v>893</v>
      </c>
      <c r="G2210" s="21" t="s">
        <v>894</v>
      </c>
      <c r="H2210" s="21" t="s">
        <v>902</v>
      </c>
      <c r="I2210" s="21" t="s">
        <v>903</v>
      </c>
      <c r="J2210" s="21" t="s">
        <v>1000</v>
      </c>
      <c r="K2210" s="21" t="s">
        <v>1313</v>
      </c>
      <c r="L2210" s="21" t="s">
        <v>1314</v>
      </c>
      <c r="M2210" s="21" t="s">
        <v>12</v>
      </c>
      <c r="N2210" s="54">
        <v>0</v>
      </c>
      <c r="O2210" s="54">
        <v>1200</v>
      </c>
      <c r="P2210" s="54">
        <v>0</v>
      </c>
      <c r="Q2210" s="54">
        <v>1200</v>
      </c>
      <c r="R2210" s="54">
        <v>0</v>
      </c>
      <c r="S2210" s="54">
        <v>1075.2</v>
      </c>
      <c r="T2210" s="54">
        <v>1075.2</v>
      </c>
      <c r="U2210" s="54">
        <v>124.8</v>
      </c>
      <c r="V2210" s="54">
        <v>124.8</v>
      </c>
      <c r="W2210" s="54">
        <v>124.8</v>
      </c>
    </row>
    <row r="2211" spans="1:23" outlineLevel="2" x14ac:dyDescent="0.2">
      <c r="A2211" s="21" t="s">
        <v>999</v>
      </c>
      <c r="B2211" s="21" t="s">
        <v>39</v>
      </c>
      <c r="C2211" s="21" t="s">
        <v>58</v>
      </c>
      <c r="D2211" s="21" t="s">
        <v>137</v>
      </c>
      <c r="E2211" s="21" t="s">
        <v>138</v>
      </c>
      <c r="F2211" s="21" t="s">
        <v>893</v>
      </c>
      <c r="G2211" s="21" t="s">
        <v>894</v>
      </c>
      <c r="H2211" s="21" t="s">
        <v>902</v>
      </c>
      <c r="I2211" s="21" t="s">
        <v>903</v>
      </c>
      <c r="J2211" s="21" t="s">
        <v>1000</v>
      </c>
      <c r="K2211" s="21" t="s">
        <v>1082</v>
      </c>
      <c r="L2211" s="21" t="s">
        <v>1336</v>
      </c>
      <c r="M2211" s="21" t="s">
        <v>12</v>
      </c>
      <c r="N2211" s="54">
        <v>3000</v>
      </c>
      <c r="O2211" s="54">
        <v>0</v>
      </c>
      <c r="P2211" s="54">
        <v>0</v>
      </c>
      <c r="Q2211" s="54">
        <v>3000</v>
      </c>
      <c r="R2211" s="54">
        <v>0</v>
      </c>
      <c r="S2211" s="54">
        <v>0</v>
      </c>
      <c r="T2211" s="54">
        <v>0</v>
      </c>
      <c r="U2211" s="54">
        <v>3000</v>
      </c>
      <c r="V2211" s="54">
        <v>3000</v>
      </c>
      <c r="W2211" s="54">
        <v>3000</v>
      </c>
    </row>
    <row r="2212" spans="1:23" outlineLevel="2" x14ac:dyDescent="0.2">
      <c r="A2212" s="21" t="s">
        <v>999</v>
      </c>
      <c r="B2212" s="21" t="s">
        <v>39</v>
      </c>
      <c r="C2212" s="21" t="s">
        <v>58</v>
      </c>
      <c r="D2212" s="21" t="s">
        <v>145</v>
      </c>
      <c r="E2212" s="21" t="s">
        <v>146</v>
      </c>
      <c r="F2212" s="21" t="s">
        <v>893</v>
      </c>
      <c r="G2212" s="21" t="s">
        <v>894</v>
      </c>
      <c r="H2212" s="21" t="s">
        <v>902</v>
      </c>
      <c r="I2212" s="21" t="s">
        <v>903</v>
      </c>
      <c r="J2212" s="21" t="s">
        <v>1000</v>
      </c>
      <c r="K2212" s="21" t="s">
        <v>1084</v>
      </c>
      <c r="L2212" s="21" t="s">
        <v>1337</v>
      </c>
      <c r="M2212" s="21" t="s">
        <v>12</v>
      </c>
      <c r="N2212" s="54">
        <v>2500</v>
      </c>
      <c r="O2212" s="54">
        <v>0</v>
      </c>
      <c r="P2212" s="54">
        <v>0</v>
      </c>
      <c r="Q2212" s="54">
        <v>2500</v>
      </c>
      <c r="R2212" s="54">
        <v>0</v>
      </c>
      <c r="S2212" s="54">
        <v>0</v>
      </c>
      <c r="T2212" s="54">
        <v>0</v>
      </c>
      <c r="U2212" s="54">
        <v>2500</v>
      </c>
      <c r="V2212" s="54">
        <v>2500</v>
      </c>
      <c r="W2212" s="54">
        <v>2500</v>
      </c>
    </row>
    <row r="2213" spans="1:23" outlineLevel="2" x14ac:dyDescent="0.2">
      <c r="A2213" s="21" t="s">
        <v>999</v>
      </c>
      <c r="B2213" s="21" t="s">
        <v>39</v>
      </c>
      <c r="C2213" s="21" t="s">
        <v>58</v>
      </c>
      <c r="D2213" s="21" t="s">
        <v>137</v>
      </c>
      <c r="E2213" s="21" t="s">
        <v>138</v>
      </c>
      <c r="F2213" s="21" t="s">
        <v>893</v>
      </c>
      <c r="G2213" s="21" t="s">
        <v>894</v>
      </c>
      <c r="H2213" s="21" t="s">
        <v>902</v>
      </c>
      <c r="I2213" s="21" t="s">
        <v>903</v>
      </c>
      <c r="J2213" s="21" t="s">
        <v>1000</v>
      </c>
      <c r="K2213" s="21" t="s">
        <v>1084</v>
      </c>
      <c r="L2213" s="21" t="s">
        <v>1337</v>
      </c>
      <c r="M2213" s="21" t="s">
        <v>12</v>
      </c>
      <c r="N2213" s="54">
        <v>4000</v>
      </c>
      <c r="O2213" s="54">
        <v>0</v>
      </c>
      <c r="P2213" s="54">
        <v>0</v>
      </c>
      <c r="Q2213" s="54">
        <v>4000</v>
      </c>
      <c r="R2213" s="54">
        <v>0</v>
      </c>
      <c r="S2213" s="54">
        <v>0</v>
      </c>
      <c r="T2213" s="54">
        <v>0</v>
      </c>
      <c r="U2213" s="54">
        <v>4000</v>
      </c>
      <c r="V2213" s="54">
        <v>4000</v>
      </c>
      <c r="W2213" s="54">
        <v>4000</v>
      </c>
    </row>
    <row r="2214" spans="1:23" outlineLevel="2" x14ac:dyDescent="0.2">
      <c r="A2214" s="21" t="s">
        <v>999</v>
      </c>
      <c r="B2214" s="21" t="s">
        <v>39</v>
      </c>
      <c r="C2214" s="21" t="s">
        <v>58</v>
      </c>
      <c r="D2214" s="21" t="s">
        <v>139</v>
      </c>
      <c r="E2214" s="21" t="s">
        <v>140</v>
      </c>
      <c r="F2214" s="21" t="s">
        <v>893</v>
      </c>
      <c r="G2214" s="21" t="s">
        <v>894</v>
      </c>
      <c r="H2214" s="21" t="s">
        <v>902</v>
      </c>
      <c r="I2214" s="21" t="s">
        <v>903</v>
      </c>
      <c r="J2214" s="21" t="s">
        <v>1000</v>
      </c>
      <c r="K2214" s="21" t="s">
        <v>1084</v>
      </c>
      <c r="L2214" s="21" t="s">
        <v>1337</v>
      </c>
      <c r="M2214" s="21" t="s">
        <v>12</v>
      </c>
      <c r="N2214" s="54">
        <v>3000</v>
      </c>
      <c r="O2214" s="54">
        <v>0</v>
      </c>
      <c r="P2214" s="54">
        <v>0</v>
      </c>
      <c r="Q2214" s="54">
        <v>3000</v>
      </c>
      <c r="R2214" s="54">
        <v>0</v>
      </c>
      <c r="S2214" s="54">
        <v>0</v>
      </c>
      <c r="T2214" s="54">
        <v>0</v>
      </c>
      <c r="U2214" s="54">
        <v>3000</v>
      </c>
      <c r="V2214" s="54">
        <v>3000</v>
      </c>
      <c r="W2214" s="54">
        <v>3000</v>
      </c>
    </row>
    <row r="2215" spans="1:23" outlineLevel="2" x14ac:dyDescent="0.2">
      <c r="A2215" s="21" t="s">
        <v>999</v>
      </c>
      <c r="B2215" s="21" t="s">
        <v>39</v>
      </c>
      <c r="C2215" s="21" t="s">
        <v>58</v>
      </c>
      <c r="D2215" s="21" t="s">
        <v>149</v>
      </c>
      <c r="E2215" s="21" t="s">
        <v>150</v>
      </c>
      <c r="F2215" s="21" t="s">
        <v>893</v>
      </c>
      <c r="G2215" s="21" t="s">
        <v>894</v>
      </c>
      <c r="H2215" s="21" t="s">
        <v>902</v>
      </c>
      <c r="I2215" s="21" t="s">
        <v>903</v>
      </c>
      <c r="J2215" s="21" t="s">
        <v>1000</v>
      </c>
      <c r="K2215" s="21" t="s">
        <v>1084</v>
      </c>
      <c r="L2215" s="21" t="s">
        <v>1337</v>
      </c>
      <c r="M2215" s="21" t="s">
        <v>12</v>
      </c>
      <c r="N2215" s="54">
        <v>6000</v>
      </c>
      <c r="O2215" s="54">
        <v>0</v>
      </c>
      <c r="P2215" s="54">
        <v>0</v>
      </c>
      <c r="Q2215" s="54">
        <v>6000</v>
      </c>
      <c r="R2215" s="54">
        <v>0</v>
      </c>
      <c r="S2215" s="54">
        <v>0</v>
      </c>
      <c r="T2215" s="54">
        <v>0</v>
      </c>
      <c r="U2215" s="54">
        <v>6000</v>
      </c>
      <c r="V2215" s="54">
        <v>6000</v>
      </c>
      <c r="W2215" s="54">
        <v>6000</v>
      </c>
    </row>
    <row r="2216" spans="1:23" outlineLevel="2" x14ac:dyDescent="0.2">
      <c r="A2216" s="21" t="s">
        <v>999</v>
      </c>
      <c r="B2216" s="21" t="s">
        <v>31</v>
      </c>
      <c r="C2216" s="21" t="s">
        <v>49</v>
      </c>
      <c r="D2216" s="21" t="s">
        <v>50</v>
      </c>
      <c r="E2216" s="21" t="s">
        <v>51</v>
      </c>
      <c r="F2216" s="21" t="s">
        <v>893</v>
      </c>
      <c r="G2216" s="21" t="s">
        <v>894</v>
      </c>
      <c r="H2216" s="21" t="s">
        <v>902</v>
      </c>
      <c r="I2216" s="21" t="s">
        <v>903</v>
      </c>
      <c r="J2216" s="21" t="s">
        <v>1000</v>
      </c>
      <c r="K2216" s="21" t="s">
        <v>1118</v>
      </c>
      <c r="L2216" s="21" t="s">
        <v>1318</v>
      </c>
      <c r="M2216" s="21" t="s">
        <v>12</v>
      </c>
      <c r="N2216" s="54">
        <v>0</v>
      </c>
      <c r="O2216" s="54">
        <v>100</v>
      </c>
      <c r="P2216" s="54">
        <v>0</v>
      </c>
      <c r="Q2216" s="54">
        <v>100</v>
      </c>
      <c r="R2216" s="54">
        <v>0</v>
      </c>
      <c r="S2216" s="54">
        <v>67.2</v>
      </c>
      <c r="T2216" s="54">
        <v>67.2</v>
      </c>
      <c r="U2216" s="54">
        <v>32.799999999999997</v>
      </c>
      <c r="V2216" s="54">
        <v>32.799999999999997</v>
      </c>
      <c r="W2216" s="54">
        <v>32.799999999999997</v>
      </c>
    </row>
    <row r="2217" spans="1:23" outlineLevel="2" x14ac:dyDescent="0.2">
      <c r="A2217" s="21" t="s">
        <v>999</v>
      </c>
      <c r="B2217" s="21" t="s">
        <v>39</v>
      </c>
      <c r="C2217" s="21" t="s">
        <v>58</v>
      </c>
      <c r="D2217" s="21" t="s">
        <v>137</v>
      </c>
      <c r="E2217" s="21" t="s">
        <v>138</v>
      </c>
      <c r="F2217" s="21" t="s">
        <v>893</v>
      </c>
      <c r="G2217" s="21" t="s">
        <v>894</v>
      </c>
      <c r="H2217" s="21" t="s">
        <v>902</v>
      </c>
      <c r="I2217" s="21" t="s">
        <v>903</v>
      </c>
      <c r="J2217" s="21" t="s">
        <v>1000</v>
      </c>
      <c r="K2217" s="21" t="s">
        <v>1118</v>
      </c>
      <c r="L2217" s="21" t="s">
        <v>1338</v>
      </c>
      <c r="M2217" s="21" t="s">
        <v>12</v>
      </c>
      <c r="N2217" s="54">
        <v>500</v>
      </c>
      <c r="O2217" s="54">
        <v>0</v>
      </c>
      <c r="P2217" s="54">
        <v>0</v>
      </c>
      <c r="Q2217" s="54">
        <v>500</v>
      </c>
      <c r="R2217" s="54">
        <v>0</v>
      </c>
      <c r="S2217" s="54">
        <v>0</v>
      </c>
      <c r="T2217" s="54">
        <v>0</v>
      </c>
      <c r="U2217" s="54">
        <v>500</v>
      </c>
      <c r="V2217" s="54">
        <v>500</v>
      </c>
      <c r="W2217" s="54">
        <v>500</v>
      </c>
    </row>
    <row r="2218" spans="1:23" outlineLevel="2" x14ac:dyDescent="0.2">
      <c r="A2218" s="21" t="s">
        <v>999</v>
      </c>
      <c r="B2218" s="21" t="s">
        <v>39</v>
      </c>
      <c r="C2218" s="21" t="s">
        <v>58</v>
      </c>
      <c r="D2218" s="21" t="s">
        <v>149</v>
      </c>
      <c r="E2218" s="21" t="s">
        <v>150</v>
      </c>
      <c r="F2218" s="21" t="s">
        <v>893</v>
      </c>
      <c r="G2218" s="21" t="s">
        <v>894</v>
      </c>
      <c r="H2218" s="21" t="s">
        <v>902</v>
      </c>
      <c r="I2218" s="21" t="s">
        <v>903</v>
      </c>
      <c r="J2218" s="21" t="s">
        <v>1000</v>
      </c>
      <c r="K2218" s="21" t="s">
        <v>1118</v>
      </c>
      <c r="L2218" s="21" t="s">
        <v>1338</v>
      </c>
      <c r="M2218" s="21" t="s">
        <v>12</v>
      </c>
      <c r="N2218" s="54">
        <v>6000</v>
      </c>
      <c r="O2218" s="54">
        <v>0</v>
      </c>
      <c r="P2218" s="54">
        <v>0</v>
      </c>
      <c r="Q2218" s="54">
        <v>6000</v>
      </c>
      <c r="R2218" s="54">
        <v>0</v>
      </c>
      <c r="S2218" s="54">
        <v>0</v>
      </c>
      <c r="T2218" s="54">
        <v>0</v>
      </c>
      <c r="U2218" s="54">
        <v>6000</v>
      </c>
      <c r="V2218" s="54">
        <v>6000</v>
      </c>
      <c r="W2218" s="54">
        <v>6000</v>
      </c>
    </row>
    <row r="2219" spans="1:23" outlineLevel="2" x14ac:dyDescent="0.2">
      <c r="A2219" s="21" t="s">
        <v>999</v>
      </c>
      <c r="B2219" s="21" t="s">
        <v>31</v>
      </c>
      <c r="C2219" s="21" t="s">
        <v>49</v>
      </c>
      <c r="D2219" s="21" t="s">
        <v>50</v>
      </c>
      <c r="E2219" s="21" t="s">
        <v>51</v>
      </c>
      <c r="F2219" s="21" t="s">
        <v>893</v>
      </c>
      <c r="G2219" s="21" t="s">
        <v>894</v>
      </c>
      <c r="H2219" s="21" t="s">
        <v>902</v>
      </c>
      <c r="I2219" s="21" t="s">
        <v>903</v>
      </c>
      <c r="J2219" s="21" t="s">
        <v>1000</v>
      </c>
      <c r="K2219" s="21" t="s">
        <v>1343</v>
      </c>
      <c r="L2219" s="21" t="s">
        <v>1344</v>
      </c>
      <c r="M2219" s="21" t="s">
        <v>12</v>
      </c>
      <c r="N2219" s="54">
        <v>0</v>
      </c>
      <c r="O2219" s="54">
        <v>250</v>
      </c>
      <c r="P2219" s="54">
        <v>0</v>
      </c>
      <c r="Q2219" s="54">
        <v>250</v>
      </c>
      <c r="R2219" s="54">
        <v>0</v>
      </c>
      <c r="S2219" s="54">
        <v>235.2</v>
      </c>
      <c r="T2219" s="54">
        <v>235.2</v>
      </c>
      <c r="U2219" s="54">
        <v>14.8</v>
      </c>
      <c r="V2219" s="54">
        <v>14.8</v>
      </c>
      <c r="W2219" s="54">
        <v>14.8</v>
      </c>
    </row>
    <row r="2220" spans="1:23" outlineLevel="2" x14ac:dyDescent="0.2">
      <c r="A2220" s="21" t="s">
        <v>999</v>
      </c>
      <c r="B2220" s="21" t="s">
        <v>31</v>
      </c>
      <c r="C2220" s="21" t="s">
        <v>49</v>
      </c>
      <c r="D2220" s="21" t="s">
        <v>50</v>
      </c>
      <c r="E2220" s="21" t="s">
        <v>51</v>
      </c>
      <c r="F2220" s="21" t="s">
        <v>893</v>
      </c>
      <c r="G2220" s="21" t="s">
        <v>894</v>
      </c>
      <c r="H2220" s="21" t="s">
        <v>902</v>
      </c>
      <c r="I2220" s="21" t="s">
        <v>903</v>
      </c>
      <c r="J2220" s="21" t="s">
        <v>1000</v>
      </c>
      <c r="K2220" s="21" t="s">
        <v>1183</v>
      </c>
      <c r="L2220" s="21" t="s">
        <v>1319</v>
      </c>
      <c r="M2220" s="21" t="s">
        <v>12</v>
      </c>
      <c r="N2220" s="54">
        <v>0</v>
      </c>
      <c r="O2220" s="54">
        <v>250</v>
      </c>
      <c r="P2220" s="54">
        <v>0</v>
      </c>
      <c r="Q2220" s="54">
        <v>250</v>
      </c>
      <c r="R2220" s="54">
        <v>0</v>
      </c>
      <c r="S2220" s="54">
        <v>219.52</v>
      </c>
      <c r="T2220" s="54">
        <v>219.52</v>
      </c>
      <c r="U2220" s="54">
        <v>30.48</v>
      </c>
      <c r="V2220" s="54">
        <v>30.48</v>
      </c>
      <c r="W2220" s="54">
        <v>30.48</v>
      </c>
    </row>
    <row r="2221" spans="1:23" outlineLevel="2" x14ac:dyDescent="0.2">
      <c r="A2221" s="21" t="s">
        <v>999</v>
      </c>
      <c r="B2221" s="21" t="s">
        <v>39</v>
      </c>
      <c r="C2221" s="21" t="s">
        <v>58</v>
      </c>
      <c r="D2221" s="21" t="s">
        <v>149</v>
      </c>
      <c r="E2221" s="21" t="s">
        <v>150</v>
      </c>
      <c r="F2221" s="21" t="s">
        <v>893</v>
      </c>
      <c r="G2221" s="21" t="s">
        <v>894</v>
      </c>
      <c r="H2221" s="21" t="s">
        <v>902</v>
      </c>
      <c r="I2221" s="21" t="s">
        <v>903</v>
      </c>
      <c r="J2221" s="21" t="s">
        <v>1000</v>
      </c>
      <c r="K2221" s="21" t="s">
        <v>1185</v>
      </c>
      <c r="L2221" s="21" t="s">
        <v>1345</v>
      </c>
      <c r="M2221" s="21" t="s">
        <v>12</v>
      </c>
      <c r="N2221" s="54">
        <v>6000</v>
      </c>
      <c r="O2221" s="54">
        <v>0</v>
      </c>
      <c r="P2221" s="54">
        <v>0</v>
      </c>
      <c r="Q2221" s="54">
        <v>6000</v>
      </c>
      <c r="R2221" s="54">
        <v>0</v>
      </c>
      <c r="S2221" s="54">
        <v>0</v>
      </c>
      <c r="T2221" s="54">
        <v>0</v>
      </c>
      <c r="U2221" s="54">
        <v>6000</v>
      </c>
      <c r="V2221" s="54">
        <v>6000</v>
      </c>
      <c r="W2221" s="54">
        <v>6000</v>
      </c>
    </row>
    <row r="2222" spans="1:23" outlineLevel="2" x14ac:dyDescent="0.2">
      <c r="A2222" s="21" t="s">
        <v>999</v>
      </c>
      <c r="B2222" s="21" t="s">
        <v>31</v>
      </c>
      <c r="C2222" s="21" t="s">
        <v>49</v>
      </c>
      <c r="D2222" s="21" t="s">
        <v>50</v>
      </c>
      <c r="E2222" s="21" t="s">
        <v>51</v>
      </c>
      <c r="F2222" s="21" t="s">
        <v>893</v>
      </c>
      <c r="G2222" s="21" t="s">
        <v>894</v>
      </c>
      <c r="H2222" s="21" t="s">
        <v>1346</v>
      </c>
      <c r="I2222" s="21" t="s">
        <v>1347</v>
      </c>
      <c r="J2222" s="21" t="s">
        <v>1000</v>
      </c>
      <c r="K2222" s="21" t="s">
        <v>1100</v>
      </c>
      <c r="L2222" s="21" t="s">
        <v>1348</v>
      </c>
      <c r="M2222" s="21" t="s">
        <v>12</v>
      </c>
      <c r="N2222" s="54">
        <v>1000</v>
      </c>
      <c r="O2222" s="54">
        <v>-1000</v>
      </c>
      <c r="P2222" s="54">
        <v>0</v>
      </c>
      <c r="Q2222" s="54">
        <v>0</v>
      </c>
      <c r="R2222" s="54">
        <v>0</v>
      </c>
      <c r="S2222" s="54">
        <v>0</v>
      </c>
      <c r="T2222" s="54">
        <v>0</v>
      </c>
      <c r="U2222" s="54">
        <v>0</v>
      </c>
      <c r="V2222" s="54">
        <v>0</v>
      </c>
      <c r="W2222" s="54">
        <v>0</v>
      </c>
    </row>
    <row r="2223" spans="1:23" outlineLevel="2" x14ac:dyDescent="0.2">
      <c r="A2223" s="21" t="s">
        <v>999</v>
      </c>
      <c r="B2223" s="21" t="s">
        <v>31</v>
      </c>
      <c r="C2223" s="21" t="s">
        <v>49</v>
      </c>
      <c r="D2223" s="21" t="s">
        <v>50</v>
      </c>
      <c r="E2223" s="21" t="s">
        <v>51</v>
      </c>
      <c r="F2223" s="21" t="s">
        <v>893</v>
      </c>
      <c r="G2223" s="21" t="s">
        <v>894</v>
      </c>
      <c r="H2223" s="21" t="s">
        <v>1346</v>
      </c>
      <c r="I2223" s="21" t="s">
        <v>1347</v>
      </c>
      <c r="J2223" s="21" t="s">
        <v>1000</v>
      </c>
      <c r="K2223" s="21" t="s">
        <v>1102</v>
      </c>
      <c r="L2223" s="21" t="s">
        <v>1349</v>
      </c>
      <c r="M2223" s="21" t="s">
        <v>12</v>
      </c>
      <c r="N2223" s="54">
        <v>3000</v>
      </c>
      <c r="O2223" s="54">
        <v>-3000</v>
      </c>
      <c r="P2223" s="54">
        <v>0</v>
      </c>
      <c r="Q2223" s="54">
        <v>0</v>
      </c>
      <c r="R2223" s="54">
        <v>0</v>
      </c>
      <c r="S2223" s="54">
        <v>0</v>
      </c>
      <c r="T2223" s="54">
        <v>0</v>
      </c>
      <c r="U2223" s="54">
        <v>0</v>
      </c>
      <c r="V2223" s="54">
        <v>0</v>
      </c>
      <c r="W2223" s="54">
        <v>0</v>
      </c>
    </row>
    <row r="2224" spans="1:23" outlineLevel="2" x14ac:dyDescent="0.2">
      <c r="A2224" s="21" t="s">
        <v>999</v>
      </c>
      <c r="B2224" s="21" t="s">
        <v>31</v>
      </c>
      <c r="C2224" s="21" t="s">
        <v>49</v>
      </c>
      <c r="D2224" s="21" t="s">
        <v>50</v>
      </c>
      <c r="E2224" s="21" t="s">
        <v>51</v>
      </c>
      <c r="F2224" s="21" t="s">
        <v>893</v>
      </c>
      <c r="G2224" s="21" t="s">
        <v>894</v>
      </c>
      <c r="H2224" s="21" t="s">
        <v>1346</v>
      </c>
      <c r="I2224" s="21" t="s">
        <v>1347</v>
      </c>
      <c r="J2224" s="21" t="s">
        <v>1000</v>
      </c>
      <c r="K2224" s="21" t="s">
        <v>1104</v>
      </c>
      <c r="L2224" s="21" t="s">
        <v>1350</v>
      </c>
      <c r="M2224" s="21" t="s">
        <v>12</v>
      </c>
      <c r="N2224" s="54">
        <v>7000</v>
      </c>
      <c r="O2224" s="54">
        <v>-7000</v>
      </c>
      <c r="P2224" s="54">
        <v>0</v>
      </c>
      <c r="Q2224" s="54">
        <v>0</v>
      </c>
      <c r="R2224" s="54">
        <v>0</v>
      </c>
      <c r="S2224" s="54">
        <v>0</v>
      </c>
      <c r="T2224" s="54">
        <v>0</v>
      </c>
      <c r="U2224" s="54">
        <v>0</v>
      </c>
      <c r="V2224" s="54">
        <v>0</v>
      </c>
      <c r="W2224" s="54">
        <v>0</v>
      </c>
    </row>
    <row r="2225" spans="1:23" outlineLevel="2" x14ac:dyDescent="0.2">
      <c r="A2225" s="21" t="s">
        <v>999</v>
      </c>
      <c r="B2225" s="21" t="s">
        <v>31</v>
      </c>
      <c r="C2225" s="21" t="s">
        <v>49</v>
      </c>
      <c r="D2225" s="21" t="s">
        <v>50</v>
      </c>
      <c r="E2225" s="21" t="s">
        <v>51</v>
      </c>
      <c r="F2225" s="21" t="s">
        <v>893</v>
      </c>
      <c r="G2225" s="21" t="s">
        <v>894</v>
      </c>
      <c r="H2225" s="21" t="s">
        <v>1346</v>
      </c>
      <c r="I2225" s="21" t="s">
        <v>1347</v>
      </c>
      <c r="J2225" s="21" t="s">
        <v>1000</v>
      </c>
      <c r="K2225" s="21" t="s">
        <v>1108</v>
      </c>
      <c r="L2225" s="21" t="s">
        <v>1351</v>
      </c>
      <c r="M2225" s="21" t="s">
        <v>12</v>
      </c>
      <c r="N2225" s="54">
        <v>30000</v>
      </c>
      <c r="O2225" s="54">
        <v>-30000</v>
      </c>
      <c r="P2225" s="54">
        <v>0</v>
      </c>
      <c r="Q2225" s="54">
        <v>0</v>
      </c>
      <c r="R2225" s="54">
        <v>0</v>
      </c>
      <c r="S2225" s="54">
        <v>0</v>
      </c>
      <c r="T2225" s="54">
        <v>0</v>
      </c>
      <c r="U2225" s="54">
        <v>0</v>
      </c>
      <c r="V2225" s="54">
        <v>0</v>
      </c>
      <c r="W2225" s="54">
        <v>0</v>
      </c>
    </row>
    <row r="2226" spans="1:23" outlineLevel="2" x14ac:dyDescent="0.2">
      <c r="A2226" s="21" t="s">
        <v>999</v>
      </c>
      <c r="B2226" s="21" t="s">
        <v>31</v>
      </c>
      <c r="C2226" s="21" t="s">
        <v>49</v>
      </c>
      <c r="D2226" s="21" t="s">
        <v>50</v>
      </c>
      <c r="E2226" s="21" t="s">
        <v>51</v>
      </c>
      <c r="F2226" s="21" t="s">
        <v>893</v>
      </c>
      <c r="G2226" s="21" t="s">
        <v>894</v>
      </c>
      <c r="H2226" s="21" t="s">
        <v>1346</v>
      </c>
      <c r="I2226" s="21" t="s">
        <v>1347</v>
      </c>
      <c r="J2226" s="21" t="s">
        <v>1000</v>
      </c>
      <c r="K2226" s="21" t="s">
        <v>1206</v>
      </c>
      <c r="L2226" s="21" t="s">
        <v>1352</v>
      </c>
      <c r="M2226" s="21" t="s">
        <v>12</v>
      </c>
      <c r="N2226" s="54">
        <v>7400</v>
      </c>
      <c r="O2226" s="54">
        <v>600</v>
      </c>
      <c r="P2226" s="54">
        <v>0</v>
      </c>
      <c r="Q2226" s="54">
        <v>8000</v>
      </c>
      <c r="R2226" s="54">
        <v>0</v>
      </c>
      <c r="S2226" s="54">
        <v>0</v>
      </c>
      <c r="T2226" s="54">
        <v>0</v>
      </c>
      <c r="U2226" s="54">
        <v>8000</v>
      </c>
      <c r="V2226" s="54">
        <v>8000</v>
      </c>
      <c r="W2226" s="54">
        <v>8000</v>
      </c>
    </row>
    <row r="2227" spans="1:23" outlineLevel="2" x14ac:dyDescent="0.2">
      <c r="A2227" s="21" t="s">
        <v>999</v>
      </c>
      <c r="B2227" s="21" t="s">
        <v>31</v>
      </c>
      <c r="C2227" s="21" t="s">
        <v>49</v>
      </c>
      <c r="D2227" s="21" t="s">
        <v>50</v>
      </c>
      <c r="E2227" s="21" t="s">
        <v>51</v>
      </c>
      <c r="F2227" s="21" t="s">
        <v>893</v>
      </c>
      <c r="G2227" s="21" t="s">
        <v>894</v>
      </c>
      <c r="H2227" s="21" t="s">
        <v>1346</v>
      </c>
      <c r="I2227" s="21" t="s">
        <v>1347</v>
      </c>
      <c r="J2227" s="21" t="s">
        <v>1000</v>
      </c>
      <c r="K2227" s="21" t="s">
        <v>1068</v>
      </c>
      <c r="L2227" s="21" t="s">
        <v>1309</v>
      </c>
      <c r="M2227" s="21" t="s">
        <v>12</v>
      </c>
      <c r="N2227" s="54">
        <v>3000</v>
      </c>
      <c r="O2227" s="54">
        <v>-3000</v>
      </c>
      <c r="P2227" s="54">
        <v>0</v>
      </c>
      <c r="Q2227" s="54">
        <v>0</v>
      </c>
      <c r="R2227" s="54">
        <v>0</v>
      </c>
      <c r="S2227" s="54">
        <v>0</v>
      </c>
      <c r="T2227" s="54">
        <v>0</v>
      </c>
      <c r="U2227" s="54">
        <v>0</v>
      </c>
      <c r="V2227" s="54">
        <v>0</v>
      </c>
      <c r="W2227" s="54">
        <v>0</v>
      </c>
    </row>
    <row r="2228" spans="1:23" outlineLevel="2" x14ac:dyDescent="0.2">
      <c r="A2228" s="21" t="s">
        <v>999</v>
      </c>
      <c r="B2228" s="21" t="s">
        <v>31</v>
      </c>
      <c r="C2228" s="21" t="s">
        <v>49</v>
      </c>
      <c r="D2228" s="21" t="s">
        <v>50</v>
      </c>
      <c r="E2228" s="21" t="s">
        <v>51</v>
      </c>
      <c r="F2228" s="21" t="s">
        <v>893</v>
      </c>
      <c r="G2228" s="21" t="s">
        <v>894</v>
      </c>
      <c r="H2228" s="21" t="s">
        <v>1346</v>
      </c>
      <c r="I2228" s="21" t="s">
        <v>1347</v>
      </c>
      <c r="J2228" s="21" t="s">
        <v>1000</v>
      </c>
      <c r="K2228" s="21" t="s">
        <v>1003</v>
      </c>
      <c r="L2228" s="21" t="s">
        <v>1310</v>
      </c>
      <c r="M2228" s="21" t="s">
        <v>12</v>
      </c>
      <c r="N2228" s="54">
        <v>340000</v>
      </c>
      <c r="O2228" s="54">
        <v>-340000</v>
      </c>
      <c r="P2228" s="54">
        <v>0</v>
      </c>
      <c r="Q2228" s="54">
        <v>0</v>
      </c>
      <c r="R2228" s="54">
        <v>0</v>
      </c>
      <c r="S2228" s="54">
        <v>0</v>
      </c>
      <c r="T2228" s="54">
        <v>0</v>
      </c>
      <c r="U2228" s="54">
        <v>0</v>
      </c>
      <c r="V2228" s="54">
        <v>0</v>
      </c>
      <c r="W2228" s="54">
        <v>0</v>
      </c>
    </row>
    <row r="2229" spans="1:23" outlineLevel="2" x14ac:dyDescent="0.2">
      <c r="A2229" s="21" t="s">
        <v>999</v>
      </c>
      <c r="B2229" s="21" t="s">
        <v>31</v>
      </c>
      <c r="C2229" s="21" t="s">
        <v>49</v>
      </c>
      <c r="D2229" s="21" t="s">
        <v>50</v>
      </c>
      <c r="E2229" s="21" t="s">
        <v>51</v>
      </c>
      <c r="F2229" s="21" t="s">
        <v>893</v>
      </c>
      <c r="G2229" s="21" t="s">
        <v>894</v>
      </c>
      <c r="H2229" s="21" t="s">
        <v>1346</v>
      </c>
      <c r="I2229" s="21" t="s">
        <v>1347</v>
      </c>
      <c r="J2229" s="21" t="s">
        <v>1000</v>
      </c>
      <c r="K2229" s="21" t="s">
        <v>1017</v>
      </c>
      <c r="L2229" s="21" t="s">
        <v>1311</v>
      </c>
      <c r="M2229" s="21" t="s">
        <v>12</v>
      </c>
      <c r="N2229" s="54">
        <v>154916.70000000001</v>
      </c>
      <c r="O2229" s="54">
        <v>-11324.58</v>
      </c>
      <c r="P2229" s="54">
        <v>0</v>
      </c>
      <c r="Q2229" s="54">
        <v>143592.12</v>
      </c>
      <c r="R2229" s="54">
        <v>0</v>
      </c>
      <c r="S2229" s="54">
        <v>0</v>
      </c>
      <c r="T2229" s="54">
        <v>0</v>
      </c>
      <c r="U2229" s="54">
        <v>143592.12</v>
      </c>
      <c r="V2229" s="54">
        <v>143592.12</v>
      </c>
      <c r="W2229" s="54">
        <v>143592.12</v>
      </c>
    </row>
    <row r="2230" spans="1:23" outlineLevel="2" x14ac:dyDescent="0.2">
      <c r="A2230" s="21" t="s">
        <v>999</v>
      </c>
      <c r="B2230" s="21" t="s">
        <v>31</v>
      </c>
      <c r="C2230" s="21" t="s">
        <v>49</v>
      </c>
      <c r="D2230" s="21" t="s">
        <v>50</v>
      </c>
      <c r="E2230" s="21" t="s">
        <v>51</v>
      </c>
      <c r="F2230" s="21" t="s">
        <v>893</v>
      </c>
      <c r="G2230" s="21" t="s">
        <v>894</v>
      </c>
      <c r="H2230" s="21" t="s">
        <v>1346</v>
      </c>
      <c r="I2230" s="21" t="s">
        <v>1347</v>
      </c>
      <c r="J2230" s="21" t="s">
        <v>1000</v>
      </c>
      <c r="K2230" s="21" t="s">
        <v>1078</v>
      </c>
      <c r="L2230" s="21" t="s">
        <v>1312</v>
      </c>
      <c r="M2230" s="21" t="s">
        <v>12</v>
      </c>
      <c r="N2230" s="54">
        <v>35000</v>
      </c>
      <c r="O2230" s="54">
        <v>-35000</v>
      </c>
      <c r="P2230" s="54">
        <v>0</v>
      </c>
      <c r="Q2230" s="54">
        <v>0</v>
      </c>
      <c r="R2230" s="54">
        <v>0</v>
      </c>
      <c r="S2230" s="54">
        <v>0</v>
      </c>
      <c r="T2230" s="54">
        <v>0</v>
      </c>
      <c r="U2230" s="54">
        <v>0</v>
      </c>
      <c r="V2230" s="54">
        <v>0</v>
      </c>
      <c r="W2230" s="54">
        <v>0</v>
      </c>
    </row>
    <row r="2231" spans="1:23" outlineLevel="2" x14ac:dyDescent="0.2">
      <c r="A2231" s="21" t="s">
        <v>999</v>
      </c>
      <c r="B2231" s="21" t="s">
        <v>31</v>
      </c>
      <c r="C2231" s="21" t="s">
        <v>49</v>
      </c>
      <c r="D2231" s="21" t="s">
        <v>50</v>
      </c>
      <c r="E2231" s="21" t="s">
        <v>51</v>
      </c>
      <c r="F2231" s="21" t="s">
        <v>893</v>
      </c>
      <c r="G2231" s="21" t="s">
        <v>894</v>
      </c>
      <c r="H2231" s="21" t="s">
        <v>1346</v>
      </c>
      <c r="I2231" s="21" t="s">
        <v>1347</v>
      </c>
      <c r="J2231" s="21" t="s">
        <v>1000</v>
      </c>
      <c r="K2231" s="21" t="s">
        <v>1118</v>
      </c>
      <c r="L2231" s="21" t="s">
        <v>1318</v>
      </c>
      <c r="M2231" s="21" t="s">
        <v>12</v>
      </c>
      <c r="N2231" s="54">
        <v>1000</v>
      </c>
      <c r="O2231" s="54">
        <v>-1000</v>
      </c>
      <c r="P2231" s="54">
        <v>0</v>
      </c>
      <c r="Q2231" s="54">
        <v>0</v>
      </c>
      <c r="R2231" s="54">
        <v>0</v>
      </c>
      <c r="S2231" s="54">
        <v>0</v>
      </c>
      <c r="T2231" s="54">
        <v>0</v>
      </c>
      <c r="U2231" s="54">
        <v>0</v>
      </c>
      <c r="V2231" s="54">
        <v>0</v>
      </c>
      <c r="W2231" s="54">
        <v>0</v>
      </c>
    </row>
    <row r="2232" spans="1:23" outlineLevel="2" x14ac:dyDescent="0.2">
      <c r="A2232" s="21" t="s">
        <v>999</v>
      </c>
      <c r="B2232" s="21" t="s">
        <v>31</v>
      </c>
      <c r="C2232" s="21" t="s">
        <v>49</v>
      </c>
      <c r="D2232" s="21" t="s">
        <v>50</v>
      </c>
      <c r="E2232" s="21" t="s">
        <v>51</v>
      </c>
      <c r="F2232" s="21" t="s">
        <v>893</v>
      </c>
      <c r="G2232" s="21" t="s">
        <v>894</v>
      </c>
      <c r="H2232" s="21" t="s">
        <v>1346</v>
      </c>
      <c r="I2232" s="21" t="s">
        <v>1347</v>
      </c>
      <c r="J2232" s="21" t="s">
        <v>1000</v>
      </c>
      <c r="K2232" s="21" t="s">
        <v>1120</v>
      </c>
      <c r="L2232" s="21" t="s">
        <v>1353</v>
      </c>
      <c r="M2232" s="21" t="s">
        <v>12</v>
      </c>
      <c r="N2232" s="54">
        <v>4083.3</v>
      </c>
      <c r="O2232" s="54">
        <v>-4083.3</v>
      </c>
      <c r="P2232" s="54">
        <v>0</v>
      </c>
      <c r="Q2232" s="54">
        <v>0</v>
      </c>
      <c r="R2232" s="54">
        <v>0</v>
      </c>
      <c r="S2232" s="54">
        <v>0</v>
      </c>
      <c r="T2232" s="54">
        <v>0</v>
      </c>
      <c r="U2232" s="54">
        <v>0</v>
      </c>
      <c r="V2232" s="54">
        <v>0</v>
      </c>
      <c r="W2232" s="54">
        <v>0</v>
      </c>
    </row>
    <row r="2233" spans="1:23" outlineLevel="2" x14ac:dyDescent="0.2">
      <c r="A2233" s="21" t="s">
        <v>999</v>
      </c>
      <c r="B2233" s="21" t="s">
        <v>31</v>
      </c>
      <c r="C2233" s="21" t="s">
        <v>49</v>
      </c>
      <c r="D2233" s="21" t="s">
        <v>50</v>
      </c>
      <c r="E2233" s="21" t="s">
        <v>51</v>
      </c>
      <c r="F2233" s="21" t="s">
        <v>893</v>
      </c>
      <c r="G2233" s="21" t="s">
        <v>894</v>
      </c>
      <c r="H2233" s="21" t="s">
        <v>1346</v>
      </c>
      <c r="I2233" s="21" t="s">
        <v>1347</v>
      </c>
      <c r="J2233" s="21" t="s">
        <v>1000</v>
      </c>
      <c r="K2233" s="21" t="s">
        <v>1183</v>
      </c>
      <c r="L2233" s="21" t="s">
        <v>1319</v>
      </c>
      <c r="M2233" s="21" t="s">
        <v>12</v>
      </c>
      <c r="N2233" s="54">
        <v>1000</v>
      </c>
      <c r="O2233" s="54">
        <v>-1000</v>
      </c>
      <c r="P2233" s="54">
        <v>0</v>
      </c>
      <c r="Q2233" s="54">
        <v>0</v>
      </c>
      <c r="R2233" s="54">
        <v>0</v>
      </c>
      <c r="S2233" s="54">
        <v>0</v>
      </c>
      <c r="T2233" s="54">
        <v>0</v>
      </c>
      <c r="U2233" s="54">
        <v>0</v>
      </c>
      <c r="V2233" s="54">
        <v>0</v>
      </c>
      <c r="W2233" s="54">
        <v>0</v>
      </c>
    </row>
    <row r="2234" spans="1:23" outlineLevel="2" x14ac:dyDescent="0.2">
      <c r="A2234" s="21" t="s">
        <v>999</v>
      </c>
      <c r="B2234" s="21" t="s">
        <v>39</v>
      </c>
      <c r="C2234" s="21" t="s">
        <v>40</v>
      </c>
      <c r="D2234" s="21" t="s">
        <v>77</v>
      </c>
      <c r="E2234" s="21" t="s">
        <v>78</v>
      </c>
      <c r="F2234" s="21" t="s">
        <v>1354</v>
      </c>
      <c r="G2234" s="21" t="s">
        <v>1355</v>
      </c>
      <c r="H2234" s="21" t="s">
        <v>1356</v>
      </c>
      <c r="I2234" s="21" t="s">
        <v>1357</v>
      </c>
      <c r="J2234" s="21" t="s">
        <v>1000</v>
      </c>
      <c r="K2234" s="21" t="s">
        <v>1267</v>
      </c>
      <c r="L2234" s="21" t="s">
        <v>1358</v>
      </c>
      <c r="M2234" s="21" t="s">
        <v>12</v>
      </c>
      <c r="N2234" s="54">
        <v>16573.349999999999</v>
      </c>
      <c r="O2234" s="54">
        <v>0</v>
      </c>
      <c r="P2234" s="54">
        <v>0</v>
      </c>
      <c r="Q2234" s="54">
        <v>16573.349999999999</v>
      </c>
      <c r="R2234" s="54">
        <v>0</v>
      </c>
      <c r="S2234" s="54">
        <v>0</v>
      </c>
      <c r="T2234" s="54">
        <v>0</v>
      </c>
      <c r="U2234" s="54">
        <v>16573.349999999999</v>
      </c>
      <c r="V2234" s="54">
        <v>16573.349999999999</v>
      </c>
      <c r="W2234" s="54">
        <v>16573.349999999999</v>
      </c>
    </row>
    <row r="2235" spans="1:23" outlineLevel="2" x14ac:dyDescent="0.2">
      <c r="A2235" s="21" t="s">
        <v>999</v>
      </c>
      <c r="B2235" s="21" t="s">
        <v>39</v>
      </c>
      <c r="C2235" s="21" t="s">
        <v>40</v>
      </c>
      <c r="D2235" s="21" t="s">
        <v>41</v>
      </c>
      <c r="E2235" s="21" t="s">
        <v>42</v>
      </c>
      <c r="F2235" s="21" t="s">
        <v>1354</v>
      </c>
      <c r="G2235" s="21" t="s">
        <v>1355</v>
      </c>
      <c r="H2235" s="21" t="s">
        <v>1359</v>
      </c>
      <c r="I2235" s="21" t="s">
        <v>1360</v>
      </c>
      <c r="J2235" s="21" t="s">
        <v>1000</v>
      </c>
      <c r="K2235" s="21" t="s">
        <v>1058</v>
      </c>
      <c r="L2235" s="21" t="s">
        <v>1361</v>
      </c>
      <c r="M2235" s="21" t="s">
        <v>12</v>
      </c>
      <c r="N2235" s="54">
        <v>600000</v>
      </c>
      <c r="O2235" s="54">
        <v>0</v>
      </c>
      <c r="P2235" s="54">
        <v>0</v>
      </c>
      <c r="Q2235" s="54">
        <v>600000</v>
      </c>
      <c r="R2235" s="54">
        <v>0</v>
      </c>
      <c r="S2235" s="54">
        <v>599999.97</v>
      </c>
      <c r="T2235" s="54">
        <v>78400</v>
      </c>
      <c r="U2235" s="54">
        <v>0.03</v>
      </c>
      <c r="V2235" s="54">
        <v>521600</v>
      </c>
      <c r="W2235" s="54">
        <v>0.03</v>
      </c>
    </row>
    <row r="2236" spans="1:23" outlineLevel="2" x14ac:dyDescent="0.2">
      <c r="A2236" s="21" t="s">
        <v>999</v>
      </c>
      <c r="B2236" s="21" t="s">
        <v>39</v>
      </c>
      <c r="C2236" s="21" t="s">
        <v>40</v>
      </c>
      <c r="D2236" s="21" t="s">
        <v>77</v>
      </c>
      <c r="E2236" s="21" t="s">
        <v>78</v>
      </c>
      <c r="F2236" s="21" t="s">
        <v>1354</v>
      </c>
      <c r="G2236" s="21" t="s">
        <v>1355</v>
      </c>
      <c r="H2236" s="21" t="s">
        <v>1362</v>
      </c>
      <c r="I2236" s="21" t="s">
        <v>1363</v>
      </c>
      <c r="J2236" s="21" t="s">
        <v>1000</v>
      </c>
      <c r="K2236" s="21" t="s">
        <v>1037</v>
      </c>
      <c r="L2236" s="21" t="s">
        <v>1364</v>
      </c>
      <c r="M2236" s="21" t="s">
        <v>12</v>
      </c>
      <c r="N2236" s="54">
        <v>3571.36</v>
      </c>
      <c r="O2236" s="54">
        <v>0</v>
      </c>
      <c r="P2236" s="54">
        <v>0</v>
      </c>
      <c r="Q2236" s="54">
        <v>3571.36</v>
      </c>
      <c r="R2236" s="54">
        <v>0</v>
      </c>
      <c r="S2236" s="54">
        <v>0</v>
      </c>
      <c r="T2236" s="54">
        <v>0</v>
      </c>
      <c r="U2236" s="54">
        <v>3571.36</v>
      </c>
      <c r="V2236" s="54">
        <v>3571.36</v>
      </c>
      <c r="W2236" s="54">
        <v>3571.36</v>
      </c>
    </row>
    <row r="2237" spans="1:23" outlineLevel="2" x14ac:dyDescent="0.2">
      <c r="A2237" s="21" t="s">
        <v>999</v>
      </c>
      <c r="B2237" s="21" t="s">
        <v>39</v>
      </c>
      <c r="C2237" s="21" t="s">
        <v>40</v>
      </c>
      <c r="D2237" s="21" t="s">
        <v>77</v>
      </c>
      <c r="E2237" s="21" t="s">
        <v>78</v>
      </c>
      <c r="F2237" s="21" t="s">
        <v>1354</v>
      </c>
      <c r="G2237" s="21" t="s">
        <v>1355</v>
      </c>
      <c r="H2237" s="21" t="s">
        <v>1362</v>
      </c>
      <c r="I2237" s="21" t="s">
        <v>1363</v>
      </c>
      <c r="J2237" s="21" t="s">
        <v>1000</v>
      </c>
      <c r="K2237" s="21" t="s">
        <v>1267</v>
      </c>
      <c r="L2237" s="21" t="s">
        <v>1358</v>
      </c>
      <c r="M2237" s="21" t="s">
        <v>12</v>
      </c>
      <c r="N2237" s="54">
        <v>5600</v>
      </c>
      <c r="O2237" s="54">
        <v>0</v>
      </c>
      <c r="P2237" s="54">
        <v>0</v>
      </c>
      <c r="Q2237" s="54">
        <v>5600</v>
      </c>
      <c r="R2237" s="54">
        <v>0</v>
      </c>
      <c r="S2237" s="54">
        <v>0</v>
      </c>
      <c r="T2237" s="54">
        <v>0</v>
      </c>
      <c r="U2237" s="54">
        <v>5600</v>
      </c>
      <c r="V2237" s="54">
        <v>5600</v>
      </c>
      <c r="W2237" s="54">
        <v>5600</v>
      </c>
    </row>
    <row r="2238" spans="1:23" outlineLevel="2" x14ac:dyDescent="0.2">
      <c r="A2238" s="21" t="s">
        <v>999</v>
      </c>
      <c r="B2238" s="21" t="s">
        <v>39</v>
      </c>
      <c r="C2238" s="21" t="s">
        <v>40</v>
      </c>
      <c r="D2238" s="21" t="s">
        <v>77</v>
      </c>
      <c r="E2238" s="21" t="s">
        <v>78</v>
      </c>
      <c r="F2238" s="21" t="s">
        <v>1354</v>
      </c>
      <c r="G2238" s="21" t="s">
        <v>1355</v>
      </c>
      <c r="H2238" s="21" t="s">
        <v>1362</v>
      </c>
      <c r="I2238" s="21" t="s">
        <v>1363</v>
      </c>
      <c r="J2238" s="21" t="s">
        <v>1000</v>
      </c>
      <c r="K2238" s="21" t="s">
        <v>1061</v>
      </c>
      <c r="L2238" s="21" t="s">
        <v>1365</v>
      </c>
      <c r="M2238" s="21" t="s">
        <v>12</v>
      </c>
      <c r="N2238" s="54">
        <v>640</v>
      </c>
      <c r="O2238" s="54">
        <v>0</v>
      </c>
      <c r="P2238" s="54">
        <v>0</v>
      </c>
      <c r="Q2238" s="54">
        <v>640</v>
      </c>
      <c r="R2238" s="54">
        <v>0</v>
      </c>
      <c r="S2238" s="54">
        <v>630</v>
      </c>
      <c r="T2238" s="54">
        <v>630</v>
      </c>
      <c r="U2238" s="54">
        <v>10</v>
      </c>
      <c r="V2238" s="54">
        <v>10</v>
      </c>
      <c r="W2238" s="54">
        <v>10</v>
      </c>
    </row>
    <row r="2239" spans="1:23" outlineLevel="2" x14ac:dyDescent="0.2">
      <c r="A2239" s="21" t="s">
        <v>999</v>
      </c>
      <c r="B2239" s="21" t="s">
        <v>39</v>
      </c>
      <c r="C2239" s="21" t="s">
        <v>40</v>
      </c>
      <c r="D2239" s="21" t="s">
        <v>77</v>
      </c>
      <c r="E2239" s="21" t="s">
        <v>78</v>
      </c>
      <c r="F2239" s="21" t="s">
        <v>1354</v>
      </c>
      <c r="G2239" s="21" t="s">
        <v>1355</v>
      </c>
      <c r="H2239" s="21" t="s">
        <v>1362</v>
      </c>
      <c r="I2239" s="21" t="s">
        <v>1363</v>
      </c>
      <c r="J2239" s="21" t="s">
        <v>1000</v>
      </c>
      <c r="K2239" s="21" t="s">
        <v>1082</v>
      </c>
      <c r="L2239" s="21" t="s">
        <v>1366</v>
      </c>
      <c r="M2239" s="21" t="s">
        <v>12</v>
      </c>
      <c r="N2239" s="54">
        <v>2150</v>
      </c>
      <c r="O2239" s="54">
        <v>0</v>
      </c>
      <c r="P2239" s="54">
        <v>0</v>
      </c>
      <c r="Q2239" s="54">
        <v>2150</v>
      </c>
      <c r="R2239" s="54">
        <v>0</v>
      </c>
      <c r="S2239" s="54">
        <v>0</v>
      </c>
      <c r="T2239" s="54">
        <v>0</v>
      </c>
      <c r="U2239" s="54">
        <v>2150</v>
      </c>
      <c r="V2239" s="54">
        <v>2150</v>
      </c>
      <c r="W2239" s="54">
        <v>2150</v>
      </c>
    </row>
    <row r="2240" spans="1:23" outlineLevel="2" x14ac:dyDescent="0.2">
      <c r="A2240" s="21" t="s">
        <v>999</v>
      </c>
      <c r="B2240" s="21" t="s">
        <v>39</v>
      </c>
      <c r="C2240" s="21" t="s">
        <v>40</v>
      </c>
      <c r="D2240" s="21" t="s">
        <v>77</v>
      </c>
      <c r="E2240" s="21" t="s">
        <v>78</v>
      </c>
      <c r="F2240" s="21" t="s">
        <v>1354</v>
      </c>
      <c r="G2240" s="21" t="s">
        <v>1355</v>
      </c>
      <c r="H2240" s="21" t="s">
        <v>1362</v>
      </c>
      <c r="I2240" s="21" t="s">
        <v>1363</v>
      </c>
      <c r="J2240" s="21" t="s">
        <v>1000</v>
      </c>
      <c r="K2240" s="21" t="s">
        <v>1084</v>
      </c>
      <c r="L2240" s="21" t="s">
        <v>1367</v>
      </c>
      <c r="M2240" s="21" t="s">
        <v>12</v>
      </c>
      <c r="N2240" s="54">
        <v>8862.4500000000007</v>
      </c>
      <c r="O2240" s="54">
        <v>0</v>
      </c>
      <c r="P2240" s="54">
        <v>0</v>
      </c>
      <c r="Q2240" s="54">
        <v>8862.4500000000007</v>
      </c>
      <c r="R2240" s="54">
        <v>0</v>
      </c>
      <c r="S2240" s="54">
        <v>0</v>
      </c>
      <c r="T2240" s="54">
        <v>0</v>
      </c>
      <c r="U2240" s="54">
        <v>8862.4500000000007</v>
      </c>
      <c r="V2240" s="54">
        <v>8862.4500000000007</v>
      </c>
      <c r="W2240" s="54">
        <v>8862.4500000000007</v>
      </c>
    </row>
    <row r="2241" spans="1:23" outlineLevel="2" x14ac:dyDescent="0.2">
      <c r="A2241" s="21" t="s">
        <v>999</v>
      </c>
      <c r="B2241" s="21" t="s">
        <v>39</v>
      </c>
      <c r="C2241" s="21" t="s">
        <v>40</v>
      </c>
      <c r="D2241" s="21" t="s">
        <v>77</v>
      </c>
      <c r="E2241" s="21" t="s">
        <v>78</v>
      </c>
      <c r="F2241" s="21" t="s">
        <v>1354</v>
      </c>
      <c r="G2241" s="21" t="s">
        <v>1355</v>
      </c>
      <c r="H2241" s="21" t="s">
        <v>1362</v>
      </c>
      <c r="I2241" s="21" t="s">
        <v>1363</v>
      </c>
      <c r="J2241" s="21" t="s">
        <v>1000</v>
      </c>
      <c r="K2241" s="21" t="s">
        <v>1120</v>
      </c>
      <c r="L2241" s="21" t="s">
        <v>1368</v>
      </c>
      <c r="M2241" s="21" t="s">
        <v>12</v>
      </c>
      <c r="N2241" s="54">
        <v>408</v>
      </c>
      <c r="O2241" s="54">
        <v>0</v>
      </c>
      <c r="P2241" s="54">
        <v>0</v>
      </c>
      <c r="Q2241" s="54">
        <v>408</v>
      </c>
      <c r="R2241" s="54">
        <v>0</v>
      </c>
      <c r="S2241" s="54">
        <v>407.9</v>
      </c>
      <c r="T2241" s="54">
        <v>407.9</v>
      </c>
      <c r="U2241" s="54">
        <v>0.1</v>
      </c>
      <c r="V2241" s="54">
        <v>0.1</v>
      </c>
      <c r="W2241" s="54">
        <v>0.1</v>
      </c>
    </row>
    <row r="2242" spans="1:23" outlineLevel="2" x14ac:dyDescent="0.2">
      <c r="A2242" s="21" t="s">
        <v>999</v>
      </c>
      <c r="B2242" s="21" t="s">
        <v>39</v>
      </c>
      <c r="C2242" s="21" t="s">
        <v>40</v>
      </c>
      <c r="D2242" s="21" t="s">
        <v>77</v>
      </c>
      <c r="E2242" s="21" t="s">
        <v>78</v>
      </c>
      <c r="F2242" s="21" t="s">
        <v>1354</v>
      </c>
      <c r="G2242" s="21" t="s">
        <v>1355</v>
      </c>
      <c r="H2242" s="21" t="s">
        <v>1369</v>
      </c>
      <c r="I2242" s="21" t="s">
        <v>1370</v>
      </c>
      <c r="J2242" s="21" t="s">
        <v>1000</v>
      </c>
      <c r="K2242" s="21" t="s">
        <v>1104</v>
      </c>
      <c r="L2242" s="21" t="s">
        <v>1371</v>
      </c>
      <c r="M2242" s="21" t="s">
        <v>12</v>
      </c>
      <c r="N2242" s="54">
        <v>68000</v>
      </c>
      <c r="O2242" s="54">
        <v>0</v>
      </c>
      <c r="P2242" s="54">
        <v>0</v>
      </c>
      <c r="Q2242" s="54">
        <v>68000</v>
      </c>
      <c r="R2242" s="54">
        <v>0</v>
      </c>
      <c r="S2242" s="54">
        <v>0</v>
      </c>
      <c r="T2242" s="54">
        <v>0</v>
      </c>
      <c r="U2242" s="54">
        <v>68000</v>
      </c>
      <c r="V2242" s="54">
        <v>68000</v>
      </c>
      <c r="W2242" s="54">
        <v>68000</v>
      </c>
    </row>
    <row r="2243" spans="1:23" outlineLevel="2" x14ac:dyDescent="0.2">
      <c r="A2243" s="21" t="s">
        <v>999</v>
      </c>
      <c r="B2243" s="21" t="s">
        <v>39</v>
      </c>
      <c r="C2243" s="21" t="s">
        <v>40</v>
      </c>
      <c r="D2243" s="21" t="s">
        <v>77</v>
      </c>
      <c r="E2243" s="21" t="s">
        <v>78</v>
      </c>
      <c r="F2243" s="21" t="s">
        <v>1354</v>
      </c>
      <c r="G2243" s="21" t="s">
        <v>1355</v>
      </c>
      <c r="H2243" s="21" t="s">
        <v>1369</v>
      </c>
      <c r="I2243" s="21" t="s">
        <v>1370</v>
      </c>
      <c r="J2243" s="21" t="s">
        <v>1000</v>
      </c>
      <c r="K2243" s="21" t="s">
        <v>1037</v>
      </c>
      <c r="L2243" s="21" t="s">
        <v>1364</v>
      </c>
      <c r="M2243" s="21" t="s">
        <v>12</v>
      </c>
      <c r="N2243" s="54">
        <v>568799.62</v>
      </c>
      <c r="O2243" s="54">
        <v>160872.6</v>
      </c>
      <c r="P2243" s="54">
        <v>0</v>
      </c>
      <c r="Q2243" s="54">
        <v>729672.22</v>
      </c>
      <c r="R2243" s="54">
        <v>27.01</v>
      </c>
      <c r="S2243" s="54">
        <v>413115.78</v>
      </c>
      <c r="T2243" s="54">
        <v>76080.11</v>
      </c>
      <c r="U2243" s="54">
        <v>316556.44</v>
      </c>
      <c r="V2243" s="54">
        <v>653592.11</v>
      </c>
      <c r="W2243" s="54">
        <v>316529.43</v>
      </c>
    </row>
    <row r="2244" spans="1:23" outlineLevel="2" x14ac:dyDescent="0.2">
      <c r="A2244" s="21" t="s">
        <v>999</v>
      </c>
      <c r="B2244" s="21" t="s">
        <v>39</v>
      </c>
      <c r="C2244" s="21" t="s">
        <v>40</v>
      </c>
      <c r="D2244" s="21" t="s">
        <v>77</v>
      </c>
      <c r="E2244" s="21" t="s">
        <v>78</v>
      </c>
      <c r="F2244" s="21" t="s">
        <v>1354</v>
      </c>
      <c r="G2244" s="21" t="s">
        <v>1355</v>
      </c>
      <c r="H2244" s="21" t="s">
        <v>1369</v>
      </c>
      <c r="I2244" s="21" t="s">
        <v>1370</v>
      </c>
      <c r="J2244" s="21" t="s">
        <v>1000</v>
      </c>
      <c r="K2244" s="21" t="s">
        <v>1039</v>
      </c>
      <c r="L2244" s="21" t="s">
        <v>1372</v>
      </c>
      <c r="M2244" s="21" t="s">
        <v>12</v>
      </c>
      <c r="N2244" s="54">
        <v>0</v>
      </c>
      <c r="O2244" s="54">
        <v>112000</v>
      </c>
      <c r="P2244" s="54">
        <v>0</v>
      </c>
      <c r="Q2244" s="54">
        <v>112000</v>
      </c>
      <c r="R2244" s="54">
        <v>1282.8399999999999</v>
      </c>
      <c r="S2244" s="54">
        <v>78233.52</v>
      </c>
      <c r="T2244" s="54">
        <v>78233.52</v>
      </c>
      <c r="U2244" s="54">
        <v>33766.480000000003</v>
      </c>
      <c r="V2244" s="54">
        <v>33766.480000000003</v>
      </c>
      <c r="W2244" s="54">
        <v>32483.64</v>
      </c>
    </row>
    <row r="2245" spans="1:23" outlineLevel="2" x14ac:dyDescent="0.2">
      <c r="A2245" s="21" t="s">
        <v>999</v>
      </c>
      <c r="B2245" s="21" t="s">
        <v>39</v>
      </c>
      <c r="C2245" s="21" t="s">
        <v>40</v>
      </c>
      <c r="D2245" s="21" t="s">
        <v>77</v>
      </c>
      <c r="E2245" s="21" t="s">
        <v>78</v>
      </c>
      <c r="F2245" s="21" t="s">
        <v>1354</v>
      </c>
      <c r="G2245" s="21" t="s">
        <v>1355</v>
      </c>
      <c r="H2245" s="21" t="s">
        <v>1369</v>
      </c>
      <c r="I2245" s="21" t="s">
        <v>1370</v>
      </c>
      <c r="J2245" s="21" t="s">
        <v>1000</v>
      </c>
      <c r="K2245" s="21" t="s">
        <v>1058</v>
      </c>
      <c r="L2245" s="21" t="s">
        <v>1361</v>
      </c>
      <c r="M2245" s="21" t="s">
        <v>12</v>
      </c>
      <c r="N2245" s="54">
        <v>0</v>
      </c>
      <c r="O2245" s="54">
        <v>213267.66</v>
      </c>
      <c r="P2245" s="54">
        <v>0</v>
      </c>
      <c r="Q2245" s="54">
        <v>213267.66</v>
      </c>
      <c r="R2245" s="54">
        <v>0</v>
      </c>
      <c r="S2245" s="54">
        <v>207594.26</v>
      </c>
      <c r="T2245" s="54">
        <v>174220.37</v>
      </c>
      <c r="U2245" s="54">
        <v>5673.4</v>
      </c>
      <c r="V2245" s="54">
        <v>39047.29</v>
      </c>
      <c r="W2245" s="54">
        <v>5673.4</v>
      </c>
    </row>
    <row r="2246" spans="1:23" outlineLevel="2" x14ac:dyDescent="0.2">
      <c r="A2246" s="21" t="s">
        <v>999</v>
      </c>
      <c r="B2246" s="21" t="s">
        <v>39</v>
      </c>
      <c r="C2246" s="21" t="s">
        <v>40</v>
      </c>
      <c r="D2246" s="21" t="s">
        <v>77</v>
      </c>
      <c r="E2246" s="21" t="s">
        <v>78</v>
      </c>
      <c r="F2246" s="21" t="s">
        <v>1354</v>
      </c>
      <c r="G2246" s="21" t="s">
        <v>1355</v>
      </c>
      <c r="H2246" s="21" t="s">
        <v>1369</v>
      </c>
      <c r="I2246" s="21" t="s">
        <v>1370</v>
      </c>
      <c r="J2246" s="21" t="s">
        <v>1000</v>
      </c>
      <c r="K2246" s="21" t="s">
        <v>1108</v>
      </c>
      <c r="L2246" s="21" t="s">
        <v>1373</v>
      </c>
      <c r="M2246" s="21" t="s">
        <v>12</v>
      </c>
      <c r="N2246" s="54">
        <v>454826.78</v>
      </c>
      <c r="O2246" s="54">
        <v>1460752.74</v>
      </c>
      <c r="P2246" s="54">
        <v>0</v>
      </c>
      <c r="Q2246" s="54">
        <v>1915579.52</v>
      </c>
      <c r="R2246" s="54">
        <v>0</v>
      </c>
      <c r="S2246" s="54">
        <v>1622237.62</v>
      </c>
      <c r="T2246" s="54">
        <v>1046431</v>
      </c>
      <c r="U2246" s="54">
        <v>293341.90000000002</v>
      </c>
      <c r="V2246" s="54">
        <v>869148.52</v>
      </c>
      <c r="W2246" s="54">
        <v>293341.90000000002</v>
      </c>
    </row>
    <row r="2247" spans="1:23" outlineLevel="2" x14ac:dyDescent="0.2">
      <c r="A2247" s="21" t="s">
        <v>999</v>
      </c>
      <c r="B2247" s="21" t="s">
        <v>39</v>
      </c>
      <c r="C2247" s="21" t="s">
        <v>40</v>
      </c>
      <c r="D2247" s="21" t="s">
        <v>77</v>
      </c>
      <c r="E2247" s="21" t="s">
        <v>78</v>
      </c>
      <c r="F2247" s="21" t="s">
        <v>1354</v>
      </c>
      <c r="G2247" s="21" t="s">
        <v>1355</v>
      </c>
      <c r="H2247" s="21" t="s">
        <v>1369</v>
      </c>
      <c r="I2247" s="21" t="s">
        <v>1370</v>
      </c>
      <c r="J2247" s="21" t="s">
        <v>1000</v>
      </c>
      <c r="K2247" s="21" t="s">
        <v>1068</v>
      </c>
      <c r="L2247" s="21" t="s">
        <v>1374</v>
      </c>
      <c r="M2247" s="21" t="s">
        <v>12</v>
      </c>
      <c r="N2247" s="54">
        <v>3500</v>
      </c>
      <c r="O2247" s="54">
        <v>0</v>
      </c>
      <c r="P2247" s="54">
        <v>0</v>
      </c>
      <c r="Q2247" s="54">
        <v>3500</v>
      </c>
      <c r="R2247" s="54">
        <v>0</v>
      </c>
      <c r="S2247" s="54">
        <v>0</v>
      </c>
      <c r="T2247" s="54">
        <v>0</v>
      </c>
      <c r="U2247" s="54">
        <v>3500</v>
      </c>
      <c r="V2247" s="54">
        <v>3500</v>
      </c>
      <c r="W2247" s="54">
        <v>3500</v>
      </c>
    </row>
    <row r="2248" spans="1:23" outlineLevel="2" x14ac:dyDescent="0.2">
      <c r="A2248" s="21" t="s">
        <v>999</v>
      </c>
      <c r="B2248" s="21" t="s">
        <v>39</v>
      </c>
      <c r="C2248" s="21" t="s">
        <v>40</v>
      </c>
      <c r="D2248" s="21" t="s">
        <v>77</v>
      </c>
      <c r="E2248" s="21" t="s">
        <v>78</v>
      </c>
      <c r="F2248" s="21" t="s">
        <v>1354</v>
      </c>
      <c r="G2248" s="21" t="s">
        <v>1355</v>
      </c>
      <c r="H2248" s="21" t="s">
        <v>1369</v>
      </c>
      <c r="I2248" s="21" t="s">
        <v>1370</v>
      </c>
      <c r="J2248" s="21" t="s">
        <v>1000</v>
      </c>
      <c r="K2248" s="21" t="s">
        <v>1009</v>
      </c>
      <c r="L2248" s="21" t="s">
        <v>1375</v>
      </c>
      <c r="M2248" s="21" t="s">
        <v>12</v>
      </c>
      <c r="N2248" s="54">
        <v>267847.34000000003</v>
      </c>
      <c r="O2248" s="54">
        <v>14000</v>
      </c>
      <c r="P2248" s="54">
        <v>0</v>
      </c>
      <c r="Q2248" s="54">
        <v>281847.34000000003</v>
      </c>
      <c r="R2248" s="54">
        <v>392</v>
      </c>
      <c r="S2248" s="54">
        <v>162700.93</v>
      </c>
      <c r="T2248" s="54">
        <v>29972.55</v>
      </c>
      <c r="U2248" s="54">
        <v>119146.41</v>
      </c>
      <c r="V2248" s="54">
        <v>251874.79</v>
      </c>
      <c r="W2248" s="54">
        <v>118754.41</v>
      </c>
    </row>
    <row r="2249" spans="1:23" outlineLevel="2" x14ac:dyDescent="0.2">
      <c r="A2249" s="21" t="s">
        <v>999</v>
      </c>
      <c r="B2249" s="21" t="s">
        <v>39</v>
      </c>
      <c r="C2249" s="21" t="s">
        <v>40</v>
      </c>
      <c r="D2249" s="21" t="s">
        <v>77</v>
      </c>
      <c r="E2249" s="21" t="s">
        <v>78</v>
      </c>
      <c r="F2249" s="21" t="s">
        <v>1354</v>
      </c>
      <c r="G2249" s="21" t="s">
        <v>1355</v>
      </c>
      <c r="H2249" s="21" t="s">
        <v>1369</v>
      </c>
      <c r="I2249" s="21" t="s">
        <v>1370</v>
      </c>
      <c r="J2249" s="21" t="s">
        <v>1000</v>
      </c>
      <c r="K2249" s="21" t="s">
        <v>1376</v>
      </c>
      <c r="L2249" s="21" t="s">
        <v>1377</v>
      </c>
      <c r="M2249" s="21" t="s">
        <v>12</v>
      </c>
      <c r="N2249" s="54">
        <v>751887.45</v>
      </c>
      <c r="O2249" s="54">
        <v>322342.14</v>
      </c>
      <c r="P2249" s="54">
        <v>0</v>
      </c>
      <c r="Q2249" s="54">
        <v>1074229.5900000001</v>
      </c>
      <c r="R2249" s="54">
        <v>173323.17</v>
      </c>
      <c r="S2249" s="54">
        <v>549664.97</v>
      </c>
      <c r="T2249" s="54">
        <v>346937.52</v>
      </c>
      <c r="U2249" s="54">
        <v>524564.62</v>
      </c>
      <c r="V2249" s="54">
        <v>727292.07</v>
      </c>
      <c r="W2249" s="54">
        <v>351241.45</v>
      </c>
    </row>
    <row r="2250" spans="1:23" outlineLevel="2" x14ac:dyDescent="0.2">
      <c r="A2250" s="21" t="s">
        <v>999</v>
      </c>
      <c r="B2250" s="21" t="s">
        <v>39</v>
      </c>
      <c r="C2250" s="21" t="s">
        <v>40</v>
      </c>
      <c r="D2250" s="21" t="s">
        <v>77</v>
      </c>
      <c r="E2250" s="21" t="s">
        <v>78</v>
      </c>
      <c r="F2250" s="21" t="s">
        <v>1354</v>
      </c>
      <c r="G2250" s="21" t="s">
        <v>1355</v>
      </c>
      <c r="H2250" s="21" t="s">
        <v>1369</v>
      </c>
      <c r="I2250" s="21" t="s">
        <v>1370</v>
      </c>
      <c r="J2250" s="21" t="s">
        <v>1000</v>
      </c>
      <c r="K2250" s="21" t="s">
        <v>1011</v>
      </c>
      <c r="L2250" s="21" t="s">
        <v>1378</v>
      </c>
      <c r="M2250" s="21" t="s">
        <v>12</v>
      </c>
      <c r="N2250" s="54">
        <v>11082</v>
      </c>
      <c r="O2250" s="54">
        <v>0</v>
      </c>
      <c r="P2250" s="54">
        <v>0</v>
      </c>
      <c r="Q2250" s="54">
        <v>11082</v>
      </c>
      <c r="R2250" s="54">
        <v>0</v>
      </c>
      <c r="S2250" s="54">
        <v>4496.72</v>
      </c>
      <c r="T2250" s="54">
        <v>4496.67</v>
      </c>
      <c r="U2250" s="54">
        <v>6585.28</v>
      </c>
      <c r="V2250" s="54">
        <v>6585.33</v>
      </c>
      <c r="W2250" s="54">
        <v>6585.28</v>
      </c>
    </row>
    <row r="2251" spans="1:23" outlineLevel="2" x14ac:dyDescent="0.2">
      <c r="A2251" s="21" t="s">
        <v>999</v>
      </c>
      <c r="B2251" s="21" t="s">
        <v>39</v>
      </c>
      <c r="C2251" s="21" t="s">
        <v>40</v>
      </c>
      <c r="D2251" s="21" t="s">
        <v>77</v>
      </c>
      <c r="E2251" s="21" t="s">
        <v>78</v>
      </c>
      <c r="F2251" s="21" t="s">
        <v>1354</v>
      </c>
      <c r="G2251" s="21" t="s">
        <v>1355</v>
      </c>
      <c r="H2251" s="21" t="s">
        <v>1369</v>
      </c>
      <c r="I2251" s="21" t="s">
        <v>1370</v>
      </c>
      <c r="J2251" s="21" t="s">
        <v>1000</v>
      </c>
      <c r="K2251" s="21" t="s">
        <v>1013</v>
      </c>
      <c r="L2251" s="21" t="s">
        <v>1379</v>
      </c>
      <c r="M2251" s="21" t="s">
        <v>12</v>
      </c>
      <c r="N2251" s="54">
        <v>56754.51</v>
      </c>
      <c r="O2251" s="54">
        <v>0</v>
      </c>
      <c r="P2251" s="54">
        <v>0</v>
      </c>
      <c r="Q2251" s="54">
        <v>56754.51</v>
      </c>
      <c r="R2251" s="54">
        <v>0</v>
      </c>
      <c r="S2251" s="54">
        <v>0</v>
      </c>
      <c r="T2251" s="54">
        <v>0</v>
      </c>
      <c r="U2251" s="54">
        <v>56754.51</v>
      </c>
      <c r="V2251" s="54">
        <v>56754.51</v>
      </c>
      <c r="W2251" s="54">
        <v>56754.51</v>
      </c>
    </row>
    <row r="2252" spans="1:23" outlineLevel="2" x14ac:dyDescent="0.2">
      <c r="A2252" s="21" t="s">
        <v>999</v>
      </c>
      <c r="B2252" s="21" t="s">
        <v>39</v>
      </c>
      <c r="C2252" s="21" t="s">
        <v>40</v>
      </c>
      <c r="D2252" s="21" t="s">
        <v>77</v>
      </c>
      <c r="E2252" s="21" t="s">
        <v>78</v>
      </c>
      <c r="F2252" s="21" t="s">
        <v>1354</v>
      </c>
      <c r="G2252" s="21" t="s">
        <v>1355</v>
      </c>
      <c r="H2252" s="21" t="s">
        <v>1369</v>
      </c>
      <c r="I2252" s="21" t="s">
        <v>1370</v>
      </c>
      <c r="J2252" s="21" t="s">
        <v>1000</v>
      </c>
      <c r="K2252" s="21" t="s">
        <v>1267</v>
      </c>
      <c r="L2252" s="21" t="s">
        <v>1358</v>
      </c>
      <c r="M2252" s="21" t="s">
        <v>12</v>
      </c>
      <c r="N2252" s="54">
        <v>16000</v>
      </c>
      <c r="O2252" s="54">
        <v>0</v>
      </c>
      <c r="P2252" s="54">
        <v>0</v>
      </c>
      <c r="Q2252" s="54">
        <v>16000</v>
      </c>
      <c r="R2252" s="54">
        <v>0</v>
      </c>
      <c r="S2252" s="54">
        <v>0</v>
      </c>
      <c r="T2252" s="54">
        <v>0</v>
      </c>
      <c r="U2252" s="54">
        <v>16000</v>
      </c>
      <c r="V2252" s="54">
        <v>16000</v>
      </c>
      <c r="W2252" s="54">
        <v>16000</v>
      </c>
    </row>
    <row r="2253" spans="1:23" outlineLevel="2" x14ac:dyDescent="0.2">
      <c r="A2253" s="21" t="s">
        <v>999</v>
      </c>
      <c r="B2253" s="21" t="s">
        <v>39</v>
      </c>
      <c r="C2253" s="21" t="s">
        <v>40</v>
      </c>
      <c r="D2253" s="21" t="s">
        <v>77</v>
      </c>
      <c r="E2253" s="21" t="s">
        <v>78</v>
      </c>
      <c r="F2253" s="21" t="s">
        <v>1354</v>
      </c>
      <c r="G2253" s="21" t="s">
        <v>1355</v>
      </c>
      <c r="H2253" s="21" t="s">
        <v>1369</v>
      </c>
      <c r="I2253" s="21" t="s">
        <v>1370</v>
      </c>
      <c r="J2253" s="21" t="s">
        <v>1000</v>
      </c>
      <c r="K2253" s="21" t="s">
        <v>1031</v>
      </c>
      <c r="L2253" s="21" t="s">
        <v>1380</v>
      </c>
      <c r="M2253" s="21" t="s">
        <v>12</v>
      </c>
      <c r="N2253" s="54">
        <v>80355.929999999993</v>
      </c>
      <c r="O2253" s="54">
        <v>11707.14</v>
      </c>
      <c r="P2253" s="54">
        <v>0</v>
      </c>
      <c r="Q2253" s="54">
        <v>92063.07</v>
      </c>
      <c r="R2253" s="54">
        <v>0</v>
      </c>
      <c r="S2253" s="54">
        <v>58574.720000000001</v>
      </c>
      <c r="T2253" s="54">
        <v>58228.97</v>
      </c>
      <c r="U2253" s="54">
        <v>33488.35</v>
      </c>
      <c r="V2253" s="54">
        <v>33834.1</v>
      </c>
      <c r="W2253" s="54">
        <v>33488.35</v>
      </c>
    </row>
    <row r="2254" spans="1:23" outlineLevel="2" x14ac:dyDescent="0.2">
      <c r="A2254" s="21" t="s">
        <v>999</v>
      </c>
      <c r="B2254" s="21" t="s">
        <v>39</v>
      </c>
      <c r="C2254" s="21" t="s">
        <v>40</v>
      </c>
      <c r="D2254" s="21" t="s">
        <v>77</v>
      </c>
      <c r="E2254" s="21" t="s">
        <v>78</v>
      </c>
      <c r="F2254" s="21" t="s">
        <v>1354</v>
      </c>
      <c r="G2254" s="21" t="s">
        <v>1355</v>
      </c>
      <c r="H2254" s="21" t="s">
        <v>1369</v>
      </c>
      <c r="I2254" s="21" t="s">
        <v>1370</v>
      </c>
      <c r="J2254" s="21" t="s">
        <v>1000</v>
      </c>
      <c r="K2254" s="21" t="s">
        <v>1061</v>
      </c>
      <c r="L2254" s="21" t="s">
        <v>1365</v>
      </c>
      <c r="M2254" s="21" t="s">
        <v>12</v>
      </c>
      <c r="N2254" s="54">
        <v>1787832.17</v>
      </c>
      <c r="O2254" s="54">
        <v>116819.89</v>
      </c>
      <c r="P2254" s="54">
        <v>0</v>
      </c>
      <c r="Q2254" s="54">
        <v>1904652.06</v>
      </c>
      <c r="R2254" s="54">
        <v>0.03</v>
      </c>
      <c r="S2254" s="54">
        <v>1812836.14</v>
      </c>
      <c r="T2254" s="54">
        <v>25004</v>
      </c>
      <c r="U2254" s="54">
        <v>91815.92</v>
      </c>
      <c r="V2254" s="54">
        <v>1879648.06</v>
      </c>
      <c r="W2254" s="54">
        <v>91815.89</v>
      </c>
    </row>
    <row r="2255" spans="1:23" outlineLevel="2" x14ac:dyDescent="0.2">
      <c r="A2255" s="21" t="s">
        <v>999</v>
      </c>
      <c r="B2255" s="21" t="s">
        <v>39</v>
      </c>
      <c r="C2255" s="21" t="s">
        <v>40</v>
      </c>
      <c r="D2255" s="21" t="s">
        <v>77</v>
      </c>
      <c r="E2255" s="21" t="s">
        <v>78</v>
      </c>
      <c r="F2255" s="21" t="s">
        <v>1354</v>
      </c>
      <c r="G2255" s="21" t="s">
        <v>1355</v>
      </c>
      <c r="H2255" s="21" t="s">
        <v>1369</v>
      </c>
      <c r="I2255" s="21" t="s">
        <v>1370</v>
      </c>
      <c r="J2255" s="21" t="s">
        <v>1000</v>
      </c>
      <c r="K2255" s="21" t="s">
        <v>1381</v>
      </c>
      <c r="L2255" s="21" t="s">
        <v>1382</v>
      </c>
      <c r="M2255" s="21" t="s">
        <v>12</v>
      </c>
      <c r="N2255" s="54">
        <v>76552.070000000007</v>
      </c>
      <c r="O2255" s="54">
        <v>390970.61</v>
      </c>
      <c r="P2255" s="54">
        <v>0</v>
      </c>
      <c r="Q2255" s="54">
        <v>467522.68</v>
      </c>
      <c r="R2255" s="54">
        <v>33571.449999999997</v>
      </c>
      <c r="S2255" s="54">
        <v>357262.57</v>
      </c>
      <c r="T2255" s="54">
        <v>240647.27</v>
      </c>
      <c r="U2255" s="54">
        <v>110260.11</v>
      </c>
      <c r="V2255" s="54">
        <v>226875.41</v>
      </c>
      <c r="W2255" s="54">
        <v>76688.66</v>
      </c>
    </row>
    <row r="2256" spans="1:23" outlineLevel="2" x14ac:dyDescent="0.2">
      <c r="A2256" s="21" t="s">
        <v>999</v>
      </c>
      <c r="B2256" s="21" t="s">
        <v>39</v>
      </c>
      <c r="C2256" s="21" t="s">
        <v>40</v>
      </c>
      <c r="D2256" s="21" t="s">
        <v>77</v>
      </c>
      <c r="E2256" s="21" t="s">
        <v>78</v>
      </c>
      <c r="F2256" s="21" t="s">
        <v>1354</v>
      </c>
      <c r="G2256" s="21" t="s">
        <v>1355</v>
      </c>
      <c r="H2256" s="21" t="s">
        <v>1369</v>
      </c>
      <c r="I2256" s="21" t="s">
        <v>1370</v>
      </c>
      <c r="J2256" s="21" t="s">
        <v>1000</v>
      </c>
      <c r="K2256" s="21" t="s">
        <v>1019</v>
      </c>
      <c r="L2256" s="21" t="s">
        <v>1383</v>
      </c>
      <c r="M2256" s="21" t="s">
        <v>12</v>
      </c>
      <c r="N2256" s="54">
        <v>53600</v>
      </c>
      <c r="O2256" s="54">
        <v>64000</v>
      </c>
      <c r="P2256" s="54">
        <v>0</v>
      </c>
      <c r="Q2256" s="54">
        <v>117600</v>
      </c>
      <c r="R2256" s="54">
        <v>376.32</v>
      </c>
      <c r="S2256" s="54">
        <v>6394.75</v>
      </c>
      <c r="T2256" s="54">
        <v>6394.75</v>
      </c>
      <c r="U2256" s="54">
        <v>111205.25</v>
      </c>
      <c r="V2256" s="54">
        <v>111205.25</v>
      </c>
      <c r="W2256" s="54">
        <v>110828.93</v>
      </c>
    </row>
    <row r="2257" spans="1:23" outlineLevel="2" x14ac:dyDescent="0.2">
      <c r="A2257" s="21" t="s">
        <v>999</v>
      </c>
      <c r="B2257" s="21" t="s">
        <v>39</v>
      </c>
      <c r="C2257" s="21" t="s">
        <v>40</v>
      </c>
      <c r="D2257" s="21" t="s">
        <v>77</v>
      </c>
      <c r="E2257" s="21" t="s">
        <v>78</v>
      </c>
      <c r="F2257" s="21" t="s">
        <v>1354</v>
      </c>
      <c r="G2257" s="21" t="s">
        <v>1355</v>
      </c>
      <c r="H2257" s="21" t="s">
        <v>1369</v>
      </c>
      <c r="I2257" s="21" t="s">
        <v>1370</v>
      </c>
      <c r="J2257" s="21" t="s">
        <v>1000</v>
      </c>
      <c r="K2257" s="21" t="s">
        <v>1313</v>
      </c>
      <c r="L2257" s="21" t="s">
        <v>1384</v>
      </c>
      <c r="M2257" s="21" t="s">
        <v>12</v>
      </c>
      <c r="N2257" s="54">
        <v>0</v>
      </c>
      <c r="O2257" s="54">
        <v>112.19</v>
      </c>
      <c r="P2257" s="54">
        <v>0</v>
      </c>
      <c r="Q2257" s="54">
        <v>112.19</v>
      </c>
      <c r="R2257" s="54">
        <v>0</v>
      </c>
      <c r="S2257" s="54">
        <v>0</v>
      </c>
      <c r="T2257" s="54">
        <v>0</v>
      </c>
      <c r="U2257" s="54">
        <v>112.19</v>
      </c>
      <c r="V2257" s="54">
        <v>112.19</v>
      </c>
      <c r="W2257" s="54">
        <v>112.19</v>
      </c>
    </row>
    <row r="2258" spans="1:23" outlineLevel="2" x14ac:dyDescent="0.2">
      <c r="A2258" s="21" t="s">
        <v>999</v>
      </c>
      <c r="B2258" s="21" t="s">
        <v>39</v>
      </c>
      <c r="C2258" s="21" t="s">
        <v>40</v>
      </c>
      <c r="D2258" s="21" t="s">
        <v>77</v>
      </c>
      <c r="E2258" s="21" t="s">
        <v>78</v>
      </c>
      <c r="F2258" s="21" t="s">
        <v>1354</v>
      </c>
      <c r="G2258" s="21" t="s">
        <v>1355</v>
      </c>
      <c r="H2258" s="21" t="s">
        <v>1369</v>
      </c>
      <c r="I2258" s="21" t="s">
        <v>1370</v>
      </c>
      <c r="J2258" s="21" t="s">
        <v>1000</v>
      </c>
      <c r="K2258" s="21" t="s">
        <v>1092</v>
      </c>
      <c r="L2258" s="21" t="s">
        <v>1385</v>
      </c>
      <c r="M2258" s="21" t="s">
        <v>12</v>
      </c>
      <c r="N2258" s="54">
        <v>0</v>
      </c>
      <c r="O2258" s="54">
        <v>6000</v>
      </c>
      <c r="P2258" s="54">
        <v>0</v>
      </c>
      <c r="Q2258" s="54">
        <v>6000</v>
      </c>
      <c r="R2258" s="54">
        <v>5828.48</v>
      </c>
      <c r="S2258" s="54">
        <v>0</v>
      </c>
      <c r="T2258" s="54">
        <v>0</v>
      </c>
      <c r="U2258" s="54">
        <v>6000</v>
      </c>
      <c r="V2258" s="54">
        <v>6000</v>
      </c>
      <c r="W2258" s="54">
        <v>171.52</v>
      </c>
    </row>
    <row r="2259" spans="1:23" outlineLevel="2" x14ac:dyDescent="0.2">
      <c r="A2259" s="21" t="s">
        <v>999</v>
      </c>
      <c r="B2259" s="21" t="s">
        <v>39</v>
      </c>
      <c r="C2259" s="21" t="s">
        <v>40</v>
      </c>
      <c r="D2259" s="21" t="s">
        <v>77</v>
      </c>
      <c r="E2259" s="21" t="s">
        <v>78</v>
      </c>
      <c r="F2259" s="21" t="s">
        <v>1354</v>
      </c>
      <c r="G2259" s="21" t="s">
        <v>1355</v>
      </c>
      <c r="H2259" s="21" t="s">
        <v>1369</v>
      </c>
      <c r="I2259" s="21" t="s">
        <v>1370</v>
      </c>
      <c r="J2259" s="21" t="s">
        <v>1000</v>
      </c>
      <c r="K2259" s="21" t="s">
        <v>1386</v>
      </c>
      <c r="L2259" s="21" t="s">
        <v>1387</v>
      </c>
      <c r="M2259" s="21" t="s">
        <v>12</v>
      </c>
      <c r="N2259" s="54">
        <v>0</v>
      </c>
      <c r="O2259" s="54">
        <v>78.400000000000006</v>
      </c>
      <c r="P2259" s="54">
        <v>0</v>
      </c>
      <c r="Q2259" s="54">
        <v>78.400000000000006</v>
      </c>
      <c r="R2259" s="54">
        <v>0</v>
      </c>
      <c r="S2259" s="54">
        <v>0</v>
      </c>
      <c r="T2259" s="54">
        <v>0</v>
      </c>
      <c r="U2259" s="54">
        <v>78.400000000000006</v>
      </c>
      <c r="V2259" s="54">
        <v>78.400000000000006</v>
      </c>
      <c r="W2259" s="54">
        <v>78.400000000000006</v>
      </c>
    </row>
    <row r="2260" spans="1:23" outlineLevel="2" x14ac:dyDescent="0.2">
      <c r="A2260" s="21" t="s">
        <v>999</v>
      </c>
      <c r="B2260" s="21" t="s">
        <v>39</v>
      </c>
      <c r="C2260" s="21" t="s">
        <v>40</v>
      </c>
      <c r="D2260" s="21" t="s">
        <v>77</v>
      </c>
      <c r="E2260" s="21" t="s">
        <v>78</v>
      </c>
      <c r="F2260" s="21" t="s">
        <v>1354</v>
      </c>
      <c r="G2260" s="21" t="s">
        <v>1355</v>
      </c>
      <c r="H2260" s="21" t="s">
        <v>1369</v>
      </c>
      <c r="I2260" s="21" t="s">
        <v>1370</v>
      </c>
      <c r="J2260" s="21" t="s">
        <v>1000</v>
      </c>
      <c r="K2260" s="21" t="s">
        <v>1388</v>
      </c>
      <c r="L2260" s="21" t="s">
        <v>1389</v>
      </c>
      <c r="M2260" s="21" t="s">
        <v>12</v>
      </c>
      <c r="N2260" s="54">
        <v>0</v>
      </c>
      <c r="O2260" s="54">
        <v>2564.8000000000002</v>
      </c>
      <c r="P2260" s="54">
        <v>0</v>
      </c>
      <c r="Q2260" s="54">
        <v>2564.8000000000002</v>
      </c>
      <c r="R2260" s="54">
        <v>0</v>
      </c>
      <c r="S2260" s="54">
        <v>0</v>
      </c>
      <c r="T2260" s="54">
        <v>0</v>
      </c>
      <c r="U2260" s="54">
        <v>2564.8000000000002</v>
      </c>
      <c r="V2260" s="54">
        <v>2564.8000000000002</v>
      </c>
      <c r="W2260" s="54">
        <v>2564.8000000000002</v>
      </c>
    </row>
    <row r="2261" spans="1:23" outlineLevel="2" x14ac:dyDescent="0.2">
      <c r="A2261" s="21" t="s">
        <v>999</v>
      </c>
      <c r="B2261" s="21" t="s">
        <v>39</v>
      </c>
      <c r="C2261" s="21" t="s">
        <v>40</v>
      </c>
      <c r="D2261" s="21" t="s">
        <v>77</v>
      </c>
      <c r="E2261" s="21" t="s">
        <v>78</v>
      </c>
      <c r="F2261" s="21" t="s">
        <v>1354</v>
      </c>
      <c r="G2261" s="21" t="s">
        <v>1355</v>
      </c>
      <c r="H2261" s="21" t="s">
        <v>1369</v>
      </c>
      <c r="I2261" s="21" t="s">
        <v>1370</v>
      </c>
      <c r="J2261" s="21" t="s">
        <v>1000</v>
      </c>
      <c r="K2261" s="21" t="s">
        <v>1390</v>
      </c>
      <c r="L2261" s="21" t="s">
        <v>1391</v>
      </c>
      <c r="M2261" s="21" t="s">
        <v>12</v>
      </c>
      <c r="N2261" s="54">
        <v>0</v>
      </c>
      <c r="O2261" s="54">
        <v>65.709999999999994</v>
      </c>
      <c r="P2261" s="54">
        <v>0</v>
      </c>
      <c r="Q2261" s="54">
        <v>65.709999999999994</v>
      </c>
      <c r="R2261" s="54">
        <v>0</v>
      </c>
      <c r="S2261" s="54">
        <v>0</v>
      </c>
      <c r="T2261" s="54">
        <v>0</v>
      </c>
      <c r="U2261" s="54">
        <v>65.709999999999994</v>
      </c>
      <c r="V2261" s="54">
        <v>65.709999999999994</v>
      </c>
      <c r="W2261" s="54">
        <v>65.709999999999994</v>
      </c>
    </row>
    <row r="2262" spans="1:23" outlineLevel="2" x14ac:dyDescent="0.2">
      <c r="A2262" s="21" t="s">
        <v>999</v>
      </c>
      <c r="B2262" s="21" t="s">
        <v>39</v>
      </c>
      <c r="C2262" s="21" t="s">
        <v>40</v>
      </c>
      <c r="D2262" s="21" t="s">
        <v>77</v>
      </c>
      <c r="E2262" s="21" t="s">
        <v>78</v>
      </c>
      <c r="F2262" s="21" t="s">
        <v>1354</v>
      </c>
      <c r="G2262" s="21" t="s">
        <v>1355</v>
      </c>
      <c r="H2262" s="21" t="s">
        <v>1369</v>
      </c>
      <c r="I2262" s="21" t="s">
        <v>1370</v>
      </c>
      <c r="J2262" s="21" t="s">
        <v>1000</v>
      </c>
      <c r="K2262" s="21" t="s">
        <v>1082</v>
      </c>
      <c r="L2262" s="21" t="s">
        <v>1366</v>
      </c>
      <c r="M2262" s="21" t="s">
        <v>12</v>
      </c>
      <c r="N2262" s="54">
        <v>97428.4</v>
      </c>
      <c r="O2262" s="54">
        <v>27744.71</v>
      </c>
      <c r="P2262" s="54">
        <v>0</v>
      </c>
      <c r="Q2262" s="54">
        <v>125173.11</v>
      </c>
      <c r="R2262" s="54">
        <v>1722.83</v>
      </c>
      <c r="S2262" s="54">
        <v>88667.91</v>
      </c>
      <c r="T2262" s="54">
        <v>76099.539999999994</v>
      </c>
      <c r="U2262" s="54">
        <v>36505.199999999997</v>
      </c>
      <c r="V2262" s="54">
        <v>49073.57</v>
      </c>
      <c r="W2262" s="54">
        <v>34782.370000000003</v>
      </c>
    </row>
    <row r="2263" spans="1:23" outlineLevel="2" x14ac:dyDescent="0.2">
      <c r="A2263" s="21" t="s">
        <v>999</v>
      </c>
      <c r="B2263" s="21" t="s">
        <v>39</v>
      </c>
      <c r="C2263" s="21" t="s">
        <v>40</v>
      </c>
      <c r="D2263" s="21" t="s">
        <v>77</v>
      </c>
      <c r="E2263" s="21" t="s">
        <v>78</v>
      </c>
      <c r="F2263" s="21" t="s">
        <v>1354</v>
      </c>
      <c r="G2263" s="21" t="s">
        <v>1355</v>
      </c>
      <c r="H2263" s="21" t="s">
        <v>1369</v>
      </c>
      <c r="I2263" s="21" t="s">
        <v>1370</v>
      </c>
      <c r="J2263" s="21" t="s">
        <v>1000</v>
      </c>
      <c r="K2263" s="21" t="s">
        <v>1194</v>
      </c>
      <c r="L2263" s="21" t="s">
        <v>1392</v>
      </c>
      <c r="M2263" s="21" t="s">
        <v>12</v>
      </c>
      <c r="N2263" s="54">
        <v>2154545</v>
      </c>
      <c r="O2263" s="54">
        <v>289980.45</v>
      </c>
      <c r="P2263" s="54">
        <v>0</v>
      </c>
      <c r="Q2263" s="54">
        <v>2444525.4500000002</v>
      </c>
      <c r="R2263" s="54">
        <v>276287.52</v>
      </c>
      <c r="S2263" s="54">
        <v>1280478.3400000001</v>
      </c>
      <c r="T2263" s="54">
        <v>844377.46</v>
      </c>
      <c r="U2263" s="54">
        <v>1164047.1100000001</v>
      </c>
      <c r="V2263" s="54">
        <v>1600147.99</v>
      </c>
      <c r="W2263" s="54">
        <v>887759.59</v>
      </c>
    </row>
    <row r="2264" spans="1:23" outlineLevel="2" x14ac:dyDescent="0.2">
      <c r="A2264" s="21" t="s">
        <v>999</v>
      </c>
      <c r="B2264" s="21" t="s">
        <v>39</v>
      </c>
      <c r="C2264" s="21" t="s">
        <v>40</v>
      </c>
      <c r="D2264" s="21" t="s">
        <v>77</v>
      </c>
      <c r="E2264" s="21" t="s">
        <v>78</v>
      </c>
      <c r="F2264" s="21" t="s">
        <v>1354</v>
      </c>
      <c r="G2264" s="21" t="s">
        <v>1355</v>
      </c>
      <c r="H2264" s="21" t="s">
        <v>1369</v>
      </c>
      <c r="I2264" s="21" t="s">
        <v>1370</v>
      </c>
      <c r="J2264" s="21" t="s">
        <v>1000</v>
      </c>
      <c r="K2264" s="21" t="s">
        <v>1343</v>
      </c>
      <c r="L2264" s="21" t="s">
        <v>1393</v>
      </c>
      <c r="M2264" s="21" t="s">
        <v>12</v>
      </c>
      <c r="N2264" s="54">
        <v>0</v>
      </c>
      <c r="O2264" s="54">
        <v>280060.09999999998</v>
      </c>
      <c r="P2264" s="54">
        <v>0</v>
      </c>
      <c r="Q2264" s="54">
        <v>280060.09999999998</v>
      </c>
      <c r="R2264" s="54">
        <v>14.56</v>
      </c>
      <c r="S2264" s="54">
        <v>164821.44</v>
      </c>
      <c r="T2264" s="54">
        <v>164821.44</v>
      </c>
      <c r="U2264" s="54">
        <v>115238.66</v>
      </c>
      <c r="V2264" s="54">
        <v>115238.66</v>
      </c>
      <c r="W2264" s="54">
        <v>115224.1</v>
      </c>
    </row>
    <row r="2265" spans="1:23" outlineLevel="2" x14ac:dyDescent="0.2">
      <c r="A2265" s="21" t="s">
        <v>999</v>
      </c>
      <c r="B2265" s="21" t="s">
        <v>39</v>
      </c>
      <c r="C2265" s="21" t="s">
        <v>40</v>
      </c>
      <c r="D2265" s="21" t="s">
        <v>77</v>
      </c>
      <c r="E2265" s="21" t="s">
        <v>78</v>
      </c>
      <c r="F2265" s="21" t="s">
        <v>1354</v>
      </c>
      <c r="G2265" s="21" t="s">
        <v>1355</v>
      </c>
      <c r="H2265" s="21" t="s">
        <v>1369</v>
      </c>
      <c r="I2265" s="21" t="s">
        <v>1370</v>
      </c>
      <c r="J2265" s="21" t="s">
        <v>1000</v>
      </c>
      <c r="K2265" s="21" t="s">
        <v>1394</v>
      </c>
      <c r="L2265" s="21" t="s">
        <v>1395</v>
      </c>
      <c r="M2265" s="21" t="s">
        <v>12</v>
      </c>
      <c r="N2265" s="54">
        <v>0</v>
      </c>
      <c r="O2265" s="54">
        <v>3387.44</v>
      </c>
      <c r="P2265" s="54">
        <v>0</v>
      </c>
      <c r="Q2265" s="54">
        <v>3387.44</v>
      </c>
      <c r="R2265" s="54">
        <v>0</v>
      </c>
      <c r="S2265" s="54">
        <v>0</v>
      </c>
      <c r="T2265" s="54">
        <v>0</v>
      </c>
      <c r="U2265" s="54">
        <v>3387.44</v>
      </c>
      <c r="V2265" s="54">
        <v>3387.44</v>
      </c>
      <c r="W2265" s="54">
        <v>3387.44</v>
      </c>
    </row>
    <row r="2266" spans="1:23" outlineLevel="2" x14ac:dyDescent="0.2">
      <c r="A2266" s="21" t="s">
        <v>999</v>
      </c>
      <c r="B2266" s="21" t="s">
        <v>39</v>
      </c>
      <c r="C2266" s="21" t="s">
        <v>40</v>
      </c>
      <c r="D2266" s="21" t="s">
        <v>77</v>
      </c>
      <c r="E2266" s="21" t="s">
        <v>78</v>
      </c>
      <c r="F2266" s="21" t="s">
        <v>1354</v>
      </c>
      <c r="G2266" s="21" t="s">
        <v>1355</v>
      </c>
      <c r="H2266" s="21" t="s">
        <v>1369</v>
      </c>
      <c r="I2266" s="21" t="s">
        <v>1370</v>
      </c>
      <c r="J2266" s="21" t="s">
        <v>1000</v>
      </c>
      <c r="K2266" s="21" t="s">
        <v>1183</v>
      </c>
      <c r="L2266" s="21" t="s">
        <v>1396</v>
      </c>
      <c r="M2266" s="21" t="s">
        <v>12</v>
      </c>
      <c r="N2266" s="54">
        <v>5000</v>
      </c>
      <c r="O2266" s="54">
        <v>0</v>
      </c>
      <c r="P2266" s="54">
        <v>0</v>
      </c>
      <c r="Q2266" s="54">
        <v>5000</v>
      </c>
      <c r="R2266" s="54">
        <v>0</v>
      </c>
      <c r="S2266" s="54">
        <v>0</v>
      </c>
      <c r="T2266" s="54">
        <v>0</v>
      </c>
      <c r="U2266" s="54">
        <v>5000</v>
      </c>
      <c r="V2266" s="54">
        <v>5000</v>
      </c>
      <c r="W2266" s="54">
        <v>5000</v>
      </c>
    </row>
    <row r="2267" spans="1:23" outlineLevel="2" x14ac:dyDescent="0.2">
      <c r="A2267" s="21" t="s">
        <v>999</v>
      </c>
      <c r="B2267" s="21" t="s">
        <v>39</v>
      </c>
      <c r="C2267" s="21" t="s">
        <v>40</v>
      </c>
      <c r="D2267" s="21" t="s">
        <v>77</v>
      </c>
      <c r="E2267" s="21" t="s">
        <v>78</v>
      </c>
      <c r="F2267" s="21" t="s">
        <v>1354</v>
      </c>
      <c r="G2267" s="21" t="s">
        <v>1355</v>
      </c>
      <c r="H2267" s="21" t="s">
        <v>1369</v>
      </c>
      <c r="I2267" s="21" t="s">
        <v>1370</v>
      </c>
      <c r="J2267" s="21" t="s">
        <v>1000</v>
      </c>
      <c r="K2267" s="21" t="s">
        <v>1023</v>
      </c>
      <c r="L2267" s="21" t="s">
        <v>1397</v>
      </c>
      <c r="M2267" s="21" t="s">
        <v>12</v>
      </c>
      <c r="N2267" s="54">
        <v>0</v>
      </c>
      <c r="O2267" s="54">
        <v>5767.34</v>
      </c>
      <c r="P2267" s="54">
        <v>0</v>
      </c>
      <c r="Q2267" s="54">
        <v>5767.34</v>
      </c>
      <c r="R2267" s="54">
        <v>0</v>
      </c>
      <c r="S2267" s="54">
        <v>0</v>
      </c>
      <c r="T2267" s="54">
        <v>0</v>
      </c>
      <c r="U2267" s="54">
        <v>5767.34</v>
      </c>
      <c r="V2267" s="54">
        <v>5767.34</v>
      </c>
      <c r="W2267" s="54">
        <v>5767.34</v>
      </c>
    </row>
    <row r="2268" spans="1:23" outlineLevel="2" x14ac:dyDescent="0.2">
      <c r="A2268" s="21" t="s">
        <v>999</v>
      </c>
      <c r="B2268" s="21" t="s">
        <v>39</v>
      </c>
      <c r="C2268" s="21" t="s">
        <v>40</v>
      </c>
      <c r="D2268" s="21" t="s">
        <v>77</v>
      </c>
      <c r="E2268" s="21" t="s">
        <v>78</v>
      </c>
      <c r="F2268" s="21" t="s">
        <v>1354</v>
      </c>
      <c r="G2268" s="21" t="s">
        <v>1355</v>
      </c>
      <c r="H2268" s="21" t="s">
        <v>1369</v>
      </c>
      <c r="I2268" s="21" t="s">
        <v>1370</v>
      </c>
      <c r="J2268" s="21" t="s">
        <v>1000</v>
      </c>
      <c r="K2268" s="21" t="s">
        <v>1185</v>
      </c>
      <c r="L2268" s="21" t="s">
        <v>1398</v>
      </c>
      <c r="M2268" s="21" t="s">
        <v>12</v>
      </c>
      <c r="N2268" s="54">
        <v>0</v>
      </c>
      <c r="O2268" s="54">
        <v>1769.6</v>
      </c>
      <c r="P2268" s="54">
        <v>0</v>
      </c>
      <c r="Q2268" s="54">
        <v>1769.6</v>
      </c>
      <c r="R2268" s="54">
        <v>0</v>
      </c>
      <c r="S2268" s="54">
        <v>1769.6</v>
      </c>
      <c r="T2268" s="54">
        <v>1769.6</v>
      </c>
      <c r="U2268" s="54">
        <v>0</v>
      </c>
      <c r="V2268" s="54">
        <v>0</v>
      </c>
      <c r="W2268" s="54">
        <v>0</v>
      </c>
    </row>
    <row r="2269" spans="1:23" outlineLevel="2" x14ac:dyDescent="0.2">
      <c r="A2269" s="21" t="s">
        <v>999</v>
      </c>
      <c r="B2269" s="21" t="s">
        <v>39</v>
      </c>
      <c r="C2269" s="21" t="s">
        <v>40</v>
      </c>
      <c r="D2269" s="21" t="s">
        <v>77</v>
      </c>
      <c r="E2269" s="21" t="s">
        <v>78</v>
      </c>
      <c r="F2269" s="21" t="s">
        <v>1354</v>
      </c>
      <c r="G2269" s="21" t="s">
        <v>1355</v>
      </c>
      <c r="H2269" s="21" t="s">
        <v>1399</v>
      </c>
      <c r="I2269" s="21" t="s">
        <v>1400</v>
      </c>
      <c r="J2269" s="21" t="s">
        <v>1000</v>
      </c>
      <c r="K2269" s="21" t="s">
        <v>1104</v>
      </c>
      <c r="L2269" s="21" t="s">
        <v>1371</v>
      </c>
      <c r="M2269" s="21" t="s">
        <v>12</v>
      </c>
      <c r="N2269" s="54">
        <v>552503.43999999994</v>
      </c>
      <c r="O2269" s="54">
        <v>0</v>
      </c>
      <c r="P2269" s="54">
        <v>0</v>
      </c>
      <c r="Q2269" s="54">
        <v>552503.43999999994</v>
      </c>
      <c r="R2269" s="54">
        <v>10200</v>
      </c>
      <c r="S2269" s="54">
        <v>503099.03</v>
      </c>
      <c r="T2269" s="54">
        <v>265667.21000000002</v>
      </c>
      <c r="U2269" s="54">
        <v>49404.41</v>
      </c>
      <c r="V2269" s="54">
        <v>286836.23</v>
      </c>
      <c r="W2269" s="54">
        <v>39204.410000000003</v>
      </c>
    </row>
    <row r="2270" spans="1:23" outlineLevel="2" x14ac:dyDescent="0.2">
      <c r="A2270" s="21" t="s">
        <v>999</v>
      </c>
      <c r="B2270" s="21" t="s">
        <v>39</v>
      </c>
      <c r="C2270" s="21" t="s">
        <v>40</v>
      </c>
      <c r="D2270" s="21" t="s">
        <v>77</v>
      </c>
      <c r="E2270" s="21" t="s">
        <v>78</v>
      </c>
      <c r="F2270" s="21" t="s">
        <v>1354</v>
      </c>
      <c r="G2270" s="21" t="s">
        <v>1355</v>
      </c>
      <c r="H2270" s="21" t="s">
        <v>1399</v>
      </c>
      <c r="I2270" s="21" t="s">
        <v>1400</v>
      </c>
      <c r="J2270" s="21" t="s">
        <v>1000</v>
      </c>
      <c r="K2270" s="21" t="s">
        <v>1037</v>
      </c>
      <c r="L2270" s="21" t="s">
        <v>1364</v>
      </c>
      <c r="M2270" s="21" t="s">
        <v>12</v>
      </c>
      <c r="N2270" s="54">
        <v>317500</v>
      </c>
      <c r="O2270" s="54">
        <v>0</v>
      </c>
      <c r="P2270" s="54">
        <v>0</v>
      </c>
      <c r="Q2270" s="54">
        <v>317500</v>
      </c>
      <c r="R2270" s="54">
        <v>0</v>
      </c>
      <c r="S2270" s="54">
        <v>186742.93</v>
      </c>
      <c r="T2270" s="54">
        <v>66742.929999999993</v>
      </c>
      <c r="U2270" s="54">
        <v>130757.07</v>
      </c>
      <c r="V2270" s="54">
        <v>250757.07</v>
      </c>
      <c r="W2270" s="54">
        <v>130757.07</v>
      </c>
    </row>
    <row r="2271" spans="1:23" outlineLevel="2" x14ac:dyDescent="0.2">
      <c r="A2271" s="21" t="s">
        <v>999</v>
      </c>
      <c r="B2271" s="21" t="s">
        <v>39</v>
      </c>
      <c r="C2271" s="21" t="s">
        <v>40</v>
      </c>
      <c r="D2271" s="21" t="s">
        <v>77</v>
      </c>
      <c r="E2271" s="21" t="s">
        <v>78</v>
      </c>
      <c r="F2271" s="21" t="s">
        <v>1354</v>
      </c>
      <c r="G2271" s="21" t="s">
        <v>1355</v>
      </c>
      <c r="H2271" s="21" t="s">
        <v>1399</v>
      </c>
      <c r="I2271" s="21" t="s">
        <v>1400</v>
      </c>
      <c r="J2271" s="21" t="s">
        <v>1000</v>
      </c>
      <c r="K2271" s="21" t="s">
        <v>1009</v>
      </c>
      <c r="L2271" s="21" t="s">
        <v>1375</v>
      </c>
      <c r="M2271" s="21" t="s">
        <v>12</v>
      </c>
      <c r="N2271" s="54">
        <v>97969.33</v>
      </c>
      <c r="O2271" s="54">
        <v>0</v>
      </c>
      <c r="P2271" s="54">
        <v>0</v>
      </c>
      <c r="Q2271" s="54">
        <v>97969.33</v>
      </c>
      <c r="R2271" s="54">
        <v>4060</v>
      </c>
      <c r="S2271" s="54">
        <v>0</v>
      </c>
      <c r="T2271" s="54">
        <v>0</v>
      </c>
      <c r="U2271" s="54">
        <v>97969.33</v>
      </c>
      <c r="V2271" s="54">
        <v>97969.33</v>
      </c>
      <c r="W2271" s="54">
        <v>93909.33</v>
      </c>
    </row>
    <row r="2272" spans="1:23" outlineLevel="2" x14ac:dyDescent="0.2">
      <c r="A2272" s="21" t="s">
        <v>999</v>
      </c>
      <c r="B2272" s="21" t="s">
        <v>39</v>
      </c>
      <c r="C2272" s="21" t="s">
        <v>40</v>
      </c>
      <c r="D2272" s="21" t="s">
        <v>77</v>
      </c>
      <c r="E2272" s="21" t="s">
        <v>78</v>
      </c>
      <c r="F2272" s="21" t="s">
        <v>1354</v>
      </c>
      <c r="G2272" s="21" t="s">
        <v>1355</v>
      </c>
      <c r="H2272" s="21" t="s">
        <v>1399</v>
      </c>
      <c r="I2272" s="21" t="s">
        <v>1400</v>
      </c>
      <c r="J2272" s="21" t="s">
        <v>1000</v>
      </c>
      <c r="K2272" s="21" t="s">
        <v>1376</v>
      </c>
      <c r="L2272" s="21" t="s">
        <v>1377</v>
      </c>
      <c r="M2272" s="21" t="s">
        <v>12</v>
      </c>
      <c r="N2272" s="54">
        <v>43306.67</v>
      </c>
      <c r="O2272" s="54">
        <v>0</v>
      </c>
      <c r="P2272" s="54">
        <v>0</v>
      </c>
      <c r="Q2272" s="54">
        <v>43306.67</v>
      </c>
      <c r="R2272" s="54">
        <v>0</v>
      </c>
      <c r="S2272" s="54">
        <v>0</v>
      </c>
      <c r="T2272" s="54">
        <v>0</v>
      </c>
      <c r="U2272" s="54">
        <v>43306.67</v>
      </c>
      <c r="V2272" s="54">
        <v>43306.67</v>
      </c>
      <c r="W2272" s="54">
        <v>43306.67</v>
      </c>
    </row>
    <row r="2273" spans="1:23" outlineLevel="2" x14ac:dyDescent="0.2">
      <c r="A2273" s="21" t="s">
        <v>999</v>
      </c>
      <c r="B2273" s="21" t="s">
        <v>39</v>
      </c>
      <c r="C2273" s="21" t="s">
        <v>40</v>
      </c>
      <c r="D2273" s="21" t="s">
        <v>77</v>
      </c>
      <c r="E2273" s="21" t="s">
        <v>78</v>
      </c>
      <c r="F2273" s="21" t="s">
        <v>1354</v>
      </c>
      <c r="G2273" s="21" t="s">
        <v>1355</v>
      </c>
      <c r="H2273" s="21" t="s">
        <v>1399</v>
      </c>
      <c r="I2273" s="21" t="s">
        <v>1400</v>
      </c>
      <c r="J2273" s="21" t="s">
        <v>1000</v>
      </c>
      <c r="K2273" s="21" t="s">
        <v>1029</v>
      </c>
      <c r="L2273" s="21" t="s">
        <v>1401</v>
      </c>
      <c r="M2273" s="21" t="s">
        <v>12</v>
      </c>
      <c r="N2273" s="54">
        <v>298200</v>
      </c>
      <c r="O2273" s="54">
        <v>0</v>
      </c>
      <c r="P2273" s="54">
        <v>0</v>
      </c>
      <c r="Q2273" s="54">
        <v>298200</v>
      </c>
      <c r="R2273" s="54">
        <v>0</v>
      </c>
      <c r="S2273" s="54">
        <v>6944</v>
      </c>
      <c r="T2273" s="54">
        <v>6944</v>
      </c>
      <c r="U2273" s="54">
        <v>291256</v>
      </c>
      <c r="V2273" s="54">
        <v>291256</v>
      </c>
      <c r="W2273" s="54">
        <v>291256</v>
      </c>
    </row>
    <row r="2274" spans="1:23" outlineLevel="2" x14ac:dyDescent="0.2">
      <c r="A2274" s="21" t="s">
        <v>999</v>
      </c>
      <c r="B2274" s="21" t="s">
        <v>39</v>
      </c>
      <c r="C2274" s="21" t="s">
        <v>40</v>
      </c>
      <c r="D2274" s="21" t="s">
        <v>77</v>
      </c>
      <c r="E2274" s="21" t="s">
        <v>78</v>
      </c>
      <c r="F2274" s="21" t="s">
        <v>1354</v>
      </c>
      <c r="G2274" s="21" t="s">
        <v>1355</v>
      </c>
      <c r="H2274" s="21" t="s">
        <v>1399</v>
      </c>
      <c r="I2274" s="21" t="s">
        <v>1400</v>
      </c>
      <c r="J2274" s="21" t="s">
        <v>1000</v>
      </c>
      <c r="K2274" s="21" t="s">
        <v>1031</v>
      </c>
      <c r="L2274" s="21" t="s">
        <v>1380</v>
      </c>
      <c r="M2274" s="21" t="s">
        <v>12</v>
      </c>
      <c r="N2274" s="54">
        <v>300805.33</v>
      </c>
      <c r="O2274" s="54">
        <v>0</v>
      </c>
      <c r="P2274" s="54">
        <v>0</v>
      </c>
      <c r="Q2274" s="54">
        <v>300805.33</v>
      </c>
      <c r="R2274" s="54">
        <v>0</v>
      </c>
      <c r="S2274" s="54">
        <v>107328.16</v>
      </c>
      <c r="T2274" s="54">
        <v>79889.59</v>
      </c>
      <c r="U2274" s="54">
        <v>193477.17</v>
      </c>
      <c r="V2274" s="54">
        <v>220915.74</v>
      </c>
      <c r="W2274" s="54">
        <v>193477.17</v>
      </c>
    </row>
    <row r="2275" spans="1:23" outlineLevel="2" x14ac:dyDescent="0.2">
      <c r="A2275" s="21" t="s">
        <v>999</v>
      </c>
      <c r="B2275" s="21" t="s">
        <v>39</v>
      </c>
      <c r="C2275" s="21" t="s">
        <v>40</v>
      </c>
      <c r="D2275" s="21" t="s">
        <v>77</v>
      </c>
      <c r="E2275" s="21" t="s">
        <v>78</v>
      </c>
      <c r="F2275" s="21" t="s">
        <v>1354</v>
      </c>
      <c r="G2275" s="21" t="s">
        <v>1355</v>
      </c>
      <c r="H2275" s="21" t="s">
        <v>1399</v>
      </c>
      <c r="I2275" s="21" t="s">
        <v>1400</v>
      </c>
      <c r="J2275" s="21" t="s">
        <v>1000</v>
      </c>
      <c r="K2275" s="21" t="s">
        <v>1116</v>
      </c>
      <c r="L2275" s="21" t="s">
        <v>1402</v>
      </c>
      <c r="M2275" s="21" t="s">
        <v>12</v>
      </c>
      <c r="N2275" s="54">
        <v>189097.81</v>
      </c>
      <c r="O2275" s="54">
        <v>0</v>
      </c>
      <c r="P2275" s="54">
        <v>0</v>
      </c>
      <c r="Q2275" s="54">
        <v>189097.81</v>
      </c>
      <c r="R2275" s="54">
        <v>50624</v>
      </c>
      <c r="S2275" s="54">
        <v>117600</v>
      </c>
      <c r="T2275" s="54">
        <v>117600</v>
      </c>
      <c r="U2275" s="54">
        <v>71497.81</v>
      </c>
      <c r="V2275" s="54">
        <v>71497.81</v>
      </c>
      <c r="W2275" s="54">
        <v>20873.810000000001</v>
      </c>
    </row>
    <row r="2276" spans="1:23" outlineLevel="2" x14ac:dyDescent="0.2">
      <c r="A2276" s="21" t="s">
        <v>999</v>
      </c>
      <c r="B2276" s="21" t="s">
        <v>39</v>
      </c>
      <c r="C2276" s="21" t="s">
        <v>40</v>
      </c>
      <c r="D2276" s="21" t="s">
        <v>77</v>
      </c>
      <c r="E2276" s="21" t="s">
        <v>78</v>
      </c>
      <c r="F2276" s="21" t="s">
        <v>1354</v>
      </c>
      <c r="G2276" s="21" t="s">
        <v>1355</v>
      </c>
      <c r="H2276" s="21" t="s">
        <v>1399</v>
      </c>
      <c r="I2276" s="21" t="s">
        <v>1400</v>
      </c>
      <c r="J2276" s="21" t="s">
        <v>1000</v>
      </c>
      <c r="K2276" s="21" t="s">
        <v>1019</v>
      </c>
      <c r="L2276" s="21" t="s">
        <v>1383</v>
      </c>
      <c r="M2276" s="21" t="s">
        <v>12</v>
      </c>
      <c r="N2276" s="54">
        <v>14374.83</v>
      </c>
      <c r="O2276" s="54">
        <v>0</v>
      </c>
      <c r="P2276" s="54">
        <v>0</v>
      </c>
      <c r="Q2276" s="54">
        <v>14374.83</v>
      </c>
      <c r="R2276" s="54">
        <v>0</v>
      </c>
      <c r="S2276" s="54">
        <v>0</v>
      </c>
      <c r="T2276" s="54">
        <v>0</v>
      </c>
      <c r="U2276" s="54">
        <v>14374.83</v>
      </c>
      <c r="V2276" s="54">
        <v>14374.83</v>
      </c>
      <c r="W2276" s="54">
        <v>14374.83</v>
      </c>
    </row>
    <row r="2277" spans="1:23" outlineLevel="2" x14ac:dyDescent="0.2">
      <c r="A2277" s="21" t="s">
        <v>999</v>
      </c>
      <c r="B2277" s="21" t="s">
        <v>39</v>
      </c>
      <c r="C2277" s="21" t="s">
        <v>40</v>
      </c>
      <c r="D2277" s="21" t="s">
        <v>77</v>
      </c>
      <c r="E2277" s="21" t="s">
        <v>78</v>
      </c>
      <c r="F2277" s="21" t="s">
        <v>1354</v>
      </c>
      <c r="G2277" s="21" t="s">
        <v>1355</v>
      </c>
      <c r="H2277" s="21" t="s">
        <v>1399</v>
      </c>
      <c r="I2277" s="21" t="s">
        <v>1400</v>
      </c>
      <c r="J2277" s="21" t="s">
        <v>1000</v>
      </c>
      <c r="K2277" s="21" t="s">
        <v>1194</v>
      </c>
      <c r="L2277" s="21" t="s">
        <v>1392</v>
      </c>
      <c r="M2277" s="21" t="s">
        <v>12</v>
      </c>
      <c r="N2277" s="54">
        <v>45912</v>
      </c>
      <c r="O2277" s="54">
        <v>0</v>
      </c>
      <c r="P2277" s="54">
        <v>0</v>
      </c>
      <c r="Q2277" s="54">
        <v>45912</v>
      </c>
      <c r="R2277" s="54">
        <v>638.4</v>
      </c>
      <c r="S2277" s="54">
        <v>0</v>
      </c>
      <c r="T2277" s="54">
        <v>0</v>
      </c>
      <c r="U2277" s="54">
        <v>45912</v>
      </c>
      <c r="V2277" s="54">
        <v>45912</v>
      </c>
      <c r="W2277" s="54">
        <v>45273.599999999999</v>
      </c>
    </row>
    <row r="2278" spans="1:23" outlineLevel="2" x14ac:dyDescent="0.2">
      <c r="A2278" s="21" t="s">
        <v>999</v>
      </c>
      <c r="B2278" s="21" t="s">
        <v>39</v>
      </c>
      <c r="C2278" s="21" t="s">
        <v>40</v>
      </c>
      <c r="D2278" s="21" t="s">
        <v>77</v>
      </c>
      <c r="E2278" s="21" t="s">
        <v>78</v>
      </c>
      <c r="F2278" s="21" t="s">
        <v>1354</v>
      </c>
      <c r="G2278" s="21" t="s">
        <v>1355</v>
      </c>
      <c r="H2278" s="21" t="s">
        <v>1399</v>
      </c>
      <c r="I2278" s="21" t="s">
        <v>1400</v>
      </c>
      <c r="J2278" s="21" t="s">
        <v>1000</v>
      </c>
      <c r="K2278" s="21" t="s">
        <v>1120</v>
      </c>
      <c r="L2278" s="21" t="s">
        <v>1368</v>
      </c>
      <c r="M2278" s="21" t="s">
        <v>12</v>
      </c>
      <c r="N2278" s="54">
        <v>15000</v>
      </c>
      <c r="O2278" s="54">
        <v>0</v>
      </c>
      <c r="P2278" s="54">
        <v>0</v>
      </c>
      <c r="Q2278" s="54">
        <v>15000</v>
      </c>
      <c r="R2278" s="54">
        <v>0</v>
      </c>
      <c r="S2278" s="54">
        <v>0</v>
      </c>
      <c r="T2278" s="54">
        <v>0</v>
      </c>
      <c r="U2278" s="54">
        <v>15000</v>
      </c>
      <c r="V2278" s="54">
        <v>15000</v>
      </c>
      <c r="W2278" s="54">
        <v>15000</v>
      </c>
    </row>
    <row r="2279" spans="1:23" outlineLevel="2" x14ac:dyDescent="0.2">
      <c r="A2279" s="21" t="s">
        <v>999</v>
      </c>
      <c r="B2279" s="21" t="s">
        <v>39</v>
      </c>
      <c r="C2279" s="21" t="s">
        <v>40</v>
      </c>
      <c r="D2279" s="21" t="s">
        <v>41</v>
      </c>
      <c r="E2279" s="21" t="s">
        <v>42</v>
      </c>
      <c r="F2279" s="21" t="s">
        <v>1403</v>
      </c>
      <c r="G2279" s="21" t="s">
        <v>1404</v>
      </c>
      <c r="H2279" s="21" t="s">
        <v>1405</v>
      </c>
      <c r="I2279" s="21" t="s">
        <v>1406</v>
      </c>
      <c r="J2279" s="21" t="s">
        <v>1000</v>
      </c>
      <c r="K2279" s="21" t="s">
        <v>1058</v>
      </c>
      <c r="L2279" s="21" t="s">
        <v>1407</v>
      </c>
      <c r="M2279" s="21" t="s">
        <v>12</v>
      </c>
      <c r="N2279" s="54">
        <v>0</v>
      </c>
      <c r="O2279" s="54">
        <v>37464</v>
      </c>
      <c r="P2279" s="54">
        <v>0</v>
      </c>
      <c r="Q2279" s="54">
        <v>37464</v>
      </c>
      <c r="R2279" s="54">
        <v>0</v>
      </c>
      <c r="S2279" s="54">
        <v>37464</v>
      </c>
      <c r="T2279" s="54">
        <v>37464</v>
      </c>
      <c r="U2279" s="54">
        <v>0</v>
      </c>
      <c r="V2279" s="54">
        <v>0</v>
      </c>
      <c r="W2279" s="54">
        <v>0</v>
      </c>
    </row>
    <row r="2280" spans="1:23" outlineLevel="2" x14ac:dyDescent="0.2">
      <c r="A2280" s="21" t="s">
        <v>999</v>
      </c>
      <c r="B2280" s="21" t="s">
        <v>39</v>
      </c>
      <c r="C2280" s="21" t="s">
        <v>40</v>
      </c>
      <c r="D2280" s="21" t="s">
        <v>41</v>
      </c>
      <c r="E2280" s="21" t="s">
        <v>42</v>
      </c>
      <c r="F2280" s="21" t="s">
        <v>1403</v>
      </c>
      <c r="G2280" s="21" t="s">
        <v>1404</v>
      </c>
      <c r="H2280" s="21" t="s">
        <v>1405</v>
      </c>
      <c r="I2280" s="21" t="s">
        <v>1406</v>
      </c>
      <c r="J2280" s="21" t="s">
        <v>1000</v>
      </c>
      <c r="K2280" s="21" t="s">
        <v>1009</v>
      </c>
      <c r="L2280" s="21" t="s">
        <v>1408</v>
      </c>
      <c r="M2280" s="21" t="s">
        <v>12</v>
      </c>
      <c r="N2280" s="54">
        <v>0</v>
      </c>
      <c r="O2280" s="54">
        <v>2288.16</v>
      </c>
      <c r="P2280" s="54">
        <v>0</v>
      </c>
      <c r="Q2280" s="54">
        <v>2288.16</v>
      </c>
      <c r="R2280" s="54">
        <v>0</v>
      </c>
      <c r="S2280" s="54">
        <v>2288.16</v>
      </c>
      <c r="T2280" s="54">
        <v>2288.16</v>
      </c>
      <c r="U2280" s="54">
        <v>0</v>
      </c>
      <c r="V2280" s="54">
        <v>0</v>
      </c>
      <c r="W2280" s="54">
        <v>0</v>
      </c>
    </row>
    <row r="2281" spans="1:23" outlineLevel="2" x14ac:dyDescent="0.2">
      <c r="A2281" s="21" t="s">
        <v>999</v>
      </c>
      <c r="B2281" s="21" t="s">
        <v>39</v>
      </c>
      <c r="C2281" s="21" t="s">
        <v>40</v>
      </c>
      <c r="D2281" s="21" t="s">
        <v>41</v>
      </c>
      <c r="E2281" s="21" t="s">
        <v>42</v>
      </c>
      <c r="F2281" s="21" t="s">
        <v>1403</v>
      </c>
      <c r="G2281" s="21" t="s">
        <v>1404</v>
      </c>
      <c r="H2281" s="21" t="s">
        <v>1405</v>
      </c>
      <c r="I2281" s="21" t="s">
        <v>1406</v>
      </c>
      <c r="J2281" s="21" t="s">
        <v>1000</v>
      </c>
      <c r="K2281" s="21" t="s">
        <v>1013</v>
      </c>
      <c r="L2281" s="21" t="s">
        <v>1409</v>
      </c>
      <c r="M2281" s="21" t="s">
        <v>12</v>
      </c>
      <c r="N2281" s="54">
        <v>640000</v>
      </c>
      <c r="O2281" s="54">
        <v>-276203.2</v>
      </c>
      <c r="P2281" s="54">
        <v>0</v>
      </c>
      <c r="Q2281" s="54">
        <v>363796.8</v>
      </c>
      <c r="R2281" s="54">
        <v>0</v>
      </c>
      <c r="S2281" s="54">
        <v>13440</v>
      </c>
      <c r="T2281" s="54">
        <v>9408</v>
      </c>
      <c r="U2281" s="54">
        <v>350356.8</v>
      </c>
      <c r="V2281" s="54">
        <v>354388.8</v>
      </c>
      <c r="W2281" s="54">
        <v>350356.8</v>
      </c>
    </row>
    <row r="2282" spans="1:23" outlineLevel="2" x14ac:dyDescent="0.2">
      <c r="A2282" s="21" t="s">
        <v>999</v>
      </c>
      <c r="B2282" s="21" t="s">
        <v>39</v>
      </c>
      <c r="C2282" s="21" t="s">
        <v>40</v>
      </c>
      <c r="D2282" s="21" t="s">
        <v>41</v>
      </c>
      <c r="E2282" s="21" t="s">
        <v>42</v>
      </c>
      <c r="F2282" s="21" t="s">
        <v>1403</v>
      </c>
      <c r="G2282" s="21" t="s">
        <v>1404</v>
      </c>
      <c r="H2282" s="21" t="s">
        <v>1405</v>
      </c>
      <c r="I2282" s="21" t="s">
        <v>1406</v>
      </c>
      <c r="J2282" s="21" t="s">
        <v>1000</v>
      </c>
      <c r="K2282" s="21" t="s">
        <v>1015</v>
      </c>
      <c r="L2282" s="21" t="s">
        <v>1410</v>
      </c>
      <c r="M2282" s="21" t="s">
        <v>12</v>
      </c>
      <c r="N2282" s="54">
        <v>420000</v>
      </c>
      <c r="O2282" s="54">
        <v>0</v>
      </c>
      <c r="P2282" s="54">
        <v>0</v>
      </c>
      <c r="Q2282" s="54">
        <v>420000</v>
      </c>
      <c r="R2282" s="54">
        <v>0</v>
      </c>
      <c r="S2282" s="54">
        <v>0</v>
      </c>
      <c r="T2282" s="54">
        <v>0</v>
      </c>
      <c r="U2282" s="54">
        <v>420000</v>
      </c>
      <c r="V2282" s="54">
        <v>420000</v>
      </c>
      <c r="W2282" s="54">
        <v>420000</v>
      </c>
    </row>
    <row r="2283" spans="1:23" outlineLevel="2" x14ac:dyDescent="0.2">
      <c r="A2283" s="21" t="s">
        <v>999</v>
      </c>
      <c r="B2283" s="21" t="s">
        <v>39</v>
      </c>
      <c r="C2283" s="21" t="s">
        <v>40</v>
      </c>
      <c r="D2283" s="21" t="s">
        <v>41</v>
      </c>
      <c r="E2283" s="21" t="s">
        <v>42</v>
      </c>
      <c r="F2283" s="21" t="s">
        <v>1403</v>
      </c>
      <c r="G2283" s="21" t="s">
        <v>1404</v>
      </c>
      <c r="H2283" s="21" t="s">
        <v>1405</v>
      </c>
      <c r="I2283" s="21" t="s">
        <v>1406</v>
      </c>
      <c r="J2283" s="21" t="s">
        <v>1000</v>
      </c>
      <c r="K2283" s="21" t="s">
        <v>1017</v>
      </c>
      <c r="L2283" s="21" t="s">
        <v>1411</v>
      </c>
      <c r="M2283" s="21" t="s">
        <v>12</v>
      </c>
      <c r="N2283" s="54">
        <v>23520</v>
      </c>
      <c r="O2283" s="54">
        <v>0</v>
      </c>
      <c r="P2283" s="54">
        <v>0</v>
      </c>
      <c r="Q2283" s="54">
        <v>23520</v>
      </c>
      <c r="R2283" s="54">
        <v>7792.2</v>
      </c>
      <c r="S2283" s="54">
        <v>10588.48</v>
      </c>
      <c r="T2283" s="54">
        <v>4742.08</v>
      </c>
      <c r="U2283" s="54">
        <v>12931.52</v>
      </c>
      <c r="V2283" s="54">
        <v>18777.919999999998</v>
      </c>
      <c r="W2283" s="54">
        <v>5139.32</v>
      </c>
    </row>
    <row r="2284" spans="1:23" outlineLevel="2" x14ac:dyDescent="0.2">
      <c r="A2284" s="21" t="s">
        <v>999</v>
      </c>
      <c r="B2284" s="21" t="s">
        <v>39</v>
      </c>
      <c r="C2284" s="21" t="s">
        <v>40</v>
      </c>
      <c r="D2284" s="21" t="s">
        <v>41</v>
      </c>
      <c r="E2284" s="21" t="s">
        <v>42</v>
      </c>
      <c r="F2284" s="21" t="s">
        <v>1403</v>
      </c>
      <c r="G2284" s="21" t="s">
        <v>1404</v>
      </c>
      <c r="H2284" s="21" t="s">
        <v>1412</v>
      </c>
      <c r="I2284" s="21" t="s">
        <v>1413</v>
      </c>
      <c r="J2284" s="21" t="s">
        <v>1000</v>
      </c>
      <c r="K2284" s="21" t="s">
        <v>1013</v>
      </c>
      <c r="L2284" s="21" t="s">
        <v>1409</v>
      </c>
      <c r="M2284" s="21" t="s">
        <v>12</v>
      </c>
      <c r="N2284" s="54">
        <v>60000</v>
      </c>
      <c r="O2284" s="54">
        <v>154560</v>
      </c>
      <c r="P2284" s="54">
        <v>0</v>
      </c>
      <c r="Q2284" s="54">
        <v>214560</v>
      </c>
      <c r="R2284" s="54">
        <v>128801.60000000001</v>
      </c>
      <c r="S2284" s="54">
        <v>59998.400000000001</v>
      </c>
      <c r="T2284" s="54">
        <v>59998.400000000001</v>
      </c>
      <c r="U2284" s="54">
        <v>154561.60000000001</v>
      </c>
      <c r="V2284" s="54">
        <v>154561.60000000001</v>
      </c>
      <c r="W2284" s="54">
        <v>25760</v>
      </c>
    </row>
    <row r="2285" spans="1:23" outlineLevel="2" x14ac:dyDescent="0.2">
      <c r="A2285" s="21" t="s">
        <v>999</v>
      </c>
      <c r="B2285" s="21" t="s">
        <v>39</v>
      </c>
      <c r="C2285" s="21" t="s">
        <v>40</v>
      </c>
      <c r="D2285" s="21" t="s">
        <v>77</v>
      </c>
      <c r="E2285" s="21" t="s">
        <v>78</v>
      </c>
      <c r="F2285" s="21" t="s">
        <v>1403</v>
      </c>
      <c r="G2285" s="21" t="s">
        <v>1404</v>
      </c>
      <c r="H2285" s="21" t="s">
        <v>1414</v>
      </c>
      <c r="I2285" s="21" t="s">
        <v>1415</v>
      </c>
      <c r="J2285" s="21" t="s">
        <v>1000</v>
      </c>
      <c r="K2285" s="21" t="s">
        <v>1003</v>
      </c>
      <c r="L2285" s="21" t="s">
        <v>1416</v>
      </c>
      <c r="M2285" s="21" t="s">
        <v>12</v>
      </c>
      <c r="N2285" s="54">
        <v>5400</v>
      </c>
      <c r="O2285" s="54">
        <v>0</v>
      </c>
      <c r="P2285" s="54">
        <v>0</v>
      </c>
      <c r="Q2285" s="54">
        <v>5400</v>
      </c>
      <c r="R2285" s="54">
        <v>0</v>
      </c>
      <c r="S2285" s="54">
        <v>0</v>
      </c>
      <c r="T2285" s="54">
        <v>0</v>
      </c>
      <c r="U2285" s="54">
        <v>5400</v>
      </c>
      <c r="V2285" s="54">
        <v>5400</v>
      </c>
      <c r="W2285" s="54">
        <v>5400</v>
      </c>
    </row>
    <row r="2286" spans="1:23" outlineLevel="2" x14ac:dyDescent="0.2">
      <c r="A2286" s="21" t="s">
        <v>999</v>
      </c>
      <c r="B2286" s="21" t="s">
        <v>39</v>
      </c>
      <c r="C2286" s="21" t="s">
        <v>40</v>
      </c>
      <c r="D2286" s="21" t="s">
        <v>77</v>
      </c>
      <c r="E2286" s="21" t="s">
        <v>78</v>
      </c>
      <c r="F2286" s="21" t="s">
        <v>1403</v>
      </c>
      <c r="G2286" s="21" t="s">
        <v>1404</v>
      </c>
      <c r="H2286" s="21" t="s">
        <v>1414</v>
      </c>
      <c r="I2286" s="21" t="s">
        <v>1415</v>
      </c>
      <c r="J2286" s="21" t="s">
        <v>1000</v>
      </c>
      <c r="K2286" s="21" t="s">
        <v>1011</v>
      </c>
      <c r="L2286" s="21" t="s">
        <v>1417</v>
      </c>
      <c r="M2286" s="21" t="s">
        <v>12</v>
      </c>
      <c r="N2286" s="54">
        <v>14840.08</v>
      </c>
      <c r="O2286" s="54">
        <v>0</v>
      </c>
      <c r="P2286" s="54">
        <v>0</v>
      </c>
      <c r="Q2286" s="54">
        <v>14840.08</v>
      </c>
      <c r="R2286" s="54">
        <v>0</v>
      </c>
      <c r="S2286" s="54">
        <v>0</v>
      </c>
      <c r="T2286" s="54">
        <v>0</v>
      </c>
      <c r="U2286" s="54">
        <v>14840.08</v>
      </c>
      <c r="V2286" s="54">
        <v>14840.08</v>
      </c>
      <c r="W2286" s="54">
        <v>14840.08</v>
      </c>
    </row>
    <row r="2287" spans="1:23" outlineLevel="2" x14ac:dyDescent="0.2">
      <c r="A2287" s="21" t="s">
        <v>999</v>
      </c>
      <c r="B2287" s="21" t="s">
        <v>39</v>
      </c>
      <c r="C2287" s="21" t="s">
        <v>40</v>
      </c>
      <c r="D2287" s="21" t="s">
        <v>77</v>
      </c>
      <c r="E2287" s="21" t="s">
        <v>78</v>
      </c>
      <c r="F2287" s="21" t="s">
        <v>1403</v>
      </c>
      <c r="G2287" s="21" t="s">
        <v>1404</v>
      </c>
      <c r="H2287" s="21" t="s">
        <v>1414</v>
      </c>
      <c r="I2287" s="21" t="s">
        <v>1415</v>
      </c>
      <c r="J2287" s="21" t="s">
        <v>1000</v>
      </c>
      <c r="K2287" s="21" t="s">
        <v>1082</v>
      </c>
      <c r="L2287" s="21" t="s">
        <v>1418</v>
      </c>
      <c r="M2287" s="21" t="s">
        <v>12</v>
      </c>
      <c r="N2287" s="54">
        <v>2304</v>
      </c>
      <c r="O2287" s="54">
        <v>0</v>
      </c>
      <c r="P2287" s="54">
        <v>0</v>
      </c>
      <c r="Q2287" s="54">
        <v>2304</v>
      </c>
      <c r="R2287" s="54">
        <v>0</v>
      </c>
      <c r="S2287" s="54">
        <v>0</v>
      </c>
      <c r="T2287" s="54">
        <v>0</v>
      </c>
      <c r="U2287" s="54">
        <v>2304</v>
      </c>
      <c r="V2287" s="54">
        <v>2304</v>
      </c>
      <c r="W2287" s="54">
        <v>2304</v>
      </c>
    </row>
    <row r="2288" spans="1:23" outlineLevel="2" x14ac:dyDescent="0.2">
      <c r="A2288" s="21" t="s">
        <v>999</v>
      </c>
      <c r="B2288" s="21" t="s">
        <v>39</v>
      </c>
      <c r="C2288" s="21" t="s">
        <v>40</v>
      </c>
      <c r="D2288" s="21" t="s">
        <v>77</v>
      </c>
      <c r="E2288" s="21" t="s">
        <v>78</v>
      </c>
      <c r="F2288" s="21" t="s">
        <v>1403</v>
      </c>
      <c r="G2288" s="21" t="s">
        <v>1404</v>
      </c>
      <c r="H2288" s="21" t="s">
        <v>1414</v>
      </c>
      <c r="I2288" s="21" t="s">
        <v>1415</v>
      </c>
      <c r="J2288" s="21" t="s">
        <v>1000</v>
      </c>
      <c r="K2288" s="21" t="s">
        <v>1183</v>
      </c>
      <c r="L2288" s="21" t="s">
        <v>1419</v>
      </c>
      <c r="M2288" s="21" t="s">
        <v>12</v>
      </c>
      <c r="N2288" s="54">
        <v>3200</v>
      </c>
      <c r="O2288" s="54">
        <v>-3200</v>
      </c>
      <c r="P2288" s="54">
        <v>0</v>
      </c>
      <c r="Q2288" s="54">
        <v>0</v>
      </c>
      <c r="R2288" s="54">
        <v>0</v>
      </c>
      <c r="S2288" s="54">
        <v>0</v>
      </c>
      <c r="T2288" s="54">
        <v>0</v>
      </c>
      <c r="U2288" s="54">
        <v>0</v>
      </c>
      <c r="V2288" s="54">
        <v>0</v>
      </c>
      <c r="W2288" s="54">
        <v>0</v>
      </c>
    </row>
    <row r="2289" spans="1:23" outlineLevel="2" x14ac:dyDescent="0.2">
      <c r="A2289" s="21" t="s">
        <v>999</v>
      </c>
      <c r="B2289" s="21" t="s">
        <v>39</v>
      </c>
      <c r="C2289" s="21" t="s">
        <v>40</v>
      </c>
      <c r="D2289" s="21" t="s">
        <v>41</v>
      </c>
      <c r="E2289" s="21" t="s">
        <v>42</v>
      </c>
      <c r="F2289" s="21" t="s">
        <v>1403</v>
      </c>
      <c r="G2289" s="21" t="s">
        <v>1404</v>
      </c>
      <c r="H2289" s="21" t="s">
        <v>1420</v>
      </c>
      <c r="I2289" s="21" t="s">
        <v>1421</v>
      </c>
      <c r="J2289" s="21" t="s">
        <v>1000</v>
      </c>
      <c r="K2289" s="21" t="s">
        <v>1058</v>
      </c>
      <c r="L2289" s="21" t="s">
        <v>1407</v>
      </c>
      <c r="M2289" s="21" t="s">
        <v>12</v>
      </c>
      <c r="N2289" s="54">
        <v>200000</v>
      </c>
      <c r="O2289" s="54">
        <v>0</v>
      </c>
      <c r="P2289" s="54">
        <v>0</v>
      </c>
      <c r="Q2289" s="54">
        <v>200000</v>
      </c>
      <c r="R2289" s="54">
        <v>822.4</v>
      </c>
      <c r="S2289" s="54">
        <v>53177.599999999999</v>
      </c>
      <c r="T2289" s="54">
        <v>0</v>
      </c>
      <c r="U2289" s="54">
        <v>146822.39999999999</v>
      </c>
      <c r="V2289" s="54">
        <v>200000</v>
      </c>
      <c r="W2289" s="54">
        <v>146000</v>
      </c>
    </row>
    <row r="2290" spans="1:23" outlineLevel="2" x14ac:dyDescent="0.2">
      <c r="A2290" s="21" t="s">
        <v>999</v>
      </c>
      <c r="B2290" s="21" t="s">
        <v>39</v>
      </c>
      <c r="C2290" s="21" t="s">
        <v>40</v>
      </c>
      <c r="D2290" s="21" t="s">
        <v>41</v>
      </c>
      <c r="E2290" s="21" t="s">
        <v>42</v>
      </c>
      <c r="F2290" s="21" t="s">
        <v>1403</v>
      </c>
      <c r="G2290" s="21" t="s">
        <v>1404</v>
      </c>
      <c r="H2290" s="21" t="s">
        <v>1420</v>
      </c>
      <c r="I2290" s="21" t="s">
        <v>1421</v>
      </c>
      <c r="J2290" s="21" t="s">
        <v>1000</v>
      </c>
      <c r="K2290" s="21" t="s">
        <v>1013</v>
      </c>
      <c r="L2290" s="21" t="s">
        <v>1409</v>
      </c>
      <c r="M2290" s="21" t="s">
        <v>12</v>
      </c>
      <c r="N2290" s="54">
        <v>800000</v>
      </c>
      <c r="O2290" s="54">
        <v>0</v>
      </c>
      <c r="P2290" s="54">
        <v>0</v>
      </c>
      <c r="Q2290" s="54">
        <v>800000</v>
      </c>
      <c r="R2290" s="54">
        <v>66504.45</v>
      </c>
      <c r="S2290" s="54">
        <v>102049.95</v>
      </c>
      <c r="T2290" s="54">
        <v>39613.07</v>
      </c>
      <c r="U2290" s="54">
        <v>697950.05</v>
      </c>
      <c r="V2290" s="54">
        <v>760386.93</v>
      </c>
      <c r="W2290" s="54">
        <v>631445.6</v>
      </c>
    </row>
    <row r="2291" spans="1:23" outlineLevel="2" x14ac:dyDescent="0.2">
      <c r="A2291" s="21" t="s">
        <v>999</v>
      </c>
      <c r="B2291" s="21" t="s">
        <v>39</v>
      </c>
      <c r="C2291" s="21" t="s">
        <v>40</v>
      </c>
      <c r="D2291" s="21" t="s">
        <v>41</v>
      </c>
      <c r="E2291" s="21" t="s">
        <v>42</v>
      </c>
      <c r="F2291" s="21" t="s">
        <v>1422</v>
      </c>
      <c r="G2291" s="21" t="s">
        <v>1423</v>
      </c>
      <c r="H2291" s="21" t="s">
        <v>1424</v>
      </c>
      <c r="I2291" s="21" t="s">
        <v>1425</v>
      </c>
      <c r="J2291" s="21" t="s">
        <v>1000</v>
      </c>
      <c r="K2291" s="21" t="s">
        <v>1090</v>
      </c>
      <c r="L2291" s="21" t="s">
        <v>1426</v>
      </c>
      <c r="M2291" s="21" t="s">
        <v>12</v>
      </c>
      <c r="N2291" s="54">
        <v>0</v>
      </c>
      <c r="O2291" s="54">
        <v>1276.8</v>
      </c>
      <c r="P2291" s="54">
        <v>0</v>
      </c>
      <c r="Q2291" s="54">
        <v>1276.8</v>
      </c>
      <c r="R2291" s="54">
        <v>0</v>
      </c>
      <c r="S2291" s="54">
        <v>1276.8</v>
      </c>
      <c r="T2291" s="54">
        <v>1276.8</v>
      </c>
      <c r="U2291" s="54">
        <v>0</v>
      </c>
      <c r="V2291" s="54">
        <v>0</v>
      </c>
      <c r="W2291" s="54">
        <v>0</v>
      </c>
    </row>
    <row r="2292" spans="1:23" outlineLevel="2" x14ac:dyDescent="0.2">
      <c r="A2292" s="21" t="s">
        <v>999</v>
      </c>
      <c r="B2292" s="21" t="s">
        <v>39</v>
      </c>
      <c r="C2292" s="21" t="s">
        <v>40</v>
      </c>
      <c r="D2292" s="21" t="s">
        <v>41</v>
      </c>
      <c r="E2292" s="21" t="s">
        <v>42</v>
      </c>
      <c r="F2292" s="21" t="s">
        <v>1422</v>
      </c>
      <c r="G2292" s="21" t="s">
        <v>1423</v>
      </c>
      <c r="H2292" s="21" t="s">
        <v>1424</v>
      </c>
      <c r="I2292" s="21" t="s">
        <v>1425</v>
      </c>
      <c r="J2292" s="21" t="s">
        <v>1000</v>
      </c>
      <c r="K2292" s="21" t="s">
        <v>1013</v>
      </c>
      <c r="L2292" s="21" t="s">
        <v>1427</v>
      </c>
      <c r="M2292" s="21" t="s">
        <v>12</v>
      </c>
      <c r="N2292" s="54">
        <v>740000</v>
      </c>
      <c r="O2292" s="54">
        <v>78506.399999999994</v>
      </c>
      <c r="P2292" s="54">
        <v>0</v>
      </c>
      <c r="Q2292" s="54">
        <v>818506.4</v>
      </c>
      <c r="R2292" s="54">
        <v>626.02</v>
      </c>
      <c r="S2292" s="54">
        <v>197420.38</v>
      </c>
      <c r="T2292" s="54">
        <v>114124.02</v>
      </c>
      <c r="U2292" s="54">
        <v>621086.02</v>
      </c>
      <c r="V2292" s="54">
        <v>704382.38</v>
      </c>
      <c r="W2292" s="54">
        <v>620460</v>
      </c>
    </row>
    <row r="2293" spans="1:23" outlineLevel="2" x14ac:dyDescent="0.2">
      <c r="A2293" s="21" t="s">
        <v>999</v>
      </c>
      <c r="B2293" s="21" t="s">
        <v>39</v>
      </c>
      <c r="C2293" s="21" t="s">
        <v>40</v>
      </c>
      <c r="D2293" s="21" t="s">
        <v>41</v>
      </c>
      <c r="E2293" s="21" t="s">
        <v>42</v>
      </c>
      <c r="F2293" s="21" t="s">
        <v>1422</v>
      </c>
      <c r="G2293" s="21" t="s">
        <v>1423</v>
      </c>
      <c r="H2293" s="21" t="s">
        <v>1424</v>
      </c>
      <c r="I2293" s="21" t="s">
        <v>1425</v>
      </c>
      <c r="J2293" s="21" t="s">
        <v>1000</v>
      </c>
      <c r="K2293" s="21" t="s">
        <v>1015</v>
      </c>
      <c r="L2293" s="21" t="s">
        <v>1428</v>
      </c>
      <c r="M2293" s="21" t="s">
        <v>12</v>
      </c>
      <c r="N2293" s="54">
        <v>1100000</v>
      </c>
      <c r="O2293" s="54">
        <v>0</v>
      </c>
      <c r="P2293" s="54">
        <v>0</v>
      </c>
      <c r="Q2293" s="54">
        <v>1100000</v>
      </c>
      <c r="R2293" s="54">
        <v>0</v>
      </c>
      <c r="S2293" s="54">
        <v>0</v>
      </c>
      <c r="T2293" s="54">
        <v>0</v>
      </c>
      <c r="U2293" s="54">
        <v>1100000</v>
      </c>
      <c r="V2293" s="54">
        <v>1100000</v>
      </c>
      <c r="W2293" s="54">
        <v>1100000</v>
      </c>
    </row>
    <row r="2294" spans="1:23" outlineLevel="2" x14ac:dyDescent="0.2">
      <c r="A2294" s="21" t="s">
        <v>999</v>
      </c>
      <c r="B2294" s="21" t="s">
        <v>39</v>
      </c>
      <c r="C2294" s="21" t="s">
        <v>40</v>
      </c>
      <c r="D2294" s="21" t="s">
        <v>41</v>
      </c>
      <c r="E2294" s="21" t="s">
        <v>42</v>
      </c>
      <c r="F2294" s="21" t="s">
        <v>1422</v>
      </c>
      <c r="G2294" s="21" t="s">
        <v>1423</v>
      </c>
      <c r="H2294" s="21" t="s">
        <v>1424</v>
      </c>
      <c r="I2294" s="21" t="s">
        <v>1425</v>
      </c>
      <c r="J2294" s="21" t="s">
        <v>1000</v>
      </c>
      <c r="K2294" s="21" t="s">
        <v>1017</v>
      </c>
      <c r="L2294" s="21" t="s">
        <v>1429</v>
      </c>
      <c r="M2294" s="21" t="s">
        <v>12</v>
      </c>
      <c r="N2294" s="54">
        <v>300000</v>
      </c>
      <c r="O2294" s="54">
        <v>0</v>
      </c>
      <c r="P2294" s="54">
        <v>0</v>
      </c>
      <c r="Q2294" s="54">
        <v>300000</v>
      </c>
      <c r="R2294" s="54">
        <v>288198.40000000002</v>
      </c>
      <c r="S2294" s="54">
        <v>0</v>
      </c>
      <c r="T2294" s="54">
        <v>0</v>
      </c>
      <c r="U2294" s="54">
        <v>300000</v>
      </c>
      <c r="V2294" s="54">
        <v>300000</v>
      </c>
      <c r="W2294" s="54">
        <v>11801.6</v>
      </c>
    </row>
    <row r="2295" spans="1:23" outlineLevel="2" x14ac:dyDescent="0.2">
      <c r="A2295" s="21" t="s">
        <v>999</v>
      </c>
      <c r="B2295" s="21" t="s">
        <v>1</v>
      </c>
      <c r="C2295" s="21" t="s">
        <v>2</v>
      </c>
      <c r="D2295" s="21" t="s">
        <v>463</v>
      </c>
      <c r="E2295" s="21" t="s">
        <v>464</v>
      </c>
      <c r="F2295" s="21" t="s">
        <v>911</v>
      </c>
      <c r="G2295" s="21" t="s">
        <v>912</v>
      </c>
      <c r="H2295" s="21" t="s">
        <v>913</v>
      </c>
      <c r="I2295" s="21" t="s">
        <v>914</v>
      </c>
      <c r="J2295" s="21" t="s">
        <v>1000</v>
      </c>
      <c r="K2295" s="21" t="s">
        <v>1011</v>
      </c>
      <c r="L2295" s="21" t="s">
        <v>1433</v>
      </c>
      <c r="M2295" s="21" t="s">
        <v>15</v>
      </c>
      <c r="N2295" s="54">
        <v>32957.19</v>
      </c>
      <c r="O2295" s="54">
        <v>0</v>
      </c>
      <c r="P2295" s="54">
        <v>0</v>
      </c>
      <c r="Q2295" s="54">
        <v>32957.19</v>
      </c>
      <c r="R2295" s="54">
        <v>0</v>
      </c>
      <c r="S2295" s="54">
        <v>0</v>
      </c>
      <c r="T2295" s="54">
        <v>0</v>
      </c>
      <c r="U2295" s="54">
        <v>32957.19</v>
      </c>
      <c r="V2295" s="54">
        <v>32957.19</v>
      </c>
      <c r="W2295" s="54">
        <v>32957.19</v>
      </c>
    </row>
    <row r="2296" spans="1:23" outlineLevel="2" x14ac:dyDescent="0.2">
      <c r="A2296" s="21" t="s">
        <v>999</v>
      </c>
      <c r="B2296" s="21" t="s">
        <v>1</v>
      </c>
      <c r="C2296" s="21" t="s">
        <v>2</v>
      </c>
      <c r="D2296" s="21" t="s">
        <v>463</v>
      </c>
      <c r="E2296" s="21" t="s">
        <v>464</v>
      </c>
      <c r="F2296" s="21" t="s">
        <v>911</v>
      </c>
      <c r="G2296" s="21" t="s">
        <v>912</v>
      </c>
      <c r="H2296" s="21" t="s">
        <v>913</v>
      </c>
      <c r="I2296" s="21" t="s">
        <v>914</v>
      </c>
      <c r="J2296" s="21" t="s">
        <v>1000</v>
      </c>
      <c r="K2296" s="21" t="s">
        <v>1013</v>
      </c>
      <c r="L2296" s="21" t="s">
        <v>1434</v>
      </c>
      <c r="M2296" s="21" t="s">
        <v>15</v>
      </c>
      <c r="N2296" s="54">
        <v>34669.69</v>
      </c>
      <c r="O2296" s="54">
        <v>0</v>
      </c>
      <c r="P2296" s="54">
        <v>0</v>
      </c>
      <c r="Q2296" s="54">
        <v>34669.69</v>
      </c>
      <c r="R2296" s="54">
        <v>0</v>
      </c>
      <c r="S2296" s="54">
        <v>0</v>
      </c>
      <c r="T2296" s="54">
        <v>0</v>
      </c>
      <c r="U2296" s="54">
        <v>34669.69</v>
      </c>
      <c r="V2296" s="54">
        <v>34669.69</v>
      </c>
      <c r="W2296" s="54">
        <v>34669.69</v>
      </c>
    </row>
    <row r="2297" spans="1:23" outlineLevel="2" x14ac:dyDescent="0.2">
      <c r="A2297" s="21" t="s">
        <v>999</v>
      </c>
      <c r="B2297" s="21" t="s">
        <v>1</v>
      </c>
      <c r="C2297" s="21" t="s">
        <v>2</v>
      </c>
      <c r="D2297" s="21" t="s">
        <v>463</v>
      </c>
      <c r="E2297" s="21" t="s">
        <v>464</v>
      </c>
      <c r="F2297" s="21" t="s">
        <v>911</v>
      </c>
      <c r="G2297" s="21" t="s">
        <v>912</v>
      </c>
      <c r="H2297" s="21" t="s">
        <v>913</v>
      </c>
      <c r="I2297" s="21" t="s">
        <v>914</v>
      </c>
      <c r="J2297" s="21" t="s">
        <v>1000</v>
      </c>
      <c r="K2297" s="21" t="s">
        <v>1017</v>
      </c>
      <c r="L2297" s="21" t="s">
        <v>1435</v>
      </c>
      <c r="M2297" s="21" t="s">
        <v>15</v>
      </c>
      <c r="N2297" s="54">
        <v>629836.48</v>
      </c>
      <c r="O2297" s="54">
        <v>0</v>
      </c>
      <c r="P2297" s="54">
        <v>0</v>
      </c>
      <c r="Q2297" s="54">
        <v>629836.48</v>
      </c>
      <c r="R2297" s="54">
        <v>0</v>
      </c>
      <c r="S2297" s="54">
        <v>594006.52</v>
      </c>
      <c r="T2297" s="54">
        <v>569218.59</v>
      </c>
      <c r="U2297" s="54">
        <v>35829.96</v>
      </c>
      <c r="V2297" s="54">
        <v>60617.89</v>
      </c>
      <c r="W2297" s="54">
        <v>35829.96</v>
      </c>
    </row>
    <row r="2298" spans="1:23" outlineLevel="2" x14ac:dyDescent="0.2">
      <c r="A2298" s="21" t="s">
        <v>999</v>
      </c>
      <c r="B2298" s="21" t="s">
        <v>1</v>
      </c>
      <c r="C2298" s="21" t="s">
        <v>2</v>
      </c>
      <c r="D2298" s="21" t="s">
        <v>463</v>
      </c>
      <c r="E2298" s="21" t="s">
        <v>464</v>
      </c>
      <c r="F2298" s="21" t="s">
        <v>911</v>
      </c>
      <c r="G2298" s="21" t="s">
        <v>912</v>
      </c>
      <c r="H2298" s="21" t="s">
        <v>913</v>
      </c>
      <c r="I2298" s="21" t="s">
        <v>914</v>
      </c>
      <c r="J2298" s="21" t="s">
        <v>1000</v>
      </c>
      <c r="K2298" s="21" t="s">
        <v>1436</v>
      </c>
      <c r="L2298" s="21" t="s">
        <v>1437</v>
      </c>
      <c r="M2298" s="21" t="s">
        <v>15</v>
      </c>
      <c r="N2298" s="54">
        <v>1000000</v>
      </c>
      <c r="O2298" s="54">
        <v>250621.74</v>
      </c>
      <c r="P2298" s="54">
        <v>0</v>
      </c>
      <c r="Q2298" s="54">
        <v>1250621.74</v>
      </c>
      <c r="R2298" s="54">
        <v>0</v>
      </c>
      <c r="S2298" s="54">
        <v>0</v>
      </c>
      <c r="T2298" s="54">
        <v>0</v>
      </c>
      <c r="U2298" s="54">
        <v>1250621.74</v>
      </c>
      <c r="V2298" s="54">
        <v>1250621.74</v>
      </c>
      <c r="W2298" s="54">
        <v>1250621.74</v>
      </c>
    </row>
    <row r="2299" spans="1:23" outlineLevel="2" x14ac:dyDescent="0.2">
      <c r="A2299" s="21" t="s">
        <v>999</v>
      </c>
      <c r="B2299" s="21" t="s">
        <v>1</v>
      </c>
      <c r="C2299" s="21" t="s">
        <v>2</v>
      </c>
      <c r="D2299" s="21" t="s">
        <v>474</v>
      </c>
      <c r="E2299" s="21" t="s">
        <v>475</v>
      </c>
      <c r="F2299" s="21" t="s">
        <v>911</v>
      </c>
      <c r="G2299" s="21" t="s">
        <v>912</v>
      </c>
      <c r="H2299" s="21" t="s">
        <v>1438</v>
      </c>
      <c r="I2299" s="21" t="s">
        <v>1439</v>
      </c>
      <c r="J2299" s="21" t="s">
        <v>1000</v>
      </c>
      <c r="K2299" s="21" t="s">
        <v>1029</v>
      </c>
      <c r="L2299" s="21" t="s">
        <v>1440</v>
      </c>
      <c r="M2299" s="21" t="s">
        <v>15</v>
      </c>
      <c r="N2299" s="54">
        <v>500000</v>
      </c>
      <c r="O2299" s="54">
        <v>0</v>
      </c>
      <c r="P2299" s="54">
        <v>0</v>
      </c>
      <c r="Q2299" s="54">
        <v>500000</v>
      </c>
      <c r="R2299" s="54">
        <v>0</v>
      </c>
      <c r="S2299" s="54">
        <v>0</v>
      </c>
      <c r="T2299" s="54">
        <v>0</v>
      </c>
      <c r="U2299" s="54">
        <v>500000</v>
      </c>
      <c r="V2299" s="54">
        <v>500000</v>
      </c>
      <c r="W2299" s="54">
        <v>500000</v>
      </c>
    </row>
    <row r="2300" spans="1:23" outlineLevel="2" x14ac:dyDescent="0.2">
      <c r="A2300" s="21" t="s">
        <v>999</v>
      </c>
      <c r="B2300" s="21" t="s">
        <v>1</v>
      </c>
      <c r="C2300" s="21" t="s">
        <v>2</v>
      </c>
      <c r="D2300" s="21" t="s">
        <v>3</v>
      </c>
      <c r="E2300" s="21" t="s">
        <v>4</v>
      </c>
      <c r="F2300" s="21" t="s">
        <v>911</v>
      </c>
      <c r="G2300" s="21" t="s">
        <v>912</v>
      </c>
      <c r="H2300" s="21" t="s">
        <v>1441</v>
      </c>
      <c r="I2300" s="21" t="s">
        <v>1442</v>
      </c>
      <c r="J2300" s="21" t="s">
        <v>1000</v>
      </c>
      <c r="K2300" s="21" t="s">
        <v>1037</v>
      </c>
      <c r="L2300" s="21" t="s">
        <v>1443</v>
      </c>
      <c r="M2300" s="21" t="s">
        <v>15</v>
      </c>
      <c r="N2300" s="54">
        <v>13000</v>
      </c>
      <c r="O2300" s="54">
        <v>-1000</v>
      </c>
      <c r="P2300" s="54">
        <v>0</v>
      </c>
      <c r="Q2300" s="54">
        <v>12000</v>
      </c>
      <c r="R2300" s="54">
        <v>0</v>
      </c>
      <c r="S2300" s="54">
        <v>0</v>
      </c>
      <c r="T2300" s="54">
        <v>0</v>
      </c>
      <c r="U2300" s="54">
        <v>12000</v>
      </c>
      <c r="V2300" s="54">
        <v>12000</v>
      </c>
      <c r="W2300" s="54">
        <v>12000</v>
      </c>
    </row>
    <row r="2301" spans="1:23" outlineLevel="2" x14ac:dyDescent="0.2">
      <c r="A2301" s="21" t="s">
        <v>999</v>
      </c>
      <c r="B2301" s="21" t="s">
        <v>1</v>
      </c>
      <c r="C2301" s="21" t="s">
        <v>2</v>
      </c>
      <c r="D2301" s="21" t="s">
        <v>3</v>
      </c>
      <c r="E2301" s="21" t="s">
        <v>4</v>
      </c>
      <c r="F2301" s="21" t="s">
        <v>911</v>
      </c>
      <c r="G2301" s="21" t="s">
        <v>912</v>
      </c>
      <c r="H2301" s="21" t="s">
        <v>1441</v>
      </c>
      <c r="I2301" s="21" t="s">
        <v>1442</v>
      </c>
      <c r="J2301" s="21" t="s">
        <v>1000</v>
      </c>
      <c r="K2301" s="21" t="s">
        <v>1058</v>
      </c>
      <c r="L2301" s="21" t="s">
        <v>1444</v>
      </c>
      <c r="M2301" s="21" t="s">
        <v>15</v>
      </c>
      <c r="N2301" s="54">
        <v>8000</v>
      </c>
      <c r="O2301" s="54">
        <v>-1000</v>
      </c>
      <c r="P2301" s="54">
        <v>0</v>
      </c>
      <c r="Q2301" s="54">
        <v>7000</v>
      </c>
      <c r="R2301" s="54">
        <v>0</v>
      </c>
      <c r="S2301" s="54">
        <v>0</v>
      </c>
      <c r="T2301" s="54">
        <v>0</v>
      </c>
      <c r="U2301" s="54">
        <v>7000</v>
      </c>
      <c r="V2301" s="54">
        <v>7000</v>
      </c>
      <c r="W2301" s="54">
        <v>7000</v>
      </c>
    </row>
    <row r="2302" spans="1:23" outlineLevel="2" x14ac:dyDescent="0.2">
      <c r="A2302" s="21" t="s">
        <v>999</v>
      </c>
      <c r="B2302" s="21" t="s">
        <v>1</v>
      </c>
      <c r="C2302" s="21" t="s">
        <v>2</v>
      </c>
      <c r="D2302" s="21" t="s">
        <v>3</v>
      </c>
      <c r="E2302" s="21" t="s">
        <v>4</v>
      </c>
      <c r="F2302" s="21" t="s">
        <v>911</v>
      </c>
      <c r="G2302" s="21" t="s">
        <v>912</v>
      </c>
      <c r="H2302" s="21" t="s">
        <v>1441</v>
      </c>
      <c r="I2302" s="21" t="s">
        <v>1442</v>
      </c>
      <c r="J2302" s="21" t="s">
        <v>1000</v>
      </c>
      <c r="K2302" s="21" t="s">
        <v>1445</v>
      </c>
      <c r="L2302" s="21" t="s">
        <v>1446</v>
      </c>
      <c r="M2302" s="21" t="s">
        <v>15</v>
      </c>
      <c r="N2302" s="54">
        <v>48000</v>
      </c>
      <c r="O2302" s="54">
        <v>0</v>
      </c>
      <c r="P2302" s="54">
        <v>0</v>
      </c>
      <c r="Q2302" s="54">
        <v>48000</v>
      </c>
      <c r="R2302" s="54">
        <v>0</v>
      </c>
      <c r="S2302" s="54">
        <v>0</v>
      </c>
      <c r="T2302" s="54">
        <v>0</v>
      </c>
      <c r="U2302" s="54">
        <v>48000</v>
      </c>
      <c r="V2302" s="54">
        <v>48000</v>
      </c>
      <c r="W2302" s="54">
        <v>48000</v>
      </c>
    </row>
    <row r="2303" spans="1:23" outlineLevel="2" x14ac:dyDescent="0.2">
      <c r="A2303" s="21" t="s">
        <v>999</v>
      </c>
      <c r="B2303" s="21" t="s">
        <v>1</v>
      </c>
      <c r="C2303" s="21" t="s">
        <v>2</v>
      </c>
      <c r="D2303" s="21" t="s">
        <v>3</v>
      </c>
      <c r="E2303" s="21" t="s">
        <v>4</v>
      </c>
      <c r="F2303" s="21" t="s">
        <v>911</v>
      </c>
      <c r="G2303" s="21" t="s">
        <v>912</v>
      </c>
      <c r="H2303" s="21" t="s">
        <v>1441</v>
      </c>
      <c r="I2303" s="21" t="s">
        <v>1442</v>
      </c>
      <c r="J2303" s="21" t="s">
        <v>1000</v>
      </c>
      <c r="K2303" s="21" t="s">
        <v>1447</v>
      </c>
      <c r="L2303" s="21" t="s">
        <v>1448</v>
      </c>
      <c r="M2303" s="21" t="s">
        <v>15</v>
      </c>
      <c r="N2303" s="54">
        <v>0</v>
      </c>
      <c r="O2303" s="54">
        <v>62655.22</v>
      </c>
      <c r="P2303" s="54">
        <v>0</v>
      </c>
      <c r="Q2303" s="54">
        <v>62655.22</v>
      </c>
      <c r="R2303" s="54">
        <v>0</v>
      </c>
      <c r="S2303" s="54">
        <v>62655.22</v>
      </c>
      <c r="T2303" s="54">
        <v>21718.01</v>
      </c>
      <c r="U2303" s="54">
        <v>0</v>
      </c>
      <c r="V2303" s="54">
        <v>40937.21</v>
      </c>
      <c r="W2303" s="54">
        <v>0</v>
      </c>
    </row>
    <row r="2304" spans="1:23" outlineLevel="2" x14ac:dyDescent="0.2">
      <c r="A2304" s="21" t="s">
        <v>999</v>
      </c>
      <c r="B2304" s="21" t="s">
        <v>1</v>
      </c>
      <c r="C2304" s="21" t="s">
        <v>2</v>
      </c>
      <c r="D2304" s="21" t="s">
        <v>3</v>
      </c>
      <c r="E2304" s="21" t="s">
        <v>4</v>
      </c>
      <c r="F2304" s="21" t="s">
        <v>911</v>
      </c>
      <c r="G2304" s="21" t="s">
        <v>912</v>
      </c>
      <c r="H2304" s="21" t="s">
        <v>1441</v>
      </c>
      <c r="I2304" s="21" t="s">
        <v>1442</v>
      </c>
      <c r="J2304" s="21" t="s">
        <v>1000</v>
      </c>
      <c r="K2304" s="21" t="s">
        <v>1009</v>
      </c>
      <c r="L2304" s="21" t="s">
        <v>1449</v>
      </c>
      <c r="M2304" s="21" t="s">
        <v>15</v>
      </c>
      <c r="N2304" s="54">
        <v>200</v>
      </c>
      <c r="O2304" s="54">
        <v>0</v>
      </c>
      <c r="P2304" s="54">
        <v>0</v>
      </c>
      <c r="Q2304" s="54">
        <v>200</v>
      </c>
      <c r="R2304" s="54">
        <v>0</v>
      </c>
      <c r="S2304" s="54">
        <v>0</v>
      </c>
      <c r="T2304" s="54">
        <v>0</v>
      </c>
      <c r="U2304" s="54">
        <v>200</v>
      </c>
      <c r="V2304" s="54">
        <v>200</v>
      </c>
      <c r="W2304" s="54">
        <v>200</v>
      </c>
    </row>
    <row r="2305" spans="1:23" outlineLevel="2" x14ac:dyDescent="0.2">
      <c r="A2305" s="21" t="s">
        <v>999</v>
      </c>
      <c r="B2305" s="21" t="s">
        <v>1</v>
      </c>
      <c r="C2305" s="21" t="s">
        <v>2</v>
      </c>
      <c r="D2305" s="21" t="s">
        <v>3</v>
      </c>
      <c r="E2305" s="21" t="s">
        <v>4</v>
      </c>
      <c r="F2305" s="21" t="s">
        <v>911</v>
      </c>
      <c r="G2305" s="21" t="s">
        <v>912</v>
      </c>
      <c r="H2305" s="21" t="s">
        <v>1441</v>
      </c>
      <c r="I2305" s="21" t="s">
        <v>1442</v>
      </c>
      <c r="J2305" s="21" t="s">
        <v>1000</v>
      </c>
      <c r="K2305" s="21" t="s">
        <v>1013</v>
      </c>
      <c r="L2305" s="21" t="s">
        <v>1434</v>
      </c>
      <c r="M2305" s="21" t="s">
        <v>15</v>
      </c>
      <c r="N2305" s="54">
        <v>0</v>
      </c>
      <c r="O2305" s="54">
        <v>17598.03</v>
      </c>
      <c r="P2305" s="54">
        <v>0</v>
      </c>
      <c r="Q2305" s="54">
        <v>17598.03</v>
      </c>
      <c r="R2305" s="54">
        <v>0</v>
      </c>
      <c r="S2305" s="54">
        <v>0</v>
      </c>
      <c r="T2305" s="54">
        <v>0</v>
      </c>
      <c r="U2305" s="54">
        <v>17598.03</v>
      </c>
      <c r="V2305" s="54">
        <v>17598.03</v>
      </c>
      <c r="W2305" s="54">
        <v>17598.03</v>
      </c>
    </row>
    <row r="2306" spans="1:23" outlineLevel="2" x14ac:dyDescent="0.2">
      <c r="A2306" s="21" t="s">
        <v>999</v>
      </c>
      <c r="B2306" s="21" t="s">
        <v>1</v>
      </c>
      <c r="C2306" s="21" t="s">
        <v>2</v>
      </c>
      <c r="D2306" s="21" t="s">
        <v>3</v>
      </c>
      <c r="E2306" s="21" t="s">
        <v>4</v>
      </c>
      <c r="F2306" s="21" t="s">
        <v>911</v>
      </c>
      <c r="G2306" s="21" t="s">
        <v>912</v>
      </c>
      <c r="H2306" s="21" t="s">
        <v>1441</v>
      </c>
      <c r="I2306" s="21" t="s">
        <v>1442</v>
      </c>
      <c r="J2306" s="21" t="s">
        <v>1000</v>
      </c>
      <c r="K2306" s="21" t="s">
        <v>1179</v>
      </c>
      <c r="L2306" s="21" t="s">
        <v>1450</v>
      </c>
      <c r="M2306" s="21" t="s">
        <v>15</v>
      </c>
      <c r="N2306" s="54">
        <v>10000</v>
      </c>
      <c r="O2306" s="54">
        <v>30000</v>
      </c>
      <c r="P2306" s="54">
        <v>0</v>
      </c>
      <c r="Q2306" s="54">
        <v>40000</v>
      </c>
      <c r="R2306" s="54">
        <v>0</v>
      </c>
      <c r="S2306" s="54">
        <v>0</v>
      </c>
      <c r="T2306" s="54">
        <v>0</v>
      </c>
      <c r="U2306" s="54">
        <v>40000</v>
      </c>
      <c r="V2306" s="54">
        <v>40000</v>
      </c>
      <c r="W2306" s="54">
        <v>40000</v>
      </c>
    </row>
    <row r="2307" spans="1:23" outlineLevel="2" x14ac:dyDescent="0.2">
      <c r="A2307" s="21" t="s">
        <v>999</v>
      </c>
      <c r="B2307" s="21" t="s">
        <v>1</v>
      </c>
      <c r="C2307" s="21" t="s">
        <v>2</v>
      </c>
      <c r="D2307" s="21" t="s">
        <v>3</v>
      </c>
      <c r="E2307" s="21" t="s">
        <v>4</v>
      </c>
      <c r="F2307" s="21" t="s">
        <v>911</v>
      </c>
      <c r="G2307" s="21" t="s">
        <v>912</v>
      </c>
      <c r="H2307" s="21" t="s">
        <v>1441</v>
      </c>
      <c r="I2307" s="21" t="s">
        <v>1442</v>
      </c>
      <c r="J2307" s="21" t="s">
        <v>1000</v>
      </c>
      <c r="K2307" s="21" t="s">
        <v>1029</v>
      </c>
      <c r="L2307" s="21" t="s">
        <v>1440</v>
      </c>
      <c r="M2307" s="21" t="s">
        <v>15</v>
      </c>
      <c r="N2307" s="54">
        <v>202800</v>
      </c>
      <c r="O2307" s="54">
        <v>-196472</v>
      </c>
      <c r="P2307" s="54">
        <v>0</v>
      </c>
      <c r="Q2307" s="54">
        <v>6328</v>
      </c>
      <c r="R2307" s="54">
        <v>0</v>
      </c>
      <c r="S2307" s="54">
        <v>0</v>
      </c>
      <c r="T2307" s="54">
        <v>0</v>
      </c>
      <c r="U2307" s="54">
        <v>6328</v>
      </c>
      <c r="V2307" s="54">
        <v>6328</v>
      </c>
      <c r="W2307" s="54">
        <v>6328</v>
      </c>
    </row>
    <row r="2308" spans="1:23" outlineLevel="2" x14ac:dyDescent="0.2">
      <c r="A2308" s="21" t="s">
        <v>999</v>
      </c>
      <c r="B2308" s="21" t="s">
        <v>1</v>
      </c>
      <c r="C2308" s="21" t="s">
        <v>2</v>
      </c>
      <c r="D2308" s="21" t="s">
        <v>3</v>
      </c>
      <c r="E2308" s="21" t="s">
        <v>4</v>
      </c>
      <c r="F2308" s="21" t="s">
        <v>911</v>
      </c>
      <c r="G2308" s="21" t="s">
        <v>912</v>
      </c>
      <c r="H2308" s="21" t="s">
        <v>1441</v>
      </c>
      <c r="I2308" s="21" t="s">
        <v>1442</v>
      </c>
      <c r="J2308" s="21" t="s">
        <v>1000</v>
      </c>
      <c r="K2308" s="21" t="s">
        <v>1031</v>
      </c>
      <c r="L2308" s="21" t="s">
        <v>1452</v>
      </c>
      <c r="M2308" s="21" t="s">
        <v>15</v>
      </c>
      <c r="N2308" s="54">
        <v>0</v>
      </c>
      <c r="O2308" s="54">
        <v>7033.6</v>
      </c>
      <c r="P2308" s="54">
        <v>0</v>
      </c>
      <c r="Q2308" s="54">
        <v>7033.6</v>
      </c>
      <c r="R2308" s="54">
        <v>0</v>
      </c>
      <c r="S2308" s="54">
        <v>0</v>
      </c>
      <c r="T2308" s="54">
        <v>0</v>
      </c>
      <c r="U2308" s="54">
        <v>7033.6</v>
      </c>
      <c r="V2308" s="54">
        <v>7033.6</v>
      </c>
      <c r="W2308" s="54">
        <v>7033.6</v>
      </c>
    </row>
    <row r="2309" spans="1:23" outlineLevel="2" x14ac:dyDescent="0.2">
      <c r="A2309" s="21" t="s">
        <v>999</v>
      </c>
      <c r="B2309" s="21" t="s">
        <v>1</v>
      </c>
      <c r="C2309" s="21" t="s">
        <v>2</v>
      </c>
      <c r="D2309" s="21" t="s">
        <v>3</v>
      </c>
      <c r="E2309" s="21" t="s">
        <v>4</v>
      </c>
      <c r="F2309" s="21" t="s">
        <v>911</v>
      </c>
      <c r="G2309" s="21" t="s">
        <v>912</v>
      </c>
      <c r="H2309" s="21" t="s">
        <v>1441</v>
      </c>
      <c r="I2309" s="21" t="s">
        <v>1442</v>
      </c>
      <c r="J2309" s="21" t="s">
        <v>1000</v>
      </c>
      <c r="K2309" s="21" t="s">
        <v>1116</v>
      </c>
      <c r="L2309" s="21" t="s">
        <v>1453</v>
      </c>
      <c r="M2309" s="21" t="s">
        <v>15</v>
      </c>
      <c r="N2309" s="54">
        <v>28125</v>
      </c>
      <c r="O2309" s="54">
        <v>0</v>
      </c>
      <c r="P2309" s="54">
        <v>0</v>
      </c>
      <c r="Q2309" s="54">
        <v>28125</v>
      </c>
      <c r="R2309" s="54">
        <v>0</v>
      </c>
      <c r="S2309" s="54">
        <v>0</v>
      </c>
      <c r="T2309" s="54">
        <v>0</v>
      </c>
      <c r="U2309" s="54">
        <v>28125</v>
      </c>
      <c r="V2309" s="54">
        <v>28125</v>
      </c>
      <c r="W2309" s="54">
        <v>28125</v>
      </c>
    </row>
    <row r="2310" spans="1:23" outlineLevel="2" x14ac:dyDescent="0.2">
      <c r="A2310" s="21" t="s">
        <v>999</v>
      </c>
      <c r="B2310" s="21" t="s">
        <v>1</v>
      </c>
      <c r="C2310" s="21" t="s">
        <v>91</v>
      </c>
      <c r="D2310" s="21" t="s">
        <v>92</v>
      </c>
      <c r="E2310" s="21" t="s">
        <v>93</v>
      </c>
      <c r="F2310" s="21" t="s">
        <v>911</v>
      </c>
      <c r="G2310" s="21" t="s">
        <v>912</v>
      </c>
      <c r="H2310" s="21" t="s">
        <v>920</v>
      </c>
      <c r="I2310" s="21" t="s">
        <v>921</v>
      </c>
      <c r="J2310" s="21" t="s">
        <v>1000</v>
      </c>
      <c r="K2310" s="21" t="s">
        <v>1104</v>
      </c>
      <c r="L2310" s="21" t="s">
        <v>1454</v>
      </c>
      <c r="M2310" s="21" t="s">
        <v>15</v>
      </c>
      <c r="N2310" s="54">
        <v>24000</v>
      </c>
      <c r="O2310" s="54">
        <v>-16000</v>
      </c>
      <c r="P2310" s="54">
        <v>0</v>
      </c>
      <c r="Q2310" s="54">
        <v>8000</v>
      </c>
      <c r="R2310" s="54">
        <v>0</v>
      </c>
      <c r="S2310" s="54">
        <v>0</v>
      </c>
      <c r="T2310" s="54">
        <v>0</v>
      </c>
      <c r="U2310" s="54">
        <v>8000</v>
      </c>
      <c r="V2310" s="54">
        <v>8000</v>
      </c>
      <c r="W2310" s="54">
        <v>8000</v>
      </c>
    </row>
    <row r="2311" spans="1:23" outlineLevel="2" x14ac:dyDescent="0.2">
      <c r="A2311" s="21" t="s">
        <v>999</v>
      </c>
      <c r="B2311" s="21" t="s">
        <v>1</v>
      </c>
      <c r="C2311" s="21" t="s">
        <v>91</v>
      </c>
      <c r="D2311" s="21" t="s">
        <v>92</v>
      </c>
      <c r="E2311" s="21" t="s">
        <v>93</v>
      </c>
      <c r="F2311" s="21" t="s">
        <v>911</v>
      </c>
      <c r="G2311" s="21" t="s">
        <v>912</v>
      </c>
      <c r="H2311" s="21" t="s">
        <v>920</v>
      </c>
      <c r="I2311" s="21" t="s">
        <v>921</v>
      </c>
      <c r="J2311" s="21" t="s">
        <v>1000</v>
      </c>
      <c r="K2311" s="21" t="s">
        <v>1001</v>
      </c>
      <c r="L2311" s="21" t="s">
        <v>1455</v>
      </c>
      <c r="M2311" s="21" t="s">
        <v>15</v>
      </c>
      <c r="N2311" s="54">
        <v>500000</v>
      </c>
      <c r="O2311" s="54">
        <v>-422000</v>
      </c>
      <c r="P2311" s="54">
        <v>0</v>
      </c>
      <c r="Q2311" s="54">
        <v>78000</v>
      </c>
      <c r="R2311" s="54">
        <v>0</v>
      </c>
      <c r="S2311" s="54">
        <v>0</v>
      </c>
      <c r="T2311" s="54">
        <v>0</v>
      </c>
      <c r="U2311" s="54">
        <v>78000</v>
      </c>
      <c r="V2311" s="54">
        <v>78000</v>
      </c>
      <c r="W2311" s="54">
        <v>78000</v>
      </c>
    </row>
    <row r="2312" spans="1:23" outlineLevel="2" x14ac:dyDescent="0.2">
      <c r="A2312" s="21" t="s">
        <v>999</v>
      </c>
      <c r="B2312" s="21" t="s">
        <v>1</v>
      </c>
      <c r="C2312" s="21" t="s">
        <v>91</v>
      </c>
      <c r="D2312" s="21" t="s">
        <v>92</v>
      </c>
      <c r="E2312" s="21" t="s">
        <v>93</v>
      </c>
      <c r="F2312" s="21" t="s">
        <v>911</v>
      </c>
      <c r="G2312" s="21" t="s">
        <v>912</v>
      </c>
      <c r="H2312" s="21" t="s">
        <v>920</v>
      </c>
      <c r="I2312" s="21" t="s">
        <v>921</v>
      </c>
      <c r="J2312" s="21" t="s">
        <v>1000</v>
      </c>
      <c r="K2312" s="21" t="s">
        <v>1037</v>
      </c>
      <c r="L2312" s="21" t="s">
        <v>1456</v>
      </c>
      <c r="M2312" s="21" t="s">
        <v>15</v>
      </c>
      <c r="N2312" s="54">
        <v>17000</v>
      </c>
      <c r="O2312" s="54">
        <v>-2000</v>
      </c>
      <c r="P2312" s="54">
        <v>0</v>
      </c>
      <c r="Q2312" s="54">
        <v>15000</v>
      </c>
      <c r="R2312" s="54">
        <v>0</v>
      </c>
      <c r="S2312" s="54">
        <v>6899.2</v>
      </c>
      <c r="T2312" s="54">
        <v>6899.2</v>
      </c>
      <c r="U2312" s="54">
        <v>8100.8</v>
      </c>
      <c r="V2312" s="54">
        <v>8100.8</v>
      </c>
      <c r="W2312" s="54">
        <v>8100.8</v>
      </c>
    </row>
    <row r="2313" spans="1:23" outlineLevel="2" x14ac:dyDescent="0.2">
      <c r="A2313" s="21" t="s">
        <v>999</v>
      </c>
      <c r="B2313" s="21" t="s">
        <v>1</v>
      </c>
      <c r="C2313" s="21" t="s">
        <v>91</v>
      </c>
      <c r="D2313" s="21" t="s">
        <v>92</v>
      </c>
      <c r="E2313" s="21" t="s">
        <v>93</v>
      </c>
      <c r="F2313" s="21" t="s">
        <v>911</v>
      </c>
      <c r="G2313" s="21" t="s">
        <v>912</v>
      </c>
      <c r="H2313" s="21" t="s">
        <v>920</v>
      </c>
      <c r="I2313" s="21" t="s">
        <v>921</v>
      </c>
      <c r="J2313" s="21" t="s">
        <v>1000</v>
      </c>
      <c r="K2313" s="21" t="s">
        <v>1058</v>
      </c>
      <c r="L2313" s="21" t="s">
        <v>1457</v>
      </c>
      <c r="M2313" s="21" t="s">
        <v>15</v>
      </c>
      <c r="N2313" s="54">
        <v>399519.96</v>
      </c>
      <c r="O2313" s="54">
        <v>-351359.96</v>
      </c>
      <c r="P2313" s="54">
        <v>0</v>
      </c>
      <c r="Q2313" s="54">
        <v>48160</v>
      </c>
      <c r="R2313" s="54">
        <v>0</v>
      </c>
      <c r="S2313" s="54">
        <v>48160</v>
      </c>
      <c r="T2313" s="54">
        <v>48160</v>
      </c>
      <c r="U2313" s="54">
        <v>0</v>
      </c>
      <c r="V2313" s="54">
        <v>0</v>
      </c>
      <c r="W2313" s="54">
        <v>0</v>
      </c>
    </row>
    <row r="2314" spans="1:23" outlineLevel="2" x14ac:dyDescent="0.2">
      <c r="A2314" s="21" t="s">
        <v>999</v>
      </c>
      <c r="B2314" s="21" t="s">
        <v>1</v>
      </c>
      <c r="C2314" s="21" t="s">
        <v>91</v>
      </c>
      <c r="D2314" s="21" t="s">
        <v>92</v>
      </c>
      <c r="E2314" s="21" t="s">
        <v>93</v>
      </c>
      <c r="F2314" s="21" t="s">
        <v>911</v>
      </c>
      <c r="G2314" s="21" t="s">
        <v>912</v>
      </c>
      <c r="H2314" s="21" t="s">
        <v>920</v>
      </c>
      <c r="I2314" s="21" t="s">
        <v>921</v>
      </c>
      <c r="J2314" s="21" t="s">
        <v>1000</v>
      </c>
      <c r="K2314" s="21" t="s">
        <v>1108</v>
      </c>
      <c r="L2314" s="21" t="s">
        <v>1458</v>
      </c>
      <c r="M2314" s="21" t="s">
        <v>15</v>
      </c>
      <c r="N2314" s="54">
        <v>0</v>
      </c>
      <c r="O2314" s="54">
        <v>17984.82</v>
      </c>
      <c r="P2314" s="54">
        <v>0</v>
      </c>
      <c r="Q2314" s="54">
        <v>17984.82</v>
      </c>
      <c r="R2314" s="54">
        <v>0</v>
      </c>
      <c r="S2314" s="54">
        <v>0</v>
      </c>
      <c r="T2314" s="54">
        <v>0</v>
      </c>
      <c r="U2314" s="54">
        <v>17984.82</v>
      </c>
      <c r="V2314" s="54">
        <v>17984.82</v>
      </c>
      <c r="W2314" s="54">
        <v>17984.82</v>
      </c>
    </row>
    <row r="2315" spans="1:23" outlineLevel="2" x14ac:dyDescent="0.2">
      <c r="A2315" s="21" t="s">
        <v>999</v>
      </c>
      <c r="B2315" s="21" t="s">
        <v>1</v>
      </c>
      <c r="C2315" s="21" t="s">
        <v>91</v>
      </c>
      <c r="D2315" s="21" t="s">
        <v>92</v>
      </c>
      <c r="E2315" s="21" t="s">
        <v>93</v>
      </c>
      <c r="F2315" s="21" t="s">
        <v>911</v>
      </c>
      <c r="G2315" s="21" t="s">
        <v>912</v>
      </c>
      <c r="H2315" s="21" t="s">
        <v>920</v>
      </c>
      <c r="I2315" s="21" t="s">
        <v>921</v>
      </c>
      <c r="J2315" s="21" t="s">
        <v>1000</v>
      </c>
      <c r="K2315" s="21" t="s">
        <v>1447</v>
      </c>
      <c r="L2315" s="21" t="s">
        <v>1459</v>
      </c>
      <c r="M2315" s="21" t="s">
        <v>15</v>
      </c>
      <c r="N2315" s="54">
        <v>173752.32000000001</v>
      </c>
      <c r="O2315" s="54">
        <v>-173752.32000000001</v>
      </c>
      <c r="P2315" s="54">
        <v>0</v>
      </c>
      <c r="Q2315" s="54">
        <v>0</v>
      </c>
      <c r="R2315" s="54">
        <v>0</v>
      </c>
      <c r="S2315" s="54">
        <v>0</v>
      </c>
      <c r="T2315" s="54">
        <v>0</v>
      </c>
      <c r="U2315" s="54">
        <v>0</v>
      </c>
      <c r="V2315" s="54">
        <v>0</v>
      </c>
      <c r="W2315" s="54">
        <v>0</v>
      </c>
    </row>
    <row r="2316" spans="1:23" outlineLevel="2" x14ac:dyDescent="0.2">
      <c r="A2316" s="21" t="s">
        <v>999</v>
      </c>
      <c r="B2316" s="21" t="s">
        <v>1</v>
      </c>
      <c r="C2316" s="21" t="s">
        <v>91</v>
      </c>
      <c r="D2316" s="21" t="s">
        <v>92</v>
      </c>
      <c r="E2316" s="21" t="s">
        <v>93</v>
      </c>
      <c r="F2316" s="21" t="s">
        <v>911</v>
      </c>
      <c r="G2316" s="21" t="s">
        <v>912</v>
      </c>
      <c r="H2316" s="21" t="s">
        <v>920</v>
      </c>
      <c r="I2316" s="21" t="s">
        <v>921</v>
      </c>
      <c r="J2316" s="21" t="s">
        <v>1000</v>
      </c>
      <c r="K2316" s="21" t="s">
        <v>1090</v>
      </c>
      <c r="L2316" s="21" t="s">
        <v>1460</v>
      </c>
      <c r="M2316" s="21" t="s">
        <v>15</v>
      </c>
      <c r="N2316" s="54">
        <v>40000</v>
      </c>
      <c r="O2316" s="54">
        <v>-40000</v>
      </c>
      <c r="P2316" s="54">
        <v>0</v>
      </c>
      <c r="Q2316" s="54">
        <v>0</v>
      </c>
      <c r="R2316" s="54">
        <v>0</v>
      </c>
      <c r="S2316" s="54">
        <v>0</v>
      </c>
      <c r="T2316" s="54">
        <v>0</v>
      </c>
      <c r="U2316" s="54">
        <v>0</v>
      </c>
      <c r="V2316" s="54">
        <v>0</v>
      </c>
      <c r="W2316" s="54">
        <v>0</v>
      </c>
    </row>
    <row r="2317" spans="1:23" outlineLevel="2" x14ac:dyDescent="0.2">
      <c r="A2317" s="21" t="s">
        <v>999</v>
      </c>
      <c r="B2317" s="21" t="s">
        <v>1</v>
      </c>
      <c r="C2317" s="21" t="s">
        <v>91</v>
      </c>
      <c r="D2317" s="21" t="s">
        <v>92</v>
      </c>
      <c r="E2317" s="21" t="s">
        <v>93</v>
      </c>
      <c r="F2317" s="21" t="s">
        <v>911</v>
      </c>
      <c r="G2317" s="21" t="s">
        <v>912</v>
      </c>
      <c r="H2317" s="21" t="s">
        <v>920</v>
      </c>
      <c r="I2317" s="21" t="s">
        <v>921</v>
      </c>
      <c r="J2317" s="21" t="s">
        <v>1000</v>
      </c>
      <c r="K2317" s="21" t="s">
        <v>1262</v>
      </c>
      <c r="L2317" s="21" t="s">
        <v>1461</v>
      </c>
      <c r="M2317" s="21" t="s">
        <v>15</v>
      </c>
      <c r="N2317" s="54">
        <v>8000</v>
      </c>
      <c r="O2317" s="54">
        <v>0</v>
      </c>
      <c r="P2317" s="54">
        <v>0</v>
      </c>
      <c r="Q2317" s="54">
        <v>8000</v>
      </c>
      <c r="R2317" s="54">
        <v>0</v>
      </c>
      <c r="S2317" s="54">
        <v>0</v>
      </c>
      <c r="T2317" s="54">
        <v>0</v>
      </c>
      <c r="U2317" s="54">
        <v>8000</v>
      </c>
      <c r="V2317" s="54">
        <v>8000</v>
      </c>
      <c r="W2317" s="54">
        <v>8000</v>
      </c>
    </row>
    <row r="2318" spans="1:23" outlineLevel="2" x14ac:dyDescent="0.2">
      <c r="A2318" s="21" t="s">
        <v>999</v>
      </c>
      <c r="B2318" s="21" t="s">
        <v>1</v>
      </c>
      <c r="C2318" s="21" t="s">
        <v>91</v>
      </c>
      <c r="D2318" s="21" t="s">
        <v>92</v>
      </c>
      <c r="E2318" s="21" t="s">
        <v>93</v>
      </c>
      <c r="F2318" s="21" t="s">
        <v>911</v>
      </c>
      <c r="G2318" s="21" t="s">
        <v>912</v>
      </c>
      <c r="H2318" s="21" t="s">
        <v>920</v>
      </c>
      <c r="I2318" s="21" t="s">
        <v>921</v>
      </c>
      <c r="J2318" s="21" t="s">
        <v>1000</v>
      </c>
      <c r="K2318" s="21" t="s">
        <v>1011</v>
      </c>
      <c r="L2318" s="21" t="s">
        <v>1462</v>
      </c>
      <c r="M2318" s="21" t="s">
        <v>15</v>
      </c>
      <c r="N2318" s="54">
        <v>1923400.16</v>
      </c>
      <c r="O2318" s="54">
        <v>-1170468.73</v>
      </c>
      <c r="P2318" s="54">
        <v>0</v>
      </c>
      <c r="Q2318" s="54">
        <v>752931.43</v>
      </c>
      <c r="R2318" s="54">
        <v>0</v>
      </c>
      <c r="S2318" s="54">
        <v>682931.43</v>
      </c>
      <c r="T2318" s="54">
        <v>447385.68</v>
      </c>
      <c r="U2318" s="54">
        <v>70000</v>
      </c>
      <c r="V2318" s="54">
        <v>305545.75</v>
      </c>
      <c r="W2318" s="54">
        <v>70000</v>
      </c>
    </row>
    <row r="2319" spans="1:23" outlineLevel="2" x14ac:dyDescent="0.2">
      <c r="A2319" s="21" t="s">
        <v>999</v>
      </c>
      <c r="B2319" s="21" t="s">
        <v>1</v>
      </c>
      <c r="C2319" s="21" t="s">
        <v>91</v>
      </c>
      <c r="D2319" s="21" t="s">
        <v>92</v>
      </c>
      <c r="E2319" s="21" t="s">
        <v>93</v>
      </c>
      <c r="F2319" s="21" t="s">
        <v>911</v>
      </c>
      <c r="G2319" s="21" t="s">
        <v>912</v>
      </c>
      <c r="H2319" s="21" t="s">
        <v>920</v>
      </c>
      <c r="I2319" s="21" t="s">
        <v>921</v>
      </c>
      <c r="J2319" s="21" t="s">
        <v>1000</v>
      </c>
      <c r="K2319" s="21" t="s">
        <v>1013</v>
      </c>
      <c r="L2319" s="21" t="s">
        <v>1463</v>
      </c>
      <c r="M2319" s="21" t="s">
        <v>15</v>
      </c>
      <c r="N2319" s="54">
        <v>146689</v>
      </c>
      <c r="O2319" s="54">
        <v>-146689</v>
      </c>
      <c r="P2319" s="54">
        <v>0</v>
      </c>
      <c r="Q2319" s="54">
        <v>0</v>
      </c>
      <c r="R2319" s="54">
        <v>0</v>
      </c>
      <c r="S2319" s="54">
        <v>0</v>
      </c>
      <c r="T2319" s="54">
        <v>0</v>
      </c>
      <c r="U2319" s="54">
        <v>0</v>
      </c>
      <c r="V2319" s="54">
        <v>0</v>
      </c>
      <c r="W2319" s="54">
        <v>0</v>
      </c>
    </row>
    <row r="2320" spans="1:23" outlineLevel="2" x14ac:dyDescent="0.2">
      <c r="A2320" s="21" t="s">
        <v>999</v>
      </c>
      <c r="B2320" s="21" t="s">
        <v>1</v>
      </c>
      <c r="C2320" s="21" t="s">
        <v>91</v>
      </c>
      <c r="D2320" s="21" t="s">
        <v>92</v>
      </c>
      <c r="E2320" s="21" t="s">
        <v>93</v>
      </c>
      <c r="F2320" s="21" t="s">
        <v>911</v>
      </c>
      <c r="G2320" s="21" t="s">
        <v>912</v>
      </c>
      <c r="H2320" s="21" t="s">
        <v>920</v>
      </c>
      <c r="I2320" s="21" t="s">
        <v>921</v>
      </c>
      <c r="J2320" s="21" t="s">
        <v>1000</v>
      </c>
      <c r="K2320" s="21" t="s">
        <v>1017</v>
      </c>
      <c r="L2320" s="21" t="s">
        <v>1464</v>
      </c>
      <c r="M2320" s="21" t="s">
        <v>15</v>
      </c>
      <c r="N2320" s="54">
        <v>27157.15</v>
      </c>
      <c r="O2320" s="54">
        <v>-27157.15</v>
      </c>
      <c r="P2320" s="54">
        <v>0</v>
      </c>
      <c r="Q2320" s="54">
        <v>0</v>
      </c>
      <c r="R2320" s="54">
        <v>0</v>
      </c>
      <c r="S2320" s="54">
        <v>0</v>
      </c>
      <c r="T2320" s="54">
        <v>0</v>
      </c>
      <c r="U2320" s="54">
        <v>0</v>
      </c>
      <c r="V2320" s="54">
        <v>0</v>
      </c>
      <c r="W2320" s="54">
        <v>0</v>
      </c>
    </row>
    <row r="2321" spans="1:23" outlineLevel="2" x14ac:dyDescent="0.2">
      <c r="A2321" s="21" t="s">
        <v>999</v>
      </c>
      <c r="B2321" s="21" t="s">
        <v>1</v>
      </c>
      <c r="C2321" s="21" t="s">
        <v>91</v>
      </c>
      <c r="D2321" s="21" t="s">
        <v>92</v>
      </c>
      <c r="E2321" s="21" t="s">
        <v>93</v>
      </c>
      <c r="F2321" s="21" t="s">
        <v>911</v>
      </c>
      <c r="G2321" s="21" t="s">
        <v>912</v>
      </c>
      <c r="H2321" s="21" t="s">
        <v>920</v>
      </c>
      <c r="I2321" s="21" t="s">
        <v>921</v>
      </c>
      <c r="J2321" s="21" t="s">
        <v>1000</v>
      </c>
      <c r="K2321" s="21" t="s">
        <v>1029</v>
      </c>
      <c r="L2321" s="21" t="s">
        <v>1465</v>
      </c>
      <c r="M2321" s="21" t="s">
        <v>15</v>
      </c>
      <c r="N2321" s="54">
        <v>30000</v>
      </c>
      <c r="O2321" s="54">
        <v>576585.35</v>
      </c>
      <c r="P2321" s="54">
        <v>0</v>
      </c>
      <c r="Q2321" s="54">
        <v>606585.35</v>
      </c>
      <c r="R2321" s="54">
        <v>0</v>
      </c>
      <c r="S2321" s="54">
        <v>0</v>
      </c>
      <c r="T2321" s="54">
        <v>0</v>
      </c>
      <c r="U2321" s="54">
        <v>606585.35</v>
      </c>
      <c r="V2321" s="54">
        <v>606585.35</v>
      </c>
      <c r="W2321" s="54">
        <v>606585.35</v>
      </c>
    </row>
    <row r="2322" spans="1:23" outlineLevel="2" x14ac:dyDescent="0.2">
      <c r="A2322" s="21" t="s">
        <v>999</v>
      </c>
      <c r="B2322" s="21" t="s">
        <v>1</v>
      </c>
      <c r="C2322" s="21" t="s">
        <v>91</v>
      </c>
      <c r="D2322" s="21" t="s">
        <v>92</v>
      </c>
      <c r="E2322" s="21" t="s">
        <v>93</v>
      </c>
      <c r="F2322" s="21" t="s">
        <v>911</v>
      </c>
      <c r="G2322" s="21" t="s">
        <v>912</v>
      </c>
      <c r="H2322" s="21" t="s">
        <v>920</v>
      </c>
      <c r="I2322" s="21" t="s">
        <v>921</v>
      </c>
      <c r="J2322" s="21" t="s">
        <v>1000</v>
      </c>
      <c r="K2322" s="21" t="s">
        <v>1031</v>
      </c>
      <c r="L2322" s="21" t="s">
        <v>1466</v>
      </c>
      <c r="M2322" s="21" t="s">
        <v>15</v>
      </c>
      <c r="N2322" s="54">
        <v>5000</v>
      </c>
      <c r="O2322" s="54">
        <v>-3499.2</v>
      </c>
      <c r="P2322" s="54">
        <v>0</v>
      </c>
      <c r="Q2322" s="54">
        <v>1500.8</v>
      </c>
      <c r="R2322" s="54">
        <v>0</v>
      </c>
      <c r="S2322" s="54">
        <v>1500.8</v>
      </c>
      <c r="T2322" s="54">
        <v>1500.8</v>
      </c>
      <c r="U2322" s="54">
        <v>0</v>
      </c>
      <c r="V2322" s="54">
        <v>0</v>
      </c>
      <c r="W2322" s="54">
        <v>0</v>
      </c>
    </row>
    <row r="2323" spans="1:23" outlineLevel="2" x14ac:dyDescent="0.2">
      <c r="A2323" s="21" t="s">
        <v>999</v>
      </c>
      <c r="B2323" s="21" t="s">
        <v>1</v>
      </c>
      <c r="C2323" s="21" t="s">
        <v>91</v>
      </c>
      <c r="D2323" s="21" t="s">
        <v>92</v>
      </c>
      <c r="E2323" s="21" t="s">
        <v>93</v>
      </c>
      <c r="F2323" s="21" t="s">
        <v>911</v>
      </c>
      <c r="G2323" s="21" t="s">
        <v>912</v>
      </c>
      <c r="H2323" s="21" t="s">
        <v>920</v>
      </c>
      <c r="I2323" s="21" t="s">
        <v>921</v>
      </c>
      <c r="J2323" s="21" t="s">
        <v>1000</v>
      </c>
      <c r="K2323" s="21" t="s">
        <v>1061</v>
      </c>
      <c r="L2323" s="21" t="s">
        <v>1467</v>
      </c>
      <c r="M2323" s="21" t="s">
        <v>15</v>
      </c>
      <c r="N2323" s="54">
        <v>52955</v>
      </c>
      <c r="O2323" s="54">
        <v>15000</v>
      </c>
      <c r="P2323" s="54">
        <v>0</v>
      </c>
      <c r="Q2323" s="54">
        <v>67955</v>
      </c>
      <c r="R2323" s="54">
        <v>4859.01</v>
      </c>
      <c r="S2323" s="54">
        <v>7815.36</v>
      </c>
      <c r="T2323" s="54">
        <v>7815.36</v>
      </c>
      <c r="U2323" s="54">
        <v>60139.64</v>
      </c>
      <c r="V2323" s="54">
        <v>60139.64</v>
      </c>
      <c r="W2323" s="54">
        <v>55280.63</v>
      </c>
    </row>
    <row r="2324" spans="1:23" outlineLevel="2" x14ac:dyDescent="0.2">
      <c r="A2324" s="21" t="s">
        <v>999</v>
      </c>
      <c r="B2324" s="21" t="s">
        <v>1</v>
      </c>
      <c r="C2324" s="21" t="s">
        <v>91</v>
      </c>
      <c r="D2324" s="21" t="s">
        <v>92</v>
      </c>
      <c r="E2324" s="21" t="s">
        <v>93</v>
      </c>
      <c r="F2324" s="21" t="s">
        <v>911</v>
      </c>
      <c r="G2324" s="21" t="s">
        <v>912</v>
      </c>
      <c r="H2324" s="21" t="s">
        <v>920</v>
      </c>
      <c r="I2324" s="21" t="s">
        <v>921</v>
      </c>
      <c r="J2324" s="21" t="s">
        <v>1000</v>
      </c>
      <c r="K2324" s="21" t="s">
        <v>1313</v>
      </c>
      <c r="L2324" s="21" t="s">
        <v>1468</v>
      </c>
      <c r="M2324" s="21" t="s">
        <v>15</v>
      </c>
      <c r="N2324" s="54">
        <v>0</v>
      </c>
      <c r="O2324" s="54">
        <v>7000</v>
      </c>
      <c r="P2324" s="54">
        <v>0</v>
      </c>
      <c r="Q2324" s="54">
        <v>7000</v>
      </c>
      <c r="R2324" s="54">
        <v>0</v>
      </c>
      <c r="S2324" s="54">
        <v>2043</v>
      </c>
      <c r="T2324" s="54">
        <v>2043</v>
      </c>
      <c r="U2324" s="54">
        <v>4957</v>
      </c>
      <c r="V2324" s="54">
        <v>4957</v>
      </c>
      <c r="W2324" s="54">
        <v>4957</v>
      </c>
    </row>
    <row r="2325" spans="1:23" outlineLevel="2" x14ac:dyDescent="0.2">
      <c r="A2325" s="21" t="s">
        <v>999</v>
      </c>
      <c r="B2325" s="21" t="s">
        <v>1</v>
      </c>
      <c r="C2325" s="21" t="s">
        <v>91</v>
      </c>
      <c r="D2325" s="21" t="s">
        <v>92</v>
      </c>
      <c r="E2325" s="21" t="s">
        <v>93</v>
      </c>
      <c r="F2325" s="21" t="s">
        <v>911</v>
      </c>
      <c r="G2325" s="21" t="s">
        <v>912</v>
      </c>
      <c r="H2325" s="21" t="s">
        <v>920</v>
      </c>
      <c r="I2325" s="21" t="s">
        <v>921</v>
      </c>
      <c r="J2325" s="21" t="s">
        <v>1000</v>
      </c>
      <c r="K2325" s="21" t="s">
        <v>1118</v>
      </c>
      <c r="L2325" s="21" t="s">
        <v>1469</v>
      </c>
      <c r="M2325" s="21" t="s">
        <v>15</v>
      </c>
      <c r="N2325" s="54">
        <v>0</v>
      </c>
      <c r="O2325" s="54">
        <v>2195.5300000000002</v>
      </c>
      <c r="P2325" s="54">
        <v>0</v>
      </c>
      <c r="Q2325" s="54">
        <v>2195.5300000000002</v>
      </c>
      <c r="R2325" s="54">
        <v>0</v>
      </c>
      <c r="S2325" s="54">
        <v>0</v>
      </c>
      <c r="T2325" s="54">
        <v>0</v>
      </c>
      <c r="U2325" s="54">
        <v>2195.5300000000002</v>
      </c>
      <c r="V2325" s="54">
        <v>2195.5300000000002</v>
      </c>
      <c r="W2325" s="54">
        <v>2195.5300000000002</v>
      </c>
    </row>
    <row r="2326" spans="1:23" outlineLevel="2" x14ac:dyDescent="0.2">
      <c r="A2326" s="21" t="s">
        <v>999</v>
      </c>
      <c r="B2326" s="21" t="s">
        <v>1</v>
      </c>
      <c r="C2326" s="21" t="s">
        <v>99</v>
      </c>
      <c r="D2326" s="21" t="s">
        <v>100</v>
      </c>
      <c r="E2326" s="21" t="s">
        <v>101</v>
      </c>
      <c r="F2326" s="21" t="s">
        <v>911</v>
      </c>
      <c r="G2326" s="21" t="s">
        <v>912</v>
      </c>
      <c r="H2326" s="21" t="s">
        <v>1470</v>
      </c>
      <c r="I2326" s="21" t="s">
        <v>1471</v>
      </c>
      <c r="J2326" s="21" t="s">
        <v>1000</v>
      </c>
      <c r="K2326" s="21" t="s">
        <v>1104</v>
      </c>
      <c r="L2326" s="21" t="s">
        <v>1472</v>
      </c>
      <c r="M2326" s="21" t="s">
        <v>15</v>
      </c>
      <c r="N2326" s="54">
        <v>0</v>
      </c>
      <c r="O2326" s="54">
        <v>1344</v>
      </c>
      <c r="P2326" s="54">
        <v>0</v>
      </c>
      <c r="Q2326" s="54">
        <v>1344</v>
      </c>
      <c r="R2326" s="54">
        <v>1344</v>
      </c>
      <c r="S2326" s="54">
        <v>0</v>
      </c>
      <c r="T2326" s="54">
        <v>0</v>
      </c>
      <c r="U2326" s="54">
        <v>1344</v>
      </c>
      <c r="V2326" s="54">
        <v>1344</v>
      </c>
      <c r="W2326" s="54">
        <v>0</v>
      </c>
    </row>
    <row r="2327" spans="1:23" outlineLevel="2" x14ac:dyDescent="0.2">
      <c r="A2327" s="21" t="s">
        <v>999</v>
      </c>
      <c r="B2327" s="21" t="s">
        <v>1</v>
      </c>
      <c r="C2327" s="21" t="s">
        <v>99</v>
      </c>
      <c r="D2327" s="21" t="s">
        <v>100</v>
      </c>
      <c r="E2327" s="21" t="s">
        <v>101</v>
      </c>
      <c r="F2327" s="21" t="s">
        <v>911</v>
      </c>
      <c r="G2327" s="21" t="s">
        <v>912</v>
      </c>
      <c r="H2327" s="21" t="s">
        <v>1470</v>
      </c>
      <c r="I2327" s="21" t="s">
        <v>1471</v>
      </c>
      <c r="J2327" s="21" t="s">
        <v>1000</v>
      </c>
      <c r="K2327" s="21" t="s">
        <v>1058</v>
      </c>
      <c r="L2327" s="21" t="s">
        <v>1473</v>
      </c>
      <c r="M2327" s="21" t="s">
        <v>15</v>
      </c>
      <c r="N2327" s="54">
        <v>2843600</v>
      </c>
      <c r="O2327" s="54">
        <v>35600</v>
      </c>
      <c r="P2327" s="54">
        <v>0</v>
      </c>
      <c r="Q2327" s="54">
        <v>2879200</v>
      </c>
      <c r="R2327" s="54">
        <v>297594.58</v>
      </c>
      <c r="S2327" s="54">
        <v>1920713.28</v>
      </c>
      <c r="T2327" s="54">
        <v>1196939.27</v>
      </c>
      <c r="U2327" s="54">
        <v>958486.72</v>
      </c>
      <c r="V2327" s="54">
        <v>1682260.73</v>
      </c>
      <c r="W2327" s="54">
        <v>660892.14</v>
      </c>
    </row>
    <row r="2328" spans="1:23" outlineLevel="2" x14ac:dyDescent="0.2">
      <c r="A2328" s="21" t="s">
        <v>999</v>
      </c>
      <c r="B2328" s="21" t="s">
        <v>1</v>
      </c>
      <c r="C2328" s="21" t="s">
        <v>99</v>
      </c>
      <c r="D2328" s="21" t="s">
        <v>100</v>
      </c>
      <c r="E2328" s="21" t="s">
        <v>101</v>
      </c>
      <c r="F2328" s="21" t="s">
        <v>911</v>
      </c>
      <c r="G2328" s="21" t="s">
        <v>912</v>
      </c>
      <c r="H2328" s="21" t="s">
        <v>1470</v>
      </c>
      <c r="I2328" s="21" t="s">
        <v>1471</v>
      </c>
      <c r="J2328" s="21" t="s">
        <v>1000</v>
      </c>
      <c r="K2328" s="21" t="s">
        <v>1445</v>
      </c>
      <c r="L2328" s="21" t="s">
        <v>1474</v>
      </c>
      <c r="M2328" s="21" t="s">
        <v>15</v>
      </c>
      <c r="N2328" s="54">
        <v>600480</v>
      </c>
      <c r="O2328" s="54">
        <v>200000</v>
      </c>
      <c r="P2328" s="54">
        <v>0</v>
      </c>
      <c r="Q2328" s="54">
        <v>800480</v>
      </c>
      <c r="R2328" s="54">
        <v>212030.39</v>
      </c>
      <c r="S2328" s="54">
        <v>576454.56999999995</v>
      </c>
      <c r="T2328" s="54">
        <v>497098.27</v>
      </c>
      <c r="U2328" s="54">
        <v>224025.43</v>
      </c>
      <c r="V2328" s="54">
        <v>303381.73</v>
      </c>
      <c r="W2328" s="54">
        <v>11995.04</v>
      </c>
    </row>
    <row r="2329" spans="1:23" outlineLevel="2" x14ac:dyDescent="0.2">
      <c r="A2329" s="21" t="s">
        <v>999</v>
      </c>
      <c r="B2329" s="21" t="s">
        <v>1</v>
      </c>
      <c r="C2329" s="21" t="s">
        <v>99</v>
      </c>
      <c r="D2329" s="21" t="s">
        <v>100</v>
      </c>
      <c r="E2329" s="21" t="s">
        <v>101</v>
      </c>
      <c r="F2329" s="21" t="s">
        <v>911</v>
      </c>
      <c r="G2329" s="21" t="s">
        <v>912</v>
      </c>
      <c r="H2329" s="21" t="s">
        <v>1470</v>
      </c>
      <c r="I2329" s="21" t="s">
        <v>1471</v>
      </c>
      <c r="J2329" s="21" t="s">
        <v>1000</v>
      </c>
      <c r="K2329" s="21" t="s">
        <v>1475</v>
      </c>
      <c r="L2329" s="21" t="s">
        <v>1476</v>
      </c>
      <c r="M2329" s="21" t="s">
        <v>15</v>
      </c>
      <c r="N2329" s="54">
        <v>40064</v>
      </c>
      <c r="O2329" s="54">
        <v>0</v>
      </c>
      <c r="P2329" s="54">
        <v>0</v>
      </c>
      <c r="Q2329" s="54">
        <v>40064</v>
      </c>
      <c r="R2329" s="54">
        <v>12.8</v>
      </c>
      <c r="S2329" s="54">
        <v>37363.199999999997</v>
      </c>
      <c r="T2329" s="54">
        <v>24061.22</v>
      </c>
      <c r="U2329" s="54">
        <v>2700.8</v>
      </c>
      <c r="V2329" s="54">
        <v>16002.78</v>
      </c>
      <c r="W2329" s="54">
        <v>2688</v>
      </c>
    </row>
    <row r="2330" spans="1:23" outlineLevel="2" x14ac:dyDescent="0.2">
      <c r="A2330" s="21" t="s">
        <v>999</v>
      </c>
      <c r="B2330" s="21" t="s">
        <v>1</v>
      </c>
      <c r="C2330" s="21" t="s">
        <v>99</v>
      </c>
      <c r="D2330" s="21" t="s">
        <v>100</v>
      </c>
      <c r="E2330" s="21" t="s">
        <v>101</v>
      </c>
      <c r="F2330" s="21" t="s">
        <v>911</v>
      </c>
      <c r="G2330" s="21" t="s">
        <v>912</v>
      </c>
      <c r="H2330" s="21" t="s">
        <v>1470</v>
      </c>
      <c r="I2330" s="21" t="s">
        <v>1471</v>
      </c>
      <c r="J2330" s="21" t="s">
        <v>1000</v>
      </c>
      <c r="K2330" s="21" t="s">
        <v>1088</v>
      </c>
      <c r="L2330" s="21" t="s">
        <v>1477</v>
      </c>
      <c r="M2330" s="21" t="s">
        <v>15</v>
      </c>
      <c r="N2330" s="54">
        <v>370000</v>
      </c>
      <c r="O2330" s="54">
        <v>-235600</v>
      </c>
      <c r="P2330" s="54">
        <v>0</v>
      </c>
      <c r="Q2330" s="54">
        <v>134400</v>
      </c>
      <c r="R2330" s="54">
        <v>0</v>
      </c>
      <c r="S2330" s="54">
        <v>134400</v>
      </c>
      <c r="T2330" s="54">
        <v>16803.36</v>
      </c>
      <c r="U2330" s="54">
        <v>0</v>
      </c>
      <c r="V2330" s="54">
        <v>117596.64</v>
      </c>
      <c r="W2330" s="54">
        <v>0</v>
      </c>
    </row>
    <row r="2331" spans="1:23" outlineLevel="2" x14ac:dyDescent="0.2">
      <c r="A2331" s="21" t="s">
        <v>999</v>
      </c>
      <c r="B2331" s="21" t="s">
        <v>1</v>
      </c>
      <c r="C2331" s="21" t="s">
        <v>99</v>
      </c>
      <c r="D2331" s="21" t="s">
        <v>100</v>
      </c>
      <c r="E2331" s="21" t="s">
        <v>101</v>
      </c>
      <c r="F2331" s="21" t="s">
        <v>911</v>
      </c>
      <c r="G2331" s="21" t="s">
        <v>912</v>
      </c>
      <c r="H2331" s="21" t="s">
        <v>1470</v>
      </c>
      <c r="I2331" s="21" t="s">
        <v>1471</v>
      </c>
      <c r="J2331" s="21" t="s">
        <v>1000</v>
      </c>
      <c r="K2331" s="21" t="s">
        <v>1009</v>
      </c>
      <c r="L2331" s="21" t="s">
        <v>1478</v>
      </c>
      <c r="M2331" s="21" t="s">
        <v>15</v>
      </c>
      <c r="N2331" s="54">
        <v>11200</v>
      </c>
      <c r="O2331" s="54">
        <v>0</v>
      </c>
      <c r="P2331" s="54">
        <v>0</v>
      </c>
      <c r="Q2331" s="54">
        <v>11200</v>
      </c>
      <c r="R2331" s="54">
        <v>0</v>
      </c>
      <c r="S2331" s="54">
        <v>0</v>
      </c>
      <c r="T2331" s="54">
        <v>0</v>
      </c>
      <c r="U2331" s="54">
        <v>11200</v>
      </c>
      <c r="V2331" s="54">
        <v>11200</v>
      </c>
      <c r="W2331" s="54">
        <v>11200</v>
      </c>
    </row>
    <row r="2332" spans="1:23" outlineLevel="2" x14ac:dyDescent="0.2">
      <c r="A2332" s="21" t="s">
        <v>999</v>
      </c>
      <c r="B2332" s="21" t="s">
        <v>1</v>
      </c>
      <c r="C2332" s="21" t="s">
        <v>99</v>
      </c>
      <c r="D2332" s="21" t="s">
        <v>100</v>
      </c>
      <c r="E2332" s="21" t="s">
        <v>101</v>
      </c>
      <c r="F2332" s="21" t="s">
        <v>911</v>
      </c>
      <c r="G2332" s="21" t="s">
        <v>912</v>
      </c>
      <c r="H2332" s="21" t="s">
        <v>1470</v>
      </c>
      <c r="I2332" s="21" t="s">
        <v>1471</v>
      </c>
      <c r="J2332" s="21" t="s">
        <v>1000</v>
      </c>
      <c r="K2332" s="21" t="s">
        <v>1029</v>
      </c>
      <c r="L2332" s="21" t="s">
        <v>1479</v>
      </c>
      <c r="M2332" s="21" t="s">
        <v>15</v>
      </c>
      <c r="N2332" s="54">
        <v>100000</v>
      </c>
      <c r="O2332" s="54">
        <v>0</v>
      </c>
      <c r="P2332" s="54">
        <v>0</v>
      </c>
      <c r="Q2332" s="54">
        <v>100000</v>
      </c>
      <c r="R2332" s="54">
        <v>0</v>
      </c>
      <c r="S2332" s="54">
        <v>0</v>
      </c>
      <c r="T2332" s="54">
        <v>0</v>
      </c>
      <c r="U2332" s="54">
        <v>100000</v>
      </c>
      <c r="V2332" s="54">
        <v>100000</v>
      </c>
      <c r="W2332" s="54">
        <v>100000</v>
      </c>
    </row>
    <row r="2333" spans="1:23" outlineLevel="2" x14ac:dyDescent="0.2">
      <c r="A2333" s="21" t="s">
        <v>999</v>
      </c>
      <c r="B2333" s="21" t="s">
        <v>1</v>
      </c>
      <c r="C2333" s="21" t="s">
        <v>99</v>
      </c>
      <c r="D2333" s="21" t="s">
        <v>100</v>
      </c>
      <c r="E2333" s="21" t="s">
        <v>101</v>
      </c>
      <c r="F2333" s="21" t="s">
        <v>911</v>
      </c>
      <c r="G2333" s="21" t="s">
        <v>912</v>
      </c>
      <c r="H2333" s="21" t="s">
        <v>1470</v>
      </c>
      <c r="I2333" s="21" t="s">
        <v>1471</v>
      </c>
      <c r="J2333" s="21" t="s">
        <v>1000</v>
      </c>
      <c r="K2333" s="21" t="s">
        <v>1031</v>
      </c>
      <c r="L2333" s="21" t="s">
        <v>1480</v>
      </c>
      <c r="M2333" s="21" t="s">
        <v>15</v>
      </c>
      <c r="N2333" s="54">
        <v>800</v>
      </c>
      <c r="O2333" s="54">
        <v>0</v>
      </c>
      <c r="P2333" s="54">
        <v>0</v>
      </c>
      <c r="Q2333" s="54">
        <v>800</v>
      </c>
      <c r="R2333" s="54">
        <v>0</v>
      </c>
      <c r="S2333" s="54">
        <v>0</v>
      </c>
      <c r="T2333" s="54">
        <v>0</v>
      </c>
      <c r="U2333" s="54">
        <v>800</v>
      </c>
      <c r="V2333" s="54">
        <v>800</v>
      </c>
      <c r="W2333" s="54">
        <v>800</v>
      </c>
    </row>
    <row r="2334" spans="1:23" outlineLevel="2" x14ac:dyDescent="0.2">
      <c r="A2334" s="21" t="s">
        <v>999</v>
      </c>
      <c r="B2334" s="21" t="s">
        <v>1</v>
      </c>
      <c r="C2334" s="21" t="s">
        <v>44</v>
      </c>
      <c r="D2334" s="21" t="s">
        <v>1481</v>
      </c>
      <c r="E2334" s="21" t="s">
        <v>1482</v>
      </c>
      <c r="F2334" s="21" t="s">
        <v>911</v>
      </c>
      <c r="G2334" s="21" t="s">
        <v>912</v>
      </c>
      <c r="H2334" s="21" t="s">
        <v>1483</v>
      </c>
      <c r="I2334" s="21" t="s">
        <v>1484</v>
      </c>
      <c r="J2334" s="21" t="s">
        <v>1000</v>
      </c>
      <c r="K2334" s="21" t="s">
        <v>1267</v>
      </c>
      <c r="L2334" s="21" t="s">
        <v>1485</v>
      </c>
      <c r="M2334" s="21" t="s">
        <v>15</v>
      </c>
      <c r="N2334" s="54">
        <v>210528.03</v>
      </c>
      <c r="O2334" s="54">
        <v>0</v>
      </c>
      <c r="P2334" s="54">
        <v>0</v>
      </c>
      <c r="Q2334" s="54">
        <v>210528.03</v>
      </c>
      <c r="R2334" s="54">
        <v>0</v>
      </c>
      <c r="S2334" s="54">
        <v>4050</v>
      </c>
      <c r="T2334" s="54">
        <v>4050</v>
      </c>
      <c r="U2334" s="54">
        <v>206478.03</v>
      </c>
      <c r="V2334" s="54">
        <v>206478.03</v>
      </c>
      <c r="W2334" s="54">
        <v>206478.03</v>
      </c>
    </row>
    <row r="2335" spans="1:23" outlineLevel="2" x14ac:dyDescent="0.2">
      <c r="A2335" s="21" t="s">
        <v>999</v>
      </c>
      <c r="B2335" s="21" t="s">
        <v>1</v>
      </c>
      <c r="C2335" s="21" t="s">
        <v>44</v>
      </c>
      <c r="D2335" s="21" t="s">
        <v>45</v>
      </c>
      <c r="E2335" s="21" t="s">
        <v>46</v>
      </c>
      <c r="F2335" s="21" t="s">
        <v>911</v>
      </c>
      <c r="G2335" s="21" t="s">
        <v>912</v>
      </c>
      <c r="H2335" s="21" t="s">
        <v>1486</v>
      </c>
      <c r="I2335" s="21" t="s">
        <v>1487</v>
      </c>
      <c r="J2335" s="21" t="s">
        <v>1000</v>
      </c>
      <c r="K2335" s="21" t="s">
        <v>1017</v>
      </c>
      <c r="L2335" s="21" t="s">
        <v>1488</v>
      </c>
      <c r="M2335" s="21" t="s">
        <v>15</v>
      </c>
      <c r="N2335" s="54">
        <v>20000</v>
      </c>
      <c r="O2335" s="54">
        <v>-140</v>
      </c>
      <c r="P2335" s="54">
        <v>0</v>
      </c>
      <c r="Q2335" s="54">
        <v>19860</v>
      </c>
      <c r="R2335" s="54">
        <v>0</v>
      </c>
      <c r="S2335" s="54">
        <v>0</v>
      </c>
      <c r="T2335" s="54">
        <v>0</v>
      </c>
      <c r="U2335" s="54">
        <v>19860</v>
      </c>
      <c r="V2335" s="54">
        <v>19860</v>
      </c>
      <c r="W2335" s="54">
        <v>19860</v>
      </c>
    </row>
    <row r="2336" spans="1:23" outlineLevel="2" x14ac:dyDescent="0.2">
      <c r="A2336" s="21" t="s">
        <v>999</v>
      </c>
      <c r="B2336" s="21" t="s">
        <v>1</v>
      </c>
      <c r="C2336" s="21" t="s">
        <v>44</v>
      </c>
      <c r="D2336" s="21" t="s">
        <v>45</v>
      </c>
      <c r="E2336" s="21" t="s">
        <v>46</v>
      </c>
      <c r="F2336" s="21" t="s">
        <v>911</v>
      </c>
      <c r="G2336" s="21" t="s">
        <v>912</v>
      </c>
      <c r="H2336" s="21" t="s">
        <v>1489</v>
      </c>
      <c r="I2336" s="21" t="s">
        <v>1490</v>
      </c>
      <c r="J2336" s="21" t="s">
        <v>1000</v>
      </c>
      <c r="K2336" s="21" t="s">
        <v>1013</v>
      </c>
      <c r="L2336" s="21" t="s">
        <v>1491</v>
      </c>
      <c r="M2336" s="21" t="s">
        <v>15</v>
      </c>
      <c r="N2336" s="54">
        <v>60000</v>
      </c>
      <c r="O2336" s="54">
        <v>0</v>
      </c>
      <c r="P2336" s="54">
        <v>0</v>
      </c>
      <c r="Q2336" s="54">
        <v>60000</v>
      </c>
      <c r="R2336" s="54">
        <v>0</v>
      </c>
      <c r="S2336" s="54">
        <v>0</v>
      </c>
      <c r="T2336" s="54">
        <v>0</v>
      </c>
      <c r="U2336" s="54">
        <v>60000</v>
      </c>
      <c r="V2336" s="54">
        <v>60000</v>
      </c>
      <c r="W2336" s="54">
        <v>60000</v>
      </c>
    </row>
    <row r="2337" spans="1:23" outlineLevel="2" x14ac:dyDescent="0.2">
      <c r="A2337" s="21" t="s">
        <v>999</v>
      </c>
      <c r="B2337" s="21" t="s">
        <v>1</v>
      </c>
      <c r="C2337" s="21" t="s">
        <v>44</v>
      </c>
      <c r="D2337" s="21" t="s">
        <v>45</v>
      </c>
      <c r="E2337" s="21" t="s">
        <v>46</v>
      </c>
      <c r="F2337" s="21" t="s">
        <v>911</v>
      </c>
      <c r="G2337" s="21" t="s">
        <v>912</v>
      </c>
      <c r="H2337" s="21" t="s">
        <v>1492</v>
      </c>
      <c r="I2337" s="21" t="s">
        <v>1493</v>
      </c>
      <c r="J2337" s="21" t="s">
        <v>1000</v>
      </c>
      <c r="K2337" s="21" t="s">
        <v>1013</v>
      </c>
      <c r="L2337" s="21" t="s">
        <v>1491</v>
      </c>
      <c r="M2337" s="21" t="s">
        <v>15</v>
      </c>
      <c r="N2337" s="54">
        <v>40000</v>
      </c>
      <c r="O2337" s="54">
        <v>0</v>
      </c>
      <c r="P2337" s="54">
        <v>0</v>
      </c>
      <c r="Q2337" s="54">
        <v>40000</v>
      </c>
      <c r="R2337" s="54">
        <v>0</v>
      </c>
      <c r="S2337" s="54">
        <v>0</v>
      </c>
      <c r="T2337" s="54">
        <v>0</v>
      </c>
      <c r="U2337" s="54">
        <v>40000</v>
      </c>
      <c r="V2337" s="54">
        <v>40000</v>
      </c>
      <c r="W2337" s="54">
        <v>40000</v>
      </c>
    </row>
    <row r="2338" spans="1:23" outlineLevel="2" x14ac:dyDescent="0.2">
      <c r="A2338" s="21" t="s">
        <v>999</v>
      </c>
      <c r="B2338" s="21" t="s">
        <v>1</v>
      </c>
      <c r="C2338" s="21" t="s">
        <v>44</v>
      </c>
      <c r="D2338" s="21" t="s">
        <v>45</v>
      </c>
      <c r="E2338" s="21" t="s">
        <v>46</v>
      </c>
      <c r="F2338" s="21" t="s">
        <v>911</v>
      </c>
      <c r="G2338" s="21" t="s">
        <v>912</v>
      </c>
      <c r="H2338" s="21" t="s">
        <v>1494</v>
      </c>
      <c r="I2338" s="21" t="s">
        <v>1495</v>
      </c>
      <c r="J2338" s="21" t="s">
        <v>1000</v>
      </c>
      <c r="K2338" s="21" t="s">
        <v>1031</v>
      </c>
      <c r="L2338" s="21" t="s">
        <v>1496</v>
      </c>
      <c r="M2338" s="21" t="s">
        <v>15</v>
      </c>
      <c r="N2338" s="54">
        <v>0</v>
      </c>
      <c r="O2338" s="54">
        <v>140</v>
      </c>
      <c r="P2338" s="54">
        <v>0</v>
      </c>
      <c r="Q2338" s="54">
        <v>140</v>
      </c>
      <c r="R2338" s="54">
        <v>0</v>
      </c>
      <c r="S2338" s="54">
        <v>123.36</v>
      </c>
      <c r="T2338" s="54">
        <v>123.36</v>
      </c>
      <c r="U2338" s="54">
        <v>16.64</v>
      </c>
      <c r="V2338" s="54">
        <v>16.64</v>
      </c>
      <c r="W2338" s="54">
        <v>16.64</v>
      </c>
    </row>
    <row r="2339" spans="1:23" outlineLevel="2" x14ac:dyDescent="0.2">
      <c r="A2339" s="21" t="s">
        <v>999</v>
      </c>
      <c r="B2339" s="21" t="s">
        <v>1</v>
      </c>
      <c r="C2339" s="21" t="s">
        <v>16</v>
      </c>
      <c r="D2339" s="21" t="s">
        <v>64</v>
      </c>
      <c r="E2339" s="21" t="s">
        <v>65</v>
      </c>
      <c r="F2339" s="21" t="s">
        <v>911</v>
      </c>
      <c r="G2339" s="21" t="s">
        <v>912</v>
      </c>
      <c r="H2339" s="21" t="s">
        <v>1497</v>
      </c>
      <c r="I2339" s="21" t="s">
        <v>1498</v>
      </c>
      <c r="J2339" s="21" t="s">
        <v>1000</v>
      </c>
      <c r="K2339" s="21" t="s">
        <v>1037</v>
      </c>
      <c r="L2339" s="21" t="s">
        <v>1499</v>
      </c>
      <c r="M2339" s="21" t="s">
        <v>15</v>
      </c>
      <c r="N2339" s="54">
        <v>38630.15</v>
      </c>
      <c r="O2339" s="54">
        <v>-22400</v>
      </c>
      <c r="P2339" s="54">
        <v>0</v>
      </c>
      <c r="Q2339" s="54">
        <v>16230.15</v>
      </c>
      <c r="R2339" s="54">
        <v>0</v>
      </c>
      <c r="S2339" s="54">
        <v>0</v>
      </c>
      <c r="T2339" s="54">
        <v>0</v>
      </c>
      <c r="U2339" s="54">
        <v>16230.15</v>
      </c>
      <c r="V2339" s="54">
        <v>16230.15</v>
      </c>
      <c r="W2339" s="54">
        <v>16230.15</v>
      </c>
    </row>
    <row r="2340" spans="1:23" outlineLevel="2" x14ac:dyDescent="0.2">
      <c r="A2340" s="21" t="s">
        <v>999</v>
      </c>
      <c r="B2340" s="21" t="s">
        <v>1</v>
      </c>
      <c r="C2340" s="21" t="s">
        <v>16</v>
      </c>
      <c r="D2340" s="21" t="s">
        <v>64</v>
      </c>
      <c r="E2340" s="21" t="s">
        <v>65</v>
      </c>
      <c r="F2340" s="21" t="s">
        <v>911</v>
      </c>
      <c r="G2340" s="21" t="s">
        <v>912</v>
      </c>
      <c r="H2340" s="21" t="s">
        <v>1497</v>
      </c>
      <c r="I2340" s="21" t="s">
        <v>1498</v>
      </c>
      <c r="J2340" s="21" t="s">
        <v>1000</v>
      </c>
      <c r="K2340" s="21" t="s">
        <v>1015</v>
      </c>
      <c r="L2340" s="21" t="s">
        <v>1500</v>
      </c>
      <c r="M2340" s="21" t="s">
        <v>15</v>
      </c>
      <c r="N2340" s="54">
        <v>0</v>
      </c>
      <c r="O2340" s="54">
        <v>44800</v>
      </c>
      <c r="P2340" s="54">
        <v>0</v>
      </c>
      <c r="Q2340" s="54">
        <v>44800</v>
      </c>
      <c r="R2340" s="54">
        <v>0</v>
      </c>
      <c r="S2340" s="54">
        <v>0</v>
      </c>
      <c r="T2340" s="54">
        <v>0</v>
      </c>
      <c r="U2340" s="54">
        <v>44800</v>
      </c>
      <c r="V2340" s="54">
        <v>44800</v>
      </c>
      <c r="W2340" s="54">
        <v>44800</v>
      </c>
    </row>
    <row r="2341" spans="1:23" outlineLevel="2" x14ac:dyDescent="0.2">
      <c r="A2341" s="21" t="s">
        <v>999</v>
      </c>
      <c r="B2341" s="21" t="s">
        <v>1</v>
      </c>
      <c r="C2341" s="21" t="s">
        <v>16</v>
      </c>
      <c r="D2341" s="21" t="s">
        <v>64</v>
      </c>
      <c r="E2341" s="21" t="s">
        <v>65</v>
      </c>
      <c r="F2341" s="21" t="s">
        <v>911</v>
      </c>
      <c r="G2341" s="21" t="s">
        <v>912</v>
      </c>
      <c r="H2341" s="21" t="s">
        <v>1497</v>
      </c>
      <c r="I2341" s="21" t="s">
        <v>1498</v>
      </c>
      <c r="J2341" s="21" t="s">
        <v>1000</v>
      </c>
      <c r="K2341" s="21" t="s">
        <v>1078</v>
      </c>
      <c r="L2341" s="21" t="s">
        <v>1501</v>
      </c>
      <c r="M2341" s="21" t="s">
        <v>15</v>
      </c>
      <c r="N2341" s="54">
        <v>38630.14</v>
      </c>
      <c r="O2341" s="54">
        <v>-22400</v>
      </c>
      <c r="P2341" s="54">
        <v>0</v>
      </c>
      <c r="Q2341" s="54">
        <v>16230.14</v>
      </c>
      <c r="R2341" s="54">
        <v>0</v>
      </c>
      <c r="S2341" s="54">
        <v>0</v>
      </c>
      <c r="T2341" s="54">
        <v>0</v>
      </c>
      <c r="U2341" s="54">
        <v>16230.14</v>
      </c>
      <c r="V2341" s="54">
        <v>16230.14</v>
      </c>
      <c r="W2341" s="54">
        <v>16230.14</v>
      </c>
    </row>
    <row r="2342" spans="1:23" outlineLevel="2" x14ac:dyDescent="0.2">
      <c r="A2342" s="21" t="s">
        <v>999</v>
      </c>
      <c r="B2342" s="21" t="s">
        <v>1</v>
      </c>
      <c r="C2342" s="21" t="s">
        <v>16</v>
      </c>
      <c r="D2342" s="21" t="s">
        <v>62</v>
      </c>
      <c r="E2342" s="21" t="s">
        <v>63</v>
      </c>
      <c r="F2342" s="21" t="s">
        <v>911</v>
      </c>
      <c r="G2342" s="21" t="s">
        <v>912</v>
      </c>
      <c r="H2342" s="21" t="s">
        <v>1502</v>
      </c>
      <c r="I2342" s="21" t="s">
        <v>1503</v>
      </c>
      <c r="J2342" s="21" t="s">
        <v>1000</v>
      </c>
      <c r="K2342" s="21" t="s">
        <v>1037</v>
      </c>
      <c r="L2342" s="21" t="s">
        <v>1499</v>
      </c>
      <c r="M2342" s="21" t="s">
        <v>15</v>
      </c>
      <c r="N2342" s="54">
        <v>14000</v>
      </c>
      <c r="O2342" s="54">
        <v>19600</v>
      </c>
      <c r="P2342" s="54">
        <v>0</v>
      </c>
      <c r="Q2342" s="54">
        <v>33600</v>
      </c>
      <c r="R2342" s="54">
        <v>0</v>
      </c>
      <c r="S2342" s="54">
        <v>0</v>
      </c>
      <c r="T2342" s="54">
        <v>0</v>
      </c>
      <c r="U2342" s="54">
        <v>33600</v>
      </c>
      <c r="V2342" s="54">
        <v>33600</v>
      </c>
      <c r="W2342" s="54">
        <v>33600</v>
      </c>
    </row>
    <row r="2343" spans="1:23" outlineLevel="2" x14ac:dyDescent="0.2">
      <c r="A2343" s="21" t="s">
        <v>999</v>
      </c>
      <c r="B2343" s="21" t="s">
        <v>1</v>
      </c>
      <c r="C2343" s="21" t="s">
        <v>16</v>
      </c>
      <c r="D2343" s="21" t="s">
        <v>62</v>
      </c>
      <c r="E2343" s="21" t="s">
        <v>63</v>
      </c>
      <c r="F2343" s="21" t="s">
        <v>911</v>
      </c>
      <c r="G2343" s="21" t="s">
        <v>912</v>
      </c>
      <c r="H2343" s="21" t="s">
        <v>1502</v>
      </c>
      <c r="I2343" s="21" t="s">
        <v>1503</v>
      </c>
      <c r="J2343" s="21" t="s">
        <v>1000</v>
      </c>
      <c r="K2343" s="21" t="s">
        <v>1058</v>
      </c>
      <c r="L2343" s="21" t="s">
        <v>1504</v>
      </c>
      <c r="M2343" s="21" t="s">
        <v>15</v>
      </c>
      <c r="N2343" s="54">
        <v>0</v>
      </c>
      <c r="O2343" s="54">
        <v>58240</v>
      </c>
      <c r="P2343" s="54">
        <v>0</v>
      </c>
      <c r="Q2343" s="54">
        <v>58240</v>
      </c>
      <c r="R2343" s="54">
        <v>0</v>
      </c>
      <c r="S2343" s="54">
        <v>0</v>
      </c>
      <c r="T2343" s="54">
        <v>0</v>
      </c>
      <c r="U2343" s="54">
        <v>58240</v>
      </c>
      <c r="V2343" s="54">
        <v>58240</v>
      </c>
      <c r="W2343" s="54">
        <v>58240</v>
      </c>
    </row>
    <row r="2344" spans="1:23" outlineLevel="2" x14ac:dyDescent="0.2">
      <c r="A2344" s="21" t="s">
        <v>999</v>
      </c>
      <c r="B2344" s="21" t="s">
        <v>1</v>
      </c>
      <c r="C2344" s="21" t="s">
        <v>16</v>
      </c>
      <c r="D2344" s="21" t="s">
        <v>62</v>
      </c>
      <c r="E2344" s="21" t="s">
        <v>63</v>
      </c>
      <c r="F2344" s="21" t="s">
        <v>911</v>
      </c>
      <c r="G2344" s="21" t="s">
        <v>912</v>
      </c>
      <c r="H2344" s="21" t="s">
        <v>1502</v>
      </c>
      <c r="I2344" s="21" t="s">
        <v>1503</v>
      </c>
      <c r="J2344" s="21" t="s">
        <v>1000</v>
      </c>
      <c r="K2344" s="21" t="s">
        <v>1175</v>
      </c>
      <c r="L2344" s="21" t="s">
        <v>1505</v>
      </c>
      <c r="M2344" s="21" t="s">
        <v>15</v>
      </c>
      <c r="N2344" s="54">
        <v>21000</v>
      </c>
      <c r="O2344" s="54">
        <v>0</v>
      </c>
      <c r="P2344" s="54">
        <v>0</v>
      </c>
      <c r="Q2344" s="54">
        <v>21000</v>
      </c>
      <c r="R2344" s="54">
        <v>0</v>
      </c>
      <c r="S2344" s="54">
        <v>0</v>
      </c>
      <c r="T2344" s="54">
        <v>0</v>
      </c>
      <c r="U2344" s="54">
        <v>21000</v>
      </c>
      <c r="V2344" s="54">
        <v>21000</v>
      </c>
      <c r="W2344" s="54">
        <v>21000</v>
      </c>
    </row>
    <row r="2345" spans="1:23" outlineLevel="2" x14ac:dyDescent="0.2">
      <c r="A2345" s="21" t="s">
        <v>999</v>
      </c>
      <c r="B2345" s="21" t="s">
        <v>1</v>
      </c>
      <c r="C2345" s="21" t="s">
        <v>16</v>
      </c>
      <c r="D2345" s="21" t="s">
        <v>62</v>
      </c>
      <c r="E2345" s="21" t="s">
        <v>63</v>
      </c>
      <c r="F2345" s="21" t="s">
        <v>911</v>
      </c>
      <c r="G2345" s="21" t="s">
        <v>912</v>
      </c>
      <c r="H2345" s="21" t="s">
        <v>1502</v>
      </c>
      <c r="I2345" s="21" t="s">
        <v>1503</v>
      </c>
      <c r="J2345" s="21" t="s">
        <v>1000</v>
      </c>
      <c r="K2345" s="21" t="s">
        <v>1088</v>
      </c>
      <c r="L2345" s="21" t="s">
        <v>1506</v>
      </c>
      <c r="M2345" s="21" t="s">
        <v>15</v>
      </c>
      <c r="N2345" s="54">
        <v>122000</v>
      </c>
      <c r="O2345" s="54">
        <v>-77840</v>
      </c>
      <c r="P2345" s="54">
        <v>0</v>
      </c>
      <c r="Q2345" s="54">
        <v>44160</v>
      </c>
      <c r="R2345" s="54">
        <v>79.2</v>
      </c>
      <c r="S2345" s="54">
        <v>5420.8</v>
      </c>
      <c r="T2345" s="54">
        <v>5420.8</v>
      </c>
      <c r="U2345" s="54">
        <v>38739.199999999997</v>
      </c>
      <c r="V2345" s="54">
        <v>38739.199999999997</v>
      </c>
      <c r="W2345" s="54">
        <v>38660</v>
      </c>
    </row>
    <row r="2346" spans="1:23" outlineLevel="2" x14ac:dyDescent="0.2">
      <c r="A2346" s="21" t="s">
        <v>999</v>
      </c>
      <c r="B2346" s="21" t="s">
        <v>1</v>
      </c>
      <c r="C2346" s="21" t="s">
        <v>16</v>
      </c>
      <c r="D2346" s="21" t="s">
        <v>62</v>
      </c>
      <c r="E2346" s="21" t="s">
        <v>63</v>
      </c>
      <c r="F2346" s="21" t="s">
        <v>911</v>
      </c>
      <c r="G2346" s="21" t="s">
        <v>912</v>
      </c>
      <c r="H2346" s="21" t="s">
        <v>1502</v>
      </c>
      <c r="I2346" s="21" t="s">
        <v>1503</v>
      </c>
      <c r="J2346" s="21" t="s">
        <v>1000</v>
      </c>
      <c r="K2346" s="21" t="s">
        <v>1507</v>
      </c>
      <c r="L2346" s="21" t="s">
        <v>1508</v>
      </c>
      <c r="M2346" s="21" t="s">
        <v>15</v>
      </c>
      <c r="N2346" s="54">
        <v>9000</v>
      </c>
      <c r="O2346" s="54">
        <v>0</v>
      </c>
      <c r="P2346" s="54">
        <v>0</v>
      </c>
      <c r="Q2346" s="54">
        <v>9000</v>
      </c>
      <c r="R2346" s="54">
        <v>0</v>
      </c>
      <c r="S2346" s="54">
        <v>0</v>
      </c>
      <c r="T2346" s="54">
        <v>0</v>
      </c>
      <c r="U2346" s="54">
        <v>9000</v>
      </c>
      <c r="V2346" s="54">
        <v>9000</v>
      </c>
      <c r="W2346" s="54">
        <v>9000</v>
      </c>
    </row>
    <row r="2347" spans="1:23" outlineLevel="2" x14ac:dyDescent="0.2">
      <c r="A2347" s="21" t="s">
        <v>999</v>
      </c>
      <c r="B2347" s="21" t="s">
        <v>1</v>
      </c>
      <c r="C2347" s="21" t="s">
        <v>2</v>
      </c>
      <c r="D2347" s="21" t="s">
        <v>630</v>
      </c>
      <c r="E2347" s="21" t="s">
        <v>631</v>
      </c>
      <c r="F2347" s="21" t="s">
        <v>911</v>
      </c>
      <c r="G2347" s="21" t="s">
        <v>912</v>
      </c>
      <c r="H2347" s="21" t="s">
        <v>1509</v>
      </c>
      <c r="I2347" s="21" t="s">
        <v>1510</v>
      </c>
      <c r="J2347" s="21" t="s">
        <v>1000</v>
      </c>
      <c r="K2347" s="21" t="s">
        <v>1017</v>
      </c>
      <c r="L2347" s="21" t="s">
        <v>1435</v>
      </c>
      <c r="M2347" s="21" t="s">
        <v>15</v>
      </c>
      <c r="N2347" s="54">
        <v>85000</v>
      </c>
      <c r="O2347" s="54">
        <v>0</v>
      </c>
      <c r="P2347" s="54">
        <v>0</v>
      </c>
      <c r="Q2347" s="54">
        <v>85000</v>
      </c>
      <c r="R2347" s="54">
        <v>0</v>
      </c>
      <c r="S2347" s="54">
        <v>0</v>
      </c>
      <c r="T2347" s="54">
        <v>0</v>
      </c>
      <c r="U2347" s="54">
        <v>85000</v>
      </c>
      <c r="V2347" s="54">
        <v>85000</v>
      </c>
      <c r="W2347" s="54">
        <v>85000</v>
      </c>
    </row>
    <row r="2348" spans="1:23" outlineLevel="2" x14ac:dyDescent="0.2">
      <c r="A2348" s="21" t="s">
        <v>999</v>
      </c>
      <c r="B2348" s="21" t="s">
        <v>1</v>
      </c>
      <c r="C2348" s="21" t="s">
        <v>2</v>
      </c>
      <c r="D2348" s="21" t="s">
        <v>630</v>
      </c>
      <c r="E2348" s="21" t="s">
        <v>631</v>
      </c>
      <c r="F2348" s="21" t="s">
        <v>911</v>
      </c>
      <c r="G2348" s="21" t="s">
        <v>912</v>
      </c>
      <c r="H2348" s="21" t="s">
        <v>1509</v>
      </c>
      <c r="I2348" s="21" t="s">
        <v>1510</v>
      </c>
      <c r="J2348" s="21" t="s">
        <v>1000</v>
      </c>
      <c r="K2348" s="21" t="s">
        <v>1327</v>
      </c>
      <c r="L2348" s="21" t="s">
        <v>1511</v>
      </c>
      <c r="M2348" s="21" t="s">
        <v>15</v>
      </c>
      <c r="N2348" s="54">
        <v>10000</v>
      </c>
      <c r="O2348" s="54">
        <v>0</v>
      </c>
      <c r="P2348" s="54">
        <v>0</v>
      </c>
      <c r="Q2348" s="54">
        <v>10000</v>
      </c>
      <c r="R2348" s="54">
        <v>0</v>
      </c>
      <c r="S2348" s="54">
        <v>0</v>
      </c>
      <c r="T2348" s="54">
        <v>0</v>
      </c>
      <c r="U2348" s="54">
        <v>10000</v>
      </c>
      <c r="V2348" s="54">
        <v>10000</v>
      </c>
      <c r="W2348" s="54">
        <v>10000</v>
      </c>
    </row>
    <row r="2349" spans="1:23" outlineLevel="2" x14ac:dyDescent="0.2">
      <c r="A2349" s="21" t="s">
        <v>999</v>
      </c>
      <c r="B2349" s="21" t="s">
        <v>1</v>
      </c>
      <c r="C2349" s="21" t="s">
        <v>2</v>
      </c>
      <c r="D2349" s="21" t="s">
        <v>630</v>
      </c>
      <c r="E2349" s="21" t="s">
        <v>631</v>
      </c>
      <c r="F2349" s="21" t="s">
        <v>911</v>
      </c>
      <c r="G2349" s="21" t="s">
        <v>912</v>
      </c>
      <c r="H2349" s="21" t="s">
        <v>1509</v>
      </c>
      <c r="I2349" s="21" t="s">
        <v>1510</v>
      </c>
      <c r="J2349" s="21" t="s">
        <v>1000</v>
      </c>
      <c r="K2349" s="21" t="s">
        <v>1267</v>
      </c>
      <c r="L2349" s="21" t="s">
        <v>1512</v>
      </c>
      <c r="M2349" s="21" t="s">
        <v>15</v>
      </c>
      <c r="N2349" s="54">
        <v>20000</v>
      </c>
      <c r="O2349" s="54">
        <v>0</v>
      </c>
      <c r="P2349" s="54">
        <v>0</v>
      </c>
      <c r="Q2349" s="54">
        <v>20000</v>
      </c>
      <c r="R2349" s="54">
        <v>0</v>
      </c>
      <c r="S2349" s="54">
        <v>0</v>
      </c>
      <c r="T2349" s="54">
        <v>0</v>
      </c>
      <c r="U2349" s="54">
        <v>20000</v>
      </c>
      <c r="V2349" s="54">
        <v>20000</v>
      </c>
      <c r="W2349" s="54">
        <v>20000</v>
      </c>
    </row>
    <row r="2350" spans="1:23" outlineLevel="2" x14ac:dyDescent="0.2">
      <c r="A2350" s="21" t="s">
        <v>999</v>
      </c>
      <c r="B2350" s="21" t="s">
        <v>1</v>
      </c>
      <c r="C2350" s="21" t="s">
        <v>2</v>
      </c>
      <c r="D2350" s="21" t="s">
        <v>630</v>
      </c>
      <c r="E2350" s="21" t="s">
        <v>631</v>
      </c>
      <c r="F2350" s="21" t="s">
        <v>911</v>
      </c>
      <c r="G2350" s="21" t="s">
        <v>912</v>
      </c>
      <c r="H2350" s="21" t="s">
        <v>1509</v>
      </c>
      <c r="I2350" s="21" t="s">
        <v>1510</v>
      </c>
      <c r="J2350" s="21" t="s">
        <v>1000</v>
      </c>
      <c r="K2350" s="21" t="s">
        <v>1029</v>
      </c>
      <c r="L2350" s="21" t="s">
        <v>1440</v>
      </c>
      <c r="M2350" s="21" t="s">
        <v>15</v>
      </c>
      <c r="N2350" s="54">
        <v>30000</v>
      </c>
      <c r="O2350" s="54">
        <v>0</v>
      </c>
      <c r="P2350" s="54">
        <v>0</v>
      </c>
      <c r="Q2350" s="54">
        <v>30000</v>
      </c>
      <c r="R2350" s="54">
        <v>0</v>
      </c>
      <c r="S2350" s="54">
        <v>0</v>
      </c>
      <c r="T2350" s="54">
        <v>0</v>
      </c>
      <c r="U2350" s="54">
        <v>30000</v>
      </c>
      <c r="V2350" s="54">
        <v>30000</v>
      </c>
      <c r="W2350" s="54">
        <v>30000</v>
      </c>
    </row>
    <row r="2351" spans="1:23" outlineLevel="2" x14ac:dyDescent="0.2">
      <c r="A2351" s="21" t="s">
        <v>999</v>
      </c>
      <c r="B2351" s="21" t="s">
        <v>1</v>
      </c>
      <c r="C2351" s="21" t="s">
        <v>2</v>
      </c>
      <c r="D2351" s="21" t="s">
        <v>13</v>
      </c>
      <c r="E2351" s="21" t="s">
        <v>14</v>
      </c>
      <c r="F2351" s="21" t="s">
        <v>911</v>
      </c>
      <c r="G2351" s="21" t="s">
        <v>912</v>
      </c>
      <c r="H2351" s="21" t="s">
        <v>1513</v>
      </c>
      <c r="I2351" s="21" t="s">
        <v>1514</v>
      </c>
      <c r="J2351" s="21" t="s">
        <v>1000</v>
      </c>
      <c r="K2351" s="21" t="s">
        <v>1104</v>
      </c>
      <c r="L2351" s="21" t="s">
        <v>1515</v>
      </c>
      <c r="M2351" s="21" t="s">
        <v>15</v>
      </c>
      <c r="N2351" s="54">
        <v>46709</v>
      </c>
      <c r="O2351" s="54">
        <v>0</v>
      </c>
      <c r="P2351" s="54">
        <v>0</v>
      </c>
      <c r="Q2351" s="54">
        <v>46709</v>
      </c>
      <c r="R2351" s="54">
        <v>0</v>
      </c>
      <c r="S2351" s="54">
        <v>14000</v>
      </c>
      <c r="T2351" s="54">
        <v>2012.17</v>
      </c>
      <c r="U2351" s="54">
        <v>32709</v>
      </c>
      <c r="V2351" s="54">
        <v>44696.83</v>
      </c>
      <c r="W2351" s="54">
        <v>32709</v>
      </c>
    </row>
    <row r="2352" spans="1:23" outlineLevel="2" x14ac:dyDescent="0.2">
      <c r="A2352" s="21" t="s">
        <v>999</v>
      </c>
      <c r="B2352" s="21" t="s">
        <v>1</v>
      </c>
      <c r="C2352" s="21" t="s">
        <v>2</v>
      </c>
      <c r="D2352" s="21" t="s">
        <v>13</v>
      </c>
      <c r="E2352" s="21" t="s">
        <v>14</v>
      </c>
      <c r="F2352" s="21" t="s">
        <v>911</v>
      </c>
      <c r="G2352" s="21" t="s">
        <v>912</v>
      </c>
      <c r="H2352" s="21" t="s">
        <v>1513</v>
      </c>
      <c r="I2352" s="21" t="s">
        <v>1514</v>
      </c>
      <c r="J2352" s="21" t="s">
        <v>1000</v>
      </c>
      <c r="K2352" s="21" t="s">
        <v>1298</v>
      </c>
      <c r="L2352" s="21" t="s">
        <v>1516</v>
      </c>
      <c r="M2352" s="21" t="s">
        <v>15</v>
      </c>
      <c r="N2352" s="54">
        <v>5000</v>
      </c>
      <c r="O2352" s="54">
        <v>0</v>
      </c>
      <c r="P2352" s="54">
        <v>0</v>
      </c>
      <c r="Q2352" s="54">
        <v>5000</v>
      </c>
      <c r="R2352" s="54">
        <v>0</v>
      </c>
      <c r="S2352" s="54">
        <v>0</v>
      </c>
      <c r="T2352" s="54">
        <v>0</v>
      </c>
      <c r="U2352" s="54">
        <v>5000</v>
      </c>
      <c r="V2352" s="54">
        <v>5000</v>
      </c>
      <c r="W2352" s="54">
        <v>5000</v>
      </c>
    </row>
    <row r="2353" spans="1:23" outlineLevel="2" x14ac:dyDescent="0.2">
      <c r="A2353" s="21" t="s">
        <v>999</v>
      </c>
      <c r="B2353" s="21" t="s">
        <v>1</v>
      </c>
      <c r="C2353" s="21" t="s">
        <v>2</v>
      </c>
      <c r="D2353" s="21" t="s">
        <v>13</v>
      </c>
      <c r="E2353" s="21" t="s">
        <v>14</v>
      </c>
      <c r="F2353" s="21" t="s">
        <v>911</v>
      </c>
      <c r="G2353" s="21" t="s">
        <v>912</v>
      </c>
      <c r="H2353" s="21" t="s">
        <v>1513</v>
      </c>
      <c r="I2353" s="21" t="s">
        <v>1514</v>
      </c>
      <c r="J2353" s="21" t="s">
        <v>1000</v>
      </c>
      <c r="K2353" s="21" t="s">
        <v>1003</v>
      </c>
      <c r="L2353" s="21" t="s">
        <v>1517</v>
      </c>
      <c r="M2353" s="21" t="s">
        <v>15</v>
      </c>
      <c r="N2353" s="54">
        <v>175322.04</v>
      </c>
      <c r="O2353" s="54">
        <v>0</v>
      </c>
      <c r="P2353" s="54">
        <v>0</v>
      </c>
      <c r="Q2353" s="54">
        <v>175322.04</v>
      </c>
      <c r="R2353" s="54">
        <v>0</v>
      </c>
      <c r="S2353" s="54">
        <v>0</v>
      </c>
      <c r="T2353" s="54">
        <v>0</v>
      </c>
      <c r="U2353" s="54">
        <v>175322.04</v>
      </c>
      <c r="V2353" s="54">
        <v>175322.04</v>
      </c>
      <c r="W2353" s="54">
        <v>175322.04</v>
      </c>
    </row>
    <row r="2354" spans="1:23" outlineLevel="2" x14ac:dyDescent="0.2">
      <c r="A2354" s="21" t="s">
        <v>999</v>
      </c>
      <c r="B2354" s="21" t="s">
        <v>1</v>
      </c>
      <c r="C2354" s="21" t="s">
        <v>2</v>
      </c>
      <c r="D2354" s="21" t="s">
        <v>13</v>
      </c>
      <c r="E2354" s="21" t="s">
        <v>14</v>
      </c>
      <c r="F2354" s="21" t="s">
        <v>911</v>
      </c>
      <c r="G2354" s="21" t="s">
        <v>912</v>
      </c>
      <c r="H2354" s="21" t="s">
        <v>1513</v>
      </c>
      <c r="I2354" s="21" t="s">
        <v>1514</v>
      </c>
      <c r="J2354" s="21" t="s">
        <v>1000</v>
      </c>
      <c r="K2354" s="21" t="s">
        <v>1228</v>
      </c>
      <c r="L2354" s="21" t="s">
        <v>1518</v>
      </c>
      <c r="M2354" s="21" t="s">
        <v>15</v>
      </c>
      <c r="N2354" s="54">
        <v>20000</v>
      </c>
      <c r="O2354" s="54">
        <v>0</v>
      </c>
      <c r="P2354" s="54">
        <v>0</v>
      </c>
      <c r="Q2354" s="54">
        <v>20000</v>
      </c>
      <c r="R2354" s="54">
        <v>0</v>
      </c>
      <c r="S2354" s="54">
        <v>0</v>
      </c>
      <c r="T2354" s="54">
        <v>0</v>
      </c>
      <c r="U2354" s="54">
        <v>20000</v>
      </c>
      <c r="V2354" s="54">
        <v>20000</v>
      </c>
      <c r="W2354" s="54">
        <v>20000</v>
      </c>
    </row>
    <row r="2355" spans="1:23" outlineLevel="2" x14ac:dyDescent="0.2">
      <c r="A2355" s="21" t="s">
        <v>999</v>
      </c>
      <c r="B2355" s="21" t="s">
        <v>1</v>
      </c>
      <c r="C2355" s="21" t="s">
        <v>2</v>
      </c>
      <c r="D2355" s="21" t="s">
        <v>13</v>
      </c>
      <c r="E2355" s="21" t="s">
        <v>14</v>
      </c>
      <c r="F2355" s="21" t="s">
        <v>911</v>
      </c>
      <c r="G2355" s="21" t="s">
        <v>912</v>
      </c>
      <c r="H2355" s="21" t="s">
        <v>1513</v>
      </c>
      <c r="I2355" s="21" t="s">
        <v>1514</v>
      </c>
      <c r="J2355" s="21" t="s">
        <v>1000</v>
      </c>
      <c r="K2355" s="21" t="s">
        <v>1116</v>
      </c>
      <c r="L2355" s="21" t="s">
        <v>1453</v>
      </c>
      <c r="M2355" s="21" t="s">
        <v>15</v>
      </c>
      <c r="N2355" s="54">
        <v>12000</v>
      </c>
      <c r="O2355" s="54">
        <v>0</v>
      </c>
      <c r="P2355" s="54">
        <v>0</v>
      </c>
      <c r="Q2355" s="54">
        <v>12000</v>
      </c>
      <c r="R2355" s="54">
        <v>0.01</v>
      </c>
      <c r="S2355" s="54">
        <v>5556.41</v>
      </c>
      <c r="T2355" s="54">
        <v>0</v>
      </c>
      <c r="U2355" s="54">
        <v>6443.59</v>
      </c>
      <c r="V2355" s="54">
        <v>12000</v>
      </c>
      <c r="W2355" s="54">
        <v>6443.58</v>
      </c>
    </row>
    <row r="2356" spans="1:23" outlineLevel="2" x14ac:dyDescent="0.2">
      <c r="A2356" s="21" t="s">
        <v>999</v>
      </c>
      <c r="B2356" s="21" t="s">
        <v>1</v>
      </c>
      <c r="C2356" s="21" t="s">
        <v>2</v>
      </c>
      <c r="D2356" s="21" t="s">
        <v>13</v>
      </c>
      <c r="E2356" s="21" t="s">
        <v>14</v>
      </c>
      <c r="F2356" s="21" t="s">
        <v>911</v>
      </c>
      <c r="G2356" s="21" t="s">
        <v>912</v>
      </c>
      <c r="H2356" s="21" t="s">
        <v>1513</v>
      </c>
      <c r="I2356" s="21" t="s">
        <v>1514</v>
      </c>
      <c r="J2356" s="21" t="s">
        <v>1000</v>
      </c>
      <c r="K2356" s="21" t="s">
        <v>1120</v>
      </c>
      <c r="L2356" s="21" t="s">
        <v>1519</v>
      </c>
      <c r="M2356" s="21" t="s">
        <v>15</v>
      </c>
      <c r="N2356" s="54">
        <v>2900</v>
      </c>
      <c r="O2356" s="54">
        <v>0</v>
      </c>
      <c r="P2356" s="54">
        <v>0</v>
      </c>
      <c r="Q2356" s="54">
        <v>2900</v>
      </c>
      <c r="R2356" s="54">
        <v>0</v>
      </c>
      <c r="S2356" s="54">
        <v>0</v>
      </c>
      <c r="T2356" s="54">
        <v>0</v>
      </c>
      <c r="U2356" s="54">
        <v>2900</v>
      </c>
      <c r="V2356" s="54">
        <v>2900</v>
      </c>
      <c r="W2356" s="54">
        <v>2900</v>
      </c>
    </row>
    <row r="2357" spans="1:23" outlineLevel="2" x14ac:dyDescent="0.2">
      <c r="A2357" s="21" t="s">
        <v>999</v>
      </c>
      <c r="B2357" s="21" t="s">
        <v>1</v>
      </c>
      <c r="C2357" s="21" t="s">
        <v>2</v>
      </c>
      <c r="D2357" s="21" t="s">
        <v>20</v>
      </c>
      <c r="E2357" s="21" t="s">
        <v>21</v>
      </c>
      <c r="F2357" s="21" t="s">
        <v>911</v>
      </c>
      <c r="G2357" s="21" t="s">
        <v>912</v>
      </c>
      <c r="H2357" s="21" t="s">
        <v>1520</v>
      </c>
      <c r="I2357" s="21" t="s">
        <v>1521</v>
      </c>
      <c r="J2357" s="21" t="s">
        <v>1000</v>
      </c>
      <c r="K2357" s="21" t="s">
        <v>1017</v>
      </c>
      <c r="L2357" s="21" t="s">
        <v>1435</v>
      </c>
      <c r="M2357" s="21" t="s">
        <v>15</v>
      </c>
      <c r="N2357" s="54">
        <v>170000</v>
      </c>
      <c r="O2357" s="54">
        <v>0</v>
      </c>
      <c r="P2357" s="54">
        <v>0</v>
      </c>
      <c r="Q2357" s="54">
        <v>170000</v>
      </c>
      <c r="R2357" s="54">
        <v>0</v>
      </c>
      <c r="S2357" s="54">
        <v>0</v>
      </c>
      <c r="T2357" s="54">
        <v>0</v>
      </c>
      <c r="U2357" s="54">
        <v>170000</v>
      </c>
      <c r="V2357" s="54">
        <v>170000</v>
      </c>
      <c r="W2357" s="54">
        <v>170000</v>
      </c>
    </row>
    <row r="2358" spans="1:23" outlineLevel="2" x14ac:dyDescent="0.2">
      <c r="A2358" s="21" t="s">
        <v>999</v>
      </c>
      <c r="B2358" s="21" t="s">
        <v>1</v>
      </c>
      <c r="C2358" s="21" t="s">
        <v>2</v>
      </c>
      <c r="D2358" s="21" t="s">
        <v>20</v>
      </c>
      <c r="E2358" s="21" t="s">
        <v>21</v>
      </c>
      <c r="F2358" s="21" t="s">
        <v>911</v>
      </c>
      <c r="G2358" s="21" t="s">
        <v>912</v>
      </c>
      <c r="H2358" s="21" t="s">
        <v>1520</v>
      </c>
      <c r="I2358" s="21" t="s">
        <v>1521</v>
      </c>
      <c r="J2358" s="21" t="s">
        <v>1000</v>
      </c>
      <c r="K2358" s="21" t="s">
        <v>1267</v>
      </c>
      <c r="L2358" s="21" t="s">
        <v>1512</v>
      </c>
      <c r="M2358" s="21" t="s">
        <v>15</v>
      </c>
      <c r="N2358" s="54">
        <v>120000</v>
      </c>
      <c r="O2358" s="54">
        <v>0</v>
      </c>
      <c r="P2358" s="54">
        <v>0</v>
      </c>
      <c r="Q2358" s="54">
        <v>120000</v>
      </c>
      <c r="R2358" s="54">
        <v>0</v>
      </c>
      <c r="S2358" s="54">
        <v>0</v>
      </c>
      <c r="T2358" s="54">
        <v>0</v>
      </c>
      <c r="U2358" s="54">
        <v>120000</v>
      </c>
      <c r="V2358" s="54">
        <v>120000</v>
      </c>
      <c r="W2358" s="54">
        <v>120000</v>
      </c>
    </row>
    <row r="2359" spans="1:23" outlineLevel="2" x14ac:dyDescent="0.2">
      <c r="A2359" s="21" t="s">
        <v>999</v>
      </c>
      <c r="B2359" s="21" t="s">
        <v>1</v>
      </c>
      <c r="C2359" s="21" t="s">
        <v>2</v>
      </c>
      <c r="D2359" s="21" t="s">
        <v>589</v>
      </c>
      <c r="E2359" s="21" t="s">
        <v>590</v>
      </c>
      <c r="F2359" s="21" t="s">
        <v>911</v>
      </c>
      <c r="G2359" s="21" t="s">
        <v>912</v>
      </c>
      <c r="H2359" s="21" t="s">
        <v>931</v>
      </c>
      <c r="I2359" s="21" t="s">
        <v>932</v>
      </c>
      <c r="J2359" s="21" t="s">
        <v>1000</v>
      </c>
      <c r="K2359" s="21" t="s">
        <v>1058</v>
      </c>
      <c r="L2359" s="21" t="s">
        <v>1444</v>
      </c>
      <c r="M2359" s="21" t="s">
        <v>15</v>
      </c>
      <c r="N2359" s="54">
        <v>0</v>
      </c>
      <c r="O2359" s="54">
        <v>20000</v>
      </c>
      <c r="P2359" s="54">
        <v>0</v>
      </c>
      <c r="Q2359" s="54">
        <v>20000</v>
      </c>
      <c r="R2359" s="54">
        <v>0</v>
      </c>
      <c r="S2359" s="54">
        <v>0</v>
      </c>
      <c r="T2359" s="54">
        <v>0</v>
      </c>
      <c r="U2359" s="54">
        <v>20000</v>
      </c>
      <c r="V2359" s="54">
        <v>20000</v>
      </c>
      <c r="W2359" s="54">
        <v>20000</v>
      </c>
    </row>
    <row r="2360" spans="1:23" outlineLevel="2" x14ac:dyDescent="0.2">
      <c r="A2360" s="21" t="s">
        <v>999</v>
      </c>
      <c r="B2360" s="21" t="s">
        <v>1</v>
      </c>
      <c r="C2360" s="21" t="s">
        <v>2</v>
      </c>
      <c r="D2360" s="21" t="s">
        <v>589</v>
      </c>
      <c r="E2360" s="21" t="s">
        <v>590</v>
      </c>
      <c r="F2360" s="21" t="s">
        <v>911</v>
      </c>
      <c r="G2360" s="21" t="s">
        <v>912</v>
      </c>
      <c r="H2360" s="21" t="s">
        <v>931</v>
      </c>
      <c r="I2360" s="21" t="s">
        <v>932</v>
      </c>
      <c r="J2360" s="21" t="s">
        <v>1000</v>
      </c>
      <c r="K2360" s="21" t="s">
        <v>1003</v>
      </c>
      <c r="L2360" s="21" t="s">
        <v>1517</v>
      </c>
      <c r="M2360" s="21" t="s">
        <v>15</v>
      </c>
      <c r="N2360" s="54">
        <v>0</v>
      </c>
      <c r="O2360" s="54">
        <v>354323.6</v>
      </c>
      <c r="P2360" s="54">
        <v>0</v>
      </c>
      <c r="Q2360" s="54">
        <v>354323.6</v>
      </c>
      <c r="R2360" s="54">
        <v>0</v>
      </c>
      <c r="S2360" s="54">
        <v>0</v>
      </c>
      <c r="T2360" s="54">
        <v>0</v>
      </c>
      <c r="U2360" s="54">
        <v>354323.6</v>
      </c>
      <c r="V2360" s="54">
        <v>354323.6</v>
      </c>
      <c r="W2360" s="54">
        <v>354323.6</v>
      </c>
    </row>
    <row r="2361" spans="1:23" outlineLevel="2" x14ac:dyDescent="0.2">
      <c r="A2361" s="21" t="s">
        <v>999</v>
      </c>
      <c r="B2361" s="21" t="s">
        <v>1</v>
      </c>
      <c r="C2361" s="21" t="s">
        <v>2</v>
      </c>
      <c r="D2361" s="21" t="s">
        <v>589</v>
      </c>
      <c r="E2361" s="21" t="s">
        <v>590</v>
      </c>
      <c r="F2361" s="21" t="s">
        <v>911</v>
      </c>
      <c r="G2361" s="21" t="s">
        <v>912</v>
      </c>
      <c r="H2361" s="21" t="s">
        <v>931</v>
      </c>
      <c r="I2361" s="21" t="s">
        <v>932</v>
      </c>
      <c r="J2361" s="21" t="s">
        <v>1000</v>
      </c>
      <c r="K2361" s="21" t="s">
        <v>1029</v>
      </c>
      <c r="L2361" s="21" t="s">
        <v>1440</v>
      </c>
      <c r="M2361" s="21" t="s">
        <v>15</v>
      </c>
      <c r="N2361" s="54">
        <v>427694</v>
      </c>
      <c r="O2361" s="54">
        <v>-427693.96</v>
      </c>
      <c r="P2361" s="54">
        <v>0</v>
      </c>
      <c r="Q2361" s="54">
        <v>0.04</v>
      </c>
      <c r="R2361" s="54">
        <v>0</v>
      </c>
      <c r="S2361" s="54">
        <v>0</v>
      </c>
      <c r="T2361" s="54">
        <v>0</v>
      </c>
      <c r="U2361" s="54">
        <v>0.04</v>
      </c>
      <c r="V2361" s="54">
        <v>0.04</v>
      </c>
      <c r="W2361" s="54">
        <v>0.04</v>
      </c>
    </row>
    <row r="2362" spans="1:23" outlineLevel="2" x14ac:dyDescent="0.2">
      <c r="A2362" s="21" t="s">
        <v>999</v>
      </c>
      <c r="B2362" s="21" t="s">
        <v>1</v>
      </c>
      <c r="C2362" s="21" t="s">
        <v>2</v>
      </c>
      <c r="D2362" s="21" t="s">
        <v>505</v>
      </c>
      <c r="E2362" s="21" t="s">
        <v>506</v>
      </c>
      <c r="F2362" s="21" t="s">
        <v>911</v>
      </c>
      <c r="G2362" s="21" t="s">
        <v>912</v>
      </c>
      <c r="H2362" s="21" t="s">
        <v>1522</v>
      </c>
      <c r="I2362" s="21" t="s">
        <v>1523</v>
      </c>
      <c r="J2362" s="21" t="s">
        <v>1000</v>
      </c>
      <c r="K2362" s="21" t="s">
        <v>1524</v>
      </c>
      <c r="L2362" s="21" t="s">
        <v>1525</v>
      </c>
      <c r="M2362" s="21" t="s">
        <v>15</v>
      </c>
      <c r="N2362" s="54">
        <v>20000</v>
      </c>
      <c r="O2362" s="54">
        <v>-8000</v>
      </c>
      <c r="P2362" s="54">
        <v>0</v>
      </c>
      <c r="Q2362" s="54">
        <v>12000</v>
      </c>
      <c r="R2362" s="54">
        <v>0</v>
      </c>
      <c r="S2362" s="54">
        <v>0</v>
      </c>
      <c r="T2362" s="54">
        <v>0</v>
      </c>
      <c r="U2362" s="54">
        <v>12000</v>
      </c>
      <c r="V2362" s="54">
        <v>12000</v>
      </c>
      <c r="W2362" s="54">
        <v>12000</v>
      </c>
    </row>
    <row r="2363" spans="1:23" outlineLevel="2" x14ac:dyDescent="0.2">
      <c r="A2363" s="21" t="s">
        <v>999</v>
      </c>
      <c r="B2363" s="21" t="s">
        <v>1</v>
      </c>
      <c r="C2363" s="21" t="s">
        <v>2</v>
      </c>
      <c r="D2363" s="21" t="s">
        <v>505</v>
      </c>
      <c r="E2363" s="21" t="s">
        <v>506</v>
      </c>
      <c r="F2363" s="21" t="s">
        <v>911</v>
      </c>
      <c r="G2363" s="21" t="s">
        <v>912</v>
      </c>
      <c r="H2363" s="21" t="s">
        <v>1522</v>
      </c>
      <c r="I2363" s="21" t="s">
        <v>1523</v>
      </c>
      <c r="J2363" s="21" t="s">
        <v>1000</v>
      </c>
      <c r="K2363" s="21" t="s">
        <v>1003</v>
      </c>
      <c r="L2363" s="21" t="s">
        <v>1517</v>
      </c>
      <c r="M2363" s="21" t="s">
        <v>15</v>
      </c>
      <c r="N2363" s="54">
        <v>186317</v>
      </c>
      <c r="O2363" s="54">
        <v>-96092.75</v>
      </c>
      <c r="P2363" s="54">
        <v>0</v>
      </c>
      <c r="Q2363" s="54">
        <v>90224.25</v>
      </c>
      <c r="R2363" s="54">
        <v>0</v>
      </c>
      <c r="S2363" s="54">
        <v>0</v>
      </c>
      <c r="T2363" s="54">
        <v>0</v>
      </c>
      <c r="U2363" s="54">
        <v>90224.25</v>
      </c>
      <c r="V2363" s="54">
        <v>90224.25</v>
      </c>
      <c r="W2363" s="54">
        <v>90224.25</v>
      </c>
    </row>
    <row r="2364" spans="1:23" outlineLevel="2" x14ac:dyDescent="0.2">
      <c r="A2364" s="21" t="s">
        <v>999</v>
      </c>
      <c r="B2364" s="21" t="s">
        <v>1</v>
      </c>
      <c r="C2364" s="21" t="s">
        <v>2</v>
      </c>
      <c r="D2364" s="21" t="s">
        <v>505</v>
      </c>
      <c r="E2364" s="21" t="s">
        <v>506</v>
      </c>
      <c r="F2364" s="21" t="s">
        <v>911</v>
      </c>
      <c r="G2364" s="21" t="s">
        <v>912</v>
      </c>
      <c r="H2364" s="21" t="s">
        <v>1522</v>
      </c>
      <c r="I2364" s="21" t="s">
        <v>1523</v>
      </c>
      <c r="J2364" s="21" t="s">
        <v>1000</v>
      </c>
      <c r="K2364" s="21" t="s">
        <v>1013</v>
      </c>
      <c r="L2364" s="21" t="s">
        <v>1434</v>
      </c>
      <c r="M2364" s="21" t="s">
        <v>15</v>
      </c>
      <c r="N2364" s="54">
        <v>100000</v>
      </c>
      <c r="O2364" s="54">
        <v>-3000</v>
      </c>
      <c r="P2364" s="54">
        <v>0</v>
      </c>
      <c r="Q2364" s="54">
        <v>97000</v>
      </c>
      <c r="R2364" s="54">
        <v>0</v>
      </c>
      <c r="S2364" s="54">
        <v>0</v>
      </c>
      <c r="T2364" s="54">
        <v>0</v>
      </c>
      <c r="U2364" s="54">
        <v>97000</v>
      </c>
      <c r="V2364" s="54">
        <v>97000</v>
      </c>
      <c r="W2364" s="54">
        <v>97000</v>
      </c>
    </row>
    <row r="2365" spans="1:23" outlineLevel="2" x14ac:dyDescent="0.2">
      <c r="A2365" s="21" t="s">
        <v>999</v>
      </c>
      <c r="B2365" s="21" t="s">
        <v>1</v>
      </c>
      <c r="C2365" s="21" t="s">
        <v>2</v>
      </c>
      <c r="D2365" s="21" t="s">
        <v>505</v>
      </c>
      <c r="E2365" s="21" t="s">
        <v>506</v>
      </c>
      <c r="F2365" s="21" t="s">
        <v>911</v>
      </c>
      <c r="G2365" s="21" t="s">
        <v>912</v>
      </c>
      <c r="H2365" s="21" t="s">
        <v>1522</v>
      </c>
      <c r="I2365" s="21" t="s">
        <v>1523</v>
      </c>
      <c r="J2365" s="21" t="s">
        <v>1000</v>
      </c>
      <c r="K2365" s="21" t="s">
        <v>1029</v>
      </c>
      <c r="L2365" s="21" t="s">
        <v>1440</v>
      </c>
      <c r="M2365" s="21" t="s">
        <v>15</v>
      </c>
      <c r="N2365" s="54">
        <v>0</v>
      </c>
      <c r="O2365" s="54">
        <v>7840</v>
      </c>
      <c r="P2365" s="54">
        <v>0</v>
      </c>
      <c r="Q2365" s="54">
        <v>7840</v>
      </c>
      <c r="R2365" s="54">
        <v>0</v>
      </c>
      <c r="S2365" s="54">
        <v>5880</v>
      </c>
      <c r="T2365" s="54">
        <v>224</v>
      </c>
      <c r="U2365" s="54">
        <v>1960</v>
      </c>
      <c r="V2365" s="54">
        <v>7616</v>
      </c>
      <c r="W2365" s="54">
        <v>1960</v>
      </c>
    </row>
    <row r="2366" spans="1:23" outlineLevel="2" x14ac:dyDescent="0.2">
      <c r="A2366" s="21" t="s">
        <v>999</v>
      </c>
      <c r="B2366" s="21" t="s">
        <v>1</v>
      </c>
      <c r="C2366" s="21" t="s">
        <v>2</v>
      </c>
      <c r="D2366" s="21" t="s">
        <v>505</v>
      </c>
      <c r="E2366" s="21" t="s">
        <v>506</v>
      </c>
      <c r="F2366" s="21" t="s">
        <v>911</v>
      </c>
      <c r="G2366" s="21" t="s">
        <v>912</v>
      </c>
      <c r="H2366" s="21" t="s">
        <v>1522</v>
      </c>
      <c r="I2366" s="21" t="s">
        <v>1523</v>
      </c>
      <c r="J2366" s="21" t="s">
        <v>1000</v>
      </c>
      <c r="K2366" s="21" t="s">
        <v>1082</v>
      </c>
      <c r="L2366" s="21" t="s">
        <v>1526</v>
      </c>
      <c r="M2366" s="21" t="s">
        <v>15</v>
      </c>
      <c r="N2366" s="54">
        <v>10000</v>
      </c>
      <c r="O2366" s="54">
        <v>-10000</v>
      </c>
      <c r="P2366" s="54">
        <v>0</v>
      </c>
      <c r="Q2366" s="54">
        <v>0</v>
      </c>
      <c r="R2366" s="54">
        <v>0</v>
      </c>
      <c r="S2366" s="54">
        <v>0</v>
      </c>
      <c r="T2366" s="54">
        <v>0</v>
      </c>
      <c r="U2366" s="54">
        <v>0</v>
      </c>
      <c r="V2366" s="54">
        <v>0</v>
      </c>
      <c r="W2366" s="54">
        <v>0</v>
      </c>
    </row>
    <row r="2367" spans="1:23" outlineLevel="2" x14ac:dyDescent="0.2">
      <c r="A2367" s="21" t="s">
        <v>999</v>
      </c>
      <c r="B2367" s="21" t="s">
        <v>1</v>
      </c>
      <c r="C2367" s="21" t="s">
        <v>2</v>
      </c>
      <c r="D2367" s="21" t="s">
        <v>505</v>
      </c>
      <c r="E2367" s="21" t="s">
        <v>506</v>
      </c>
      <c r="F2367" s="21" t="s">
        <v>911</v>
      </c>
      <c r="G2367" s="21" t="s">
        <v>912</v>
      </c>
      <c r="H2367" s="21" t="s">
        <v>1522</v>
      </c>
      <c r="I2367" s="21" t="s">
        <v>1523</v>
      </c>
      <c r="J2367" s="21" t="s">
        <v>1000</v>
      </c>
      <c r="K2367" s="21" t="s">
        <v>1120</v>
      </c>
      <c r="L2367" s="21" t="s">
        <v>1519</v>
      </c>
      <c r="M2367" s="21" t="s">
        <v>15</v>
      </c>
      <c r="N2367" s="54">
        <v>154000</v>
      </c>
      <c r="O2367" s="54">
        <v>-154000</v>
      </c>
      <c r="P2367" s="54">
        <v>0</v>
      </c>
      <c r="Q2367" s="54">
        <v>0</v>
      </c>
      <c r="R2367" s="54">
        <v>0</v>
      </c>
      <c r="S2367" s="54">
        <v>0</v>
      </c>
      <c r="T2367" s="54">
        <v>0</v>
      </c>
      <c r="U2367" s="54">
        <v>0</v>
      </c>
      <c r="V2367" s="54">
        <v>0</v>
      </c>
      <c r="W2367" s="54">
        <v>0</v>
      </c>
    </row>
    <row r="2368" spans="1:23" outlineLevel="2" x14ac:dyDescent="0.2">
      <c r="A2368" s="21" t="s">
        <v>999</v>
      </c>
      <c r="B2368" s="21" t="s">
        <v>1</v>
      </c>
      <c r="C2368" s="21" t="s">
        <v>2</v>
      </c>
      <c r="D2368" s="21" t="s">
        <v>20</v>
      </c>
      <c r="E2368" s="21" t="s">
        <v>21</v>
      </c>
      <c r="F2368" s="21" t="s">
        <v>911</v>
      </c>
      <c r="G2368" s="21" t="s">
        <v>912</v>
      </c>
      <c r="H2368" s="21" t="s">
        <v>1527</v>
      </c>
      <c r="I2368" s="21" t="s">
        <v>1528</v>
      </c>
      <c r="J2368" s="21" t="s">
        <v>1000</v>
      </c>
      <c r="K2368" s="21" t="s">
        <v>1017</v>
      </c>
      <c r="L2368" s="21" t="s">
        <v>1435</v>
      </c>
      <c r="M2368" s="21" t="s">
        <v>15</v>
      </c>
      <c r="N2368" s="54">
        <v>50000</v>
      </c>
      <c r="O2368" s="54">
        <v>0</v>
      </c>
      <c r="P2368" s="54">
        <v>0</v>
      </c>
      <c r="Q2368" s="54">
        <v>50000</v>
      </c>
      <c r="R2368" s="54">
        <v>0</v>
      </c>
      <c r="S2368" s="54">
        <v>0</v>
      </c>
      <c r="T2368" s="54">
        <v>0</v>
      </c>
      <c r="U2368" s="54">
        <v>50000</v>
      </c>
      <c r="V2368" s="54">
        <v>50000</v>
      </c>
      <c r="W2368" s="54">
        <v>50000</v>
      </c>
    </row>
    <row r="2369" spans="1:23" outlineLevel="2" x14ac:dyDescent="0.2">
      <c r="A2369" s="21" t="s">
        <v>999</v>
      </c>
      <c r="B2369" s="21" t="s">
        <v>1</v>
      </c>
      <c r="C2369" s="21" t="s">
        <v>2</v>
      </c>
      <c r="D2369" s="21" t="s">
        <v>20</v>
      </c>
      <c r="E2369" s="21" t="s">
        <v>21</v>
      </c>
      <c r="F2369" s="21" t="s">
        <v>911</v>
      </c>
      <c r="G2369" s="21" t="s">
        <v>912</v>
      </c>
      <c r="H2369" s="21" t="s">
        <v>1527</v>
      </c>
      <c r="I2369" s="21" t="s">
        <v>1528</v>
      </c>
      <c r="J2369" s="21" t="s">
        <v>1000</v>
      </c>
      <c r="K2369" s="21" t="s">
        <v>1029</v>
      </c>
      <c r="L2369" s="21" t="s">
        <v>1440</v>
      </c>
      <c r="M2369" s="21" t="s">
        <v>15</v>
      </c>
      <c r="N2369" s="54">
        <v>250000</v>
      </c>
      <c r="O2369" s="54">
        <v>0</v>
      </c>
      <c r="P2369" s="54">
        <v>0</v>
      </c>
      <c r="Q2369" s="54">
        <v>250000</v>
      </c>
      <c r="R2369" s="54">
        <v>0</v>
      </c>
      <c r="S2369" s="54">
        <v>0</v>
      </c>
      <c r="T2369" s="54">
        <v>0</v>
      </c>
      <c r="U2369" s="54">
        <v>250000</v>
      </c>
      <c r="V2369" s="54">
        <v>250000</v>
      </c>
      <c r="W2369" s="54">
        <v>250000</v>
      </c>
    </row>
    <row r="2370" spans="1:23" outlineLevel="2" x14ac:dyDescent="0.2">
      <c r="A2370" s="21" t="s">
        <v>999</v>
      </c>
      <c r="B2370" s="21" t="s">
        <v>1</v>
      </c>
      <c r="C2370" s="21" t="s">
        <v>91</v>
      </c>
      <c r="D2370" s="21" t="s">
        <v>92</v>
      </c>
      <c r="E2370" s="21" t="s">
        <v>93</v>
      </c>
      <c r="F2370" s="21" t="s">
        <v>911</v>
      </c>
      <c r="G2370" s="21" t="s">
        <v>912</v>
      </c>
      <c r="H2370" s="21" t="s">
        <v>1529</v>
      </c>
      <c r="I2370" s="21" t="s">
        <v>1530</v>
      </c>
      <c r="J2370" s="21" t="s">
        <v>1000</v>
      </c>
      <c r="K2370" s="21" t="s">
        <v>1104</v>
      </c>
      <c r="L2370" s="21" t="s">
        <v>1454</v>
      </c>
      <c r="M2370" s="21" t="s">
        <v>15</v>
      </c>
      <c r="N2370" s="54">
        <v>29200</v>
      </c>
      <c r="O2370" s="54">
        <v>-29200</v>
      </c>
      <c r="P2370" s="54">
        <v>0</v>
      </c>
      <c r="Q2370" s="54">
        <v>0</v>
      </c>
      <c r="R2370" s="54">
        <v>0</v>
      </c>
      <c r="S2370" s="54">
        <v>0</v>
      </c>
      <c r="T2370" s="54">
        <v>0</v>
      </c>
      <c r="U2370" s="54">
        <v>0</v>
      </c>
      <c r="V2370" s="54">
        <v>0</v>
      </c>
      <c r="W2370" s="54">
        <v>0</v>
      </c>
    </row>
    <row r="2371" spans="1:23" outlineLevel="2" x14ac:dyDescent="0.2">
      <c r="A2371" s="21" t="s">
        <v>999</v>
      </c>
      <c r="B2371" s="21" t="s">
        <v>1</v>
      </c>
      <c r="C2371" s="21" t="s">
        <v>91</v>
      </c>
      <c r="D2371" s="21" t="s">
        <v>92</v>
      </c>
      <c r="E2371" s="21" t="s">
        <v>93</v>
      </c>
      <c r="F2371" s="21" t="s">
        <v>911</v>
      </c>
      <c r="G2371" s="21" t="s">
        <v>912</v>
      </c>
      <c r="H2371" s="21" t="s">
        <v>1529</v>
      </c>
      <c r="I2371" s="21" t="s">
        <v>1530</v>
      </c>
      <c r="J2371" s="21" t="s">
        <v>1000</v>
      </c>
      <c r="K2371" s="21" t="s">
        <v>1013</v>
      </c>
      <c r="L2371" s="21" t="s">
        <v>1463</v>
      </c>
      <c r="M2371" s="21" t="s">
        <v>15</v>
      </c>
      <c r="N2371" s="54">
        <v>25000</v>
      </c>
      <c r="O2371" s="54">
        <v>0</v>
      </c>
      <c r="P2371" s="54">
        <v>0</v>
      </c>
      <c r="Q2371" s="54">
        <v>25000</v>
      </c>
      <c r="R2371" s="54">
        <v>0</v>
      </c>
      <c r="S2371" s="54">
        <v>0</v>
      </c>
      <c r="T2371" s="54">
        <v>0</v>
      </c>
      <c r="U2371" s="54">
        <v>25000</v>
      </c>
      <c r="V2371" s="54">
        <v>25000</v>
      </c>
      <c r="W2371" s="54">
        <v>25000</v>
      </c>
    </row>
    <row r="2372" spans="1:23" outlineLevel="2" x14ac:dyDescent="0.2">
      <c r="A2372" s="21" t="s">
        <v>999</v>
      </c>
      <c r="B2372" s="21" t="s">
        <v>1</v>
      </c>
      <c r="C2372" s="21" t="s">
        <v>91</v>
      </c>
      <c r="D2372" s="21" t="s">
        <v>92</v>
      </c>
      <c r="E2372" s="21" t="s">
        <v>93</v>
      </c>
      <c r="F2372" s="21" t="s">
        <v>911</v>
      </c>
      <c r="G2372" s="21" t="s">
        <v>912</v>
      </c>
      <c r="H2372" s="21" t="s">
        <v>1529</v>
      </c>
      <c r="I2372" s="21" t="s">
        <v>1530</v>
      </c>
      <c r="J2372" s="21" t="s">
        <v>1000</v>
      </c>
      <c r="K2372" s="21" t="s">
        <v>1017</v>
      </c>
      <c r="L2372" s="21" t="s">
        <v>1464</v>
      </c>
      <c r="M2372" s="21" t="s">
        <v>15</v>
      </c>
      <c r="N2372" s="54">
        <v>107142.86</v>
      </c>
      <c r="O2372" s="54">
        <v>-107142.86</v>
      </c>
      <c r="P2372" s="54">
        <v>0</v>
      </c>
      <c r="Q2372" s="54">
        <v>0</v>
      </c>
      <c r="R2372" s="54">
        <v>0</v>
      </c>
      <c r="S2372" s="54">
        <v>0</v>
      </c>
      <c r="T2372" s="54">
        <v>0</v>
      </c>
      <c r="U2372" s="54">
        <v>0</v>
      </c>
      <c r="V2372" s="54">
        <v>0</v>
      </c>
      <c r="W2372" s="54">
        <v>0</v>
      </c>
    </row>
    <row r="2373" spans="1:23" outlineLevel="2" x14ac:dyDescent="0.2">
      <c r="A2373" s="21" t="s">
        <v>999</v>
      </c>
      <c r="B2373" s="21" t="s">
        <v>1</v>
      </c>
      <c r="C2373" s="21" t="s">
        <v>91</v>
      </c>
      <c r="D2373" s="21" t="s">
        <v>92</v>
      </c>
      <c r="E2373" s="21" t="s">
        <v>93</v>
      </c>
      <c r="F2373" s="21" t="s">
        <v>911</v>
      </c>
      <c r="G2373" s="21" t="s">
        <v>912</v>
      </c>
      <c r="H2373" s="21" t="s">
        <v>1529</v>
      </c>
      <c r="I2373" s="21" t="s">
        <v>1530</v>
      </c>
      <c r="J2373" s="21" t="s">
        <v>1000</v>
      </c>
      <c r="K2373" s="21" t="s">
        <v>1116</v>
      </c>
      <c r="L2373" s="21" t="s">
        <v>1531</v>
      </c>
      <c r="M2373" s="21" t="s">
        <v>15</v>
      </c>
      <c r="N2373" s="54">
        <v>40300</v>
      </c>
      <c r="O2373" s="54">
        <v>-40300</v>
      </c>
      <c r="P2373" s="54">
        <v>0</v>
      </c>
      <c r="Q2373" s="54">
        <v>0</v>
      </c>
      <c r="R2373" s="54">
        <v>0</v>
      </c>
      <c r="S2373" s="54">
        <v>0</v>
      </c>
      <c r="T2373" s="54">
        <v>0</v>
      </c>
      <c r="U2373" s="54">
        <v>0</v>
      </c>
      <c r="V2373" s="54">
        <v>0</v>
      </c>
      <c r="W2373" s="54">
        <v>0</v>
      </c>
    </row>
    <row r="2374" spans="1:23" outlineLevel="2" x14ac:dyDescent="0.2">
      <c r="A2374" s="21" t="s">
        <v>999</v>
      </c>
      <c r="B2374" s="21" t="s">
        <v>1</v>
      </c>
      <c r="C2374" s="21" t="s">
        <v>91</v>
      </c>
      <c r="D2374" s="21" t="s">
        <v>92</v>
      </c>
      <c r="E2374" s="21" t="s">
        <v>93</v>
      </c>
      <c r="F2374" s="21" t="s">
        <v>911</v>
      </c>
      <c r="G2374" s="21" t="s">
        <v>912</v>
      </c>
      <c r="H2374" s="21" t="s">
        <v>1529</v>
      </c>
      <c r="I2374" s="21" t="s">
        <v>1530</v>
      </c>
      <c r="J2374" s="21" t="s">
        <v>1000</v>
      </c>
      <c r="K2374" s="21" t="s">
        <v>1061</v>
      </c>
      <c r="L2374" s="21" t="s">
        <v>1467</v>
      </c>
      <c r="M2374" s="21" t="s">
        <v>15</v>
      </c>
      <c r="N2374" s="54">
        <v>6002.85</v>
      </c>
      <c r="O2374" s="54">
        <v>0</v>
      </c>
      <c r="P2374" s="54">
        <v>0</v>
      </c>
      <c r="Q2374" s="54">
        <v>6002.85</v>
      </c>
      <c r="R2374" s="54">
        <v>0</v>
      </c>
      <c r="S2374" s="54">
        <v>0</v>
      </c>
      <c r="T2374" s="54">
        <v>0</v>
      </c>
      <c r="U2374" s="54">
        <v>6002.85</v>
      </c>
      <c r="V2374" s="54">
        <v>6002.85</v>
      </c>
      <c r="W2374" s="54">
        <v>6002.85</v>
      </c>
    </row>
    <row r="2375" spans="1:23" outlineLevel="2" x14ac:dyDescent="0.2">
      <c r="A2375" s="21" t="s">
        <v>999</v>
      </c>
      <c r="B2375" s="21" t="s">
        <v>1</v>
      </c>
      <c r="C2375" s="21" t="s">
        <v>91</v>
      </c>
      <c r="D2375" s="21" t="s">
        <v>92</v>
      </c>
      <c r="E2375" s="21" t="s">
        <v>93</v>
      </c>
      <c r="F2375" s="21" t="s">
        <v>911</v>
      </c>
      <c r="G2375" s="21" t="s">
        <v>912</v>
      </c>
      <c r="H2375" s="21" t="s">
        <v>1529</v>
      </c>
      <c r="I2375" s="21" t="s">
        <v>1530</v>
      </c>
      <c r="J2375" s="21" t="s">
        <v>1000</v>
      </c>
      <c r="K2375" s="21" t="s">
        <v>1120</v>
      </c>
      <c r="L2375" s="21" t="s">
        <v>1532</v>
      </c>
      <c r="M2375" s="21" t="s">
        <v>15</v>
      </c>
      <c r="N2375" s="54">
        <v>2000</v>
      </c>
      <c r="O2375" s="54">
        <v>-2000</v>
      </c>
      <c r="P2375" s="54">
        <v>0</v>
      </c>
      <c r="Q2375" s="54">
        <v>0</v>
      </c>
      <c r="R2375" s="54">
        <v>0</v>
      </c>
      <c r="S2375" s="54">
        <v>0</v>
      </c>
      <c r="T2375" s="54">
        <v>0</v>
      </c>
      <c r="U2375" s="54">
        <v>0</v>
      </c>
      <c r="V2375" s="54">
        <v>0</v>
      </c>
      <c r="W2375" s="54">
        <v>0</v>
      </c>
    </row>
    <row r="2376" spans="1:23" outlineLevel="2" x14ac:dyDescent="0.2">
      <c r="A2376" s="21" t="s">
        <v>999</v>
      </c>
      <c r="B2376" s="21" t="s">
        <v>1</v>
      </c>
      <c r="C2376" s="21" t="s">
        <v>2</v>
      </c>
      <c r="D2376" s="21" t="s">
        <v>1533</v>
      </c>
      <c r="E2376" s="21" t="s">
        <v>1534</v>
      </c>
      <c r="F2376" s="21" t="s">
        <v>911</v>
      </c>
      <c r="G2376" s="21" t="s">
        <v>912</v>
      </c>
      <c r="H2376" s="21" t="s">
        <v>1535</v>
      </c>
      <c r="I2376" s="21" t="s">
        <v>1536</v>
      </c>
      <c r="J2376" s="21" t="s">
        <v>1000</v>
      </c>
      <c r="K2376" s="21" t="s">
        <v>1104</v>
      </c>
      <c r="L2376" s="21" t="s">
        <v>1515</v>
      </c>
      <c r="M2376" s="21" t="s">
        <v>15</v>
      </c>
      <c r="N2376" s="54">
        <v>43200</v>
      </c>
      <c r="O2376" s="54">
        <v>64800.01</v>
      </c>
      <c r="P2376" s="54">
        <v>0</v>
      </c>
      <c r="Q2376" s="54">
        <v>108000.01</v>
      </c>
      <c r="R2376" s="54">
        <v>0</v>
      </c>
      <c r="S2376" s="54">
        <v>0</v>
      </c>
      <c r="T2376" s="54">
        <v>0</v>
      </c>
      <c r="U2376" s="54">
        <v>108000.01</v>
      </c>
      <c r="V2376" s="54">
        <v>108000.01</v>
      </c>
      <c r="W2376" s="54">
        <v>108000.01</v>
      </c>
    </row>
    <row r="2377" spans="1:23" outlineLevel="2" x14ac:dyDescent="0.2">
      <c r="A2377" s="21" t="s">
        <v>999</v>
      </c>
      <c r="B2377" s="21" t="s">
        <v>1</v>
      </c>
      <c r="C2377" s="21" t="s">
        <v>2</v>
      </c>
      <c r="D2377" s="21" t="s">
        <v>1533</v>
      </c>
      <c r="E2377" s="21" t="s">
        <v>1534</v>
      </c>
      <c r="F2377" s="21" t="s">
        <v>911</v>
      </c>
      <c r="G2377" s="21" t="s">
        <v>912</v>
      </c>
      <c r="H2377" s="21" t="s">
        <v>1535</v>
      </c>
      <c r="I2377" s="21" t="s">
        <v>1536</v>
      </c>
      <c r="J2377" s="21" t="s">
        <v>1000</v>
      </c>
      <c r="K2377" s="21" t="s">
        <v>1003</v>
      </c>
      <c r="L2377" s="21" t="s">
        <v>1517</v>
      </c>
      <c r="M2377" s="21" t="s">
        <v>15</v>
      </c>
      <c r="N2377" s="54">
        <v>50000</v>
      </c>
      <c r="O2377" s="54">
        <v>196360</v>
      </c>
      <c r="P2377" s="54">
        <v>0</v>
      </c>
      <c r="Q2377" s="54">
        <v>246360</v>
      </c>
      <c r="R2377" s="54">
        <v>0</v>
      </c>
      <c r="S2377" s="54">
        <v>0</v>
      </c>
      <c r="T2377" s="54">
        <v>0</v>
      </c>
      <c r="U2377" s="54">
        <v>246360</v>
      </c>
      <c r="V2377" s="54">
        <v>246360</v>
      </c>
      <c r="W2377" s="54">
        <v>246360</v>
      </c>
    </row>
    <row r="2378" spans="1:23" outlineLevel="2" x14ac:dyDescent="0.2">
      <c r="A2378" s="21" t="s">
        <v>999</v>
      </c>
      <c r="B2378" s="21" t="s">
        <v>1</v>
      </c>
      <c r="C2378" s="21" t="s">
        <v>2</v>
      </c>
      <c r="D2378" s="21" t="s">
        <v>1533</v>
      </c>
      <c r="E2378" s="21" t="s">
        <v>1534</v>
      </c>
      <c r="F2378" s="21" t="s">
        <v>911</v>
      </c>
      <c r="G2378" s="21" t="s">
        <v>912</v>
      </c>
      <c r="H2378" s="21" t="s">
        <v>1535</v>
      </c>
      <c r="I2378" s="21" t="s">
        <v>1536</v>
      </c>
      <c r="J2378" s="21" t="s">
        <v>1000</v>
      </c>
      <c r="K2378" s="21" t="s">
        <v>1029</v>
      </c>
      <c r="L2378" s="21" t="s">
        <v>1440</v>
      </c>
      <c r="M2378" s="21" t="s">
        <v>15</v>
      </c>
      <c r="N2378" s="54">
        <v>0</v>
      </c>
      <c r="O2378" s="54">
        <v>65000</v>
      </c>
      <c r="P2378" s="54">
        <v>0</v>
      </c>
      <c r="Q2378" s="54">
        <v>65000</v>
      </c>
      <c r="R2378" s="54">
        <v>0</v>
      </c>
      <c r="S2378" s="54">
        <v>0</v>
      </c>
      <c r="T2378" s="54">
        <v>0</v>
      </c>
      <c r="U2378" s="54">
        <v>65000</v>
      </c>
      <c r="V2378" s="54">
        <v>65000</v>
      </c>
      <c r="W2378" s="54">
        <v>65000</v>
      </c>
    </row>
    <row r="2379" spans="1:23" outlineLevel="2" x14ac:dyDescent="0.2">
      <c r="A2379" s="21" t="s">
        <v>999</v>
      </c>
      <c r="B2379" s="21" t="s">
        <v>1</v>
      </c>
      <c r="C2379" s="21" t="s">
        <v>2</v>
      </c>
      <c r="D2379" s="21" t="s">
        <v>1533</v>
      </c>
      <c r="E2379" s="21" t="s">
        <v>1534</v>
      </c>
      <c r="F2379" s="21" t="s">
        <v>911</v>
      </c>
      <c r="G2379" s="21" t="s">
        <v>912</v>
      </c>
      <c r="H2379" s="21" t="s">
        <v>1535</v>
      </c>
      <c r="I2379" s="21" t="s">
        <v>1536</v>
      </c>
      <c r="J2379" s="21" t="s">
        <v>1000</v>
      </c>
      <c r="K2379" s="21" t="s">
        <v>1031</v>
      </c>
      <c r="L2379" s="21" t="s">
        <v>1452</v>
      </c>
      <c r="M2379" s="21" t="s">
        <v>15</v>
      </c>
      <c r="N2379" s="54">
        <v>545000</v>
      </c>
      <c r="O2379" s="54">
        <v>31794.78</v>
      </c>
      <c r="P2379" s="54">
        <v>0</v>
      </c>
      <c r="Q2379" s="54">
        <v>576794.78</v>
      </c>
      <c r="R2379" s="54">
        <v>0</v>
      </c>
      <c r="S2379" s="54">
        <v>0</v>
      </c>
      <c r="T2379" s="54">
        <v>0</v>
      </c>
      <c r="U2379" s="54">
        <v>576794.78</v>
      </c>
      <c r="V2379" s="54">
        <v>576794.78</v>
      </c>
      <c r="W2379" s="54">
        <v>576794.78</v>
      </c>
    </row>
    <row r="2380" spans="1:23" outlineLevel="2" x14ac:dyDescent="0.2">
      <c r="A2380" s="21" t="s">
        <v>999</v>
      </c>
      <c r="B2380" s="21" t="s">
        <v>1</v>
      </c>
      <c r="C2380" s="21" t="s">
        <v>2</v>
      </c>
      <c r="D2380" s="21" t="s">
        <v>1533</v>
      </c>
      <c r="E2380" s="21" t="s">
        <v>1534</v>
      </c>
      <c r="F2380" s="21" t="s">
        <v>911</v>
      </c>
      <c r="G2380" s="21" t="s">
        <v>912</v>
      </c>
      <c r="H2380" s="21" t="s">
        <v>1535</v>
      </c>
      <c r="I2380" s="21" t="s">
        <v>1536</v>
      </c>
      <c r="J2380" s="21" t="s">
        <v>1000</v>
      </c>
      <c r="K2380" s="21" t="s">
        <v>1116</v>
      </c>
      <c r="L2380" s="21" t="s">
        <v>1453</v>
      </c>
      <c r="M2380" s="21" t="s">
        <v>15</v>
      </c>
      <c r="N2380" s="54">
        <v>300000</v>
      </c>
      <c r="O2380" s="54">
        <v>44677.85</v>
      </c>
      <c r="P2380" s="54">
        <v>0</v>
      </c>
      <c r="Q2380" s="54">
        <v>344677.85</v>
      </c>
      <c r="R2380" s="54">
        <v>125400.8</v>
      </c>
      <c r="S2380" s="54">
        <v>100653.84</v>
      </c>
      <c r="T2380" s="54">
        <v>0</v>
      </c>
      <c r="U2380" s="54">
        <v>244024.01</v>
      </c>
      <c r="V2380" s="54">
        <v>344677.85</v>
      </c>
      <c r="W2380" s="54">
        <v>118623.21</v>
      </c>
    </row>
    <row r="2381" spans="1:23" outlineLevel="2" x14ac:dyDescent="0.2">
      <c r="A2381" s="21" t="s">
        <v>999</v>
      </c>
      <c r="B2381" s="21" t="s">
        <v>1</v>
      </c>
      <c r="C2381" s="21" t="s">
        <v>2</v>
      </c>
      <c r="D2381" s="21" t="s">
        <v>1533</v>
      </c>
      <c r="E2381" s="21" t="s">
        <v>1534</v>
      </c>
      <c r="F2381" s="21" t="s">
        <v>911</v>
      </c>
      <c r="G2381" s="21" t="s">
        <v>912</v>
      </c>
      <c r="H2381" s="21" t="s">
        <v>1537</v>
      </c>
      <c r="I2381" s="21" t="s">
        <v>1538</v>
      </c>
      <c r="J2381" s="21" t="s">
        <v>1000</v>
      </c>
      <c r="K2381" s="21" t="s">
        <v>1104</v>
      </c>
      <c r="L2381" s="21" t="s">
        <v>1515</v>
      </c>
      <c r="M2381" s="21" t="s">
        <v>15</v>
      </c>
      <c r="N2381" s="54">
        <v>1138288.02</v>
      </c>
      <c r="O2381" s="54">
        <v>0</v>
      </c>
      <c r="P2381" s="54">
        <v>0</v>
      </c>
      <c r="Q2381" s="54">
        <v>1138288.02</v>
      </c>
      <c r="R2381" s="54">
        <v>13838.83</v>
      </c>
      <c r="S2381" s="54">
        <v>813693.16</v>
      </c>
      <c r="T2381" s="54">
        <v>526734.14</v>
      </c>
      <c r="U2381" s="54">
        <v>324594.86</v>
      </c>
      <c r="V2381" s="54">
        <v>611553.88</v>
      </c>
      <c r="W2381" s="54">
        <v>310756.03000000003</v>
      </c>
    </row>
    <row r="2382" spans="1:23" outlineLevel="2" x14ac:dyDescent="0.2">
      <c r="A2382" s="21" t="s">
        <v>999</v>
      </c>
      <c r="B2382" s="21" t="s">
        <v>1</v>
      </c>
      <c r="C2382" s="21" t="s">
        <v>2</v>
      </c>
      <c r="D2382" s="21" t="s">
        <v>1533</v>
      </c>
      <c r="E2382" s="21" t="s">
        <v>1534</v>
      </c>
      <c r="F2382" s="21" t="s">
        <v>911</v>
      </c>
      <c r="G2382" s="21" t="s">
        <v>912</v>
      </c>
      <c r="H2382" s="21" t="s">
        <v>1537</v>
      </c>
      <c r="I2382" s="21" t="s">
        <v>1538</v>
      </c>
      <c r="J2382" s="21" t="s">
        <v>1000</v>
      </c>
      <c r="K2382" s="21" t="s">
        <v>1003</v>
      </c>
      <c r="L2382" s="21" t="s">
        <v>1517</v>
      </c>
      <c r="M2382" s="21" t="s">
        <v>15</v>
      </c>
      <c r="N2382" s="54">
        <v>112000</v>
      </c>
      <c r="O2382" s="54">
        <v>-39264.959999999999</v>
      </c>
      <c r="P2382" s="54">
        <v>0</v>
      </c>
      <c r="Q2382" s="54">
        <v>72735.039999999994</v>
      </c>
      <c r="R2382" s="54">
        <v>0</v>
      </c>
      <c r="S2382" s="54">
        <v>72735.039999999994</v>
      </c>
      <c r="T2382" s="54">
        <v>0</v>
      </c>
      <c r="U2382" s="54">
        <v>0</v>
      </c>
      <c r="V2382" s="54">
        <v>72735.039999999994</v>
      </c>
      <c r="W2382" s="54">
        <v>0</v>
      </c>
    </row>
    <row r="2383" spans="1:23" outlineLevel="2" x14ac:dyDescent="0.2">
      <c r="A2383" s="21" t="s">
        <v>999</v>
      </c>
      <c r="B2383" s="21" t="s">
        <v>1</v>
      </c>
      <c r="C2383" s="21" t="s">
        <v>2</v>
      </c>
      <c r="D2383" s="21" t="s">
        <v>1533</v>
      </c>
      <c r="E2383" s="21" t="s">
        <v>1534</v>
      </c>
      <c r="F2383" s="21" t="s">
        <v>911</v>
      </c>
      <c r="G2383" s="21" t="s">
        <v>912</v>
      </c>
      <c r="H2383" s="21" t="s">
        <v>1537</v>
      </c>
      <c r="I2383" s="21" t="s">
        <v>1538</v>
      </c>
      <c r="J2383" s="21" t="s">
        <v>1000</v>
      </c>
      <c r="K2383" s="21" t="s">
        <v>1539</v>
      </c>
      <c r="L2383" s="21" t="s">
        <v>1540</v>
      </c>
      <c r="M2383" s="21" t="s">
        <v>15</v>
      </c>
      <c r="N2383" s="54">
        <v>12600</v>
      </c>
      <c r="O2383" s="54">
        <v>-12600</v>
      </c>
      <c r="P2383" s="54">
        <v>0</v>
      </c>
      <c r="Q2383" s="54">
        <v>0</v>
      </c>
      <c r="R2383" s="54">
        <v>0</v>
      </c>
      <c r="S2383" s="54">
        <v>0</v>
      </c>
      <c r="T2383" s="54">
        <v>0</v>
      </c>
      <c r="U2383" s="54">
        <v>0</v>
      </c>
      <c r="V2383" s="54">
        <v>0</v>
      </c>
      <c r="W2383" s="54">
        <v>0</v>
      </c>
    </row>
    <row r="2384" spans="1:23" outlineLevel="2" x14ac:dyDescent="0.2">
      <c r="A2384" s="21" t="s">
        <v>999</v>
      </c>
      <c r="B2384" s="21" t="s">
        <v>1</v>
      </c>
      <c r="C2384" s="21" t="s">
        <v>2</v>
      </c>
      <c r="D2384" s="21" t="s">
        <v>1533</v>
      </c>
      <c r="E2384" s="21" t="s">
        <v>1534</v>
      </c>
      <c r="F2384" s="21" t="s">
        <v>911</v>
      </c>
      <c r="G2384" s="21" t="s">
        <v>912</v>
      </c>
      <c r="H2384" s="21" t="s">
        <v>1537</v>
      </c>
      <c r="I2384" s="21" t="s">
        <v>1538</v>
      </c>
      <c r="J2384" s="21" t="s">
        <v>1000</v>
      </c>
      <c r="K2384" s="21" t="s">
        <v>1029</v>
      </c>
      <c r="L2384" s="21" t="s">
        <v>1440</v>
      </c>
      <c r="M2384" s="21" t="s">
        <v>15</v>
      </c>
      <c r="N2384" s="54">
        <v>25088</v>
      </c>
      <c r="O2384" s="54">
        <v>-10976</v>
      </c>
      <c r="P2384" s="54">
        <v>0</v>
      </c>
      <c r="Q2384" s="54">
        <v>14112</v>
      </c>
      <c r="R2384" s="54">
        <v>0</v>
      </c>
      <c r="S2384" s="54">
        <v>0</v>
      </c>
      <c r="T2384" s="54">
        <v>0</v>
      </c>
      <c r="U2384" s="54">
        <v>14112</v>
      </c>
      <c r="V2384" s="54">
        <v>14112</v>
      </c>
      <c r="W2384" s="54">
        <v>14112</v>
      </c>
    </row>
    <row r="2385" spans="1:23" outlineLevel="2" x14ac:dyDescent="0.2">
      <c r="A2385" s="21" t="s">
        <v>999</v>
      </c>
      <c r="B2385" s="21" t="s">
        <v>1</v>
      </c>
      <c r="C2385" s="21" t="s">
        <v>2</v>
      </c>
      <c r="D2385" s="21" t="s">
        <v>1533</v>
      </c>
      <c r="E2385" s="21" t="s">
        <v>1534</v>
      </c>
      <c r="F2385" s="21" t="s">
        <v>911</v>
      </c>
      <c r="G2385" s="21" t="s">
        <v>912</v>
      </c>
      <c r="H2385" s="21" t="s">
        <v>1537</v>
      </c>
      <c r="I2385" s="21" t="s">
        <v>1538</v>
      </c>
      <c r="J2385" s="21" t="s">
        <v>1000</v>
      </c>
      <c r="K2385" s="21" t="s">
        <v>1031</v>
      </c>
      <c r="L2385" s="21" t="s">
        <v>1452</v>
      </c>
      <c r="M2385" s="21" t="s">
        <v>15</v>
      </c>
      <c r="N2385" s="54">
        <v>512008.35</v>
      </c>
      <c r="O2385" s="54">
        <v>382362.23</v>
      </c>
      <c r="P2385" s="54">
        <v>0</v>
      </c>
      <c r="Q2385" s="54">
        <v>894370.58</v>
      </c>
      <c r="R2385" s="54">
        <v>233685.78</v>
      </c>
      <c r="S2385" s="54">
        <v>391447.41</v>
      </c>
      <c r="T2385" s="54">
        <v>386145.54</v>
      </c>
      <c r="U2385" s="54">
        <v>502923.17</v>
      </c>
      <c r="V2385" s="54">
        <v>508225.04</v>
      </c>
      <c r="W2385" s="54">
        <v>269237.39</v>
      </c>
    </row>
    <row r="2386" spans="1:23" outlineLevel="2" x14ac:dyDescent="0.2">
      <c r="A2386" s="21" t="s">
        <v>999</v>
      </c>
      <c r="B2386" s="21" t="s">
        <v>1</v>
      </c>
      <c r="C2386" s="21" t="s">
        <v>2</v>
      </c>
      <c r="D2386" s="21" t="s">
        <v>1533</v>
      </c>
      <c r="E2386" s="21" t="s">
        <v>1534</v>
      </c>
      <c r="F2386" s="21" t="s">
        <v>911</v>
      </c>
      <c r="G2386" s="21" t="s">
        <v>912</v>
      </c>
      <c r="H2386" s="21" t="s">
        <v>1537</v>
      </c>
      <c r="I2386" s="21" t="s">
        <v>1538</v>
      </c>
      <c r="J2386" s="21" t="s">
        <v>1000</v>
      </c>
      <c r="K2386" s="21" t="s">
        <v>1116</v>
      </c>
      <c r="L2386" s="21" t="s">
        <v>1453</v>
      </c>
      <c r="M2386" s="21" t="s">
        <v>15</v>
      </c>
      <c r="N2386" s="54">
        <v>725470.62</v>
      </c>
      <c r="O2386" s="54">
        <v>-65962.97</v>
      </c>
      <c r="P2386" s="54">
        <v>0</v>
      </c>
      <c r="Q2386" s="54">
        <v>659507.65</v>
      </c>
      <c r="R2386" s="54">
        <v>182472.38</v>
      </c>
      <c r="S2386" s="54">
        <v>280371.3</v>
      </c>
      <c r="T2386" s="54">
        <v>246852</v>
      </c>
      <c r="U2386" s="54">
        <v>379136.35</v>
      </c>
      <c r="V2386" s="54">
        <v>412655.65</v>
      </c>
      <c r="W2386" s="54">
        <v>196663.97</v>
      </c>
    </row>
    <row r="2387" spans="1:23" outlineLevel="2" x14ac:dyDescent="0.2">
      <c r="A2387" s="21" t="s">
        <v>999</v>
      </c>
      <c r="B2387" s="21" t="s">
        <v>1</v>
      </c>
      <c r="C2387" s="21" t="s">
        <v>2</v>
      </c>
      <c r="D2387" s="21" t="s">
        <v>1533</v>
      </c>
      <c r="E2387" s="21" t="s">
        <v>1534</v>
      </c>
      <c r="F2387" s="21" t="s">
        <v>911</v>
      </c>
      <c r="G2387" s="21" t="s">
        <v>912</v>
      </c>
      <c r="H2387" s="21" t="s">
        <v>1537</v>
      </c>
      <c r="I2387" s="21" t="s">
        <v>1538</v>
      </c>
      <c r="J2387" s="21" t="s">
        <v>1000</v>
      </c>
      <c r="K2387" s="21" t="s">
        <v>1019</v>
      </c>
      <c r="L2387" s="21" t="s">
        <v>1541</v>
      </c>
      <c r="M2387" s="21" t="s">
        <v>15</v>
      </c>
      <c r="N2387" s="54">
        <v>42086.28</v>
      </c>
      <c r="O2387" s="54">
        <v>-42086.28</v>
      </c>
      <c r="P2387" s="54">
        <v>0</v>
      </c>
      <c r="Q2387" s="54">
        <v>0</v>
      </c>
      <c r="R2387" s="54">
        <v>0</v>
      </c>
      <c r="S2387" s="54">
        <v>0</v>
      </c>
      <c r="T2387" s="54">
        <v>0</v>
      </c>
      <c r="U2387" s="54">
        <v>0</v>
      </c>
      <c r="V2387" s="54">
        <v>0</v>
      </c>
      <c r="W2387" s="54">
        <v>0</v>
      </c>
    </row>
    <row r="2388" spans="1:23" outlineLevel="2" x14ac:dyDescent="0.2">
      <c r="A2388" s="21" t="s">
        <v>999</v>
      </c>
      <c r="B2388" s="21" t="s">
        <v>1</v>
      </c>
      <c r="C2388" s="21" t="s">
        <v>2</v>
      </c>
      <c r="D2388" s="21" t="s">
        <v>1533</v>
      </c>
      <c r="E2388" s="21" t="s">
        <v>1534</v>
      </c>
      <c r="F2388" s="21" t="s">
        <v>911</v>
      </c>
      <c r="G2388" s="21" t="s">
        <v>912</v>
      </c>
      <c r="H2388" s="21" t="s">
        <v>1537</v>
      </c>
      <c r="I2388" s="21" t="s">
        <v>1538</v>
      </c>
      <c r="J2388" s="21" t="s">
        <v>1000</v>
      </c>
      <c r="K2388" s="21" t="s">
        <v>1082</v>
      </c>
      <c r="L2388" s="21" t="s">
        <v>1526</v>
      </c>
      <c r="M2388" s="21" t="s">
        <v>15</v>
      </c>
      <c r="N2388" s="54">
        <v>0</v>
      </c>
      <c r="O2388" s="54">
        <v>10000</v>
      </c>
      <c r="P2388" s="54">
        <v>0</v>
      </c>
      <c r="Q2388" s="54">
        <v>10000</v>
      </c>
      <c r="R2388" s="54">
        <v>1612.36</v>
      </c>
      <c r="S2388" s="54">
        <v>6128.64</v>
      </c>
      <c r="T2388" s="54">
        <v>6128.64</v>
      </c>
      <c r="U2388" s="54">
        <v>3871.36</v>
      </c>
      <c r="V2388" s="54">
        <v>3871.36</v>
      </c>
      <c r="W2388" s="54">
        <v>2259</v>
      </c>
    </row>
    <row r="2389" spans="1:23" outlineLevel="2" x14ac:dyDescent="0.2">
      <c r="A2389" s="21" t="s">
        <v>999</v>
      </c>
      <c r="B2389" s="21" t="s">
        <v>1</v>
      </c>
      <c r="C2389" s="21" t="s">
        <v>2</v>
      </c>
      <c r="D2389" s="21" t="s">
        <v>1533</v>
      </c>
      <c r="E2389" s="21" t="s">
        <v>1534</v>
      </c>
      <c r="F2389" s="21" t="s">
        <v>911</v>
      </c>
      <c r="G2389" s="21" t="s">
        <v>912</v>
      </c>
      <c r="H2389" s="21" t="s">
        <v>1537</v>
      </c>
      <c r="I2389" s="21" t="s">
        <v>1538</v>
      </c>
      <c r="J2389" s="21" t="s">
        <v>1000</v>
      </c>
      <c r="K2389" s="21" t="s">
        <v>1194</v>
      </c>
      <c r="L2389" s="21" t="s">
        <v>1542</v>
      </c>
      <c r="M2389" s="21" t="s">
        <v>15</v>
      </c>
      <c r="N2389" s="54">
        <v>28659.56</v>
      </c>
      <c r="O2389" s="54">
        <v>11819.16</v>
      </c>
      <c r="P2389" s="54">
        <v>0</v>
      </c>
      <c r="Q2389" s="54">
        <v>40478.720000000001</v>
      </c>
      <c r="R2389" s="54">
        <v>0</v>
      </c>
      <c r="S2389" s="54">
        <v>24478.720000000001</v>
      </c>
      <c r="T2389" s="54">
        <v>17700.86</v>
      </c>
      <c r="U2389" s="54">
        <v>16000</v>
      </c>
      <c r="V2389" s="54">
        <v>22777.86</v>
      </c>
      <c r="W2389" s="54">
        <v>16000</v>
      </c>
    </row>
    <row r="2390" spans="1:23" outlineLevel="2" x14ac:dyDescent="0.2">
      <c r="A2390" s="21" t="s">
        <v>999</v>
      </c>
      <c r="B2390" s="21" t="s">
        <v>1</v>
      </c>
      <c r="C2390" s="21" t="s">
        <v>16</v>
      </c>
      <c r="D2390" s="21" t="s">
        <v>62</v>
      </c>
      <c r="E2390" s="21" t="s">
        <v>63</v>
      </c>
      <c r="F2390" s="21" t="s">
        <v>911</v>
      </c>
      <c r="G2390" s="21" t="s">
        <v>912</v>
      </c>
      <c r="H2390" s="21" t="s">
        <v>1543</v>
      </c>
      <c r="I2390" s="21" t="s">
        <v>1544</v>
      </c>
      <c r="J2390" s="21" t="s">
        <v>1000</v>
      </c>
      <c r="K2390" s="21" t="s">
        <v>1037</v>
      </c>
      <c r="L2390" s="21" t="s">
        <v>1499</v>
      </c>
      <c r="M2390" s="21" t="s">
        <v>15</v>
      </c>
      <c r="N2390" s="54">
        <v>5000</v>
      </c>
      <c r="O2390" s="54">
        <v>0</v>
      </c>
      <c r="P2390" s="54">
        <v>0</v>
      </c>
      <c r="Q2390" s="54">
        <v>5000</v>
      </c>
      <c r="R2390" s="54">
        <v>0</v>
      </c>
      <c r="S2390" s="54">
        <v>0</v>
      </c>
      <c r="T2390" s="54">
        <v>0</v>
      </c>
      <c r="U2390" s="54">
        <v>5000</v>
      </c>
      <c r="V2390" s="54">
        <v>5000</v>
      </c>
      <c r="W2390" s="54">
        <v>5000</v>
      </c>
    </row>
    <row r="2391" spans="1:23" outlineLevel="2" x14ac:dyDescent="0.2">
      <c r="A2391" s="21" t="s">
        <v>999</v>
      </c>
      <c r="B2391" s="21" t="s">
        <v>1</v>
      </c>
      <c r="C2391" s="21" t="s">
        <v>16</v>
      </c>
      <c r="D2391" s="21" t="s">
        <v>62</v>
      </c>
      <c r="E2391" s="21" t="s">
        <v>63</v>
      </c>
      <c r="F2391" s="21" t="s">
        <v>911</v>
      </c>
      <c r="G2391" s="21" t="s">
        <v>912</v>
      </c>
      <c r="H2391" s="21" t="s">
        <v>1543</v>
      </c>
      <c r="I2391" s="21" t="s">
        <v>1544</v>
      </c>
      <c r="J2391" s="21" t="s">
        <v>1000</v>
      </c>
      <c r="K2391" s="21" t="s">
        <v>1058</v>
      </c>
      <c r="L2391" s="21" t="s">
        <v>1504</v>
      </c>
      <c r="M2391" s="21" t="s">
        <v>15</v>
      </c>
      <c r="N2391" s="54">
        <v>65000</v>
      </c>
      <c r="O2391" s="54">
        <v>0</v>
      </c>
      <c r="P2391" s="54">
        <v>0</v>
      </c>
      <c r="Q2391" s="54">
        <v>65000</v>
      </c>
      <c r="R2391" s="54">
        <v>0</v>
      </c>
      <c r="S2391" s="54">
        <v>0</v>
      </c>
      <c r="T2391" s="54">
        <v>0</v>
      </c>
      <c r="U2391" s="54">
        <v>65000</v>
      </c>
      <c r="V2391" s="54">
        <v>65000</v>
      </c>
      <c r="W2391" s="54">
        <v>65000</v>
      </c>
    </row>
    <row r="2392" spans="1:23" outlineLevel="2" x14ac:dyDescent="0.2">
      <c r="A2392" s="21" t="s">
        <v>999</v>
      </c>
      <c r="B2392" s="21" t="s">
        <v>1</v>
      </c>
      <c r="C2392" s="21" t="s">
        <v>16</v>
      </c>
      <c r="D2392" s="21" t="s">
        <v>62</v>
      </c>
      <c r="E2392" s="21" t="s">
        <v>63</v>
      </c>
      <c r="F2392" s="21" t="s">
        <v>911</v>
      </c>
      <c r="G2392" s="21" t="s">
        <v>912</v>
      </c>
      <c r="H2392" s="21" t="s">
        <v>1543</v>
      </c>
      <c r="I2392" s="21" t="s">
        <v>1544</v>
      </c>
      <c r="J2392" s="21" t="s">
        <v>1000</v>
      </c>
      <c r="K2392" s="21" t="s">
        <v>1088</v>
      </c>
      <c r="L2392" s="21" t="s">
        <v>1506</v>
      </c>
      <c r="M2392" s="21" t="s">
        <v>15</v>
      </c>
      <c r="N2392" s="54">
        <v>65000</v>
      </c>
      <c r="O2392" s="54">
        <v>0</v>
      </c>
      <c r="P2392" s="54">
        <v>0</v>
      </c>
      <c r="Q2392" s="54">
        <v>65000</v>
      </c>
      <c r="R2392" s="54">
        <v>0</v>
      </c>
      <c r="S2392" s="54">
        <v>0</v>
      </c>
      <c r="T2392" s="54">
        <v>0</v>
      </c>
      <c r="U2392" s="54">
        <v>65000</v>
      </c>
      <c r="V2392" s="54">
        <v>65000</v>
      </c>
      <c r="W2392" s="54">
        <v>65000</v>
      </c>
    </row>
    <row r="2393" spans="1:23" outlineLevel="2" x14ac:dyDescent="0.2">
      <c r="A2393" s="21" t="s">
        <v>999</v>
      </c>
      <c r="B2393" s="21" t="s">
        <v>1</v>
      </c>
      <c r="C2393" s="21" t="s">
        <v>16</v>
      </c>
      <c r="D2393" s="21" t="s">
        <v>62</v>
      </c>
      <c r="E2393" s="21" t="s">
        <v>63</v>
      </c>
      <c r="F2393" s="21" t="s">
        <v>911</v>
      </c>
      <c r="G2393" s="21" t="s">
        <v>912</v>
      </c>
      <c r="H2393" s="21" t="s">
        <v>1543</v>
      </c>
      <c r="I2393" s="21" t="s">
        <v>1544</v>
      </c>
      <c r="J2393" s="21" t="s">
        <v>1000</v>
      </c>
      <c r="K2393" s="21" t="s">
        <v>1507</v>
      </c>
      <c r="L2393" s="21" t="s">
        <v>1508</v>
      </c>
      <c r="M2393" s="21" t="s">
        <v>15</v>
      </c>
      <c r="N2393" s="54">
        <v>15000</v>
      </c>
      <c r="O2393" s="54">
        <v>0</v>
      </c>
      <c r="P2393" s="54">
        <v>0</v>
      </c>
      <c r="Q2393" s="54">
        <v>15000</v>
      </c>
      <c r="R2393" s="54">
        <v>0</v>
      </c>
      <c r="S2393" s="54">
        <v>0</v>
      </c>
      <c r="T2393" s="54">
        <v>0</v>
      </c>
      <c r="U2393" s="54">
        <v>15000</v>
      </c>
      <c r="V2393" s="54">
        <v>15000</v>
      </c>
      <c r="W2393" s="54">
        <v>15000</v>
      </c>
    </row>
    <row r="2394" spans="1:23" outlineLevel="2" x14ac:dyDescent="0.2">
      <c r="A2394" s="21" t="s">
        <v>999</v>
      </c>
      <c r="B2394" s="21" t="s">
        <v>31</v>
      </c>
      <c r="C2394" s="21" t="s">
        <v>32</v>
      </c>
      <c r="D2394" s="21" t="s">
        <v>141</v>
      </c>
      <c r="E2394" s="21" t="s">
        <v>142</v>
      </c>
      <c r="F2394" s="21" t="s">
        <v>933</v>
      </c>
      <c r="G2394" s="21" t="s">
        <v>934</v>
      </c>
      <c r="H2394" s="21" t="s">
        <v>1545</v>
      </c>
      <c r="I2394" s="21" t="s">
        <v>1546</v>
      </c>
      <c r="J2394" s="21" t="s">
        <v>1000</v>
      </c>
      <c r="K2394" s="21" t="s">
        <v>1298</v>
      </c>
      <c r="L2394" s="21" t="s">
        <v>1547</v>
      </c>
      <c r="M2394" s="21" t="s">
        <v>12</v>
      </c>
      <c r="N2394" s="54">
        <v>0</v>
      </c>
      <c r="O2394" s="54">
        <v>110080</v>
      </c>
      <c r="P2394" s="54">
        <v>0</v>
      </c>
      <c r="Q2394" s="54">
        <v>110080</v>
      </c>
      <c r="R2394" s="54">
        <v>0</v>
      </c>
      <c r="S2394" s="54">
        <v>0</v>
      </c>
      <c r="T2394" s="54">
        <v>0</v>
      </c>
      <c r="U2394" s="54">
        <v>110080</v>
      </c>
      <c r="V2394" s="54">
        <v>110080</v>
      </c>
      <c r="W2394" s="54">
        <v>110080</v>
      </c>
    </row>
    <row r="2395" spans="1:23" outlineLevel="2" x14ac:dyDescent="0.2">
      <c r="A2395" s="21" t="s">
        <v>999</v>
      </c>
      <c r="B2395" s="21" t="s">
        <v>31</v>
      </c>
      <c r="C2395" s="21" t="s">
        <v>32</v>
      </c>
      <c r="D2395" s="21" t="s">
        <v>141</v>
      </c>
      <c r="E2395" s="21" t="s">
        <v>142</v>
      </c>
      <c r="F2395" s="21" t="s">
        <v>933</v>
      </c>
      <c r="G2395" s="21" t="s">
        <v>934</v>
      </c>
      <c r="H2395" s="21" t="s">
        <v>1545</v>
      </c>
      <c r="I2395" s="21" t="s">
        <v>1546</v>
      </c>
      <c r="J2395" s="21" t="s">
        <v>1000</v>
      </c>
      <c r="K2395" s="21" t="s">
        <v>1037</v>
      </c>
      <c r="L2395" s="21" t="s">
        <v>1548</v>
      </c>
      <c r="M2395" s="21" t="s">
        <v>12</v>
      </c>
      <c r="N2395" s="54">
        <v>0</v>
      </c>
      <c r="O2395" s="54">
        <v>9498.7199999999993</v>
      </c>
      <c r="P2395" s="54">
        <v>0</v>
      </c>
      <c r="Q2395" s="54">
        <v>9498.7199999999993</v>
      </c>
      <c r="R2395" s="54">
        <v>3949.58</v>
      </c>
      <c r="S2395" s="54">
        <v>0</v>
      </c>
      <c r="T2395" s="54">
        <v>0</v>
      </c>
      <c r="U2395" s="54">
        <v>9498.7199999999993</v>
      </c>
      <c r="V2395" s="54">
        <v>9498.7199999999993</v>
      </c>
      <c r="W2395" s="54">
        <v>5549.14</v>
      </c>
    </row>
    <row r="2396" spans="1:23" outlineLevel="2" x14ac:dyDescent="0.2">
      <c r="A2396" s="21" t="s">
        <v>999</v>
      </c>
      <c r="B2396" s="21" t="s">
        <v>31</v>
      </c>
      <c r="C2396" s="21" t="s">
        <v>32</v>
      </c>
      <c r="D2396" s="21" t="s">
        <v>141</v>
      </c>
      <c r="E2396" s="21" t="s">
        <v>142</v>
      </c>
      <c r="F2396" s="21" t="s">
        <v>933</v>
      </c>
      <c r="G2396" s="21" t="s">
        <v>934</v>
      </c>
      <c r="H2396" s="21" t="s">
        <v>1545</v>
      </c>
      <c r="I2396" s="21" t="s">
        <v>1546</v>
      </c>
      <c r="J2396" s="21" t="s">
        <v>1000</v>
      </c>
      <c r="K2396" s="21" t="s">
        <v>1549</v>
      </c>
      <c r="L2396" s="21" t="s">
        <v>1550</v>
      </c>
      <c r="M2396" s="21" t="s">
        <v>12</v>
      </c>
      <c r="N2396" s="54">
        <v>0</v>
      </c>
      <c r="O2396" s="54">
        <v>3528000</v>
      </c>
      <c r="P2396" s="54">
        <v>0</v>
      </c>
      <c r="Q2396" s="54">
        <v>3528000</v>
      </c>
      <c r="R2396" s="54">
        <v>0</v>
      </c>
      <c r="S2396" s="54">
        <v>728000</v>
      </c>
      <c r="T2396" s="54">
        <v>0</v>
      </c>
      <c r="U2396" s="54">
        <v>2800000</v>
      </c>
      <c r="V2396" s="54">
        <v>3528000</v>
      </c>
      <c r="W2396" s="54">
        <v>2800000</v>
      </c>
    </row>
    <row r="2397" spans="1:23" outlineLevel="2" x14ac:dyDescent="0.2">
      <c r="A2397" s="21" t="s">
        <v>999</v>
      </c>
      <c r="B2397" s="21" t="s">
        <v>31</v>
      </c>
      <c r="C2397" s="21" t="s">
        <v>32</v>
      </c>
      <c r="D2397" s="21" t="s">
        <v>141</v>
      </c>
      <c r="E2397" s="21" t="s">
        <v>142</v>
      </c>
      <c r="F2397" s="21" t="s">
        <v>933</v>
      </c>
      <c r="G2397" s="21" t="s">
        <v>934</v>
      </c>
      <c r="H2397" s="21" t="s">
        <v>1545</v>
      </c>
      <c r="I2397" s="21" t="s">
        <v>1546</v>
      </c>
      <c r="J2397" s="21" t="s">
        <v>1000</v>
      </c>
      <c r="K2397" s="21" t="s">
        <v>1551</v>
      </c>
      <c r="L2397" s="21" t="s">
        <v>1552</v>
      </c>
      <c r="M2397" s="21" t="s">
        <v>12</v>
      </c>
      <c r="N2397" s="54">
        <v>0</v>
      </c>
      <c r="O2397" s="54">
        <v>7840</v>
      </c>
      <c r="P2397" s="54">
        <v>0</v>
      </c>
      <c r="Q2397" s="54">
        <v>7840</v>
      </c>
      <c r="R2397" s="54">
        <v>0</v>
      </c>
      <c r="S2397" s="54">
        <v>1600</v>
      </c>
      <c r="T2397" s="54">
        <v>0</v>
      </c>
      <c r="U2397" s="54">
        <v>6240</v>
      </c>
      <c r="V2397" s="54">
        <v>7840</v>
      </c>
      <c r="W2397" s="54">
        <v>6240</v>
      </c>
    </row>
    <row r="2398" spans="1:23" outlineLevel="2" x14ac:dyDescent="0.2">
      <c r="A2398" s="21" t="s">
        <v>999</v>
      </c>
      <c r="B2398" s="21" t="s">
        <v>31</v>
      </c>
      <c r="C2398" s="21" t="s">
        <v>32</v>
      </c>
      <c r="D2398" s="21" t="s">
        <v>141</v>
      </c>
      <c r="E2398" s="21" t="s">
        <v>142</v>
      </c>
      <c r="F2398" s="21" t="s">
        <v>933</v>
      </c>
      <c r="G2398" s="21" t="s">
        <v>934</v>
      </c>
      <c r="H2398" s="21" t="s">
        <v>1545</v>
      </c>
      <c r="I2398" s="21" t="s">
        <v>1546</v>
      </c>
      <c r="J2398" s="21" t="s">
        <v>1000</v>
      </c>
      <c r="K2398" s="21" t="s">
        <v>1003</v>
      </c>
      <c r="L2398" s="21" t="s">
        <v>1553</v>
      </c>
      <c r="M2398" s="21" t="s">
        <v>12</v>
      </c>
      <c r="N2398" s="54">
        <v>0</v>
      </c>
      <c r="O2398" s="54">
        <v>7001.12</v>
      </c>
      <c r="P2398" s="54">
        <v>0</v>
      </c>
      <c r="Q2398" s="54">
        <v>7001.12</v>
      </c>
      <c r="R2398" s="54">
        <v>0</v>
      </c>
      <c r="S2398" s="54">
        <v>0</v>
      </c>
      <c r="T2398" s="54">
        <v>0</v>
      </c>
      <c r="U2398" s="54">
        <v>7001.12</v>
      </c>
      <c r="V2398" s="54">
        <v>7001.12</v>
      </c>
      <c r="W2398" s="54">
        <v>7001.12</v>
      </c>
    </row>
    <row r="2399" spans="1:23" outlineLevel="2" x14ac:dyDescent="0.2">
      <c r="A2399" s="21" t="s">
        <v>999</v>
      </c>
      <c r="B2399" s="21" t="s">
        <v>31</v>
      </c>
      <c r="C2399" s="21" t="s">
        <v>32</v>
      </c>
      <c r="D2399" s="21" t="s">
        <v>141</v>
      </c>
      <c r="E2399" s="21" t="s">
        <v>142</v>
      </c>
      <c r="F2399" s="21" t="s">
        <v>933</v>
      </c>
      <c r="G2399" s="21" t="s">
        <v>934</v>
      </c>
      <c r="H2399" s="21" t="s">
        <v>1545</v>
      </c>
      <c r="I2399" s="21" t="s">
        <v>1546</v>
      </c>
      <c r="J2399" s="21" t="s">
        <v>1000</v>
      </c>
      <c r="K2399" s="21" t="s">
        <v>1061</v>
      </c>
      <c r="L2399" s="21" t="s">
        <v>1554</v>
      </c>
      <c r="M2399" s="21" t="s">
        <v>12</v>
      </c>
      <c r="N2399" s="54">
        <v>0</v>
      </c>
      <c r="O2399" s="54">
        <v>7050</v>
      </c>
      <c r="P2399" s="54">
        <v>0</v>
      </c>
      <c r="Q2399" s="54">
        <v>7050</v>
      </c>
      <c r="R2399" s="54">
        <v>0</v>
      </c>
      <c r="S2399" s="54">
        <v>7050</v>
      </c>
      <c r="T2399" s="54">
        <v>7050</v>
      </c>
      <c r="U2399" s="54">
        <v>0</v>
      </c>
      <c r="V2399" s="54">
        <v>0</v>
      </c>
      <c r="W2399" s="54">
        <v>0</v>
      </c>
    </row>
    <row r="2400" spans="1:23" outlineLevel="2" x14ac:dyDescent="0.2">
      <c r="A2400" s="21" t="s">
        <v>999</v>
      </c>
      <c r="B2400" s="21" t="s">
        <v>31</v>
      </c>
      <c r="C2400" s="21" t="s">
        <v>32</v>
      </c>
      <c r="D2400" s="21" t="s">
        <v>141</v>
      </c>
      <c r="E2400" s="21" t="s">
        <v>142</v>
      </c>
      <c r="F2400" s="21" t="s">
        <v>933</v>
      </c>
      <c r="G2400" s="21" t="s">
        <v>934</v>
      </c>
      <c r="H2400" s="21" t="s">
        <v>1545</v>
      </c>
      <c r="I2400" s="21" t="s">
        <v>1546</v>
      </c>
      <c r="J2400" s="21" t="s">
        <v>1000</v>
      </c>
      <c r="K2400" s="21" t="s">
        <v>1019</v>
      </c>
      <c r="L2400" s="21" t="s">
        <v>1555</v>
      </c>
      <c r="M2400" s="21" t="s">
        <v>12</v>
      </c>
      <c r="N2400" s="54">
        <v>0</v>
      </c>
      <c r="O2400" s="54">
        <v>1020.88</v>
      </c>
      <c r="P2400" s="54">
        <v>0</v>
      </c>
      <c r="Q2400" s="54">
        <v>1020.88</v>
      </c>
      <c r="R2400" s="54">
        <v>0</v>
      </c>
      <c r="S2400" s="54">
        <v>873.6</v>
      </c>
      <c r="T2400" s="54">
        <v>0</v>
      </c>
      <c r="U2400" s="54">
        <v>147.28</v>
      </c>
      <c r="V2400" s="54">
        <v>1020.88</v>
      </c>
      <c r="W2400" s="54">
        <v>147.28</v>
      </c>
    </row>
    <row r="2401" spans="1:23" outlineLevel="2" x14ac:dyDescent="0.2">
      <c r="A2401" s="21" t="s">
        <v>999</v>
      </c>
      <c r="B2401" s="21" t="s">
        <v>31</v>
      </c>
      <c r="C2401" s="21" t="s">
        <v>32</v>
      </c>
      <c r="D2401" s="21" t="s">
        <v>141</v>
      </c>
      <c r="E2401" s="21" t="s">
        <v>142</v>
      </c>
      <c r="F2401" s="21" t="s">
        <v>933</v>
      </c>
      <c r="G2401" s="21" t="s">
        <v>934</v>
      </c>
      <c r="H2401" s="21" t="s">
        <v>1545</v>
      </c>
      <c r="I2401" s="21" t="s">
        <v>1546</v>
      </c>
      <c r="J2401" s="21" t="s">
        <v>1000</v>
      </c>
      <c r="K2401" s="21" t="s">
        <v>1313</v>
      </c>
      <c r="L2401" s="21" t="s">
        <v>1556</v>
      </c>
      <c r="M2401" s="21" t="s">
        <v>12</v>
      </c>
      <c r="N2401" s="54">
        <v>0</v>
      </c>
      <c r="O2401" s="54">
        <v>28864.66</v>
      </c>
      <c r="P2401" s="54">
        <v>0</v>
      </c>
      <c r="Q2401" s="54">
        <v>28864.66</v>
      </c>
      <c r="R2401" s="54">
        <v>9596.25</v>
      </c>
      <c r="S2401" s="54">
        <v>7940.8</v>
      </c>
      <c r="T2401" s="54">
        <v>7940.8</v>
      </c>
      <c r="U2401" s="54">
        <v>20923.86</v>
      </c>
      <c r="V2401" s="54">
        <v>20923.86</v>
      </c>
      <c r="W2401" s="54">
        <v>11327.61</v>
      </c>
    </row>
    <row r="2402" spans="1:23" outlineLevel="2" x14ac:dyDescent="0.2">
      <c r="A2402" s="21" t="s">
        <v>999</v>
      </c>
      <c r="B2402" s="21" t="s">
        <v>31</v>
      </c>
      <c r="C2402" s="21" t="s">
        <v>32</v>
      </c>
      <c r="D2402" s="21" t="s">
        <v>141</v>
      </c>
      <c r="E2402" s="21" t="s">
        <v>142</v>
      </c>
      <c r="F2402" s="21" t="s">
        <v>933</v>
      </c>
      <c r="G2402" s="21" t="s">
        <v>934</v>
      </c>
      <c r="H2402" s="21" t="s">
        <v>1545</v>
      </c>
      <c r="I2402" s="21" t="s">
        <v>1546</v>
      </c>
      <c r="J2402" s="21" t="s">
        <v>1000</v>
      </c>
      <c r="K2402" s="21" t="s">
        <v>1390</v>
      </c>
      <c r="L2402" s="21" t="s">
        <v>1557</v>
      </c>
      <c r="M2402" s="21" t="s">
        <v>12</v>
      </c>
      <c r="N2402" s="54">
        <v>0</v>
      </c>
      <c r="O2402" s="54">
        <v>4271007.62</v>
      </c>
      <c r="P2402" s="54">
        <v>0</v>
      </c>
      <c r="Q2402" s="54">
        <v>4271007.62</v>
      </c>
      <c r="R2402" s="54">
        <v>0</v>
      </c>
      <c r="S2402" s="54">
        <v>4234677.57</v>
      </c>
      <c r="T2402" s="54">
        <v>7797.57</v>
      </c>
      <c r="U2402" s="54">
        <v>36330.050000000003</v>
      </c>
      <c r="V2402" s="54">
        <v>4263210.05</v>
      </c>
      <c r="W2402" s="54">
        <v>36330.050000000003</v>
      </c>
    </row>
    <row r="2403" spans="1:23" outlineLevel="2" x14ac:dyDescent="0.2">
      <c r="A2403" s="21" t="s">
        <v>999</v>
      </c>
      <c r="B2403" s="21" t="s">
        <v>31</v>
      </c>
      <c r="C2403" s="21" t="s">
        <v>32</v>
      </c>
      <c r="D2403" s="21" t="s">
        <v>141</v>
      </c>
      <c r="E2403" s="21" t="s">
        <v>142</v>
      </c>
      <c r="F2403" s="21" t="s">
        <v>933</v>
      </c>
      <c r="G2403" s="21" t="s">
        <v>934</v>
      </c>
      <c r="H2403" s="21" t="s">
        <v>1545</v>
      </c>
      <c r="I2403" s="21" t="s">
        <v>1546</v>
      </c>
      <c r="J2403" s="21" t="s">
        <v>1000</v>
      </c>
      <c r="K2403" s="21" t="s">
        <v>1343</v>
      </c>
      <c r="L2403" s="21" t="s">
        <v>1562</v>
      </c>
      <c r="M2403" s="21" t="s">
        <v>12</v>
      </c>
      <c r="N2403" s="54">
        <v>0</v>
      </c>
      <c r="O2403" s="54">
        <v>40367.360000000001</v>
      </c>
      <c r="P2403" s="54">
        <v>0</v>
      </c>
      <c r="Q2403" s="54">
        <v>40367.360000000001</v>
      </c>
      <c r="R2403" s="54">
        <v>0</v>
      </c>
      <c r="S2403" s="54">
        <v>7932.4</v>
      </c>
      <c r="T2403" s="54">
        <v>7932.4</v>
      </c>
      <c r="U2403" s="54">
        <v>32434.959999999999</v>
      </c>
      <c r="V2403" s="54">
        <v>32434.959999999999</v>
      </c>
      <c r="W2403" s="54">
        <v>32434.959999999999</v>
      </c>
    </row>
    <row r="2404" spans="1:23" outlineLevel="2" x14ac:dyDescent="0.2">
      <c r="A2404" s="21" t="s">
        <v>999</v>
      </c>
      <c r="B2404" s="21" t="s">
        <v>31</v>
      </c>
      <c r="C2404" s="21" t="s">
        <v>32</v>
      </c>
      <c r="D2404" s="21" t="s">
        <v>141</v>
      </c>
      <c r="E2404" s="21" t="s">
        <v>142</v>
      </c>
      <c r="F2404" s="21" t="s">
        <v>933</v>
      </c>
      <c r="G2404" s="21" t="s">
        <v>934</v>
      </c>
      <c r="H2404" s="21" t="s">
        <v>1545</v>
      </c>
      <c r="I2404" s="21" t="s">
        <v>1546</v>
      </c>
      <c r="J2404" s="21" t="s">
        <v>1000</v>
      </c>
      <c r="K2404" s="21" t="s">
        <v>1183</v>
      </c>
      <c r="L2404" s="21" t="s">
        <v>1563</v>
      </c>
      <c r="M2404" s="21" t="s">
        <v>12</v>
      </c>
      <c r="N2404" s="54">
        <v>0</v>
      </c>
      <c r="O2404" s="54">
        <v>2265.7600000000002</v>
      </c>
      <c r="P2404" s="54">
        <v>0</v>
      </c>
      <c r="Q2404" s="54">
        <v>2265.7600000000002</v>
      </c>
      <c r="R2404" s="54">
        <v>0</v>
      </c>
      <c r="S2404" s="54">
        <v>732.48</v>
      </c>
      <c r="T2404" s="54">
        <v>732.48</v>
      </c>
      <c r="U2404" s="54">
        <v>1533.28</v>
      </c>
      <c r="V2404" s="54">
        <v>1533.28</v>
      </c>
      <c r="W2404" s="54">
        <v>1533.28</v>
      </c>
    </row>
    <row r="2405" spans="1:23" outlineLevel="2" x14ac:dyDescent="0.2">
      <c r="A2405" s="21" t="s">
        <v>999</v>
      </c>
      <c r="B2405" s="21" t="s">
        <v>39</v>
      </c>
      <c r="C2405" s="21" t="s">
        <v>58</v>
      </c>
      <c r="D2405" s="21" t="s">
        <v>137</v>
      </c>
      <c r="E2405" s="21" t="s">
        <v>138</v>
      </c>
      <c r="F2405" s="21" t="s">
        <v>933</v>
      </c>
      <c r="G2405" s="21" t="s">
        <v>934</v>
      </c>
      <c r="H2405" s="21" t="s">
        <v>1564</v>
      </c>
      <c r="I2405" s="21" t="s">
        <v>1565</v>
      </c>
      <c r="J2405" s="21" t="s">
        <v>1000</v>
      </c>
      <c r="K2405" s="21" t="s">
        <v>1037</v>
      </c>
      <c r="L2405" s="21" t="s">
        <v>1566</v>
      </c>
      <c r="M2405" s="21" t="s">
        <v>12</v>
      </c>
      <c r="N2405" s="54">
        <v>1000</v>
      </c>
      <c r="O2405" s="54">
        <v>-1000</v>
      </c>
      <c r="P2405" s="54">
        <v>0</v>
      </c>
      <c r="Q2405" s="54">
        <v>0</v>
      </c>
      <c r="R2405" s="54">
        <v>0</v>
      </c>
      <c r="S2405" s="54">
        <v>0</v>
      </c>
      <c r="T2405" s="54">
        <v>0</v>
      </c>
      <c r="U2405" s="54">
        <v>0</v>
      </c>
      <c r="V2405" s="54">
        <v>0</v>
      </c>
      <c r="W2405" s="54">
        <v>0</v>
      </c>
    </row>
    <row r="2406" spans="1:23" outlineLevel="2" x14ac:dyDescent="0.2">
      <c r="A2406" s="21" t="s">
        <v>999</v>
      </c>
      <c r="B2406" s="21" t="s">
        <v>39</v>
      </c>
      <c r="C2406" s="21" t="s">
        <v>58</v>
      </c>
      <c r="D2406" s="21" t="s">
        <v>145</v>
      </c>
      <c r="E2406" s="21" t="s">
        <v>146</v>
      </c>
      <c r="F2406" s="21" t="s">
        <v>933</v>
      </c>
      <c r="G2406" s="21" t="s">
        <v>934</v>
      </c>
      <c r="H2406" s="21" t="s">
        <v>1564</v>
      </c>
      <c r="I2406" s="21" t="s">
        <v>1565</v>
      </c>
      <c r="J2406" s="21" t="s">
        <v>1000</v>
      </c>
      <c r="K2406" s="21" t="s">
        <v>1037</v>
      </c>
      <c r="L2406" s="21" t="s">
        <v>1566</v>
      </c>
      <c r="M2406" s="21" t="s">
        <v>12</v>
      </c>
      <c r="N2406" s="54">
        <v>10000</v>
      </c>
      <c r="O2406" s="54">
        <v>0</v>
      </c>
      <c r="P2406" s="54">
        <v>0</v>
      </c>
      <c r="Q2406" s="54">
        <v>10000</v>
      </c>
      <c r="R2406" s="54">
        <v>0</v>
      </c>
      <c r="S2406" s="54">
        <v>0</v>
      </c>
      <c r="T2406" s="54">
        <v>0</v>
      </c>
      <c r="U2406" s="54">
        <v>10000</v>
      </c>
      <c r="V2406" s="54">
        <v>10000</v>
      </c>
      <c r="W2406" s="54">
        <v>10000</v>
      </c>
    </row>
    <row r="2407" spans="1:23" outlineLevel="2" x14ac:dyDescent="0.2">
      <c r="A2407" s="21" t="s">
        <v>999</v>
      </c>
      <c r="B2407" s="21" t="s">
        <v>39</v>
      </c>
      <c r="C2407" s="21" t="s">
        <v>58</v>
      </c>
      <c r="D2407" s="21" t="s">
        <v>149</v>
      </c>
      <c r="E2407" s="21" t="s">
        <v>150</v>
      </c>
      <c r="F2407" s="21" t="s">
        <v>933</v>
      </c>
      <c r="G2407" s="21" t="s">
        <v>934</v>
      </c>
      <c r="H2407" s="21" t="s">
        <v>1564</v>
      </c>
      <c r="I2407" s="21" t="s">
        <v>1565</v>
      </c>
      <c r="J2407" s="21" t="s">
        <v>1000</v>
      </c>
      <c r="K2407" s="21" t="s">
        <v>1037</v>
      </c>
      <c r="L2407" s="21" t="s">
        <v>1566</v>
      </c>
      <c r="M2407" s="21" t="s">
        <v>12</v>
      </c>
      <c r="N2407" s="54">
        <v>4000</v>
      </c>
      <c r="O2407" s="54">
        <v>0</v>
      </c>
      <c r="P2407" s="54">
        <v>0</v>
      </c>
      <c r="Q2407" s="54">
        <v>4000</v>
      </c>
      <c r="R2407" s="54">
        <v>0</v>
      </c>
      <c r="S2407" s="54">
        <v>0</v>
      </c>
      <c r="T2407" s="54">
        <v>0</v>
      </c>
      <c r="U2407" s="54">
        <v>4000</v>
      </c>
      <c r="V2407" s="54">
        <v>4000</v>
      </c>
      <c r="W2407" s="54">
        <v>4000</v>
      </c>
    </row>
    <row r="2408" spans="1:23" outlineLevel="2" x14ac:dyDescent="0.2">
      <c r="A2408" s="21" t="s">
        <v>999</v>
      </c>
      <c r="B2408" s="21" t="s">
        <v>39</v>
      </c>
      <c r="C2408" s="21" t="s">
        <v>58</v>
      </c>
      <c r="D2408" s="21" t="s">
        <v>143</v>
      </c>
      <c r="E2408" s="21" t="s">
        <v>144</v>
      </c>
      <c r="F2408" s="21" t="s">
        <v>933</v>
      </c>
      <c r="G2408" s="21" t="s">
        <v>934</v>
      </c>
      <c r="H2408" s="21" t="s">
        <v>1564</v>
      </c>
      <c r="I2408" s="21" t="s">
        <v>1565</v>
      </c>
      <c r="J2408" s="21" t="s">
        <v>1000</v>
      </c>
      <c r="K2408" s="21" t="s">
        <v>1037</v>
      </c>
      <c r="L2408" s="21" t="s">
        <v>1566</v>
      </c>
      <c r="M2408" s="21" t="s">
        <v>12</v>
      </c>
      <c r="N2408" s="54">
        <v>5000</v>
      </c>
      <c r="O2408" s="54">
        <v>0</v>
      </c>
      <c r="P2408" s="54">
        <v>0</v>
      </c>
      <c r="Q2408" s="54">
        <v>5000</v>
      </c>
      <c r="R2408" s="54">
        <v>0</v>
      </c>
      <c r="S2408" s="54">
        <v>0</v>
      </c>
      <c r="T2408" s="54">
        <v>0</v>
      </c>
      <c r="U2408" s="54">
        <v>5000</v>
      </c>
      <c r="V2408" s="54">
        <v>5000</v>
      </c>
      <c r="W2408" s="54">
        <v>5000</v>
      </c>
    </row>
    <row r="2409" spans="1:23" outlineLevel="2" x14ac:dyDescent="0.2">
      <c r="A2409" s="21" t="s">
        <v>999</v>
      </c>
      <c r="B2409" s="21" t="s">
        <v>39</v>
      </c>
      <c r="C2409" s="21" t="s">
        <v>58</v>
      </c>
      <c r="D2409" s="21" t="s">
        <v>139</v>
      </c>
      <c r="E2409" s="21" t="s">
        <v>140</v>
      </c>
      <c r="F2409" s="21" t="s">
        <v>933</v>
      </c>
      <c r="G2409" s="21" t="s">
        <v>934</v>
      </c>
      <c r="H2409" s="21" t="s">
        <v>1564</v>
      </c>
      <c r="I2409" s="21" t="s">
        <v>1565</v>
      </c>
      <c r="J2409" s="21" t="s">
        <v>1000</v>
      </c>
      <c r="K2409" s="21" t="s">
        <v>1037</v>
      </c>
      <c r="L2409" s="21" t="s">
        <v>1566</v>
      </c>
      <c r="M2409" s="21" t="s">
        <v>12</v>
      </c>
      <c r="N2409" s="54">
        <v>2000</v>
      </c>
      <c r="O2409" s="54">
        <v>0</v>
      </c>
      <c r="P2409" s="54">
        <v>0</v>
      </c>
      <c r="Q2409" s="54">
        <v>2000</v>
      </c>
      <c r="R2409" s="54">
        <v>0</v>
      </c>
      <c r="S2409" s="54">
        <v>0</v>
      </c>
      <c r="T2409" s="54">
        <v>0</v>
      </c>
      <c r="U2409" s="54">
        <v>2000</v>
      </c>
      <c r="V2409" s="54">
        <v>2000</v>
      </c>
      <c r="W2409" s="54">
        <v>2000</v>
      </c>
    </row>
    <row r="2410" spans="1:23" outlineLevel="2" x14ac:dyDescent="0.2">
      <c r="A2410" s="21" t="s">
        <v>999</v>
      </c>
      <c r="B2410" s="21" t="s">
        <v>39</v>
      </c>
      <c r="C2410" s="21" t="s">
        <v>58</v>
      </c>
      <c r="D2410" s="21" t="s">
        <v>147</v>
      </c>
      <c r="E2410" s="21" t="s">
        <v>148</v>
      </c>
      <c r="F2410" s="21" t="s">
        <v>933</v>
      </c>
      <c r="G2410" s="21" t="s">
        <v>934</v>
      </c>
      <c r="H2410" s="21" t="s">
        <v>1564</v>
      </c>
      <c r="I2410" s="21" t="s">
        <v>1565</v>
      </c>
      <c r="J2410" s="21" t="s">
        <v>1000</v>
      </c>
      <c r="K2410" s="21" t="s">
        <v>1037</v>
      </c>
      <c r="L2410" s="21" t="s">
        <v>1566</v>
      </c>
      <c r="M2410" s="21" t="s">
        <v>12</v>
      </c>
      <c r="N2410" s="54">
        <v>1000</v>
      </c>
      <c r="O2410" s="54">
        <v>0</v>
      </c>
      <c r="P2410" s="54">
        <v>0</v>
      </c>
      <c r="Q2410" s="54">
        <v>1000</v>
      </c>
      <c r="R2410" s="54">
        <v>0</v>
      </c>
      <c r="S2410" s="54">
        <v>0</v>
      </c>
      <c r="T2410" s="54">
        <v>0</v>
      </c>
      <c r="U2410" s="54">
        <v>1000</v>
      </c>
      <c r="V2410" s="54">
        <v>1000</v>
      </c>
      <c r="W2410" s="54">
        <v>1000</v>
      </c>
    </row>
    <row r="2411" spans="1:23" outlineLevel="2" x14ac:dyDescent="0.2">
      <c r="A2411" s="21" t="s">
        <v>999</v>
      </c>
      <c r="B2411" s="21" t="s">
        <v>39</v>
      </c>
      <c r="C2411" s="21" t="s">
        <v>58</v>
      </c>
      <c r="D2411" s="21" t="s">
        <v>135</v>
      </c>
      <c r="E2411" s="21" t="s">
        <v>136</v>
      </c>
      <c r="F2411" s="21" t="s">
        <v>933</v>
      </c>
      <c r="G2411" s="21" t="s">
        <v>934</v>
      </c>
      <c r="H2411" s="21" t="s">
        <v>1564</v>
      </c>
      <c r="I2411" s="21" t="s">
        <v>1565</v>
      </c>
      <c r="J2411" s="21" t="s">
        <v>1000</v>
      </c>
      <c r="K2411" s="21" t="s">
        <v>1037</v>
      </c>
      <c r="L2411" s="21" t="s">
        <v>1566</v>
      </c>
      <c r="M2411" s="21" t="s">
        <v>12</v>
      </c>
      <c r="N2411" s="54">
        <v>6000</v>
      </c>
      <c r="O2411" s="54">
        <v>0</v>
      </c>
      <c r="P2411" s="54">
        <v>0</v>
      </c>
      <c r="Q2411" s="54">
        <v>6000</v>
      </c>
      <c r="R2411" s="54">
        <v>0</v>
      </c>
      <c r="S2411" s="54">
        <v>0</v>
      </c>
      <c r="T2411" s="54">
        <v>0</v>
      </c>
      <c r="U2411" s="54">
        <v>6000</v>
      </c>
      <c r="V2411" s="54">
        <v>6000</v>
      </c>
      <c r="W2411" s="54">
        <v>6000</v>
      </c>
    </row>
    <row r="2412" spans="1:23" outlineLevel="2" x14ac:dyDescent="0.2">
      <c r="A2412" s="21" t="s">
        <v>999</v>
      </c>
      <c r="B2412" s="21" t="s">
        <v>39</v>
      </c>
      <c r="C2412" s="21" t="s">
        <v>58</v>
      </c>
      <c r="D2412" s="21" t="s">
        <v>137</v>
      </c>
      <c r="E2412" s="21" t="s">
        <v>138</v>
      </c>
      <c r="F2412" s="21" t="s">
        <v>933</v>
      </c>
      <c r="G2412" s="21" t="s">
        <v>934</v>
      </c>
      <c r="H2412" s="21" t="s">
        <v>1564</v>
      </c>
      <c r="I2412" s="21" t="s">
        <v>1565</v>
      </c>
      <c r="J2412" s="21" t="s">
        <v>1000</v>
      </c>
      <c r="K2412" s="21" t="s">
        <v>1039</v>
      </c>
      <c r="L2412" s="21" t="s">
        <v>1567</v>
      </c>
      <c r="M2412" s="21" t="s">
        <v>12</v>
      </c>
      <c r="N2412" s="54">
        <v>3000</v>
      </c>
      <c r="O2412" s="54">
        <v>-3000</v>
      </c>
      <c r="P2412" s="54">
        <v>0</v>
      </c>
      <c r="Q2412" s="54">
        <v>0</v>
      </c>
      <c r="R2412" s="54">
        <v>0</v>
      </c>
      <c r="S2412" s="54">
        <v>0</v>
      </c>
      <c r="T2412" s="54">
        <v>0</v>
      </c>
      <c r="U2412" s="54">
        <v>0</v>
      </c>
      <c r="V2412" s="54">
        <v>0</v>
      </c>
      <c r="W2412" s="54">
        <v>0</v>
      </c>
    </row>
    <row r="2413" spans="1:23" outlineLevel="2" x14ac:dyDescent="0.2">
      <c r="A2413" s="21" t="s">
        <v>999</v>
      </c>
      <c r="B2413" s="21" t="s">
        <v>39</v>
      </c>
      <c r="C2413" s="21" t="s">
        <v>58</v>
      </c>
      <c r="D2413" s="21" t="s">
        <v>143</v>
      </c>
      <c r="E2413" s="21" t="s">
        <v>144</v>
      </c>
      <c r="F2413" s="21" t="s">
        <v>933</v>
      </c>
      <c r="G2413" s="21" t="s">
        <v>934</v>
      </c>
      <c r="H2413" s="21" t="s">
        <v>1564</v>
      </c>
      <c r="I2413" s="21" t="s">
        <v>1565</v>
      </c>
      <c r="J2413" s="21" t="s">
        <v>1000</v>
      </c>
      <c r="K2413" s="21" t="s">
        <v>1039</v>
      </c>
      <c r="L2413" s="21" t="s">
        <v>1567</v>
      </c>
      <c r="M2413" s="21" t="s">
        <v>12</v>
      </c>
      <c r="N2413" s="54">
        <v>3000</v>
      </c>
      <c r="O2413" s="54">
        <v>-3000</v>
      </c>
      <c r="P2413" s="54">
        <v>0</v>
      </c>
      <c r="Q2413" s="54">
        <v>0</v>
      </c>
      <c r="R2413" s="54">
        <v>0</v>
      </c>
      <c r="S2413" s="54">
        <v>0</v>
      </c>
      <c r="T2413" s="54">
        <v>0</v>
      </c>
      <c r="U2413" s="54">
        <v>0</v>
      </c>
      <c r="V2413" s="54">
        <v>0</v>
      </c>
      <c r="W2413" s="54">
        <v>0</v>
      </c>
    </row>
    <row r="2414" spans="1:23" outlineLevel="2" x14ac:dyDescent="0.2">
      <c r="A2414" s="21" t="s">
        <v>999</v>
      </c>
      <c r="B2414" s="21" t="s">
        <v>39</v>
      </c>
      <c r="C2414" s="21" t="s">
        <v>58</v>
      </c>
      <c r="D2414" s="21" t="s">
        <v>135</v>
      </c>
      <c r="E2414" s="21" t="s">
        <v>136</v>
      </c>
      <c r="F2414" s="21" t="s">
        <v>933</v>
      </c>
      <c r="G2414" s="21" t="s">
        <v>934</v>
      </c>
      <c r="H2414" s="21" t="s">
        <v>1564</v>
      </c>
      <c r="I2414" s="21" t="s">
        <v>1565</v>
      </c>
      <c r="J2414" s="21" t="s">
        <v>1000</v>
      </c>
      <c r="K2414" s="21" t="s">
        <v>1039</v>
      </c>
      <c r="L2414" s="21" t="s">
        <v>1567</v>
      </c>
      <c r="M2414" s="21" t="s">
        <v>12</v>
      </c>
      <c r="N2414" s="54">
        <v>3000</v>
      </c>
      <c r="O2414" s="54">
        <v>0</v>
      </c>
      <c r="P2414" s="54">
        <v>0</v>
      </c>
      <c r="Q2414" s="54">
        <v>3000</v>
      </c>
      <c r="R2414" s="54">
        <v>0</v>
      </c>
      <c r="S2414" s="54">
        <v>0</v>
      </c>
      <c r="T2414" s="54">
        <v>0</v>
      </c>
      <c r="U2414" s="54">
        <v>3000</v>
      </c>
      <c r="V2414" s="54">
        <v>3000</v>
      </c>
      <c r="W2414" s="54">
        <v>3000</v>
      </c>
    </row>
    <row r="2415" spans="1:23" outlineLevel="2" x14ac:dyDescent="0.2">
      <c r="A2415" s="21" t="s">
        <v>999</v>
      </c>
      <c r="B2415" s="21" t="s">
        <v>39</v>
      </c>
      <c r="C2415" s="21" t="s">
        <v>58</v>
      </c>
      <c r="D2415" s="21" t="s">
        <v>147</v>
      </c>
      <c r="E2415" s="21" t="s">
        <v>148</v>
      </c>
      <c r="F2415" s="21" t="s">
        <v>933</v>
      </c>
      <c r="G2415" s="21" t="s">
        <v>934</v>
      </c>
      <c r="H2415" s="21" t="s">
        <v>1564</v>
      </c>
      <c r="I2415" s="21" t="s">
        <v>1565</v>
      </c>
      <c r="J2415" s="21" t="s">
        <v>1000</v>
      </c>
      <c r="K2415" s="21" t="s">
        <v>1039</v>
      </c>
      <c r="L2415" s="21" t="s">
        <v>1567</v>
      </c>
      <c r="M2415" s="21" t="s">
        <v>12</v>
      </c>
      <c r="N2415" s="54">
        <v>6000</v>
      </c>
      <c r="O2415" s="54">
        <v>0</v>
      </c>
      <c r="P2415" s="54">
        <v>0</v>
      </c>
      <c r="Q2415" s="54">
        <v>6000</v>
      </c>
      <c r="R2415" s="54">
        <v>0</v>
      </c>
      <c r="S2415" s="54">
        <v>0</v>
      </c>
      <c r="T2415" s="54">
        <v>0</v>
      </c>
      <c r="U2415" s="54">
        <v>6000</v>
      </c>
      <c r="V2415" s="54">
        <v>6000</v>
      </c>
      <c r="W2415" s="54">
        <v>6000</v>
      </c>
    </row>
    <row r="2416" spans="1:23" outlineLevel="2" x14ac:dyDescent="0.2">
      <c r="A2416" s="21" t="s">
        <v>999</v>
      </c>
      <c r="B2416" s="21" t="s">
        <v>39</v>
      </c>
      <c r="C2416" s="21" t="s">
        <v>58</v>
      </c>
      <c r="D2416" s="21" t="s">
        <v>59</v>
      </c>
      <c r="E2416" s="21" t="s">
        <v>60</v>
      </c>
      <c r="F2416" s="21" t="s">
        <v>933</v>
      </c>
      <c r="G2416" s="21" t="s">
        <v>934</v>
      </c>
      <c r="H2416" s="21" t="s">
        <v>1564</v>
      </c>
      <c r="I2416" s="21" t="s">
        <v>1565</v>
      </c>
      <c r="J2416" s="21" t="s">
        <v>1000</v>
      </c>
      <c r="K2416" s="21" t="s">
        <v>1039</v>
      </c>
      <c r="L2416" s="21" t="s">
        <v>1567</v>
      </c>
      <c r="M2416" s="21" t="s">
        <v>12</v>
      </c>
      <c r="N2416" s="54">
        <v>3000</v>
      </c>
      <c r="O2416" s="54">
        <v>0</v>
      </c>
      <c r="P2416" s="54">
        <v>0</v>
      </c>
      <c r="Q2416" s="54">
        <v>3000</v>
      </c>
      <c r="R2416" s="54">
        <v>0</v>
      </c>
      <c r="S2416" s="54">
        <v>0</v>
      </c>
      <c r="T2416" s="54">
        <v>0</v>
      </c>
      <c r="U2416" s="54">
        <v>3000</v>
      </c>
      <c r="V2416" s="54">
        <v>3000</v>
      </c>
      <c r="W2416" s="54">
        <v>3000</v>
      </c>
    </row>
    <row r="2417" spans="1:23" outlineLevel="2" x14ac:dyDescent="0.2">
      <c r="A2417" s="21" t="s">
        <v>999</v>
      </c>
      <c r="B2417" s="21" t="s">
        <v>39</v>
      </c>
      <c r="C2417" s="21" t="s">
        <v>58</v>
      </c>
      <c r="D2417" s="21" t="s">
        <v>139</v>
      </c>
      <c r="E2417" s="21" t="s">
        <v>140</v>
      </c>
      <c r="F2417" s="21" t="s">
        <v>933</v>
      </c>
      <c r="G2417" s="21" t="s">
        <v>934</v>
      </c>
      <c r="H2417" s="21" t="s">
        <v>1564</v>
      </c>
      <c r="I2417" s="21" t="s">
        <v>1565</v>
      </c>
      <c r="J2417" s="21" t="s">
        <v>1000</v>
      </c>
      <c r="K2417" s="21" t="s">
        <v>1039</v>
      </c>
      <c r="L2417" s="21" t="s">
        <v>1567</v>
      </c>
      <c r="M2417" s="21" t="s">
        <v>12</v>
      </c>
      <c r="N2417" s="54">
        <v>6000</v>
      </c>
      <c r="O2417" s="54">
        <v>0</v>
      </c>
      <c r="P2417" s="54">
        <v>0</v>
      </c>
      <c r="Q2417" s="54">
        <v>6000</v>
      </c>
      <c r="R2417" s="54">
        <v>0</v>
      </c>
      <c r="S2417" s="54">
        <v>0</v>
      </c>
      <c r="T2417" s="54">
        <v>0</v>
      </c>
      <c r="U2417" s="54">
        <v>6000</v>
      </c>
      <c r="V2417" s="54">
        <v>6000</v>
      </c>
      <c r="W2417" s="54">
        <v>6000</v>
      </c>
    </row>
    <row r="2418" spans="1:23" outlineLevel="2" x14ac:dyDescent="0.2">
      <c r="A2418" s="21" t="s">
        <v>999</v>
      </c>
      <c r="B2418" s="21" t="s">
        <v>39</v>
      </c>
      <c r="C2418" s="21" t="s">
        <v>58</v>
      </c>
      <c r="D2418" s="21" t="s">
        <v>149</v>
      </c>
      <c r="E2418" s="21" t="s">
        <v>150</v>
      </c>
      <c r="F2418" s="21" t="s">
        <v>933</v>
      </c>
      <c r="G2418" s="21" t="s">
        <v>934</v>
      </c>
      <c r="H2418" s="21" t="s">
        <v>1564</v>
      </c>
      <c r="I2418" s="21" t="s">
        <v>1565</v>
      </c>
      <c r="J2418" s="21" t="s">
        <v>1000</v>
      </c>
      <c r="K2418" s="21" t="s">
        <v>1039</v>
      </c>
      <c r="L2418" s="21" t="s">
        <v>1567</v>
      </c>
      <c r="M2418" s="21" t="s">
        <v>12</v>
      </c>
      <c r="N2418" s="54">
        <v>9000</v>
      </c>
      <c r="O2418" s="54">
        <v>0</v>
      </c>
      <c r="P2418" s="54">
        <v>0</v>
      </c>
      <c r="Q2418" s="54">
        <v>9000</v>
      </c>
      <c r="R2418" s="54">
        <v>0</v>
      </c>
      <c r="S2418" s="54">
        <v>0</v>
      </c>
      <c r="T2418" s="54">
        <v>0</v>
      </c>
      <c r="U2418" s="54">
        <v>9000</v>
      </c>
      <c r="V2418" s="54">
        <v>9000</v>
      </c>
      <c r="W2418" s="54">
        <v>9000</v>
      </c>
    </row>
    <row r="2419" spans="1:23" outlineLevel="2" x14ac:dyDescent="0.2">
      <c r="A2419" s="21" t="s">
        <v>999</v>
      </c>
      <c r="B2419" s="21" t="s">
        <v>39</v>
      </c>
      <c r="C2419" s="21" t="s">
        <v>58</v>
      </c>
      <c r="D2419" s="21" t="s">
        <v>145</v>
      </c>
      <c r="E2419" s="21" t="s">
        <v>146</v>
      </c>
      <c r="F2419" s="21" t="s">
        <v>933</v>
      </c>
      <c r="G2419" s="21" t="s">
        <v>934</v>
      </c>
      <c r="H2419" s="21" t="s">
        <v>1564</v>
      </c>
      <c r="I2419" s="21" t="s">
        <v>1565</v>
      </c>
      <c r="J2419" s="21" t="s">
        <v>1000</v>
      </c>
      <c r="K2419" s="21" t="s">
        <v>1039</v>
      </c>
      <c r="L2419" s="21" t="s">
        <v>1567</v>
      </c>
      <c r="M2419" s="21" t="s">
        <v>12</v>
      </c>
      <c r="N2419" s="54">
        <v>3000</v>
      </c>
      <c r="O2419" s="54">
        <v>0</v>
      </c>
      <c r="P2419" s="54">
        <v>0</v>
      </c>
      <c r="Q2419" s="54">
        <v>3000</v>
      </c>
      <c r="R2419" s="54">
        <v>0</v>
      </c>
      <c r="S2419" s="54">
        <v>0</v>
      </c>
      <c r="T2419" s="54">
        <v>0</v>
      </c>
      <c r="U2419" s="54">
        <v>3000</v>
      </c>
      <c r="V2419" s="54">
        <v>3000</v>
      </c>
      <c r="W2419" s="54">
        <v>3000</v>
      </c>
    </row>
    <row r="2420" spans="1:23" outlineLevel="2" x14ac:dyDescent="0.2">
      <c r="A2420" s="21" t="s">
        <v>999</v>
      </c>
      <c r="B2420" s="21" t="s">
        <v>31</v>
      </c>
      <c r="C2420" s="21" t="s">
        <v>32</v>
      </c>
      <c r="D2420" s="21" t="s">
        <v>141</v>
      </c>
      <c r="E2420" s="21" t="s">
        <v>142</v>
      </c>
      <c r="F2420" s="21" t="s">
        <v>933</v>
      </c>
      <c r="G2420" s="21" t="s">
        <v>934</v>
      </c>
      <c r="H2420" s="21" t="s">
        <v>1564</v>
      </c>
      <c r="I2420" s="21" t="s">
        <v>1565</v>
      </c>
      <c r="J2420" s="21" t="s">
        <v>1000</v>
      </c>
      <c r="K2420" s="21" t="s">
        <v>1009</v>
      </c>
      <c r="L2420" s="21" t="s">
        <v>1568</v>
      </c>
      <c r="M2420" s="21" t="s">
        <v>12</v>
      </c>
      <c r="N2420" s="54">
        <v>2500</v>
      </c>
      <c r="O2420" s="54">
        <v>0</v>
      </c>
      <c r="P2420" s="54">
        <v>0</v>
      </c>
      <c r="Q2420" s="54">
        <v>2500</v>
      </c>
      <c r="R2420" s="54">
        <v>0</v>
      </c>
      <c r="S2420" s="54">
        <v>0</v>
      </c>
      <c r="T2420" s="54">
        <v>0</v>
      </c>
      <c r="U2420" s="54">
        <v>2500</v>
      </c>
      <c r="V2420" s="54">
        <v>2500</v>
      </c>
      <c r="W2420" s="54">
        <v>2500</v>
      </c>
    </row>
    <row r="2421" spans="1:23" outlineLevel="2" x14ac:dyDescent="0.2">
      <c r="A2421" s="21" t="s">
        <v>999</v>
      </c>
      <c r="B2421" s="21" t="s">
        <v>39</v>
      </c>
      <c r="C2421" s="21" t="s">
        <v>58</v>
      </c>
      <c r="D2421" s="21" t="s">
        <v>59</v>
      </c>
      <c r="E2421" s="21" t="s">
        <v>60</v>
      </c>
      <c r="F2421" s="21" t="s">
        <v>933</v>
      </c>
      <c r="G2421" s="21" t="s">
        <v>934</v>
      </c>
      <c r="H2421" s="21" t="s">
        <v>1564</v>
      </c>
      <c r="I2421" s="21" t="s">
        <v>1565</v>
      </c>
      <c r="J2421" s="21" t="s">
        <v>1000</v>
      </c>
      <c r="K2421" s="21" t="s">
        <v>1011</v>
      </c>
      <c r="L2421" s="21" t="s">
        <v>1569</v>
      </c>
      <c r="M2421" s="21" t="s">
        <v>12</v>
      </c>
      <c r="N2421" s="54">
        <v>21090.240000000002</v>
      </c>
      <c r="O2421" s="54">
        <v>0</v>
      </c>
      <c r="P2421" s="54">
        <v>0</v>
      </c>
      <c r="Q2421" s="54">
        <v>21090.240000000002</v>
      </c>
      <c r="R2421" s="54">
        <v>0</v>
      </c>
      <c r="S2421" s="54">
        <v>1569.39</v>
      </c>
      <c r="T2421" s="54">
        <v>1569.39</v>
      </c>
      <c r="U2421" s="54">
        <v>19520.849999999999</v>
      </c>
      <c r="V2421" s="54">
        <v>19520.849999999999</v>
      </c>
      <c r="W2421" s="54">
        <v>19520.849999999999</v>
      </c>
    </row>
    <row r="2422" spans="1:23" outlineLevel="2" x14ac:dyDescent="0.2">
      <c r="A2422" s="21" t="s">
        <v>999</v>
      </c>
      <c r="B2422" s="21" t="s">
        <v>39</v>
      </c>
      <c r="C2422" s="21" t="s">
        <v>58</v>
      </c>
      <c r="D2422" s="21" t="s">
        <v>149</v>
      </c>
      <c r="E2422" s="21" t="s">
        <v>150</v>
      </c>
      <c r="F2422" s="21" t="s">
        <v>933</v>
      </c>
      <c r="G2422" s="21" t="s">
        <v>934</v>
      </c>
      <c r="H2422" s="21" t="s">
        <v>1564</v>
      </c>
      <c r="I2422" s="21" t="s">
        <v>1565</v>
      </c>
      <c r="J2422" s="21" t="s">
        <v>1000</v>
      </c>
      <c r="K2422" s="21" t="s">
        <v>1011</v>
      </c>
      <c r="L2422" s="21" t="s">
        <v>1569</v>
      </c>
      <c r="M2422" s="21" t="s">
        <v>12</v>
      </c>
      <c r="N2422" s="54">
        <v>21090.240000000002</v>
      </c>
      <c r="O2422" s="54">
        <v>0</v>
      </c>
      <c r="P2422" s="54">
        <v>0</v>
      </c>
      <c r="Q2422" s="54">
        <v>21090.240000000002</v>
      </c>
      <c r="R2422" s="54">
        <v>0</v>
      </c>
      <c r="S2422" s="54">
        <v>0</v>
      </c>
      <c r="T2422" s="54">
        <v>0</v>
      </c>
      <c r="U2422" s="54">
        <v>21090.240000000002</v>
      </c>
      <c r="V2422" s="54">
        <v>21090.240000000002</v>
      </c>
      <c r="W2422" s="54">
        <v>21090.240000000002</v>
      </c>
    </row>
    <row r="2423" spans="1:23" outlineLevel="2" x14ac:dyDescent="0.2">
      <c r="A2423" s="21" t="s">
        <v>999</v>
      </c>
      <c r="B2423" s="21" t="s">
        <v>39</v>
      </c>
      <c r="C2423" s="21" t="s">
        <v>58</v>
      </c>
      <c r="D2423" s="21" t="s">
        <v>145</v>
      </c>
      <c r="E2423" s="21" t="s">
        <v>146</v>
      </c>
      <c r="F2423" s="21" t="s">
        <v>933</v>
      </c>
      <c r="G2423" s="21" t="s">
        <v>934</v>
      </c>
      <c r="H2423" s="21" t="s">
        <v>1564</v>
      </c>
      <c r="I2423" s="21" t="s">
        <v>1565</v>
      </c>
      <c r="J2423" s="21" t="s">
        <v>1000</v>
      </c>
      <c r="K2423" s="21" t="s">
        <v>1011</v>
      </c>
      <c r="L2423" s="21" t="s">
        <v>1569</v>
      </c>
      <c r="M2423" s="21" t="s">
        <v>12</v>
      </c>
      <c r="N2423" s="54">
        <v>21090.240000000002</v>
      </c>
      <c r="O2423" s="54">
        <v>0</v>
      </c>
      <c r="P2423" s="54">
        <v>0</v>
      </c>
      <c r="Q2423" s="54">
        <v>21090.240000000002</v>
      </c>
      <c r="R2423" s="54">
        <v>0</v>
      </c>
      <c r="S2423" s="54">
        <v>7030.28</v>
      </c>
      <c r="T2423" s="54">
        <v>1757.57</v>
      </c>
      <c r="U2423" s="54">
        <v>14059.96</v>
      </c>
      <c r="V2423" s="54">
        <v>19332.669999999998</v>
      </c>
      <c r="W2423" s="54">
        <v>14059.96</v>
      </c>
    </row>
    <row r="2424" spans="1:23" outlineLevel="2" x14ac:dyDescent="0.2">
      <c r="A2424" s="21" t="s">
        <v>999</v>
      </c>
      <c r="B2424" s="21" t="s">
        <v>39</v>
      </c>
      <c r="C2424" s="21" t="s">
        <v>58</v>
      </c>
      <c r="D2424" s="21" t="s">
        <v>137</v>
      </c>
      <c r="E2424" s="21" t="s">
        <v>138</v>
      </c>
      <c r="F2424" s="21" t="s">
        <v>933</v>
      </c>
      <c r="G2424" s="21" t="s">
        <v>934</v>
      </c>
      <c r="H2424" s="21" t="s">
        <v>1564</v>
      </c>
      <c r="I2424" s="21" t="s">
        <v>1565</v>
      </c>
      <c r="J2424" s="21" t="s">
        <v>1000</v>
      </c>
      <c r="K2424" s="21" t="s">
        <v>1011</v>
      </c>
      <c r="L2424" s="21" t="s">
        <v>1569</v>
      </c>
      <c r="M2424" s="21" t="s">
        <v>12</v>
      </c>
      <c r="N2424" s="54">
        <v>21090.240000000002</v>
      </c>
      <c r="O2424" s="54">
        <v>-5000</v>
      </c>
      <c r="P2424" s="54">
        <v>0</v>
      </c>
      <c r="Q2424" s="54">
        <v>16090.24</v>
      </c>
      <c r="R2424" s="54">
        <v>0</v>
      </c>
      <c r="S2424" s="54">
        <v>0</v>
      </c>
      <c r="T2424" s="54">
        <v>0</v>
      </c>
      <c r="U2424" s="54">
        <v>16090.24</v>
      </c>
      <c r="V2424" s="54">
        <v>16090.24</v>
      </c>
      <c r="W2424" s="54">
        <v>16090.24</v>
      </c>
    </row>
    <row r="2425" spans="1:23" outlineLevel="2" x14ac:dyDescent="0.2">
      <c r="A2425" s="21" t="s">
        <v>999</v>
      </c>
      <c r="B2425" s="21" t="s">
        <v>39</v>
      </c>
      <c r="C2425" s="21" t="s">
        <v>58</v>
      </c>
      <c r="D2425" s="21" t="s">
        <v>147</v>
      </c>
      <c r="E2425" s="21" t="s">
        <v>148</v>
      </c>
      <c r="F2425" s="21" t="s">
        <v>933</v>
      </c>
      <c r="G2425" s="21" t="s">
        <v>934</v>
      </c>
      <c r="H2425" s="21" t="s">
        <v>1564</v>
      </c>
      <c r="I2425" s="21" t="s">
        <v>1565</v>
      </c>
      <c r="J2425" s="21" t="s">
        <v>1000</v>
      </c>
      <c r="K2425" s="21" t="s">
        <v>1011</v>
      </c>
      <c r="L2425" s="21" t="s">
        <v>1569</v>
      </c>
      <c r="M2425" s="21" t="s">
        <v>12</v>
      </c>
      <c r="N2425" s="54">
        <v>21090.240000000002</v>
      </c>
      <c r="O2425" s="54">
        <v>0</v>
      </c>
      <c r="P2425" s="54">
        <v>0</v>
      </c>
      <c r="Q2425" s="54">
        <v>21090.240000000002</v>
      </c>
      <c r="R2425" s="54">
        <v>0</v>
      </c>
      <c r="S2425" s="54">
        <v>0</v>
      </c>
      <c r="T2425" s="54">
        <v>0</v>
      </c>
      <c r="U2425" s="54">
        <v>21090.240000000002</v>
      </c>
      <c r="V2425" s="54">
        <v>21090.240000000002</v>
      </c>
      <c r="W2425" s="54">
        <v>21090.240000000002</v>
      </c>
    </row>
    <row r="2426" spans="1:23" outlineLevel="2" x14ac:dyDescent="0.2">
      <c r="A2426" s="21" t="s">
        <v>999</v>
      </c>
      <c r="B2426" s="21" t="s">
        <v>39</v>
      </c>
      <c r="C2426" s="21" t="s">
        <v>58</v>
      </c>
      <c r="D2426" s="21" t="s">
        <v>135</v>
      </c>
      <c r="E2426" s="21" t="s">
        <v>136</v>
      </c>
      <c r="F2426" s="21" t="s">
        <v>933</v>
      </c>
      <c r="G2426" s="21" t="s">
        <v>934</v>
      </c>
      <c r="H2426" s="21" t="s">
        <v>1564</v>
      </c>
      <c r="I2426" s="21" t="s">
        <v>1565</v>
      </c>
      <c r="J2426" s="21" t="s">
        <v>1000</v>
      </c>
      <c r="K2426" s="21" t="s">
        <v>1011</v>
      </c>
      <c r="L2426" s="21" t="s">
        <v>1569</v>
      </c>
      <c r="M2426" s="21" t="s">
        <v>12</v>
      </c>
      <c r="N2426" s="54">
        <v>21090.240000000002</v>
      </c>
      <c r="O2426" s="54">
        <v>0</v>
      </c>
      <c r="P2426" s="54">
        <v>0</v>
      </c>
      <c r="Q2426" s="54">
        <v>21090.240000000002</v>
      </c>
      <c r="R2426" s="54">
        <v>0</v>
      </c>
      <c r="S2426" s="54">
        <v>0</v>
      </c>
      <c r="T2426" s="54">
        <v>0</v>
      </c>
      <c r="U2426" s="54">
        <v>21090.240000000002</v>
      </c>
      <c r="V2426" s="54">
        <v>21090.240000000002</v>
      </c>
      <c r="W2426" s="54">
        <v>21090.240000000002</v>
      </c>
    </row>
    <row r="2427" spans="1:23" outlineLevel="2" x14ac:dyDescent="0.2">
      <c r="A2427" s="21" t="s">
        <v>999</v>
      </c>
      <c r="B2427" s="21" t="s">
        <v>39</v>
      </c>
      <c r="C2427" s="21" t="s">
        <v>58</v>
      </c>
      <c r="D2427" s="21" t="s">
        <v>139</v>
      </c>
      <c r="E2427" s="21" t="s">
        <v>140</v>
      </c>
      <c r="F2427" s="21" t="s">
        <v>933</v>
      </c>
      <c r="G2427" s="21" t="s">
        <v>934</v>
      </c>
      <c r="H2427" s="21" t="s">
        <v>1564</v>
      </c>
      <c r="I2427" s="21" t="s">
        <v>1565</v>
      </c>
      <c r="J2427" s="21" t="s">
        <v>1000</v>
      </c>
      <c r="K2427" s="21" t="s">
        <v>1011</v>
      </c>
      <c r="L2427" s="21" t="s">
        <v>1569</v>
      </c>
      <c r="M2427" s="21" t="s">
        <v>12</v>
      </c>
      <c r="N2427" s="54">
        <v>21090.240000000002</v>
      </c>
      <c r="O2427" s="54">
        <v>-5000</v>
      </c>
      <c r="P2427" s="54">
        <v>0</v>
      </c>
      <c r="Q2427" s="54">
        <v>16090.24</v>
      </c>
      <c r="R2427" s="54">
        <v>0</v>
      </c>
      <c r="S2427" s="54">
        <v>0</v>
      </c>
      <c r="T2427" s="54">
        <v>0</v>
      </c>
      <c r="U2427" s="54">
        <v>16090.24</v>
      </c>
      <c r="V2427" s="54">
        <v>16090.24</v>
      </c>
      <c r="W2427" s="54">
        <v>16090.24</v>
      </c>
    </row>
    <row r="2428" spans="1:23" outlineLevel="2" x14ac:dyDescent="0.2">
      <c r="A2428" s="21" t="s">
        <v>999</v>
      </c>
      <c r="B2428" s="21" t="s">
        <v>39</v>
      </c>
      <c r="C2428" s="21" t="s">
        <v>58</v>
      </c>
      <c r="D2428" s="21" t="s">
        <v>143</v>
      </c>
      <c r="E2428" s="21" t="s">
        <v>144</v>
      </c>
      <c r="F2428" s="21" t="s">
        <v>933</v>
      </c>
      <c r="G2428" s="21" t="s">
        <v>934</v>
      </c>
      <c r="H2428" s="21" t="s">
        <v>1564</v>
      </c>
      <c r="I2428" s="21" t="s">
        <v>1565</v>
      </c>
      <c r="J2428" s="21" t="s">
        <v>1000</v>
      </c>
      <c r="K2428" s="21" t="s">
        <v>1011</v>
      </c>
      <c r="L2428" s="21" t="s">
        <v>1569</v>
      </c>
      <c r="M2428" s="21" t="s">
        <v>12</v>
      </c>
      <c r="N2428" s="54">
        <v>21090.240000000002</v>
      </c>
      <c r="O2428" s="54">
        <v>-5000</v>
      </c>
      <c r="P2428" s="54">
        <v>0</v>
      </c>
      <c r="Q2428" s="54">
        <v>16090.24</v>
      </c>
      <c r="R2428" s="54">
        <v>0</v>
      </c>
      <c r="S2428" s="54">
        <v>9748.39</v>
      </c>
      <c r="T2428" s="54">
        <v>0</v>
      </c>
      <c r="U2428" s="54">
        <v>6341.85</v>
      </c>
      <c r="V2428" s="54">
        <v>16090.24</v>
      </c>
      <c r="W2428" s="54">
        <v>6341.85</v>
      </c>
    </row>
    <row r="2429" spans="1:23" outlineLevel="2" x14ac:dyDescent="0.2">
      <c r="A2429" s="21" t="s">
        <v>999</v>
      </c>
      <c r="B2429" s="21" t="s">
        <v>39</v>
      </c>
      <c r="C2429" s="21" t="s">
        <v>58</v>
      </c>
      <c r="D2429" s="21" t="s">
        <v>149</v>
      </c>
      <c r="E2429" s="21" t="s">
        <v>150</v>
      </c>
      <c r="F2429" s="21" t="s">
        <v>933</v>
      </c>
      <c r="G2429" s="21" t="s">
        <v>934</v>
      </c>
      <c r="H2429" s="21" t="s">
        <v>1564</v>
      </c>
      <c r="I2429" s="21" t="s">
        <v>1565</v>
      </c>
      <c r="J2429" s="21" t="s">
        <v>1000</v>
      </c>
      <c r="K2429" s="21" t="s">
        <v>1017</v>
      </c>
      <c r="L2429" s="21" t="s">
        <v>1570</v>
      </c>
      <c r="M2429" s="21" t="s">
        <v>12</v>
      </c>
      <c r="N2429" s="54">
        <v>56830.68</v>
      </c>
      <c r="O2429" s="54">
        <v>0</v>
      </c>
      <c r="P2429" s="54">
        <v>0</v>
      </c>
      <c r="Q2429" s="54">
        <v>56830.68</v>
      </c>
      <c r="R2429" s="54">
        <v>0</v>
      </c>
      <c r="S2429" s="54">
        <v>0</v>
      </c>
      <c r="T2429" s="54">
        <v>0</v>
      </c>
      <c r="U2429" s="54">
        <v>56830.68</v>
      </c>
      <c r="V2429" s="54">
        <v>56830.68</v>
      </c>
      <c r="W2429" s="54">
        <v>56830.68</v>
      </c>
    </row>
    <row r="2430" spans="1:23" outlineLevel="2" x14ac:dyDescent="0.2">
      <c r="A2430" s="21" t="s">
        <v>999</v>
      </c>
      <c r="B2430" s="21" t="s">
        <v>39</v>
      </c>
      <c r="C2430" s="21" t="s">
        <v>58</v>
      </c>
      <c r="D2430" s="21" t="s">
        <v>145</v>
      </c>
      <c r="E2430" s="21" t="s">
        <v>146</v>
      </c>
      <c r="F2430" s="21" t="s">
        <v>933</v>
      </c>
      <c r="G2430" s="21" t="s">
        <v>934</v>
      </c>
      <c r="H2430" s="21" t="s">
        <v>1564</v>
      </c>
      <c r="I2430" s="21" t="s">
        <v>1565</v>
      </c>
      <c r="J2430" s="21" t="s">
        <v>1000</v>
      </c>
      <c r="K2430" s="21" t="s">
        <v>1017</v>
      </c>
      <c r="L2430" s="21" t="s">
        <v>1570</v>
      </c>
      <c r="M2430" s="21" t="s">
        <v>12</v>
      </c>
      <c r="N2430" s="54">
        <v>56830.68</v>
      </c>
      <c r="O2430" s="54">
        <v>0</v>
      </c>
      <c r="P2430" s="54">
        <v>0</v>
      </c>
      <c r="Q2430" s="54">
        <v>56830.68</v>
      </c>
      <c r="R2430" s="54">
        <v>0</v>
      </c>
      <c r="S2430" s="54">
        <v>0</v>
      </c>
      <c r="T2430" s="54">
        <v>0</v>
      </c>
      <c r="U2430" s="54">
        <v>56830.68</v>
      </c>
      <c r="V2430" s="54">
        <v>56830.68</v>
      </c>
      <c r="W2430" s="54">
        <v>56830.68</v>
      </c>
    </row>
    <row r="2431" spans="1:23" outlineLevel="2" x14ac:dyDescent="0.2">
      <c r="A2431" s="21" t="s">
        <v>999</v>
      </c>
      <c r="B2431" s="21" t="s">
        <v>39</v>
      </c>
      <c r="C2431" s="21" t="s">
        <v>58</v>
      </c>
      <c r="D2431" s="21" t="s">
        <v>139</v>
      </c>
      <c r="E2431" s="21" t="s">
        <v>140</v>
      </c>
      <c r="F2431" s="21" t="s">
        <v>933</v>
      </c>
      <c r="G2431" s="21" t="s">
        <v>934</v>
      </c>
      <c r="H2431" s="21" t="s">
        <v>1564</v>
      </c>
      <c r="I2431" s="21" t="s">
        <v>1565</v>
      </c>
      <c r="J2431" s="21" t="s">
        <v>1000</v>
      </c>
      <c r="K2431" s="21" t="s">
        <v>1017</v>
      </c>
      <c r="L2431" s="21" t="s">
        <v>1570</v>
      </c>
      <c r="M2431" s="21" t="s">
        <v>12</v>
      </c>
      <c r="N2431" s="54">
        <v>37887.120000000003</v>
      </c>
      <c r="O2431" s="54">
        <v>-7893.15</v>
      </c>
      <c r="P2431" s="54">
        <v>0</v>
      </c>
      <c r="Q2431" s="54">
        <v>29993.97</v>
      </c>
      <c r="R2431" s="54">
        <v>0</v>
      </c>
      <c r="S2431" s="54">
        <v>0</v>
      </c>
      <c r="T2431" s="54">
        <v>0</v>
      </c>
      <c r="U2431" s="54">
        <v>29993.97</v>
      </c>
      <c r="V2431" s="54">
        <v>29993.97</v>
      </c>
      <c r="W2431" s="54">
        <v>29993.97</v>
      </c>
    </row>
    <row r="2432" spans="1:23" outlineLevel="2" x14ac:dyDescent="0.2">
      <c r="A2432" s="21" t="s">
        <v>999</v>
      </c>
      <c r="B2432" s="21" t="s">
        <v>39</v>
      </c>
      <c r="C2432" s="21" t="s">
        <v>58</v>
      </c>
      <c r="D2432" s="21" t="s">
        <v>59</v>
      </c>
      <c r="E2432" s="21" t="s">
        <v>60</v>
      </c>
      <c r="F2432" s="21" t="s">
        <v>933</v>
      </c>
      <c r="G2432" s="21" t="s">
        <v>934</v>
      </c>
      <c r="H2432" s="21" t="s">
        <v>1564</v>
      </c>
      <c r="I2432" s="21" t="s">
        <v>1565</v>
      </c>
      <c r="J2432" s="21" t="s">
        <v>1000</v>
      </c>
      <c r="K2432" s="21" t="s">
        <v>1017</v>
      </c>
      <c r="L2432" s="21" t="s">
        <v>1570</v>
      </c>
      <c r="M2432" s="21" t="s">
        <v>12</v>
      </c>
      <c r="N2432" s="54">
        <v>37887.120000000003</v>
      </c>
      <c r="O2432" s="54">
        <v>0</v>
      </c>
      <c r="P2432" s="54">
        <v>0</v>
      </c>
      <c r="Q2432" s="54">
        <v>37887.120000000003</v>
      </c>
      <c r="R2432" s="54">
        <v>0</v>
      </c>
      <c r="S2432" s="54">
        <v>0</v>
      </c>
      <c r="T2432" s="54">
        <v>0</v>
      </c>
      <c r="U2432" s="54">
        <v>37887.120000000003</v>
      </c>
      <c r="V2432" s="54">
        <v>37887.120000000003</v>
      </c>
      <c r="W2432" s="54">
        <v>37887.120000000003</v>
      </c>
    </row>
    <row r="2433" spans="1:23" outlineLevel="2" x14ac:dyDescent="0.2">
      <c r="A2433" s="21" t="s">
        <v>999</v>
      </c>
      <c r="B2433" s="21" t="s">
        <v>31</v>
      </c>
      <c r="C2433" s="21" t="s">
        <v>32</v>
      </c>
      <c r="D2433" s="21" t="s">
        <v>141</v>
      </c>
      <c r="E2433" s="21" t="s">
        <v>142</v>
      </c>
      <c r="F2433" s="21" t="s">
        <v>933</v>
      </c>
      <c r="G2433" s="21" t="s">
        <v>934</v>
      </c>
      <c r="H2433" s="21" t="s">
        <v>1564</v>
      </c>
      <c r="I2433" s="21" t="s">
        <v>1565</v>
      </c>
      <c r="J2433" s="21" t="s">
        <v>1000</v>
      </c>
      <c r="K2433" s="21" t="s">
        <v>1017</v>
      </c>
      <c r="L2433" s="21" t="s">
        <v>1571</v>
      </c>
      <c r="M2433" s="21" t="s">
        <v>12</v>
      </c>
      <c r="N2433" s="54">
        <v>7799.89</v>
      </c>
      <c r="O2433" s="54">
        <v>0</v>
      </c>
      <c r="P2433" s="54">
        <v>0</v>
      </c>
      <c r="Q2433" s="54">
        <v>7799.89</v>
      </c>
      <c r="R2433" s="54">
        <v>0</v>
      </c>
      <c r="S2433" s="54">
        <v>0</v>
      </c>
      <c r="T2433" s="54">
        <v>0</v>
      </c>
      <c r="U2433" s="54">
        <v>7799.89</v>
      </c>
      <c r="V2433" s="54">
        <v>7799.89</v>
      </c>
      <c r="W2433" s="54">
        <v>7799.89</v>
      </c>
    </row>
    <row r="2434" spans="1:23" outlineLevel="2" x14ac:dyDescent="0.2">
      <c r="A2434" s="21" t="s">
        <v>999</v>
      </c>
      <c r="B2434" s="21" t="s">
        <v>39</v>
      </c>
      <c r="C2434" s="21" t="s">
        <v>58</v>
      </c>
      <c r="D2434" s="21" t="s">
        <v>129</v>
      </c>
      <c r="E2434" s="21" t="s">
        <v>130</v>
      </c>
      <c r="F2434" s="21" t="s">
        <v>933</v>
      </c>
      <c r="G2434" s="21" t="s">
        <v>934</v>
      </c>
      <c r="H2434" s="21" t="s">
        <v>1564</v>
      </c>
      <c r="I2434" s="21" t="s">
        <v>1565</v>
      </c>
      <c r="J2434" s="21" t="s">
        <v>1000</v>
      </c>
      <c r="K2434" s="21" t="s">
        <v>1017</v>
      </c>
      <c r="L2434" s="21" t="s">
        <v>1570</v>
      </c>
      <c r="M2434" s="21" t="s">
        <v>12</v>
      </c>
      <c r="N2434" s="54">
        <v>18943.560000000001</v>
      </c>
      <c r="O2434" s="54">
        <v>0</v>
      </c>
      <c r="P2434" s="54">
        <v>0</v>
      </c>
      <c r="Q2434" s="54">
        <v>18943.560000000001</v>
      </c>
      <c r="R2434" s="54">
        <v>0</v>
      </c>
      <c r="S2434" s="54">
        <v>0</v>
      </c>
      <c r="T2434" s="54">
        <v>0</v>
      </c>
      <c r="U2434" s="54">
        <v>18943.560000000001</v>
      </c>
      <c r="V2434" s="54">
        <v>18943.560000000001</v>
      </c>
      <c r="W2434" s="54">
        <v>18943.560000000001</v>
      </c>
    </row>
    <row r="2435" spans="1:23" outlineLevel="2" x14ac:dyDescent="0.2">
      <c r="A2435" s="21" t="s">
        <v>999</v>
      </c>
      <c r="B2435" s="21" t="s">
        <v>39</v>
      </c>
      <c r="C2435" s="21" t="s">
        <v>58</v>
      </c>
      <c r="D2435" s="21" t="s">
        <v>143</v>
      </c>
      <c r="E2435" s="21" t="s">
        <v>144</v>
      </c>
      <c r="F2435" s="21" t="s">
        <v>933</v>
      </c>
      <c r="G2435" s="21" t="s">
        <v>934</v>
      </c>
      <c r="H2435" s="21" t="s">
        <v>1564</v>
      </c>
      <c r="I2435" s="21" t="s">
        <v>1565</v>
      </c>
      <c r="J2435" s="21" t="s">
        <v>1000</v>
      </c>
      <c r="K2435" s="21" t="s">
        <v>1017</v>
      </c>
      <c r="L2435" s="21" t="s">
        <v>1570</v>
      </c>
      <c r="M2435" s="21" t="s">
        <v>12</v>
      </c>
      <c r="N2435" s="54">
        <v>56830.68</v>
      </c>
      <c r="O2435" s="54">
        <v>0</v>
      </c>
      <c r="P2435" s="54">
        <v>0</v>
      </c>
      <c r="Q2435" s="54">
        <v>56830.68</v>
      </c>
      <c r="R2435" s="54">
        <v>0</v>
      </c>
      <c r="S2435" s="54">
        <v>0</v>
      </c>
      <c r="T2435" s="54">
        <v>0</v>
      </c>
      <c r="U2435" s="54">
        <v>56830.68</v>
      </c>
      <c r="V2435" s="54">
        <v>56830.68</v>
      </c>
      <c r="W2435" s="54">
        <v>56830.68</v>
      </c>
    </row>
    <row r="2436" spans="1:23" outlineLevel="2" x14ac:dyDescent="0.2">
      <c r="A2436" s="21" t="s">
        <v>999</v>
      </c>
      <c r="B2436" s="21" t="s">
        <v>39</v>
      </c>
      <c r="C2436" s="21" t="s">
        <v>58</v>
      </c>
      <c r="D2436" s="21" t="s">
        <v>137</v>
      </c>
      <c r="E2436" s="21" t="s">
        <v>138</v>
      </c>
      <c r="F2436" s="21" t="s">
        <v>933</v>
      </c>
      <c r="G2436" s="21" t="s">
        <v>934</v>
      </c>
      <c r="H2436" s="21" t="s">
        <v>1564</v>
      </c>
      <c r="I2436" s="21" t="s">
        <v>1565</v>
      </c>
      <c r="J2436" s="21" t="s">
        <v>1000</v>
      </c>
      <c r="K2436" s="21" t="s">
        <v>1017</v>
      </c>
      <c r="L2436" s="21" t="s">
        <v>1570</v>
      </c>
      <c r="M2436" s="21" t="s">
        <v>12</v>
      </c>
      <c r="N2436" s="54">
        <v>37887.120000000003</v>
      </c>
      <c r="O2436" s="54">
        <v>0</v>
      </c>
      <c r="P2436" s="54">
        <v>0</v>
      </c>
      <c r="Q2436" s="54">
        <v>37887.120000000003</v>
      </c>
      <c r="R2436" s="54">
        <v>0</v>
      </c>
      <c r="S2436" s="54">
        <v>0</v>
      </c>
      <c r="T2436" s="54">
        <v>0</v>
      </c>
      <c r="U2436" s="54">
        <v>37887.120000000003</v>
      </c>
      <c r="V2436" s="54">
        <v>37887.120000000003</v>
      </c>
      <c r="W2436" s="54">
        <v>37887.120000000003</v>
      </c>
    </row>
    <row r="2437" spans="1:23" outlineLevel="2" x14ac:dyDescent="0.2">
      <c r="A2437" s="21" t="s">
        <v>999</v>
      </c>
      <c r="B2437" s="21" t="s">
        <v>39</v>
      </c>
      <c r="C2437" s="21" t="s">
        <v>58</v>
      </c>
      <c r="D2437" s="21" t="s">
        <v>135</v>
      </c>
      <c r="E2437" s="21" t="s">
        <v>136</v>
      </c>
      <c r="F2437" s="21" t="s">
        <v>933</v>
      </c>
      <c r="G2437" s="21" t="s">
        <v>934</v>
      </c>
      <c r="H2437" s="21" t="s">
        <v>1564</v>
      </c>
      <c r="I2437" s="21" t="s">
        <v>1565</v>
      </c>
      <c r="J2437" s="21" t="s">
        <v>1000</v>
      </c>
      <c r="K2437" s="21" t="s">
        <v>1017</v>
      </c>
      <c r="L2437" s="21" t="s">
        <v>1570</v>
      </c>
      <c r="M2437" s="21" t="s">
        <v>12</v>
      </c>
      <c r="N2437" s="54">
        <v>56830.7</v>
      </c>
      <c r="O2437" s="54">
        <v>0</v>
      </c>
      <c r="P2437" s="54">
        <v>0</v>
      </c>
      <c r="Q2437" s="54">
        <v>56830.7</v>
      </c>
      <c r="R2437" s="54">
        <v>0</v>
      </c>
      <c r="S2437" s="54">
        <v>0</v>
      </c>
      <c r="T2437" s="54">
        <v>0</v>
      </c>
      <c r="U2437" s="54">
        <v>56830.7</v>
      </c>
      <c r="V2437" s="54">
        <v>56830.7</v>
      </c>
      <c r="W2437" s="54">
        <v>56830.7</v>
      </c>
    </row>
    <row r="2438" spans="1:23" outlineLevel="2" x14ac:dyDescent="0.2">
      <c r="A2438" s="21" t="s">
        <v>999</v>
      </c>
      <c r="B2438" s="21" t="s">
        <v>39</v>
      </c>
      <c r="C2438" s="21" t="s">
        <v>58</v>
      </c>
      <c r="D2438" s="21" t="s">
        <v>147</v>
      </c>
      <c r="E2438" s="21" t="s">
        <v>148</v>
      </c>
      <c r="F2438" s="21" t="s">
        <v>933</v>
      </c>
      <c r="G2438" s="21" t="s">
        <v>934</v>
      </c>
      <c r="H2438" s="21" t="s">
        <v>1564</v>
      </c>
      <c r="I2438" s="21" t="s">
        <v>1565</v>
      </c>
      <c r="J2438" s="21" t="s">
        <v>1000</v>
      </c>
      <c r="K2438" s="21" t="s">
        <v>1017</v>
      </c>
      <c r="L2438" s="21" t="s">
        <v>1570</v>
      </c>
      <c r="M2438" s="21" t="s">
        <v>12</v>
      </c>
      <c r="N2438" s="54">
        <v>18943.560000000001</v>
      </c>
      <c r="O2438" s="54">
        <v>0</v>
      </c>
      <c r="P2438" s="54">
        <v>0</v>
      </c>
      <c r="Q2438" s="54">
        <v>18943.560000000001</v>
      </c>
      <c r="R2438" s="54">
        <v>0</v>
      </c>
      <c r="S2438" s="54">
        <v>0</v>
      </c>
      <c r="T2438" s="54">
        <v>0</v>
      </c>
      <c r="U2438" s="54">
        <v>18943.560000000001</v>
      </c>
      <c r="V2438" s="54">
        <v>18943.560000000001</v>
      </c>
      <c r="W2438" s="54">
        <v>18943.560000000001</v>
      </c>
    </row>
    <row r="2439" spans="1:23" outlineLevel="2" x14ac:dyDescent="0.2">
      <c r="A2439" s="21" t="s">
        <v>999</v>
      </c>
      <c r="B2439" s="21" t="s">
        <v>39</v>
      </c>
      <c r="C2439" s="21" t="s">
        <v>58</v>
      </c>
      <c r="D2439" s="21" t="s">
        <v>139</v>
      </c>
      <c r="E2439" s="21" t="s">
        <v>140</v>
      </c>
      <c r="F2439" s="21" t="s">
        <v>933</v>
      </c>
      <c r="G2439" s="21" t="s">
        <v>934</v>
      </c>
      <c r="H2439" s="21" t="s">
        <v>1564</v>
      </c>
      <c r="I2439" s="21" t="s">
        <v>1565</v>
      </c>
      <c r="J2439" s="21" t="s">
        <v>1000</v>
      </c>
      <c r="K2439" s="21" t="s">
        <v>1061</v>
      </c>
      <c r="L2439" s="21" t="s">
        <v>1572</v>
      </c>
      <c r="M2439" s="21" t="s">
        <v>12</v>
      </c>
      <c r="N2439" s="54">
        <v>0</v>
      </c>
      <c r="O2439" s="54">
        <v>7893.15</v>
      </c>
      <c r="P2439" s="54">
        <v>0</v>
      </c>
      <c r="Q2439" s="54">
        <v>7893.15</v>
      </c>
      <c r="R2439" s="54">
        <v>0</v>
      </c>
      <c r="S2439" s="54">
        <v>0</v>
      </c>
      <c r="T2439" s="54">
        <v>0</v>
      </c>
      <c r="U2439" s="54">
        <v>7893.15</v>
      </c>
      <c r="V2439" s="54">
        <v>7893.15</v>
      </c>
      <c r="W2439" s="54">
        <v>7893.15</v>
      </c>
    </row>
    <row r="2440" spans="1:23" outlineLevel="2" x14ac:dyDescent="0.2">
      <c r="A2440" s="21" t="s">
        <v>999</v>
      </c>
      <c r="B2440" s="21" t="s">
        <v>31</v>
      </c>
      <c r="C2440" s="21" t="s">
        <v>32</v>
      </c>
      <c r="D2440" s="21" t="s">
        <v>141</v>
      </c>
      <c r="E2440" s="21" t="s">
        <v>142</v>
      </c>
      <c r="F2440" s="21" t="s">
        <v>933</v>
      </c>
      <c r="G2440" s="21" t="s">
        <v>934</v>
      </c>
      <c r="H2440" s="21" t="s">
        <v>1564</v>
      </c>
      <c r="I2440" s="21" t="s">
        <v>1565</v>
      </c>
      <c r="J2440" s="21" t="s">
        <v>1000</v>
      </c>
      <c r="K2440" s="21" t="s">
        <v>1019</v>
      </c>
      <c r="L2440" s="21" t="s">
        <v>1555</v>
      </c>
      <c r="M2440" s="21" t="s">
        <v>12</v>
      </c>
      <c r="N2440" s="54">
        <v>1000</v>
      </c>
      <c r="O2440" s="54">
        <v>0</v>
      </c>
      <c r="P2440" s="54">
        <v>0</v>
      </c>
      <c r="Q2440" s="54">
        <v>1000</v>
      </c>
      <c r="R2440" s="54">
        <v>0</v>
      </c>
      <c r="S2440" s="54">
        <v>0</v>
      </c>
      <c r="T2440" s="54">
        <v>0</v>
      </c>
      <c r="U2440" s="54">
        <v>1000</v>
      </c>
      <c r="V2440" s="54">
        <v>1000</v>
      </c>
      <c r="W2440" s="54">
        <v>1000</v>
      </c>
    </row>
    <row r="2441" spans="1:23" outlineLevel="2" x14ac:dyDescent="0.2">
      <c r="A2441" s="21" t="s">
        <v>999</v>
      </c>
      <c r="B2441" s="21" t="s">
        <v>39</v>
      </c>
      <c r="C2441" s="21" t="s">
        <v>58</v>
      </c>
      <c r="D2441" s="21" t="s">
        <v>139</v>
      </c>
      <c r="E2441" s="21" t="s">
        <v>140</v>
      </c>
      <c r="F2441" s="21" t="s">
        <v>933</v>
      </c>
      <c r="G2441" s="21" t="s">
        <v>934</v>
      </c>
      <c r="H2441" s="21" t="s">
        <v>1564</v>
      </c>
      <c r="I2441" s="21" t="s">
        <v>1565</v>
      </c>
      <c r="J2441" s="21" t="s">
        <v>1000</v>
      </c>
      <c r="K2441" s="21" t="s">
        <v>1390</v>
      </c>
      <c r="L2441" s="21" t="s">
        <v>1573</v>
      </c>
      <c r="M2441" s="21" t="s">
        <v>12</v>
      </c>
      <c r="N2441" s="54">
        <v>0</v>
      </c>
      <c r="O2441" s="54">
        <v>1500</v>
      </c>
      <c r="P2441" s="54">
        <v>0</v>
      </c>
      <c r="Q2441" s="54">
        <v>1500</v>
      </c>
      <c r="R2441" s="54">
        <v>0</v>
      </c>
      <c r="S2441" s="54">
        <v>0</v>
      </c>
      <c r="T2441" s="54">
        <v>0</v>
      </c>
      <c r="U2441" s="54">
        <v>1500</v>
      </c>
      <c r="V2441" s="54">
        <v>1500</v>
      </c>
      <c r="W2441" s="54">
        <v>1500</v>
      </c>
    </row>
    <row r="2442" spans="1:23" outlineLevel="2" x14ac:dyDescent="0.2">
      <c r="A2442" s="21" t="s">
        <v>999</v>
      </c>
      <c r="B2442" s="21" t="s">
        <v>39</v>
      </c>
      <c r="C2442" s="21" t="s">
        <v>58</v>
      </c>
      <c r="D2442" s="21" t="s">
        <v>143</v>
      </c>
      <c r="E2442" s="21" t="s">
        <v>144</v>
      </c>
      <c r="F2442" s="21" t="s">
        <v>933</v>
      </c>
      <c r="G2442" s="21" t="s">
        <v>934</v>
      </c>
      <c r="H2442" s="21" t="s">
        <v>1564</v>
      </c>
      <c r="I2442" s="21" t="s">
        <v>1565</v>
      </c>
      <c r="J2442" s="21" t="s">
        <v>1000</v>
      </c>
      <c r="K2442" s="21" t="s">
        <v>1390</v>
      </c>
      <c r="L2442" s="21" t="s">
        <v>1573</v>
      </c>
      <c r="M2442" s="21" t="s">
        <v>12</v>
      </c>
      <c r="N2442" s="54">
        <v>0</v>
      </c>
      <c r="O2442" s="54">
        <v>1500</v>
      </c>
      <c r="P2442" s="54">
        <v>0</v>
      </c>
      <c r="Q2442" s="54">
        <v>1500</v>
      </c>
      <c r="R2442" s="54">
        <v>0</v>
      </c>
      <c r="S2442" s="54">
        <v>0</v>
      </c>
      <c r="T2442" s="54">
        <v>0</v>
      </c>
      <c r="U2442" s="54">
        <v>1500</v>
      </c>
      <c r="V2442" s="54">
        <v>1500</v>
      </c>
      <c r="W2442" s="54">
        <v>1500</v>
      </c>
    </row>
    <row r="2443" spans="1:23" outlineLevel="2" x14ac:dyDescent="0.2">
      <c r="A2443" s="21" t="s">
        <v>999</v>
      </c>
      <c r="B2443" s="21" t="s">
        <v>39</v>
      </c>
      <c r="C2443" s="21" t="s">
        <v>58</v>
      </c>
      <c r="D2443" s="21" t="s">
        <v>137</v>
      </c>
      <c r="E2443" s="21" t="s">
        <v>138</v>
      </c>
      <c r="F2443" s="21" t="s">
        <v>933</v>
      </c>
      <c r="G2443" s="21" t="s">
        <v>934</v>
      </c>
      <c r="H2443" s="21" t="s">
        <v>1564</v>
      </c>
      <c r="I2443" s="21" t="s">
        <v>1565</v>
      </c>
      <c r="J2443" s="21" t="s">
        <v>1000</v>
      </c>
      <c r="K2443" s="21" t="s">
        <v>1390</v>
      </c>
      <c r="L2443" s="21" t="s">
        <v>1573</v>
      </c>
      <c r="M2443" s="21" t="s">
        <v>12</v>
      </c>
      <c r="N2443" s="54">
        <v>0</v>
      </c>
      <c r="O2443" s="54">
        <v>1000</v>
      </c>
      <c r="P2443" s="54">
        <v>0</v>
      </c>
      <c r="Q2443" s="54">
        <v>1000</v>
      </c>
      <c r="R2443" s="54">
        <v>0</v>
      </c>
      <c r="S2443" s="54">
        <v>0</v>
      </c>
      <c r="T2443" s="54">
        <v>0</v>
      </c>
      <c r="U2443" s="54">
        <v>1000</v>
      </c>
      <c r="V2443" s="54">
        <v>1000</v>
      </c>
      <c r="W2443" s="54">
        <v>1000</v>
      </c>
    </row>
    <row r="2444" spans="1:23" outlineLevel="2" x14ac:dyDescent="0.2">
      <c r="A2444" s="21" t="s">
        <v>999</v>
      </c>
      <c r="B2444" s="21" t="s">
        <v>31</v>
      </c>
      <c r="C2444" s="21" t="s">
        <v>32</v>
      </c>
      <c r="D2444" s="21" t="s">
        <v>141</v>
      </c>
      <c r="E2444" s="21" t="s">
        <v>142</v>
      </c>
      <c r="F2444" s="21" t="s">
        <v>933</v>
      </c>
      <c r="G2444" s="21" t="s">
        <v>934</v>
      </c>
      <c r="H2444" s="21" t="s">
        <v>1564</v>
      </c>
      <c r="I2444" s="21" t="s">
        <v>1565</v>
      </c>
      <c r="J2444" s="21" t="s">
        <v>1000</v>
      </c>
      <c r="K2444" s="21" t="s">
        <v>1390</v>
      </c>
      <c r="L2444" s="21" t="s">
        <v>1557</v>
      </c>
      <c r="M2444" s="21" t="s">
        <v>12</v>
      </c>
      <c r="N2444" s="54">
        <v>55000</v>
      </c>
      <c r="O2444" s="54">
        <v>0</v>
      </c>
      <c r="P2444" s="54">
        <v>0</v>
      </c>
      <c r="Q2444" s="54">
        <v>55000</v>
      </c>
      <c r="R2444" s="54">
        <v>37207.08</v>
      </c>
      <c r="S2444" s="54">
        <v>0</v>
      </c>
      <c r="T2444" s="54">
        <v>0</v>
      </c>
      <c r="U2444" s="54">
        <v>55000</v>
      </c>
      <c r="V2444" s="54">
        <v>55000</v>
      </c>
      <c r="W2444" s="54">
        <v>17792.919999999998</v>
      </c>
    </row>
    <row r="2445" spans="1:23" outlineLevel="2" x14ac:dyDescent="0.2">
      <c r="A2445" s="21" t="s">
        <v>999</v>
      </c>
      <c r="B2445" s="21" t="s">
        <v>39</v>
      </c>
      <c r="C2445" s="21" t="s">
        <v>58</v>
      </c>
      <c r="D2445" s="21" t="s">
        <v>137</v>
      </c>
      <c r="E2445" s="21" t="s">
        <v>138</v>
      </c>
      <c r="F2445" s="21" t="s">
        <v>933</v>
      </c>
      <c r="G2445" s="21" t="s">
        <v>934</v>
      </c>
      <c r="H2445" s="21" t="s">
        <v>1564</v>
      </c>
      <c r="I2445" s="21" t="s">
        <v>1565</v>
      </c>
      <c r="J2445" s="21" t="s">
        <v>1000</v>
      </c>
      <c r="K2445" s="21" t="s">
        <v>1084</v>
      </c>
      <c r="L2445" s="21" t="s">
        <v>1574</v>
      </c>
      <c r="M2445" s="21" t="s">
        <v>12</v>
      </c>
      <c r="N2445" s="54">
        <v>0</v>
      </c>
      <c r="O2445" s="54">
        <v>4000</v>
      </c>
      <c r="P2445" s="54">
        <v>0</v>
      </c>
      <c r="Q2445" s="54">
        <v>4000</v>
      </c>
      <c r="R2445" s="54">
        <v>0</v>
      </c>
      <c r="S2445" s="54">
        <v>0</v>
      </c>
      <c r="T2445" s="54">
        <v>0</v>
      </c>
      <c r="U2445" s="54">
        <v>4000</v>
      </c>
      <c r="V2445" s="54">
        <v>4000</v>
      </c>
      <c r="W2445" s="54">
        <v>4000</v>
      </c>
    </row>
    <row r="2446" spans="1:23" outlineLevel="2" x14ac:dyDescent="0.2">
      <c r="A2446" s="21" t="s">
        <v>999</v>
      </c>
      <c r="B2446" s="21" t="s">
        <v>39</v>
      </c>
      <c r="C2446" s="21" t="s">
        <v>58</v>
      </c>
      <c r="D2446" s="21" t="s">
        <v>143</v>
      </c>
      <c r="E2446" s="21" t="s">
        <v>144</v>
      </c>
      <c r="F2446" s="21" t="s">
        <v>933</v>
      </c>
      <c r="G2446" s="21" t="s">
        <v>934</v>
      </c>
      <c r="H2446" s="21" t="s">
        <v>1564</v>
      </c>
      <c r="I2446" s="21" t="s">
        <v>1565</v>
      </c>
      <c r="J2446" s="21" t="s">
        <v>1000</v>
      </c>
      <c r="K2446" s="21" t="s">
        <v>1084</v>
      </c>
      <c r="L2446" s="21" t="s">
        <v>1574</v>
      </c>
      <c r="M2446" s="21" t="s">
        <v>12</v>
      </c>
      <c r="N2446" s="54">
        <v>0</v>
      </c>
      <c r="O2446" s="54">
        <v>3000</v>
      </c>
      <c r="P2446" s="54">
        <v>0</v>
      </c>
      <c r="Q2446" s="54">
        <v>3000</v>
      </c>
      <c r="R2446" s="54">
        <v>0</v>
      </c>
      <c r="S2446" s="54">
        <v>0</v>
      </c>
      <c r="T2446" s="54">
        <v>0</v>
      </c>
      <c r="U2446" s="54">
        <v>3000</v>
      </c>
      <c r="V2446" s="54">
        <v>3000</v>
      </c>
      <c r="W2446" s="54">
        <v>3000</v>
      </c>
    </row>
    <row r="2447" spans="1:23" outlineLevel="2" x14ac:dyDescent="0.2">
      <c r="A2447" s="21" t="s">
        <v>999</v>
      </c>
      <c r="B2447" s="21" t="s">
        <v>39</v>
      </c>
      <c r="C2447" s="21" t="s">
        <v>58</v>
      </c>
      <c r="D2447" s="21" t="s">
        <v>137</v>
      </c>
      <c r="E2447" s="21" t="s">
        <v>138</v>
      </c>
      <c r="F2447" s="21" t="s">
        <v>933</v>
      </c>
      <c r="G2447" s="21" t="s">
        <v>934</v>
      </c>
      <c r="H2447" s="21" t="s">
        <v>1575</v>
      </c>
      <c r="I2447" s="21" t="s">
        <v>1576</v>
      </c>
      <c r="J2447" s="21" t="s">
        <v>1000</v>
      </c>
      <c r="K2447" s="21" t="s">
        <v>1104</v>
      </c>
      <c r="L2447" s="21" t="s">
        <v>1577</v>
      </c>
      <c r="M2447" s="21" t="s">
        <v>12</v>
      </c>
      <c r="N2447" s="54">
        <v>0</v>
      </c>
      <c r="O2447" s="54">
        <v>1000</v>
      </c>
      <c r="P2447" s="54">
        <v>0</v>
      </c>
      <c r="Q2447" s="54">
        <v>1000</v>
      </c>
      <c r="R2447" s="54">
        <v>0</v>
      </c>
      <c r="S2447" s="54">
        <v>0</v>
      </c>
      <c r="T2447" s="54">
        <v>0</v>
      </c>
      <c r="U2447" s="54">
        <v>1000</v>
      </c>
      <c r="V2447" s="54">
        <v>1000</v>
      </c>
      <c r="W2447" s="54">
        <v>1000</v>
      </c>
    </row>
    <row r="2448" spans="1:23" outlineLevel="2" x14ac:dyDescent="0.2">
      <c r="A2448" s="21" t="s">
        <v>999</v>
      </c>
      <c r="B2448" s="21" t="s">
        <v>39</v>
      </c>
      <c r="C2448" s="21" t="s">
        <v>58</v>
      </c>
      <c r="D2448" s="21" t="s">
        <v>149</v>
      </c>
      <c r="E2448" s="21" t="s">
        <v>150</v>
      </c>
      <c r="F2448" s="21" t="s">
        <v>933</v>
      </c>
      <c r="G2448" s="21" t="s">
        <v>934</v>
      </c>
      <c r="H2448" s="21" t="s">
        <v>1575</v>
      </c>
      <c r="I2448" s="21" t="s">
        <v>1576</v>
      </c>
      <c r="J2448" s="21" t="s">
        <v>1000</v>
      </c>
      <c r="K2448" s="21" t="s">
        <v>1039</v>
      </c>
      <c r="L2448" s="21" t="s">
        <v>1567</v>
      </c>
      <c r="M2448" s="21" t="s">
        <v>12</v>
      </c>
      <c r="N2448" s="54">
        <v>9938</v>
      </c>
      <c r="O2448" s="54">
        <v>0</v>
      </c>
      <c r="P2448" s="54">
        <v>0</v>
      </c>
      <c r="Q2448" s="54">
        <v>9938</v>
      </c>
      <c r="R2448" s="54">
        <v>0</v>
      </c>
      <c r="S2448" s="54">
        <v>0</v>
      </c>
      <c r="T2448" s="54">
        <v>0</v>
      </c>
      <c r="U2448" s="54">
        <v>9938</v>
      </c>
      <c r="V2448" s="54">
        <v>9938</v>
      </c>
      <c r="W2448" s="54">
        <v>9938</v>
      </c>
    </row>
    <row r="2449" spans="1:23" outlineLevel="2" x14ac:dyDescent="0.2">
      <c r="A2449" s="21" t="s">
        <v>999</v>
      </c>
      <c r="B2449" s="21" t="s">
        <v>39</v>
      </c>
      <c r="C2449" s="21" t="s">
        <v>58</v>
      </c>
      <c r="D2449" s="21" t="s">
        <v>145</v>
      </c>
      <c r="E2449" s="21" t="s">
        <v>146</v>
      </c>
      <c r="F2449" s="21" t="s">
        <v>933</v>
      </c>
      <c r="G2449" s="21" t="s">
        <v>934</v>
      </c>
      <c r="H2449" s="21" t="s">
        <v>1575</v>
      </c>
      <c r="I2449" s="21" t="s">
        <v>1576</v>
      </c>
      <c r="J2449" s="21" t="s">
        <v>1000</v>
      </c>
      <c r="K2449" s="21" t="s">
        <v>1039</v>
      </c>
      <c r="L2449" s="21" t="s">
        <v>1567</v>
      </c>
      <c r="M2449" s="21" t="s">
        <v>12</v>
      </c>
      <c r="N2449" s="54">
        <v>8730</v>
      </c>
      <c r="O2449" s="54">
        <v>0</v>
      </c>
      <c r="P2449" s="54">
        <v>0</v>
      </c>
      <c r="Q2449" s="54">
        <v>8730</v>
      </c>
      <c r="R2449" s="54">
        <v>0</v>
      </c>
      <c r="S2449" s="54">
        <v>0</v>
      </c>
      <c r="T2449" s="54">
        <v>0</v>
      </c>
      <c r="U2449" s="54">
        <v>8730</v>
      </c>
      <c r="V2449" s="54">
        <v>8730</v>
      </c>
      <c r="W2449" s="54">
        <v>8730</v>
      </c>
    </row>
    <row r="2450" spans="1:23" outlineLevel="2" x14ac:dyDescent="0.2">
      <c r="A2450" s="21" t="s">
        <v>999</v>
      </c>
      <c r="B2450" s="21" t="s">
        <v>39</v>
      </c>
      <c r="C2450" s="21" t="s">
        <v>58</v>
      </c>
      <c r="D2450" s="21" t="s">
        <v>139</v>
      </c>
      <c r="E2450" s="21" t="s">
        <v>140</v>
      </c>
      <c r="F2450" s="21" t="s">
        <v>933</v>
      </c>
      <c r="G2450" s="21" t="s">
        <v>934</v>
      </c>
      <c r="H2450" s="21" t="s">
        <v>1575</v>
      </c>
      <c r="I2450" s="21" t="s">
        <v>1576</v>
      </c>
      <c r="J2450" s="21" t="s">
        <v>1000</v>
      </c>
      <c r="K2450" s="21" t="s">
        <v>1039</v>
      </c>
      <c r="L2450" s="21" t="s">
        <v>1567</v>
      </c>
      <c r="M2450" s="21" t="s">
        <v>12</v>
      </c>
      <c r="N2450" s="54">
        <v>9400</v>
      </c>
      <c r="O2450" s="54">
        <v>-4000</v>
      </c>
      <c r="P2450" s="54">
        <v>0</v>
      </c>
      <c r="Q2450" s="54">
        <v>5400</v>
      </c>
      <c r="R2450" s="54">
        <v>0</v>
      </c>
      <c r="S2450" s="54">
        <v>0</v>
      </c>
      <c r="T2450" s="54">
        <v>0</v>
      </c>
      <c r="U2450" s="54">
        <v>5400</v>
      </c>
      <c r="V2450" s="54">
        <v>5400</v>
      </c>
      <c r="W2450" s="54">
        <v>5400</v>
      </c>
    </row>
    <row r="2451" spans="1:23" outlineLevel="2" x14ac:dyDescent="0.2">
      <c r="A2451" s="21" t="s">
        <v>999</v>
      </c>
      <c r="B2451" s="21" t="s">
        <v>39</v>
      </c>
      <c r="C2451" s="21" t="s">
        <v>58</v>
      </c>
      <c r="D2451" s="21" t="s">
        <v>135</v>
      </c>
      <c r="E2451" s="21" t="s">
        <v>136</v>
      </c>
      <c r="F2451" s="21" t="s">
        <v>933</v>
      </c>
      <c r="G2451" s="21" t="s">
        <v>934</v>
      </c>
      <c r="H2451" s="21" t="s">
        <v>1575</v>
      </c>
      <c r="I2451" s="21" t="s">
        <v>1576</v>
      </c>
      <c r="J2451" s="21" t="s">
        <v>1000</v>
      </c>
      <c r="K2451" s="21" t="s">
        <v>1039</v>
      </c>
      <c r="L2451" s="21" t="s">
        <v>1567</v>
      </c>
      <c r="M2451" s="21" t="s">
        <v>12</v>
      </c>
      <c r="N2451" s="54">
        <v>5352</v>
      </c>
      <c r="O2451" s="54">
        <v>0</v>
      </c>
      <c r="P2451" s="54">
        <v>0</v>
      </c>
      <c r="Q2451" s="54">
        <v>5352</v>
      </c>
      <c r="R2451" s="54">
        <v>0</v>
      </c>
      <c r="S2451" s="54">
        <v>0</v>
      </c>
      <c r="T2451" s="54">
        <v>0</v>
      </c>
      <c r="U2451" s="54">
        <v>5352</v>
      </c>
      <c r="V2451" s="54">
        <v>5352</v>
      </c>
      <c r="W2451" s="54">
        <v>5352</v>
      </c>
    </row>
    <row r="2452" spans="1:23" outlineLevel="2" x14ac:dyDescent="0.2">
      <c r="A2452" s="21" t="s">
        <v>999</v>
      </c>
      <c r="B2452" s="21" t="s">
        <v>39</v>
      </c>
      <c r="C2452" s="21" t="s">
        <v>58</v>
      </c>
      <c r="D2452" s="21" t="s">
        <v>147</v>
      </c>
      <c r="E2452" s="21" t="s">
        <v>148</v>
      </c>
      <c r="F2452" s="21" t="s">
        <v>933</v>
      </c>
      <c r="G2452" s="21" t="s">
        <v>934</v>
      </c>
      <c r="H2452" s="21" t="s">
        <v>1575</v>
      </c>
      <c r="I2452" s="21" t="s">
        <v>1576</v>
      </c>
      <c r="J2452" s="21" t="s">
        <v>1000</v>
      </c>
      <c r="K2452" s="21" t="s">
        <v>1039</v>
      </c>
      <c r="L2452" s="21" t="s">
        <v>1567</v>
      </c>
      <c r="M2452" s="21" t="s">
        <v>12</v>
      </c>
      <c r="N2452" s="54">
        <v>6030</v>
      </c>
      <c r="O2452" s="54">
        <v>0</v>
      </c>
      <c r="P2452" s="54">
        <v>0</v>
      </c>
      <c r="Q2452" s="54">
        <v>6030</v>
      </c>
      <c r="R2452" s="54">
        <v>0</v>
      </c>
      <c r="S2452" s="54">
        <v>0</v>
      </c>
      <c r="T2452" s="54">
        <v>0</v>
      </c>
      <c r="U2452" s="54">
        <v>6030</v>
      </c>
      <c r="V2452" s="54">
        <v>6030</v>
      </c>
      <c r="W2452" s="54">
        <v>6030</v>
      </c>
    </row>
    <row r="2453" spans="1:23" outlineLevel="2" x14ac:dyDescent="0.2">
      <c r="A2453" s="21" t="s">
        <v>999</v>
      </c>
      <c r="B2453" s="21" t="s">
        <v>39</v>
      </c>
      <c r="C2453" s="21" t="s">
        <v>58</v>
      </c>
      <c r="D2453" s="21" t="s">
        <v>59</v>
      </c>
      <c r="E2453" s="21" t="s">
        <v>60</v>
      </c>
      <c r="F2453" s="21" t="s">
        <v>933</v>
      </c>
      <c r="G2453" s="21" t="s">
        <v>934</v>
      </c>
      <c r="H2453" s="21" t="s">
        <v>1575</v>
      </c>
      <c r="I2453" s="21" t="s">
        <v>1576</v>
      </c>
      <c r="J2453" s="21" t="s">
        <v>1000</v>
      </c>
      <c r="K2453" s="21" t="s">
        <v>1039</v>
      </c>
      <c r="L2453" s="21" t="s">
        <v>1567</v>
      </c>
      <c r="M2453" s="21" t="s">
        <v>12</v>
      </c>
      <c r="N2453" s="54">
        <v>3908</v>
      </c>
      <c r="O2453" s="54">
        <v>0</v>
      </c>
      <c r="P2453" s="54">
        <v>0</v>
      </c>
      <c r="Q2453" s="54">
        <v>3908</v>
      </c>
      <c r="R2453" s="54">
        <v>0</v>
      </c>
      <c r="S2453" s="54">
        <v>0</v>
      </c>
      <c r="T2453" s="54">
        <v>0</v>
      </c>
      <c r="U2453" s="54">
        <v>3908</v>
      </c>
      <c r="V2453" s="54">
        <v>3908</v>
      </c>
      <c r="W2453" s="54">
        <v>3908</v>
      </c>
    </row>
    <row r="2454" spans="1:23" outlineLevel="2" x14ac:dyDescent="0.2">
      <c r="A2454" s="21" t="s">
        <v>999</v>
      </c>
      <c r="B2454" s="21" t="s">
        <v>39</v>
      </c>
      <c r="C2454" s="21" t="s">
        <v>58</v>
      </c>
      <c r="D2454" s="21" t="s">
        <v>137</v>
      </c>
      <c r="E2454" s="21" t="s">
        <v>138</v>
      </c>
      <c r="F2454" s="21" t="s">
        <v>933</v>
      </c>
      <c r="G2454" s="21" t="s">
        <v>934</v>
      </c>
      <c r="H2454" s="21" t="s">
        <v>1575</v>
      </c>
      <c r="I2454" s="21" t="s">
        <v>1576</v>
      </c>
      <c r="J2454" s="21" t="s">
        <v>1000</v>
      </c>
      <c r="K2454" s="21" t="s">
        <v>1039</v>
      </c>
      <c r="L2454" s="21" t="s">
        <v>1567</v>
      </c>
      <c r="M2454" s="21" t="s">
        <v>12</v>
      </c>
      <c r="N2454" s="54">
        <v>3908</v>
      </c>
      <c r="O2454" s="54">
        <v>-3908</v>
      </c>
      <c r="P2454" s="54">
        <v>0</v>
      </c>
      <c r="Q2454" s="54">
        <v>0</v>
      </c>
      <c r="R2454" s="54">
        <v>0</v>
      </c>
      <c r="S2454" s="54">
        <v>0</v>
      </c>
      <c r="T2454" s="54">
        <v>0</v>
      </c>
      <c r="U2454" s="54">
        <v>0</v>
      </c>
      <c r="V2454" s="54">
        <v>0</v>
      </c>
      <c r="W2454" s="54">
        <v>0</v>
      </c>
    </row>
    <row r="2455" spans="1:23" outlineLevel="2" x14ac:dyDescent="0.2">
      <c r="A2455" s="21" t="s">
        <v>999</v>
      </c>
      <c r="B2455" s="21" t="s">
        <v>39</v>
      </c>
      <c r="C2455" s="21" t="s">
        <v>58</v>
      </c>
      <c r="D2455" s="21" t="s">
        <v>143</v>
      </c>
      <c r="E2455" s="21" t="s">
        <v>144</v>
      </c>
      <c r="F2455" s="21" t="s">
        <v>933</v>
      </c>
      <c r="G2455" s="21" t="s">
        <v>934</v>
      </c>
      <c r="H2455" s="21" t="s">
        <v>1575</v>
      </c>
      <c r="I2455" s="21" t="s">
        <v>1576</v>
      </c>
      <c r="J2455" s="21" t="s">
        <v>1000</v>
      </c>
      <c r="K2455" s="21" t="s">
        <v>1039</v>
      </c>
      <c r="L2455" s="21" t="s">
        <v>1567</v>
      </c>
      <c r="M2455" s="21" t="s">
        <v>12</v>
      </c>
      <c r="N2455" s="54">
        <v>5424</v>
      </c>
      <c r="O2455" s="54">
        <v>-4000</v>
      </c>
      <c r="P2455" s="54">
        <v>0</v>
      </c>
      <c r="Q2455" s="54">
        <v>1424</v>
      </c>
      <c r="R2455" s="54">
        <v>0</v>
      </c>
      <c r="S2455" s="54">
        <v>0</v>
      </c>
      <c r="T2455" s="54">
        <v>0</v>
      </c>
      <c r="U2455" s="54">
        <v>1424</v>
      </c>
      <c r="V2455" s="54">
        <v>1424</v>
      </c>
      <c r="W2455" s="54">
        <v>1424</v>
      </c>
    </row>
    <row r="2456" spans="1:23" outlineLevel="2" x14ac:dyDescent="0.2">
      <c r="A2456" s="21" t="s">
        <v>999</v>
      </c>
      <c r="B2456" s="21" t="s">
        <v>39</v>
      </c>
      <c r="C2456" s="21" t="s">
        <v>58</v>
      </c>
      <c r="D2456" s="21" t="s">
        <v>143</v>
      </c>
      <c r="E2456" s="21" t="s">
        <v>144</v>
      </c>
      <c r="F2456" s="21" t="s">
        <v>933</v>
      </c>
      <c r="G2456" s="21" t="s">
        <v>934</v>
      </c>
      <c r="H2456" s="21" t="s">
        <v>1575</v>
      </c>
      <c r="I2456" s="21" t="s">
        <v>1576</v>
      </c>
      <c r="J2456" s="21" t="s">
        <v>1000</v>
      </c>
      <c r="K2456" s="21" t="s">
        <v>1017</v>
      </c>
      <c r="L2456" s="21" t="s">
        <v>1570</v>
      </c>
      <c r="M2456" s="21" t="s">
        <v>12</v>
      </c>
      <c r="N2456" s="54">
        <v>37887.120000000003</v>
      </c>
      <c r="O2456" s="54">
        <v>-2000</v>
      </c>
      <c r="P2456" s="54">
        <v>0</v>
      </c>
      <c r="Q2456" s="54">
        <v>35887.120000000003</v>
      </c>
      <c r="R2456" s="54">
        <v>0</v>
      </c>
      <c r="S2456" s="54">
        <v>0</v>
      </c>
      <c r="T2456" s="54">
        <v>0</v>
      </c>
      <c r="U2456" s="54">
        <v>35887.120000000003</v>
      </c>
      <c r="V2456" s="54">
        <v>35887.120000000003</v>
      </c>
      <c r="W2456" s="54">
        <v>35887.120000000003</v>
      </c>
    </row>
    <row r="2457" spans="1:23" outlineLevel="2" x14ac:dyDescent="0.2">
      <c r="A2457" s="21" t="s">
        <v>999</v>
      </c>
      <c r="B2457" s="21" t="s">
        <v>39</v>
      </c>
      <c r="C2457" s="21" t="s">
        <v>58</v>
      </c>
      <c r="D2457" s="21" t="s">
        <v>135</v>
      </c>
      <c r="E2457" s="21" t="s">
        <v>136</v>
      </c>
      <c r="F2457" s="21" t="s">
        <v>933</v>
      </c>
      <c r="G2457" s="21" t="s">
        <v>934</v>
      </c>
      <c r="H2457" s="21" t="s">
        <v>1575</v>
      </c>
      <c r="I2457" s="21" t="s">
        <v>1576</v>
      </c>
      <c r="J2457" s="21" t="s">
        <v>1000</v>
      </c>
      <c r="K2457" s="21" t="s">
        <v>1017</v>
      </c>
      <c r="L2457" s="21" t="s">
        <v>1570</v>
      </c>
      <c r="M2457" s="21" t="s">
        <v>12</v>
      </c>
      <c r="N2457" s="54">
        <v>37887.120000000003</v>
      </c>
      <c r="O2457" s="54">
        <v>0</v>
      </c>
      <c r="P2457" s="54">
        <v>0</v>
      </c>
      <c r="Q2457" s="54">
        <v>37887.120000000003</v>
      </c>
      <c r="R2457" s="54">
        <v>0</v>
      </c>
      <c r="S2457" s="54">
        <v>0</v>
      </c>
      <c r="T2457" s="54">
        <v>0</v>
      </c>
      <c r="U2457" s="54">
        <v>37887.120000000003</v>
      </c>
      <c r="V2457" s="54">
        <v>37887.120000000003</v>
      </c>
      <c r="W2457" s="54">
        <v>37887.120000000003</v>
      </c>
    </row>
    <row r="2458" spans="1:23" outlineLevel="2" x14ac:dyDescent="0.2">
      <c r="A2458" s="21" t="s">
        <v>999</v>
      </c>
      <c r="B2458" s="21" t="s">
        <v>39</v>
      </c>
      <c r="C2458" s="21" t="s">
        <v>58</v>
      </c>
      <c r="D2458" s="21" t="s">
        <v>147</v>
      </c>
      <c r="E2458" s="21" t="s">
        <v>148</v>
      </c>
      <c r="F2458" s="21" t="s">
        <v>933</v>
      </c>
      <c r="G2458" s="21" t="s">
        <v>934</v>
      </c>
      <c r="H2458" s="21" t="s">
        <v>1575</v>
      </c>
      <c r="I2458" s="21" t="s">
        <v>1576</v>
      </c>
      <c r="J2458" s="21" t="s">
        <v>1000</v>
      </c>
      <c r="K2458" s="21" t="s">
        <v>1017</v>
      </c>
      <c r="L2458" s="21" t="s">
        <v>1570</v>
      </c>
      <c r="M2458" s="21" t="s">
        <v>12</v>
      </c>
      <c r="N2458" s="54">
        <v>37887.120000000003</v>
      </c>
      <c r="O2458" s="54">
        <v>0</v>
      </c>
      <c r="P2458" s="54">
        <v>0</v>
      </c>
      <c r="Q2458" s="54">
        <v>37887.120000000003</v>
      </c>
      <c r="R2458" s="54">
        <v>6315</v>
      </c>
      <c r="S2458" s="54">
        <v>0</v>
      </c>
      <c r="T2458" s="54">
        <v>0</v>
      </c>
      <c r="U2458" s="54">
        <v>37887.120000000003</v>
      </c>
      <c r="V2458" s="54">
        <v>37887.120000000003</v>
      </c>
      <c r="W2458" s="54">
        <v>31572.12</v>
      </c>
    </row>
    <row r="2459" spans="1:23" outlineLevel="2" x14ac:dyDescent="0.2">
      <c r="A2459" s="21" t="s">
        <v>999</v>
      </c>
      <c r="B2459" s="21" t="s">
        <v>39</v>
      </c>
      <c r="C2459" s="21" t="s">
        <v>58</v>
      </c>
      <c r="D2459" s="21" t="s">
        <v>139</v>
      </c>
      <c r="E2459" s="21" t="s">
        <v>140</v>
      </c>
      <c r="F2459" s="21" t="s">
        <v>933</v>
      </c>
      <c r="G2459" s="21" t="s">
        <v>934</v>
      </c>
      <c r="H2459" s="21" t="s">
        <v>1575</v>
      </c>
      <c r="I2459" s="21" t="s">
        <v>1576</v>
      </c>
      <c r="J2459" s="21" t="s">
        <v>1000</v>
      </c>
      <c r="K2459" s="21" t="s">
        <v>1017</v>
      </c>
      <c r="L2459" s="21" t="s">
        <v>1570</v>
      </c>
      <c r="M2459" s="21" t="s">
        <v>12</v>
      </c>
      <c r="N2459" s="54">
        <v>37887.120000000003</v>
      </c>
      <c r="O2459" s="54">
        <v>-2000</v>
      </c>
      <c r="P2459" s="54">
        <v>0</v>
      </c>
      <c r="Q2459" s="54">
        <v>35887.120000000003</v>
      </c>
      <c r="R2459" s="54">
        <v>0</v>
      </c>
      <c r="S2459" s="54">
        <v>0</v>
      </c>
      <c r="T2459" s="54">
        <v>0</v>
      </c>
      <c r="U2459" s="54">
        <v>35887.120000000003</v>
      </c>
      <c r="V2459" s="54">
        <v>35887.120000000003</v>
      </c>
      <c r="W2459" s="54">
        <v>35887.120000000003</v>
      </c>
    </row>
    <row r="2460" spans="1:23" outlineLevel="2" x14ac:dyDescent="0.2">
      <c r="A2460" s="21" t="s">
        <v>999</v>
      </c>
      <c r="B2460" s="21" t="s">
        <v>39</v>
      </c>
      <c r="C2460" s="21" t="s">
        <v>58</v>
      </c>
      <c r="D2460" s="21" t="s">
        <v>59</v>
      </c>
      <c r="E2460" s="21" t="s">
        <v>60</v>
      </c>
      <c r="F2460" s="21" t="s">
        <v>933</v>
      </c>
      <c r="G2460" s="21" t="s">
        <v>934</v>
      </c>
      <c r="H2460" s="21" t="s">
        <v>1575</v>
      </c>
      <c r="I2460" s="21" t="s">
        <v>1576</v>
      </c>
      <c r="J2460" s="21" t="s">
        <v>1000</v>
      </c>
      <c r="K2460" s="21" t="s">
        <v>1017</v>
      </c>
      <c r="L2460" s="21" t="s">
        <v>1570</v>
      </c>
      <c r="M2460" s="21" t="s">
        <v>12</v>
      </c>
      <c r="N2460" s="54">
        <v>37887.120000000003</v>
      </c>
      <c r="O2460" s="54">
        <v>0</v>
      </c>
      <c r="P2460" s="54">
        <v>0</v>
      </c>
      <c r="Q2460" s="54">
        <v>37887.120000000003</v>
      </c>
      <c r="R2460" s="54">
        <v>0</v>
      </c>
      <c r="S2460" s="54">
        <v>0</v>
      </c>
      <c r="T2460" s="54">
        <v>0</v>
      </c>
      <c r="U2460" s="54">
        <v>37887.120000000003</v>
      </c>
      <c r="V2460" s="54">
        <v>37887.120000000003</v>
      </c>
      <c r="W2460" s="54">
        <v>37887.120000000003</v>
      </c>
    </row>
    <row r="2461" spans="1:23" outlineLevel="2" x14ac:dyDescent="0.2">
      <c r="A2461" s="21" t="s">
        <v>999</v>
      </c>
      <c r="B2461" s="21" t="s">
        <v>39</v>
      </c>
      <c r="C2461" s="21" t="s">
        <v>58</v>
      </c>
      <c r="D2461" s="21" t="s">
        <v>145</v>
      </c>
      <c r="E2461" s="21" t="s">
        <v>146</v>
      </c>
      <c r="F2461" s="21" t="s">
        <v>933</v>
      </c>
      <c r="G2461" s="21" t="s">
        <v>934</v>
      </c>
      <c r="H2461" s="21" t="s">
        <v>1575</v>
      </c>
      <c r="I2461" s="21" t="s">
        <v>1576</v>
      </c>
      <c r="J2461" s="21" t="s">
        <v>1000</v>
      </c>
      <c r="K2461" s="21" t="s">
        <v>1017</v>
      </c>
      <c r="L2461" s="21" t="s">
        <v>1570</v>
      </c>
      <c r="M2461" s="21" t="s">
        <v>12</v>
      </c>
      <c r="N2461" s="54">
        <v>37887.120000000003</v>
      </c>
      <c r="O2461" s="54">
        <v>0</v>
      </c>
      <c r="P2461" s="54">
        <v>0</v>
      </c>
      <c r="Q2461" s="54">
        <v>37887.120000000003</v>
      </c>
      <c r="R2461" s="54">
        <v>0</v>
      </c>
      <c r="S2461" s="54">
        <v>0</v>
      </c>
      <c r="T2461" s="54">
        <v>0</v>
      </c>
      <c r="U2461" s="54">
        <v>37887.120000000003</v>
      </c>
      <c r="V2461" s="54">
        <v>37887.120000000003</v>
      </c>
      <c r="W2461" s="54">
        <v>37887.120000000003</v>
      </c>
    </row>
    <row r="2462" spans="1:23" outlineLevel="2" x14ac:dyDescent="0.2">
      <c r="A2462" s="21" t="s">
        <v>999</v>
      </c>
      <c r="B2462" s="21" t="s">
        <v>39</v>
      </c>
      <c r="C2462" s="21" t="s">
        <v>58</v>
      </c>
      <c r="D2462" s="21" t="s">
        <v>137</v>
      </c>
      <c r="E2462" s="21" t="s">
        <v>138</v>
      </c>
      <c r="F2462" s="21" t="s">
        <v>933</v>
      </c>
      <c r="G2462" s="21" t="s">
        <v>934</v>
      </c>
      <c r="H2462" s="21" t="s">
        <v>1575</v>
      </c>
      <c r="I2462" s="21" t="s">
        <v>1576</v>
      </c>
      <c r="J2462" s="21" t="s">
        <v>1000</v>
      </c>
      <c r="K2462" s="21" t="s">
        <v>1017</v>
      </c>
      <c r="L2462" s="21" t="s">
        <v>1570</v>
      </c>
      <c r="M2462" s="21" t="s">
        <v>12</v>
      </c>
      <c r="N2462" s="54">
        <v>37887.120000000003</v>
      </c>
      <c r="O2462" s="54">
        <v>-1300</v>
      </c>
      <c r="P2462" s="54">
        <v>0</v>
      </c>
      <c r="Q2462" s="54">
        <v>36587.120000000003</v>
      </c>
      <c r="R2462" s="54">
        <v>0</v>
      </c>
      <c r="S2462" s="54">
        <v>0</v>
      </c>
      <c r="T2462" s="54">
        <v>0</v>
      </c>
      <c r="U2462" s="54">
        <v>36587.120000000003</v>
      </c>
      <c r="V2462" s="54">
        <v>36587.120000000003</v>
      </c>
      <c r="W2462" s="54">
        <v>36587.120000000003</v>
      </c>
    </row>
    <row r="2463" spans="1:23" outlineLevel="2" x14ac:dyDescent="0.2">
      <c r="A2463" s="21" t="s">
        <v>999</v>
      </c>
      <c r="B2463" s="21" t="s">
        <v>39</v>
      </c>
      <c r="C2463" s="21" t="s">
        <v>58</v>
      </c>
      <c r="D2463" s="21" t="s">
        <v>149</v>
      </c>
      <c r="E2463" s="21" t="s">
        <v>150</v>
      </c>
      <c r="F2463" s="21" t="s">
        <v>933</v>
      </c>
      <c r="G2463" s="21" t="s">
        <v>934</v>
      </c>
      <c r="H2463" s="21" t="s">
        <v>1575</v>
      </c>
      <c r="I2463" s="21" t="s">
        <v>1576</v>
      </c>
      <c r="J2463" s="21" t="s">
        <v>1000</v>
      </c>
      <c r="K2463" s="21" t="s">
        <v>1017</v>
      </c>
      <c r="L2463" s="21" t="s">
        <v>1570</v>
      </c>
      <c r="M2463" s="21" t="s">
        <v>12</v>
      </c>
      <c r="N2463" s="54">
        <v>56830.58</v>
      </c>
      <c r="O2463" s="54">
        <v>0</v>
      </c>
      <c r="P2463" s="54">
        <v>0</v>
      </c>
      <c r="Q2463" s="54">
        <v>56830.58</v>
      </c>
      <c r="R2463" s="54">
        <v>0</v>
      </c>
      <c r="S2463" s="54">
        <v>0</v>
      </c>
      <c r="T2463" s="54">
        <v>0</v>
      </c>
      <c r="U2463" s="54">
        <v>56830.58</v>
      </c>
      <c r="V2463" s="54">
        <v>56830.58</v>
      </c>
      <c r="W2463" s="54">
        <v>56830.58</v>
      </c>
    </row>
    <row r="2464" spans="1:23" outlineLevel="2" x14ac:dyDescent="0.2">
      <c r="A2464" s="21" t="s">
        <v>999</v>
      </c>
      <c r="B2464" s="21" t="s">
        <v>31</v>
      </c>
      <c r="C2464" s="21" t="s">
        <v>32</v>
      </c>
      <c r="D2464" s="21" t="s">
        <v>141</v>
      </c>
      <c r="E2464" s="21" t="s">
        <v>142</v>
      </c>
      <c r="F2464" s="21" t="s">
        <v>933</v>
      </c>
      <c r="G2464" s="21" t="s">
        <v>934</v>
      </c>
      <c r="H2464" s="21" t="s">
        <v>1575</v>
      </c>
      <c r="I2464" s="21" t="s">
        <v>1576</v>
      </c>
      <c r="J2464" s="21" t="s">
        <v>1000</v>
      </c>
      <c r="K2464" s="21" t="s">
        <v>1267</v>
      </c>
      <c r="L2464" s="21" t="s">
        <v>1579</v>
      </c>
      <c r="M2464" s="21" t="s">
        <v>12</v>
      </c>
      <c r="N2464" s="54">
        <v>0</v>
      </c>
      <c r="O2464" s="54">
        <v>8000</v>
      </c>
      <c r="P2464" s="54">
        <v>0</v>
      </c>
      <c r="Q2464" s="54">
        <v>8000</v>
      </c>
      <c r="R2464" s="54">
        <v>0</v>
      </c>
      <c r="S2464" s="54">
        <v>0</v>
      </c>
      <c r="T2464" s="54">
        <v>0</v>
      </c>
      <c r="U2464" s="54">
        <v>8000</v>
      </c>
      <c r="V2464" s="54">
        <v>8000</v>
      </c>
      <c r="W2464" s="54">
        <v>8000</v>
      </c>
    </row>
    <row r="2465" spans="1:23" outlineLevel="2" x14ac:dyDescent="0.2">
      <c r="A2465" s="21" t="s">
        <v>999</v>
      </c>
      <c r="B2465" s="21" t="s">
        <v>39</v>
      </c>
      <c r="C2465" s="21" t="s">
        <v>58</v>
      </c>
      <c r="D2465" s="21" t="s">
        <v>137</v>
      </c>
      <c r="E2465" s="21" t="s">
        <v>138</v>
      </c>
      <c r="F2465" s="21" t="s">
        <v>933</v>
      </c>
      <c r="G2465" s="21" t="s">
        <v>934</v>
      </c>
      <c r="H2465" s="21" t="s">
        <v>1575</v>
      </c>
      <c r="I2465" s="21" t="s">
        <v>1576</v>
      </c>
      <c r="J2465" s="21" t="s">
        <v>1000</v>
      </c>
      <c r="K2465" s="21" t="s">
        <v>1084</v>
      </c>
      <c r="L2465" s="21" t="s">
        <v>1574</v>
      </c>
      <c r="M2465" s="21" t="s">
        <v>12</v>
      </c>
      <c r="N2465" s="54">
        <v>1589</v>
      </c>
      <c r="O2465" s="54">
        <v>0</v>
      </c>
      <c r="P2465" s="54">
        <v>0</v>
      </c>
      <c r="Q2465" s="54">
        <v>1589</v>
      </c>
      <c r="R2465" s="54">
        <v>0</v>
      </c>
      <c r="S2465" s="54">
        <v>0</v>
      </c>
      <c r="T2465" s="54">
        <v>0</v>
      </c>
      <c r="U2465" s="54">
        <v>1589</v>
      </c>
      <c r="V2465" s="54">
        <v>1589</v>
      </c>
      <c r="W2465" s="54">
        <v>1589</v>
      </c>
    </row>
    <row r="2466" spans="1:23" outlineLevel="2" x14ac:dyDescent="0.2">
      <c r="A2466" s="21" t="s">
        <v>999</v>
      </c>
      <c r="B2466" s="21" t="s">
        <v>39</v>
      </c>
      <c r="C2466" s="21" t="s">
        <v>58</v>
      </c>
      <c r="D2466" s="21" t="s">
        <v>145</v>
      </c>
      <c r="E2466" s="21" t="s">
        <v>146</v>
      </c>
      <c r="F2466" s="21" t="s">
        <v>933</v>
      </c>
      <c r="G2466" s="21" t="s">
        <v>934</v>
      </c>
      <c r="H2466" s="21" t="s">
        <v>1575</v>
      </c>
      <c r="I2466" s="21" t="s">
        <v>1576</v>
      </c>
      <c r="J2466" s="21" t="s">
        <v>1000</v>
      </c>
      <c r="K2466" s="21" t="s">
        <v>1084</v>
      </c>
      <c r="L2466" s="21" t="s">
        <v>1574</v>
      </c>
      <c r="M2466" s="21" t="s">
        <v>12</v>
      </c>
      <c r="N2466" s="54">
        <v>4777</v>
      </c>
      <c r="O2466" s="54">
        <v>0</v>
      </c>
      <c r="P2466" s="54">
        <v>0</v>
      </c>
      <c r="Q2466" s="54">
        <v>4777</v>
      </c>
      <c r="R2466" s="54">
        <v>0</v>
      </c>
      <c r="S2466" s="54">
        <v>0</v>
      </c>
      <c r="T2466" s="54">
        <v>0</v>
      </c>
      <c r="U2466" s="54">
        <v>4777</v>
      </c>
      <c r="V2466" s="54">
        <v>4777</v>
      </c>
      <c r="W2466" s="54">
        <v>4777</v>
      </c>
    </row>
    <row r="2467" spans="1:23" outlineLevel="2" x14ac:dyDescent="0.2">
      <c r="A2467" s="21" t="s">
        <v>999</v>
      </c>
      <c r="B2467" s="21" t="s">
        <v>39</v>
      </c>
      <c r="C2467" s="21" t="s">
        <v>58</v>
      </c>
      <c r="D2467" s="21" t="s">
        <v>147</v>
      </c>
      <c r="E2467" s="21" t="s">
        <v>148</v>
      </c>
      <c r="F2467" s="21" t="s">
        <v>933</v>
      </c>
      <c r="G2467" s="21" t="s">
        <v>934</v>
      </c>
      <c r="H2467" s="21" t="s">
        <v>1575</v>
      </c>
      <c r="I2467" s="21" t="s">
        <v>1576</v>
      </c>
      <c r="J2467" s="21" t="s">
        <v>1000</v>
      </c>
      <c r="K2467" s="21" t="s">
        <v>1084</v>
      </c>
      <c r="L2467" s="21" t="s">
        <v>1574</v>
      </c>
      <c r="M2467" s="21" t="s">
        <v>12</v>
      </c>
      <c r="N2467" s="54">
        <v>5302</v>
      </c>
      <c r="O2467" s="54">
        <v>0</v>
      </c>
      <c r="P2467" s="54">
        <v>0</v>
      </c>
      <c r="Q2467" s="54">
        <v>5302</v>
      </c>
      <c r="R2467" s="54">
        <v>0</v>
      </c>
      <c r="S2467" s="54">
        <v>0</v>
      </c>
      <c r="T2467" s="54">
        <v>0</v>
      </c>
      <c r="U2467" s="54">
        <v>5302</v>
      </c>
      <c r="V2467" s="54">
        <v>5302</v>
      </c>
      <c r="W2467" s="54">
        <v>5302</v>
      </c>
    </row>
    <row r="2468" spans="1:23" outlineLevel="2" x14ac:dyDescent="0.2">
      <c r="A2468" s="21" t="s">
        <v>999</v>
      </c>
      <c r="B2468" s="21" t="s">
        <v>39</v>
      </c>
      <c r="C2468" s="21" t="s">
        <v>58</v>
      </c>
      <c r="D2468" s="21" t="s">
        <v>149</v>
      </c>
      <c r="E2468" s="21" t="s">
        <v>150</v>
      </c>
      <c r="F2468" s="21" t="s">
        <v>933</v>
      </c>
      <c r="G2468" s="21" t="s">
        <v>934</v>
      </c>
      <c r="H2468" s="21" t="s">
        <v>1575</v>
      </c>
      <c r="I2468" s="21" t="s">
        <v>1576</v>
      </c>
      <c r="J2468" s="21" t="s">
        <v>1000</v>
      </c>
      <c r="K2468" s="21" t="s">
        <v>1084</v>
      </c>
      <c r="L2468" s="21" t="s">
        <v>1574</v>
      </c>
      <c r="M2468" s="21" t="s">
        <v>12</v>
      </c>
      <c r="N2468" s="54">
        <v>6891</v>
      </c>
      <c r="O2468" s="54">
        <v>0</v>
      </c>
      <c r="P2468" s="54">
        <v>0</v>
      </c>
      <c r="Q2468" s="54">
        <v>6891</v>
      </c>
      <c r="R2468" s="54">
        <v>0</v>
      </c>
      <c r="S2468" s="54">
        <v>0</v>
      </c>
      <c r="T2468" s="54">
        <v>0</v>
      </c>
      <c r="U2468" s="54">
        <v>6891</v>
      </c>
      <c r="V2468" s="54">
        <v>6891</v>
      </c>
      <c r="W2468" s="54">
        <v>6891</v>
      </c>
    </row>
    <row r="2469" spans="1:23" outlineLevel="2" x14ac:dyDescent="0.2">
      <c r="A2469" s="21" t="s">
        <v>999</v>
      </c>
      <c r="B2469" s="21" t="s">
        <v>39</v>
      </c>
      <c r="C2469" s="21" t="s">
        <v>58</v>
      </c>
      <c r="D2469" s="21" t="s">
        <v>143</v>
      </c>
      <c r="E2469" s="21" t="s">
        <v>144</v>
      </c>
      <c r="F2469" s="21" t="s">
        <v>933</v>
      </c>
      <c r="G2469" s="21" t="s">
        <v>934</v>
      </c>
      <c r="H2469" s="21" t="s">
        <v>1575</v>
      </c>
      <c r="I2469" s="21" t="s">
        <v>1576</v>
      </c>
      <c r="J2469" s="21" t="s">
        <v>1000</v>
      </c>
      <c r="K2469" s="21" t="s">
        <v>1084</v>
      </c>
      <c r="L2469" s="21" t="s">
        <v>1574</v>
      </c>
      <c r="M2469" s="21" t="s">
        <v>12</v>
      </c>
      <c r="N2469" s="54">
        <v>4242</v>
      </c>
      <c r="O2469" s="54">
        <v>0</v>
      </c>
      <c r="P2469" s="54">
        <v>0</v>
      </c>
      <c r="Q2469" s="54">
        <v>4242</v>
      </c>
      <c r="R2469" s="54">
        <v>0</v>
      </c>
      <c r="S2469" s="54">
        <v>0</v>
      </c>
      <c r="T2469" s="54">
        <v>0</v>
      </c>
      <c r="U2469" s="54">
        <v>4242</v>
      </c>
      <c r="V2469" s="54">
        <v>4242</v>
      </c>
      <c r="W2469" s="54">
        <v>4242</v>
      </c>
    </row>
    <row r="2470" spans="1:23" outlineLevel="2" x14ac:dyDescent="0.2">
      <c r="A2470" s="21" t="s">
        <v>999</v>
      </c>
      <c r="B2470" s="21" t="s">
        <v>39</v>
      </c>
      <c r="C2470" s="21" t="s">
        <v>58</v>
      </c>
      <c r="D2470" s="21" t="s">
        <v>135</v>
      </c>
      <c r="E2470" s="21" t="s">
        <v>136</v>
      </c>
      <c r="F2470" s="21" t="s">
        <v>933</v>
      </c>
      <c r="G2470" s="21" t="s">
        <v>934</v>
      </c>
      <c r="H2470" s="21" t="s">
        <v>1575</v>
      </c>
      <c r="I2470" s="21" t="s">
        <v>1576</v>
      </c>
      <c r="J2470" s="21" t="s">
        <v>1000</v>
      </c>
      <c r="K2470" s="21" t="s">
        <v>1084</v>
      </c>
      <c r="L2470" s="21" t="s">
        <v>1574</v>
      </c>
      <c r="M2470" s="21" t="s">
        <v>12</v>
      </c>
      <c r="N2470" s="54">
        <v>4116</v>
      </c>
      <c r="O2470" s="54">
        <v>0</v>
      </c>
      <c r="P2470" s="54">
        <v>0</v>
      </c>
      <c r="Q2470" s="54">
        <v>4116</v>
      </c>
      <c r="R2470" s="54">
        <v>0</v>
      </c>
      <c r="S2470" s="54">
        <v>0</v>
      </c>
      <c r="T2470" s="54">
        <v>0</v>
      </c>
      <c r="U2470" s="54">
        <v>4116</v>
      </c>
      <c r="V2470" s="54">
        <v>4116</v>
      </c>
      <c r="W2470" s="54">
        <v>4116</v>
      </c>
    </row>
    <row r="2471" spans="1:23" outlineLevel="2" x14ac:dyDescent="0.2">
      <c r="A2471" s="21" t="s">
        <v>999</v>
      </c>
      <c r="B2471" s="21" t="s">
        <v>39</v>
      </c>
      <c r="C2471" s="21" t="s">
        <v>58</v>
      </c>
      <c r="D2471" s="21" t="s">
        <v>59</v>
      </c>
      <c r="E2471" s="21" t="s">
        <v>60</v>
      </c>
      <c r="F2471" s="21" t="s">
        <v>933</v>
      </c>
      <c r="G2471" s="21" t="s">
        <v>934</v>
      </c>
      <c r="H2471" s="21" t="s">
        <v>1575</v>
      </c>
      <c r="I2471" s="21" t="s">
        <v>1576</v>
      </c>
      <c r="J2471" s="21" t="s">
        <v>1000</v>
      </c>
      <c r="K2471" s="21" t="s">
        <v>1084</v>
      </c>
      <c r="L2471" s="21" t="s">
        <v>1574</v>
      </c>
      <c r="M2471" s="21" t="s">
        <v>12</v>
      </c>
      <c r="N2471" s="54">
        <v>1589</v>
      </c>
      <c r="O2471" s="54">
        <v>0</v>
      </c>
      <c r="P2471" s="54">
        <v>0</v>
      </c>
      <c r="Q2471" s="54">
        <v>1589</v>
      </c>
      <c r="R2471" s="54">
        <v>0</v>
      </c>
      <c r="S2471" s="54">
        <v>0</v>
      </c>
      <c r="T2471" s="54">
        <v>0</v>
      </c>
      <c r="U2471" s="54">
        <v>1589</v>
      </c>
      <c r="V2471" s="54">
        <v>1589</v>
      </c>
      <c r="W2471" s="54">
        <v>1589</v>
      </c>
    </row>
    <row r="2472" spans="1:23" outlineLevel="2" x14ac:dyDescent="0.2">
      <c r="A2472" s="21" t="s">
        <v>999</v>
      </c>
      <c r="B2472" s="21" t="s">
        <v>39</v>
      </c>
      <c r="C2472" s="21" t="s">
        <v>58</v>
      </c>
      <c r="D2472" s="21" t="s">
        <v>139</v>
      </c>
      <c r="E2472" s="21" t="s">
        <v>140</v>
      </c>
      <c r="F2472" s="21" t="s">
        <v>933</v>
      </c>
      <c r="G2472" s="21" t="s">
        <v>934</v>
      </c>
      <c r="H2472" s="21" t="s">
        <v>1575</v>
      </c>
      <c r="I2472" s="21" t="s">
        <v>1576</v>
      </c>
      <c r="J2472" s="21" t="s">
        <v>1000</v>
      </c>
      <c r="K2472" s="21" t="s">
        <v>1084</v>
      </c>
      <c r="L2472" s="21" t="s">
        <v>1574</v>
      </c>
      <c r="M2472" s="21" t="s">
        <v>12</v>
      </c>
      <c r="N2472" s="54">
        <v>5950</v>
      </c>
      <c r="O2472" s="54">
        <v>0</v>
      </c>
      <c r="P2472" s="54">
        <v>0</v>
      </c>
      <c r="Q2472" s="54">
        <v>5950</v>
      </c>
      <c r="R2472" s="54">
        <v>0</v>
      </c>
      <c r="S2472" s="54">
        <v>0</v>
      </c>
      <c r="T2472" s="54">
        <v>0</v>
      </c>
      <c r="U2472" s="54">
        <v>5950</v>
      </c>
      <c r="V2472" s="54">
        <v>5950</v>
      </c>
      <c r="W2472" s="54">
        <v>5950</v>
      </c>
    </row>
    <row r="2473" spans="1:23" outlineLevel="2" x14ac:dyDescent="0.2">
      <c r="A2473" s="21" t="s">
        <v>999</v>
      </c>
      <c r="B2473" s="21" t="s">
        <v>31</v>
      </c>
      <c r="C2473" s="21" t="s">
        <v>32</v>
      </c>
      <c r="D2473" s="21" t="s">
        <v>141</v>
      </c>
      <c r="E2473" s="21" t="s">
        <v>142</v>
      </c>
      <c r="F2473" s="21" t="s">
        <v>933</v>
      </c>
      <c r="G2473" s="21" t="s">
        <v>934</v>
      </c>
      <c r="H2473" s="21" t="s">
        <v>935</v>
      </c>
      <c r="I2473" s="21" t="s">
        <v>936</v>
      </c>
      <c r="J2473" s="21" t="s">
        <v>1000</v>
      </c>
      <c r="K2473" s="21" t="s">
        <v>1104</v>
      </c>
      <c r="L2473" s="21" t="s">
        <v>1580</v>
      </c>
      <c r="M2473" s="21" t="s">
        <v>12</v>
      </c>
      <c r="N2473" s="54">
        <v>0</v>
      </c>
      <c r="O2473" s="54">
        <v>5000</v>
      </c>
      <c r="P2473" s="54">
        <v>0</v>
      </c>
      <c r="Q2473" s="54">
        <v>5000</v>
      </c>
      <c r="R2473" s="54">
        <v>0</v>
      </c>
      <c r="S2473" s="54">
        <v>0</v>
      </c>
      <c r="T2473" s="54">
        <v>0</v>
      </c>
      <c r="U2473" s="54">
        <v>5000</v>
      </c>
      <c r="V2473" s="54">
        <v>5000</v>
      </c>
      <c r="W2473" s="54">
        <v>5000</v>
      </c>
    </row>
    <row r="2474" spans="1:23" outlineLevel="2" x14ac:dyDescent="0.2">
      <c r="A2474" s="21" t="s">
        <v>999</v>
      </c>
      <c r="B2474" s="21" t="s">
        <v>39</v>
      </c>
      <c r="C2474" s="21" t="s">
        <v>58</v>
      </c>
      <c r="D2474" s="21" t="s">
        <v>147</v>
      </c>
      <c r="E2474" s="21" t="s">
        <v>148</v>
      </c>
      <c r="F2474" s="21" t="s">
        <v>933</v>
      </c>
      <c r="G2474" s="21" t="s">
        <v>934</v>
      </c>
      <c r="H2474" s="21" t="s">
        <v>935</v>
      </c>
      <c r="I2474" s="21" t="s">
        <v>936</v>
      </c>
      <c r="J2474" s="21" t="s">
        <v>1000</v>
      </c>
      <c r="K2474" s="21" t="s">
        <v>1037</v>
      </c>
      <c r="L2474" s="21" t="s">
        <v>1566</v>
      </c>
      <c r="M2474" s="21" t="s">
        <v>12</v>
      </c>
      <c r="N2474" s="54">
        <v>1472.46</v>
      </c>
      <c r="O2474" s="54">
        <v>0</v>
      </c>
      <c r="P2474" s="54">
        <v>0</v>
      </c>
      <c r="Q2474" s="54">
        <v>1472.46</v>
      </c>
      <c r="R2474" s="54">
        <v>0</v>
      </c>
      <c r="S2474" s="54">
        <v>0</v>
      </c>
      <c r="T2474" s="54">
        <v>0</v>
      </c>
      <c r="U2474" s="54">
        <v>1472.46</v>
      </c>
      <c r="V2474" s="54">
        <v>1472.46</v>
      </c>
      <c r="W2474" s="54">
        <v>1472.46</v>
      </c>
    </row>
    <row r="2475" spans="1:23" outlineLevel="2" x14ac:dyDescent="0.2">
      <c r="A2475" s="21" t="s">
        <v>999</v>
      </c>
      <c r="B2475" s="21" t="s">
        <v>31</v>
      </c>
      <c r="C2475" s="21" t="s">
        <v>32</v>
      </c>
      <c r="D2475" s="21" t="s">
        <v>141</v>
      </c>
      <c r="E2475" s="21" t="s">
        <v>142</v>
      </c>
      <c r="F2475" s="21" t="s">
        <v>933</v>
      </c>
      <c r="G2475" s="21" t="s">
        <v>934</v>
      </c>
      <c r="H2475" s="21" t="s">
        <v>935</v>
      </c>
      <c r="I2475" s="21" t="s">
        <v>936</v>
      </c>
      <c r="J2475" s="21" t="s">
        <v>1000</v>
      </c>
      <c r="K2475" s="21" t="s">
        <v>1037</v>
      </c>
      <c r="L2475" s="21" t="s">
        <v>1548</v>
      </c>
      <c r="M2475" s="21" t="s">
        <v>12</v>
      </c>
      <c r="N2475" s="54">
        <v>12000</v>
      </c>
      <c r="O2475" s="54">
        <v>-6000</v>
      </c>
      <c r="P2475" s="54">
        <v>0</v>
      </c>
      <c r="Q2475" s="54">
        <v>6000</v>
      </c>
      <c r="R2475" s="54">
        <v>0</v>
      </c>
      <c r="S2475" s="54">
        <v>0</v>
      </c>
      <c r="T2475" s="54">
        <v>0</v>
      </c>
      <c r="U2475" s="54">
        <v>6000</v>
      </c>
      <c r="V2475" s="54">
        <v>6000</v>
      </c>
      <c r="W2475" s="54">
        <v>6000</v>
      </c>
    </row>
    <row r="2476" spans="1:23" outlineLevel="2" x14ac:dyDescent="0.2">
      <c r="A2476" s="21" t="s">
        <v>999</v>
      </c>
      <c r="B2476" s="21" t="s">
        <v>39</v>
      </c>
      <c r="C2476" s="21" t="s">
        <v>58</v>
      </c>
      <c r="D2476" s="21" t="s">
        <v>135</v>
      </c>
      <c r="E2476" s="21" t="s">
        <v>136</v>
      </c>
      <c r="F2476" s="21" t="s">
        <v>933</v>
      </c>
      <c r="G2476" s="21" t="s">
        <v>934</v>
      </c>
      <c r="H2476" s="21" t="s">
        <v>935</v>
      </c>
      <c r="I2476" s="21" t="s">
        <v>936</v>
      </c>
      <c r="J2476" s="21" t="s">
        <v>1000</v>
      </c>
      <c r="K2476" s="21" t="s">
        <v>1037</v>
      </c>
      <c r="L2476" s="21" t="s">
        <v>1566</v>
      </c>
      <c r="M2476" s="21" t="s">
        <v>12</v>
      </c>
      <c r="N2476" s="54">
        <v>2000</v>
      </c>
      <c r="O2476" s="54">
        <v>0</v>
      </c>
      <c r="P2476" s="54">
        <v>0</v>
      </c>
      <c r="Q2476" s="54">
        <v>2000</v>
      </c>
      <c r="R2476" s="54">
        <v>0</v>
      </c>
      <c r="S2476" s="54">
        <v>0</v>
      </c>
      <c r="T2476" s="54">
        <v>0</v>
      </c>
      <c r="U2476" s="54">
        <v>2000</v>
      </c>
      <c r="V2476" s="54">
        <v>2000</v>
      </c>
      <c r="W2476" s="54">
        <v>2000</v>
      </c>
    </row>
    <row r="2477" spans="1:23" outlineLevel="2" x14ac:dyDescent="0.2">
      <c r="A2477" s="21" t="s">
        <v>999</v>
      </c>
      <c r="B2477" s="21" t="s">
        <v>39</v>
      </c>
      <c r="C2477" s="21" t="s">
        <v>58</v>
      </c>
      <c r="D2477" s="21" t="s">
        <v>149</v>
      </c>
      <c r="E2477" s="21" t="s">
        <v>150</v>
      </c>
      <c r="F2477" s="21" t="s">
        <v>933</v>
      </c>
      <c r="G2477" s="21" t="s">
        <v>934</v>
      </c>
      <c r="H2477" s="21" t="s">
        <v>935</v>
      </c>
      <c r="I2477" s="21" t="s">
        <v>936</v>
      </c>
      <c r="J2477" s="21" t="s">
        <v>1000</v>
      </c>
      <c r="K2477" s="21" t="s">
        <v>1037</v>
      </c>
      <c r="L2477" s="21" t="s">
        <v>1566</v>
      </c>
      <c r="M2477" s="21" t="s">
        <v>12</v>
      </c>
      <c r="N2477" s="54">
        <v>2000</v>
      </c>
      <c r="O2477" s="54">
        <v>0</v>
      </c>
      <c r="P2477" s="54">
        <v>0</v>
      </c>
      <c r="Q2477" s="54">
        <v>2000</v>
      </c>
      <c r="R2477" s="54">
        <v>0</v>
      </c>
      <c r="S2477" s="54">
        <v>0</v>
      </c>
      <c r="T2477" s="54">
        <v>0</v>
      </c>
      <c r="U2477" s="54">
        <v>2000</v>
      </c>
      <c r="V2477" s="54">
        <v>2000</v>
      </c>
      <c r="W2477" s="54">
        <v>2000</v>
      </c>
    </row>
    <row r="2478" spans="1:23" outlineLevel="2" x14ac:dyDescent="0.2">
      <c r="A2478" s="21" t="s">
        <v>999</v>
      </c>
      <c r="B2478" s="21" t="s">
        <v>39</v>
      </c>
      <c r="C2478" s="21" t="s">
        <v>58</v>
      </c>
      <c r="D2478" s="21" t="s">
        <v>145</v>
      </c>
      <c r="E2478" s="21" t="s">
        <v>146</v>
      </c>
      <c r="F2478" s="21" t="s">
        <v>933</v>
      </c>
      <c r="G2478" s="21" t="s">
        <v>934</v>
      </c>
      <c r="H2478" s="21" t="s">
        <v>935</v>
      </c>
      <c r="I2478" s="21" t="s">
        <v>936</v>
      </c>
      <c r="J2478" s="21" t="s">
        <v>1000</v>
      </c>
      <c r="K2478" s="21" t="s">
        <v>1037</v>
      </c>
      <c r="L2478" s="21" t="s">
        <v>1566</v>
      </c>
      <c r="M2478" s="21" t="s">
        <v>12</v>
      </c>
      <c r="N2478" s="54">
        <v>2000</v>
      </c>
      <c r="O2478" s="54">
        <v>0</v>
      </c>
      <c r="P2478" s="54">
        <v>0</v>
      </c>
      <c r="Q2478" s="54">
        <v>2000</v>
      </c>
      <c r="R2478" s="54">
        <v>0</v>
      </c>
      <c r="S2478" s="54">
        <v>0</v>
      </c>
      <c r="T2478" s="54">
        <v>0</v>
      </c>
      <c r="U2478" s="54">
        <v>2000</v>
      </c>
      <c r="V2478" s="54">
        <v>2000</v>
      </c>
      <c r="W2478" s="54">
        <v>2000</v>
      </c>
    </row>
    <row r="2479" spans="1:23" outlineLevel="2" x14ac:dyDescent="0.2">
      <c r="A2479" s="21" t="s">
        <v>999</v>
      </c>
      <c r="B2479" s="21" t="s">
        <v>39</v>
      </c>
      <c r="C2479" s="21" t="s">
        <v>58</v>
      </c>
      <c r="D2479" s="21" t="s">
        <v>137</v>
      </c>
      <c r="E2479" s="21" t="s">
        <v>138</v>
      </c>
      <c r="F2479" s="21" t="s">
        <v>933</v>
      </c>
      <c r="G2479" s="21" t="s">
        <v>934</v>
      </c>
      <c r="H2479" s="21" t="s">
        <v>935</v>
      </c>
      <c r="I2479" s="21" t="s">
        <v>936</v>
      </c>
      <c r="J2479" s="21" t="s">
        <v>1000</v>
      </c>
      <c r="K2479" s="21" t="s">
        <v>1037</v>
      </c>
      <c r="L2479" s="21" t="s">
        <v>1566</v>
      </c>
      <c r="M2479" s="21" t="s">
        <v>12</v>
      </c>
      <c r="N2479" s="54">
        <v>2000</v>
      </c>
      <c r="O2479" s="54">
        <v>0</v>
      </c>
      <c r="P2479" s="54">
        <v>0</v>
      </c>
      <c r="Q2479" s="54">
        <v>2000</v>
      </c>
      <c r="R2479" s="54">
        <v>0</v>
      </c>
      <c r="S2479" s="54">
        <v>0</v>
      </c>
      <c r="T2479" s="54">
        <v>0</v>
      </c>
      <c r="U2479" s="54">
        <v>2000</v>
      </c>
      <c r="V2479" s="54">
        <v>2000</v>
      </c>
      <c r="W2479" s="54">
        <v>2000</v>
      </c>
    </row>
    <row r="2480" spans="1:23" outlineLevel="2" x14ac:dyDescent="0.2">
      <c r="A2480" s="21" t="s">
        <v>999</v>
      </c>
      <c r="B2480" s="21" t="s">
        <v>39</v>
      </c>
      <c r="C2480" s="21" t="s">
        <v>58</v>
      </c>
      <c r="D2480" s="21" t="s">
        <v>143</v>
      </c>
      <c r="E2480" s="21" t="s">
        <v>144</v>
      </c>
      <c r="F2480" s="21" t="s">
        <v>933</v>
      </c>
      <c r="G2480" s="21" t="s">
        <v>934</v>
      </c>
      <c r="H2480" s="21" t="s">
        <v>935</v>
      </c>
      <c r="I2480" s="21" t="s">
        <v>936</v>
      </c>
      <c r="J2480" s="21" t="s">
        <v>1000</v>
      </c>
      <c r="K2480" s="21" t="s">
        <v>1037</v>
      </c>
      <c r="L2480" s="21" t="s">
        <v>1566</v>
      </c>
      <c r="M2480" s="21" t="s">
        <v>12</v>
      </c>
      <c r="N2480" s="54">
        <v>2000</v>
      </c>
      <c r="O2480" s="54">
        <v>0</v>
      </c>
      <c r="P2480" s="54">
        <v>0</v>
      </c>
      <c r="Q2480" s="54">
        <v>2000</v>
      </c>
      <c r="R2480" s="54">
        <v>0</v>
      </c>
      <c r="S2480" s="54">
        <v>0</v>
      </c>
      <c r="T2480" s="54">
        <v>0</v>
      </c>
      <c r="U2480" s="54">
        <v>2000</v>
      </c>
      <c r="V2480" s="54">
        <v>2000</v>
      </c>
      <c r="W2480" s="54">
        <v>2000</v>
      </c>
    </row>
    <row r="2481" spans="1:23" outlineLevel="2" x14ac:dyDescent="0.2">
      <c r="A2481" s="21" t="s">
        <v>999</v>
      </c>
      <c r="B2481" s="21" t="s">
        <v>39</v>
      </c>
      <c r="C2481" s="21" t="s">
        <v>58</v>
      </c>
      <c r="D2481" s="21" t="s">
        <v>139</v>
      </c>
      <c r="E2481" s="21" t="s">
        <v>140</v>
      </c>
      <c r="F2481" s="21" t="s">
        <v>933</v>
      </c>
      <c r="G2481" s="21" t="s">
        <v>934</v>
      </c>
      <c r="H2481" s="21" t="s">
        <v>935</v>
      </c>
      <c r="I2481" s="21" t="s">
        <v>936</v>
      </c>
      <c r="J2481" s="21" t="s">
        <v>1000</v>
      </c>
      <c r="K2481" s="21" t="s">
        <v>1037</v>
      </c>
      <c r="L2481" s="21" t="s">
        <v>1566</v>
      </c>
      <c r="M2481" s="21" t="s">
        <v>12</v>
      </c>
      <c r="N2481" s="54">
        <v>2000</v>
      </c>
      <c r="O2481" s="54">
        <v>0</v>
      </c>
      <c r="P2481" s="54">
        <v>0</v>
      </c>
      <c r="Q2481" s="54">
        <v>2000</v>
      </c>
      <c r="R2481" s="54">
        <v>0</v>
      </c>
      <c r="S2481" s="54">
        <v>0</v>
      </c>
      <c r="T2481" s="54">
        <v>0</v>
      </c>
      <c r="U2481" s="54">
        <v>2000</v>
      </c>
      <c r="V2481" s="54">
        <v>2000</v>
      </c>
      <c r="W2481" s="54">
        <v>2000</v>
      </c>
    </row>
    <row r="2482" spans="1:23" outlineLevel="2" x14ac:dyDescent="0.2">
      <c r="A2482" s="21" t="s">
        <v>999</v>
      </c>
      <c r="B2482" s="21" t="s">
        <v>39</v>
      </c>
      <c r="C2482" s="21" t="s">
        <v>58</v>
      </c>
      <c r="D2482" s="21" t="s">
        <v>59</v>
      </c>
      <c r="E2482" s="21" t="s">
        <v>60</v>
      </c>
      <c r="F2482" s="21" t="s">
        <v>933</v>
      </c>
      <c r="G2482" s="21" t="s">
        <v>934</v>
      </c>
      <c r="H2482" s="21" t="s">
        <v>935</v>
      </c>
      <c r="I2482" s="21" t="s">
        <v>936</v>
      </c>
      <c r="J2482" s="21" t="s">
        <v>1000</v>
      </c>
      <c r="K2482" s="21" t="s">
        <v>1037</v>
      </c>
      <c r="L2482" s="21" t="s">
        <v>1566</v>
      </c>
      <c r="M2482" s="21" t="s">
        <v>12</v>
      </c>
      <c r="N2482" s="54">
        <v>2000</v>
      </c>
      <c r="O2482" s="54">
        <v>0</v>
      </c>
      <c r="P2482" s="54">
        <v>0</v>
      </c>
      <c r="Q2482" s="54">
        <v>2000</v>
      </c>
      <c r="R2482" s="54">
        <v>0</v>
      </c>
      <c r="S2482" s="54">
        <v>0</v>
      </c>
      <c r="T2482" s="54">
        <v>0</v>
      </c>
      <c r="U2482" s="54">
        <v>2000</v>
      </c>
      <c r="V2482" s="54">
        <v>2000</v>
      </c>
      <c r="W2482" s="54">
        <v>2000</v>
      </c>
    </row>
    <row r="2483" spans="1:23" outlineLevel="2" x14ac:dyDescent="0.2">
      <c r="A2483" s="21" t="s">
        <v>999</v>
      </c>
      <c r="B2483" s="21" t="s">
        <v>39</v>
      </c>
      <c r="C2483" s="21" t="s">
        <v>58</v>
      </c>
      <c r="D2483" s="21" t="s">
        <v>149</v>
      </c>
      <c r="E2483" s="21" t="s">
        <v>150</v>
      </c>
      <c r="F2483" s="21" t="s">
        <v>933</v>
      </c>
      <c r="G2483" s="21" t="s">
        <v>934</v>
      </c>
      <c r="H2483" s="21" t="s">
        <v>935</v>
      </c>
      <c r="I2483" s="21" t="s">
        <v>936</v>
      </c>
      <c r="J2483" s="21" t="s">
        <v>1000</v>
      </c>
      <c r="K2483" s="21" t="s">
        <v>1039</v>
      </c>
      <c r="L2483" s="21" t="s">
        <v>1567</v>
      </c>
      <c r="M2483" s="21" t="s">
        <v>12</v>
      </c>
      <c r="N2483" s="54">
        <v>3000</v>
      </c>
      <c r="O2483" s="54">
        <v>0</v>
      </c>
      <c r="P2483" s="54">
        <v>0</v>
      </c>
      <c r="Q2483" s="54">
        <v>3000</v>
      </c>
      <c r="R2483" s="54">
        <v>0</v>
      </c>
      <c r="S2483" s="54">
        <v>0</v>
      </c>
      <c r="T2483" s="54">
        <v>0</v>
      </c>
      <c r="U2483" s="54">
        <v>3000</v>
      </c>
      <c r="V2483" s="54">
        <v>3000</v>
      </c>
      <c r="W2483" s="54">
        <v>3000</v>
      </c>
    </row>
    <row r="2484" spans="1:23" outlineLevel="2" x14ac:dyDescent="0.2">
      <c r="A2484" s="21" t="s">
        <v>999</v>
      </c>
      <c r="B2484" s="21" t="s">
        <v>39</v>
      </c>
      <c r="C2484" s="21" t="s">
        <v>58</v>
      </c>
      <c r="D2484" s="21" t="s">
        <v>137</v>
      </c>
      <c r="E2484" s="21" t="s">
        <v>138</v>
      </c>
      <c r="F2484" s="21" t="s">
        <v>933</v>
      </c>
      <c r="G2484" s="21" t="s">
        <v>934</v>
      </c>
      <c r="H2484" s="21" t="s">
        <v>935</v>
      </c>
      <c r="I2484" s="21" t="s">
        <v>936</v>
      </c>
      <c r="J2484" s="21" t="s">
        <v>1000</v>
      </c>
      <c r="K2484" s="21" t="s">
        <v>1039</v>
      </c>
      <c r="L2484" s="21" t="s">
        <v>1567</v>
      </c>
      <c r="M2484" s="21" t="s">
        <v>12</v>
      </c>
      <c r="N2484" s="54">
        <v>3000</v>
      </c>
      <c r="O2484" s="54">
        <v>0</v>
      </c>
      <c r="P2484" s="54">
        <v>0</v>
      </c>
      <c r="Q2484" s="54">
        <v>3000</v>
      </c>
      <c r="R2484" s="54">
        <v>0</v>
      </c>
      <c r="S2484" s="54">
        <v>0</v>
      </c>
      <c r="T2484" s="54">
        <v>0</v>
      </c>
      <c r="U2484" s="54">
        <v>3000</v>
      </c>
      <c r="V2484" s="54">
        <v>3000</v>
      </c>
      <c r="W2484" s="54">
        <v>3000</v>
      </c>
    </row>
    <row r="2485" spans="1:23" outlineLevel="2" x14ac:dyDescent="0.2">
      <c r="A2485" s="21" t="s">
        <v>999</v>
      </c>
      <c r="B2485" s="21" t="s">
        <v>39</v>
      </c>
      <c r="C2485" s="21" t="s">
        <v>58</v>
      </c>
      <c r="D2485" s="21" t="s">
        <v>143</v>
      </c>
      <c r="E2485" s="21" t="s">
        <v>144</v>
      </c>
      <c r="F2485" s="21" t="s">
        <v>933</v>
      </c>
      <c r="G2485" s="21" t="s">
        <v>934</v>
      </c>
      <c r="H2485" s="21" t="s">
        <v>935</v>
      </c>
      <c r="I2485" s="21" t="s">
        <v>936</v>
      </c>
      <c r="J2485" s="21" t="s">
        <v>1000</v>
      </c>
      <c r="K2485" s="21" t="s">
        <v>1039</v>
      </c>
      <c r="L2485" s="21" t="s">
        <v>1567</v>
      </c>
      <c r="M2485" s="21" t="s">
        <v>12</v>
      </c>
      <c r="N2485" s="54">
        <v>3000</v>
      </c>
      <c r="O2485" s="54">
        <v>0</v>
      </c>
      <c r="P2485" s="54">
        <v>0</v>
      </c>
      <c r="Q2485" s="54">
        <v>3000</v>
      </c>
      <c r="R2485" s="54">
        <v>0</v>
      </c>
      <c r="S2485" s="54">
        <v>0</v>
      </c>
      <c r="T2485" s="54">
        <v>0</v>
      </c>
      <c r="U2485" s="54">
        <v>3000</v>
      </c>
      <c r="V2485" s="54">
        <v>3000</v>
      </c>
      <c r="W2485" s="54">
        <v>3000</v>
      </c>
    </row>
    <row r="2486" spans="1:23" outlineLevel="2" x14ac:dyDescent="0.2">
      <c r="A2486" s="21" t="s">
        <v>999</v>
      </c>
      <c r="B2486" s="21" t="s">
        <v>39</v>
      </c>
      <c r="C2486" s="21" t="s">
        <v>58</v>
      </c>
      <c r="D2486" s="21" t="s">
        <v>145</v>
      </c>
      <c r="E2486" s="21" t="s">
        <v>146</v>
      </c>
      <c r="F2486" s="21" t="s">
        <v>933</v>
      </c>
      <c r="G2486" s="21" t="s">
        <v>934</v>
      </c>
      <c r="H2486" s="21" t="s">
        <v>935</v>
      </c>
      <c r="I2486" s="21" t="s">
        <v>936</v>
      </c>
      <c r="J2486" s="21" t="s">
        <v>1000</v>
      </c>
      <c r="K2486" s="21" t="s">
        <v>1039</v>
      </c>
      <c r="L2486" s="21" t="s">
        <v>1567</v>
      </c>
      <c r="M2486" s="21" t="s">
        <v>12</v>
      </c>
      <c r="N2486" s="54">
        <v>3000</v>
      </c>
      <c r="O2486" s="54">
        <v>0</v>
      </c>
      <c r="P2486" s="54">
        <v>0</v>
      </c>
      <c r="Q2486" s="54">
        <v>3000</v>
      </c>
      <c r="R2486" s="54">
        <v>0</v>
      </c>
      <c r="S2486" s="54">
        <v>0</v>
      </c>
      <c r="T2486" s="54">
        <v>0</v>
      </c>
      <c r="U2486" s="54">
        <v>3000</v>
      </c>
      <c r="V2486" s="54">
        <v>3000</v>
      </c>
      <c r="W2486" s="54">
        <v>3000</v>
      </c>
    </row>
    <row r="2487" spans="1:23" outlineLevel="2" x14ac:dyDescent="0.2">
      <c r="A2487" s="21" t="s">
        <v>999</v>
      </c>
      <c r="B2487" s="21" t="s">
        <v>39</v>
      </c>
      <c r="C2487" s="21" t="s">
        <v>58</v>
      </c>
      <c r="D2487" s="21" t="s">
        <v>139</v>
      </c>
      <c r="E2487" s="21" t="s">
        <v>140</v>
      </c>
      <c r="F2487" s="21" t="s">
        <v>933</v>
      </c>
      <c r="G2487" s="21" t="s">
        <v>934</v>
      </c>
      <c r="H2487" s="21" t="s">
        <v>935</v>
      </c>
      <c r="I2487" s="21" t="s">
        <v>936</v>
      </c>
      <c r="J2487" s="21" t="s">
        <v>1000</v>
      </c>
      <c r="K2487" s="21" t="s">
        <v>1039</v>
      </c>
      <c r="L2487" s="21" t="s">
        <v>1567</v>
      </c>
      <c r="M2487" s="21" t="s">
        <v>12</v>
      </c>
      <c r="N2487" s="54">
        <v>3000</v>
      </c>
      <c r="O2487" s="54">
        <v>0</v>
      </c>
      <c r="P2487" s="54">
        <v>0</v>
      </c>
      <c r="Q2487" s="54">
        <v>3000</v>
      </c>
      <c r="R2487" s="54">
        <v>0</v>
      </c>
      <c r="S2487" s="54">
        <v>0</v>
      </c>
      <c r="T2487" s="54">
        <v>0</v>
      </c>
      <c r="U2487" s="54">
        <v>3000</v>
      </c>
      <c r="V2487" s="54">
        <v>3000</v>
      </c>
      <c r="W2487" s="54">
        <v>3000</v>
      </c>
    </row>
    <row r="2488" spans="1:23" outlineLevel="2" x14ac:dyDescent="0.2">
      <c r="A2488" s="21" t="s">
        <v>999</v>
      </c>
      <c r="B2488" s="21" t="s">
        <v>39</v>
      </c>
      <c r="C2488" s="21" t="s">
        <v>58</v>
      </c>
      <c r="D2488" s="21" t="s">
        <v>59</v>
      </c>
      <c r="E2488" s="21" t="s">
        <v>60</v>
      </c>
      <c r="F2488" s="21" t="s">
        <v>933</v>
      </c>
      <c r="G2488" s="21" t="s">
        <v>934</v>
      </c>
      <c r="H2488" s="21" t="s">
        <v>935</v>
      </c>
      <c r="I2488" s="21" t="s">
        <v>936</v>
      </c>
      <c r="J2488" s="21" t="s">
        <v>1000</v>
      </c>
      <c r="K2488" s="21" t="s">
        <v>1039</v>
      </c>
      <c r="L2488" s="21" t="s">
        <v>1567</v>
      </c>
      <c r="M2488" s="21" t="s">
        <v>12</v>
      </c>
      <c r="N2488" s="54">
        <v>3000</v>
      </c>
      <c r="O2488" s="54">
        <v>0</v>
      </c>
      <c r="P2488" s="54">
        <v>0</v>
      </c>
      <c r="Q2488" s="54">
        <v>3000</v>
      </c>
      <c r="R2488" s="54">
        <v>0</v>
      </c>
      <c r="S2488" s="54">
        <v>0</v>
      </c>
      <c r="T2488" s="54">
        <v>0</v>
      </c>
      <c r="U2488" s="54">
        <v>3000</v>
      </c>
      <c r="V2488" s="54">
        <v>3000</v>
      </c>
      <c r="W2488" s="54">
        <v>3000</v>
      </c>
    </row>
    <row r="2489" spans="1:23" outlineLevel="2" x14ac:dyDescent="0.2">
      <c r="A2489" s="21" t="s">
        <v>999</v>
      </c>
      <c r="B2489" s="21" t="s">
        <v>39</v>
      </c>
      <c r="C2489" s="21" t="s">
        <v>58</v>
      </c>
      <c r="D2489" s="21" t="s">
        <v>135</v>
      </c>
      <c r="E2489" s="21" t="s">
        <v>136</v>
      </c>
      <c r="F2489" s="21" t="s">
        <v>933</v>
      </c>
      <c r="G2489" s="21" t="s">
        <v>934</v>
      </c>
      <c r="H2489" s="21" t="s">
        <v>935</v>
      </c>
      <c r="I2489" s="21" t="s">
        <v>936</v>
      </c>
      <c r="J2489" s="21" t="s">
        <v>1000</v>
      </c>
      <c r="K2489" s="21" t="s">
        <v>1039</v>
      </c>
      <c r="L2489" s="21" t="s">
        <v>1567</v>
      </c>
      <c r="M2489" s="21" t="s">
        <v>12</v>
      </c>
      <c r="N2489" s="54">
        <v>3000</v>
      </c>
      <c r="O2489" s="54">
        <v>0</v>
      </c>
      <c r="P2489" s="54">
        <v>0</v>
      </c>
      <c r="Q2489" s="54">
        <v>3000</v>
      </c>
      <c r="R2489" s="54">
        <v>0</v>
      </c>
      <c r="S2489" s="54">
        <v>0</v>
      </c>
      <c r="T2489" s="54">
        <v>0</v>
      </c>
      <c r="U2489" s="54">
        <v>3000</v>
      </c>
      <c r="V2489" s="54">
        <v>3000</v>
      </c>
      <c r="W2489" s="54">
        <v>3000</v>
      </c>
    </row>
    <row r="2490" spans="1:23" outlineLevel="2" x14ac:dyDescent="0.2">
      <c r="A2490" s="21" t="s">
        <v>999</v>
      </c>
      <c r="B2490" s="21" t="s">
        <v>31</v>
      </c>
      <c r="C2490" s="21" t="s">
        <v>32</v>
      </c>
      <c r="D2490" s="21" t="s">
        <v>141</v>
      </c>
      <c r="E2490" s="21" t="s">
        <v>142</v>
      </c>
      <c r="F2490" s="21" t="s">
        <v>933</v>
      </c>
      <c r="G2490" s="21" t="s">
        <v>934</v>
      </c>
      <c r="H2490" s="21" t="s">
        <v>935</v>
      </c>
      <c r="I2490" s="21" t="s">
        <v>936</v>
      </c>
      <c r="J2490" s="21" t="s">
        <v>1000</v>
      </c>
      <c r="K2490" s="21" t="s">
        <v>1110</v>
      </c>
      <c r="L2490" s="21" t="s">
        <v>1581</v>
      </c>
      <c r="M2490" s="21" t="s">
        <v>12</v>
      </c>
      <c r="N2490" s="54">
        <v>16680</v>
      </c>
      <c r="O2490" s="54">
        <v>0</v>
      </c>
      <c r="P2490" s="54">
        <v>0</v>
      </c>
      <c r="Q2490" s="54">
        <v>16680</v>
      </c>
      <c r="R2490" s="54">
        <v>0</v>
      </c>
      <c r="S2490" s="54">
        <v>0</v>
      </c>
      <c r="T2490" s="54">
        <v>0</v>
      </c>
      <c r="U2490" s="54">
        <v>16680</v>
      </c>
      <c r="V2490" s="54">
        <v>16680</v>
      </c>
      <c r="W2490" s="54">
        <v>16680</v>
      </c>
    </row>
    <row r="2491" spans="1:23" outlineLevel="2" x14ac:dyDescent="0.2">
      <c r="A2491" s="21" t="s">
        <v>999</v>
      </c>
      <c r="B2491" s="21" t="s">
        <v>31</v>
      </c>
      <c r="C2491" s="21" t="s">
        <v>32</v>
      </c>
      <c r="D2491" s="21" t="s">
        <v>141</v>
      </c>
      <c r="E2491" s="21" t="s">
        <v>142</v>
      </c>
      <c r="F2491" s="21" t="s">
        <v>933</v>
      </c>
      <c r="G2491" s="21" t="s">
        <v>934</v>
      </c>
      <c r="H2491" s="21" t="s">
        <v>935</v>
      </c>
      <c r="I2491" s="21" t="s">
        <v>936</v>
      </c>
      <c r="J2491" s="21" t="s">
        <v>1000</v>
      </c>
      <c r="K2491" s="21" t="s">
        <v>1582</v>
      </c>
      <c r="L2491" s="21" t="s">
        <v>1583</v>
      </c>
      <c r="M2491" s="21" t="s">
        <v>12</v>
      </c>
      <c r="N2491" s="54">
        <v>15150</v>
      </c>
      <c r="O2491" s="54">
        <v>0</v>
      </c>
      <c r="P2491" s="54">
        <v>0</v>
      </c>
      <c r="Q2491" s="54">
        <v>15150</v>
      </c>
      <c r="R2491" s="54">
        <v>0</v>
      </c>
      <c r="S2491" s="54">
        <v>0</v>
      </c>
      <c r="T2491" s="54">
        <v>0</v>
      </c>
      <c r="U2491" s="54">
        <v>15150</v>
      </c>
      <c r="V2491" s="54">
        <v>15150</v>
      </c>
      <c r="W2491" s="54">
        <v>15150</v>
      </c>
    </row>
    <row r="2492" spans="1:23" outlineLevel="2" x14ac:dyDescent="0.2">
      <c r="A2492" s="21" t="s">
        <v>999</v>
      </c>
      <c r="B2492" s="21" t="s">
        <v>31</v>
      </c>
      <c r="C2492" s="21" t="s">
        <v>32</v>
      </c>
      <c r="D2492" s="21" t="s">
        <v>141</v>
      </c>
      <c r="E2492" s="21" t="s">
        <v>142</v>
      </c>
      <c r="F2492" s="21" t="s">
        <v>933</v>
      </c>
      <c r="G2492" s="21" t="s">
        <v>934</v>
      </c>
      <c r="H2492" s="21" t="s">
        <v>935</v>
      </c>
      <c r="I2492" s="21" t="s">
        <v>936</v>
      </c>
      <c r="J2492" s="21" t="s">
        <v>1000</v>
      </c>
      <c r="K2492" s="21" t="s">
        <v>1003</v>
      </c>
      <c r="L2492" s="21" t="s">
        <v>1553</v>
      </c>
      <c r="M2492" s="21" t="s">
        <v>12</v>
      </c>
      <c r="N2492" s="54">
        <v>0</v>
      </c>
      <c r="O2492" s="54">
        <v>207500</v>
      </c>
      <c r="P2492" s="54">
        <v>0</v>
      </c>
      <c r="Q2492" s="54">
        <v>207500</v>
      </c>
      <c r="R2492" s="54">
        <v>0</v>
      </c>
      <c r="S2492" s="54">
        <v>0</v>
      </c>
      <c r="T2492" s="54">
        <v>0</v>
      </c>
      <c r="U2492" s="54">
        <v>207500</v>
      </c>
      <c r="V2492" s="54">
        <v>207500</v>
      </c>
      <c r="W2492" s="54">
        <v>207500</v>
      </c>
    </row>
    <row r="2493" spans="1:23" outlineLevel="2" x14ac:dyDescent="0.2">
      <c r="A2493" s="21" t="s">
        <v>999</v>
      </c>
      <c r="B2493" s="21" t="s">
        <v>31</v>
      </c>
      <c r="C2493" s="21" t="s">
        <v>32</v>
      </c>
      <c r="D2493" s="21" t="s">
        <v>141</v>
      </c>
      <c r="E2493" s="21" t="s">
        <v>142</v>
      </c>
      <c r="F2493" s="21" t="s">
        <v>933</v>
      </c>
      <c r="G2493" s="21" t="s">
        <v>934</v>
      </c>
      <c r="H2493" s="21" t="s">
        <v>935</v>
      </c>
      <c r="I2493" s="21" t="s">
        <v>936</v>
      </c>
      <c r="J2493" s="21" t="s">
        <v>1000</v>
      </c>
      <c r="K2493" s="21" t="s">
        <v>1009</v>
      </c>
      <c r="L2493" s="21" t="s">
        <v>1568</v>
      </c>
      <c r="M2493" s="21" t="s">
        <v>12</v>
      </c>
      <c r="N2493" s="54">
        <v>3930.01</v>
      </c>
      <c r="O2493" s="54">
        <v>0</v>
      </c>
      <c r="P2493" s="54">
        <v>0</v>
      </c>
      <c r="Q2493" s="54">
        <v>3930.01</v>
      </c>
      <c r="R2493" s="54">
        <v>0</v>
      </c>
      <c r="S2493" s="54">
        <v>0</v>
      </c>
      <c r="T2493" s="54">
        <v>0</v>
      </c>
      <c r="U2493" s="54">
        <v>3930.01</v>
      </c>
      <c r="V2493" s="54">
        <v>3930.01</v>
      </c>
      <c r="W2493" s="54">
        <v>3930.01</v>
      </c>
    </row>
    <row r="2494" spans="1:23" outlineLevel="2" x14ac:dyDescent="0.2">
      <c r="A2494" s="21" t="s">
        <v>999</v>
      </c>
      <c r="B2494" s="21" t="s">
        <v>31</v>
      </c>
      <c r="C2494" s="21" t="s">
        <v>32</v>
      </c>
      <c r="D2494" s="21" t="s">
        <v>141</v>
      </c>
      <c r="E2494" s="21" t="s">
        <v>142</v>
      </c>
      <c r="F2494" s="21" t="s">
        <v>933</v>
      </c>
      <c r="G2494" s="21" t="s">
        <v>934</v>
      </c>
      <c r="H2494" s="21" t="s">
        <v>935</v>
      </c>
      <c r="I2494" s="21" t="s">
        <v>936</v>
      </c>
      <c r="J2494" s="21" t="s">
        <v>1000</v>
      </c>
      <c r="K2494" s="21" t="s">
        <v>1376</v>
      </c>
      <c r="L2494" s="21" t="s">
        <v>1584</v>
      </c>
      <c r="M2494" s="21" t="s">
        <v>12</v>
      </c>
      <c r="N2494" s="54">
        <v>0</v>
      </c>
      <c r="O2494" s="54">
        <v>1000</v>
      </c>
      <c r="P2494" s="54">
        <v>0</v>
      </c>
      <c r="Q2494" s="54">
        <v>1000</v>
      </c>
      <c r="R2494" s="54">
        <v>0</v>
      </c>
      <c r="S2494" s="54">
        <v>0</v>
      </c>
      <c r="T2494" s="54">
        <v>0</v>
      </c>
      <c r="U2494" s="54">
        <v>1000</v>
      </c>
      <c r="V2494" s="54">
        <v>1000</v>
      </c>
      <c r="W2494" s="54">
        <v>1000</v>
      </c>
    </row>
    <row r="2495" spans="1:23" outlineLevel="2" x14ac:dyDescent="0.2">
      <c r="A2495" s="21" t="s">
        <v>999</v>
      </c>
      <c r="B2495" s="21" t="s">
        <v>31</v>
      </c>
      <c r="C2495" s="21" t="s">
        <v>32</v>
      </c>
      <c r="D2495" s="21" t="s">
        <v>141</v>
      </c>
      <c r="E2495" s="21" t="s">
        <v>142</v>
      </c>
      <c r="F2495" s="21" t="s">
        <v>933</v>
      </c>
      <c r="G2495" s="21" t="s">
        <v>934</v>
      </c>
      <c r="H2495" s="21" t="s">
        <v>935</v>
      </c>
      <c r="I2495" s="21" t="s">
        <v>936</v>
      </c>
      <c r="J2495" s="21" t="s">
        <v>1000</v>
      </c>
      <c r="K2495" s="21" t="s">
        <v>1011</v>
      </c>
      <c r="L2495" s="21" t="s">
        <v>1585</v>
      </c>
      <c r="M2495" s="21" t="s">
        <v>12</v>
      </c>
      <c r="N2495" s="54">
        <v>0</v>
      </c>
      <c r="O2495" s="54">
        <v>15000</v>
      </c>
      <c r="P2495" s="54">
        <v>0</v>
      </c>
      <c r="Q2495" s="54">
        <v>15000</v>
      </c>
      <c r="R2495" s="54">
        <v>0</v>
      </c>
      <c r="S2495" s="54">
        <v>0</v>
      </c>
      <c r="T2495" s="54">
        <v>0</v>
      </c>
      <c r="U2495" s="54">
        <v>15000</v>
      </c>
      <c r="V2495" s="54">
        <v>15000</v>
      </c>
      <c r="W2495" s="54">
        <v>15000</v>
      </c>
    </row>
    <row r="2496" spans="1:23" outlineLevel="2" x14ac:dyDescent="0.2">
      <c r="A2496" s="21" t="s">
        <v>999</v>
      </c>
      <c r="B2496" s="21" t="s">
        <v>39</v>
      </c>
      <c r="C2496" s="21" t="s">
        <v>58</v>
      </c>
      <c r="D2496" s="21" t="s">
        <v>145</v>
      </c>
      <c r="E2496" s="21" t="s">
        <v>146</v>
      </c>
      <c r="F2496" s="21" t="s">
        <v>933</v>
      </c>
      <c r="G2496" s="21" t="s">
        <v>934</v>
      </c>
      <c r="H2496" s="21" t="s">
        <v>935</v>
      </c>
      <c r="I2496" s="21" t="s">
        <v>936</v>
      </c>
      <c r="J2496" s="21" t="s">
        <v>1000</v>
      </c>
      <c r="K2496" s="21" t="s">
        <v>1017</v>
      </c>
      <c r="L2496" s="21" t="s">
        <v>1570</v>
      </c>
      <c r="M2496" s="21" t="s">
        <v>12</v>
      </c>
      <c r="N2496" s="54">
        <v>18943.560000000001</v>
      </c>
      <c r="O2496" s="54">
        <v>-12299.87</v>
      </c>
      <c r="P2496" s="54">
        <v>0</v>
      </c>
      <c r="Q2496" s="54">
        <v>6643.69</v>
      </c>
      <c r="R2496" s="54">
        <v>0</v>
      </c>
      <c r="S2496" s="54">
        <v>0</v>
      </c>
      <c r="T2496" s="54">
        <v>0</v>
      </c>
      <c r="U2496" s="54">
        <v>6643.69</v>
      </c>
      <c r="V2496" s="54">
        <v>6643.69</v>
      </c>
      <c r="W2496" s="54">
        <v>6643.69</v>
      </c>
    </row>
    <row r="2497" spans="1:23" outlineLevel="2" x14ac:dyDescent="0.2">
      <c r="A2497" s="21" t="s">
        <v>999</v>
      </c>
      <c r="B2497" s="21" t="s">
        <v>39</v>
      </c>
      <c r="C2497" s="21" t="s">
        <v>58</v>
      </c>
      <c r="D2497" s="21" t="s">
        <v>143</v>
      </c>
      <c r="E2497" s="21" t="s">
        <v>144</v>
      </c>
      <c r="F2497" s="21" t="s">
        <v>933</v>
      </c>
      <c r="G2497" s="21" t="s">
        <v>934</v>
      </c>
      <c r="H2497" s="21" t="s">
        <v>935</v>
      </c>
      <c r="I2497" s="21" t="s">
        <v>936</v>
      </c>
      <c r="J2497" s="21" t="s">
        <v>1000</v>
      </c>
      <c r="K2497" s="21" t="s">
        <v>1017</v>
      </c>
      <c r="L2497" s="21" t="s">
        <v>1570</v>
      </c>
      <c r="M2497" s="21" t="s">
        <v>12</v>
      </c>
      <c r="N2497" s="54">
        <v>18943.560000000001</v>
      </c>
      <c r="O2497" s="54">
        <v>-12299.87</v>
      </c>
      <c r="P2497" s="54">
        <v>0</v>
      </c>
      <c r="Q2497" s="54">
        <v>6643.69</v>
      </c>
      <c r="R2497" s="54">
        <v>0</v>
      </c>
      <c r="S2497" s="54">
        <v>0</v>
      </c>
      <c r="T2497" s="54">
        <v>0</v>
      </c>
      <c r="U2497" s="54">
        <v>6643.69</v>
      </c>
      <c r="V2497" s="54">
        <v>6643.69</v>
      </c>
      <c r="W2497" s="54">
        <v>6643.69</v>
      </c>
    </row>
    <row r="2498" spans="1:23" outlineLevel="2" x14ac:dyDescent="0.2">
      <c r="A2498" s="21" t="s">
        <v>999</v>
      </c>
      <c r="B2498" s="21" t="s">
        <v>39</v>
      </c>
      <c r="C2498" s="21" t="s">
        <v>58</v>
      </c>
      <c r="D2498" s="21" t="s">
        <v>137</v>
      </c>
      <c r="E2498" s="21" t="s">
        <v>138</v>
      </c>
      <c r="F2498" s="21" t="s">
        <v>933</v>
      </c>
      <c r="G2498" s="21" t="s">
        <v>934</v>
      </c>
      <c r="H2498" s="21" t="s">
        <v>935</v>
      </c>
      <c r="I2498" s="21" t="s">
        <v>936</v>
      </c>
      <c r="J2498" s="21" t="s">
        <v>1000</v>
      </c>
      <c r="K2498" s="21" t="s">
        <v>1017</v>
      </c>
      <c r="L2498" s="21" t="s">
        <v>1570</v>
      </c>
      <c r="M2498" s="21" t="s">
        <v>12</v>
      </c>
      <c r="N2498" s="54">
        <v>18943.560000000001</v>
      </c>
      <c r="O2498" s="54">
        <v>-12299.87</v>
      </c>
      <c r="P2498" s="54">
        <v>0</v>
      </c>
      <c r="Q2498" s="54">
        <v>6643.69</v>
      </c>
      <c r="R2498" s="54">
        <v>0</v>
      </c>
      <c r="S2498" s="54">
        <v>0</v>
      </c>
      <c r="T2498" s="54">
        <v>0</v>
      </c>
      <c r="U2498" s="54">
        <v>6643.69</v>
      </c>
      <c r="V2498" s="54">
        <v>6643.69</v>
      </c>
      <c r="W2498" s="54">
        <v>6643.69</v>
      </c>
    </row>
    <row r="2499" spans="1:23" outlineLevel="2" x14ac:dyDescent="0.2">
      <c r="A2499" s="21" t="s">
        <v>999</v>
      </c>
      <c r="B2499" s="21" t="s">
        <v>31</v>
      </c>
      <c r="C2499" s="21" t="s">
        <v>32</v>
      </c>
      <c r="D2499" s="21" t="s">
        <v>141</v>
      </c>
      <c r="E2499" s="21" t="s">
        <v>142</v>
      </c>
      <c r="F2499" s="21" t="s">
        <v>933</v>
      </c>
      <c r="G2499" s="21" t="s">
        <v>934</v>
      </c>
      <c r="H2499" s="21" t="s">
        <v>935</v>
      </c>
      <c r="I2499" s="21" t="s">
        <v>936</v>
      </c>
      <c r="J2499" s="21" t="s">
        <v>1000</v>
      </c>
      <c r="K2499" s="21" t="s">
        <v>1017</v>
      </c>
      <c r="L2499" s="21" t="s">
        <v>1571</v>
      </c>
      <c r="M2499" s="21" t="s">
        <v>12</v>
      </c>
      <c r="N2499" s="54">
        <v>870996</v>
      </c>
      <c r="O2499" s="54">
        <v>-847122.09</v>
      </c>
      <c r="P2499" s="54">
        <v>0</v>
      </c>
      <c r="Q2499" s="54">
        <v>23873.91</v>
      </c>
      <c r="R2499" s="54">
        <v>0</v>
      </c>
      <c r="S2499" s="54">
        <v>5873.91</v>
      </c>
      <c r="T2499" s="54">
        <v>5622.15</v>
      </c>
      <c r="U2499" s="54">
        <v>18000</v>
      </c>
      <c r="V2499" s="54">
        <v>18251.759999999998</v>
      </c>
      <c r="W2499" s="54">
        <v>18000</v>
      </c>
    </row>
    <row r="2500" spans="1:23" outlineLevel="2" x14ac:dyDescent="0.2">
      <c r="A2500" s="21" t="s">
        <v>999</v>
      </c>
      <c r="B2500" s="21" t="s">
        <v>39</v>
      </c>
      <c r="C2500" s="21" t="s">
        <v>58</v>
      </c>
      <c r="D2500" s="21" t="s">
        <v>147</v>
      </c>
      <c r="E2500" s="21" t="s">
        <v>148</v>
      </c>
      <c r="F2500" s="21" t="s">
        <v>933</v>
      </c>
      <c r="G2500" s="21" t="s">
        <v>934</v>
      </c>
      <c r="H2500" s="21" t="s">
        <v>935</v>
      </c>
      <c r="I2500" s="21" t="s">
        <v>936</v>
      </c>
      <c r="J2500" s="21" t="s">
        <v>1000</v>
      </c>
      <c r="K2500" s="21" t="s">
        <v>1017</v>
      </c>
      <c r="L2500" s="21" t="s">
        <v>1570</v>
      </c>
      <c r="M2500" s="21" t="s">
        <v>12</v>
      </c>
      <c r="N2500" s="54">
        <v>18943.560000000001</v>
      </c>
      <c r="O2500" s="54">
        <v>-12299.87</v>
      </c>
      <c r="P2500" s="54">
        <v>0</v>
      </c>
      <c r="Q2500" s="54">
        <v>6643.69</v>
      </c>
      <c r="R2500" s="54">
        <v>0</v>
      </c>
      <c r="S2500" s="54">
        <v>0</v>
      </c>
      <c r="T2500" s="54">
        <v>0</v>
      </c>
      <c r="U2500" s="54">
        <v>6643.69</v>
      </c>
      <c r="V2500" s="54">
        <v>6643.69</v>
      </c>
      <c r="W2500" s="54">
        <v>6643.69</v>
      </c>
    </row>
    <row r="2501" spans="1:23" outlineLevel="2" x14ac:dyDescent="0.2">
      <c r="A2501" s="21" t="s">
        <v>999</v>
      </c>
      <c r="B2501" s="21" t="s">
        <v>39</v>
      </c>
      <c r="C2501" s="21" t="s">
        <v>58</v>
      </c>
      <c r="D2501" s="21" t="s">
        <v>135</v>
      </c>
      <c r="E2501" s="21" t="s">
        <v>136</v>
      </c>
      <c r="F2501" s="21" t="s">
        <v>933</v>
      </c>
      <c r="G2501" s="21" t="s">
        <v>934</v>
      </c>
      <c r="H2501" s="21" t="s">
        <v>935</v>
      </c>
      <c r="I2501" s="21" t="s">
        <v>936</v>
      </c>
      <c r="J2501" s="21" t="s">
        <v>1000</v>
      </c>
      <c r="K2501" s="21" t="s">
        <v>1017</v>
      </c>
      <c r="L2501" s="21" t="s">
        <v>1570</v>
      </c>
      <c r="M2501" s="21" t="s">
        <v>12</v>
      </c>
      <c r="N2501" s="54">
        <v>18943.560000000001</v>
      </c>
      <c r="O2501" s="54">
        <v>-12299.87</v>
      </c>
      <c r="P2501" s="54">
        <v>0</v>
      </c>
      <c r="Q2501" s="54">
        <v>6643.69</v>
      </c>
      <c r="R2501" s="54">
        <v>0</v>
      </c>
      <c r="S2501" s="54">
        <v>0</v>
      </c>
      <c r="T2501" s="54">
        <v>0</v>
      </c>
      <c r="U2501" s="54">
        <v>6643.69</v>
      </c>
      <c r="V2501" s="54">
        <v>6643.69</v>
      </c>
      <c r="W2501" s="54">
        <v>6643.69</v>
      </c>
    </row>
    <row r="2502" spans="1:23" outlineLevel="2" x14ac:dyDescent="0.2">
      <c r="A2502" s="21" t="s">
        <v>999</v>
      </c>
      <c r="B2502" s="21" t="s">
        <v>39</v>
      </c>
      <c r="C2502" s="21" t="s">
        <v>58</v>
      </c>
      <c r="D2502" s="21" t="s">
        <v>139</v>
      </c>
      <c r="E2502" s="21" t="s">
        <v>140</v>
      </c>
      <c r="F2502" s="21" t="s">
        <v>933</v>
      </c>
      <c r="G2502" s="21" t="s">
        <v>934</v>
      </c>
      <c r="H2502" s="21" t="s">
        <v>935</v>
      </c>
      <c r="I2502" s="21" t="s">
        <v>936</v>
      </c>
      <c r="J2502" s="21" t="s">
        <v>1000</v>
      </c>
      <c r="K2502" s="21" t="s">
        <v>1017</v>
      </c>
      <c r="L2502" s="21" t="s">
        <v>1570</v>
      </c>
      <c r="M2502" s="21" t="s">
        <v>12</v>
      </c>
      <c r="N2502" s="54">
        <v>18943.560000000001</v>
      </c>
      <c r="O2502" s="54">
        <v>-12299.87</v>
      </c>
      <c r="P2502" s="54">
        <v>0</v>
      </c>
      <c r="Q2502" s="54">
        <v>6643.69</v>
      </c>
      <c r="R2502" s="54">
        <v>0</v>
      </c>
      <c r="S2502" s="54">
        <v>0</v>
      </c>
      <c r="T2502" s="54">
        <v>0</v>
      </c>
      <c r="U2502" s="54">
        <v>6643.69</v>
      </c>
      <c r="V2502" s="54">
        <v>6643.69</v>
      </c>
      <c r="W2502" s="54">
        <v>6643.69</v>
      </c>
    </row>
    <row r="2503" spans="1:23" outlineLevel="2" x14ac:dyDescent="0.2">
      <c r="A2503" s="21" t="s">
        <v>999</v>
      </c>
      <c r="B2503" s="21" t="s">
        <v>39</v>
      </c>
      <c r="C2503" s="21" t="s">
        <v>58</v>
      </c>
      <c r="D2503" s="21" t="s">
        <v>149</v>
      </c>
      <c r="E2503" s="21" t="s">
        <v>150</v>
      </c>
      <c r="F2503" s="21" t="s">
        <v>933</v>
      </c>
      <c r="G2503" s="21" t="s">
        <v>934</v>
      </c>
      <c r="H2503" s="21" t="s">
        <v>935</v>
      </c>
      <c r="I2503" s="21" t="s">
        <v>936</v>
      </c>
      <c r="J2503" s="21" t="s">
        <v>1000</v>
      </c>
      <c r="K2503" s="21" t="s">
        <v>1017</v>
      </c>
      <c r="L2503" s="21" t="s">
        <v>1570</v>
      </c>
      <c r="M2503" s="21" t="s">
        <v>12</v>
      </c>
      <c r="N2503" s="54">
        <v>18943.560000000001</v>
      </c>
      <c r="O2503" s="54">
        <v>-12299.87</v>
      </c>
      <c r="P2503" s="54">
        <v>0</v>
      </c>
      <c r="Q2503" s="54">
        <v>6643.69</v>
      </c>
      <c r="R2503" s="54">
        <v>0</v>
      </c>
      <c r="S2503" s="54">
        <v>0</v>
      </c>
      <c r="T2503" s="54">
        <v>0</v>
      </c>
      <c r="U2503" s="54">
        <v>6643.69</v>
      </c>
      <c r="V2503" s="54">
        <v>6643.69</v>
      </c>
      <c r="W2503" s="54">
        <v>6643.69</v>
      </c>
    </row>
    <row r="2504" spans="1:23" outlineLevel="2" x14ac:dyDescent="0.2">
      <c r="A2504" s="21" t="s">
        <v>999</v>
      </c>
      <c r="B2504" s="21" t="s">
        <v>39</v>
      </c>
      <c r="C2504" s="21" t="s">
        <v>58</v>
      </c>
      <c r="D2504" s="21" t="s">
        <v>59</v>
      </c>
      <c r="E2504" s="21" t="s">
        <v>60</v>
      </c>
      <c r="F2504" s="21" t="s">
        <v>933</v>
      </c>
      <c r="G2504" s="21" t="s">
        <v>934</v>
      </c>
      <c r="H2504" s="21" t="s">
        <v>935</v>
      </c>
      <c r="I2504" s="21" t="s">
        <v>936</v>
      </c>
      <c r="J2504" s="21" t="s">
        <v>1000</v>
      </c>
      <c r="K2504" s="21" t="s">
        <v>1017</v>
      </c>
      <c r="L2504" s="21" t="s">
        <v>1570</v>
      </c>
      <c r="M2504" s="21" t="s">
        <v>12</v>
      </c>
      <c r="N2504" s="54">
        <v>18943.560000000001</v>
      </c>
      <c r="O2504" s="54">
        <v>-12299.87</v>
      </c>
      <c r="P2504" s="54">
        <v>0</v>
      </c>
      <c r="Q2504" s="54">
        <v>6643.69</v>
      </c>
      <c r="R2504" s="54">
        <v>0</v>
      </c>
      <c r="S2504" s="54">
        <v>0</v>
      </c>
      <c r="T2504" s="54">
        <v>0</v>
      </c>
      <c r="U2504" s="54">
        <v>6643.69</v>
      </c>
      <c r="V2504" s="54">
        <v>6643.69</v>
      </c>
      <c r="W2504" s="54">
        <v>6643.69</v>
      </c>
    </row>
    <row r="2505" spans="1:23" outlineLevel="2" x14ac:dyDescent="0.2">
      <c r="A2505" s="21" t="s">
        <v>999</v>
      </c>
      <c r="B2505" s="21" t="s">
        <v>31</v>
      </c>
      <c r="C2505" s="21" t="s">
        <v>32</v>
      </c>
      <c r="D2505" s="21" t="s">
        <v>141</v>
      </c>
      <c r="E2505" s="21" t="s">
        <v>142</v>
      </c>
      <c r="F2505" s="21" t="s">
        <v>933</v>
      </c>
      <c r="G2505" s="21" t="s">
        <v>934</v>
      </c>
      <c r="H2505" s="21" t="s">
        <v>935</v>
      </c>
      <c r="I2505" s="21" t="s">
        <v>936</v>
      </c>
      <c r="J2505" s="21" t="s">
        <v>1000</v>
      </c>
      <c r="K2505" s="21" t="s">
        <v>1029</v>
      </c>
      <c r="L2505" s="21" t="s">
        <v>1586</v>
      </c>
      <c r="M2505" s="21" t="s">
        <v>12</v>
      </c>
      <c r="N2505" s="54">
        <v>20000</v>
      </c>
      <c r="O2505" s="54">
        <v>-18000</v>
      </c>
      <c r="P2505" s="54">
        <v>0</v>
      </c>
      <c r="Q2505" s="54">
        <v>2000</v>
      </c>
      <c r="R2505" s="54">
        <v>0</v>
      </c>
      <c r="S2505" s="54">
        <v>0</v>
      </c>
      <c r="T2505" s="54">
        <v>0</v>
      </c>
      <c r="U2505" s="54">
        <v>2000</v>
      </c>
      <c r="V2505" s="54">
        <v>2000</v>
      </c>
      <c r="W2505" s="54">
        <v>2000</v>
      </c>
    </row>
    <row r="2506" spans="1:23" outlineLevel="2" x14ac:dyDescent="0.2">
      <c r="A2506" s="21" t="s">
        <v>999</v>
      </c>
      <c r="B2506" s="21" t="s">
        <v>31</v>
      </c>
      <c r="C2506" s="21" t="s">
        <v>32</v>
      </c>
      <c r="D2506" s="21" t="s">
        <v>141</v>
      </c>
      <c r="E2506" s="21" t="s">
        <v>142</v>
      </c>
      <c r="F2506" s="21" t="s">
        <v>933</v>
      </c>
      <c r="G2506" s="21" t="s">
        <v>934</v>
      </c>
      <c r="H2506" s="21" t="s">
        <v>935</v>
      </c>
      <c r="I2506" s="21" t="s">
        <v>936</v>
      </c>
      <c r="J2506" s="21" t="s">
        <v>1000</v>
      </c>
      <c r="K2506" s="21" t="s">
        <v>1116</v>
      </c>
      <c r="L2506" s="21" t="s">
        <v>1587</v>
      </c>
      <c r="M2506" s="21" t="s">
        <v>12</v>
      </c>
      <c r="N2506" s="54">
        <v>312.5</v>
      </c>
      <c r="O2506" s="54">
        <v>0</v>
      </c>
      <c r="P2506" s="54">
        <v>0</v>
      </c>
      <c r="Q2506" s="54">
        <v>312.5</v>
      </c>
      <c r="R2506" s="54">
        <v>0</v>
      </c>
      <c r="S2506" s="54">
        <v>0</v>
      </c>
      <c r="T2506" s="54">
        <v>0</v>
      </c>
      <c r="U2506" s="54">
        <v>312.5</v>
      </c>
      <c r="V2506" s="54">
        <v>312.5</v>
      </c>
      <c r="W2506" s="54">
        <v>312.5</v>
      </c>
    </row>
    <row r="2507" spans="1:23" outlineLevel="2" x14ac:dyDescent="0.2">
      <c r="A2507" s="21" t="s">
        <v>999</v>
      </c>
      <c r="B2507" s="21" t="s">
        <v>31</v>
      </c>
      <c r="C2507" s="21" t="s">
        <v>32</v>
      </c>
      <c r="D2507" s="21" t="s">
        <v>141</v>
      </c>
      <c r="E2507" s="21" t="s">
        <v>142</v>
      </c>
      <c r="F2507" s="21" t="s">
        <v>933</v>
      </c>
      <c r="G2507" s="21" t="s">
        <v>934</v>
      </c>
      <c r="H2507" s="21" t="s">
        <v>935</v>
      </c>
      <c r="I2507" s="21" t="s">
        <v>936</v>
      </c>
      <c r="J2507" s="21" t="s">
        <v>1000</v>
      </c>
      <c r="K2507" s="21" t="s">
        <v>1061</v>
      </c>
      <c r="L2507" s="21" t="s">
        <v>1554</v>
      </c>
      <c r="M2507" s="21" t="s">
        <v>12</v>
      </c>
      <c r="N2507" s="54">
        <v>13500</v>
      </c>
      <c r="O2507" s="54">
        <v>7736</v>
      </c>
      <c r="P2507" s="54">
        <v>0</v>
      </c>
      <c r="Q2507" s="54">
        <v>21236</v>
      </c>
      <c r="R2507" s="54">
        <v>0</v>
      </c>
      <c r="S2507" s="54">
        <v>0</v>
      </c>
      <c r="T2507" s="54">
        <v>0</v>
      </c>
      <c r="U2507" s="54">
        <v>21236</v>
      </c>
      <c r="V2507" s="54">
        <v>21236</v>
      </c>
      <c r="W2507" s="54">
        <v>21236</v>
      </c>
    </row>
    <row r="2508" spans="1:23" outlineLevel="2" x14ac:dyDescent="0.2">
      <c r="A2508" s="21" t="s">
        <v>999</v>
      </c>
      <c r="B2508" s="21" t="s">
        <v>31</v>
      </c>
      <c r="C2508" s="21" t="s">
        <v>32</v>
      </c>
      <c r="D2508" s="21" t="s">
        <v>141</v>
      </c>
      <c r="E2508" s="21" t="s">
        <v>142</v>
      </c>
      <c r="F2508" s="21" t="s">
        <v>933</v>
      </c>
      <c r="G2508" s="21" t="s">
        <v>934</v>
      </c>
      <c r="H2508" s="21" t="s">
        <v>935</v>
      </c>
      <c r="I2508" s="21" t="s">
        <v>936</v>
      </c>
      <c r="J2508" s="21" t="s">
        <v>1000</v>
      </c>
      <c r="K2508" s="21" t="s">
        <v>1019</v>
      </c>
      <c r="L2508" s="21" t="s">
        <v>1555</v>
      </c>
      <c r="M2508" s="21" t="s">
        <v>12</v>
      </c>
      <c r="N2508" s="54">
        <v>1000</v>
      </c>
      <c r="O2508" s="54">
        <v>0</v>
      </c>
      <c r="P2508" s="54">
        <v>0</v>
      </c>
      <c r="Q2508" s="54">
        <v>1000</v>
      </c>
      <c r="R2508" s="54">
        <v>0</v>
      </c>
      <c r="S2508" s="54">
        <v>0</v>
      </c>
      <c r="T2508" s="54">
        <v>0</v>
      </c>
      <c r="U2508" s="54">
        <v>1000</v>
      </c>
      <c r="V2508" s="54">
        <v>1000</v>
      </c>
      <c r="W2508" s="54">
        <v>1000</v>
      </c>
    </row>
    <row r="2509" spans="1:23" outlineLevel="2" x14ac:dyDescent="0.2">
      <c r="A2509" s="21" t="s">
        <v>999</v>
      </c>
      <c r="B2509" s="21" t="s">
        <v>31</v>
      </c>
      <c r="C2509" s="21" t="s">
        <v>32</v>
      </c>
      <c r="D2509" s="21" t="s">
        <v>141</v>
      </c>
      <c r="E2509" s="21" t="s">
        <v>142</v>
      </c>
      <c r="F2509" s="21" t="s">
        <v>933</v>
      </c>
      <c r="G2509" s="21" t="s">
        <v>934</v>
      </c>
      <c r="H2509" s="21" t="s">
        <v>935</v>
      </c>
      <c r="I2509" s="21" t="s">
        <v>936</v>
      </c>
      <c r="J2509" s="21" t="s">
        <v>1000</v>
      </c>
      <c r="K2509" s="21" t="s">
        <v>1313</v>
      </c>
      <c r="L2509" s="21" t="s">
        <v>1556</v>
      </c>
      <c r="M2509" s="21" t="s">
        <v>12</v>
      </c>
      <c r="N2509" s="54">
        <v>11654</v>
      </c>
      <c r="O2509" s="54">
        <v>5000</v>
      </c>
      <c r="P2509" s="54">
        <v>0</v>
      </c>
      <c r="Q2509" s="54">
        <v>16654</v>
      </c>
      <c r="R2509" s="54">
        <v>648.84</v>
      </c>
      <c r="S2509" s="54">
        <v>474.9</v>
      </c>
      <c r="T2509" s="54">
        <v>474.9</v>
      </c>
      <c r="U2509" s="54">
        <v>16179.1</v>
      </c>
      <c r="V2509" s="54">
        <v>16179.1</v>
      </c>
      <c r="W2509" s="54">
        <v>15530.26</v>
      </c>
    </row>
    <row r="2510" spans="1:23" outlineLevel="2" x14ac:dyDescent="0.2">
      <c r="A2510" s="21" t="s">
        <v>999</v>
      </c>
      <c r="B2510" s="21" t="s">
        <v>31</v>
      </c>
      <c r="C2510" s="21" t="s">
        <v>32</v>
      </c>
      <c r="D2510" s="21" t="s">
        <v>141</v>
      </c>
      <c r="E2510" s="21" t="s">
        <v>142</v>
      </c>
      <c r="F2510" s="21" t="s">
        <v>933</v>
      </c>
      <c r="G2510" s="21" t="s">
        <v>934</v>
      </c>
      <c r="H2510" s="21" t="s">
        <v>935</v>
      </c>
      <c r="I2510" s="21" t="s">
        <v>936</v>
      </c>
      <c r="J2510" s="21" t="s">
        <v>1000</v>
      </c>
      <c r="K2510" s="21" t="s">
        <v>1092</v>
      </c>
      <c r="L2510" s="21" t="s">
        <v>1588</v>
      </c>
      <c r="M2510" s="21" t="s">
        <v>12</v>
      </c>
      <c r="N2510" s="54">
        <v>2000</v>
      </c>
      <c r="O2510" s="54">
        <v>0</v>
      </c>
      <c r="P2510" s="54">
        <v>0</v>
      </c>
      <c r="Q2510" s="54">
        <v>2000</v>
      </c>
      <c r="R2510" s="54">
        <v>0</v>
      </c>
      <c r="S2510" s="54">
        <v>0</v>
      </c>
      <c r="T2510" s="54">
        <v>0</v>
      </c>
      <c r="U2510" s="54">
        <v>2000</v>
      </c>
      <c r="V2510" s="54">
        <v>2000</v>
      </c>
      <c r="W2510" s="54">
        <v>2000</v>
      </c>
    </row>
    <row r="2511" spans="1:23" outlineLevel="2" x14ac:dyDescent="0.2">
      <c r="A2511" s="21" t="s">
        <v>999</v>
      </c>
      <c r="B2511" s="21" t="s">
        <v>31</v>
      </c>
      <c r="C2511" s="21" t="s">
        <v>32</v>
      </c>
      <c r="D2511" s="21" t="s">
        <v>141</v>
      </c>
      <c r="E2511" s="21" t="s">
        <v>142</v>
      </c>
      <c r="F2511" s="21" t="s">
        <v>933</v>
      </c>
      <c r="G2511" s="21" t="s">
        <v>934</v>
      </c>
      <c r="H2511" s="21" t="s">
        <v>935</v>
      </c>
      <c r="I2511" s="21" t="s">
        <v>936</v>
      </c>
      <c r="J2511" s="21" t="s">
        <v>1000</v>
      </c>
      <c r="K2511" s="21" t="s">
        <v>1386</v>
      </c>
      <c r="L2511" s="21" t="s">
        <v>1589</v>
      </c>
      <c r="M2511" s="21" t="s">
        <v>12</v>
      </c>
      <c r="N2511" s="54">
        <v>0</v>
      </c>
      <c r="O2511" s="54">
        <v>15500</v>
      </c>
      <c r="P2511" s="54">
        <v>0</v>
      </c>
      <c r="Q2511" s="54">
        <v>15500</v>
      </c>
      <c r="R2511" s="54">
        <v>0</v>
      </c>
      <c r="S2511" s="54">
        <v>0</v>
      </c>
      <c r="T2511" s="54">
        <v>0</v>
      </c>
      <c r="U2511" s="54">
        <v>15500</v>
      </c>
      <c r="V2511" s="54">
        <v>15500</v>
      </c>
      <c r="W2511" s="54">
        <v>15500</v>
      </c>
    </row>
    <row r="2512" spans="1:23" outlineLevel="2" x14ac:dyDescent="0.2">
      <c r="A2512" s="21" t="s">
        <v>999</v>
      </c>
      <c r="B2512" s="21" t="s">
        <v>31</v>
      </c>
      <c r="C2512" s="21" t="s">
        <v>32</v>
      </c>
      <c r="D2512" s="21" t="s">
        <v>141</v>
      </c>
      <c r="E2512" s="21" t="s">
        <v>142</v>
      </c>
      <c r="F2512" s="21" t="s">
        <v>933</v>
      </c>
      <c r="G2512" s="21" t="s">
        <v>934</v>
      </c>
      <c r="H2512" s="21" t="s">
        <v>935</v>
      </c>
      <c r="I2512" s="21" t="s">
        <v>936</v>
      </c>
      <c r="J2512" s="21" t="s">
        <v>1000</v>
      </c>
      <c r="K2512" s="21" t="s">
        <v>1388</v>
      </c>
      <c r="L2512" s="21" t="s">
        <v>1590</v>
      </c>
      <c r="M2512" s="21" t="s">
        <v>12</v>
      </c>
      <c r="N2512" s="54">
        <v>28084</v>
      </c>
      <c r="O2512" s="54">
        <v>0</v>
      </c>
      <c r="P2512" s="54">
        <v>0</v>
      </c>
      <c r="Q2512" s="54">
        <v>28084</v>
      </c>
      <c r="R2512" s="54">
        <v>1453.4</v>
      </c>
      <c r="S2512" s="54">
        <v>1072.8399999999999</v>
      </c>
      <c r="T2512" s="54">
        <v>632.84</v>
      </c>
      <c r="U2512" s="54">
        <v>27011.16</v>
      </c>
      <c r="V2512" s="54">
        <v>27451.16</v>
      </c>
      <c r="W2512" s="54">
        <v>25557.759999999998</v>
      </c>
    </row>
    <row r="2513" spans="1:23" outlineLevel="2" x14ac:dyDescent="0.2">
      <c r="A2513" s="21" t="s">
        <v>999</v>
      </c>
      <c r="B2513" s="21" t="s">
        <v>31</v>
      </c>
      <c r="C2513" s="21" t="s">
        <v>32</v>
      </c>
      <c r="D2513" s="21" t="s">
        <v>141</v>
      </c>
      <c r="E2513" s="21" t="s">
        <v>142</v>
      </c>
      <c r="F2513" s="21" t="s">
        <v>933</v>
      </c>
      <c r="G2513" s="21" t="s">
        <v>934</v>
      </c>
      <c r="H2513" s="21" t="s">
        <v>935</v>
      </c>
      <c r="I2513" s="21" t="s">
        <v>936</v>
      </c>
      <c r="J2513" s="21" t="s">
        <v>1000</v>
      </c>
      <c r="K2513" s="21" t="s">
        <v>1390</v>
      </c>
      <c r="L2513" s="21" t="s">
        <v>1557</v>
      </c>
      <c r="M2513" s="21" t="s">
        <v>12</v>
      </c>
      <c r="N2513" s="54">
        <v>2000</v>
      </c>
      <c r="O2513" s="54">
        <v>0</v>
      </c>
      <c r="P2513" s="54">
        <v>0</v>
      </c>
      <c r="Q2513" s="54">
        <v>2000</v>
      </c>
      <c r="R2513" s="54">
        <v>0</v>
      </c>
      <c r="S2513" s="54">
        <v>0</v>
      </c>
      <c r="T2513" s="54">
        <v>0</v>
      </c>
      <c r="U2513" s="54">
        <v>2000</v>
      </c>
      <c r="V2513" s="54">
        <v>2000</v>
      </c>
      <c r="W2513" s="54">
        <v>2000</v>
      </c>
    </row>
    <row r="2514" spans="1:23" outlineLevel="2" x14ac:dyDescent="0.2">
      <c r="A2514" s="21" t="s">
        <v>999</v>
      </c>
      <c r="B2514" s="21" t="s">
        <v>31</v>
      </c>
      <c r="C2514" s="21" t="s">
        <v>32</v>
      </c>
      <c r="D2514" s="21" t="s">
        <v>141</v>
      </c>
      <c r="E2514" s="21" t="s">
        <v>142</v>
      </c>
      <c r="F2514" s="21" t="s">
        <v>933</v>
      </c>
      <c r="G2514" s="21" t="s">
        <v>934</v>
      </c>
      <c r="H2514" s="21" t="s">
        <v>935</v>
      </c>
      <c r="I2514" s="21" t="s">
        <v>936</v>
      </c>
      <c r="J2514" s="21" t="s">
        <v>1000</v>
      </c>
      <c r="K2514" s="21" t="s">
        <v>1194</v>
      </c>
      <c r="L2514" s="21" t="s">
        <v>1591</v>
      </c>
      <c r="M2514" s="21" t="s">
        <v>12</v>
      </c>
      <c r="N2514" s="54">
        <v>4916</v>
      </c>
      <c r="O2514" s="54">
        <v>0</v>
      </c>
      <c r="P2514" s="54">
        <v>0</v>
      </c>
      <c r="Q2514" s="54">
        <v>4916</v>
      </c>
      <c r="R2514" s="54">
        <v>0</v>
      </c>
      <c r="S2514" s="54">
        <v>1236.82</v>
      </c>
      <c r="T2514" s="54">
        <v>1236.82</v>
      </c>
      <c r="U2514" s="54">
        <v>3679.18</v>
      </c>
      <c r="V2514" s="54">
        <v>3679.18</v>
      </c>
      <c r="W2514" s="54">
        <v>3679.18</v>
      </c>
    </row>
    <row r="2515" spans="1:23" outlineLevel="2" x14ac:dyDescent="0.2">
      <c r="A2515" s="21" t="s">
        <v>999</v>
      </c>
      <c r="B2515" s="21" t="s">
        <v>31</v>
      </c>
      <c r="C2515" s="21" t="s">
        <v>32</v>
      </c>
      <c r="D2515" s="21" t="s">
        <v>141</v>
      </c>
      <c r="E2515" s="21" t="s">
        <v>142</v>
      </c>
      <c r="F2515" s="21" t="s">
        <v>933</v>
      </c>
      <c r="G2515" s="21" t="s">
        <v>934</v>
      </c>
      <c r="H2515" s="21" t="s">
        <v>935</v>
      </c>
      <c r="I2515" s="21" t="s">
        <v>936</v>
      </c>
      <c r="J2515" s="21" t="s">
        <v>1000</v>
      </c>
      <c r="K2515" s="21" t="s">
        <v>1559</v>
      </c>
      <c r="L2515" s="21" t="s">
        <v>1560</v>
      </c>
      <c r="M2515" s="21" t="s">
        <v>12</v>
      </c>
      <c r="N2515" s="54">
        <v>11340</v>
      </c>
      <c r="O2515" s="54">
        <v>0</v>
      </c>
      <c r="P2515" s="54">
        <v>0</v>
      </c>
      <c r="Q2515" s="54">
        <v>11340</v>
      </c>
      <c r="R2515" s="54">
        <v>0</v>
      </c>
      <c r="S2515" s="54">
        <v>0</v>
      </c>
      <c r="T2515" s="54">
        <v>0</v>
      </c>
      <c r="U2515" s="54">
        <v>11340</v>
      </c>
      <c r="V2515" s="54">
        <v>11340</v>
      </c>
      <c r="W2515" s="54">
        <v>11340</v>
      </c>
    </row>
    <row r="2516" spans="1:23" outlineLevel="2" x14ac:dyDescent="0.2">
      <c r="A2516" s="21" t="s">
        <v>999</v>
      </c>
      <c r="B2516" s="21" t="s">
        <v>31</v>
      </c>
      <c r="C2516" s="21" t="s">
        <v>32</v>
      </c>
      <c r="D2516" s="21" t="s">
        <v>141</v>
      </c>
      <c r="E2516" s="21" t="s">
        <v>142</v>
      </c>
      <c r="F2516" s="21" t="s">
        <v>933</v>
      </c>
      <c r="G2516" s="21" t="s">
        <v>934</v>
      </c>
      <c r="H2516" s="21" t="s">
        <v>935</v>
      </c>
      <c r="I2516" s="21" t="s">
        <v>936</v>
      </c>
      <c r="J2516" s="21" t="s">
        <v>1000</v>
      </c>
      <c r="K2516" s="21" t="s">
        <v>1592</v>
      </c>
      <c r="L2516" s="21" t="s">
        <v>1593</v>
      </c>
      <c r="M2516" s="21" t="s">
        <v>12</v>
      </c>
      <c r="N2516" s="54">
        <v>293101.99</v>
      </c>
      <c r="O2516" s="54">
        <v>0</v>
      </c>
      <c r="P2516" s="54">
        <v>0</v>
      </c>
      <c r="Q2516" s="54">
        <v>293101.99</v>
      </c>
      <c r="R2516" s="54">
        <v>20201.54</v>
      </c>
      <c r="S2516" s="54">
        <v>87663.14</v>
      </c>
      <c r="T2516" s="54">
        <v>78266.03</v>
      </c>
      <c r="U2516" s="54">
        <v>205438.85</v>
      </c>
      <c r="V2516" s="54">
        <v>214835.96</v>
      </c>
      <c r="W2516" s="54">
        <v>185237.31</v>
      </c>
    </row>
    <row r="2517" spans="1:23" outlineLevel="2" x14ac:dyDescent="0.2">
      <c r="A2517" s="21" t="s">
        <v>999</v>
      </c>
      <c r="B2517" s="21" t="s">
        <v>31</v>
      </c>
      <c r="C2517" s="21" t="s">
        <v>32</v>
      </c>
      <c r="D2517" s="21" t="s">
        <v>141</v>
      </c>
      <c r="E2517" s="21" t="s">
        <v>142</v>
      </c>
      <c r="F2517" s="21" t="s">
        <v>933</v>
      </c>
      <c r="G2517" s="21" t="s">
        <v>934</v>
      </c>
      <c r="H2517" s="21" t="s">
        <v>935</v>
      </c>
      <c r="I2517" s="21" t="s">
        <v>936</v>
      </c>
      <c r="J2517" s="21" t="s">
        <v>1000</v>
      </c>
      <c r="K2517" s="21" t="s">
        <v>1343</v>
      </c>
      <c r="L2517" s="21" t="s">
        <v>1562</v>
      </c>
      <c r="M2517" s="21" t="s">
        <v>12</v>
      </c>
      <c r="N2517" s="54">
        <v>149475</v>
      </c>
      <c r="O2517" s="54">
        <v>-45587.4</v>
      </c>
      <c r="P2517" s="54">
        <v>0</v>
      </c>
      <c r="Q2517" s="54">
        <v>103887.6</v>
      </c>
      <c r="R2517" s="54">
        <v>21170.53</v>
      </c>
      <c r="S2517" s="54">
        <v>37259</v>
      </c>
      <c r="T2517" s="54">
        <v>12275.98</v>
      </c>
      <c r="U2517" s="54">
        <v>66628.600000000006</v>
      </c>
      <c r="V2517" s="54">
        <v>91611.62</v>
      </c>
      <c r="W2517" s="54">
        <v>45458.07</v>
      </c>
    </row>
    <row r="2518" spans="1:23" outlineLevel="2" x14ac:dyDescent="0.2">
      <c r="A2518" s="21" t="s">
        <v>999</v>
      </c>
      <c r="B2518" s="21" t="s">
        <v>31</v>
      </c>
      <c r="C2518" s="21" t="s">
        <v>32</v>
      </c>
      <c r="D2518" s="21" t="s">
        <v>141</v>
      </c>
      <c r="E2518" s="21" t="s">
        <v>142</v>
      </c>
      <c r="F2518" s="21" t="s">
        <v>933</v>
      </c>
      <c r="G2518" s="21" t="s">
        <v>934</v>
      </c>
      <c r="H2518" s="21" t="s">
        <v>935</v>
      </c>
      <c r="I2518" s="21" t="s">
        <v>936</v>
      </c>
      <c r="J2518" s="21" t="s">
        <v>1000</v>
      </c>
      <c r="K2518" s="21" t="s">
        <v>1023</v>
      </c>
      <c r="L2518" s="21" t="s">
        <v>1594</v>
      </c>
      <c r="M2518" s="21" t="s">
        <v>12</v>
      </c>
      <c r="N2518" s="54">
        <v>0</v>
      </c>
      <c r="O2518" s="54">
        <v>5464</v>
      </c>
      <c r="P2518" s="54">
        <v>0</v>
      </c>
      <c r="Q2518" s="54">
        <v>5464</v>
      </c>
      <c r="R2518" s="54">
        <v>0</v>
      </c>
      <c r="S2518" s="54">
        <v>0</v>
      </c>
      <c r="T2518" s="54">
        <v>0</v>
      </c>
      <c r="U2518" s="54">
        <v>5464</v>
      </c>
      <c r="V2518" s="54">
        <v>5464</v>
      </c>
      <c r="W2518" s="54">
        <v>5464</v>
      </c>
    </row>
    <row r="2519" spans="1:23" outlineLevel="2" x14ac:dyDescent="0.2">
      <c r="A2519" s="21" t="s">
        <v>999</v>
      </c>
      <c r="B2519" s="21" t="s">
        <v>31</v>
      </c>
      <c r="C2519" s="21" t="s">
        <v>32</v>
      </c>
      <c r="D2519" s="21" t="s">
        <v>33</v>
      </c>
      <c r="E2519" s="21" t="s">
        <v>34</v>
      </c>
      <c r="F2519" s="21" t="s">
        <v>933</v>
      </c>
      <c r="G2519" s="21" t="s">
        <v>934</v>
      </c>
      <c r="H2519" s="21" t="s">
        <v>949</v>
      </c>
      <c r="I2519" s="21" t="s">
        <v>950</v>
      </c>
      <c r="J2519" s="21" t="s">
        <v>1000</v>
      </c>
      <c r="K2519" s="21" t="s">
        <v>1100</v>
      </c>
      <c r="L2519" s="21" t="s">
        <v>1595</v>
      </c>
      <c r="M2519" s="21" t="s">
        <v>12</v>
      </c>
      <c r="N2519" s="54">
        <v>0</v>
      </c>
      <c r="O2519" s="54">
        <v>2400</v>
      </c>
      <c r="P2519" s="54">
        <v>0</v>
      </c>
      <c r="Q2519" s="54">
        <v>2400</v>
      </c>
      <c r="R2519" s="54">
        <v>0</v>
      </c>
      <c r="S2519" s="54">
        <v>1692.95</v>
      </c>
      <c r="T2519" s="54">
        <v>1692.95</v>
      </c>
      <c r="U2519" s="54">
        <v>707.05</v>
      </c>
      <c r="V2519" s="54">
        <v>707.05</v>
      </c>
      <c r="W2519" s="54">
        <v>707.05</v>
      </c>
    </row>
    <row r="2520" spans="1:23" outlineLevel="2" x14ac:dyDescent="0.2">
      <c r="A2520" s="21" t="s">
        <v>999</v>
      </c>
      <c r="B2520" s="21" t="s">
        <v>31</v>
      </c>
      <c r="C2520" s="21" t="s">
        <v>32</v>
      </c>
      <c r="D2520" s="21" t="s">
        <v>33</v>
      </c>
      <c r="E2520" s="21" t="s">
        <v>34</v>
      </c>
      <c r="F2520" s="21" t="s">
        <v>933</v>
      </c>
      <c r="G2520" s="21" t="s">
        <v>934</v>
      </c>
      <c r="H2520" s="21" t="s">
        <v>949</v>
      </c>
      <c r="I2520" s="21" t="s">
        <v>950</v>
      </c>
      <c r="J2520" s="21" t="s">
        <v>1000</v>
      </c>
      <c r="K2520" s="21" t="s">
        <v>1102</v>
      </c>
      <c r="L2520" s="21" t="s">
        <v>1596</v>
      </c>
      <c r="M2520" s="21" t="s">
        <v>12</v>
      </c>
      <c r="N2520" s="54">
        <v>0</v>
      </c>
      <c r="O2520" s="54">
        <v>27800</v>
      </c>
      <c r="P2520" s="54">
        <v>0</v>
      </c>
      <c r="Q2520" s="54">
        <v>27800</v>
      </c>
      <c r="R2520" s="54">
        <v>0</v>
      </c>
      <c r="S2520" s="54">
        <v>16370.69</v>
      </c>
      <c r="T2520" s="54">
        <v>16370.69</v>
      </c>
      <c r="U2520" s="54">
        <v>11429.31</v>
      </c>
      <c r="V2520" s="54">
        <v>11429.31</v>
      </c>
      <c r="W2520" s="54">
        <v>11429.31</v>
      </c>
    </row>
    <row r="2521" spans="1:23" outlineLevel="2" x14ac:dyDescent="0.2">
      <c r="A2521" s="21" t="s">
        <v>999</v>
      </c>
      <c r="B2521" s="21" t="s">
        <v>31</v>
      </c>
      <c r="C2521" s="21" t="s">
        <v>32</v>
      </c>
      <c r="D2521" s="21" t="s">
        <v>33</v>
      </c>
      <c r="E2521" s="21" t="s">
        <v>34</v>
      </c>
      <c r="F2521" s="21" t="s">
        <v>933</v>
      </c>
      <c r="G2521" s="21" t="s">
        <v>934</v>
      </c>
      <c r="H2521" s="21" t="s">
        <v>949</v>
      </c>
      <c r="I2521" s="21" t="s">
        <v>950</v>
      </c>
      <c r="J2521" s="21" t="s">
        <v>1000</v>
      </c>
      <c r="K2521" s="21" t="s">
        <v>1298</v>
      </c>
      <c r="L2521" s="21" t="s">
        <v>1547</v>
      </c>
      <c r="M2521" s="21" t="s">
        <v>12</v>
      </c>
      <c r="N2521" s="54">
        <v>0</v>
      </c>
      <c r="O2521" s="54">
        <v>52300</v>
      </c>
      <c r="P2521" s="54">
        <v>0</v>
      </c>
      <c r="Q2521" s="54">
        <v>52300</v>
      </c>
      <c r="R2521" s="54">
        <v>0</v>
      </c>
      <c r="S2521" s="54">
        <v>45300</v>
      </c>
      <c r="T2521" s="54">
        <v>32966.660000000003</v>
      </c>
      <c r="U2521" s="54">
        <v>7000</v>
      </c>
      <c r="V2521" s="54">
        <v>19333.34</v>
      </c>
      <c r="W2521" s="54">
        <v>7000</v>
      </c>
    </row>
    <row r="2522" spans="1:23" outlineLevel="2" x14ac:dyDescent="0.2">
      <c r="A2522" s="21" t="s">
        <v>999</v>
      </c>
      <c r="B2522" s="21" t="s">
        <v>31</v>
      </c>
      <c r="C2522" s="21" t="s">
        <v>32</v>
      </c>
      <c r="D2522" s="21" t="s">
        <v>33</v>
      </c>
      <c r="E2522" s="21" t="s">
        <v>34</v>
      </c>
      <c r="F2522" s="21" t="s">
        <v>933</v>
      </c>
      <c r="G2522" s="21" t="s">
        <v>934</v>
      </c>
      <c r="H2522" s="21" t="s">
        <v>949</v>
      </c>
      <c r="I2522" s="21" t="s">
        <v>950</v>
      </c>
      <c r="J2522" s="21" t="s">
        <v>1000</v>
      </c>
      <c r="K2522" s="21" t="s">
        <v>1524</v>
      </c>
      <c r="L2522" s="21" t="s">
        <v>1597</v>
      </c>
      <c r="M2522" s="21" t="s">
        <v>12</v>
      </c>
      <c r="N2522" s="54">
        <v>0</v>
      </c>
      <c r="O2522" s="54">
        <v>700</v>
      </c>
      <c r="P2522" s="54">
        <v>0</v>
      </c>
      <c r="Q2522" s="54">
        <v>700</v>
      </c>
      <c r="R2522" s="54">
        <v>0</v>
      </c>
      <c r="S2522" s="54">
        <v>681</v>
      </c>
      <c r="T2522" s="54">
        <v>681</v>
      </c>
      <c r="U2522" s="54">
        <v>19</v>
      </c>
      <c r="V2522" s="54">
        <v>19</v>
      </c>
      <c r="W2522" s="54">
        <v>19</v>
      </c>
    </row>
    <row r="2523" spans="1:23" outlineLevel="2" x14ac:dyDescent="0.2">
      <c r="A2523" s="21" t="s">
        <v>999</v>
      </c>
      <c r="B2523" s="21" t="s">
        <v>31</v>
      </c>
      <c r="C2523" s="21" t="s">
        <v>32</v>
      </c>
      <c r="D2523" s="21" t="s">
        <v>75</v>
      </c>
      <c r="E2523" s="21" t="s">
        <v>76</v>
      </c>
      <c r="F2523" s="21" t="s">
        <v>933</v>
      </c>
      <c r="G2523" s="21" t="s">
        <v>934</v>
      </c>
      <c r="H2523" s="21" t="s">
        <v>949</v>
      </c>
      <c r="I2523" s="21" t="s">
        <v>950</v>
      </c>
      <c r="J2523" s="21" t="s">
        <v>1000</v>
      </c>
      <c r="K2523" s="21" t="s">
        <v>1037</v>
      </c>
      <c r="L2523" s="21" t="s">
        <v>1548</v>
      </c>
      <c r="M2523" s="21" t="s">
        <v>12</v>
      </c>
      <c r="N2523" s="54">
        <v>3000</v>
      </c>
      <c r="O2523" s="54">
        <v>33180.639999999999</v>
      </c>
      <c r="P2523" s="54">
        <v>0</v>
      </c>
      <c r="Q2523" s="54">
        <v>36180.639999999999</v>
      </c>
      <c r="R2523" s="54">
        <v>0</v>
      </c>
      <c r="S2523" s="54">
        <v>0</v>
      </c>
      <c r="T2523" s="54">
        <v>0</v>
      </c>
      <c r="U2523" s="54">
        <v>36180.639999999999</v>
      </c>
      <c r="V2523" s="54">
        <v>36180.639999999999</v>
      </c>
      <c r="W2523" s="54">
        <v>36180.639999999999</v>
      </c>
    </row>
    <row r="2524" spans="1:23" outlineLevel="2" x14ac:dyDescent="0.2">
      <c r="A2524" s="21" t="s">
        <v>999</v>
      </c>
      <c r="B2524" s="21" t="s">
        <v>31</v>
      </c>
      <c r="C2524" s="21" t="s">
        <v>32</v>
      </c>
      <c r="D2524" s="21" t="s">
        <v>123</v>
      </c>
      <c r="E2524" s="21" t="s">
        <v>124</v>
      </c>
      <c r="F2524" s="21" t="s">
        <v>933</v>
      </c>
      <c r="G2524" s="21" t="s">
        <v>934</v>
      </c>
      <c r="H2524" s="21" t="s">
        <v>949</v>
      </c>
      <c r="I2524" s="21" t="s">
        <v>950</v>
      </c>
      <c r="J2524" s="21" t="s">
        <v>1000</v>
      </c>
      <c r="K2524" s="21" t="s">
        <v>1037</v>
      </c>
      <c r="L2524" s="21" t="s">
        <v>1548</v>
      </c>
      <c r="M2524" s="21" t="s">
        <v>12</v>
      </c>
      <c r="N2524" s="54">
        <v>25000</v>
      </c>
      <c r="O2524" s="54">
        <v>-23300</v>
      </c>
      <c r="P2524" s="54">
        <v>0</v>
      </c>
      <c r="Q2524" s="54">
        <v>1700</v>
      </c>
      <c r="R2524" s="54">
        <v>0</v>
      </c>
      <c r="S2524" s="54">
        <v>1657.2</v>
      </c>
      <c r="T2524" s="54">
        <v>1657.2</v>
      </c>
      <c r="U2524" s="54">
        <v>42.8</v>
      </c>
      <c r="V2524" s="54">
        <v>42.8</v>
      </c>
      <c r="W2524" s="54">
        <v>42.8</v>
      </c>
    </row>
    <row r="2525" spans="1:23" outlineLevel="2" x14ac:dyDescent="0.2">
      <c r="A2525" s="21" t="s">
        <v>999</v>
      </c>
      <c r="B2525" s="21" t="s">
        <v>31</v>
      </c>
      <c r="C2525" s="21" t="s">
        <v>32</v>
      </c>
      <c r="D2525" s="21" t="s">
        <v>75</v>
      </c>
      <c r="E2525" s="21" t="s">
        <v>76</v>
      </c>
      <c r="F2525" s="21" t="s">
        <v>933</v>
      </c>
      <c r="G2525" s="21" t="s">
        <v>934</v>
      </c>
      <c r="H2525" s="21" t="s">
        <v>949</v>
      </c>
      <c r="I2525" s="21" t="s">
        <v>950</v>
      </c>
      <c r="J2525" s="21" t="s">
        <v>1000</v>
      </c>
      <c r="K2525" s="21" t="s">
        <v>1039</v>
      </c>
      <c r="L2525" s="21" t="s">
        <v>1598</v>
      </c>
      <c r="M2525" s="21" t="s">
        <v>12</v>
      </c>
      <c r="N2525" s="54">
        <v>6500</v>
      </c>
      <c r="O2525" s="54">
        <v>0</v>
      </c>
      <c r="P2525" s="54">
        <v>0</v>
      </c>
      <c r="Q2525" s="54">
        <v>6500</v>
      </c>
      <c r="R2525" s="54">
        <v>0</v>
      </c>
      <c r="S2525" s="54">
        <v>0</v>
      </c>
      <c r="T2525" s="54">
        <v>0</v>
      </c>
      <c r="U2525" s="54">
        <v>6500</v>
      </c>
      <c r="V2525" s="54">
        <v>6500</v>
      </c>
      <c r="W2525" s="54">
        <v>6500</v>
      </c>
    </row>
    <row r="2526" spans="1:23" outlineLevel="2" x14ac:dyDescent="0.2">
      <c r="A2526" s="21" t="s">
        <v>999</v>
      </c>
      <c r="B2526" s="21" t="s">
        <v>31</v>
      </c>
      <c r="C2526" s="21" t="s">
        <v>32</v>
      </c>
      <c r="D2526" s="21" t="s">
        <v>33</v>
      </c>
      <c r="E2526" s="21" t="s">
        <v>34</v>
      </c>
      <c r="F2526" s="21" t="s">
        <v>933</v>
      </c>
      <c r="G2526" s="21" t="s">
        <v>934</v>
      </c>
      <c r="H2526" s="21" t="s">
        <v>949</v>
      </c>
      <c r="I2526" s="21" t="s">
        <v>950</v>
      </c>
      <c r="J2526" s="21" t="s">
        <v>1000</v>
      </c>
      <c r="K2526" s="21" t="s">
        <v>1108</v>
      </c>
      <c r="L2526" s="21" t="s">
        <v>1599</v>
      </c>
      <c r="M2526" s="21" t="s">
        <v>12</v>
      </c>
      <c r="N2526" s="54">
        <v>0</v>
      </c>
      <c r="O2526" s="54">
        <v>97828</v>
      </c>
      <c r="P2526" s="54">
        <v>0</v>
      </c>
      <c r="Q2526" s="54">
        <v>97828</v>
      </c>
      <c r="R2526" s="54">
        <v>0</v>
      </c>
      <c r="S2526" s="54">
        <v>76608</v>
      </c>
      <c r="T2526" s="54">
        <v>58307.199999999997</v>
      </c>
      <c r="U2526" s="54">
        <v>21220</v>
      </c>
      <c r="V2526" s="54">
        <v>39520.800000000003</v>
      </c>
      <c r="W2526" s="54">
        <v>21220</v>
      </c>
    </row>
    <row r="2527" spans="1:23" outlineLevel="2" x14ac:dyDescent="0.2">
      <c r="A2527" s="21" t="s">
        <v>999</v>
      </c>
      <c r="B2527" s="21" t="s">
        <v>31</v>
      </c>
      <c r="C2527" s="21" t="s">
        <v>32</v>
      </c>
      <c r="D2527" s="21" t="s">
        <v>33</v>
      </c>
      <c r="E2527" s="21" t="s">
        <v>34</v>
      </c>
      <c r="F2527" s="21" t="s">
        <v>933</v>
      </c>
      <c r="G2527" s="21" t="s">
        <v>934</v>
      </c>
      <c r="H2527" s="21" t="s">
        <v>949</v>
      </c>
      <c r="I2527" s="21" t="s">
        <v>950</v>
      </c>
      <c r="J2527" s="21" t="s">
        <v>1000</v>
      </c>
      <c r="K2527" s="21" t="s">
        <v>1110</v>
      </c>
      <c r="L2527" s="21" t="s">
        <v>1581</v>
      </c>
      <c r="M2527" s="21" t="s">
        <v>12</v>
      </c>
      <c r="N2527" s="54">
        <v>160000</v>
      </c>
      <c r="O2527" s="54">
        <v>573939.96</v>
      </c>
      <c r="P2527" s="54">
        <v>0</v>
      </c>
      <c r="Q2527" s="54">
        <v>733939.96</v>
      </c>
      <c r="R2527" s="54">
        <v>105808.63</v>
      </c>
      <c r="S2527" s="54">
        <v>615874.68999999994</v>
      </c>
      <c r="T2527" s="54">
        <v>208997.15</v>
      </c>
      <c r="U2527" s="54">
        <v>118065.27</v>
      </c>
      <c r="V2527" s="54">
        <v>524942.81000000006</v>
      </c>
      <c r="W2527" s="54">
        <v>12256.64</v>
      </c>
    </row>
    <row r="2528" spans="1:23" outlineLevel="2" x14ac:dyDescent="0.2">
      <c r="A2528" s="21" t="s">
        <v>999</v>
      </c>
      <c r="B2528" s="21" t="s">
        <v>31</v>
      </c>
      <c r="C2528" s="21" t="s">
        <v>32</v>
      </c>
      <c r="D2528" s="21" t="s">
        <v>75</v>
      </c>
      <c r="E2528" s="21" t="s">
        <v>76</v>
      </c>
      <c r="F2528" s="21" t="s">
        <v>933</v>
      </c>
      <c r="G2528" s="21" t="s">
        <v>934</v>
      </c>
      <c r="H2528" s="21" t="s">
        <v>949</v>
      </c>
      <c r="I2528" s="21" t="s">
        <v>950</v>
      </c>
      <c r="J2528" s="21" t="s">
        <v>1000</v>
      </c>
      <c r="K2528" s="21" t="s">
        <v>1110</v>
      </c>
      <c r="L2528" s="21" t="s">
        <v>1581</v>
      </c>
      <c r="M2528" s="21" t="s">
        <v>12</v>
      </c>
      <c r="N2528" s="54">
        <v>0</v>
      </c>
      <c r="O2528" s="54">
        <v>88842.59</v>
      </c>
      <c r="P2528" s="54">
        <v>0</v>
      </c>
      <c r="Q2528" s="54">
        <v>88842.59</v>
      </c>
      <c r="R2528" s="54">
        <v>0</v>
      </c>
      <c r="S2528" s="54">
        <v>88842.59</v>
      </c>
      <c r="T2528" s="54">
        <v>61371.519999999997</v>
      </c>
      <c r="U2528" s="54">
        <v>0</v>
      </c>
      <c r="V2528" s="54">
        <v>27471.07</v>
      </c>
      <c r="W2528" s="54">
        <v>0</v>
      </c>
    </row>
    <row r="2529" spans="1:23" outlineLevel="2" x14ac:dyDescent="0.2">
      <c r="A2529" s="21" t="s">
        <v>999</v>
      </c>
      <c r="B2529" s="21" t="s">
        <v>31</v>
      </c>
      <c r="C2529" s="21" t="s">
        <v>32</v>
      </c>
      <c r="D2529" s="21" t="s">
        <v>75</v>
      </c>
      <c r="E2529" s="21" t="s">
        <v>76</v>
      </c>
      <c r="F2529" s="21" t="s">
        <v>933</v>
      </c>
      <c r="G2529" s="21" t="s">
        <v>934</v>
      </c>
      <c r="H2529" s="21" t="s">
        <v>949</v>
      </c>
      <c r="I2529" s="21" t="s">
        <v>950</v>
      </c>
      <c r="J2529" s="21" t="s">
        <v>1000</v>
      </c>
      <c r="K2529" s="21" t="s">
        <v>1549</v>
      </c>
      <c r="L2529" s="21" t="s">
        <v>1550</v>
      </c>
      <c r="M2529" s="21" t="s">
        <v>12</v>
      </c>
      <c r="N2529" s="54">
        <v>45000</v>
      </c>
      <c r="O2529" s="54">
        <v>-45000</v>
      </c>
      <c r="P2529" s="54">
        <v>0</v>
      </c>
      <c r="Q2529" s="54">
        <v>0</v>
      </c>
      <c r="R2529" s="54">
        <v>0</v>
      </c>
      <c r="S2529" s="54">
        <v>0</v>
      </c>
      <c r="T2529" s="54">
        <v>0</v>
      </c>
      <c r="U2529" s="54">
        <v>0</v>
      </c>
      <c r="V2529" s="54">
        <v>0</v>
      </c>
      <c r="W2529" s="54">
        <v>0</v>
      </c>
    </row>
    <row r="2530" spans="1:23" outlineLevel="2" x14ac:dyDescent="0.2">
      <c r="A2530" s="21" t="s">
        <v>999</v>
      </c>
      <c r="B2530" s="21" t="s">
        <v>31</v>
      </c>
      <c r="C2530" s="21" t="s">
        <v>32</v>
      </c>
      <c r="D2530" s="21" t="s">
        <v>33</v>
      </c>
      <c r="E2530" s="21" t="s">
        <v>34</v>
      </c>
      <c r="F2530" s="21" t="s">
        <v>933</v>
      </c>
      <c r="G2530" s="21" t="s">
        <v>934</v>
      </c>
      <c r="H2530" s="21" t="s">
        <v>949</v>
      </c>
      <c r="I2530" s="21" t="s">
        <v>950</v>
      </c>
      <c r="J2530" s="21" t="s">
        <v>1000</v>
      </c>
      <c r="K2530" s="21" t="s">
        <v>1549</v>
      </c>
      <c r="L2530" s="21" t="s">
        <v>1550</v>
      </c>
      <c r="M2530" s="21" t="s">
        <v>12</v>
      </c>
      <c r="N2530" s="54">
        <v>0</v>
      </c>
      <c r="O2530" s="54">
        <v>6400</v>
      </c>
      <c r="P2530" s="54">
        <v>0</v>
      </c>
      <c r="Q2530" s="54">
        <v>6400</v>
      </c>
      <c r="R2530" s="54">
        <v>0</v>
      </c>
      <c r="S2530" s="54">
        <v>6400</v>
      </c>
      <c r="T2530" s="54">
        <v>2240</v>
      </c>
      <c r="U2530" s="54">
        <v>0</v>
      </c>
      <c r="V2530" s="54">
        <v>4160</v>
      </c>
      <c r="W2530" s="54">
        <v>0</v>
      </c>
    </row>
    <row r="2531" spans="1:23" outlineLevel="2" x14ac:dyDescent="0.2">
      <c r="A2531" s="21" t="s">
        <v>999</v>
      </c>
      <c r="B2531" s="21" t="s">
        <v>31</v>
      </c>
      <c r="C2531" s="21" t="s">
        <v>32</v>
      </c>
      <c r="D2531" s="21" t="s">
        <v>123</v>
      </c>
      <c r="E2531" s="21" t="s">
        <v>124</v>
      </c>
      <c r="F2531" s="21" t="s">
        <v>933</v>
      </c>
      <c r="G2531" s="21" t="s">
        <v>934</v>
      </c>
      <c r="H2531" s="21" t="s">
        <v>949</v>
      </c>
      <c r="I2531" s="21" t="s">
        <v>950</v>
      </c>
      <c r="J2531" s="21" t="s">
        <v>1000</v>
      </c>
      <c r="K2531" s="21" t="s">
        <v>1549</v>
      </c>
      <c r="L2531" s="21" t="s">
        <v>1550</v>
      </c>
      <c r="M2531" s="21" t="s">
        <v>12</v>
      </c>
      <c r="N2531" s="54">
        <v>32000</v>
      </c>
      <c r="O2531" s="54">
        <v>13350</v>
      </c>
      <c r="P2531" s="54">
        <v>0</v>
      </c>
      <c r="Q2531" s="54">
        <v>45350</v>
      </c>
      <c r="R2531" s="54">
        <v>7816.74</v>
      </c>
      <c r="S2531" s="54">
        <v>8690</v>
      </c>
      <c r="T2531" s="54">
        <v>6908.5</v>
      </c>
      <c r="U2531" s="54">
        <v>36660</v>
      </c>
      <c r="V2531" s="54">
        <v>38441.5</v>
      </c>
      <c r="W2531" s="54">
        <v>28843.26</v>
      </c>
    </row>
    <row r="2532" spans="1:23" outlineLevel="2" x14ac:dyDescent="0.2">
      <c r="A2532" s="21" t="s">
        <v>999</v>
      </c>
      <c r="B2532" s="21" t="s">
        <v>31</v>
      </c>
      <c r="C2532" s="21" t="s">
        <v>32</v>
      </c>
      <c r="D2532" s="21" t="s">
        <v>33</v>
      </c>
      <c r="E2532" s="21" t="s">
        <v>34</v>
      </c>
      <c r="F2532" s="21" t="s">
        <v>933</v>
      </c>
      <c r="G2532" s="21" t="s">
        <v>934</v>
      </c>
      <c r="H2532" s="21" t="s">
        <v>949</v>
      </c>
      <c r="I2532" s="21" t="s">
        <v>950</v>
      </c>
      <c r="J2532" s="21" t="s">
        <v>1000</v>
      </c>
      <c r="K2532" s="21" t="s">
        <v>1068</v>
      </c>
      <c r="L2532" s="21" t="s">
        <v>1600</v>
      </c>
      <c r="M2532" s="21" t="s">
        <v>12</v>
      </c>
      <c r="N2532" s="54">
        <v>0</v>
      </c>
      <c r="O2532" s="54">
        <v>963791.1</v>
      </c>
      <c r="P2532" s="54">
        <v>0</v>
      </c>
      <c r="Q2532" s="54">
        <v>963791.1</v>
      </c>
      <c r="R2532" s="54">
        <v>0</v>
      </c>
      <c r="S2532" s="54">
        <v>874191.1</v>
      </c>
      <c r="T2532" s="54">
        <v>177614.64</v>
      </c>
      <c r="U2532" s="54">
        <v>89600</v>
      </c>
      <c r="V2532" s="54">
        <v>786176.46</v>
      </c>
      <c r="W2532" s="54">
        <v>89600</v>
      </c>
    </row>
    <row r="2533" spans="1:23" outlineLevel="2" x14ac:dyDescent="0.2">
      <c r="A2533" s="21" t="s">
        <v>999</v>
      </c>
      <c r="B2533" s="21" t="s">
        <v>31</v>
      </c>
      <c r="C2533" s="21" t="s">
        <v>32</v>
      </c>
      <c r="D2533" s="21" t="s">
        <v>123</v>
      </c>
      <c r="E2533" s="21" t="s">
        <v>124</v>
      </c>
      <c r="F2533" s="21" t="s">
        <v>933</v>
      </c>
      <c r="G2533" s="21" t="s">
        <v>934</v>
      </c>
      <c r="H2533" s="21" t="s">
        <v>949</v>
      </c>
      <c r="I2533" s="21" t="s">
        <v>950</v>
      </c>
      <c r="J2533" s="21" t="s">
        <v>1000</v>
      </c>
      <c r="K2533" s="21" t="s">
        <v>1068</v>
      </c>
      <c r="L2533" s="21" t="s">
        <v>1600</v>
      </c>
      <c r="M2533" s="21" t="s">
        <v>12</v>
      </c>
      <c r="N2533" s="54">
        <v>10000</v>
      </c>
      <c r="O2533" s="54">
        <v>-6220</v>
      </c>
      <c r="P2533" s="54">
        <v>0</v>
      </c>
      <c r="Q2533" s="54">
        <v>3780</v>
      </c>
      <c r="R2533" s="54">
        <v>3780</v>
      </c>
      <c r="S2533" s="54">
        <v>0</v>
      </c>
      <c r="T2533" s="54">
        <v>0</v>
      </c>
      <c r="U2533" s="54">
        <v>3780</v>
      </c>
      <c r="V2533" s="54">
        <v>3780</v>
      </c>
      <c r="W2533" s="54">
        <v>0</v>
      </c>
    </row>
    <row r="2534" spans="1:23" outlineLevel="2" x14ac:dyDescent="0.2">
      <c r="A2534" s="21" t="s">
        <v>999</v>
      </c>
      <c r="B2534" s="21" t="s">
        <v>31</v>
      </c>
      <c r="C2534" s="21" t="s">
        <v>32</v>
      </c>
      <c r="D2534" s="21" t="s">
        <v>123</v>
      </c>
      <c r="E2534" s="21" t="s">
        <v>124</v>
      </c>
      <c r="F2534" s="21" t="s">
        <v>933</v>
      </c>
      <c r="G2534" s="21" t="s">
        <v>934</v>
      </c>
      <c r="H2534" s="21" t="s">
        <v>949</v>
      </c>
      <c r="I2534" s="21" t="s">
        <v>950</v>
      </c>
      <c r="J2534" s="21" t="s">
        <v>1000</v>
      </c>
      <c r="K2534" s="21" t="s">
        <v>1003</v>
      </c>
      <c r="L2534" s="21" t="s">
        <v>1553</v>
      </c>
      <c r="M2534" s="21" t="s">
        <v>12</v>
      </c>
      <c r="N2534" s="54">
        <v>80876.490000000005</v>
      </c>
      <c r="O2534" s="54">
        <v>0</v>
      </c>
      <c r="P2534" s="54">
        <v>0</v>
      </c>
      <c r="Q2534" s="54">
        <v>80876.490000000005</v>
      </c>
      <c r="R2534" s="54">
        <v>808.64</v>
      </c>
      <c r="S2534" s="54">
        <v>16484.03</v>
      </c>
      <c r="T2534" s="54">
        <v>16484.03</v>
      </c>
      <c r="U2534" s="54">
        <v>64392.46</v>
      </c>
      <c r="V2534" s="54">
        <v>64392.46</v>
      </c>
      <c r="W2534" s="54">
        <v>63583.82</v>
      </c>
    </row>
    <row r="2535" spans="1:23" outlineLevel="2" x14ac:dyDescent="0.2">
      <c r="A2535" s="21" t="s">
        <v>999</v>
      </c>
      <c r="B2535" s="21" t="s">
        <v>31</v>
      </c>
      <c r="C2535" s="21" t="s">
        <v>32</v>
      </c>
      <c r="D2535" s="21" t="s">
        <v>75</v>
      </c>
      <c r="E2535" s="21" t="s">
        <v>76</v>
      </c>
      <c r="F2535" s="21" t="s">
        <v>933</v>
      </c>
      <c r="G2535" s="21" t="s">
        <v>934</v>
      </c>
      <c r="H2535" s="21" t="s">
        <v>949</v>
      </c>
      <c r="I2535" s="21" t="s">
        <v>950</v>
      </c>
      <c r="J2535" s="21" t="s">
        <v>1000</v>
      </c>
      <c r="K2535" s="21" t="s">
        <v>1003</v>
      </c>
      <c r="L2535" s="21" t="s">
        <v>1553</v>
      </c>
      <c r="M2535" s="21" t="s">
        <v>12</v>
      </c>
      <c r="N2535" s="54">
        <v>129000</v>
      </c>
      <c r="O2535" s="54">
        <v>137914</v>
      </c>
      <c r="P2535" s="54">
        <v>0</v>
      </c>
      <c r="Q2535" s="54">
        <v>266914</v>
      </c>
      <c r="R2535" s="54">
        <v>0</v>
      </c>
      <c r="S2535" s="54">
        <v>131995</v>
      </c>
      <c r="T2535" s="54">
        <v>125397.68</v>
      </c>
      <c r="U2535" s="54">
        <v>134919</v>
      </c>
      <c r="V2535" s="54">
        <v>141516.32</v>
      </c>
      <c r="W2535" s="54">
        <v>134919</v>
      </c>
    </row>
    <row r="2536" spans="1:23" outlineLevel="2" x14ac:dyDescent="0.2">
      <c r="A2536" s="21" t="s">
        <v>999</v>
      </c>
      <c r="B2536" s="21" t="s">
        <v>31</v>
      </c>
      <c r="C2536" s="21" t="s">
        <v>32</v>
      </c>
      <c r="D2536" s="21" t="s">
        <v>33</v>
      </c>
      <c r="E2536" s="21" t="s">
        <v>34</v>
      </c>
      <c r="F2536" s="21" t="s">
        <v>933</v>
      </c>
      <c r="G2536" s="21" t="s">
        <v>934</v>
      </c>
      <c r="H2536" s="21" t="s">
        <v>949</v>
      </c>
      <c r="I2536" s="21" t="s">
        <v>950</v>
      </c>
      <c r="J2536" s="21" t="s">
        <v>1000</v>
      </c>
      <c r="K2536" s="21" t="s">
        <v>1003</v>
      </c>
      <c r="L2536" s="21" t="s">
        <v>1553</v>
      </c>
      <c r="M2536" s="21" t="s">
        <v>12</v>
      </c>
      <c r="N2536" s="54">
        <v>0</v>
      </c>
      <c r="O2536" s="54">
        <v>457177.4</v>
      </c>
      <c r="P2536" s="54">
        <v>0</v>
      </c>
      <c r="Q2536" s="54">
        <v>457177.4</v>
      </c>
      <c r="R2536" s="54">
        <v>0</v>
      </c>
      <c r="S2536" s="54">
        <v>456689.42</v>
      </c>
      <c r="T2536" s="54">
        <v>447749.99</v>
      </c>
      <c r="U2536" s="54">
        <v>487.98</v>
      </c>
      <c r="V2536" s="54">
        <v>9427.41</v>
      </c>
      <c r="W2536" s="54">
        <v>487.98</v>
      </c>
    </row>
    <row r="2537" spans="1:23" outlineLevel="2" x14ac:dyDescent="0.2">
      <c r="A2537" s="21" t="s">
        <v>999</v>
      </c>
      <c r="B2537" s="21" t="s">
        <v>31</v>
      </c>
      <c r="C2537" s="21" t="s">
        <v>32</v>
      </c>
      <c r="D2537" s="21" t="s">
        <v>123</v>
      </c>
      <c r="E2537" s="21" t="s">
        <v>124</v>
      </c>
      <c r="F2537" s="21" t="s">
        <v>933</v>
      </c>
      <c r="G2537" s="21" t="s">
        <v>934</v>
      </c>
      <c r="H2537" s="21" t="s">
        <v>949</v>
      </c>
      <c r="I2537" s="21" t="s">
        <v>950</v>
      </c>
      <c r="J2537" s="21" t="s">
        <v>1000</v>
      </c>
      <c r="K2537" s="21" t="s">
        <v>1113</v>
      </c>
      <c r="L2537" s="21" t="s">
        <v>1601</v>
      </c>
      <c r="M2537" s="21" t="s">
        <v>12</v>
      </c>
      <c r="N2537" s="54">
        <v>5000</v>
      </c>
      <c r="O2537" s="54">
        <v>-2000</v>
      </c>
      <c r="P2537" s="54">
        <v>0</v>
      </c>
      <c r="Q2537" s="54">
        <v>3000</v>
      </c>
      <c r="R2537" s="54">
        <v>0</v>
      </c>
      <c r="S2537" s="54">
        <v>0</v>
      </c>
      <c r="T2537" s="54">
        <v>0</v>
      </c>
      <c r="U2537" s="54">
        <v>3000</v>
      </c>
      <c r="V2537" s="54">
        <v>3000</v>
      </c>
      <c r="W2537" s="54">
        <v>3000</v>
      </c>
    </row>
    <row r="2538" spans="1:23" outlineLevel="2" x14ac:dyDescent="0.2">
      <c r="A2538" s="21" t="s">
        <v>999</v>
      </c>
      <c r="B2538" s="21" t="s">
        <v>31</v>
      </c>
      <c r="C2538" s="21" t="s">
        <v>32</v>
      </c>
      <c r="D2538" s="21" t="s">
        <v>123</v>
      </c>
      <c r="E2538" s="21" t="s">
        <v>124</v>
      </c>
      <c r="F2538" s="21" t="s">
        <v>933</v>
      </c>
      <c r="G2538" s="21" t="s">
        <v>934</v>
      </c>
      <c r="H2538" s="21" t="s">
        <v>949</v>
      </c>
      <c r="I2538" s="21" t="s">
        <v>950</v>
      </c>
      <c r="J2538" s="21" t="s">
        <v>1000</v>
      </c>
      <c r="K2538" s="21" t="s">
        <v>1009</v>
      </c>
      <c r="L2538" s="21" t="s">
        <v>1568</v>
      </c>
      <c r="M2538" s="21" t="s">
        <v>12</v>
      </c>
      <c r="N2538" s="54">
        <v>50000</v>
      </c>
      <c r="O2538" s="54">
        <v>-20000</v>
      </c>
      <c r="P2538" s="54">
        <v>0</v>
      </c>
      <c r="Q2538" s="54">
        <v>30000</v>
      </c>
      <c r="R2538" s="54">
        <v>4794.57</v>
      </c>
      <c r="S2538" s="54">
        <v>18725.5</v>
      </c>
      <c r="T2538" s="54">
        <v>13513.47</v>
      </c>
      <c r="U2538" s="54">
        <v>11274.5</v>
      </c>
      <c r="V2538" s="54">
        <v>16486.53</v>
      </c>
      <c r="W2538" s="54">
        <v>6479.93</v>
      </c>
    </row>
    <row r="2539" spans="1:23" outlineLevel="2" x14ac:dyDescent="0.2">
      <c r="A2539" s="21" t="s">
        <v>999</v>
      </c>
      <c r="B2539" s="21" t="s">
        <v>31</v>
      </c>
      <c r="C2539" s="21" t="s">
        <v>32</v>
      </c>
      <c r="D2539" s="21" t="s">
        <v>75</v>
      </c>
      <c r="E2539" s="21" t="s">
        <v>76</v>
      </c>
      <c r="F2539" s="21" t="s">
        <v>933</v>
      </c>
      <c r="G2539" s="21" t="s">
        <v>934</v>
      </c>
      <c r="H2539" s="21" t="s">
        <v>949</v>
      </c>
      <c r="I2539" s="21" t="s">
        <v>950</v>
      </c>
      <c r="J2539" s="21" t="s">
        <v>1000</v>
      </c>
      <c r="K2539" s="21" t="s">
        <v>1009</v>
      </c>
      <c r="L2539" s="21" t="s">
        <v>1568</v>
      </c>
      <c r="M2539" s="21" t="s">
        <v>12</v>
      </c>
      <c r="N2539" s="54">
        <v>50000</v>
      </c>
      <c r="O2539" s="54">
        <v>0</v>
      </c>
      <c r="P2539" s="54">
        <v>0</v>
      </c>
      <c r="Q2539" s="54">
        <v>50000</v>
      </c>
      <c r="R2539" s="54">
        <v>3587.2</v>
      </c>
      <c r="S2539" s="54">
        <v>8584.7999999999993</v>
      </c>
      <c r="T2539" s="54">
        <v>5073.6000000000004</v>
      </c>
      <c r="U2539" s="54">
        <v>41415.199999999997</v>
      </c>
      <c r="V2539" s="54">
        <v>44926.400000000001</v>
      </c>
      <c r="W2539" s="54">
        <v>37828</v>
      </c>
    </row>
    <row r="2540" spans="1:23" outlineLevel="2" x14ac:dyDescent="0.2">
      <c r="A2540" s="21" t="s">
        <v>999</v>
      </c>
      <c r="B2540" s="21" t="s">
        <v>31</v>
      </c>
      <c r="C2540" s="21" t="s">
        <v>32</v>
      </c>
      <c r="D2540" s="21" t="s">
        <v>123</v>
      </c>
      <c r="E2540" s="21" t="s">
        <v>124</v>
      </c>
      <c r="F2540" s="21" t="s">
        <v>933</v>
      </c>
      <c r="G2540" s="21" t="s">
        <v>934</v>
      </c>
      <c r="H2540" s="21" t="s">
        <v>949</v>
      </c>
      <c r="I2540" s="21" t="s">
        <v>950</v>
      </c>
      <c r="J2540" s="21" t="s">
        <v>1000</v>
      </c>
      <c r="K2540" s="21" t="s">
        <v>1376</v>
      </c>
      <c r="L2540" s="21" t="s">
        <v>1584</v>
      </c>
      <c r="M2540" s="21" t="s">
        <v>12</v>
      </c>
      <c r="N2540" s="54">
        <v>25000</v>
      </c>
      <c r="O2540" s="54">
        <v>-7710</v>
      </c>
      <c r="P2540" s="54">
        <v>0</v>
      </c>
      <c r="Q2540" s="54">
        <v>17290</v>
      </c>
      <c r="R2540" s="54">
        <v>0</v>
      </c>
      <c r="S2540" s="54">
        <v>7950.88</v>
      </c>
      <c r="T2540" s="54">
        <v>5346.67</v>
      </c>
      <c r="U2540" s="54">
        <v>9339.1200000000008</v>
      </c>
      <c r="V2540" s="54">
        <v>11943.33</v>
      </c>
      <c r="W2540" s="54">
        <v>9339.1200000000008</v>
      </c>
    </row>
    <row r="2541" spans="1:23" outlineLevel="2" x14ac:dyDescent="0.2">
      <c r="A2541" s="21" t="s">
        <v>999</v>
      </c>
      <c r="B2541" s="21" t="s">
        <v>31</v>
      </c>
      <c r="C2541" s="21" t="s">
        <v>32</v>
      </c>
      <c r="D2541" s="21" t="s">
        <v>33</v>
      </c>
      <c r="E2541" s="21" t="s">
        <v>34</v>
      </c>
      <c r="F2541" s="21" t="s">
        <v>933</v>
      </c>
      <c r="G2541" s="21" t="s">
        <v>934</v>
      </c>
      <c r="H2541" s="21" t="s">
        <v>949</v>
      </c>
      <c r="I2541" s="21" t="s">
        <v>950</v>
      </c>
      <c r="J2541" s="21" t="s">
        <v>1000</v>
      </c>
      <c r="K2541" s="21" t="s">
        <v>1017</v>
      </c>
      <c r="L2541" s="21" t="s">
        <v>1571</v>
      </c>
      <c r="M2541" s="21" t="s">
        <v>12</v>
      </c>
      <c r="N2541" s="54">
        <v>0</v>
      </c>
      <c r="O2541" s="54">
        <v>89778.4</v>
      </c>
      <c r="P2541" s="54">
        <v>0</v>
      </c>
      <c r="Q2541" s="54">
        <v>89778.4</v>
      </c>
      <c r="R2541" s="54">
        <v>0</v>
      </c>
      <c r="S2541" s="54">
        <v>74648</v>
      </c>
      <c r="T2541" s="54">
        <v>27404.59</v>
      </c>
      <c r="U2541" s="54">
        <v>15130.4</v>
      </c>
      <c r="V2541" s="54">
        <v>62373.81</v>
      </c>
      <c r="W2541" s="54">
        <v>15130.4</v>
      </c>
    </row>
    <row r="2542" spans="1:23" outlineLevel="2" x14ac:dyDescent="0.2">
      <c r="A2542" s="21" t="s">
        <v>999</v>
      </c>
      <c r="B2542" s="21" t="s">
        <v>31</v>
      </c>
      <c r="C2542" s="21" t="s">
        <v>32</v>
      </c>
      <c r="D2542" s="21" t="s">
        <v>75</v>
      </c>
      <c r="E2542" s="21" t="s">
        <v>76</v>
      </c>
      <c r="F2542" s="21" t="s">
        <v>933</v>
      </c>
      <c r="G2542" s="21" t="s">
        <v>934</v>
      </c>
      <c r="H2542" s="21" t="s">
        <v>949</v>
      </c>
      <c r="I2542" s="21" t="s">
        <v>950</v>
      </c>
      <c r="J2542" s="21" t="s">
        <v>1000</v>
      </c>
      <c r="K2542" s="21" t="s">
        <v>1017</v>
      </c>
      <c r="L2542" s="21" t="s">
        <v>1571</v>
      </c>
      <c r="M2542" s="21" t="s">
        <v>12</v>
      </c>
      <c r="N2542" s="54">
        <v>68961</v>
      </c>
      <c r="O2542" s="54">
        <v>-42551</v>
      </c>
      <c r="P2542" s="54">
        <v>0</v>
      </c>
      <c r="Q2542" s="54">
        <v>26410</v>
      </c>
      <c r="R2542" s="54">
        <v>0</v>
      </c>
      <c r="S2542" s="54">
        <v>0</v>
      </c>
      <c r="T2542" s="54">
        <v>0</v>
      </c>
      <c r="U2542" s="54">
        <v>26410</v>
      </c>
      <c r="V2542" s="54">
        <v>26410</v>
      </c>
      <c r="W2542" s="54">
        <v>26410</v>
      </c>
    </row>
    <row r="2543" spans="1:23" outlineLevel="2" x14ac:dyDescent="0.2">
      <c r="A2543" s="21" t="s">
        <v>999</v>
      </c>
      <c r="B2543" s="21" t="s">
        <v>31</v>
      </c>
      <c r="C2543" s="21" t="s">
        <v>32</v>
      </c>
      <c r="D2543" s="21" t="s">
        <v>123</v>
      </c>
      <c r="E2543" s="21" t="s">
        <v>124</v>
      </c>
      <c r="F2543" s="21" t="s">
        <v>933</v>
      </c>
      <c r="G2543" s="21" t="s">
        <v>934</v>
      </c>
      <c r="H2543" s="21" t="s">
        <v>949</v>
      </c>
      <c r="I2543" s="21" t="s">
        <v>950</v>
      </c>
      <c r="J2543" s="21" t="s">
        <v>1000</v>
      </c>
      <c r="K2543" s="21" t="s">
        <v>1116</v>
      </c>
      <c r="L2543" s="21" t="s">
        <v>1587</v>
      </c>
      <c r="M2543" s="21" t="s">
        <v>12</v>
      </c>
      <c r="N2543" s="54">
        <v>20000</v>
      </c>
      <c r="O2543" s="54">
        <v>-8200</v>
      </c>
      <c r="P2543" s="54">
        <v>0</v>
      </c>
      <c r="Q2543" s="54">
        <v>11800</v>
      </c>
      <c r="R2543" s="54">
        <v>2729.44</v>
      </c>
      <c r="S2543" s="54">
        <v>3223.36</v>
      </c>
      <c r="T2543" s="54">
        <v>2278.8200000000002</v>
      </c>
      <c r="U2543" s="54">
        <v>8576.64</v>
      </c>
      <c r="V2543" s="54">
        <v>9521.18</v>
      </c>
      <c r="W2543" s="54">
        <v>5847.2</v>
      </c>
    </row>
    <row r="2544" spans="1:23" outlineLevel="2" x14ac:dyDescent="0.2">
      <c r="A2544" s="21" t="s">
        <v>999</v>
      </c>
      <c r="B2544" s="21" t="s">
        <v>31</v>
      </c>
      <c r="C2544" s="21" t="s">
        <v>32</v>
      </c>
      <c r="D2544" s="21" t="s">
        <v>75</v>
      </c>
      <c r="E2544" s="21" t="s">
        <v>76</v>
      </c>
      <c r="F2544" s="21" t="s">
        <v>933</v>
      </c>
      <c r="G2544" s="21" t="s">
        <v>934</v>
      </c>
      <c r="H2544" s="21" t="s">
        <v>949</v>
      </c>
      <c r="I2544" s="21" t="s">
        <v>950</v>
      </c>
      <c r="J2544" s="21" t="s">
        <v>1000</v>
      </c>
      <c r="K2544" s="21" t="s">
        <v>1061</v>
      </c>
      <c r="L2544" s="21" t="s">
        <v>1554</v>
      </c>
      <c r="M2544" s="21" t="s">
        <v>12</v>
      </c>
      <c r="N2544" s="54">
        <v>18500</v>
      </c>
      <c r="O2544" s="54">
        <v>181880</v>
      </c>
      <c r="P2544" s="54">
        <v>0</v>
      </c>
      <c r="Q2544" s="54">
        <v>200380</v>
      </c>
      <c r="R2544" s="54">
        <v>2.0699999999999998</v>
      </c>
      <c r="S2544" s="54">
        <v>29173.37</v>
      </c>
      <c r="T2544" s="54">
        <v>29173.37</v>
      </c>
      <c r="U2544" s="54">
        <v>171206.63</v>
      </c>
      <c r="V2544" s="54">
        <v>171206.63</v>
      </c>
      <c r="W2544" s="54">
        <v>171204.56</v>
      </c>
    </row>
    <row r="2545" spans="1:23" outlineLevel="2" x14ac:dyDescent="0.2">
      <c r="A2545" s="21" t="s">
        <v>999</v>
      </c>
      <c r="B2545" s="21" t="s">
        <v>31</v>
      </c>
      <c r="C2545" s="21" t="s">
        <v>32</v>
      </c>
      <c r="D2545" s="21" t="s">
        <v>33</v>
      </c>
      <c r="E2545" s="21" t="s">
        <v>34</v>
      </c>
      <c r="F2545" s="21" t="s">
        <v>933</v>
      </c>
      <c r="G2545" s="21" t="s">
        <v>934</v>
      </c>
      <c r="H2545" s="21" t="s">
        <v>949</v>
      </c>
      <c r="I2545" s="21" t="s">
        <v>950</v>
      </c>
      <c r="J2545" s="21" t="s">
        <v>1000</v>
      </c>
      <c r="K2545" s="21" t="s">
        <v>1061</v>
      </c>
      <c r="L2545" s="21" t="s">
        <v>1554</v>
      </c>
      <c r="M2545" s="21" t="s">
        <v>12</v>
      </c>
      <c r="N2545" s="54">
        <v>5000</v>
      </c>
      <c r="O2545" s="54">
        <v>290509.53999999998</v>
      </c>
      <c r="P2545" s="54">
        <v>0</v>
      </c>
      <c r="Q2545" s="54">
        <v>295509.53999999998</v>
      </c>
      <c r="R2545" s="54">
        <v>0</v>
      </c>
      <c r="S2545" s="54">
        <v>268044.31</v>
      </c>
      <c r="T2545" s="54">
        <v>262444.31</v>
      </c>
      <c r="U2545" s="54">
        <v>27465.23</v>
      </c>
      <c r="V2545" s="54">
        <v>33065.230000000003</v>
      </c>
      <c r="W2545" s="54">
        <v>27465.23</v>
      </c>
    </row>
    <row r="2546" spans="1:23" outlineLevel="2" x14ac:dyDescent="0.2">
      <c r="A2546" s="21" t="s">
        <v>999</v>
      </c>
      <c r="B2546" s="21" t="s">
        <v>31</v>
      </c>
      <c r="C2546" s="21" t="s">
        <v>32</v>
      </c>
      <c r="D2546" s="21" t="s">
        <v>123</v>
      </c>
      <c r="E2546" s="21" t="s">
        <v>124</v>
      </c>
      <c r="F2546" s="21" t="s">
        <v>933</v>
      </c>
      <c r="G2546" s="21" t="s">
        <v>934</v>
      </c>
      <c r="H2546" s="21" t="s">
        <v>949</v>
      </c>
      <c r="I2546" s="21" t="s">
        <v>950</v>
      </c>
      <c r="J2546" s="21" t="s">
        <v>1000</v>
      </c>
      <c r="K2546" s="21" t="s">
        <v>1061</v>
      </c>
      <c r="L2546" s="21" t="s">
        <v>1554</v>
      </c>
      <c r="M2546" s="21" t="s">
        <v>12</v>
      </c>
      <c r="N2546" s="54">
        <v>4000</v>
      </c>
      <c r="O2546" s="54">
        <v>262996.32</v>
      </c>
      <c r="P2546" s="54">
        <v>0</v>
      </c>
      <c r="Q2546" s="54">
        <v>266996.32</v>
      </c>
      <c r="R2546" s="54">
        <v>7493.14</v>
      </c>
      <c r="S2546" s="54">
        <v>28886.7</v>
      </c>
      <c r="T2546" s="54">
        <v>28886.7</v>
      </c>
      <c r="U2546" s="54">
        <v>238109.62</v>
      </c>
      <c r="V2546" s="54">
        <v>238109.62</v>
      </c>
      <c r="W2546" s="54">
        <v>230616.48</v>
      </c>
    </row>
    <row r="2547" spans="1:23" outlineLevel="2" x14ac:dyDescent="0.2">
      <c r="A2547" s="21" t="s">
        <v>999</v>
      </c>
      <c r="B2547" s="21" t="s">
        <v>31</v>
      </c>
      <c r="C2547" s="21" t="s">
        <v>32</v>
      </c>
      <c r="D2547" s="21" t="s">
        <v>123</v>
      </c>
      <c r="E2547" s="21" t="s">
        <v>124</v>
      </c>
      <c r="F2547" s="21" t="s">
        <v>933</v>
      </c>
      <c r="G2547" s="21" t="s">
        <v>934</v>
      </c>
      <c r="H2547" s="21" t="s">
        <v>949</v>
      </c>
      <c r="I2547" s="21" t="s">
        <v>950</v>
      </c>
      <c r="J2547" s="21" t="s">
        <v>1000</v>
      </c>
      <c r="K2547" s="21" t="s">
        <v>1019</v>
      </c>
      <c r="L2547" s="21" t="s">
        <v>1555</v>
      </c>
      <c r="M2547" s="21" t="s">
        <v>12</v>
      </c>
      <c r="N2547" s="54">
        <v>6000</v>
      </c>
      <c r="O2547" s="54">
        <v>3200</v>
      </c>
      <c r="P2547" s="54">
        <v>0</v>
      </c>
      <c r="Q2547" s="54">
        <v>9200</v>
      </c>
      <c r="R2547" s="54">
        <v>3583.36</v>
      </c>
      <c r="S2547" s="54">
        <v>5513.24</v>
      </c>
      <c r="T2547" s="54">
        <v>5513.24</v>
      </c>
      <c r="U2547" s="54">
        <v>3686.76</v>
      </c>
      <c r="V2547" s="54">
        <v>3686.76</v>
      </c>
      <c r="W2547" s="54">
        <v>103.4</v>
      </c>
    </row>
    <row r="2548" spans="1:23" outlineLevel="2" x14ac:dyDescent="0.2">
      <c r="A2548" s="21" t="s">
        <v>999</v>
      </c>
      <c r="B2548" s="21" t="s">
        <v>31</v>
      </c>
      <c r="C2548" s="21" t="s">
        <v>32</v>
      </c>
      <c r="D2548" s="21" t="s">
        <v>33</v>
      </c>
      <c r="E2548" s="21" t="s">
        <v>34</v>
      </c>
      <c r="F2548" s="21" t="s">
        <v>933</v>
      </c>
      <c r="G2548" s="21" t="s">
        <v>934</v>
      </c>
      <c r="H2548" s="21" t="s">
        <v>949</v>
      </c>
      <c r="I2548" s="21" t="s">
        <v>950</v>
      </c>
      <c r="J2548" s="21" t="s">
        <v>1000</v>
      </c>
      <c r="K2548" s="21" t="s">
        <v>1313</v>
      </c>
      <c r="L2548" s="21" t="s">
        <v>1556</v>
      </c>
      <c r="M2548" s="21" t="s">
        <v>12</v>
      </c>
      <c r="N2548" s="54">
        <v>0</v>
      </c>
      <c r="O2548" s="54">
        <v>10383.049999999999</v>
      </c>
      <c r="P2548" s="54">
        <v>0</v>
      </c>
      <c r="Q2548" s="54">
        <v>10383.049999999999</v>
      </c>
      <c r="R2548" s="54">
        <v>0</v>
      </c>
      <c r="S2548" s="54">
        <v>3959.29</v>
      </c>
      <c r="T2548" s="54">
        <v>961.35</v>
      </c>
      <c r="U2548" s="54">
        <v>6423.76</v>
      </c>
      <c r="V2548" s="54">
        <v>9421.7000000000007</v>
      </c>
      <c r="W2548" s="54">
        <v>6423.76</v>
      </c>
    </row>
    <row r="2549" spans="1:23" outlineLevel="2" x14ac:dyDescent="0.2">
      <c r="A2549" s="21" t="s">
        <v>999</v>
      </c>
      <c r="B2549" s="21" t="s">
        <v>31</v>
      </c>
      <c r="C2549" s="21" t="s">
        <v>32</v>
      </c>
      <c r="D2549" s="21" t="s">
        <v>123</v>
      </c>
      <c r="E2549" s="21" t="s">
        <v>124</v>
      </c>
      <c r="F2549" s="21" t="s">
        <v>933</v>
      </c>
      <c r="G2549" s="21" t="s">
        <v>934</v>
      </c>
      <c r="H2549" s="21" t="s">
        <v>949</v>
      </c>
      <c r="I2549" s="21" t="s">
        <v>950</v>
      </c>
      <c r="J2549" s="21" t="s">
        <v>1000</v>
      </c>
      <c r="K2549" s="21" t="s">
        <v>1313</v>
      </c>
      <c r="L2549" s="21" t="s">
        <v>1556</v>
      </c>
      <c r="M2549" s="21" t="s">
        <v>12</v>
      </c>
      <c r="N2549" s="54">
        <v>15000</v>
      </c>
      <c r="O2549" s="54">
        <v>7000</v>
      </c>
      <c r="P2549" s="54">
        <v>0</v>
      </c>
      <c r="Q2549" s="54">
        <v>22000</v>
      </c>
      <c r="R2549" s="54">
        <v>5231.05</v>
      </c>
      <c r="S2549" s="54">
        <v>14611.49</v>
      </c>
      <c r="T2549" s="54">
        <v>14611.49</v>
      </c>
      <c r="U2549" s="54">
        <v>7388.51</v>
      </c>
      <c r="V2549" s="54">
        <v>7388.51</v>
      </c>
      <c r="W2549" s="54">
        <v>2157.46</v>
      </c>
    </row>
    <row r="2550" spans="1:23" outlineLevel="2" x14ac:dyDescent="0.2">
      <c r="A2550" s="21" t="s">
        <v>999</v>
      </c>
      <c r="B2550" s="21" t="s">
        <v>31</v>
      </c>
      <c r="C2550" s="21" t="s">
        <v>32</v>
      </c>
      <c r="D2550" s="21" t="s">
        <v>75</v>
      </c>
      <c r="E2550" s="21" t="s">
        <v>76</v>
      </c>
      <c r="F2550" s="21" t="s">
        <v>933</v>
      </c>
      <c r="G2550" s="21" t="s">
        <v>934</v>
      </c>
      <c r="H2550" s="21" t="s">
        <v>949</v>
      </c>
      <c r="I2550" s="21" t="s">
        <v>950</v>
      </c>
      <c r="J2550" s="21" t="s">
        <v>1000</v>
      </c>
      <c r="K2550" s="21" t="s">
        <v>1092</v>
      </c>
      <c r="L2550" s="21" t="s">
        <v>1588</v>
      </c>
      <c r="M2550" s="21" t="s">
        <v>12</v>
      </c>
      <c r="N2550" s="54">
        <v>4000</v>
      </c>
      <c r="O2550" s="54">
        <v>0</v>
      </c>
      <c r="P2550" s="54">
        <v>0</v>
      </c>
      <c r="Q2550" s="54">
        <v>4000</v>
      </c>
      <c r="R2550" s="54">
        <v>0</v>
      </c>
      <c r="S2550" s="54">
        <v>0</v>
      </c>
      <c r="T2550" s="54">
        <v>0</v>
      </c>
      <c r="U2550" s="54">
        <v>4000</v>
      </c>
      <c r="V2550" s="54">
        <v>4000</v>
      </c>
      <c r="W2550" s="54">
        <v>4000</v>
      </c>
    </row>
    <row r="2551" spans="1:23" outlineLevel="2" x14ac:dyDescent="0.2">
      <c r="A2551" s="21" t="s">
        <v>999</v>
      </c>
      <c r="B2551" s="21" t="s">
        <v>31</v>
      </c>
      <c r="C2551" s="21" t="s">
        <v>32</v>
      </c>
      <c r="D2551" s="21" t="s">
        <v>123</v>
      </c>
      <c r="E2551" s="21" t="s">
        <v>124</v>
      </c>
      <c r="F2551" s="21" t="s">
        <v>933</v>
      </c>
      <c r="G2551" s="21" t="s">
        <v>934</v>
      </c>
      <c r="H2551" s="21" t="s">
        <v>949</v>
      </c>
      <c r="I2551" s="21" t="s">
        <v>950</v>
      </c>
      <c r="J2551" s="21" t="s">
        <v>1000</v>
      </c>
      <c r="K2551" s="21" t="s">
        <v>1092</v>
      </c>
      <c r="L2551" s="21" t="s">
        <v>1588</v>
      </c>
      <c r="M2551" s="21" t="s">
        <v>12</v>
      </c>
      <c r="N2551" s="54">
        <v>20000</v>
      </c>
      <c r="O2551" s="54">
        <v>-6700</v>
      </c>
      <c r="P2551" s="54">
        <v>0</v>
      </c>
      <c r="Q2551" s="54">
        <v>13300</v>
      </c>
      <c r="R2551" s="54">
        <v>0</v>
      </c>
      <c r="S2551" s="54">
        <v>0</v>
      </c>
      <c r="T2551" s="54">
        <v>0</v>
      </c>
      <c r="U2551" s="54">
        <v>13300</v>
      </c>
      <c r="V2551" s="54">
        <v>13300</v>
      </c>
      <c r="W2551" s="54">
        <v>13300</v>
      </c>
    </row>
    <row r="2552" spans="1:23" outlineLevel="2" x14ac:dyDescent="0.2">
      <c r="A2552" s="21" t="s">
        <v>999</v>
      </c>
      <c r="B2552" s="21" t="s">
        <v>31</v>
      </c>
      <c r="C2552" s="21" t="s">
        <v>32</v>
      </c>
      <c r="D2552" s="21" t="s">
        <v>33</v>
      </c>
      <c r="E2552" s="21" t="s">
        <v>34</v>
      </c>
      <c r="F2552" s="21" t="s">
        <v>933</v>
      </c>
      <c r="G2552" s="21" t="s">
        <v>934</v>
      </c>
      <c r="H2552" s="21" t="s">
        <v>949</v>
      </c>
      <c r="I2552" s="21" t="s">
        <v>950</v>
      </c>
      <c r="J2552" s="21" t="s">
        <v>1000</v>
      </c>
      <c r="K2552" s="21" t="s">
        <v>1386</v>
      </c>
      <c r="L2552" s="21" t="s">
        <v>1589</v>
      </c>
      <c r="M2552" s="21" t="s">
        <v>12</v>
      </c>
      <c r="N2552" s="54">
        <v>6872</v>
      </c>
      <c r="O2552" s="54">
        <v>-6872</v>
      </c>
      <c r="P2552" s="54">
        <v>0</v>
      </c>
      <c r="Q2552" s="54">
        <v>0</v>
      </c>
      <c r="R2552" s="54">
        <v>0</v>
      </c>
      <c r="S2552" s="54">
        <v>0</v>
      </c>
      <c r="T2552" s="54">
        <v>0</v>
      </c>
      <c r="U2552" s="54">
        <v>0</v>
      </c>
      <c r="V2552" s="54">
        <v>0</v>
      </c>
      <c r="W2552" s="54">
        <v>0</v>
      </c>
    </row>
    <row r="2553" spans="1:23" outlineLevel="2" x14ac:dyDescent="0.2">
      <c r="A2553" s="21" t="s">
        <v>999</v>
      </c>
      <c r="B2553" s="21" t="s">
        <v>31</v>
      </c>
      <c r="C2553" s="21" t="s">
        <v>32</v>
      </c>
      <c r="D2553" s="21" t="s">
        <v>75</v>
      </c>
      <c r="E2553" s="21" t="s">
        <v>76</v>
      </c>
      <c r="F2553" s="21" t="s">
        <v>933</v>
      </c>
      <c r="G2553" s="21" t="s">
        <v>934</v>
      </c>
      <c r="H2553" s="21" t="s">
        <v>949</v>
      </c>
      <c r="I2553" s="21" t="s">
        <v>950</v>
      </c>
      <c r="J2553" s="21" t="s">
        <v>1000</v>
      </c>
      <c r="K2553" s="21" t="s">
        <v>1388</v>
      </c>
      <c r="L2553" s="21" t="s">
        <v>1590</v>
      </c>
      <c r="M2553" s="21" t="s">
        <v>12</v>
      </c>
      <c r="N2553" s="54">
        <v>130998.14</v>
      </c>
      <c r="O2553" s="54">
        <v>-44056.01</v>
      </c>
      <c r="P2553" s="54">
        <v>0</v>
      </c>
      <c r="Q2553" s="54">
        <v>86942.13</v>
      </c>
      <c r="R2553" s="54">
        <v>2284.7199999999998</v>
      </c>
      <c r="S2553" s="54">
        <v>17578.79</v>
      </c>
      <c r="T2553" s="54">
        <v>8207.86</v>
      </c>
      <c r="U2553" s="54">
        <v>69363.34</v>
      </c>
      <c r="V2553" s="54">
        <v>78734.27</v>
      </c>
      <c r="W2553" s="54">
        <v>67078.62</v>
      </c>
    </row>
    <row r="2554" spans="1:23" outlineLevel="2" x14ac:dyDescent="0.2">
      <c r="A2554" s="21" t="s">
        <v>999</v>
      </c>
      <c r="B2554" s="21" t="s">
        <v>31</v>
      </c>
      <c r="C2554" s="21" t="s">
        <v>32</v>
      </c>
      <c r="D2554" s="21" t="s">
        <v>33</v>
      </c>
      <c r="E2554" s="21" t="s">
        <v>34</v>
      </c>
      <c r="F2554" s="21" t="s">
        <v>933</v>
      </c>
      <c r="G2554" s="21" t="s">
        <v>934</v>
      </c>
      <c r="H2554" s="21" t="s">
        <v>949</v>
      </c>
      <c r="I2554" s="21" t="s">
        <v>950</v>
      </c>
      <c r="J2554" s="21" t="s">
        <v>1000</v>
      </c>
      <c r="K2554" s="21" t="s">
        <v>1388</v>
      </c>
      <c r="L2554" s="21" t="s">
        <v>1590</v>
      </c>
      <c r="M2554" s="21" t="s">
        <v>12</v>
      </c>
      <c r="N2554" s="54">
        <v>70000</v>
      </c>
      <c r="O2554" s="54">
        <v>272960</v>
      </c>
      <c r="P2554" s="54">
        <v>0</v>
      </c>
      <c r="Q2554" s="54">
        <v>342960</v>
      </c>
      <c r="R2554" s="54">
        <v>0</v>
      </c>
      <c r="S2554" s="54">
        <v>301011.01</v>
      </c>
      <c r="T2554" s="54">
        <v>97131.9</v>
      </c>
      <c r="U2554" s="54">
        <v>41948.99</v>
      </c>
      <c r="V2554" s="54">
        <v>245828.1</v>
      </c>
      <c r="W2554" s="54">
        <v>41948.99</v>
      </c>
    </row>
    <row r="2555" spans="1:23" outlineLevel="2" x14ac:dyDescent="0.2">
      <c r="A2555" s="21" t="s">
        <v>999</v>
      </c>
      <c r="B2555" s="21" t="s">
        <v>31</v>
      </c>
      <c r="C2555" s="21" t="s">
        <v>32</v>
      </c>
      <c r="D2555" s="21" t="s">
        <v>123</v>
      </c>
      <c r="E2555" s="21" t="s">
        <v>124</v>
      </c>
      <c r="F2555" s="21" t="s">
        <v>933</v>
      </c>
      <c r="G2555" s="21" t="s">
        <v>934</v>
      </c>
      <c r="H2555" s="21" t="s">
        <v>949</v>
      </c>
      <c r="I2555" s="21" t="s">
        <v>950</v>
      </c>
      <c r="J2555" s="21" t="s">
        <v>1000</v>
      </c>
      <c r="K2555" s="21" t="s">
        <v>1388</v>
      </c>
      <c r="L2555" s="21" t="s">
        <v>1590</v>
      </c>
      <c r="M2555" s="21" t="s">
        <v>12</v>
      </c>
      <c r="N2555" s="54">
        <v>60000</v>
      </c>
      <c r="O2555" s="54">
        <v>-28903.439999999999</v>
      </c>
      <c r="P2555" s="54">
        <v>0</v>
      </c>
      <c r="Q2555" s="54">
        <v>31096.560000000001</v>
      </c>
      <c r="R2555" s="54">
        <v>672.81</v>
      </c>
      <c r="S2555" s="54">
        <v>15034.4</v>
      </c>
      <c r="T2555" s="54">
        <v>15034.4</v>
      </c>
      <c r="U2555" s="54">
        <v>16062.16</v>
      </c>
      <c r="V2555" s="54">
        <v>16062.16</v>
      </c>
      <c r="W2555" s="54">
        <v>15389.35</v>
      </c>
    </row>
    <row r="2556" spans="1:23" outlineLevel="2" x14ac:dyDescent="0.2">
      <c r="A2556" s="21" t="s">
        <v>999</v>
      </c>
      <c r="B2556" s="21" t="s">
        <v>31</v>
      </c>
      <c r="C2556" s="21" t="s">
        <v>32</v>
      </c>
      <c r="D2556" s="21" t="s">
        <v>33</v>
      </c>
      <c r="E2556" s="21" t="s">
        <v>34</v>
      </c>
      <c r="F2556" s="21" t="s">
        <v>933</v>
      </c>
      <c r="G2556" s="21" t="s">
        <v>934</v>
      </c>
      <c r="H2556" s="21" t="s">
        <v>949</v>
      </c>
      <c r="I2556" s="21" t="s">
        <v>950</v>
      </c>
      <c r="J2556" s="21" t="s">
        <v>1000</v>
      </c>
      <c r="K2556" s="21" t="s">
        <v>1390</v>
      </c>
      <c r="L2556" s="21" t="s">
        <v>1557</v>
      </c>
      <c r="M2556" s="21" t="s">
        <v>12</v>
      </c>
      <c r="N2556" s="54">
        <v>140000</v>
      </c>
      <c r="O2556" s="54">
        <v>180000</v>
      </c>
      <c r="P2556" s="54">
        <v>0</v>
      </c>
      <c r="Q2556" s="54">
        <v>320000</v>
      </c>
      <c r="R2556" s="54">
        <v>132053.16</v>
      </c>
      <c r="S2556" s="54">
        <v>21145.599999999999</v>
      </c>
      <c r="T2556" s="54">
        <v>21145.599999999999</v>
      </c>
      <c r="U2556" s="54">
        <v>298854.40000000002</v>
      </c>
      <c r="V2556" s="54">
        <v>298854.40000000002</v>
      </c>
      <c r="W2556" s="54">
        <v>166801.24</v>
      </c>
    </row>
    <row r="2557" spans="1:23" outlineLevel="2" x14ac:dyDescent="0.2">
      <c r="A2557" s="21" t="s">
        <v>999</v>
      </c>
      <c r="B2557" s="21" t="s">
        <v>31</v>
      </c>
      <c r="C2557" s="21" t="s">
        <v>32</v>
      </c>
      <c r="D2557" s="21" t="s">
        <v>75</v>
      </c>
      <c r="E2557" s="21" t="s">
        <v>76</v>
      </c>
      <c r="F2557" s="21" t="s">
        <v>933</v>
      </c>
      <c r="G2557" s="21" t="s">
        <v>934</v>
      </c>
      <c r="H2557" s="21" t="s">
        <v>949</v>
      </c>
      <c r="I2557" s="21" t="s">
        <v>950</v>
      </c>
      <c r="J2557" s="21" t="s">
        <v>1000</v>
      </c>
      <c r="K2557" s="21" t="s">
        <v>1390</v>
      </c>
      <c r="L2557" s="21" t="s">
        <v>1557</v>
      </c>
      <c r="M2557" s="21" t="s">
        <v>12</v>
      </c>
      <c r="N2557" s="54">
        <v>193316.22</v>
      </c>
      <c r="O2557" s="54">
        <v>0</v>
      </c>
      <c r="P2557" s="54">
        <v>0</v>
      </c>
      <c r="Q2557" s="54">
        <v>193316.22</v>
      </c>
      <c r="R2557" s="54">
        <v>0</v>
      </c>
      <c r="S2557" s="54">
        <v>32782.43</v>
      </c>
      <c r="T2557" s="54">
        <v>32782.43</v>
      </c>
      <c r="U2557" s="54">
        <v>160533.79</v>
      </c>
      <c r="V2557" s="54">
        <v>160533.79</v>
      </c>
      <c r="W2557" s="54">
        <v>160533.79</v>
      </c>
    </row>
    <row r="2558" spans="1:23" outlineLevel="2" x14ac:dyDescent="0.2">
      <c r="A2558" s="21" t="s">
        <v>999</v>
      </c>
      <c r="B2558" s="21" t="s">
        <v>31</v>
      </c>
      <c r="C2558" s="21" t="s">
        <v>32</v>
      </c>
      <c r="D2558" s="21" t="s">
        <v>123</v>
      </c>
      <c r="E2558" s="21" t="s">
        <v>124</v>
      </c>
      <c r="F2558" s="21" t="s">
        <v>933</v>
      </c>
      <c r="G2558" s="21" t="s">
        <v>934</v>
      </c>
      <c r="H2558" s="21" t="s">
        <v>949</v>
      </c>
      <c r="I2558" s="21" t="s">
        <v>950</v>
      </c>
      <c r="J2558" s="21" t="s">
        <v>1000</v>
      </c>
      <c r="K2558" s="21" t="s">
        <v>1390</v>
      </c>
      <c r="L2558" s="21" t="s">
        <v>1557</v>
      </c>
      <c r="M2558" s="21" t="s">
        <v>12</v>
      </c>
      <c r="N2558" s="54">
        <v>115000</v>
      </c>
      <c r="O2558" s="54">
        <v>-53900</v>
      </c>
      <c r="P2558" s="54">
        <v>0</v>
      </c>
      <c r="Q2558" s="54">
        <v>61100</v>
      </c>
      <c r="R2558" s="54">
        <v>426.72</v>
      </c>
      <c r="S2558" s="54">
        <v>14522.85</v>
      </c>
      <c r="T2558" s="54">
        <v>14522.85</v>
      </c>
      <c r="U2558" s="54">
        <v>46577.15</v>
      </c>
      <c r="V2558" s="54">
        <v>46577.15</v>
      </c>
      <c r="W2558" s="54">
        <v>46150.43</v>
      </c>
    </row>
    <row r="2559" spans="1:23" outlineLevel="2" x14ac:dyDescent="0.2">
      <c r="A2559" s="21" t="s">
        <v>999</v>
      </c>
      <c r="B2559" s="21" t="s">
        <v>31</v>
      </c>
      <c r="C2559" s="21" t="s">
        <v>32</v>
      </c>
      <c r="D2559" s="21" t="s">
        <v>123</v>
      </c>
      <c r="E2559" s="21" t="s">
        <v>124</v>
      </c>
      <c r="F2559" s="21" t="s">
        <v>933</v>
      </c>
      <c r="G2559" s="21" t="s">
        <v>934</v>
      </c>
      <c r="H2559" s="21" t="s">
        <v>949</v>
      </c>
      <c r="I2559" s="21" t="s">
        <v>950</v>
      </c>
      <c r="J2559" s="21" t="s">
        <v>1000</v>
      </c>
      <c r="K2559" s="21" t="s">
        <v>1082</v>
      </c>
      <c r="L2559" s="21" t="s">
        <v>1558</v>
      </c>
      <c r="M2559" s="21" t="s">
        <v>12</v>
      </c>
      <c r="N2559" s="54">
        <v>2000</v>
      </c>
      <c r="O2559" s="54">
        <v>0</v>
      </c>
      <c r="P2559" s="54">
        <v>0</v>
      </c>
      <c r="Q2559" s="54">
        <v>2000</v>
      </c>
      <c r="R2559" s="54">
        <v>580.34</v>
      </c>
      <c r="S2559" s="54">
        <v>0</v>
      </c>
      <c r="T2559" s="54">
        <v>0</v>
      </c>
      <c r="U2559" s="54">
        <v>2000</v>
      </c>
      <c r="V2559" s="54">
        <v>2000</v>
      </c>
      <c r="W2559" s="54">
        <v>1419.66</v>
      </c>
    </row>
    <row r="2560" spans="1:23" outlineLevel="2" x14ac:dyDescent="0.2">
      <c r="A2560" s="21" t="s">
        <v>999</v>
      </c>
      <c r="B2560" s="21" t="s">
        <v>31</v>
      </c>
      <c r="C2560" s="21" t="s">
        <v>32</v>
      </c>
      <c r="D2560" s="21" t="s">
        <v>75</v>
      </c>
      <c r="E2560" s="21" t="s">
        <v>76</v>
      </c>
      <c r="F2560" s="21" t="s">
        <v>933</v>
      </c>
      <c r="G2560" s="21" t="s">
        <v>934</v>
      </c>
      <c r="H2560" s="21" t="s">
        <v>949</v>
      </c>
      <c r="I2560" s="21" t="s">
        <v>950</v>
      </c>
      <c r="J2560" s="21" t="s">
        <v>1000</v>
      </c>
      <c r="K2560" s="21" t="s">
        <v>1084</v>
      </c>
      <c r="L2560" s="21" t="s">
        <v>1602</v>
      </c>
      <c r="M2560" s="21" t="s">
        <v>12</v>
      </c>
      <c r="N2560" s="54">
        <v>11352.41</v>
      </c>
      <c r="O2560" s="54">
        <v>-11352.41</v>
      </c>
      <c r="P2560" s="54">
        <v>0</v>
      </c>
      <c r="Q2560" s="54">
        <v>0</v>
      </c>
      <c r="R2560" s="54">
        <v>0</v>
      </c>
      <c r="S2560" s="54">
        <v>0</v>
      </c>
      <c r="T2560" s="54">
        <v>0</v>
      </c>
      <c r="U2560" s="54">
        <v>0</v>
      </c>
      <c r="V2560" s="54">
        <v>0</v>
      </c>
      <c r="W2560" s="54">
        <v>0</v>
      </c>
    </row>
    <row r="2561" spans="1:23" outlineLevel="2" x14ac:dyDescent="0.2">
      <c r="A2561" s="21" t="s">
        <v>999</v>
      </c>
      <c r="B2561" s="21" t="s">
        <v>31</v>
      </c>
      <c r="C2561" s="21" t="s">
        <v>32</v>
      </c>
      <c r="D2561" s="21" t="s">
        <v>75</v>
      </c>
      <c r="E2561" s="21" t="s">
        <v>76</v>
      </c>
      <c r="F2561" s="21" t="s">
        <v>933</v>
      </c>
      <c r="G2561" s="21" t="s">
        <v>934</v>
      </c>
      <c r="H2561" s="21" t="s">
        <v>949</v>
      </c>
      <c r="I2561" s="21" t="s">
        <v>950</v>
      </c>
      <c r="J2561" s="21" t="s">
        <v>1000</v>
      </c>
      <c r="K2561" s="21" t="s">
        <v>1194</v>
      </c>
      <c r="L2561" s="21" t="s">
        <v>1591</v>
      </c>
      <c r="M2561" s="21" t="s">
        <v>12</v>
      </c>
      <c r="N2561" s="54">
        <v>40000</v>
      </c>
      <c r="O2561" s="54">
        <v>6068.15</v>
      </c>
      <c r="P2561" s="54">
        <v>0</v>
      </c>
      <c r="Q2561" s="54">
        <v>46068.15</v>
      </c>
      <c r="R2561" s="54">
        <v>9842.4599999999991</v>
      </c>
      <c r="S2561" s="54">
        <v>6012.16</v>
      </c>
      <c r="T2561" s="54">
        <v>6012.16</v>
      </c>
      <c r="U2561" s="54">
        <v>40055.99</v>
      </c>
      <c r="V2561" s="54">
        <v>40055.99</v>
      </c>
      <c r="W2561" s="54">
        <v>30213.53</v>
      </c>
    </row>
    <row r="2562" spans="1:23" outlineLevel="2" x14ac:dyDescent="0.2">
      <c r="A2562" s="21" t="s">
        <v>999</v>
      </c>
      <c r="B2562" s="21" t="s">
        <v>31</v>
      </c>
      <c r="C2562" s="21" t="s">
        <v>32</v>
      </c>
      <c r="D2562" s="21" t="s">
        <v>123</v>
      </c>
      <c r="E2562" s="21" t="s">
        <v>124</v>
      </c>
      <c r="F2562" s="21" t="s">
        <v>933</v>
      </c>
      <c r="G2562" s="21" t="s">
        <v>934</v>
      </c>
      <c r="H2562" s="21" t="s">
        <v>949</v>
      </c>
      <c r="I2562" s="21" t="s">
        <v>950</v>
      </c>
      <c r="J2562" s="21" t="s">
        <v>1000</v>
      </c>
      <c r="K2562" s="21" t="s">
        <v>1194</v>
      </c>
      <c r="L2562" s="21" t="s">
        <v>1591</v>
      </c>
      <c r="M2562" s="21" t="s">
        <v>12</v>
      </c>
      <c r="N2562" s="54">
        <v>18000</v>
      </c>
      <c r="O2562" s="54">
        <v>0</v>
      </c>
      <c r="P2562" s="54">
        <v>0</v>
      </c>
      <c r="Q2562" s="54">
        <v>18000</v>
      </c>
      <c r="R2562" s="54">
        <v>0</v>
      </c>
      <c r="S2562" s="54">
        <v>0</v>
      </c>
      <c r="T2562" s="54">
        <v>0</v>
      </c>
      <c r="U2562" s="54">
        <v>18000</v>
      </c>
      <c r="V2562" s="54">
        <v>18000</v>
      </c>
      <c r="W2562" s="54">
        <v>18000</v>
      </c>
    </row>
    <row r="2563" spans="1:23" outlineLevel="2" x14ac:dyDescent="0.2">
      <c r="A2563" s="21" t="s">
        <v>999</v>
      </c>
      <c r="B2563" s="21" t="s">
        <v>31</v>
      </c>
      <c r="C2563" s="21" t="s">
        <v>32</v>
      </c>
      <c r="D2563" s="21" t="s">
        <v>33</v>
      </c>
      <c r="E2563" s="21" t="s">
        <v>34</v>
      </c>
      <c r="F2563" s="21" t="s">
        <v>933</v>
      </c>
      <c r="G2563" s="21" t="s">
        <v>934</v>
      </c>
      <c r="H2563" s="21" t="s">
        <v>949</v>
      </c>
      <c r="I2563" s="21" t="s">
        <v>950</v>
      </c>
      <c r="J2563" s="21" t="s">
        <v>1000</v>
      </c>
      <c r="K2563" s="21" t="s">
        <v>1194</v>
      </c>
      <c r="L2563" s="21" t="s">
        <v>1591</v>
      </c>
      <c r="M2563" s="21" t="s">
        <v>12</v>
      </c>
      <c r="N2563" s="54">
        <v>0</v>
      </c>
      <c r="O2563" s="54">
        <v>20000</v>
      </c>
      <c r="P2563" s="54">
        <v>0</v>
      </c>
      <c r="Q2563" s="54">
        <v>20000</v>
      </c>
      <c r="R2563" s="54">
        <v>0</v>
      </c>
      <c r="S2563" s="54">
        <v>14067.74</v>
      </c>
      <c r="T2563" s="54">
        <v>14000</v>
      </c>
      <c r="U2563" s="54">
        <v>5932.26</v>
      </c>
      <c r="V2563" s="54">
        <v>6000</v>
      </c>
      <c r="W2563" s="54">
        <v>5932.26</v>
      </c>
    </row>
    <row r="2564" spans="1:23" outlineLevel="2" x14ac:dyDescent="0.2">
      <c r="A2564" s="21" t="s">
        <v>999</v>
      </c>
      <c r="B2564" s="21" t="s">
        <v>31</v>
      </c>
      <c r="C2564" s="21" t="s">
        <v>32</v>
      </c>
      <c r="D2564" s="21" t="s">
        <v>33</v>
      </c>
      <c r="E2564" s="21" t="s">
        <v>34</v>
      </c>
      <c r="F2564" s="21" t="s">
        <v>933</v>
      </c>
      <c r="G2564" s="21" t="s">
        <v>934</v>
      </c>
      <c r="H2564" s="21" t="s">
        <v>949</v>
      </c>
      <c r="I2564" s="21" t="s">
        <v>950</v>
      </c>
      <c r="J2564" s="21" t="s">
        <v>1000</v>
      </c>
      <c r="K2564" s="21" t="s">
        <v>1118</v>
      </c>
      <c r="L2564" s="21" t="s">
        <v>1561</v>
      </c>
      <c r="M2564" s="21" t="s">
        <v>12</v>
      </c>
      <c r="N2564" s="54">
        <v>0</v>
      </c>
      <c r="O2564" s="54">
        <v>67550.8</v>
      </c>
      <c r="P2564" s="54">
        <v>0</v>
      </c>
      <c r="Q2564" s="54">
        <v>67550.8</v>
      </c>
      <c r="R2564" s="54">
        <v>0</v>
      </c>
      <c r="S2564" s="54">
        <v>66550.8</v>
      </c>
      <c r="T2564" s="54">
        <v>66550.8</v>
      </c>
      <c r="U2564" s="54">
        <v>1000</v>
      </c>
      <c r="V2564" s="54">
        <v>1000</v>
      </c>
      <c r="W2564" s="54">
        <v>1000</v>
      </c>
    </row>
    <row r="2565" spans="1:23" outlineLevel="2" x14ac:dyDescent="0.2">
      <c r="A2565" s="21" t="s">
        <v>999</v>
      </c>
      <c r="B2565" s="21" t="s">
        <v>31</v>
      </c>
      <c r="C2565" s="21" t="s">
        <v>32</v>
      </c>
      <c r="D2565" s="21" t="s">
        <v>123</v>
      </c>
      <c r="E2565" s="21" t="s">
        <v>124</v>
      </c>
      <c r="F2565" s="21" t="s">
        <v>933</v>
      </c>
      <c r="G2565" s="21" t="s">
        <v>934</v>
      </c>
      <c r="H2565" s="21" t="s">
        <v>949</v>
      </c>
      <c r="I2565" s="21" t="s">
        <v>950</v>
      </c>
      <c r="J2565" s="21" t="s">
        <v>1000</v>
      </c>
      <c r="K2565" s="21" t="s">
        <v>1118</v>
      </c>
      <c r="L2565" s="21" t="s">
        <v>1561</v>
      </c>
      <c r="M2565" s="21" t="s">
        <v>12</v>
      </c>
      <c r="N2565" s="54">
        <v>0</v>
      </c>
      <c r="O2565" s="54">
        <v>6100</v>
      </c>
      <c r="P2565" s="54">
        <v>0</v>
      </c>
      <c r="Q2565" s="54">
        <v>6100</v>
      </c>
      <c r="R2565" s="54">
        <v>4141.76</v>
      </c>
      <c r="S2565" s="54">
        <v>1877.21</v>
      </c>
      <c r="T2565" s="54">
        <v>1877.21</v>
      </c>
      <c r="U2565" s="54">
        <v>4222.79</v>
      </c>
      <c r="V2565" s="54">
        <v>4222.79</v>
      </c>
      <c r="W2565" s="54">
        <v>81.03</v>
      </c>
    </row>
    <row r="2566" spans="1:23" outlineLevel="2" x14ac:dyDescent="0.2">
      <c r="A2566" s="21" t="s">
        <v>999</v>
      </c>
      <c r="B2566" s="21" t="s">
        <v>31</v>
      </c>
      <c r="C2566" s="21" t="s">
        <v>32</v>
      </c>
      <c r="D2566" s="21" t="s">
        <v>123</v>
      </c>
      <c r="E2566" s="21" t="s">
        <v>124</v>
      </c>
      <c r="F2566" s="21" t="s">
        <v>933</v>
      </c>
      <c r="G2566" s="21" t="s">
        <v>934</v>
      </c>
      <c r="H2566" s="21" t="s">
        <v>949</v>
      </c>
      <c r="I2566" s="21" t="s">
        <v>950</v>
      </c>
      <c r="J2566" s="21" t="s">
        <v>1000</v>
      </c>
      <c r="K2566" s="21" t="s">
        <v>1343</v>
      </c>
      <c r="L2566" s="21" t="s">
        <v>1562</v>
      </c>
      <c r="M2566" s="21" t="s">
        <v>12</v>
      </c>
      <c r="N2566" s="54">
        <v>33000</v>
      </c>
      <c r="O2566" s="54">
        <v>223460</v>
      </c>
      <c r="P2566" s="54">
        <v>0</v>
      </c>
      <c r="Q2566" s="54">
        <v>256460</v>
      </c>
      <c r="R2566" s="54">
        <v>40427.42</v>
      </c>
      <c r="S2566" s="54">
        <v>37121.360000000001</v>
      </c>
      <c r="T2566" s="54">
        <v>37121.360000000001</v>
      </c>
      <c r="U2566" s="54">
        <v>219338.64</v>
      </c>
      <c r="V2566" s="54">
        <v>219338.64</v>
      </c>
      <c r="W2566" s="54">
        <v>178911.22</v>
      </c>
    </row>
    <row r="2567" spans="1:23" outlineLevel="2" x14ac:dyDescent="0.2">
      <c r="A2567" s="21" t="s">
        <v>999</v>
      </c>
      <c r="B2567" s="21" t="s">
        <v>31</v>
      </c>
      <c r="C2567" s="21" t="s">
        <v>32</v>
      </c>
      <c r="D2567" s="21" t="s">
        <v>75</v>
      </c>
      <c r="E2567" s="21" t="s">
        <v>76</v>
      </c>
      <c r="F2567" s="21" t="s">
        <v>933</v>
      </c>
      <c r="G2567" s="21" t="s">
        <v>934</v>
      </c>
      <c r="H2567" s="21" t="s">
        <v>949</v>
      </c>
      <c r="I2567" s="21" t="s">
        <v>950</v>
      </c>
      <c r="J2567" s="21" t="s">
        <v>1000</v>
      </c>
      <c r="K2567" s="21" t="s">
        <v>1343</v>
      </c>
      <c r="L2567" s="21" t="s">
        <v>1562</v>
      </c>
      <c r="M2567" s="21" t="s">
        <v>12</v>
      </c>
      <c r="N2567" s="54">
        <v>230000</v>
      </c>
      <c r="O2567" s="54">
        <v>233947.11</v>
      </c>
      <c r="P2567" s="54">
        <v>0</v>
      </c>
      <c r="Q2567" s="54">
        <v>463947.11</v>
      </c>
      <c r="R2567" s="54">
        <v>1203.51</v>
      </c>
      <c r="S2567" s="54">
        <v>19055.52</v>
      </c>
      <c r="T2567" s="54">
        <v>17269.95</v>
      </c>
      <c r="U2567" s="54">
        <v>444891.59</v>
      </c>
      <c r="V2567" s="54">
        <v>446677.16</v>
      </c>
      <c r="W2567" s="54">
        <v>443688.08</v>
      </c>
    </row>
    <row r="2568" spans="1:23" outlineLevel="2" x14ac:dyDescent="0.2">
      <c r="A2568" s="21" t="s">
        <v>999</v>
      </c>
      <c r="B2568" s="21" t="s">
        <v>31</v>
      </c>
      <c r="C2568" s="21" t="s">
        <v>32</v>
      </c>
      <c r="D2568" s="21" t="s">
        <v>33</v>
      </c>
      <c r="E2568" s="21" t="s">
        <v>34</v>
      </c>
      <c r="F2568" s="21" t="s">
        <v>933</v>
      </c>
      <c r="G2568" s="21" t="s">
        <v>934</v>
      </c>
      <c r="H2568" s="21" t="s">
        <v>949</v>
      </c>
      <c r="I2568" s="21" t="s">
        <v>950</v>
      </c>
      <c r="J2568" s="21" t="s">
        <v>1000</v>
      </c>
      <c r="K2568" s="21" t="s">
        <v>1343</v>
      </c>
      <c r="L2568" s="21" t="s">
        <v>1562</v>
      </c>
      <c r="M2568" s="21" t="s">
        <v>12</v>
      </c>
      <c r="N2568" s="54">
        <v>100000</v>
      </c>
      <c r="O2568" s="54">
        <v>575078.66</v>
      </c>
      <c r="P2568" s="54">
        <v>0</v>
      </c>
      <c r="Q2568" s="54">
        <v>675078.66</v>
      </c>
      <c r="R2568" s="54">
        <v>111937.16</v>
      </c>
      <c r="S2568" s="54">
        <v>549859.36</v>
      </c>
      <c r="T2568" s="54">
        <v>493822.24</v>
      </c>
      <c r="U2568" s="54">
        <v>125219.3</v>
      </c>
      <c r="V2568" s="54">
        <v>181256.42</v>
      </c>
      <c r="W2568" s="54">
        <v>13282.14</v>
      </c>
    </row>
    <row r="2569" spans="1:23" outlineLevel="2" x14ac:dyDescent="0.2">
      <c r="A2569" s="21" t="s">
        <v>999</v>
      </c>
      <c r="B2569" s="21" t="s">
        <v>31</v>
      </c>
      <c r="C2569" s="21" t="s">
        <v>32</v>
      </c>
      <c r="D2569" s="21" t="s">
        <v>123</v>
      </c>
      <c r="E2569" s="21" t="s">
        <v>124</v>
      </c>
      <c r="F2569" s="21" t="s">
        <v>933</v>
      </c>
      <c r="G2569" s="21" t="s">
        <v>934</v>
      </c>
      <c r="H2569" s="21" t="s">
        <v>949</v>
      </c>
      <c r="I2569" s="21" t="s">
        <v>950</v>
      </c>
      <c r="J2569" s="21" t="s">
        <v>1000</v>
      </c>
      <c r="K2569" s="21" t="s">
        <v>1394</v>
      </c>
      <c r="L2569" s="21" t="s">
        <v>1603</v>
      </c>
      <c r="M2569" s="21" t="s">
        <v>12</v>
      </c>
      <c r="N2569" s="54">
        <v>40000</v>
      </c>
      <c r="O2569" s="54">
        <v>-12700</v>
      </c>
      <c r="P2569" s="54">
        <v>0</v>
      </c>
      <c r="Q2569" s="54">
        <v>27300</v>
      </c>
      <c r="R2569" s="54">
        <v>0</v>
      </c>
      <c r="S2569" s="54">
        <v>0</v>
      </c>
      <c r="T2569" s="54">
        <v>0</v>
      </c>
      <c r="U2569" s="54">
        <v>27300</v>
      </c>
      <c r="V2569" s="54">
        <v>27300</v>
      </c>
      <c r="W2569" s="54">
        <v>27300</v>
      </c>
    </row>
    <row r="2570" spans="1:23" outlineLevel="2" x14ac:dyDescent="0.2">
      <c r="A2570" s="21" t="s">
        <v>999</v>
      </c>
      <c r="B2570" s="21" t="s">
        <v>31</v>
      </c>
      <c r="C2570" s="21" t="s">
        <v>32</v>
      </c>
      <c r="D2570" s="21" t="s">
        <v>75</v>
      </c>
      <c r="E2570" s="21" t="s">
        <v>76</v>
      </c>
      <c r="F2570" s="21" t="s">
        <v>933</v>
      </c>
      <c r="G2570" s="21" t="s">
        <v>934</v>
      </c>
      <c r="H2570" s="21" t="s">
        <v>949</v>
      </c>
      <c r="I2570" s="21" t="s">
        <v>950</v>
      </c>
      <c r="J2570" s="21" t="s">
        <v>1000</v>
      </c>
      <c r="K2570" s="21" t="s">
        <v>1394</v>
      </c>
      <c r="L2570" s="21" t="s">
        <v>1603</v>
      </c>
      <c r="M2570" s="21" t="s">
        <v>12</v>
      </c>
      <c r="N2570" s="54">
        <v>37000</v>
      </c>
      <c r="O2570" s="54">
        <v>-13000</v>
      </c>
      <c r="P2570" s="54">
        <v>0</v>
      </c>
      <c r="Q2570" s="54">
        <v>24000</v>
      </c>
      <c r="R2570" s="54">
        <v>0</v>
      </c>
      <c r="S2570" s="54">
        <v>0</v>
      </c>
      <c r="T2570" s="54">
        <v>0</v>
      </c>
      <c r="U2570" s="54">
        <v>24000</v>
      </c>
      <c r="V2570" s="54">
        <v>24000</v>
      </c>
      <c r="W2570" s="54">
        <v>24000</v>
      </c>
    </row>
    <row r="2571" spans="1:23" outlineLevel="2" x14ac:dyDescent="0.2">
      <c r="A2571" s="21" t="s">
        <v>999</v>
      </c>
      <c r="B2571" s="21" t="s">
        <v>31</v>
      </c>
      <c r="C2571" s="21" t="s">
        <v>32</v>
      </c>
      <c r="D2571" s="21" t="s">
        <v>33</v>
      </c>
      <c r="E2571" s="21" t="s">
        <v>34</v>
      </c>
      <c r="F2571" s="21" t="s">
        <v>933</v>
      </c>
      <c r="G2571" s="21" t="s">
        <v>934</v>
      </c>
      <c r="H2571" s="21" t="s">
        <v>949</v>
      </c>
      <c r="I2571" s="21" t="s">
        <v>950</v>
      </c>
      <c r="J2571" s="21" t="s">
        <v>1000</v>
      </c>
      <c r="K2571" s="21" t="s">
        <v>1394</v>
      </c>
      <c r="L2571" s="21" t="s">
        <v>1603</v>
      </c>
      <c r="M2571" s="21" t="s">
        <v>12</v>
      </c>
      <c r="N2571" s="54">
        <v>36000</v>
      </c>
      <c r="O2571" s="54">
        <v>-27526.35</v>
      </c>
      <c r="P2571" s="54">
        <v>0</v>
      </c>
      <c r="Q2571" s="54">
        <v>8473.65</v>
      </c>
      <c r="R2571" s="54">
        <v>0</v>
      </c>
      <c r="S2571" s="54">
        <v>0</v>
      </c>
      <c r="T2571" s="54">
        <v>0</v>
      </c>
      <c r="U2571" s="54">
        <v>8473.65</v>
      </c>
      <c r="V2571" s="54">
        <v>8473.65</v>
      </c>
      <c r="W2571" s="54">
        <v>8473.65</v>
      </c>
    </row>
    <row r="2572" spans="1:23" outlineLevel="2" x14ac:dyDescent="0.2">
      <c r="A2572" s="21" t="s">
        <v>999</v>
      </c>
      <c r="B2572" s="21" t="s">
        <v>31</v>
      </c>
      <c r="C2572" s="21" t="s">
        <v>32</v>
      </c>
      <c r="D2572" s="21" t="s">
        <v>33</v>
      </c>
      <c r="E2572" s="21" t="s">
        <v>34</v>
      </c>
      <c r="F2572" s="21" t="s">
        <v>933</v>
      </c>
      <c r="G2572" s="21" t="s">
        <v>934</v>
      </c>
      <c r="H2572" s="21" t="s">
        <v>949</v>
      </c>
      <c r="I2572" s="21" t="s">
        <v>950</v>
      </c>
      <c r="J2572" s="21" t="s">
        <v>1000</v>
      </c>
      <c r="K2572" s="21" t="s">
        <v>1120</v>
      </c>
      <c r="L2572" s="21" t="s">
        <v>1604</v>
      </c>
      <c r="M2572" s="21" t="s">
        <v>12</v>
      </c>
      <c r="N2572" s="54">
        <v>0</v>
      </c>
      <c r="O2572" s="54">
        <v>7770</v>
      </c>
      <c r="P2572" s="54">
        <v>0</v>
      </c>
      <c r="Q2572" s="54">
        <v>7770</v>
      </c>
      <c r="R2572" s="54">
        <v>0</v>
      </c>
      <c r="S2572" s="54">
        <v>7770</v>
      </c>
      <c r="T2572" s="54">
        <v>7770</v>
      </c>
      <c r="U2572" s="54">
        <v>0</v>
      </c>
      <c r="V2572" s="54">
        <v>0</v>
      </c>
      <c r="W2572" s="54">
        <v>0</v>
      </c>
    </row>
    <row r="2573" spans="1:23" outlineLevel="2" x14ac:dyDescent="0.2">
      <c r="A2573" s="21" t="s">
        <v>999</v>
      </c>
      <c r="B2573" s="21" t="s">
        <v>31</v>
      </c>
      <c r="C2573" s="21" t="s">
        <v>32</v>
      </c>
      <c r="D2573" s="21" t="s">
        <v>123</v>
      </c>
      <c r="E2573" s="21" t="s">
        <v>124</v>
      </c>
      <c r="F2573" s="21" t="s">
        <v>933</v>
      </c>
      <c r="G2573" s="21" t="s">
        <v>934</v>
      </c>
      <c r="H2573" s="21" t="s">
        <v>949</v>
      </c>
      <c r="I2573" s="21" t="s">
        <v>950</v>
      </c>
      <c r="J2573" s="21" t="s">
        <v>1000</v>
      </c>
      <c r="K2573" s="21" t="s">
        <v>1120</v>
      </c>
      <c r="L2573" s="21" t="s">
        <v>1604</v>
      </c>
      <c r="M2573" s="21" t="s">
        <v>12</v>
      </c>
      <c r="N2573" s="54">
        <v>0</v>
      </c>
      <c r="O2573" s="54">
        <v>2000</v>
      </c>
      <c r="P2573" s="54">
        <v>0</v>
      </c>
      <c r="Q2573" s="54">
        <v>2000</v>
      </c>
      <c r="R2573" s="54">
        <v>0</v>
      </c>
      <c r="S2573" s="54">
        <v>0</v>
      </c>
      <c r="T2573" s="54">
        <v>0</v>
      </c>
      <c r="U2573" s="54">
        <v>2000</v>
      </c>
      <c r="V2573" s="54">
        <v>2000</v>
      </c>
      <c r="W2573" s="54">
        <v>2000</v>
      </c>
    </row>
    <row r="2574" spans="1:23" outlineLevel="2" x14ac:dyDescent="0.2">
      <c r="A2574" s="21" t="s">
        <v>999</v>
      </c>
      <c r="B2574" s="21" t="s">
        <v>31</v>
      </c>
      <c r="C2574" s="21" t="s">
        <v>32</v>
      </c>
      <c r="D2574" s="21" t="s">
        <v>33</v>
      </c>
      <c r="E2574" s="21" t="s">
        <v>34</v>
      </c>
      <c r="F2574" s="21" t="s">
        <v>933</v>
      </c>
      <c r="G2574" s="21" t="s">
        <v>934</v>
      </c>
      <c r="H2574" s="21" t="s">
        <v>949</v>
      </c>
      <c r="I2574" s="21" t="s">
        <v>950</v>
      </c>
      <c r="J2574" s="21" t="s">
        <v>1000</v>
      </c>
      <c r="K2574" s="21" t="s">
        <v>1183</v>
      </c>
      <c r="L2574" s="21" t="s">
        <v>1563</v>
      </c>
      <c r="M2574" s="21" t="s">
        <v>12</v>
      </c>
      <c r="N2574" s="54">
        <v>0</v>
      </c>
      <c r="O2574" s="54">
        <v>10584</v>
      </c>
      <c r="P2574" s="54">
        <v>0</v>
      </c>
      <c r="Q2574" s="54">
        <v>10584</v>
      </c>
      <c r="R2574" s="54">
        <v>0</v>
      </c>
      <c r="S2574" s="54">
        <v>10584</v>
      </c>
      <c r="T2574" s="54">
        <v>10584</v>
      </c>
      <c r="U2574" s="54">
        <v>0</v>
      </c>
      <c r="V2574" s="54">
        <v>0</v>
      </c>
      <c r="W2574" s="54">
        <v>0</v>
      </c>
    </row>
    <row r="2575" spans="1:23" outlineLevel="2" x14ac:dyDescent="0.2">
      <c r="A2575" s="21" t="s">
        <v>999</v>
      </c>
      <c r="B2575" s="21" t="s">
        <v>31</v>
      </c>
      <c r="C2575" s="21" t="s">
        <v>32</v>
      </c>
      <c r="D2575" s="21" t="s">
        <v>123</v>
      </c>
      <c r="E2575" s="21" t="s">
        <v>124</v>
      </c>
      <c r="F2575" s="21" t="s">
        <v>933</v>
      </c>
      <c r="G2575" s="21" t="s">
        <v>934</v>
      </c>
      <c r="H2575" s="21" t="s">
        <v>949</v>
      </c>
      <c r="I2575" s="21" t="s">
        <v>950</v>
      </c>
      <c r="J2575" s="21" t="s">
        <v>1000</v>
      </c>
      <c r="K2575" s="21" t="s">
        <v>1183</v>
      </c>
      <c r="L2575" s="21" t="s">
        <v>1563</v>
      </c>
      <c r="M2575" s="21" t="s">
        <v>12</v>
      </c>
      <c r="N2575" s="54">
        <v>4000</v>
      </c>
      <c r="O2575" s="54">
        <v>5100</v>
      </c>
      <c r="P2575" s="54">
        <v>0</v>
      </c>
      <c r="Q2575" s="54">
        <v>9100</v>
      </c>
      <c r="R2575" s="54">
        <v>0</v>
      </c>
      <c r="S2575" s="54">
        <v>211.68</v>
      </c>
      <c r="T2575" s="54">
        <v>211.68</v>
      </c>
      <c r="U2575" s="54">
        <v>8888.32</v>
      </c>
      <c r="V2575" s="54">
        <v>8888.32</v>
      </c>
      <c r="W2575" s="54">
        <v>8888.32</v>
      </c>
    </row>
    <row r="2576" spans="1:23" outlineLevel="2" x14ac:dyDescent="0.2">
      <c r="A2576" s="21" t="s">
        <v>999</v>
      </c>
      <c r="B2576" s="21" t="s">
        <v>31</v>
      </c>
      <c r="C2576" s="21" t="s">
        <v>32</v>
      </c>
      <c r="D2576" s="21" t="s">
        <v>75</v>
      </c>
      <c r="E2576" s="21" t="s">
        <v>76</v>
      </c>
      <c r="F2576" s="21" t="s">
        <v>933</v>
      </c>
      <c r="G2576" s="21" t="s">
        <v>934</v>
      </c>
      <c r="H2576" s="21" t="s">
        <v>963</v>
      </c>
      <c r="I2576" s="21" t="s">
        <v>964</v>
      </c>
      <c r="J2576" s="21" t="s">
        <v>1000</v>
      </c>
      <c r="K2576" s="21" t="s">
        <v>1100</v>
      </c>
      <c r="L2576" s="21" t="s">
        <v>1595</v>
      </c>
      <c r="M2576" s="21" t="s">
        <v>12</v>
      </c>
      <c r="N2576" s="54">
        <v>0</v>
      </c>
      <c r="O2576" s="54">
        <v>3000</v>
      </c>
      <c r="P2576" s="54">
        <v>0</v>
      </c>
      <c r="Q2576" s="54">
        <v>3000</v>
      </c>
      <c r="R2576" s="54">
        <v>0</v>
      </c>
      <c r="S2576" s="54">
        <v>3000</v>
      </c>
      <c r="T2576" s="54">
        <v>179.98</v>
      </c>
      <c r="U2576" s="54">
        <v>0</v>
      </c>
      <c r="V2576" s="54">
        <v>2820.02</v>
      </c>
      <c r="W2576" s="54">
        <v>0</v>
      </c>
    </row>
    <row r="2577" spans="1:23" outlineLevel="2" x14ac:dyDescent="0.2">
      <c r="A2577" s="21" t="s">
        <v>999</v>
      </c>
      <c r="B2577" s="21" t="s">
        <v>31</v>
      </c>
      <c r="C2577" s="21" t="s">
        <v>32</v>
      </c>
      <c r="D2577" s="21" t="s">
        <v>75</v>
      </c>
      <c r="E2577" s="21" t="s">
        <v>76</v>
      </c>
      <c r="F2577" s="21" t="s">
        <v>933</v>
      </c>
      <c r="G2577" s="21" t="s">
        <v>934</v>
      </c>
      <c r="H2577" s="21" t="s">
        <v>963</v>
      </c>
      <c r="I2577" s="21" t="s">
        <v>964</v>
      </c>
      <c r="J2577" s="21" t="s">
        <v>1000</v>
      </c>
      <c r="K2577" s="21" t="s">
        <v>1102</v>
      </c>
      <c r="L2577" s="21" t="s">
        <v>1596</v>
      </c>
      <c r="M2577" s="21" t="s">
        <v>12</v>
      </c>
      <c r="N2577" s="54">
        <v>0</v>
      </c>
      <c r="O2577" s="54">
        <v>25000</v>
      </c>
      <c r="P2577" s="54">
        <v>0</v>
      </c>
      <c r="Q2577" s="54">
        <v>25000</v>
      </c>
      <c r="R2577" s="54">
        <v>0</v>
      </c>
      <c r="S2577" s="54">
        <v>25000</v>
      </c>
      <c r="T2577" s="54">
        <v>3423.28</v>
      </c>
      <c r="U2577" s="54">
        <v>0</v>
      </c>
      <c r="V2577" s="54">
        <v>21576.720000000001</v>
      </c>
      <c r="W2577" s="54">
        <v>0</v>
      </c>
    </row>
    <row r="2578" spans="1:23" outlineLevel="2" x14ac:dyDescent="0.2">
      <c r="A2578" s="21" t="s">
        <v>999</v>
      </c>
      <c r="B2578" s="21" t="s">
        <v>31</v>
      </c>
      <c r="C2578" s="21" t="s">
        <v>32</v>
      </c>
      <c r="D2578" s="21" t="s">
        <v>75</v>
      </c>
      <c r="E2578" s="21" t="s">
        <v>76</v>
      </c>
      <c r="F2578" s="21" t="s">
        <v>933</v>
      </c>
      <c r="G2578" s="21" t="s">
        <v>934</v>
      </c>
      <c r="H2578" s="21" t="s">
        <v>963</v>
      </c>
      <c r="I2578" s="21" t="s">
        <v>964</v>
      </c>
      <c r="J2578" s="21" t="s">
        <v>1000</v>
      </c>
      <c r="K2578" s="21" t="s">
        <v>1104</v>
      </c>
      <c r="L2578" s="21" t="s">
        <v>1580</v>
      </c>
      <c r="M2578" s="21" t="s">
        <v>12</v>
      </c>
      <c r="N2578" s="54">
        <v>0</v>
      </c>
      <c r="O2578" s="54">
        <v>22000</v>
      </c>
      <c r="P2578" s="54">
        <v>0</v>
      </c>
      <c r="Q2578" s="54">
        <v>22000</v>
      </c>
      <c r="R2578" s="54">
        <v>0</v>
      </c>
      <c r="S2578" s="54">
        <v>22000</v>
      </c>
      <c r="T2578" s="54">
        <v>0</v>
      </c>
      <c r="U2578" s="54">
        <v>0</v>
      </c>
      <c r="V2578" s="54">
        <v>22000</v>
      </c>
      <c r="W2578" s="54">
        <v>0</v>
      </c>
    </row>
    <row r="2579" spans="1:23" outlineLevel="2" x14ac:dyDescent="0.2">
      <c r="A2579" s="21" t="s">
        <v>999</v>
      </c>
      <c r="B2579" s="21" t="s">
        <v>31</v>
      </c>
      <c r="C2579" s="21" t="s">
        <v>32</v>
      </c>
      <c r="D2579" s="21" t="s">
        <v>75</v>
      </c>
      <c r="E2579" s="21" t="s">
        <v>76</v>
      </c>
      <c r="F2579" s="21" t="s">
        <v>933</v>
      </c>
      <c r="G2579" s="21" t="s">
        <v>934</v>
      </c>
      <c r="H2579" s="21" t="s">
        <v>963</v>
      </c>
      <c r="I2579" s="21" t="s">
        <v>964</v>
      </c>
      <c r="J2579" s="21" t="s">
        <v>1000</v>
      </c>
      <c r="K2579" s="21" t="s">
        <v>1524</v>
      </c>
      <c r="L2579" s="21" t="s">
        <v>1597</v>
      </c>
      <c r="M2579" s="21" t="s">
        <v>12</v>
      </c>
      <c r="N2579" s="54">
        <v>6500</v>
      </c>
      <c r="O2579" s="54">
        <v>-6500</v>
      </c>
      <c r="P2579" s="54">
        <v>0</v>
      </c>
      <c r="Q2579" s="54">
        <v>0</v>
      </c>
      <c r="R2579" s="54">
        <v>0</v>
      </c>
      <c r="S2579" s="54">
        <v>0</v>
      </c>
      <c r="T2579" s="54">
        <v>0</v>
      </c>
      <c r="U2579" s="54">
        <v>0</v>
      </c>
      <c r="V2579" s="54">
        <v>0</v>
      </c>
      <c r="W2579" s="54">
        <v>0</v>
      </c>
    </row>
    <row r="2580" spans="1:23" outlineLevel="2" x14ac:dyDescent="0.2">
      <c r="A2580" s="21" t="s">
        <v>999</v>
      </c>
      <c r="B2580" s="21" t="s">
        <v>31</v>
      </c>
      <c r="C2580" s="21" t="s">
        <v>32</v>
      </c>
      <c r="D2580" s="21" t="s">
        <v>75</v>
      </c>
      <c r="E2580" s="21" t="s">
        <v>76</v>
      </c>
      <c r="F2580" s="21" t="s">
        <v>933</v>
      </c>
      <c r="G2580" s="21" t="s">
        <v>934</v>
      </c>
      <c r="H2580" s="21" t="s">
        <v>963</v>
      </c>
      <c r="I2580" s="21" t="s">
        <v>964</v>
      </c>
      <c r="J2580" s="21" t="s">
        <v>1000</v>
      </c>
      <c r="K2580" s="21" t="s">
        <v>1037</v>
      </c>
      <c r="L2580" s="21" t="s">
        <v>1548</v>
      </c>
      <c r="M2580" s="21" t="s">
        <v>12</v>
      </c>
      <c r="N2580" s="54">
        <v>105000</v>
      </c>
      <c r="O2580" s="54">
        <v>-105000</v>
      </c>
      <c r="P2580" s="54">
        <v>0</v>
      </c>
      <c r="Q2580" s="54">
        <v>0</v>
      </c>
      <c r="R2580" s="54">
        <v>0</v>
      </c>
      <c r="S2580" s="54">
        <v>0</v>
      </c>
      <c r="T2580" s="54">
        <v>0</v>
      </c>
      <c r="U2580" s="54">
        <v>0</v>
      </c>
      <c r="V2580" s="54">
        <v>0</v>
      </c>
      <c r="W2580" s="54">
        <v>0</v>
      </c>
    </row>
    <row r="2581" spans="1:23" outlineLevel="2" x14ac:dyDescent="0.2">
      <c r="A2581" s="21" t="s">
        <v>999</v>
      </c>
      <c r="B2581" s="21" t="s">
        <v>31</v>
      </c>
      <c r="C2581" s="21" t="s">
        <v>32</v>
      </c>
      <c r="D2581" s="21" t="s">
        <v>75</v>
      </c>
      <c r="E2581" s="21" t="s">
        <v>76</v>
      </c>
      <c r="F2581" s="21" t="s">
        <v>933</v>
      </c>
      <c r="G2581" s="21" t="s">
        <v>934</v>
      </c>
      <c r="H2581" s="21" t="s">
        <v>963</v>
      </c>
      <c r="I2581" s="21" t="s">
        <v>964</v>
      </c>
      <c r="J2581" s="21" t="s">
        <v>1000</v>
      </c>
      <c r="K2581" s="21" t="s">
        <v>1039</v>
      </c>
      <c r="L2581" s="21" t="s">
        <v>1598</v>
      </c>
      <c r="M2581" s="21" t="s">
        <v>12</v>
      </c>
      <c r="N2581" s="54">
        <v>95000</v>
      </c>
      <c r="O2581" s="54">
        <v>-20000</v>
      </c>
      <c r="P2581" s="54">
        <v>0</v>
      </c>
      <c r="Q2581" s="54">
        <v>75000</v>
      </c>
      <c r="R2581" s="54">
        <v>0</v>
      </c>
      <c r="S2581" s="54">
        <v>0</v>
      </c>
      <c r="T2581" s="54">
        <v>0</v>
      </c>
      <c r="U2581" s="54">
        <v>75000</v>
      </c>
      <c r="V2581" s="54">
        <v>75000</v>
      </c>
      <c r="W2581" s="54">
        <v>75000</v>
      </c>
    </row>
    <row r="2582" spans="1:23" outlineLevel="2" x14ac:dyDescent="0.2">
      <c r="A2582" s="21" t="s">
        <v>999</v>
      </c>
      <c r="B2582" s="21" t="s">
        <v>31</v>
      </c>
      <c r="C2582" s="21" t="s">
        <v>32</v>
      </c>
      <c r="D2582" s="21" t="s">
        <v>75</v>
      </c>
      <c r="E2582" s="21" t="s">
        <v>76</v>
      </c>
      <c r="F2582" s="21" t="s">
        <v>933</v>
      </c>
      <c r="G2582" s="21" t="s">
        <v>934</v>
      </c>
      <c r="H2582" s="21" t="s">
        <v>963</v>
      </c>
      <c r="I2582" s="21" t="s">
        <v>964</v>
      </c>
      <c r="J2582" s="21" t="s">
        <v>1000</v>
      </c>
      <c r="K2582" s="21" t="s">
        <v>1058</v>
      </c>
      <c r="L2582" s="21" t="s">
        <v>1605</v>
      </c>
      <c r="M2582" s="21" t="s">
        <v>12</v>
      </c>
      <c r="N2582" s="54">
        <v>80000</v>
      </c>
      <c r="O2582" s="54">
        <v>-60000</v>
      </c>
      <c r="P2582" s="54">
        <v>0</v>
      </c>
      <c r="Q2582" s="54">
        <v>20000</v>
      </c>
      <c r="R2582" s="54">
        <v>0</v>
      </c>
      <c r="S2582" s="54">
        <v>0</v>
      </c>
      <c r="T2582" s="54">
        <v>0</v>
      </c>
      <c r="U2582" s="54">
        <v>20000</v>
      </c>
      <c r="V2582" s="54">
        <v>20000</v>
      </c>
      <c r="W2582" s="54">
        <v>20000</v>
      </c>
    </row>
    <row r="2583" spans="1:23" outlineLevel="2" x14ac:dyDescent="0.2">
      <c r="A2583" s="21" t="s">
        <v>999</v>
      </c>
      <c r="B2583" s="21" t="s">
        <v>31</v>
      </c>
      <c r="C2583" s="21" t="s">
        <v>32</v>
      </c>
      <c r="D2583" s="21" t="s">
        <v>75</v>
      </c>
      <c r="E2583" s="21" t="s">
        <v>76</v>
      </c>
      <c r="F2583" s="21" t="s">
        <v>933</v>
      </c>
      <c r="G2583" s="21" t="s">
        <v>934</v>
      </c>
      <c r="H2583" s="21" t="s">
        <v>963</v>
      </c>
      <c r="I2583" s="21" t="s">
        <v>964</v>
      </c>
      <c r="J2583" s="21" t="s">
        <v>1000</v>
      </c>
      <c r="K2583" s="21" t="s">
        <v>1108</v>
      </c>
      <c r="L2583" s="21" t="s">
        <v>1599</v>
      </c>
      <c r="M2583" s="21" t="s">
        <v>12</v>
      </c>
      <c r="N2583" s="54">
        <v>54000</v>
      </c>
      <c r="O2583" s="54">
        <v>51800</v>
      </c>
      <c r="P2583" s="54">
        <v>0</v>
      </c>
      <c r="Q2583" s="54">
        <v>105800</v>
      </c>
      <c r="R2583" s="54">
        <v>0</v>
      </c>
      <c r="S2583" s="54">
        <v>31352.560000000001</v>
      </c>
      <c r="T2583" s="54">
        <v>15676.28</v>
      </c>
      <c r="U2583" s="54">
        <v>74447.44</v>
      </c>
      <c r="V2583" s="54">
        <v>90123.72</v>
      </c>
      <c r="W2583" s="54">
        <v>74447.44</v>
      </c>
    </row>
    <row r="2584" spans="1:23" outlineLevel="2" x14ac:dyDescent="0.2">
      <c r="A2584" s="21" t="s">
        <v>999</v>
      </c>
      <c r="B2584" s="21" t="s">
        <v>31</v>
      </c>
      <c r="C2584" s="21" t="s">
        <v>32</v>
      </c>
      <c r="D2584" s="21" t="s">
        <v>75</v>
      </c>
      <c r="E2584" s="21" t="s">
        <v>76</v>
      </c>
      <c r="F2584" s="21" t="s">
        <v>933</v>
      </c>
      <c r="G2584" s="21" t="s">
        <v>934</v>
      </c>
      <c r="H2584" s="21" t="s">
        <v>963</v>
      </c>
      <c r="I2584" s="21" t="s">
        <v>964</v>
      </c>
      <c r="J2584" s="21" t="s">
        <v>1000</v>
      </c>
      <c r="K2584" s="21" t="s">
        <v>1088</v>
      </c>
      <c r="L2584" s="21" t="s">
        <v>1606</v>
      </c>
      <c r="M2584" s="21" t="s">
        <v>12</v>
      </c>
      <c r="N2584" s="54">
        <v>20000</v>
      </c>
      <c r="O2584" s="54">
        <v>50000</v>
      </c>
      <c r="P2584" s="54">
        <v>0</v>
      </c>
      <c r="Q2584" s="54">
        <v>70000</v>
      </c>
      <c r="R2584" s="54">
        <v>0</v>
      </c>
      <c r="S2584" s="54">
        <v>0</v>
      </c>
      <c r="T2584" s="54">
        <v>0</v>
      </c>
      <c r="U2584" s="54">
        <v>70000</v>
      </c>
      <c r="V2584" s="54">
        <v>70000</v>
      </c>
      <c r="W2584" s="54">
        <v>70000</v>
      </c>
    </row>
    <row r="2585" spans="1:23" outlineLevel="2" x14ac:dyDescent="0.2">
      <c r="A2585" s="21" t="s">
        <v>999</v>
      </c>
      <c r="B2585" s="21" t="s">
        <v>31</v>
      </c>
      <c r="C2585" s="21" t="s">
        <v>32</v>
      </c>
      <c r="D2585" s="21" t="s">
        <v>75</v>
      </c>
      <c r="E2585" s="21" t="s">
        <v>76</v>
      </c>
      <c r="F2585" s="21" t="s">
        <v>933</v>
      </c>
      <c r="G2585" s="21" t="s">
        <v>934</v>
      </c>
      <c r="H2585" s="21" t="s">
        <v>963</v>
      </c>
      <c r="I2585" s="21" t="s">
        <v>964</v>
      </c>
      <c r="J2585" s="21" t="s">
        <v>1000</v>
      </c>
      <c r="K2585" s="21" t="s">
        <v>1090</v>
      </c>
      <c r="L2585" s="21" t="s">
        <v>1607</v>
      </c>
      <c r="M2585" s="21" t="s">
        <v>12</v>
      </c>
      <c r="N2585" s="54">
        <v>115000</v>
      </c>
      <c r="O2585" s="54">
        <v>-15000</v>
      </c>
      <c r="P2585" s="54">
        <v>0</v>
      </c>
      <c r="Q2585" s="54">
        <v>100000</v>
      </c>
      <c r="R2585" s="54">
        <v>0</v>
      </c>
      <c r="S2585" s="54">
        <v>0</v>
      </c>
      <c r="T2585" s="54">
        <v>0</v>
      </c>
      <c r="U2585" s="54">
        <v>100000</v>
      </c>
      <c r="V2585" s="54">
        <v>100000</v>
      </c>
      <c r="W2585" s="54">
        <v>100000</v>
      </c>
    </row>
    <row r="2586" spans="1:23" outlineLevel="2" x14ac:dyDescent="0.2">
      <c r="A2586" s="21" t="s">
        <v>999</v>
      </c>
      <c r="B2586" s="21" t="s">
        <v>31</v>
      </c>
      <c r="C2586" s="21" t="s">
        <v>32</v>
      </c>
      <c r="D2586" s="21" t="s">
        <v>75</v>
      </c>
      <c r="E2586" s="21" t="s">
        <v>76</v>
      </c>
      <c r="F2586" s="21" t="s">
        <v>933</v>
      </c>
      <c r="G2586" s="21" t="s">
        <v>934</v>
      </c>
      <c r="H2586" s="21" t="s">
        <v>963</v>
      </c>
      <c r="I2586" s="21" t="s">
        <v>964</v>
      </c>
      <c r="J2586" s="21" t="s">
        <v>1000</v>
      </c>
      <c r="K2586" s="21" t="s">
        <v>1003</v>
      </c>
      <c r="L2586" s="21" t="s">
        <v>1553</v>
      </c>
      <c r="M2586" s="21" t="s">
        <v>12</v>
      </c>
      <c r="N2586" s="54">
        <v>0</v>
      </c>
      <c r="O2586" s="54">
        <v>50000</v>
      </c>
      <c r="P2586" s="54">
        <v>0</v>
      </c>
      <c r="Q2586" s="54">
        <v>50000</v>
      </c>
      <c r="R2586" s="54">
        <v>0</v>
      </c>
      <c r="S2586" s="54">
        <v>23816.57</v>
      </c>
      <c r="T2586" s="54">
        <v>0</v>
      </c>
      <c r="U2586" s="54">
        <v>26183.43</v>
      </c>
      <c r="V2586" s="54">
        <v>50000</v>
      </c>
      <c r="W2586" s="54">
        <v>26183.43</v>
      </c>
    </row>
    <row r="2587" spans="1:23" outlineLevel="2" x14ac:dyDescent="0.2">
      <c r="A2587" s="21" t="s">
        <v>999</v>
      </c>
      <c r="B2587" s="21" t="s">
        <v>31</v>
      </c>
      <c r="C2587" s="21" t="s">
        <v>32</v>
      </c>
      <c r="D2587" s="21" t="s">
        <v>75</v>
      </c>
      <c r="E2587" s="21" t="s">
        <v>76</v>
      </c>
      <c r="F2587" s="21" t="s">
        <v>933</v>
      </c>
      <c r="G2587" s="21" t="s">
        <v>934</v>
      </c>
      <c r="H2587" s="21" t="s">
        <v>963</v>
      </c>
      <c r="I2587" s="21" t="s">
        <v>964</v>
      </c>
      <c r="J2587" s="21" t="s">
        <v>1000</v>
      </c>
      <c r="K2587" s="21" t="s">
        <v>1127</v>
      </c>
      <c r="L2587" s="21" t="s">
        <v>1608</v>
      </c>
      <c r="M2587" s="21" t="s">
        <v>12</v>
      </c>
      <c r="N2587" s="54">
        <v>270000</v>
      </c>
      <c r="O2587" s="54">
        <v>-100000</v>
      </c>
      <c r="P2587" s="54">
        <v>0</v>
      </c>
      <c r="Q2587" s="54">
        <v>170000</v>
      </c>
      <c r="R2587" s="54">
        <v>0</v>
      </c>
      <c r="S2587" s="54">
        <v>0</v>
      </c>
      <c r="T2587" s="54">
        <v>0</v>
      </c>
      <c r="U2587" s="54">
        <v>170000</v>
      </c>
      <c r="V2587" s="54">
        <v>170000</v>
      </c>
      <c r="W2587" s="54">
        <v>170000</v>
      </c>
    </row>
    <row r="2588" spans="1:23" outlineLevel="2" x14ac:dyDescent="0.2">
      <c r="A2588" s="21" t="s">
        <v>999</v>
      </c>
      <c r="B2588" s="21" t="s">
        <v>31</v>
      </c>
      <c r="C2588" s="21" t="s">
        <v>32</v>
      </c>
      <c r="D2588" s="21" t="s">
        <v>75</v>
      </c>
      <c r="E2588" s="21" t="s">
        <v>76</v>
      </c>
      <c r="F2588" s="21" t="s">
        <v>933</v>
      </c>
      <c r="G2588" s="21" t="s">
        <v>934</v>
      </c>
      <c r="H2588" s="21" t="s">
        <v>963</v>
      </c>
      <c r="I2588" s="21" t="s">
        <v>964</v>
      </c>
      <c r="J2588" s="21" t="s">
        <v>1000</v>
      </c>
      <c r="K2588" s="21" t="s">
        <v>1129</v>
      </c>
      <c r="L2588" s="21" t="s">
        <v>1609</v>
      </c>
      <c r="M2588" s="21" t="s">
        <v>12</v>
      </c>
      <c r="N2588" s="54">
        <v>0</v>
      </c>
      <c r="O2588" s="54">
        <v>1000</v>
      </c>
      <c r="P2588" s="54">
        <v>0</v>
      </c>
      <c r="Q2588" s="54">
        <v>1000</v>
      </c>
      <c r="R2588" s="54">
        <v>0</v>
      </c>
      <c r="S2588" s="54">
        <v>0</v>
      </c>
      <c r="T2588" s="54">
        <v>0</v>
      </c>
      <c r="U2588" s="54">
        <v>1000</v>
      </c>
      <c r="V2588" s="54">
        <v>1000</v>
      </c>
      <c r="W2588" s="54">
        <v>1000</v>
      </c>
    </row>
    <row r="2589" spans="1:23" outlineLevel="2" x14ac:dyDescent="0.2">
      <c r="A2589" s="21" t="s">
        <v>999</v>
      </c>
      <c r="B2589" s="21" t="s">
        <v>31</v>
      </c>
      <c r="C2589" s="21" t="s">
        <v>32</v>
      </c>
      <c r="D2589" s="21" t="s">
        <v>75</v>
      </c>
      <c r="E2589" s="21" t="s">
        <v>76</v>
      </c>
      <c r="F2589" s="21" t="s">
        <v>933</v>
      </c>
      <c r="G2589" s="21" t="s">
        <v>934</v>
      </c>
      <c r="H2589" s="21" t="s">
        <v>963</v>
      </c>
      <c r="I2589" s="21" t="s">
        <v>964</v>
      </c>
      <c r="J2589" s="21" t="s">
        <v>1000</v>
      </c>
      <c r="K2589" s="21" t="s">
        <v>1267</v>
      </c>
      <c r="L2589" s="21" t="s">
        <v>1579</v>
      </c>
      <c r="M2589" s="21" t="s">
        <v>12</v>
      </c>
      <c r="N2589" s="54">
        <v>105000</v>
      </c>
      <c r="O2589" s="54">
        <v>-55000</v>
      </c>
      <c r="P2589" s="54">
        <v>0</v>
      </c>
      <c r="Q2589" s="54">
        <v>50000</v>
      </c>
      <c r="R2589" s="54">
        <v>0</v>
      </c>
      <c r="S2589" s="54">
        <v>0</v>
      </c>
      <c r="T2589" s="54">
        <v>0</v>
      </c>
      <c r="U2589" s="54">
        <v>50000</v>
      </c>
      <c r="V2589" s="54">
        <v>50000</v>
      </c>
      <c r="W2589" s="54">
        <v>50000</v>
      </c>
    </row>
    <row r="2590" spans="1:23" outlineLevel="2" x14ac:dyDescent="0.2">
      <c r="A2590" s="21" t="s">
        <v>999</v>
      </c>
      <c r="B2590" s="21" t="s">
        <v>31</v>
      </c>
      <c r="C2590" s="21" t="s">
        <v>32</v>
      </c>
      <c r="D2590" s="21" t="s">
        <v>75</v>
      </c>
      <c r="E2590" s="21" t="s">
        <v>76</v>
      </c>
      <c r="F2590" s="21" t="s">
        <v>933</v>
      </c>
      <c r="G2590" s="21" t="s">
        <v>934</v>
      </c>
      <c r="H2590" s="21" t="s">
        <v>963</v>
      </c>
      <c r="I2590" s="21" t="s">
        <v>964</v>
      </c>
      <c r="J2590" s="21" t="s">
        <v>1000</v>
      </c>
      <c r="K2590" s="21" t="s">
        <v>1078</v>
      </c>
      <c r="L2590" s="21" t="s">
        <v>1610</v>
      </c>
      <c r="M2590" s="21" t="s">
        <v>12</v>
      </c>
      <c r="N2590" s="54">
        <v>120000</v>
      </c>
      <c r="O2590" s="54">
        <v>-87400</v>
      </c>
      <c r="P2590" s="54">
        <v>0</v>
      </c>
      <c r="Q2590" s="54">
        <v>32600</v>
      </c>
      <c r="R2590" s="54">
        <v>0</v>
      </c>
      <c r="S2590" s="54">
        <v>0</v>
      </c>
      <c r="T2590" s="54">
        <v>0</v>
      </c>
      <c r="U2590" s="54">
        <v>32600</v>
      </c>
      <c r="V2590" s="54">
        <v>32600</v>
      </c>
      <c r="W2590" s="54">
        <v>32600</v>
      </c>
    </row>
    <row r="2591" spans="1:23" outlineLevel="2" x14ac:dyDescent="0.2">
      <c r="A2591" s="21" t="s">
        <v>999</v>
      </c>
      <c r="B2591" s="21" t="s">
        <v>31</v>
      </c>
      <c r="C2591" s="21" t="s">
        <v>32</v>
      </c>
      <c r="D2591" s="21" t="s">
        <v>75</v>
      </c>
      <c r="E2591" s="21" t="s">
        <v>76</v>
      </c>
      <c r="F2591" s="21" t="s">
        <v>933</v>
      </c>
      <c r="G2591" s="21" t="s">
        <v>934</v>
      </c>
      <c r="H2591" s="21" t="s">
        <v>963</v>
      </c>
      <c r="I2591" s="21" t="s">
        <v>964</v>
      </c>
      <c r="J2591" s="21" t="s">
        <v>1000</v>
      </c>
      <c r="K2591" s="21" t="s">
        <v>1019</v>
      </c>
      <c r="L2591" s="21" t="s">
        <v>1555</v>
      </c>
      <c r="M2591" s="21" t="s">
        <v>12</v>
      </c>
      <c r="N2591" s="54">
        <v>10000</v>
      </c>
      <c r="O2591" s="54">
        <v>8800</v>
      </c>
      <c r="P2591" s="54">
        <v>0</v>
      </c>
      <c r="Q2591" s="54">
        <v>18800</v>
      </c>
      <c r="R2591" s="54">
        <v>0</v>
      </c>
      <c r="S2591" s="54">
        <v>0</v>
      </c>
      <c r="T2591" s="54">
        <v>0</v>
      </c>
      <c r="U2591" s="54">
        <v>18800</v>
      </c>
      <c r="V2591" s="54">
        <v>18800</v>
      </c>
      <c r="W2591" s="54">
        <v>18800</v>
      </c>
    </row>
    <row r="2592" spans="1:23" outlineLevel="2" x14ac:dyDescent="0.2">
      <c r="A2592" s="21" t="s">
        <v>999</v>
      </c>
      <c r="B2592" s="21" t="s">
        <v>31</v>
      </c>
      <c r="C2592" s="21" t="s">
        <v>32</v>
      </c>
      <c r="D2592" s="21" t="s">
        <v>75</v>
      </c>
      <c r="E2592" s="21" t="s">
        <v>76</v>
      </c>
      <c r="F2592" s="21" t="s">
        <v>933</v>
      </c>
      <c r="G2592" s="21" t="s">
        <v>934</v>
      </c>
      <c r="H2592" s="21" t="s">
        <v>963</v>
      </c>
      <c r="I2592" s="21" t="s">
        <v>964</v>
      </c>
      <c r="J2592" s="21" t="s">
        <v>1000</v>
      </c>
      <c r="K2592" s="21" t="s">
        <v>1313</v>
      </c>
      <c r="L2592" s="21" t="s">
        <v>1556</v>
      </c>
      <c r="M2592" s="21" t="s">
        <v>12</v>
      </c>
      <c r="N2592" s="54">
        <v>1750</v>
      </c>
      <c r="O2592" s="54">
        <v>-858.09</v>
      </c>
      <c r="P2592" s="54">
        <v>0</v>
      </c>
      <c r="Q2592" s="54">
        <v>891.91</v>
      </c>
      <c r="R2592" s="54">
        <v>0</v>
      </c>
      <c r="S2592" s="54">
        <v>0</v>
      </c>
      <c r="T2592" s="54">
        <v>0</v>
      </c>
      <c r="U2592" s="54">
        <v>891.91</v>
      </c>
      <c r="V2592" s="54">
        <v>891.91</v>
      </c>
      <c r="W2592" s="54">
        <v>891.91</v>
      </c>
    </row>
    <row r="2593" spans="1:23" outlineLevel="2" x14ac:dyDescent="0.2">
      <c r="A2593" s="21" t="s">
        <v>999</v>
      </c>
      <c r="B2593" s="21" t="s">
        <v>31</v>
      </c>
      <c r="C2593" s="21" t="s">
        <v>32</v>
      </c>
      <c r="D2593" s="21" t="s">
        <v>75</v>
      </c>
      <c r="E2593" s="21" t="s">
        <v>76</v>
      </c>
      <c r="F2593" s="21" t="s">
        <v>933</v>
      </c>
      <c r="G2593" s="21" t="s">
        <v>934</v>
      </c>
      <c r="H2593" s="21" t="s">
        <v>963</v>
      </c>
      <c r="I2593" s="21" t="s">
        <v>964</v>
      </c>
      <c r="J2593" s="21" t="s">
        <v>1000</v>
      </c>
      <c r="K2593" s="21" t="s">
        <v>1092</v>
      </c>
      <c r="L2593" s="21" t="s">
        <v>1588</v>
      </c>
      <c r="M2593" s="21" t="s">
        <v>12</v>
      </c>
      <c r="N2593" s="54">
        <v>0</v>
      </c>
      <c r="O2593" s="54">
        <v>3700</v>
      </c>
      <c r="P2593" s="54">
        <v>0</v>
      </c>
      <c r="Q2593" s="54">
        <v>3700</v>
      </c>
      <c r="R2593" s="54">
        <v>0</v>
      </c>
      <c r="S2593" s="54">
        <v>0</v>
      </c>
      <c r="T2593" s="54">
        <v>0</v>
      </c>
      <c r="U2593" s="54">
        <v>3700</v>
      </c>
      <c r="V2593" s="54">
        <v>3700</v>
      </c>
      <c r="W2593" s="54">
        <v>3700</v>
      </c>
    </row>
    <row r="2594" spans="1:23" outlineLevel="2" x14ac:dyDescent="0.2">
      <c r="A2594" s="21" t="s">
        <v>999</v>
      </c>
      <c r="B2594" s="21" t="s">
        <v>31</v>
      </c>
      <c r="C2594" s="21" t="s">
        <v>32</v>
      </c>
      <c r="D2594" s="21" t="s">
        <v>75</v>
      </c>
      <c r="E2594" s="21" t="s">
        <v>76</v>
      </c>
      <c r="F2594" s="21" t="s">
        <v>933</v>
      </c>
      <c r="G2594" s="21" t="s">
        <v>934</v>
      </c>
      <c r="H2594" s="21" t="s">
        <v>963</v>
      </c>
      <c r="I2594" s="21" t="s">
        <v>964</v>
      </c>
      <c r="J2594" s="21" t="s">
        <v>1000</v>
      </c>
      <c r="K2594" s="21" t="s">
        <v>1084</v>
      </c>
      <c r="L2594" s="21" t="s">
        <v>1602</v>
      </c>
      <c r="M2594" s="21" t="s">
        <v>12</v>
      </c>
      <c r="N2594" s="54">
        <v>90000</v>
      </c>
      <c r="O2594" s="54">
        <v>-60000</v>
      </c>
      <c r="P2594" s="54">
        <v>0</v>
      </c>
      <c r="Q2594" s="54">
        <v>30000</v>
      </c>
      <c r="R2594" s="54">
        <v>0</v>
      </c>
      <c r="S2594" s="54">
        <v>0</v>
      </c>
      <c r="T2594" s="54">
        <v>0</v>
      </c>
      <c r="U2594" s="54">
        <v>30000</v>
      </c>
      <c r="V2594" s="54">
        <v>30000</v>
      </c>
      <c r="W2594" s="54">
        <v>30000</v>
      </c>
    </row>
    <row r="2595" spans="1:23" outlineLevel="2" x14ac:dyDescent="0.2">
      <c r="A2595" s="21" t="s">
        <v>999</v>
      </c>
      <c r="B2595" s="21" t="s">
        <v>31</v>
      </c>
      <c r="C2595" s="21" t="s">
        <v>32</v>
      </c>
      <c r="D2595" s="21" t="s">
        <v>75</v>
      </c>
      <c r="E2595" s="21" t="s">
        <v>76</v>
      </c>
      <c r="F2595" s="21" t="s">
        <v>933</v>
      </c>
      <c r="G2595" s="21" t="s">
        <v>934</v>
      </c>
      <c r="H2595" s="21" t="s">
        <v>963</v>
      </c>
      <c r="I2595" s="21" t="s">
        <v>964</v>
      </c>
      <c r="J2595" s="21" t="s">
        <v>1000</v>
      </c>
      <c r="K2595" s="21" t="s">
        <v>1120</v>
      </c>
      <c r="L2595" s="21" t="s">
        <v>1604</v>
      </c>
      <c r="M2595" s="21" t="s">
        <v>12</v>
      </c>
      <c r="N2595" s="54">
        <v>750</v>
      </c>
      <c r="O2595" s="54">
        <v>0</v>
      </c>
      <c r="P2595" s="54">
        <v>0</v>
      </c>
      <c r="Q2595" s="54">
        <v>750</v>
      </c>
      <c r="R2595" s="54">
        <v>0</v>
      </c>
      <c r="S2595" s="54">
        <v>0</v>
      </c>
      <c r="T2595" s="54">
        <v>0</v>
      </c>
      <c r="U2595" s="54">
        <v>750</v>
      </c>
      <c r="V2595" s="54">
        <v>750</v>
      </c>
      <c r="W2595" s="54">
        <v>750</v>
      </c>
    </row>
    <row r="2596" spans="1:23" outlineLevel="2" x14ac:dyDescent="0.2">
      <c r="A2596" s="21" t="s">
        <v>999</v>
      </c>
      <c r="B2596" s="21" t="s">
        <v>31</v>
      </c>
      <c r="C2596" s="21" t="s">
        <v>32</v>
      </c>
      <c r="D2596" s="21" t="s">
        <v>75</v>
      </c>
      <c r="E2596" s="21" t="s">
        <v>76</v>
      </c>
      <c r="F2596" s="21" t="s">
        <v>933</v>
      </c>
      <c r="G2596" s="21" t="s">
        <v>934</v>
      </c>
      <c r="H2596" s="21" t="s">
        <v>963</v>
      </c>
      <c r="I2596" s="21" t="s">
        <v>964</v>
      </c>
      <c r="J2596" s="21" t="s">
        <v>1000</v>
      </c>
      <c r="K2596" s="21" t="s">
        <v>1183</v>
      </c>
      <c r="L2596" s="21" t="s">
        <v>1563</v>
      </c>
      <c r="M2596" s="21" t="s">
        <v>12</v>
      </c>
      <c r="N2596" s="54">
        <v>2000</v>
      </c>
      <c r="O2596" s="54">
        <v>-250</v>
      </c>
      <c r="P2596" s="54">
        <v>0</v>
      </c>
      <c r="Q2596" s="54">
        <v>1750</v>
      </c>
      <c r="R2596" s="54">
        <v>0</v>
      </c>
      <c r="S2596" s="54">
        <v>0</v>
      </c>
      <c r="T2596" s="54">
        <v>0</v>
      </c>
      <c r="U2596" s="54">
        <v>1750</v>
      </c>
      <c r="V2596" s="54">
        <v>1750</v>
      </c>
      <c r="W2596" s="54">
        <v>1750</v>
      </c>
    </row>
    <row r="2597" spans="1:23" outlineLevel="2" x14ac:dyDescent="0.2">
      <c r="A2597" s="21" t="s">
        <v>999</v>
      </c>
      <c r="B2597" s="21" t="s">
        <v>31</v>
      </c>
      <c r="C2597" s="21" t="s">
        <v>32</v>
      </c>
      <c r="D2597" s="21" t="s">
        <v>123</v>
      </c>
      <c r="E2597" s="21" t="s">
        <v>124</v>
      </c>
      <c r="F2597" s="21" t="s">
        <v>933</v>
      </c>
      <c r="G2597" s="21" t="s">
        <v>934</v>
      </c>
      <c r="H2597" s="21" t="s">
        <v>1611</v>
      </c>
      <c r="I2597" s="21" t="s">
        <v>1612</v>
      </c>
      <c r="J2597" s="21" t="s">
        <v>1000</v>
      </c>
      <c r="K2597" s="21" t="s">
        <v>1039</v>
      </c>
      <c r="L2597" s="21" t="s">
        <v>1598</v>
      </c>
      <c r="M2597" s="21" t="s">
        <v>12</v>
      </c>
      <c r="N2597" s="54">
        <v>60000</v>
      </c>
      <c r="O2597" s="54">
        <v>0</v>
      </c>
      <c r="P2597" s="54">
        <v>0</v>
      </c>
      <c r="Q2597" s="54">
        <v>60000</v>
      </c>
      <c r="R2597" s="54">
        <v>1185.52</v>
      </c>
      <c r="S2597" s="54">
        <v>5927.6</v>
      </c>
      <c r="T2597" s="54">
        <v>5927.6</v>
      </c>
      <c r="U2597" s="54">
        <v>54072.4</v>
      </c>
      <c r="V2597" s="54">
        <v>54072.4</v>
      </c>
      <c r="W2597" s="54">
        <v>52886.879999999997</v>
      </c>
    </row>
    <row r="2598" spans="1:23" outlineLevel="2" x14ac:dyDescent="0.2">
      <c r="A2598" s="21" t="s">
        <v>999</v>
      </c>
      <c r="B2598" s="21" t="s">
        <v>31</v>
      </c>
      <c r="C2598" s="21" t="s">
        <v>32</v>
      </c>
      <c r="D2598" s="21" t="s">
        <v>123</v>
      </c>
      <c r="E2598" s="21" t="s">
        <v>124</v>
      </c>
      <c r="F2598" s="21" t="s">
        <v>933</v>
      </c>
      <c r="G2598" s="21" t="s">
        <v>934</v>
      </c>
      <c r="H2598" s="21" t="s">
        <v>1611</v>
      </c>
      <c r="I2598" s="21" t="s">
        <v>1612</v>
      </c>
      <c r="J2598" s="21" t="s">
        <v>1000</v>
      </c>
      <c r="K2598" s="21" t="s">
        <v>1068</v>
      </c>
      <c r="L2598" s="21" t="s">
        <v>1600</v>
      </c>
      <c r="M2598" s="21" t="s">
        <v>12</v>
      </c>
      <c r="N2598" s="54">
        <v>18000</v>
      </c>
      <c r="O2598" s="54">
        <v>0</v>
      </c>
      <c r="P2598" s="54">
        <v>0</v>
      </c>
      <c r="Q2598" s="54">
        <v>18000</v>
      </c>
      <c r="R2598" s="54">
        <v>0</v>
      </c>
      <c r="S2598" s="54">
        <v>0</v>
      </c>
      <c r="T2598" s="54">
        <v>0</v>
      </c>
      <c r="U2598" s="54">
        <v>18000</v>
      </c>
      <c r="V2598" s="54">
        <v>18000</v>
      </c>
      <c r="W2598" s="54">
        <v>18000</v>
      </c>
    </row>
    <row r="2599" spans="1:23" outlineLevel="2" x14ac:dyDescent="0.2">
      <c r="A2599" s="21" t="s">
        <v>999</v>
      </c>
      <c r="B2599" s="21" t="s">
        <v>31</v>
      </c>
      <c r="C2599" s="21" t="s">
        <v>32</v>
      </c>
      <c r="D2599" s="21" t="s">
        <v>123</v>
      </c>
      <c r="E2599" s="21" t="s">
        <v>124</v>
      </c>
      <c r="F2599" s="21" t="s">
        <v>933</v>
      </c>
      <c r="G2599" s="21" t="s">
        <v>934</v>
      </c>
      <c r="H2599" s="21" t="s">
        <v>1611</v>
      </c>
      <c r="I2599" s="21" t="s">
        <v>1612</v>
      </c>
      <c r="J2599" s="21" t="s">
        <v>1000</v>
      </c>
      <c r="K2599" s="21" t="s">
        <v>1084</v>
      </c>
      <c r="L2599" s="21" t="s">
        <v>1602</v>
      </c>
      <c r="M2599" s="21" t="s">
        <v>12</v>
      </c>
      <c r="N2599" s="54">
        <v>2000</v>
      </c>
      <c r="O2599" s="54">
        <v>0</v>
      </c>
      <c r="P2599" s="54">
        <v>0</v>
      </c>
      <c r="Q2599" s="54">
        <v>2000</v>
      </c>
      <c r="R2599" s="54">
        <v>0</v>
      </c>
      <c r="S2599" s="54">
        <v>0</v>
      </c>
      <c r="T2599" s="54">
        <v>0</v>
      </c>
      <c r="U2599" s="54">
        <v>2000</v>
      </c>
      <c r="V2599" s="54">
        <v>2000</v>
      </c>
      <c r="W2599" s="54">
        <v>2000</v>
      </c>
    </row>
    <row r="2600" spans="1:23" outlineLevel="2" x14ac:dyDescent="0.2">
      <c r="A2600" s="21" t="s">
        <v>999</v>
      </c>
      <c r="B2600" s="21" t="s">
        <v>31</v>
      </c>
      <c r="C2600" s="21" t="s">
        <v>32</v>
      </c>
      <c r="D2600" s="21" t="s">
        <v>123</v>
      </c>
      <c r="E2600" s="21" t="s">
        <v>124</v>
      </c>
      <c r="F2600" s="21" t="s">
        <v>933</v>
      </c>
      <c r="G2600" s="21" t="s">
        <v>934</v>
      </c>
      <c r="H2600" s="21" t="s">
        <v>965</v>
      </c>
      <c r="I2600" s="21" t="s">
        <v>966</v>
      </c>
      <c r="J2600" s="21" t="s">
        <v>1000</v>
      </c>
      <c r="K2600" s="21" t="s">
        <v>1104</v>
      </c>
      <c r="L2600" s="21" t="s">
        <v>1580</v>
      </c>
      <c r="M2600" s="21" t="s">
        <v>12</v>
      </c>
      <c r="N2600" s="54">
        <v>12000</v>
      </c>
      <c r="O2600" s="54">
        <v>-7000</v>
      </c>
      <c r="P2600" s="54">
        <v>0</v>
      </c>
      <c r="Q2600" s="54">
        <v>5000</v>
      </c>
      <c r="R2600" s="54">
        <v>0</v>
      </c>
      <c r="S2600" s="54">
        <v>0</v>
      </c>
      <c r="T2600" s="54">
        <v>0</v>
      </c>
      <c r="U2600" s="54">
        <v>5000</v>
      </c>
      <c r="V2600" s="54">
        <v>5000</v>
      </c>
      <c r="W2600" s="54">
        <v>5000</v>
      </c>
    </row>
    <row r="2601" spans="1:23" outlineLevel="2" x14ac:dyDescent="0.2">
      <c r="A2601" s="21" t="s">
        <v>999</v>
      </c>
      <c r="B2601" s="21" t="s">
        <v>31</v>
      </c>
      <c r="C2601" s="21" t="s">
        <v>32</v>
      </c>
      <c r="D2601" s="21" t="s">
        <v>123</v>
      </c>
      <c r="E2601" s="21" t="s">
        <v>124</v>
      </c>
      <c r="F2601" s="21" t="s">
        <v>933</v>
      </c>
      <c r="G2601" s="21" t="s">
        <v>934</v>
      </c>
      <c r="H2601" s="21" t="s">
        <v>965</v>
      </c>
      <c r="I2601" s="21" t="s">
        <v>966</v>
      </c>
      <c r="J2601" s="21" t="s">
        <v>1000</v>
      </c>
      <c r="K2601" s="21" t="s">
        <v>1298</v>
      </c>
      <c r="L2601" s="21" t="s">
        <v>1547</v>
      </c>
      <c r="M2601" s="21" t="s">
        <v>12</v>
      </c>
      <c r="N2601" s="54">
        <v>36000</v>
      </c>
      <c r="O2601" s="54">
        <v>0</v>
      </c>
      <c r="P2601" s="54">
        <v>0</v>
      </c>
      <c r="Q2601" s="54">
        <v>36000</v>
      </c>
      <c r="R2601" s="54">
        <v>0</v>
      </c>
      <c r="S2601" s="54">
        <v>0</v>
      </c>
      <c r="T2601" s="54">
        <v>0</v>
      </c>
      <c r="U2601" s="54">
        <v>36000</v>
      </c>
      <c r="V2601" s="54">
        <v>36000</v>
      </c>
      <c r="W2601" s="54">
        <v>36000</v>
      </c>
    </row>
    <row r="2602" spans="1:23" outlineLevel="2" x14ac:dyDescent="0.2">
      <c r="A2602" s="21" t="s">
        <v>999</v>
      </c>
      <c r="B2602" s="21" t="s">
        <v>31</v>
      </c>
      <c r="C2602" s="21" t="s">
        <v>32</v>
      </c>
      <c r="D2602" s="21" t="s">
        <v>123</v>
      </c>
      <c r="E2602" s="21" t="s">
        <v>124</v>
      </c>
      <c r="F2602" s="21" t="s">
        <v>933</v>
      </c>
      <c r="G2602" s="21" t="s">
        <v>934</v>
      </c>
      <c r="H2602" s="21" t="s">
        <v>965</v>
      </c>
      <c r="I2602" s="21" t="s">
        <v>966</v>
      </c>
      <c r="J2602" s="21" t="s">
        <v>1000</v>
      </c>
      <c r="K2602" s="21" t="s">
        <v>1037</v>
      </c>
      <c r="L2602" s="21" t="s">
        <v>1548</v>
      </c>
      <c r="M2602" s="21" t="s">
        <v>12</v>
      </c>
      <c r="N2602" s="54">
        <v>27170</v>
      </c>
      <c r="O2602" s="54">
        <v>-17930</v>
      </c>
      <c r="P2602" s="54">
        <v>0</v>
      </c>
      <c r="Q2602" s="54">
        <v>9240</v>
      </c>
      <c r="R2602" s="54">
        <v>0</v>
      </c>
      <c r="S2602" s="54">
        <v>0</v>
      </c>
      <c r="T2602" s="54">
        <v>0</v>
      </c>
      <c r="U2602" s="54">
        <v>9240</v>
      </c>
      <c r="V2602" s="54">
        <v>9240</v>
      </c>
      <c r="W2602" s="54">
        <v>9240</v>
      </c>
    </row>
    <row r="2603" spans="1:23" outlineLevel="2" x14ac:dyDescent="0.2">
      <c r="A2603" s="21" t="s">
        <v>999</v>
      </c>
      <c r="B2603" s="21" t="s">
        <v>31</v>
      </c>
      <c r="C2603" s="21" t="s">
        <v>32</v>
      </c>
      <c r="D2603" s="21" t="s">
        <v>123</v>
      </c>
      <c r="E2603" s="21" t="s">
        <v>124</v>
      </c>
      <c r="F2603" s="21" t="s">
        <v>933</v>
      </c>
      <c r="G2603" s="21" t="s">
        <v>934</v>
      </c>
      <c r="H2603" s="21" t="s">
        <v>965</v>
      </c>
      <c r="I2603" s="21" t="s">
        <v>966</v>
      </c>
      <c r="J2603" s="21" t="s">
        <v>1000</v>
      </c>
      <c r="K2603" s="21" t="s">
        <v>1039</v>
      </c>
      <c r="L2603" s="21" t="s">
        <v>1598</v>
      </c>
      <c r="M2603" s="21" t="s">
        <v>12</v>
      </c>
      <c r="N2603" s="54">
        <v>31150</v>
      </c>
      <c r="O2603" s="54">
        <v>-25150</v>
      </c>
      <c r="P2603" s="54">
        <v>0</v>
      </c>
      <c r="Q2603" s="54">
        <v>6000</v>
      </c>
      <c r="R2603" s="54">
        <v>0</v>
      </c>
      <c r="S2603" s="54">
        <v>0</v>
      </c>
      <c r="T2603" s="54">
        <v>0</v>
      </c>
      <c r="U2603" s="54">
        <v>6000</v>
      </c>
      <c r="V2603" s="54">
        <v>6000</v>
      </c>
      <c r="W2603" s="54">
        <v>6000</v>
      </c>
    </row>
    <row r="2604" spans="1:23" outlineLevel="2" x14ac:dyDescent="0.2">
      <c r="A2604" s="21" t="s">
        <v>999</v>
      </c>
      <c r="B2604" s="21" t="s">
        <v>31</v>
      </c>
      <c r="C2604" s="21" t="s">
        <v>32</v>
      </c>
      <c r="D2604" s="21" t="s">
        <v>123</v>
      </c>
      <c r="E2604" s="21" t="s">
        <v>124</v>
      </c>
      <c r="F2604" s="21" t="s">
        <v>933</v>
      </c>
      <c r="G2604" s="21" t="s">
        <v>934</v>
      </c>
      <c r="H2604" s="21" t="s">
        <v>965</v>
      </c>
      <c r="I2604" s="21" t="s">
        <v>966</v>
      </c>
      <c r="J2604" s="21" t="s">
        <v>1000</v>
      </c>
      <c r="K2604" s="21" t="s">
        <v>1058</v>
      </c>
      <c r="L2604" s="21" t="s">
        <v>1605</v>
      </c>
      <c r="M2604" s="21" t="s">
        <v>12</v>
      </c>
      <c r="N2604" s="54">
        <v>20000</v>
      </c>
      <c r="O2604" s="54">
        <v>-20000</v>
      </c>
      <c r="P2604" s="54">
        <v>0</v>
      </c>
      <c r="Q2604" s="54">
        <v>0</v>
      </c>
      <c r="R2604" s="54">
        <v>0</v>
      </c>
      <c r="S2604" s="54">
        <v>0</v>
      </c>
      <c r="T2604" s="54">
        <v>0</v>
      </c>
      <c r="U2604" s="54">
        <v>0</v>
      </c>
      <c r="V2604" s="54">
        <v>0</v>
      </c>
      <c r="W2604" s="54">
        <v>0</v>
      </c>
    </row>
    <row r="2605" spans="1:23" outlineLevel="2" x14ac:dyDescent="0.2">
      <c r="A2605" s="21" t="s">
        <v>999</v>
      </c>
      <c r="B2605" s="21" t="s">
        <v>31</v>
      </c>
      <c r="C2605" s="21" t="s">
        <v>32</v>
      </c>
      <c r="D2605" s="21" t="s">
        <v>123</v>
      </c>
      <c r="E2605" s="21" t="s">
        <v>124</v>
      </c>
      <c r="F2605" s="21" t="s">
        <v>933</v>
      </c>
      <c r="G2605" s="21" t="s">
        <v>934</v>
      </c>
      <c r="H2605" s="21" t="s">
        <v>965</v>
      </c>
      <c r="I2605" s="21" t="s">
        <v>966</v>
      </c>
      <c r="J2605" s="21" t="s">
        <v>1000</v>
      </c>
      <c r="K2605" s="21" t="s">
        <v>1009</v>
      </c>
      <c r="L2605" s="21" t="s">
        <v>1568</v>
      </c>
      <c r="M2605" s="21" t="s">
        <v>12</v>
      </c>
      <c r="N2605" s="54">
        <v>6840</v>
      </c>
      <c r="O2605" s="54">
        <v>-6840</v>
      </c>
      <c r="P2605" s="54">
        <v>0</v>
      </c>
      <c r="Q2605" s="54">
        <v>0</v>
      </c>
      <c r="R2605" s="54">
        <v>0</v>
      </c>
      <c r="S2605" s="54">
        <v>0</v>
      </c>
      <c r="T2605" s="54">
        <v>0</v>
      </c>
      <c r="U2605" s="54">
        <v>0</v>
      </c>
      <c r="V2605" s="54">
        <v>0</v>
      </c>
      <c r="W2605" s="54">
        <v>0</v>
      </c>
    </row>
    <row r="2606" spans="1:23" outlineLevel="2" x14ac:dyDescent="0.2">
      <c r="A2606" s="21" t="s">
        <v>999</v>
      </c>
      <c r="B2606" s="21" t="s">
        <v>31</v>
      </c>
      <c r="C2606" s="21" t="s">
        <v>32</v>
      </c>
      <c r="D2606" s="21" t="s">
        <v>123</v>
      </c>
      <c r="E2606" s="21" t="s">
        <v>124</v>
      </c>
      <c r="F2606" s="21" t="s">
        <v>933</v>
      </c>
      <c r="G2606" s="21" t="s">
        <v>934</v>
      </c>
      <c r="H2606" s="21" t="s">
        <v>965</v>
      </c>
      <c r="I2606" s="21" t="s">
        <v>966</v>
      </c>
      <c r="J2606" s="21" t="s">
        <v>1000</v>
      </c>
      <c r="K2606" s="21" t="s">
        <v>1376</v>
      </c>
      <c r="L2606" s="21" t="s">
        <v>1584</v>
      </c>
      <c r="M2606" s="21" t="s">
        <v>12</v>
      </c>
      <c r="N2606" s="54">
        <v>4800</v>
      </c>
      <c r="O2606" s="54">
        <v>-3200</v>
      </c>
      <c r="P2606" s="54">
        <v>0</v>
      </c>
      <c r="Q2606" s="54">
        <v>1600</v>
      </c>
      <c r="R2606" s="54">
        <v>0</v>
      </c>
      <c r="S2606" s="54">
        <v>0</v>
      </c>
      <c r="T2606" s="54">
        <v>0</v>
      </c>
      <c r="U2606" s="54">
        <v>1600</v>
      </c>
      <c r="V2606" s="54">
        <v>1600</v>
      </c>
      <c r="W2606" s="54">
        <v>1600</v>
      </c>
    </row>
    <row r="2607" spans="1:23" outlineLevel="2" x14ac:dyDescent="0.2">
      <c r="A2607" s="21" t="s">
        <v>999</v>
      </c>
      <c r="B2607" s="21" t="s">
        <v>31</v>
      </c>
      <c r="C2607" s="21" t="s">
        <v>32</v>
      </c>
      <c r="D2607" s="21" t="s">
        <v>141</v>
      </c>
      <c r="E2607" s="21" t="s">
        <v>142</v>
      </c>
      <c r="F2607" s="21" t="s">
        <v>933</v>
      </c>
      <c r="G2607" s="21" t="s">
        <v>934</v>
      </c>
      <c r="H2607" s="21" t="s">
        <v>965</v>
      </c>
      <c r="I2607" s="21" t="s">
        <v>966</v>
      </c>
      <c r="J2607" s="21" t="s">
        <v>1000</v>
      </c>
      <c r="K2607" s="21" t="s">
        <v>1017</v>
      </c>
      <c r="L2607" s="21" t="s">
        <v>1571</v>
      </c>
      <c r="M2607" s="21" t="s">
        <v>12</v>
      </c>
      <c r="N2607" s="54">
        <v>251272.44</v>
      </c>
      <c r="O2607" s="54">
        <v>-251272.44</v>
      </c>
      <c r="P2607" s="54">
        <v>0</v>
      </c>
      <c r="Q2607" s="54">
        <v>0</v>
      </c>
      <c r="R2607" s="54">
        <v>0</v>
      </c>
      <c r="S2607" s="54">
        <v>0</v>
      </c>
      <c r="T2607" s="54">
        <v>0</v>
      </c>
      <c r="U2607" s="54">
        <v>0</v>
      </c>
      <c r="V2607" s="54">
        <v>0</v>
      </c>
      <c r="W2607" s="54">
        <v>0</v>
      </c>
    </row>
    <row r="2608" spans="1:23" outlineLevel="2" x14ac:dyDescent="0.2">
      <c r="A2608" s="21" t="s">
        <v>999</v>
      </c>
      <c r="B2608" s="21" t="s">
        <v>31</v>
      </c>
      <c r="C2608" s="21" t="s">
        <v>32</v>
      </c>
      <c r="D2608" s="21" t="s">
        <v>123</v>
      </c>
      <c r="E2608" s="21" t="s">
        <v>124</v>
      </c>
      <c r="F2608" s="21" t="s">
        <v>933</v>
      </c>
      <c r="G2608" s="21" t="s">
        <v>934</v>
      </c>
      <c r="H2608" s="21" t="s">
        <v>965</v>
      </c>
      <c r="I2608" s="21" t="s">
        <v>966</v>
      </c>
      <c r="J2608" s="21" t="s">
        <v>1000</v>
      </c>
      <c r="K2608" s="21" t="s">
        <v>1017</v>
      </c>
      <c r="L2608" s="21" t="s">
        <v>1571</v>
      </c>
      <c r="M2608" s="21" t="s">
        <v>12</v>
      </c>
      <c r="N2608" s="54">
        <v>861358.82</v>
      </c>
      <c r="O2608" s="54">
        <v>-861358.82</v>
      </c>
      <c r="P2608" s="54">
        <v>0</v>
      </c>
      <c r="Q2608" s="54">
        <v>0</v>
      </c>
      <c r="R2608" s="54">
        <v>0</v>
      </c>
      <c r="S2608" s="54">
        <v>0</v>
      </c>
      <c r="T2608" s="54">
        <v>0</v>
      </c>
      <c r="U2608" s="54">
        <v>0</v>
      </c>
      <c r="V2608" s="54">
        <v>0</v>
      </c>
      <c r="W2608" s="54">
        <v>0</v>
      </c>
    </row>
    <row r="2609" spans="1:23" outlineLevel="2" x14ac:dyDescent="0.2">
      <c r="A2609" s="21" t="s">
        <v>999</v>
      </c>
      <c r="B2609" s="21" t="s">
        <v>31</v>
      </c>
      <c r="C2609" s="21" t="s">
        <v>32</v>
      </c>
      <c r="D2609" s="21" t="s">
        <v>123</v>
      </c>
      <c r="E2609" s="21" t="s">
        <v>124</v>
      </c>
      <c r="F2609" s="21" t="s">
        <v>933</v>
      </c>
      <c r="G2609" s="21" t="s">
        <v>934</v>
      </c>
      <c r="H2609" s="21" t="s">
        <v>965</v>
      </c>
      <c r="I2609" s="21" t="s">
        <v>966</v>
      </c>
      <c r="J2609" s="21" t="s">
        <v>1000</v>
      </c>
      <c r="K2609" s="21" t="s">
        <v>1029</v>
      </c>
      <c r="L2609" s="21" t="s">
        <v>1586</v>
      </c>
      <c r="M2609" s="21" t="s">
        <v>12</v>
      </c>
      <c r="N2609" s="54">
        <v>55000</v>
      </c>
      <c r="O2609" s="54">
        <v>-55000</v>
      </c>
      <c r="P2609" s="54">
        <v>0</v>
      </c>
      <c r="Q2609" s="54">
        <v>0</v>
      </c>
      <c r="R2609" s="54">
        <v>0</v>
      </c>
      <c r="S2609" s="54">
        <v>0</v>
      </c>
      <c r="T2609" s="54">
        <v>0</v>
      </c>
      <c r="U2609" s="54">
        <v>0</v>
      </c>
      <c r="V2609" s="54">
        <v>0</v>
      </c>
      <c r="W2609" s="54">
        <v>0</v>
      </c>
    </row>
    <row r="2610" spans="1:23" outlineLevel="2" x14ac:dyDescent="0.2">
      <c r="A2610" s="21" t="s">
        <v>999</v>
      </c>
      <c r="B2610" s="21" t="s">
        <v>31</v>
      </c>
      <c r="C2610" s="21" t="s">
        <v>32</v>
      </c>
      <c r="D2610" s="21" t="s">
        <v>123</v>
      </c>
      <c r="E2610" s="21" t="s">
        <v>124</v>
      </c>
      <c r="F2610" s="21" t="s">
        <v>933</v>
      </c>
      <c r="G2610" s="21" t="s">
        <v>934</v>
      </c>
      <c r="H2610" s="21" t="s">
        <v>965</v>
      </c>
      <c r="I2610" s="21" t="s">
        <v>966</v>
      </c>
      <c r="J2610" s="21" t="s">
        <v>1000</v>
      </c>
      <c r="K2610" s="21" t="s">
        <v>1116</v>
      </c>
      <c r="L2610" s="21" t="s">
        <v>1587</v>
      </c>
      <c r="M2610" s="21" t="s">
        <v>12</v>
      </c>
      <c r="N2610" s="54">
        <v>18152</v>
      </c>
      <c r="O2610" s="54">
        <v>-7650</v>
      </c>
      <c r="P2610" s="54">
        <v>0</v>
      </c>
      <c r="Q2610" s="54">
        <v>10502</v>
      </c>
      <c r="R2610" s="54">
        <v>0</v>
      </c>
      <c r="S2610" s="54">
        <v>0</v>
      </c>
      <c r="T2610" s="54">
        <v>0</v>
      </c>
      <c r="U2610" s="54">
        <v>10502</v>
      </c>
      <c r="V2610" s="54">
        <v>10502</v>
      </c>
      <c r="W2610" s="54">
        <v>10502</v>
      </c>
    </row>
    <row r="2611" spans="1:23" outlineLevel="2" x14ac:dyDescent="0.2">
      <c r="A2611" s="21" t="s">
        <v>999</v>
      </c>
      <c r="B2611" s="21" t="s">
        <v>31</v>
      </c>
      <c r="C2611" s="21" t="s">
        <v>32</v>
      </c>
      <c r="D2611" s="21" t="s">
        <v>123</v>
      </c>
      <c r="E2611" s="21" t="s">
        <v>124</v>
      </c>
      <c r="F2611" s="21" t="s">
        <v>933</v>
      </c>
      <c r="G2611" s="21" t="s">
        <v>934</v>
      </c>
      <c r="H2611" s="21" t="s">
        <v>965</v>
      </c>
      <c r="I2611" s="21" t="s">
        <v>966</v>
      </c>
      <c r="J2611" s="21" t="s">
        <v>1000</v>
      </c>
      <c r="K2611" s="21" t="s">
        <v>1061</v>
      </c>
      <c r="L2611" s="21" t="s">
        <v>1554</v>
      </c>
      <c r="M2611" s="21" t="s">
        <v>12</v>
      </c>
      <c r="N2611" s="54">
        <v>16800</v>
      </c>
      <c r="O2611" s="54">
        <v>0</v>
      </c>
      <c r="P2611" s="54">
        <v>0</v>
      </c>
      <c r="Q2611" s="54">
        <v>16800</v>
      </c>
      <c r="R2611" s="54">
        <v>0</v>
      </c>
      <c r="S2611" s="54">
        <v>0</v>
      </c>
      <c r="T2611" s="54">
        <v>0</v>
      </c>
      <c r="U2611" s="54">
        <v>16800</v>
      </c>
      <c r="V2611" s="54">
        <v>16800</v>
      </c>
      <c r="W2611" s="54">
        <v>16800</v>
      </c>
    </row>
    <row r="2612" spans="1:23" outlineLevel="2" x14ac:dyDescent="0.2">
      <c r="A2612" s="21" t="s">
        <v>999</v>
      </c>
      <c r="B2612" s="21" t="s">
        <v>31</v>
      </c>
      <c r="C2612" s="21" t="s">
        <v>32</v>
      </c>
      <c r="D2612" s="21" t="s">
        <v>123</v>
      </c>
      <c r="E2612" s="21" t="s">
        <v>124</v>
      </c>
      <c r="F2612" s="21" t="s">
        <v>933</v>
      </c>
      <c r="G2612" s="21" t="s">
        <v>934</v>
      </c>
      <c r="H2612" s="21" t="s">
        <v>965</v>
      </c>
      <c r="I2612" s="21" t="s">
        <v>966</v>
      </c>
      <c r="J2612" s="21" t="s">
        <v>1000</v>
      </c>
      <c r="K2612" s="21" t="s">
        <v>1381</v>
      </c>
      <c r="L2612" s="21" t="s">
        <v>1613</v>
      </c>
      <c r="M2612" s="21" t="s">
        <v>12</v>
      </c>
      <c r="N2612" s="54">
        <v>5750</v>
      </c>
      <c r="O2612" s="54">
        <v>-2000</v>
      </c>
      <c r="P2612" s="54">
        <v>0</v>
      </c>
      <c r="Q2612" s="54">
        <v>3750</v>
      </c>
      <c r="R2612" s="54">
        <v>0</v>
      </c>
      <c r="S2612" s="54">
        <v>0</v>
      </c>
      <c r="T2612" s="54">
        <v>0</v>
      </c>
      <c r="U2612" s="54">
        <v>3750</v>
      </c>
      <c r="V2612" s="54">
        <v>3750</v>
      </c>
      <c r="W2612" s="54">
        <v>3750</v>
      </c>
    </row>
    <row r="2613" spans="1:23" outlineLevel="2" x14ac:dyDescent="0.2">
      <c r="A2613" s="21" t="s">
        <v>999</v>
      </c>
      <c r="B2613" s="21" t="s">
        <v>31</v>
      </c>
      <c r="C2613" s="21" t="s">
        <v>32</v>
      </c>
      <c r="D2613" s="21" t="s">
        <v>123</v>
      </c>
      <c r="E2613" s="21" t="s">
        <v>124</v>
      </c>
      <c r="F2613" s="21" t="s">
        <v>933</v>
      </c>
      <c r="G2613" s="21" t="s">
        <v>934</v>
      </c>
      <c r="H2613" s="21" t="s">
        <v>965</v>
      </c>
      <c r="I2613" s="21" t="s">
        <v>966</v>
      </c>
      <c r="J2613" s="21" t="s">
        <v>1000</v>
      </c>
      <c r="K2613" s="21" t="s">
        <v>1019</v>
      </c>
      <c r="L2613" s="21" t="s">
        <v>1555</v>
      </c>
      <c r="M2613" s="21" t="s">
        <v>12</v>
      </c>
      <c r="N2613" s="54">
        <v>3000</v>
      </c>
      <c r="O2613" s="54">
        <v>-2000</v>
      </c>
      <c r="P2613" s="54">
        <v>0</v>
      </c>
      <c r="Q2613" s="54">
        <v>1000</v>
      </c>
      <c r="R2613" s="54">
        <v>0</v>
      </c>
      <c r="S2613" s="54">
        <v>0</v>
      </c>
      <c r="T2613" s="54">
        <v>0</v>
      </c>
      <c r="U2613" s="54">
        <v>1000</v>
      </c>
      <c r="V2613" s="54">
        <v>1000</v>
      </c>
      <c r="W2613" s="54">
        <v>1000</v>
      </c>
    </row>
    <row r="2614" spans="1:23" outlineLevel="2" x14ac:dyDescent="0.2">
      <c r="A2614" s="21" t="s">
        <v>999</v>
      </c>
      <c r="B2614" s="21" t="s">
        <v>31</v>
      </c>
      <c r="C2614" s="21" t="s">
        <v>32</v>
      </c>
      <c r="D2614" s="21" t="s">
        <v>123</v>
      </c>
      <c r="E2614" s="21" t="s">
        <v>124</v>
      </c>
      <c r="F2614" s="21" t="s">
        <v>933</v>
      </c>
      <c r="G2614" s="21" t="s">
        <v>934</v>
      </c>
      <c r="H2614" s="21" t="s">
        <v>965</v>
      </c>
      <c r="I2614" s="21" t="s">
        <v>966</v>
      </c>
      <c r="J2614" s="21" t="s">
        <v>1000</v>
      </c>
      <c r="K2614" s="21" t="s">
        <v>1313</v>
      </c>
      <c r="L2614" s="21" t="s">
        <v>1556</v>
      </c>
      <c r="M2614" s="21" t="s">
        <v>12</v>
      </c>
      <c r="N2614" s="54">
        <v>7000</v>
      </c>
      <c r="O2614" s="54">
        <v>0</v>
      </c>
      <c r="P2614" s="54">
        <v>0</v>
      </c>
      <c r="Q2614" s="54">
        <v>7000</v>
      </c>
      <c r="R2614" s="54">
        <v>0</v>
      </c>
      <c r="S2614" s="54">
        <v>0</v>
      </c>
      <c r="T2614" s="54">
        <v>0</v>
      </c>
      <c r="U2614" s="54">
        <v>7000</v>
      </c>
      <c r="V2614" s="54">
        <v>7000</v>
      </c>
      <c r="W2614" s="54">
        <v>7000</v>
      </c>
    </row>
    <row r="2615" spans="1:23" outlineLevel="2" x14ac:dyDescent="0.2">
      <c r="A2615" s="21" t="s">
        <v>999</v>
      </c>
      <c r="B2615" s="21" t="s">
        <v>31</v>
      </c>
      <c r="C2615" s="21" t="s">
        <v>32</v>
      </c>
      <c r="D2615" s="21" t="s">
        <v>123</v>
      </c>
      <c r="E2615" s="21" t="s">
        <v>124</v>
      </c>
      <c r="F2615" s="21" t="s">
        <v>933</v>
      </c>
      <c r="G2615" s="21" t="s">
        <v>934</v>
      </c>
      <c r="H2615" s="21" t="s">
        <v>965</v>
      </c>
      <c r="I2615" s="21" t="s">
        <v>966</v>
      </c>
      <c r="J2615" s="21" t="s">
        <v>1000</v>
      </c>
      <c r="K2615" s="21" t="s">
        <v>1390</v>
      </c>
      <c r="L2615" s="21" t="s">
        <v>1557</v>
      </c>
      <c r="M2615" s="21" t="s">
        <v>12</v>
      </c>
      <c r="N2615" s="54">
        <v>67631</v>
      </c>
      <c r="O2615" s="54">
        <v>0</v>
      </c>
      <c r="P2615" s="54">
        <v>0</v>
      </c>
      <c r="Q2615" s="54">
        <v>67631</v>
      </c>
      <c r="R2615" s="54">
        <v>0</v>
      </c>
      <c r="S2615" s="54">
        <v>0</v>
      </c>
      <c r="T2615" s="54">
        <v>0</v>
      </c>
      <c r="U2615" s="54">
        <v>67631</v>
      </c>
      <c r="V2615" s="54">
        <v>67631</v>
      </c>
      <c r="W2615" s="54">
        <v>67631</v>
      </c>
    </row>
    <row r="2616" spans="1:23" outlineLevel="2" x14ac:dyDescent="0.2">
      <c r="A2616" s="21" t="s">
        <v>999</v>
      </c>
      <c r="B2616" s="21" t="s">
        <v>31</v>
      </c>
      <c r="C2616" s="21" t="s">
        <v>32</v>
      </c>
      <c r="D2616" s="21" t="s">
        <v>123</v>
      </c>
      <c r="E2616" s="21" t="s">
        <v>124</v>
      </c>
      <c r="F2616" s="21" t="s">
        <v>933</v>
      </c>
      <c r="G2616" s="21" t="s">
        <v>934</v>
      </c>
      <c r="H2616" s="21" t="s">
        <v>965</v>
      </c>
      <c r="I2616" s="21" t="s">
        <v>966</v>
      </c>
      <c r="J2616" s="21" t="s">
        <v>1000</v>
      </c>
      <c r="K2616" s="21" t="s">
        <v>1343</v>
      </c>
      <c r="L2616" s="21" t="s">
        <v>1562</v>
      </c>
      <c r="M2616" s="21" t="s">
        <v>12</v>
      </c>
      <c r="N2616" s="54">
        <v>39815.5</v>
      </c>
      <c r="O2616" s="54">
        <v>0</v>
      </c>
      <c r="P2616" s="54">
        <v>0</v>
      </c>
      <c r="Q2616" s="54">
        <v>39815.5</v>
      </c>
      <c r="R2616" s="54">
        <v>0</v>
      </c>
      <c r="S2616" s="54">
        <v>0</v>
      </c>
      <c r="T2616" s="54">
        <v>0</v>
      </c>
      <c r="U2616" s="54">
        <v>39815.5</v>
      </c>
      <c r="V2616" s="54">
        <v>39815.5</v>
      </c>
      <c r="W2616" s="54">
        <v>39815.5</v>
      </c>
    </row>
    <row r="2617" spans="1:23" outlineLevel="2" x14ac:dyDescent="0.2">
      <c r="A2617" s="21" t="s">
        <v>999</v>
      </c>
      <c r="B2617" s="21" t="s">
        <v>31</v>
      </c>
      <c r="C2617" s="21" t="s">
        <v>32</v>
      </c>
      <c r="D2617" s="21" t="s">
        <v>123</v>
      </c>
      <c r="E2617" s="21" t="s">
        <v>124</v>
      </c>
      <c r="F2617" s="21" t="s">
        <v>933</v>
      </c>
      <c r="G2617" s="21" t="s">
        <v>934</v>
      </c>
      <c r="H2617" s="21" t="s">
        <v>965</v>
      </c>
      <c r="I2617" s="21" t="s">
        <v>966</v>
      </c>
      <c r="J2617" s="21" t="s">
        <v>1000</v>
      </c>
      <c r="K2617" s="21" t="s">
        <v>1123</v>
      </c>
      <c r="L2617" s="21" t="s">
        <v>1614</v>
      </c>
      <c r="M2617" s="21" t="s">
        <v>12</v>
      </c>
      <c r="N2617" s="54">
        <v>4500</v>
      </c>
      <c r="O2617" s="54">
        <v>-4500</v>
      </c>
      <c r="P2617" s="54">
        <v>0</v>
      </c>
      <c r="Q2617" s="54">
        <v>0</v>
      </c>
      <c r="R2617" s="54">
        <v>0</v>
      </c>
      <c r="S2617" s="54">
        <v>0</v>
      </c>
      <c r="T2617" s="54">
        <v>0</v>
      </c>
      <c r="U2617" s="54">
        <v>0</v>
      </c>
      <c r="V2617" s="54">
        <v>0</v>
      </c>
      <c r="W2617" s="54">
        <v>0</v>
      </c>
    </row>
    <row r="2618" spans="1:23" outlineLevel="2" x14ac:dyDescent="0.2">
      <c r="A2618" s="21" t="s">
        <v>999</v>
      </c>
      <c r="B2618" s="21" t="s">
        <v>31</v>
      </c>
      <c r="C2618" s="21" t="s">
        <v>32</v>
      </c>
      <c r="D2618" s="21" t="s">
        <v>33</v>
      </c>
      <c r="E2618" s="21" t="s">
        <v>34</v>
      </c>
      <c r="F2618" s="21" t="s">
        <v>933</v>
      </c>
      <c r="G2618" s="21" t="s">
        <v>934</v>
      </c>
      <c r="H2618" s="21" t="s">
        <v>1615</v>
      </c>
      <c r="I2618" s="21" t="s">
        <v>1616</v>
      </c>
      <c r="J2618" s="21" t="s">
        <v>1000</v>
      </c>
      <c r="K2618" s="21" t="s">
        <v>1003</v>
      </c>
      <c r="L2618" s="21" t="s">
        <v>1553</v>
      </c>
      <c r="M2618" s="21" t="s">
        <v>12</v>
      </c>
      <c r="N2618" s="54">
        <v>0</v>
      </c>
      <c r="O2618" s="54">
        <v>400000</v>
      </c>
      <c r="P2618" s="54">
        <v>0</v>
      </c>
      <c r="Q2618" s="54">
        <v>400000</v>
      </c>
      <c r="R2618" s="54">
        <v>0</v>
      </c>
      <c r="S2618" s="54">
        <v>0</v>
      </c>
      <c r="T2618" s="54">
        <v>0</v>
      </c>
      <c r="U2618" s="54">
        <v>400000</v>
      </c>
      <c r="V2618" s="54">
        <v>400000</v>
      </c>
      <c r="W2618" s="54">
        <v>400000</v>
      </c>
    </row>
    <row r="2619" spans="1:23" outlineLevel="2" x14ac:dyDescent="0.2">
      <c r="A2619" s="21" t="s">
        <v>999</v>
      </c>
      <c r="B2619" s="21" t="s">
        <v>31</v>
      </c>
      <c r="C2619" s="21" t="s">
        <v>32</v>
      </c>
      <c r="D2619" s="21" t="s">
        <v>33</v>
      </c>
      <c r="E2619" s="21" t="s">
        <v>34</v>
      </c>
      <c r="F2619" s="21" t="s">
        <v>933</v>
      </c>
      <c r="G2619" s="21" t="s">
        <v>934</v>
      </c>
      <c r="H2619" s="21" t="s">
        <v>1615</v>
      </c>
      <c r="I2619" s="21" t="s">
        <v>1616</v>
      </c>
      <c r="J2619" s="21" t="s">
        <v>1000</v>
      </c>
      <c r="K2619" s="21" t="s">
        <v>1015</v>
      </c>
      <c r="L2619" s="21" t="s">
        <v>1617</v>
      </c>
      <c r="M2619" s="21" t="s">
        <v>12</v>
      </c>
      <c r="N2619" s="54">
        <v>2000000</v>
      </c>
      <c r="O2619" s="54">
        <v>-2000000</v>
      </c>
      <c r="P2619" s="54">
        <v>0</v>
      </c>
      <c r="Q2619" s="54">
        <v>0</v>
      </c>
      <c r="R2619" s="54">
        <v>0</v>
      </c>
      <c r="S2619" s="54">
        <v>0</v>
      </c>
      <c r="T2619" s="54">
        <v>0</v>
      </c>
      <c r="U2619" s="54">
        <v>0</v>
      </c>
      <c r="V2619" s="54">
        <v>0</v>
      </c>
      <c r="W2619" s="54">
        <v>0</v>
      </c>
    </row>
    <row r="2620" spans="1:23" outlineLevel="2" x14ac:dyDescent="0.2">
      <c r="A2620" s="21" t="s">
        <v>999</v>
      </c>
      <c r="B2620" s="21" t="s">
        <v>39</v>
      </c>
      <c r="C2620" s="21" t="s">
        <v>70</v>
      </c>
      <c r="D2620" s="21" t="s">
        <v>89</v>
      </c>
      <c r="E2620" s="21" t="s">
        <v>90</v>
      </c>
      <c r="F2620" s="21" t="s">
        <v>1618</v>
      </c>
      <c r="G2620" s="21" t="s">
        <v>1619</v>
      </c>
      <c r="H2620" s="21" t="s">
        <v>1620</v>
      </c>
      <c r="I2620" s="21" t="s">
        <v>1621</v>
      </c>
      <c r="J2620" s="21" t="s">
        <v>1000</v>
      </c>
      <c r="K2620" s="21" t="s">
        <v>1013</v>
      </c>
      <c r="L2620" s="21" t="s">
        <v>1622</v>
      </c>
      <c r="M2620" s="21" t="s">
        <v>12</v>
      </c>
      <c r="N2620" s="54">
        <v>67500</v>
      </c>
      <c r="O2620" s="54">
        <v>0</v>
      </c>
      <c r="P2620" s="54">
        <v>0</v>
      </c>
      <c r="Q2620" s="54">
        <v>67500</v>
      </c>
      <c r="R2620" s="54">
        <v>0</v>
      </c>
      <c r="S2620" s="54">
        <v>0</v>
      </c>
      <c r="T2620" s="54">
        <v>0</v>
      </c>
      <c r="U2620" s="54">
        <v>67500</v>
      </c>
      <c r="V2620" s="54">
        <v>67500</v>
      </c>
      <c r="W2620" s="54">
        <v>67500</v>
      </c>
    </row>
    <row r="2621" spans="1:23" outlineLevel="2" x14ac:dyDescent="0.2">
      <c r="A2621" s="21" t="s">
        <v>999</v>
      </c>
      <c r="B2621" s="21" t="s">
        <v>39</v>
      </c>
      <c r="C2621" s="21" t="s">
        <v>70</v>
      </c>
      <c r="D2621" s="21" t="s">
        <v>89</v>
      </c>
      <c r="E2621" s="21" t="s">
        <v>90</v>
      </c>
      <c r="F2621" s="21" t="s">
        <v>1618</v>
      </c>
      <c r="G2621" s="21" t="s">
        <v>1619</v>
      </c>
      <c r="H2621" s="21" t="s">
        <v>1620</v>
      </c>
      <c r="I2621" s="21" t="s">
        <v>1621</v>
      </c>
      <c r="J2621" s="21" t="s">
        <v>1000</v>
      </c>
      <c r="K2621" s="21" t="s">
        <v>1267</v>
      </c>
      <c r="L2621" s="21" t="s">
        <v>1623</v>
      </c>
      <c r="M2621" s="21" t="s">
        <v>12</v>
      </c>
      <c r="N2621" s="54">
        <v>100000</v>
      </c>
      <c r="O2621" s="54">
        <v>0</v>
      </c>
      <c r="P2621" s="54">
        <v>0</v>
      </c>
      <c r="Q2621" s="54">
        <v>100000</v>
      </c>
      <c r="R2621" s="54">
        <v>0</v>
      </c>
      <c r="S2621" s="54">
        <v>0</v>
      </c>
      <c r="T2621" s="54">
        <v>0</v>
      </c>
      <c r="U2621" s="54">
        <v>100000</v>
      </c>
      <c r="V2621" s="54">
        <v>100000</v>
      </c>
      <c r="W2621" s="54">
        <v>100000</v>
      </c>
    </row>
    <row r="2622" spans="1:23" outlineLevel="2" x14ac:dyDescent="0.2">
      <c r="A2622" s="21" t="s">
        <v>999</v>
      </c>
      <c r="B2622" s="21" t="s">
        <v>39</v>
      </c>
      <c r="C2622" s="21" t="s">
        <v>70</v>
      </c>
      <c r="D2622" s="21" t="s">
        <v>89</v>
      </c>
      <c r="E2622" s="21" t="s">
        <v>90</v>
      </c>
      <c r="F2622" s="21" t="s">
        <v>1618</v>
      </c>
      <c r="G2622" s="21" t="s">
        <v>1619</v>
      </c>
      <c r="H2622" s="21" t="s">
        <v>1620</v>
      </c>
      <c r="I2622" s="21" t="s">
        <v>1621</v>
      </c>
      <c r="J2622" s="21" t="s">
        <v>1000</v>
      </c>
      <c r="K2622" s="21" t="s">
        <v>1029</v>
      </c>
      <c r="L2622" s="21" t="s">
        <v>1624</v>
      </c>
      <c r="M2622" s="21" t="s">
        <v>12</v>
      </c>
      <c r="N2622" s="54">
        <v>20000</v>
      </c>
      <c r="O2622" s="54">
        <v>0</v>
      </c>
      <c r="P2622" s="54">
        <v>0</v>
      </c>
      <c r="Q2622" s="54">
        <v>20000</v>
      </c>
      <c r="R2622" s="54">
        <v>0</v>
      </c>
      <c r="S2622" s="54">
        <v>0</v>
      </c>
      <c r="T2622" s="54">
        <v>0</v>
      </c>
      <c r="U2622" s="54">
        <v>20000</v>
      </c>
      <c r="V2622" s="54">
        <v>20000</v>
      </c>
      <c r="W2622" s="54">
        <v>20000</v>
      </c>
    </row>
    <row r="2623" spans="1:23" outlineLevel="2" x14ac:dyDescent="0.2">
      <c r="A2623" s="21" t="s">
        <v>999</v>
      </c>
      <c r="B2623" s="21" t="s">
        <v>39</v>
      </c>
      <c r="C2623" s="21" t="s">
        <v>58</v>
      </c>
      <c r="D2623" s="21" t="s">
        <v>139</v>
      </c>
      <c r="E2623" s="21" t="s">
        <v>140</v>
      </c>
      <c r="F2623" s="21" t="s">
        <v>1618</v>
      </c>
      <c r="G2623" s="21" t="s">
        <v>1619</v>
      </c>
      <c r="H2623" s="21" t="s">
        <v>1625</v>
      </c>
      <c r="I2623" s="21" t="s">
        <v>1626</v>
      </c>
      <c r="J2623" s="21" t="s">
        <v>1000</v>
      </c>
      <c r="K2623" s="21" t="s">
        <v>1106</v>
      </c>
      <c r="L2623" s="21" t="s">
        <v>1627</v>
      </c>
      <c r="M2623" s="21" t="s">
        <v>12</v>
      </c>
      <c r="N2623" s="54">
        <v>60</v>
      </c>
      <c r="O2623" s="54">
        <v>0</v>
      </c>
      <c r="P2623" s="54">
        <v>0</v>
      </c>
      <c r="Q2623" s="54">
        <v>60</v>
      </c>
      <c r="R2623" s="54">
        <v>0</v>
      </c>
      <c r="S2623" s="54">
        <v>0</v>
      </c>
      <c r="T2623" s="54">
        <v>0</v>
      </c>
      <c r="U2623" s="54">
        <v>60</v>
      </c>
      <c r="V2623" s="54">
        <v>60</v>
      </c>
      <c r="W2623" s="54">
        <v>60</v>
      </c>
    </row>
    <row r="2624" spans="1:23" outlineLevel="2" x14ac:dyDescent="0.2">
      <c r="A2624" s="21" t="s">
        <v>999</v>
      </c>
      <c r="B2624" s="21" t="s">
        <v>39</v>
      </c>
      <c r="C2624" s="21" t="s">
        <v>70</v>
      </c>
      <c r="D2624" s="21" t="s">
        <v>71</v>
      </c>
      <c r="E2624" s="21" t="s">
        <v>72</v>
      </c>
      <c r="F2624" s="21" t="s">
        <v>1618</v>
      </c>
      <c r="G2624" s="21" t="s">
        <v>1619</v>
      </c>
      <c r="H2624" s="21" t="s">
        <v>1625</v>
      </c>
      <c r="I2624" s="21" t="s">
        <v>1626</v>
      </c>
      <c r="J2624" s="21" t="s">
        <v>1000</v>
      </c>
      <c r="K2624" s="21" t="s">
        <v>1037</v>
      </c>
      <c r="L2624" s="21" t="s">
        <v>1628</v>
      </c>
      <c r="M2624" s="21" t="s">
        <v>12</v>
      </c>
      <c r="N2624" s="54">
        <v>28000</v>
      </c>
      <c r="O2624" s="54">
        <v>0</v>
      </c>
      <c r="P2624" s="54">
        <v>0</v>
      </c>
      <c r="Q2624" s="54">
        <v>28000</v>
      </c>
      <c r="R2624" s="54">
        <v>0</v>
      </c>
      <c r="S2624" s="54">
        <v>0</v>
      </c>
      <c r="T2624" s="54">
        <v>0</v>
      </c>
      <c r="U2624" s="54">
        <v>28000</v>
      </c>
      <c r="V2624" s="54">
        <v>28000</v>
      </c>
      <c r="W2624" s="54">
        <v>28000</v>
      </c>
    </row>
    <row r="2625" spans="1:23" outlineLevel="2" x14ac:dyDescent="0.2">
      <c r="A2625" s="21" t="s">
        <v>999</v>
      </c>
      <c r="B2625" s="21" t="s">
        <v>39</v>
      </c>
      <c r="C2625" s="21" t="s">
        <v>70</v>
      </c>
      <c r="D2625" s="21" t="s">
        <v>71</v>
      </c>
      <c r="E2625" s="21" t="s">
        <v>72</v>
      </c>
      <c r="F2625" s="21" t="s">
        <v>1618</v>
      </c>
      <c r="G2625" s="21" t="s">
        <v>1619</v>
      </c>
      <c r="H2625" s="21" t="s">
        <v>1625</v>
      </c>
      <c r="I2625" s="21" t="s">
        <v>1626</v>
      </c>
      <c r="J2625" s="21" t="s">
        <v>1000</v>
      </c>
      <c r="K2625" s="21" t="s">
        <v>1039</v>
      </c>
      <c r="L2625" s="21" t="s">
        <v>1629</v>
      </c>
      <c r="M2625" s="21" t="s">
        <v>12</v>
      </c>
      <c r="N2625" s="54">
        <v>55000</v>
      </c>
      <c r="O2625" s="54">
        <v>-2000</v>
      </c>
      <c r="P2625" s="54">
        <v>0</v>
      </c>
      <c r="Q2625" s="54">
        <v>53000</v>
      </c>
      <c r="R2625" s="54">
        <v>0</v>
      </c>
      <c r="S2625" s="54">
        <v>7919.52</v>
      </c>
      <c r="T2625" s="54">
        <v>7919.52</v>
      </c>
      <c r="U2625" s="54">
        <v>45080.480000000003</v>
      </c>
      <c r="V2625" s="54">
        <v>45080.480000000003</v>
      </c>
      <c r="W2625" s="54">
        <v>45080.480000000003</v>
      </c>
    </row>
    <row r="2626" spans="1:23" outlineLevel="2" x14ac:dyDescent="0.2">
      <c r="A2626" s="21" t="s">
        <v>999</v>
      </c>
      <c r="B2626" s="21" t="s">
        <v>39</v>
      </c>
      <c r="C2626" s="21" t="s">
        <v>70</v>
      </c>
      <c r="D2626" s="21" t="s">
        <v>71</v>
      </c>
      <c r="E2626" s="21" t="s">
        <v>72</v>
      </c>
      <c r="F2626" s="21" t="s">
        <v>1618</v>
      </c>
      <c r="G2626" s="21" t="s">
        <v>1619</v>
      </c>
      <c r="H2626" s="21" t="s">
        <v>1625</v>
      </c>
      <c r="I2626" s="21" t="s">
        <v>1626</v>
      </c>
      <c r="J2626" s="21" t="s">
        <v>1000</v>
      </c>
      <c r="K2626" s="21" t="s">
        <v>1058</v>
      </c>
      <c r="L2626" s="21" t="s">
        <v>1630</v>
      </c>
      <c r="M2626" s="21" t="s">
        <v>12</v>
      </c>
      <c r="N2626" s="54">
        <v>20000</v>
      </c>
      <c r="O2626" s="54">
        <v>0</v>
      </c>
      <c r="P2626" s="54">
        <v>0</v>
      </c>
      <c r="Q2626" s="54">
        <v>20000</v>
      </c>
      <c r="R2626" s="54">
        <v>0</v>
      </c>
      <c r="S2626" s="54">
        <v>0</v>
      </c>
      <c r="T2626" s="54">
        <v>0</v>
      </c>
      <c r="U2626" s="54">
        <v>20000</v>
      </c>
      <c r="V2626" s="54">
        <v>20000</v>
      </c>
      <c r="W2626" s="54">
        <v>20000</v>
      </c>
    </row>
    <row r="2627" spans="1:23" outlineLevel="2" x14ac:dyDescent="0.2">
      <c r="A2627" s="21" t="s">
        <v>999</v>
      </c>
      <c r="B2627" s="21" t="s">
        <v>39</v>
      </c>
      <c r="C2627" s="21" t="s">
        <v>70</v>
      </c>
      <c r="D2627" s="21" t="s">
        <v>71</v>
      </c>
      <c r="E2627" s="21" t="s">
        <v>72</v>
      </c>
      <c r="F2627" s="21" t="s">
        <v>1618</v>
      </c>
      <c r="G2627" s="21" t="s">
        <v>1619</v>
      </c>
      <c r="H2627" s="21" t="s">
        <v>1625</v>
      </c>
      <c r="I2627" s="21" t="s">
        <v>1626</v>
      </c>
      <c r="J2627" s="21" t="s">
        <v>1000</v>
      </c>
      <c r="K2627" s="21" t="s">
        <v>1631</v>
      </c>
      <c r="L2627" s="21" t="s">
        <v>1632</v>
      </c>
      <c r="M2627" s="21" t="s">
        <v>12</v>
      </c>
      <c r="N2627" s="54">
        <v>5117.1499999999996</v>
      </c>
      <c r="O2627" s="54">
        <v>0</v>
      </c>
      <c r="P2627" s="54">
        <v>0</v>
      </c>
      <c r="Q2627" s="54">
        <v>5117.1499999999996</v>
      </c>
      <c r="R2627" s="54">
        <v>3048.86</v>
      </c>
      <c r="S2627" s="54">
        <v>1268.29</v>
      </c>
      <c r="T2627" s="54">
        <v>1268.29</v>
      </c>
      <c r="U2627" s="54">
        <v>3848.86</v>
      </c>
      <c r="V2627" s="54">
        <v>3848.86</v>
      </c>
      <c r="W2627" s="54">
        <v>800</v>
      </c>
    </row>
    <row r="2628" spans="1:23" outlineLevel="2" x14ac:dyDescent="0.2">
      <c r="A2628" s="21" t="s">
        <v>999</v>
      </c>
      <c r="B2628" s="21" t="s">
        <v>39</v>
      </c>
      <c r="C2628" s="21" t="s">
        <v>70</v>
      </c>
      <c r="D2628" s="21" t="s">
        <v>71</v>
      </c>
      <c r="E2628" s="21" t="s">
        <v>72</v>
      </c>
      <c r="F2628" s="21" t="s">
        <v>1618</v>
      </c>
      <c r="G2628" s="21" t="s">
        <v>1619</v>
      </c>
      <c r="H2628" s="21" t="s">
        <v>1625</v>
      </c>
      <c r="I2628" s="21" t="s">
        <v>1626</v>
      </c>
      <c r="J2628" s="21" t="s">
        <v>1000</v>
      </c>
      <c r="K2628" s="21" t="s">
        <v>1003</v>
      </c>
      <c r="L2628" s="21" t="s">
        <v>1634</v>
      </c>
      <c r="M2628" s="21" t="s">
        <v>12</v>
      </c>
      <c r="N2628" s="54">
        <v>45000</v>
      </c>
      <c r="O2628" s="54">
        <v>0</v>
      </c>
      <c r="P2628" s="54">
        <v>0</v>
      </c>
      <c r="Q2628" s="54">
        <v>45000</v>
      </c>
      <c r="R2628" s="54">
        <v>0</v>
      </c>
      <c r="S2628" s="54">
        <v>0</v>
      </c>
      <c r="T2628" s="54">
        <v>0</v>
      </c>
      <c r="U2628" s="54">
        <v>45000</v>
      </c>
      <c r="V2628" s="54">
        <v>45000</v>
      </c>
      <c r="W2628" s="54">
        <v>45000</v>
      </c>
    </row>
    <row r="2629" spans="1:23" outlineLevel="2" x14ac:dyDescent="0.2">
      <c r="A2629" s="21" t="s">
        <v>999</v>
      </c>
      <c r="B2629" s="21" t="s">
        <v>39</v>
      </c>
      <c r="C2629" s="21" t="s">
        <v>58</v>
      </c>
      <c r="D2629" s="21" t="s">
        <v>139</v>
      </c>
      <c r="E2629" s="21" t="s">
        <v>140</v>
      </c>
      <c r="F2629" s="21" t="s">
        <v>1618</v>
      </c>
      <c r="G2629" s="21" t="s">
        <v>1619</v>
      </c>
      <c r="H2629" s="21" t="s">
        <v>1625</v>
      </c>
      <c r="I2629" s="21" t="s">
        <v>1626</v>
      </c>
      <c r="J2629" s="21" t="s">
        <v>1000</v>
      </c>
      <c r="K2629" s="21" t="s">
        <v>1003</v>
      </c>
      <c r="L2629" s="21" t="s">
        <v>1633</v>
      </c>
      <c r="M2629" s="21" t="s">
        <v>12</v>
      </c>
      <c r="N2629" s="54">
        <v>20000</v>
      </c>
      <c r="O2629" s="54">
        <v>0</v>
      </c>
      <c r="P2629" s="54">
        <v>0</v>
      </c>
      <c r="Q2629" s="54">
        <v>20000</v>
      </c>
      <c r="R2629" s="54">
        <v>0</v>
      </c>
      <c r="S2629" s="54">
        <v>0</v>
      </c>
      <c r="T2629" s="54">
        <v>0</v>
      </c>
      <c r="U2629" s="54">
        <v>20000</v>
      </c>
      <c r="V2629" s="54">
        <v>20000</v>
      </c>
      <c r="W2629" s="54">
        <v>20000</v>
      </c>
    </row>
    <row r="2630" spans="1:23" outlineLevel="2" x14ac:dyDescent="0.2">
      <c r="A2630" s="21" t="s">
        <v>999</v>
      </c>
      <c r="B2630" s="21" t="s">
        <v>39</v>
      </c>
      <c r="C2630" s="21" t="s">
        <v>70</v>
      </c>
      <c r="D2630" s="21" t="s">
        <v>71</v>
      </c>
      <c r="E2630" s="21" t="s">
        <v>72</v>
      </c>
      <c r="F2630" s="21" t="s">
        <v>1618</v>
      </c>
      <c r="G2630" s="21" t="s">
        <v>1619</v>
      </c>
      <c r="H2630" s="21" t="s">
        <v>1625</v>
      </c>
      <c r="I2630" s="21" t="s">
        <v>1626</v>
      </c>
      <c r="J2630" s="21" t="s">
        <v>1000</v>
      </c>
      <c r="K2630" s="21" t="s">
        <v>1539</v>
      </c>
      <c r="L2630" s="21" t="s">
        <v>1635</v>
      </c>
      <c r="M2630" s="21" t="s">
        <v>12</v>
      </c>
      <c r="N2630" s="54">
        <v>188299</v>
      </c>
      <c r="O2630" s="54">
        <v>2000</v>
      </c>
      <c r="P2630" s="54">
        <v>0</v>
      </c>
      <c r="Q2630" s="54">
        <v>190299</v>
      </c>
      <c r="R2630" s="54">
        <v>0</v>
      </c>
      <c r="S2630" s="54">
        <v>187416.81</v>
      </c>
      <c r="T2630" s="54">
        <v>120787.21</v>
      </c>
      <c r="U2630" s="54">
        <v>2882.19</v>
      </c>
      <c r="V2630" s="54">
        <v>69511.789999999994</v>
      </c>
      <c r="W2630" s="54">
        <v>2882.19</v>
      </c>
    </row>
    <row r="2631" spans="1:23" outlineLevel="2" x14ac:dyDescent="0.2">
      <c r="A2631" s="21" t="s">
        <v>999</v>
      </c>
      <c r="B2631" s="21" t="s">
        <v>39</v>
      </c>
      <c r="C2631" s="21" t="s">
        <v>70</v>
      </c>
      <c r="D2631" s="21" t="s">
        <v>71</v>
      </c>
      <c r="E2631" s="21" t="s">
        <v>72</v>
      </c>
      <c r="F2631" s="21" t="s">
        <v>1618</v>
      </c>
      <c r="G2631" s="21" t="s">
        <v>1619</v>
      </c>
      <c r="H2631" s="21" t="s">
        <v>1625</v>
      </c>
      <c r="I2631" s="21" t="s">
        <v>1626</v>
      </c>
      <c r="J2631" s="21" t="s">
        <v>1000</v>
      </c>
      <c r="K2631" s="21" t="s">
        <v>1116</v>
      </c>
      <c r="L2631" s="21" t="s">
        <v>1636</v>
      </c>
      <c r="M2631" s="21" t="s">
        <v>12</v>
      </c>
      <c r="N2631" s="54">
        <v>1740</v>
      </c>
      <c r="O2631" s="54">
        <v>0</v>
      </c>
      <c r="P2631" s="54">
        <v>0</v>
      </c>
      <c r="Q2631" s="54">
        <v>1740</v>
      </c>
      <c r="R2631" s="54">
        <v>1640</v>
      </c>
      <c r="S2631" s="54">
        <v>0</v>
      </c>
      <c r="T2631" s="54">
        <v>0</v>
      </c>
      <c r="U2631" s="54">
        <v>1740</v>
      </c>
      <c r="V2631" s="54">
        <v>1740</v>
      </c>
      <c r="W2631" s="54">
        <v>100</v>
      </c>
    </row>
    <row r="2632" spans="1:23" outlineLevel="2" x14ac:dyDescent="0.2">
      <c r="A2632" s="21" t="s">
        <v>999</v>
      </c>
      <c r="B2632" s="21" t="s">
        <v>39</v>
      </c>
      <c r="C2632" s="21" t="s">
        <v>58</v>
      </c>
      <c r="D2632" s="21" t="s">
        <v>139</v>
      </c>
      <c r="E2632" s="21" t="s">
        <v>140</v>
      </c>
      <c r="F2632" s="21" t="s">
        <v>1618</v>
      </c>
      <c r="G2632" s="21" t="s">
        <v>1619</v>
      </c>
      <c r="H2632" s="21" t="s">
        <v>1625</v>
      </c>
      <c r="I2632" s="21" t="s">
        <v>1626</v>
      </c>
      <c r="J2632" s="21" t="s">
        <v>1000</v>
      </c>
      <c r="K2632" s="21" t="s">
        <v>1082</v>
      </c>
      <c r="L2632" s="21" t="s">
        <v>1637</v>
      </c>
      <c r="M2632" s="21" t="s">
        <v>12</v>
      </c>
      <c r="N2632" s="54">
        <v>11770</v>
      </c>
      <c r="O2632" s="54">
        <v>0</v>
      </c>
      <c r="P2632" s="54">
        <v>0</v>
      </c>
      <c r="Q2632" s="54">
        <v>11770</v>
      </c>
      <c r="R2632" s="54">
        <v>0</v>
      </c>
      <c r="S2632" s="54">
        <v>0</v>
      </c>
      <c r="T2632" s="54">
        <v>0</v>
      </c>
      <c r="U2632" s="54">
        <v>11770</v>
      </c>
      <c r="V2632" s="54">
        <v>11770</v>
      </c>
      <c r="W2632" s="54">
        <v>11770</v>
      </c>
    </row>
    <row r="2633" spans="1:23" outlineLevel="2" x14ac:dyDescent="0.2">
      <c r="A2633" s="21" t="s">
        <v>999</v>
      </c>
      <c r="B2633" s="21" t="s">
        <v>39</v>
      </c>
      <c r="C2633" s="21" t="s">
        <v>58</v>
      </c>
      <c r="D2633" s="21" t="s">
        <v>139</v>
      </c>
      <c r="E2633" s="21" t="s">
        <v>140</v>
      </c>
      <c r="F2633" s="21" t="s">
        <v>1618</v>
      </c>
      <c r="G2633" s="21" t="s">
        <v>1619</v>
      </c>
      <c r="H2633" s="21" t="s">
        <v>1625</v>
      </c>
      <c r="I2633" s="21" t="s">
        <v>1626</v>
      </c>
      <c r="J2633" s="21" t="s">
        <v>1000</v>
      </c>
      <c r="K2633" s="21" t="s">
        <v>1084</v>
      </c>
      <c r="L2633" s="21" t="s">
        <v>1639</v>
      </c>
      <c r="M2633" s="21" t="s">
        <v>12</v>
      </c>
      <c r="N2633" s="54">
        <v>3000</v>
      </c>
      <c r="O2633" s="54">
        <v>0</v>
      </c>
      <c r="P2633" s="54">
        <v>0</v>
      </c>
      <c r="Q2633" s="54">
        <v>3000</v>
      </c>
      <c r="R2633" s="54">
        <v>0</v>
      </c>
      <c r="S2633" s="54">
        <v>0</v>
      </c>
      <c r="T2633" s="54">
        <v>0</v>
      </c>
      <c r="U2633" s="54">
        <v>3000</v>
      </c>
      <c r="V2633" s="54">
        <v>3000</v>
      </c>
      <c r="W2633" s="54">
        <v>3000</v>
      </c>
    </row>
    <row r="2634" spans="1:23" outlineLevel="2" x14ac:dyDescent="0.2">
      <c r="A2634" s="21" t="s">
        <v>999</v>
      </c>
      <c r="B2634" s="21" t="s">
        <v>39</v>
      </c>
      <c r="C2634" s="21" t="s">
        <v>70</v>
      </c>
      <c r="D2634" s="21" t="s">
        <v>71</v>
      </c>
      <c r="E2634" s="21" t="s">
        <v>72</v>
      </c>
      <c r="F2634" s="21" t="s">
        <v>1618</v>
      </c>
      <c r="G2634" s="21" t="s">
        <v>1619</v>
      </c>
      <c r="H2634" s="21" t="s">
        <v>1625</v>
      </c>
      <c r="I2634" s="21" t="s">
        <v>1626</v>
      </c>
      <c r="J2634" s="21" t="s">
        <v>1000</v>
      </c>
      <c r="K2634" s="21" t="s">
        <v>1084</v>
      </c>
      <c r="L2634" s="21" t="s">
        <v>1638</v>
      </c>
      <c r="M2634" s="21" t="s">
        <v>12</v>
      </c>
      <c r="N2634" s="54">
        <v>7000</v>
      </c>
      <c r="O2634" s="54">
        <v>0</v>
      </c>
      <c r="P2634" s="54">
        <v>0</v>
      </c>
      <c r="Q2634" s="54">
        <v>7000</v>
      </c>
      <c r="R2634" s="54">
        <v>0</v>
      </c>
      <c r="S2634" s="54">
        <v>0</v>
      </c>
      <c r="T2634" s="54">
        <v>0</v>
      </c>
      <c r="U2634" s="54">
        <v>7000</v>
      </c>
      <c r="V2634" s="54">
        <v>7000</v>
      </c>
      <c r="W2634" s="54">
        <v>7000</v>
      </c>
    </row>
    <row r="2635" spans="1:23" outlineLevel="2" x14ac:dyDescent="0.2">
      <c r="A2635" s="21" t="s">
        <v>999</v>
      </c>
      <c r="B2635" s="21" t="s">
        <v>39</v>
      </c>
      <c r="C2635" s="21" t="s">
        <v>70</v>
      </c>
      <c r="D2635" s="21" t="s">
        <v>71</v>
      </c>
      <c r="E2635" s="21" t="s">
        <v>72</v>
      </c>
      <c r="F2635" s="21" t="s">
        <v>1618</v>
      </c>
      <c r="G2635" s="21" t="s">
        <v>1619</v>
      </c>
      <c r="H2635" s="21" t="s">
        <v>1625</v>
      </c>
      <c r="I2635" s="21" t="s">
        <v>1626</v>
      </c>
      <c r="J2635" s="21" t="s">
        <v>1000</v>
      </c>
      <c r="K2635" s="21" t="s">
        <v>1194</v>
      </c>
      <c r="L2635" s="21" t="s">
        <v>1640</v>
      </c>
      <c r="M2635" s="21" t="s">
        <v>12</v>
      </c>
      <c r="N2635" s="54">
        <v>1780</v>
      </c>
      <c r="O2635" s="54">
        <v>0</v>
      </c>
      <c r="P2635" s="54">
        <v>0</v>
      </c>
      <c r="Q2635" s="54">
        <v>1780</v>
      </c>
      <c r="R2635" s="54">
        <v>1680</v>
      </c>
      <c r="S2635" s="54">
        <v>0</v>
      </c>
      <c r="T2635" s="54">
        <v>0</v>
      </c>
      <c r="U2635" s="54">
        <v>1780</v>
      </c>
      <c r="V2635" s="54">
        <v>1780</v>
      </c>
      <c r="W2635" s="54">
        <v>100</v>
      </c>
    </row>
    <row r="2636" spans="1:23" outlineLevel="2" x14ac:dyDescent="0.2">
      <c r="A2636" s="21" t="s">
        <v>999</v>
      </c>
      <c r="B2636" s="21" t="s">
        <v>39</v>
      </c>
      <c r="C2636" s="21" t="s">
        <v>58</v>
      </c>
      <c r="D2636" s="21" t="s">
        <v>139</v>
      </c>
      <c r="E2636" s="21" t="s">
        <v>140</v>
      </c>
      <c r="F2636" s="21" t="s">
        <v>1618</v>
      </c>
      <c r="G2636" s="21" t="s">
        <v>1619</v>
      </c>
      <c r="H2636" s="21" t="s">
        <v>1625</v>
      </c>
      <c r="I2636" s="21" t="s">
        <v>1626</v>
      </c>
      <c r="J2636" s="21" t="s">
        <v>1000</v>
      </c>
      <c r="K2636" s="21" t="s">
        <v>1120</v>
      </c>
      <c r="L2636" s="21" t="s">
        <v>1641</v>
      </c>
      <c r="M2636" s="21" t="s">
        <v>12</v>
      </c>
      <c r="N2636" s="54">
        <v>9940</v>
      </c>
      <c r="O2636" s="54">
        <v>0</v>
      </c>
      <c r="P2636" s="54">
        <v>0</v>
      </c>
      <c r="Q2636" s="54">
        <v>9940</v>
      </c>
      <c r="R2636" s="54">
        <v>0</v>
      </c>
      <c r="S2636" s="54">
        <v>0</v>
      </c>
      <c r="T2636" s="54">
        <v>0</v>
      </c>
      <c r="U2636" s="54">
        <v>9940</v>
      </c>
      <c r="V2636" s="54">
        <v>9940</v>
      </c>
      <c r="W2636" s="54">
        <v>9940</v>
      </c>
    </row>
    <row r="2637" spans="1:23" outlineLevel="2" x14ac:dyDescent="0.2">
      <c r="A2637" s="21" t="s">
        <v>999</v>
      </c>
      <c r="B2637" s="21" t="s">
        <v>39</v>
      </c>
      <c r="C2637" s="21" t="s">
        <v>58</v>
      </c>
      <c r="D2637" s="21" t="s">
        <v>139</v>
      </c>
      <c r="E2637" s="21" t="s">
        <v>140</v>
      </c>
      <c r="F2637" s="21" t="s">
        <v>1618</v>
      </c>
      <c r="G2637" s="21" t="s">
        <v>1619</v>
      </c>
      <c r="H2637" s="21" t="s">
        <v>1625</v>
      </c>
      <c r="I2637" s="21" t="s">
        <v>1626</v>
      </c>
      <c r="J2637" s="21" t="s">
        <v>1000</v>
      </c>
      <c r="K2637" s="21" t="s">
        <v>1183</v>
      </c>
      <c r="L2637" s="21" t="s">
        <v>1642</v>
      </c>
      <c r="M2637" s="21" t="s">
        <v>12</v>
      </c>
      <c r="N2637" s="54">
        <v>230</v>
      </c>
      <c r="O2637" s="54">
        <v>0</v>
      </c>
      <c r="P2637" s="54">
        <v>0</v>
      </c>
      <c r="Q2637" s="54">
        <v>230</v>
      </c>
      <c r="R2637" s="54">
        <v>0</v>
      </c>
      <c r="S2637" s="54">
        <v>0</v>
      </c>
      <c r="T2637" s="54">
        <v>0</v>
      </c>
      <c r="U2637" s="54">
        <v>230</v>
      </c>
      <c r="V2637" s="54">
        <v>230</v>
      </c>
      <c r="W2637" s="54">
        <v>230</v>
      </c>
    </row>
    <row r="2638" spans="1:23" outlineLevel="2" x14ac:dyDescent="0.2">
      <c r="A2638" s="21" t="s">
        <v>999</v>
      </c>
      <c r="B2638" s="21" t="s">
        <v>39</v>
      </c>
      <c r="C2638" s="21" t="s">
        <v>70</v>
      </c>
      <c r="D2638" s="21" t="s">
        <v>89</v>
      </c>
      <c r="E2638" s="21" t="s">
        <v>90</v>
      </c>
      <c r="F2638" s="21" t="s">
        <v>1618</v>
      </c>
      <c r="G2638" s="21" t="s">
        <v>1619</v>
      </c>
      <c r="H2638" s="21" t="s">
        <v>1643</v>
      </c>
      <c r="I2638" s="21" t="s">
        <v>1644</v>
      </c>
      <c r="J2638" s="21" t="s">
        <v>1000</v>
      </c>
      <c r="K2638" s="21" t="s">
        <v>1104</v>
      </c>
      <c r="L2638" s="21" t="s">
        <v>1645</v>
      </c>
      <c r="M2638" s="21" t="s">
        <v>12</v>
      </c>
      <c r="N2638" s="54">
        <v>90000</v>
      </c>
      <c r="O2638" s="54">
        <v>0</v>
      </c>
      <c r="P2638" s="54">
        <v>0</v>
      </c>
      <c r="Q2638" s="54">
        <v>90000</v>
      </c>
      <c r="R2638" s="54">
        <v>0</v>
      </c>
      <c r="S2638" s="54">
        <v>75646.52</v>
      </c>
      <c r="T2638" s="54">
        <v>38749.599999999999</v>
      </c>
      <c r="U2638" s="54">
        <v>14353.48</v>
      </c>
      <c r="V2638" s="54">
        <v>51250.400000000001</v>
      </c>
      <c r="W2638" s="54">
        <v>14353.48</v>
      </c>
    </row>
    <row r="2639" spans="1:23" outlineLevel="2" x14ac:dyDescent="0.2">
      <c r="A2639" s="21" t="s">
        <v>999</v>
      </c>
      <c r="B2639" s="21" t="s">
        <v>39</v>
      </c>
      <c r="C2639" s="21" t="s">
        <v>70</v>
      </c>
      <c r="D2639" s="21" t="s">
        <v>89</v>
      </c>
      <c r="E2639" s="21" t="s">
        <v>90</v>
      </c>
      <c r="F2639" s="21" t="s">
        <v>1618</v>
      </c>
      <c r="G2639" s="21" t="s">
        <v>1619</v>
      </c>
      <c r="H2639" s="21" t="s">
        <v>1643</v>
      </c>
      <c r="I2639" s="21" t="s">
        <v>1644</v>
      </c>
      <c r="J2639" s="21" t="s">
        <v>1000</v>
      </c>
      <c r="K2639" s="21" t="s">
        <v>1106</v>
      </c>
      <c r="L2639" s="21" t="s">
        <v>1646</v>
      </c>
      <c r="M2639" s="21" t="s">
        <v>12</v>
      </c>
      <c r="N2639" s="54">
        <v>3000</v>
      </c>
      <c r="O2639" s="54">
        <v>0</v>
      </c>
      <c r="P2639" s="54">
        <v>0</v>
      </c>
      <c r="Q2639" s="54">
        <v>3000</v>
      </c>
      <c r="R2639" s="54">
        <v>1161.8900000000001</v>
      </c>
      <c r="S2639" s="54">
        <v>0</v>
      </c>
      <c r="T2639" s="54">
        <v>0</v>
      </c>
      <c r="U2639" s="54">
        <v>3000</v>
      </c>
      <c r="V2639" s="54">
        <v>3000</v>
      </c>
      <c r="W2639" s="54">
        <v>1838.11</v>
      </c>
    </row>
    <row r="2640" spans="1:23" outlineLevel="2" x14ac:dyDescent="0.2">
      <c r="A2640" s="21" t="s">
        <v>999</v>
      </c>
      <c r="B2640" s="21" t="s">
        <v>39</v>
      </c>
      <c r="C2640" s="21" t="s">
        <v>58</v>
      </c>
      <c r="D2640" s="21" t="s">
        <v>59</v>
      </c>
      <c r="E2640" s="21" t="s">
        <v>60</v>
      </c>
      <c r="F2640" s="21" t="s">
        <v>1618</v>
      </c>
      <c r="G2640" s="21" t="s">
        <v>1619</v>
      </c>
      <c r="H2640" s="21" t="s">
        <v>1643</v>
      </c>
      <c r="I2640" s="21" t="s">
        <v>1644</v>
      </c>
      <c r="J2640" s="21" t="s">
        <v>1000</v>
      </c>
      <c r="K2640" s="21" t="s">
        <v>1106</v>
      </c>
      <c r="L2640" s="21" t="s">
        <v>1627</v>
      </c>
      <c r="M2640" s="21" t="s">
        <v>12</v>
      </c>
      <c r="N2640" s="54">
        <v>300</v>
      </c>
      <c r="O2640" s="54">
        <v>0</v>
      </c>
      <c r="P2640" s="54">
        <v>0</v>
      </c>
      <c r="Q2640" s="54">
        <v>300</v>
      </c>
      <c r="R2640" s="54">
        <v>0</v>
      </c>
      <c r="S2640" s="54">
        <v>0</v>
      </c>
      <c r="T2640" s="54">
        <v>0</v>
      </c>
      <c r="U2640" s="54">
        <v>300</v>
      </c>
      <c r="V2640" s="54">
        <v>300</v>
      </c>
      <c r="W2640" s="54">
        <v>300</v>
      </c>
    </row>
    <row r="2641" spans="1:23" outlineLevel="2" x14ac:dyDescent="0.2">
      <c r="A2641" s="21" t="s">
        <v>999</v>
      </c>
      <c r="B2641" s="21" t="s">
        <v>39</v>
      </c>
      <c r="C2641" s="21" t="s">
        <v>70</v>
      </c>
      <c r="D2641" s="21" t="s">
        <v>71</v>
      </c>
      <c r="E2641" s="21" t="s">
        <v>72</v>
      </c>
      <c r="F2641" s="21" t="s">
        <v>1618</v>
      </c>
      <c r="G2641" s="21" t="s">
        <v>1619</v>
      </c>
      <c r="H2641" s="21" t="s">
        <v>1643</v>
      </c>
      <c r="I2641" s="21" t="s">
        <v>1644</v>
      </c>
      <c r="J2641" s="21" t="s">
        <v>1000</v>
      </c>
      <c r="K2641" s="21" t="s">
        <v>1037</v>
      </c>
      <c r="L2641" s="21" t="s">
        <v>1628</v>
      </c>
      <c r="M2641" s="21" t="s">
        <v>12</v>
      </c>
      <c r="N2641" s="54">
        <v>10000</v>
      </c>
      <c r="O2641" s="54">
        <v>10000</v>
      </c>
      <c r="P2641" s="54">
        <v>0</v>
      </c>
      <c r="Q2641" s="54">
        <v>20000</v>
      </c>
      <c r="R2641" s="54">
        <v>0</v>
      </c>
      <c r="S2641" s="54">
        <v>0</v>
      </c>
      <c r="T2641" s="54">
        <v>0</v>
      </c>
      <c r="U2641" s="54">
        <v>20000</v>
      </c>
      <c r="V2641" s="54">
        <v>20000</v>
      </c>
      <c r="W2641" s="54">
        <v>20000</v>
      </c>
    </row>
    <row r="2642" spans="1:23" outlineLevel="2" x14ac:dyDescent="0.2">
      <c r="A2642" s="21" t="s">
        <v>999</v>
      </c>
      <c r="B2642" s="21" t="s">
        <v>39</v>
      </c>
      <c r="C2642" s="21" t="s">
        <v>70</v>
      </c>
      <c r="D2642" s="21" t="s">
        <v>89</v>
      </c>
      <c r="E2642" s="21" t="s">
        <v>90</v>
      </c>
      <c r="F2642" s="21" t="s">
        <v>1618</v>
      </c>
      <c r="G2642" s="21" t="s">
        <v>1619</v>
      </c>
      <c r="H2642" s="21" t="s">
        <v>1643</v>
      </c>
      <c r="I2642" s="21" t="s">
        <v>1644</v>
      </c>
      <c r="J2642" s="21" t="s">
        <v>1000</v>
      </c>
      <c r="K2642" s="21" t="s">
        <v>1037</v>
      </c>
      <c r="L2642" s="21" t="s">
        <v>1628</v>
      </c>
      <c r="M2642" s="21" t="s">
        <v>12</v>
      </c>
      <c r="N2642" s="54">
        <v>121000</v>
      </c>
      <c r="O2642" s="54">
        <v>0</v>
      </c>
      <c r="P2642" s="54">
        <v>0</v>
      </c>
      <c r="Q2642" s="54">
        <v>121000</v>
      </c>
      <c r="R2642" s="54">
        <v>0</v>
      </c>
      <c r="S2642" s="54">
        <v>679.8</v>
      </c>
      <c r="T2642" s="54">
        <v>679.8</v>
      </c>
      <c r="U2642" s="54">
        <v>120320.2</v>
      </c>
      <c r="V2642" s="54">
        <v>120320.2</v>
      </c>
      <c r="W2642" s="54">
        <v>120320.2</v>
      </c>
    </row>
    <row r="2643" spans="1:23" outlineLevel="2" x14ac:dyDescent="0.2">
      <c r="A2643" s="21" t="s">
        <v>999</v>
      </c>
      <c r="B2643" s="21" t="s">
        <v>39</v>
      </c>
      <c r="C2643" s="21" t="s">
        <v>70</v>
      </c>
      <c r="D2643" s="21" t="s">
        <v>71</v>
      </c>
      <c r="E2643" s="21" t="s">
        <v>72</v>
      </c>
      <c r="F2643" s="21" t="s">
        <v>1618</v>
      </c>
      <c r="G2643" s="21" t="s">
        <v>1619</v>
      </c>
      <c r="H2643" s="21" t="s">
        <v>1643</v>
      </c>
      <c r="I2643" s="21" t="s">
        <v>1644</v>
      </c>
      <c r="J2643" s="21" t="s">
        <v>1000</v>
      </c>
      <c r="K2643" s="21" t="s">
        <v>1039</v>
      </c>
      <c r="L2643" s="21" t="s">
        <v>1629</v>
      </c>
      <c r="M2643" s="21" t="s">
        <v>12</v>
      </c>
      <c r="N2643" s="54">
        <v>0</v>
      </c>
      <c r="O2643" s="54">
        <v>130000</v>
      </c>
      <c r="P2643" s="54">
        <v>0</v>
      </c>
      <c r="Q2643" s="54">
        <v>130000</v>
      </c>
      <c r="R2643" s="54">
        <v>0</v>
      </c>
      <c r="S2643" s="54">
        <v>0</v>
      </c>
      <c r="T2643" s="54">
        <v>0</v>
      </c>
      <c r="U2643" s="54">
        <v>130000</v>
      </c>
      <c r="V2643" s="54">
        <v>130000</v>
      </c>
      <c r="W2643" s="54">
        <v>130000</v>
      </c>
    </row>
    <row r="2644" spans="1:23" outlineLevel="2" x14ac:dyDescent="0.2">
      <c r="A2644" s="21" t="s">
        <v>999</v>
      </c>
      <c r="B2644" s="21" t="s">
        <v>39</v>
      </c>
      <c r="C2644" s="21" t="s">
        <v>58</v>
      </c>
      <c r="D2644" s="21" t="s">
        <v>59</v>
      </c>
      <c r="E2644" s="21" t="s">
        <v>60</v>
      </c>
      <c r="F2644" s="21" t="s">
        <v>1618</v>
      </c>
      <c r="G2644" s="21" t="s">
        <v>1619</v>
      </c>
      <c r="H2644" s="21" t="s">
        <v>1643</v>
      </c>
      <c r="I2644" s="21" t="s">
        <v>1644</v>
      </c>
      <c r="J2644" s="21" t="s">
        <v>1000</v>
      </c>
      <c r="K2644" s="21" t="s">
        <v>1039</v>
      </c>
      <c r="L2644" s="21" t="s">
        <v>1647</v>
      </c>
      <c r="M2644" s="21" t="s">
        <v>12</v>
      </c>
      <c r="N2644" s="54">
        <v>800</v>
      </c>
      <c r="O2644" s="54">
        <v>0</v>
      </c>
      <c r="P2644" s="54">
        <v>0</v>
      </c>
      <c r="Q2644" s="54">
        <v>800</v>
      </c>
      <c r="R2644" s="54">
        <v>0</v>
      </c>
      <c r="S2644" s="54">
        <v>0</v>
      </c>
      <c r="T2644" s="54">
        <v>0</v>
      </c>
      <c r="U2644" s="54">
        <v>800</v>
      </c>
      <c r="V2644" s="54">
        <v>800</v>
      </c>
      <c r="W2644" s="54">
        <v>800</v>
      </c>
    </row>
    <row r="2645" spans="1:23" outlineLevel="2" x14ac:dyDescent="0.2">
      <c r="A2645" s="21" t="s">
        <v>999</v>
      </c>
      <c r="B2645" s="21" t="s">
        <v>39</v>
      </c>
      <c r="C2645" s="21" t="s">
        <v>70</v>
      </c>
      <c r="D2645" s="21" t="s">
        <v>89</v>
      </c>
      <c r="E2645" s="21" t="s">
        <v>90</v>
      </c>
      <c r="F2645" s="21" t="s">
        <v>1618</v>
      </c>
      <c r="G2645" s="21" t="s">
        <v>1619</v>
      </c>
      <c r="H2645" s="21" t="s">
        <v>1643</v>
      </c>
      <c r="I2645" s="21" t="s">
        <v>1644</v>
      </c>
      <c r="J2645" s="21" t="s">
        <v>1000</v>
      </c>
      <c r="K2645" s="21" t="s">
        <v>1088</v>
      </c>
      <c r="L2645" s="21" t="s">
        <v>1648</v>
      </c>
      <c r="M2645" s="21" t="s">
        <v>12</v>
      </c>
      <c r="N2645" s="54">
        <v>54000</v>
      </c>
      <c r="O2645" s="54">
        <v>0</v>
      </c>
      <c r="P2645" s="54">
        <v>0</v>
      </c>
      <c r="Q2645" s="54">
        <v>54000</v>
      </c>
      <c r="R2645" s="54">
        <v>0</v>
      </c>
      <c r="S2645" s="54">
        <v>0</v>
      </c>
      <c r="T2645" s="54">
        <v>0</v>
      </c>
      <c r="U2645" s="54">
        <v>54000</v>
      </c>
      <c r="V2645" s="54">
        <v>54000</v>
      </c>
      <c r="W2645" s="54">
        <v>54000</v>
      </c>
    </row>
    <row r="2646" spans="1:23" outlineLevel="2" x14ac:dyDescent="0.2">
      <c r="A2646" s="21" t="s">
        <v>999</v>
      </c>
      <c r="B2646" s="21" t="s">
        <v>39</v>
      </c>
      <c r="C2646" s="21" t="s">
        <v>70</v>
      </c>
      <c r="D2646" s="21" t="s">
        <v>89</v>
      </c>
      <c r="E2646" s="21" t="s">
        <v>90</v>
      </c>
      <c r="F2646" s="21" t="s">
        <v>1618</v>
      </c>
      <c r="G2646" s="21" t="s">
        <v>1619</v>
      </c>
      <c r="H2646" s="21" t="s">
        <v>1643</v>
      </c>
      <c r="I2646" s="21" t="s">
        <v>1644</v>
      </c>
      <c r="J2646" s="21" t="s">
        <v>1000</v>
      </c>
      <c r="K2646" s="21" t="s">
        <v>1009</v>
      </c>
      <c r="L2646" s="21" t="s">
        <v>1649</v>
      </c>
      <c r="M2646" s="21" t="s">
        <v>12</v>
      </c>
      <c r="N2646" s="54">
        <v>79000</v>
      </c>
      <c r="O2646" s="54">
        <v>0</v>
      </c>
      <c r="P2646" s="54">
        <v>0</v>
      </c>
      <c r="Q2646" s="54">
        <v>79000</v>
      </c>
      <c r="R2646" s="54">
        <v>5080</v>
      </c>
      <c r="S2646" s="54">
        <v>22374.5</v>
      </c>
      <c r="T2646" s="54">
        <v>19276.599999999999</v>
      </c>
      <c r="U2646" s="54">
        <v>56625.5</v>
      </c>
      <c r="V2646" s="54">
        <v>59723.4</v>
      </c>
      <c r="W2646" s="54">
        <v>51545.5</v>
      </c>
    </row>
    <row r="2647" spans="1:23" outlineLevel="2" x14ac:dyDescent="0.2">
      <c r="A2647" s="21" t="s">
        <v>999</v>
      </c>
      <c r="B2647" s="21" t="s">
        <v>39</v>
      </c>
      <c r="C2647" s="21" t="s">
        <v>70</v>
      </c>
      <c r="D2647" s="21" t="s">
        <v>89</v>
      </c>
      <c r="E2647" s="21" t="s">
        <v>90</v>
      </c>
      <c r="F2647" s="21" t="s">
        <v>1618</v>
      </c>
      <c r="G2647" s="21" t="s">
        <v>1619</v>
      </c>
      <c r="H2647" s="21" t="s">
        <v>1643</v>
      </c>
      <c r="I2647" s="21" t="s">
        <v>1644</v>
      </c>
      <c r="J2647" s="21" t="s">
        <v>1000</v>
      </c>
      <c r="K2647" s="21" t="s">
        <v>1376</v>
      </c>
      <c r="L2647" s="21" t="s">
        <v>1650</v>
      </c>
      <c r="M2647" s="21" t="s">
        <v>12</v>
      </c>
      <c r="N2647" s="54">
        <v>175000</v>
      </c>
      <c r="O2647" s="54">
        <v>0</v>
      </c>
      <c r="P2647" s="54">
        <v>0</v>
      </c>
      <c r="Q2647" s="54">
        <v>175000</v>
      </c>
      <c r="R2647" s="54">
        <v>10556.12</v>
      </c>
      <c r="S2647" s="54">
        <v>54762.47</v>
      </c>
      <c r="T2647" s="54">
        <v>32995.97</v>
      </c>
      <c r="U2647" s="54">
        <v>120237.53</v>
      </c>
      <c r="V2647" s="54">
        <v>142004.03</v>
      </c>
      <c r="W2647" s="54">
        <v>109681.41</v>
      </c>
    </row>
    <row r="2648" spans="1:23" outlineLevel="2" x14ac:dyDescent="0.2">
      <c r="A2648" s="21" t="s">
        <v>999</v>
      </c>
      <c r="B2648" s="21" t="s">
        <v>39</v>
      </c>
      <c r="C2648" s="21" t="s">
        <v>70</v>
      </c>
      <c r="D2648" s="21" t="s">
        <v>89</v>
      </c>
      <c r="E2648" s="21" t="s">
        <v>90</v>
      </c>
      <c r="F2648" s="21" t="s">
        <v>1618</v>
      </c>
      <c r="G2648" s="21" t="s">
        <v>1619</v>
      </c>
      <c r="H2648" s="21" t="s">
        <v>1643</v>
      </c>
      <c r="I2648" s="21" t="s">
        <v>1644</v>
      </c>
      <c r="J2648" s="21" t="s">
        <v>1000</v>
      </c>
      <c r="K2648" s="21" t="s">
        <v>1651</v>
      </c>
      <c r="L2648" s="21" t="s">
        <v>1652</v>
      </c>
      <c r="M2648" s="21" t="s">
        <v>12</v>
      </c>
      <c r="N2648" s="54">
        <v>16000</v>
      </c>
      <c r="O2648" s="54">
        <v>0</v>
      </c>
      <c r="P2648" s="54">
        <v>0</v>
      </c>
      <c r="Q2648" s="54">
        <v>16000</v>
      </c>
      <c r="R2648" s="54">
        <v>258.72000000000003</v>
      </c>
      <c r="S2648" s="54">
        <v>7711.47</v>
      </c>
      <c r="T2648" s="54">
        <v>5863.47</v>
      </c>
      <c r="U2648" s="54">
        <v>8288.5300000000007</v>
      </c>
      <c r="V2648" s="54">
        <v>10136.530000000001</v>
      </c>
      <c r="W2648" s="54">
        <v>8029.81</v>
      </c>
    </row>
    <row r="2649" spans="1:23" outlineLevel="2" x14ac:dyDescent="0.2">
      <c r="A2649" s="21" t="s">
        <v>999</v>
      </c>
      <c r="B2649" s="21" t="s">
        <v>39</v>
      </c>
      <c r="C2649" s="21" t="s">
        <v>70</v>
      </c>
      <c r="D2649" s="21" t="s">
        <v>89</v>
      </c>
      <c r="E2649" s="21" t="s">
        <v>90</v>
      </c>
      <c r="F2649" s="21" t="s">
        <v>1618</v>
      </c>
      <c r="G2649" s="21" t="s">
        <v>1619</v>
      </c>
      <c r="H2649" s="21" t="s">
        <v>1643</v>
      </c>
      <c r="I2649" s="21" t="s">
        <v>1644</v>
      </c>
      <c r="J2649" s="21" t="s">
        <v>1000</v>
      </c>
      <c r="K2649" s="21" t="s">
        <v>1539</v>
      </c>
      <c r="L2649" s="21" t="s">
        <v>1635</v>
      </c>
      <c r="M2649" s="21" t="s">
        <v>12</v>
      </c>
      <c r="N2649" s="54">
        <v>7000</v>
      </c>
      <c r="O2649" s="54">
        <v>0</v>
      </c>
      <c r="P2649" s="54">
        <v>0</v>
      </c>
      <c r="Q2649" s="54">
        <v>7000</v>
      </c>
      <c r="R2649" s="54">
        <v>0</v>
      </c>
      <c r="S2649" s="54">
        <v>6988.8</v>
      </c>
      <c r="T2649" s="54">
        <v>5241.6000000000004</v>
      </c>
      <c r="U2649" s="54">
        <v>11.2</v>
      </c>
      <c r="V2649" s="54">
        <v>1758.4</v>
      </c>
      <c r="W2649" s="54">
        <v>11.2</v>
      </c>
    </row>
    <row r="2650" spans="1:23" outlineLevel="2" x14ac:dyDescent="0.2">
      <c r="A2650" s="21" t="s">
        <v>999</v>
      </c>
      <c r="B2650" s="21" t="s">
        <v>39</v>
      </c>
      <c r="C2650" s="21" t="s">
        <v>70</v>
      </c>
      <c r="D2650" s="21" t="s">
        <v>89</v>
      </c>
      <c r="E2650" s="21" t="s">
        <v>90</v>
      </c>
      <c r="F2650" s="21" t="s">
        <v>1618</v>
      </c>
      <c r="G2650" s="21" t="s">
        <v>1619</v>
      </c>
      <c r="H2650" s="21" t="s">
        <v>1643</v>
      </c>
      <c r="I2650" s="21" t="s">
        <v>1644</v>
      </c>
      <c r="J2650" s="21" t="s">
        <v>1000</v>
      </c>
      <c r="K2650" s="21" t="s">
        <v>1013</v>
      </c>
      <c r="L2650" s="21" t="s">
        <v>1622</v>
      </c>
      <c r="M2650" s="21" t="s">
        <v>12</v>
      </c>
      <c r="N2650" s="54">
        <v>30000</v>
      </c>
      <c r="O2650" s="54">
        <v>0</v>
      </c>
      <c r="P2650" s="54">
        <v>0</v>
      </c>
      <c r="Q2650" s="54">
        <v>30000</v>
      </c>
      <c r="R2650" s="54">
        <v>0</v>
      </c>
      <c r="S2650" s="54">
        <v>19267.919999999998</v>
      </c>
      <c r="T2650" s="54">
        <v>19267.919999999998</v>
      </c>
      <c r="U2650" s="54">
        <v>10732.08</v>
      </c>
      <c r="V2650" s="54">
        <v>10732.08</v>
      </c>
      <c r="W2650" s="54">
        <v>10732.08</v>
      </c>
    </row>
    <row r="2651" spans="1:23" outlineLevel="2" x14ac:dyDescent="0.2">
      <c r="A2651" s="21" t="s">
        <v>999</v>
      </c>
      <c r="B2651" s="21" t="s">
        <v>39</v>
      </c>
      <c r="C2651" s="21" t="s">
        <v>70</v>
      </c>
      <c r="D2651" s="21" t="s">
        <v>89</v>
      </c>
      <c r="E2651" s="21" t="s">
        <v>90</v>
      </c>
      <c r="F2651" s="21" t="s">
        <v>1618</v>
      </c>
      <c r="G2651" s="21" t="s">
        <v>1619</v>
      </c>
      <c r="H2651" s="21" t="s">
        <v>1643</v>
      </c>
      <c r="I2651" s="21" t="s">
        <v>1644</v>
      </c>
      <c r="J2651" s="21" t="s">
        <v>1000</v>
      </c>
      <c r="K2651" s="21" t="s">
        <v>1015</v>
      </c>
      <c r="L2651" s="21" t="s">
        <v>1653</v>
      </c>
      <c r="M2651" s="21" t="s">
        <v>12</v>
      </c>
      <c r="N2651" s="54">
        <v>0</v>
      </c>
      <c r="O2651" s="54">
        <v>6998</v>
      </c>
      <c r="P2651" s="54">
        <v>0</v>
      </c>
      <c r="Q2651" s="54">
        <v>6998</v>
      </c>
      <c r="R2651" s="54">
        <v>0</v>
      </c>
      <c r="S2651" s="54">
        <v>1997.86</v>
      </c>
      <c r="T2651" s="54">
        <v>1997.86</v>
      </c>
      <c r="U2651" s="54">
        <v>5000.1400000000003</v>
      </c>
      <c r="V2651" s="54">
        <v>5000.1400000000003</v>
      </c>
      <c r="W2651" s="54">
        <v>5000.1400000000003</v>
      </c>
    </row>
    <row r="2652" spans="1:23" outlineLevel="2" x14ac:dyDescent="0.2">
      <c r="A2652" s="21" t="s">
        <v>999</v>
      </c>
      <c r="B2652" s="21" t="s">
        <v>39</v>
      </c>
      <c r="C2652" s="21" t="s">
        <v>70</v>
      </c>
      <c r="D2652" s="21" t="s">
        <v>71</v>
      </c>
      <c r="E2652" s="21" t="s">
        <v>72</v>
      </c>
      <c r="F2652" s="21" t="s">
        <v>1618</v>
      </c>
      <c r="G2652" s="21" t="s">
        <v>1619</v>
      </c>
      <c r="H2652" s="21" t="s">
        <v>1643</v>
      </c>
      <c r="I2652" s="21" t="s">
        <v>1644</v>
      </c>
      <c r="J2652" s="21" t="s">
        <v>1000</v>
      </c>
      <c r="K2652" s="21" t="s">
        <v>1327</v>
      </c>
      <c r="L2652" s="21" t="s">
        <v>1654</v>
      </c>
      <c r="M2652" s="21" t="s">
        <v>12</v>
      </c>
      <c r="N2652" s="54">
        <v>131000</v>
      </c>
      <c r="O2652" s="54">
        <v>-131000</v>
      </c>
      <c r="P2652" s="54">
        <v>0</v>
      </c>
      <c r="Q2652" s="54">
        <v>0</v>
      </c>
      <c r="R2652" s="54">
        <v>0</v>
      </c>
      <c r="S2652" s="54">
        <v>0</v>
      </c>
      <c r="T2652" s="54">
        <v>0</v>
      </c>
      <c r="U2652" s="54">
        <v>0</v>
      </c>
      <c r="V2652" s="54">
        <v>0</v>
      </c>
      <c r="W2652" s="54">
        <v>0</v>
      </c>
    </row>
    <row r="2653" spans="1:23" outlineLevel="2" x14ac:dyDescent="0.2">
      <c r="A2653" s="21" t="s">
        <v>999</v>
      </c>
      <c r="B2653" s="21" t="s">
        <v>39</v>
      </c>
      <c r="C2653" s="21" t="s">
        <v>70</v>
      </c>
      <c r="D2653" s="21" t="s">
        <v>89</v>
      </c>
      <c r="E2653" s="21" t="s">
        <v>90</v>
      </c>
      <c r="F2653" s="21" t="s">
        <v>1618</v>
      </c>
      <c r="G2653" s="21" t="s">
        <v>1619</v>
      </c>
      <c r="H2653" s="21" t="s">
        <v>1643</v>
      </c>
      <c r="I2653" s="21" t="s">
        <v>1644</v>
      </c>
      <c r="J2653" s="21" t="s">
        <v>1000</v>
      </c>
      <c r="K2653" s="21" t="s">
        <v>1267</v>
      </c>
      <c r="L2653" s="21" t="s">
        <v>1623</v>
      </c>
      <c r="M2653" s="21" t="s">
        <v>12</v>
      </c>
      <c r="N2653" s="54">
        <v>140000</v>
      </c>
      <c r="O2653" s="54">
        <v>-7896</v>
      </c>
      <c r="P2653" s="54">
        <v>0</v>
      </c>
      <c r="Q2653" s="54">
        <v>132104</v>
      </c>
      <c r="R2653" s="54">
        <v>0</v>
      </c>
      <c r="S2653" s="54">
        <v>13567.5</v>
      </c>
      <c r="T2653" s="54">
        <v>9315</v>
      </c>
      <c r="U2653" s="54">
        <v>118536.5</v>
      </c>
      <c r="V2653" s="54">
        <v>122789</v>
      </c>
      <c r="W2653" s="54">
        <v>118536.5</v>
      </c>
    </row>
    <row r="2654" spans="1:23" outlineLevel="2" x14ac:dyDescent="0.2">
      <c r="A2654" s="21" t="s">
        <v>999</v>
      </c>
      <c r="B2654" s="21" t="s">
        <v>39</v>
      </c>
      <c r="C2654" s="21" t="s">
        <v>70</v>
      </c>
      <c r="D2654" s="21" t="s">
        <v>89</v>
      </c>
      <c r="E2654" s="21" t="s">
        <v>90</v>
      </c>
      <c r="F2654" s="21" t="s">
        <v>1618</v>
      </c>
      <c r="G2654" s="21" t="s">
        <v>1619</v>
      </c>
      <c r="H2654" s="21" t="s">
        <v>1643</v>
      </c>
      <c r="I2654" s="21" t="s">
        <v>1644</v>
      </c>
      <c r="J2654" s="21" t="s">
        <v>1000</v>
      </c>
      <c r="K2654" s="21" t="s">
        <v>1031</v>
      </c>
      <c r="L2654" s="21" t="s">
        <v>1655</v>
      </c>
      <c r="M2654" s="21" t="s">
        <v>12</v>
      </c>
      <c r="N2654" s="54">
        <v>0</v>
      </c>
      <c r="O2654" s="54">
        <v>7896</v>
      </c>
      <c r="P2654" s="54">
        <v>0</v>
      </c>
      <c r="Q2654" s="54">
        <v>7896</v>
      </c>
      <c r="R2654" s="54">
        <v>0</v>
      </c>
      <c r="S2654" s="54">
        <v>7896</v>
      </c>
      <c r="T2654" s="54">
        <v>7896</v>
      </c>
      <c r="U2654" s="54">
        <v>0</v>
      </c>
      <c r="V2654" s="54">
        <v>0</v>
      </c>
      <c r="W2654" s="54">
        <v>0</v>
      </c>
    </row>
    <row r="2655" spans="1:23" outlineLevel="2" x14ac:dyDescent="0.2">
      <c r="A2655" s="21" t="s">
        <v>999</v>
      </c>
      <c r="B2655" s="21" t="s">
        <v>39</v>
      </c>
      <c r="C2655" s="21" t="s">
        <v>70</v>
      </c>
      <c r="D2655" s="21" t="s">
        <v>89</v>
      </c>
      <c r="E2655" s="21" t="s">
        <v>90</v>
      </c>
      <c r="F2655" s="21" t="s">
        <v>1618</v>
      </c>
      <c r="G2655" s="21" t="s">
        <v>1619</v>
      </c>
      <c r="H2655" s="21" t="s">
        <v>1643</v>
      </c>
      <c r="I2655" s="21" t="s">
        <v>1644</v>
      </c>
      <c r="J2655" s="21" t="s">
        <v>1000</v>
      </c>
      <c r="K2655" s="21" t="s">
        <v>1061</v>
      </c>
      <c r="L2655" s="21" t="s">
        <v>1656</v>
      </c>
      <c r="M2655" s="21" t="s">
        <v>12</v>
      </c>
      <c r="N2655" s="54">
        <v>1280114</v>
      </c>
      <c r="O2655" s="54">
        <v>-6998</v>
      </c>
      <c r="P2655" s="54">
        <v>0</v>
      </c>
      <c r="Q2655" s="54">
        <v>1273116</v>
      </c>
      <c r="R2655" s="54">
        <v>0.05</v>
      </c>
      <c r="S2655" s="54">
        <v>347994.84</v>
      </c>
      <c r="T2655" s="54">
        <v>340916.34</v>
      </c>
      <c r="U2655" s="54">
        <v>925121.16</v>
      </c>
      <c r="V2655" s="54">
        <v>932199.66</v>
      </c>
      <c r="W2655" s="54">
        <v>925121.11</v>
      </c>
    </row>
    <row r="2656" spans="1:23" outlineLevel="2" x14ac:dyDescent="0.2">
      <c r="A2656" s="21" t="s">
        <v>999</v>
      </c>
      <c r="B2656" s="21" t="s">
        <v>39</v>
      </c>
      <c r="C2656" s="21" t="s">
        <v>70</v>
      </c>
      <c r="D2656" s="21" t="s">
        <v>89</v>
      </c>
      <c r="E2656" s="21" t="s">
        <v>90</v>
      </c>
      <c r="F2656" s="21" t="s">
        <v>1618</v>
      </c>
      <c r="G2656" s="21" t="s">
        <v>1619</v>
      </c>
      <c r="H2656" s="21" t="s">
        <v>1643</v>
      </c>
      <c r="I2656" s="21" t="s">
        <v>1644</v>
      </c>
      <c r="J2656" s="21" t="s">
        <v>1000</v>
      </c>
      <c r="K2656" s="21" t="s">
        <v>1061</v>
      </c>
      <c r="L2656" s="21" t="s">
        <v>1656</v>
      </c>
      <c r="M2656" s="21" t="s">
        <v>15</v>
      </c>
      <c r="N2656" s="54">
        <v>40854.720000000001</v>
      </c>
      <c r="O2656" s="54">
        <v>0</v>
      </c>
      <c r="P2656" s="54">
        <v>0</v>
      </c>
      <c r="Q2656" s="54">
        <v>40854.720000000001</v>
      </c>
      <c r="R2656" s="54">
        <v>0</v>
      </c>
      <c r="S2656" s="54">
        <v>19057.25</v>
      </c>
      <c r="T2656" s="54">
        <v>19057.25</v>
      </c>
      <c r="U2656" s="54">
        <v>21797.47</v>
      </c>
      <c r="V2656" s="54">
        <v>21797.47</v>
      </c>
      <c r="W2656" s="54">
        <v>21797.47</v>
      </c>
    </row>
    <row r="2657" spans="1:23" outlineLevel="2" x14ac:dyDescent="0.2">
      <c r="A2657" s="21" t="s">
        <v>999</v>
      </c>
      <c r="B2657" s="21" t="s">
        <v>39</v>
      </c>
      <c r="C2657" s="21" t="s">
        <v>70</v>
      </c>
      <c r="D2657" s="21" t="s">
        <v>89</v>
      </c>
      <c r="E2657" s="21" t="s">
        <v>90</v>
      </c>
      <c r="F2657" s="21" t="s">
        <v>1618</v>
      </c>
      <c r="G2657" s="21" t="s">
        <v>1619</v>
      </c>
      <c r="H2657" s="21" t="s">
        <v>1643</v>
      </c>
      <c r="I2657" s="21" t="s">
        <v>1644</v>
      </c>
      <c r="J2657" s="21" t="s">
        <v>1000</v>
      </c>
      <c r="K2657" s="21" t="s">
        <v>1381</v>
      </c>
      <c r="L2657" s="21" t="s">
        <v>1657</v>
      </c>
      <c r="M2657" s="21" t="s">
        <v>12</v>
      </c>
      <c r="N2657" s="54">
        <v>200000</v>
      </c>
      <c r="O2657" s="54">
        <v>0</v>
      </c>
      <c r="P2657" s="54">
        <v>0</v>
      </c>
      <c r="Q2657" s="54">
        <v>200000</v>
      </c>
      <c r="R2657" s="54">
        <v>0</v>
      </c>
      <c r="S2657" s="54">
        <v>170733</v>
      </c>
      <c r="T2657" s="54">
        <v>109086.92</v>
      </c>
      <c r="U2657" s="54">
        <v>29267</v>
      </c>
      <c r="V2657" s="54">
        <v>90913.08</v>
      </c>
      <c r="W2657" s="54">
        <v>29267</v>
      </c>
    </row>
    <row r="2658" spans="1:23" outlineLevel="2" x14ac:dyDescent="0.2">
      <c r="A2658" s="21" t="s">
        <v>999</v>
      </c>
      <c r="B2658" s="21" t="s">
        <v>39</v>
      </c>
      <c r="C2658" s="21" t="s">
        <v>70</v>
      </c>
      <c r="D2658" s="21" t="s">
        <v>89</v>
      </c>
      <c r="E2658" s="21" t="s">
        <v>90</v>
      </c>
      <c r="F2658" s="21" t="s">
        <v>1618</v>
      </c>
      <c r="G2658" s="21" t="s">
        <v>1619</v>
      </c>
      <c r="H2658" s="21" t="s">
        <v>1643</v>
      </c>
      <c r="I2658" s="21" t="s">
        <v>1644</v>
      </c>
      <c r="J2658" s="21" t="s">
        <v>1000</v>
      </c>
      <c r="K2658" s="21" t="s">
        <v>1313</v>
      </c>
      <c r="L2658" s="21" t="s">
        <v>1658</v>
      </c>
      <c r="M2658" s="21" t="s">
        <v>12</v>
      </c>
      <c r="N2658" s="54">
        <v>1613</v>
      </c>
      <c r="O2658" s="54">
        <v>0</v>
      </c>
      <c r="P2658" s="54">
        <v>0</v>
      </c>
      <c r="Q2658" s="54">
        <v>1613</v>
      </c>
      <c r="R2658" s="54">
        <v>0</v>
      </c>
      <c r="S2658" s="54">
        <v>0</v>
      </c>
      <c r="T2658" s="54">
        <v>0</v>
      </c>
      <c r="U2658" s="54">
        <v>1613</v>
      </c>
      <c r="V2658" s="54">
        <v>1613</v>
      </c>
      <c r="W2658" s="54">
        <v>1613</v>
      </c>
    </row>
    <row r="2659" spans="1:23" outlineLevel="2" x14ac:dyDescent="0.2">
      <c r="A2659" s="21" t="s">
        <v>999</v>
      </c>
      <c r="B2659" s="21" t="s">
        <v>39</v>
      </c>
      <c r="C2659" s="21" t="s">
        <v>70</v>
      </c>
      <c r="D2659" s="21" t="s">
        <v>71</v>
      </c>
      <c r="E2659" s="21" t="s">
        <v>72</v>
      </c>
      <c r="F2659" s="21" t="s">
        <v>1618</v>
      </c>
      <c r="G2659" s="21" t="s">
        <v>1619</v>
      </c>
      <c r="H2659" s="21" t="s">
        <v>1643</v>
      </c>
      <c r="I2659" s="21" t="s">
        <v>1644</v>
      </c>
      <c r="J2659" s="21" t="s">
        <v>1000</v>
      </c>
      <c r="K2659" s="21" t="s">
        <v>1313</v>
      </c>
      <c r="L2659" s="21" t="s">
        <v>1658</v>
      </c>
      <c r="M2659" s="21" t="s">
        <v>12</v>
      </c>
      <c r="N2659" s="54">
        <v>0</v>
      </c>
      <c r="O2659" s="54">
        <v>9555.84</v>
      </c>
      <c r="P2659" s="54">
        <v>0</v>
      </c>
      <c r="Q2659" s="54">
        <v>9555.84</v>
      </c>
      <c r="R2659" s="54">
        <v>2971.78</v>
      </c>
      <c r="S2659" s="54">
        <v>6584.06</v>
      </c>
      <c r="T2659" s="54">
        <v>6584.06</v>
      </c>
      <c r="U2659" s="54">
        <v>2971.78</v>
      </c>
      <c r="V2659" s="54">
        <v>2971.78</v>
      </c>
      <c r="W2659" s="54">
        <v>0</v>
      </c>
    </row>
    <row r="2660" spans="1:23" outlineLevel="2" x14ac:dyDescent="0.2">
      <c r="A2660" s="21" t="s">
        <v>999</v>
      </c>
      <c r="B2660" s="21" t="s">
        <v>39</v>
      </c>
      <c r="C2660" s="21" t="s">
        <v>58</v>
      </c>
      <c r="D2660" s="21" t="s">
        <v>129</v>
      </c>
      <c r="E2660" s="21" t="s">
        <v>130</v>
      </c>
      <c r="F2660" s="21" t="s">
        <v>1618</v>
      </c>
      <c r="G2660" s="21" t="s">
        <v>1619</v>
      </c>
      <c r="H2660" s="21" t="s">
        <v>1643</v>
      </c>
      <c r="I2660" s="21" t="s">
        <v>1644</v>
      </c>
      <c r="J2660" s="21" t="s">
        <v>1000</v>
      </c>
      <c r="K2660" s="21" t="s">
        <v>1313</v>
      </c>
      <c r="L2660" s="21" t="s">
        <v>1659</v>
      </c>
      <c r="M2660" s="21" t="s">
        <v>12</v>
      </c>
      <c r="N2660" s="54">
        <v>500</v>
      </c>
      <c r="O2660" s="54">
        <v>0</v>
      </c>
      <c r="P2660" s="54">
        <v>0</v>
      </c>
      <c r="Q2660" s="54">
        <v>500</v>
      </c>
      <c r="R2660" s="54">
        <v>499.78</v>
      </c>
      <c r="S2660" s="54">
        <v>0</v>
      </c>
      <c r="T2660" s="54">
        <v>0</v>
      </c>
      <c r="U2660" s="54">
        <v>500</v>
      </c>
      <c r="V2660" s="54">
        <v>500</v>
      </c>
      <c r="W2660" s="54">
        <v>0.22</v>
      </c>
    </row>
    <row r="2661" spans="1:23" outlineLevel="2" x14ac:dyDescent="0.2">
      <c r="A2661" s="21" t="s">
        <v>999</v>
      </c>
      <c r="B2661" s="21" t="s">
        <v>39</v>
      </c>
      <c r="C2661" s="21" t="s">
        <v>58</v>
      </c>
      <c r="D2661" s="21" t="s">
        <v>137</v>
      </c>
      <c r="E2661" s="21" t="s">
        <v>138</v>
      </c>
      <c r="F2661" s="21" t="s">
        <v>1618</v>
      </c>
      <c r="G2661" s="21" t="s">
        <v>1619</v>
      </c>
      <c r="H2661" s="21" t="s">
        <v>1643</v>
      </c>
      <c r="I2661" s="21" t="s">
        <v>1644</v>
      </c>
      <c r="J2661" s="21" t="s">
        <v>1000</v>
      </c>
      <c r="K2661" s="21" t="s">
        <v>1092</v>
      </c>
      <c r="L2661" s="21" t="s">
        <v>1660</v>
      </c>
      <c r="M2661" s="21" t="s">
        <v>12</v>
      </c>
      <c r="N2661" s="54">
        <v>1000</v>
      </c>
      <c r="O2661" s="54">
        <v>0</v>
      </c>
      <c r="P2661" s="54">
        <v>0</v>
      </c>
      <c r="Q2661" s="54">
        <v>1000</v>
      </c>
      <c r="R2661" s="54">
        <v>0</v>
      </c>
      <c r="S2661" s="54">
        <v>0</v>
      </c>
      <c r="T2661" s="54">
        <v>0</v>
      </c>
      <c r="U2661" s="54">
        <v>1000</v>
      </c>
      <c r="V2661" s="54">
        <v>1000</v>
      </c>
      <c r="W2661" s="54">
        <v>1000</v>
      </c>
    </row>
    <row r="2662" spans="1:23" outlineLevel="2" x14ac:dyDescent="0.2">
      <c r="A2662" s="21" t="s">
        <v>999</v>
      </c>
      <c r="B2662" s="21" t="s">
        <v>39</v>
      </c>
      <c r="C2662" s="21" t="s">
        <v>70</v>
      </c>
      <c r="D2662" s="21" t="s">
        <v>89</v>
      </c>
      <c r="E2662" s="21" t="s">
        <v>90</v>
      </c>
      <c r="F2662" s="21" t="s">
        <v>1618</v>
      </c>
      <c r="G2662" s="21" t="s">
        <v>1619</v>
      </c>
      <c r="H2662" s="21" t="s">
        <v>1643</v>
      </c>
      <c r="I2662" s="21" t="s">
        <v>1644</v>
      </c>
      <c r="J2662" s="21" t="s">
        <v>1000</v>
      </c>
      <c r="K2662" s="21" t="s">
        <v>1386</v>
      </c>
      <c r="L2662" s="21" t="s">
        <v>1661</v>
      </c>
      <c r="M2662" s="21" t="s">
        <v>12</v>
      </c>
      <c r="N2662" s="54">
        <v>950</v>
      </c>
      <c r="O2662" s="54">
        <v>0</v>
      </c>
      <c r="P2662" s="54">
        <v>0</v>
      </c>
      <c r="Q2662" s="54">
        <v>950</v>
      </c>
      <c r="R2662" s="54">
        <v>0</v>
      </c>
      <c r="S2662" s="54">
        <v>0</v>
      </c>
      <c r="T2662" s="54">
        <v>0</v>
      </c>
      <c r="U2662" s="54">
        <v>950</v>
      </c>
      <c r="V2662" s="54">
        <v>950</v>
      </c>
      <c r="W2662" s="54">
        <v>950</v>
      </c>
    </row>
    <row r="2663" spans="1:23" outlineLevel="2" x14ac:dyDescent="0.2">
      <c r="A2663" s="21" t="s">
        <v>999</v>
      </c>
      <c r="B2663" s="21" t="s">
        <v>39</v>
      </c>
      <c r="C2663" s="21" t="s">
        <v>70</v>
      </c>
      <c r="D2663" s="21" t="s">
        <v>89</v>
      </c>
      <c r="E2663" s="21" t="s">
        <v>90</v>
      </c>
      <c r="F2663" s="21" t="s">
        <v>1618</v>
      </c>
      <c r="G2663" s="21" t="s">
        <v>1619</v>
      </c>
      <c r="H2663" s="21" t="s">
        <v>1643</v>
      </c>
      <c r="I2663" s="21" t="s">
        <v>1644</v>
      </c>
      <c r="J2663" s="21" t="s">
        <v>1000</v>
      </c>
      <c r="K2663" s="21" t="s">
        <v>1388</v>
      </c>
      <c r="L2663" s="21" t="s">
        <v>1662</v>
      </c>
      <c r="M2663" s="21" t="s">
        <v>12</v>
      </c>
      <c r="N2663" s="54">
        <v>1250</v>
      </c>
      <c r="O2663" s="54">
        <v>0</v>
      </c>
      <c r="P2663" s="54">
        <v>0</v>
      </c>
      <c r="Q2663" s="54">
        <v>1250</v>
      </c>
      <c r="R2663" s="54">
        <v>0</v>
      </c>
      <c r="S2663" s="54">
        <v>0</v>
      </c>
      <c r="T2663" s="54">
        <v>0</v>
      </c>
      <c r="U2663" s="54">
        <v>1250</v>
      </c>
      <c r="V2663" s="54">
        <v>1250</v>
      </c>
      <c r="W2663" s="54">
        <v>1250</v>
      </c>
    </row>
    <row r="2664" spans="1:23" outlineLevel="2" x14ac:dyDescent="0.2">
      <c r="A2664" s="21" t="s">
        <v>999</v>
      </c>
      <c r="B2664" s="21" t="s">
        <v>39</v>
      </c>
      <c r="C2664" s="21" t="s">
        <v>58</v>
      </c>
      <c r="D2664" s="21" t="s">
        <v>59</v>
      </c>
      <c r="E2664" s="21" t="s">
        <v>60</v>
      </c>
      <c r="F2664" s="21" t="s">
        <v>1618</v>
      </c>
      <c r="G2664" s="21" t="s">
        <v>1619</v>
      </c>
      <c r="H2664" s="21" t="s">
        <v>1643</v>
      </c>
      <c r="I2664" s="21" t="s">
        <v>1644</v>
      </c>
      <c r="J2664" s="21" t="s">
        <v>1000</v>
      </c>
      <c r="K2664" s="21" t="s">
        <v>1082</v>
      </c>
      <c r="L2664" s="21" t="s">
        <v>1637</v>
      </c>
      <c r="M2664" s="21" t="s">
        <v>12</v>
      </c>
      <c r="N2664" s="54">
        <v>4700</v>
      </c>
      <c r="O2664" s="54">
        <v>0</v>
      </c>
      <c r="P2664" s="54">
        <v>0</v>
      </c>
      <c r="Q2664" s="54">
        <v>4700</v>
      </c>
      <c r="R2664" s="54">
        <v>0</v>
      </c>
      <c r="S2664" s="54">
        <v>0</v>
      </c>
      <c r="T2664" s="54">
        <v>0</v>
      </c>
      <c r="U2664" s="54">
        <v>4700</v>
      </c>
      <c r="V2664" s="54">
        <v>4700</v>
      </c>
      <c r="W2664" s="54">
        <v>4700</v>
      </c>
    </row>
    <row r="2665" spans="1:23" outlineLevel="2" x14ac:dyDescent="0.2">
      <c r="A2665" s="21" t="s">
        <v>999</v>
      </c>
      <c r="B2665" s="21" t="s">
        <v>39</v>
      </c>
      <c r="C2665" s="21" t="s">
        <v>58</v>
      </c>
      <c r="D2665" s="21" t="s">
        <v>147</v>
      </c>
      <c r="E2665" s="21" t="s">
        <v>148</v>
      </c>
      <c r="F2665" s="21" t="s">
        <v>1618</v>
      </c>
      <c r="G2665" s="21" t="s">
        <v>1619</v>
      </c>
      <c r="H2665" s="21" t="s">
        <v>1643</v>
      </c>
      <c r="I2665" s="21" t="s">
        <v>1644</v>
      </c>
      <c r="J2665" s="21" t="s">
        <v>1000</v>
      </c>
      <c r="K2665" s="21" t="s">
        <v>1082</v>
      </c>
      <c r="L2665" s="21" t="s">
        <v>1637</v>
      </c>
      <c r="M2665" s="21" t="s">
        <v>12</v>
      </c>
      <c r="N2665" s="54">
        <v>4500</v>
      </c>
      <c r="O2665" s="54">
        <v>0</v>
      </c>
      <c r="P2665" s="54">
        <v>0</v>
      </c>
      <c r="Q2665" s="54">
        <v>4500</v>
      </c>
      <c r="R2665" s="54">
        <v>0</v>
      </c>
      <c r="S2665" s="54">
        <v>0</v>
      </c>
      <c r="T2665" s="54">
        <v>0</v>
      </c>
      <c r="U2665" s="54">
        <v>4500</v>
      </c>
      <c r="V2665" s="54">
        <v>4500</v>
      </c>
      <c r="W2665" s="54">
        <v>4500</v>
      </c>
    </row>
    <row r="2666" spans="1:23" outlineLevel="2" x14ac:dyDescent="0.2">
      <c r="A2666" s="21" t="s">
        <v>999</v>
      </c>
      <c r="B2666" s="21" t="s">
        <v>39</v>
      </c>
      <c r="C2666" s="21" t="s">
        <v>70</v>
      </c>
      <c r="D2666" s="21" t="s">
        <v>71</v>
      </c>
      <c r="E2666" s="21" t="s">
        <v>72</v>
      </c>
      <c r="F2666" s="21" t="s">
        <v>1618</v>
      </c>
      <c r="G2666" s="21" t="s">
        <v>1619</v>
      </c>
      <c r="H2666" s="21" t="s">
        <v>1643</v>
      </c>
      <c r="I2666" s="21" t="s">
        <v>1644</v>
      </c>
      <c r="J2666" s="21" t="s">
        <v>1000</v>
      </c>
      <c r="K2666" s="21" t="s">
        <v>1082</v>
      </c>
      <c r="L2666" s="21" t="s">
        <v>1663</v>
      </c>
      <c r="M2666" s="21" t="s">
        <v>12</v>
      </c>
      <c r="N2666" s="54">
        <v>20000</v>
      </c>
      <c r="O2666" s="54">
        <v>0</v>
      </c>
      <c r="P2666" s="54">
        <v>0</v>
      </c>
      <c r="Q2666" s="54">
        <v>20000</v>
      </c>
      <c r="R2666" s="54">
        <v>0</v>
      </c>
      <c r="S2666" s="54">
        <v>0</v>
      </c>
      <c r="T2666" s="54">
        <v>0</v>
      </c>
      <c r="U2666" s="54">
        <v>20000</v>
      </c>
      <c r="V2666" s="54">
        <v>20000</v>
      </c>
      <c r="W2666" s="54">
        <v>20000</v>
      </c>
    </row>
    <row r="2667" spans="1:23" outlineLevel="2" x14ac:dyDescent="0.2">
      <c r="A2667" s="21" t="s">
        <v>999</v>
      </c>
      <c r="B2667" s="21" t="s">
        <v>39</v>
      </c>
      <c r="C2667" s="21" t="s">
        <v>58</v>
      </c>
      <c r="D2667" s="21" t="s">
        <v>129</v>
      </c>
      <c r="E2667" s="21" t="s">
        <v>130</v>
      </c>
      <c r="F2667" s="21" t="s">
        <v>1618</v>
      </c>
      <c r="G2667" s="21" t="s">
        <v>1619</v>
      </c>
      <c r="H2667" s="21" t="s">
        <v>1643</v>
      </c>
      <c r="I2667" s="21" t="s">
        <v>1644</v>
      </c>
      <c r="J2667" s="21" t="s">
        <v>1000</v>
      </c>
      <c r="K2667" s="21" t="s">
        <v>1082</v>
      </c>
      <c r="L2667" s="21" t="s">
        <v>1637</v>
      </c>
      <c r="M2667" s="21" t="s">
        <v>12</v>
      </c>
      <c r="N2667" s="54">
        <v>500</v>
      </c>
      <c r="O2667" s="54">
        <v>0</v>
      </c>
      <c r="P2667" s="54">
        <v>0</v>
      </c>
      <c r="Q2667" s="54">
        <v>500</v>
      </c>
      <c r="R2667" s="54">
        <v>0</v>
      </c>
      <c r="S2667" s="54">
        <v>497.17</v>
      </c>
      <c r="T2667" s="54">
        <v>497.17</v>
      </c>
      <c r="U2667" s="54">
        <v>2.83</v>
      </c>
      <c r="V2667" s="54">
        <v>2.83</v>
      </c>
      <c r="W2667" s="54">
        <v>2.83</v>
      </c>
    </row>
    <row r="2668" spans="1:23" outlineLevel="2" x14ac:dyDescent="0.2">
      <c r="A2668" s="21" t="s">
        <v>999</v>
      </c>
      <c r="B2668" s="21" t="s">
        <v>39</v>
      </c>
      <c r="C2668" s="21" t="s">
        <v>58</v>
      </c>
      <c r="D2668" s="21" t="s">
        <v>135</v>
      </c>
      <c r="E2668" s="21" t="s">
        <v>136</v>
      </c>
      <c r="F2668" s="21" t="s">
        <v>1618</v>
      </c>
      <c r="G2668" s="21" t="s">
        <v>1619</v>
      </c>
      <c r="H2668" s="21" t="s">
        <v>1643</v>
      </c>
      <c r="I2668" s="21" t="s">
        <v>1644</v>
      </c>
      <c r="J2668" s="21" t="s">
        <v>1000</v>
      </c>
      <c r="K2668" s="21" t="s">
        <v>1082</v>
      </c>
      <c r="L2668" s="21" t="s">
        <v>1637</v>
      </c>
      <c r="M2668" s="21" t="s">
        <v>12</v>
      </c>
      <c r="N2668" s="54">
        <v>5500</v>
      </c>
      <c r="O2668" s="54">
        <v>0</v>
      </c>
      <c r="P2668" s="54">
        <v>0</v>
      </c>
      <c r="Q2668" s="54">
        <v>5500</v>
      </c>
      <c r="R2668" s="54">
        <v>0</v>
      </c>
      <c r="S2668" s="54">
        <v>0</v>
      </c>
      <c r="T2668" s="54">
        <v>0</v>
      </c>
      <c r="U2668" s="54">
        <v>5500</v>
      </c>
      <c r="V2668" s="54">
        <v>5500</v>
      </c>
      <c r="W2668" s="54">
        <v>5500</v>
      </c>
    </row>
    <row r="2669" spans="1:23" outlineLevel="2" x14ac:dyDescent="0.2">
      <c r="A2669" s="21" t="s">
        <v>999</v>
      </c>
      <c r="B2669" s="21" t="s">
        <v>39</v>
      </c>
      <c r="C2669" s="21" t="s">
        <v>58</v>
      </c>
      <c r="D2669" s="21" t="s">
        <v>145</v>
      </c>
      <c r="E2669" s="21" t="s">
        <v>146</v>
      </c>
      <c r="F2669" s="21" t="s">
        <v>1618</v>
      </c>
      <c r="G2669" s="21" t="s">
        <v>1619</v>
      </c>
      <c r="H2669" s="21" t="s">
        <v>1643</v>
      </c>
      <c r="I2669" s="21" t="s">
        <v>1644</v>
      </c>
      <c r="J2669" s="21" t="s">
        <v>1000</v>
      </c>
      <c r="K2669" s="21" t="s">
        <v>1082</v>
      </c>
      <c r="L2669" s="21" t="s">
        <v>1637</v>
      </c>
      <c r="M2669" s="21" t="s">
        <v>12</v>
      </c>
      <c r="N2669" s="54">
        <v>5500</v>
      </c>
      <c r="O2669" s="54">
        <v>0</v>
      </c>
      <c r="P2669" s="54">
        <v>0</v>
      </c>
      <c r="Q2669" s="54">
        <v>5500</v>
      </c>
      <c r="R2669" s="54">
        <v>0</v>
      </c>
      <c r="S2669" s="54">
        <v>0</v>
      </c>
      <c r="T2669" s="54">
        <v>0</v>
      </c>
      <c r="U2669" s="54">
        <v>5500</v>
      </c>
      <c r="V2669" s="54">
        <v>5500</v>
      </c>
      <c r="W2669" s="54">
        <v>5500</v>
      </c>
    </row>
    <row r="2670" spans="1:23" outlineLevel="2" x14ac:dyDescent="0.2">
      <c r="A2670" s="21" t="s">
        <v>999</v>
      </c>
      <c r="B2670" s="21" t="s">
        <v>39</v>
      </c>
      <c r="C2670" s="21" t="s">
        <v>58</v>
      </c>
      <c r="D2670" s="21" t="s">
        <v>137</v>
      </c>
      <c r="E2670" s="21" t="s">
        <v>138</v>
      </c>
      <c r="F2670" s="21" t="s">
        <v>1618</v>
      </c>
      <c r="G2670" s="21" t="s">
        <v>1619</v>
      </c>
      <c r="H2670" s="21" t="s">
        <v>1643</v>
      </c>
      <c r="I2670" s="21" t="s">
        <v>1644</v>
      </c>
      <c r="J2670" s="21" t="s">
        <v>1000</v>
      </c>
      <c r="K2670" s="21" t="s">
        <v>1082</v>
      </c>
      <c r="L2670" s="21" t="s">
        <v>1637</v>
      </c>
      <c r="M2670" s="21" t="s">
        <v>12</v>
      </c>
      <c r="N2670" s="54">
        <v>3500</v>
      </c>
      <c r="O2670" s="54">
        <v>0</v>
      </c>
      <c r="P2670" s="54">
        <v>0</v>
      </c>
      <c r="Q2670" s="54">
        <v>3500</v>
      </c>
      <c r="R2670" s="54">
        <v>0</v>
      </c>
      <c r="S2670" s="54">
        <v>0</v>
      </c>
      <c r="T2670" s="54">
        <v>0</v>
      </c>
      <c r="U2670" s="54">
        <v>3500</v>
      </c>
      <c r="V2670" s="54">
        <v>3500</v>
      </c>
      <c r="W2670" s="54">
        <v>3500</v>
      </c>
    </row>
    <row r="2671" spans="1:23" outlineLevel="2" x14ac:dyDescent="0.2">
      <c r="A2671" s="21" t="s">
        <v>999</v>
      </c>
      <c r="B2671" s="21" t="s">
        <v>39</v>
      </c>
      <c r="C2671" s="21" t="s">
        <v>58</v>
      </c>
      <c r="D2671" s="21" t="s">
        <v>143</v>
      </c>
      <c r="E2671" s="21" t="s">
        <v>144</v>
      </c>
      <c r="F2671" s="21" t="s">
        <v>1618</v>
      </c>
      <c r="G2671" s="21" t="s">
        <v>1619</v>
      </c>
      <c r="H2671" s="21" t="s">
        <v>1643</v>
      </c>
      <c r="I2671" s="21" t="s">
        <v>1644</v>
      </c>
      <c r="J2671" s="21" t="s">
        <v>1000</v>
      </c>
      <c r="K2671" s="21" t="s">
        <v>1082</v>
      </c>
      <c r="L2671" s="21" t="s">
        <v>1637</v>
      </c>
      <c r="M2671" s="21" t="s">
        <v>12</v>
      </c>
      <c r="N2671" s="54">
        <v>5500</v>
      </c>
      <c r="O2671" s="54">
        <v>0</v>
      </c>
      <c r="P2671" s="54">
        <v>0</v>
      </c>
      <c r="Q2671" s="54">
        <v>5500</v>
      </c>
      <c r="R2671" s="54">
        <v>0</v>
      </c>
      <c r="S2671" s="54">
        <v>3632.72</v>
      </c>
      <c r="T2671" s="54">
        <v>3632.72</v>
      </c>
      <c r="U2671" s="54">
        <v>1867.28</v>
      </c>
      <c r="V2671" s="54">
        <v>1867.28</v>
      </c>
      <c r="W2671" s="54">
        <v>1867.28</v>
      </c>
    </row>
    <row r="2672" spans="1:23" outlineLevel="2" x14ac:dyDescent="0.2">
      <c r="A2672" s="21" t="s">
        <v>999</v>
      </c>
      <c r="B2672" s="21" t="s">
        <v>39</v>
      </c>
      <c r="C2672" s="21" t="s">
        <v>58</v>
      </c>
      <c r="D2672" s="21" t="s">
        <v>139</v>
      </c>
      <c r="E2672" s="21" t="s">
        <v>140</v>
      </c>
      <c r="F2672" s="21" t="s">
        <v>1618</v>
      </c>
      <c r="G2672" s="21" t="s">
        <v>1619</v>
      </c>
      <c r="H2672" s="21" t="s">
        <v>1643</v>
      </c>
      <c r="I2672" s="21" t="s">
        <v>1644</v>
      </c>
      <c r="J2672" s="21" t="s">
        <v>1000</v>
      </c>
      <c r="K2672" s="21" t="s">
        <v>1082</v>
      </c>
      <c r="L2672" s="21" t="s">
        <v>1637</v>
      </c>
      <c r="M2672" s="21" t="s">
        <v>12</v>
      </c>
      <c r="N2672" s="54">
        <v>5500</v>
      </c>
      <c r="O2672" s="54">
        <v>0</v>
      </c>
      <c r="P2672" s="54">
        <v>0</v>
      </c>
      <c r="Q2672" s="54">
        <v>5500</v>
      </c>
      <c r="R2672" s="54">
        <v>0</v>
      </c>
      <c r="S2672" s="54">
        <v>0</v>
      </c>
      <c r="T2672" s="54">
        <v>0</v>
      </c>
      <c r="U2672" s="54">
        <v>5500</v>
      </c>
      <c r="V2672" s="54">
        <v>5500</v>
      </c>
      <c r="W2672" s="54">
        <v>5500</v>
      </c>
    </row>
    <row r="2673" spans="1:23" outlineLevel="2" x14ac:dyDescent="0.2">
      <c r="A2673" s="21" t="s">
        <v>999</v>
      </c>
      <c r="B2673" s="21" t="s">
        <v>39</v>
      </c>
      <c r="C2673" s="21" t="s">
        <v>58</v>
      </c>
      <c r="D2673" s="21" t="s">
        <v>149</v>
      </c>
      <c r="E2673" s="21" t="s">
        <v>150</v>
      </c>
      <c r="F2673" s="21" t="s">
        <v>1618</v>
      </c>
      <c r="G2673" s="21" t="s">
        <v>1619</v>
      </c>
      <c r="H2673" s="21" t="s">
        <v>1643</v>
      </c>
      <c r="I2673" s="21" t="s">
        <v>1644</v>
      </c>
      <c r="J2673" s="21" t="s">
        <v>1000</v>
      </c>
      <c r="K2673" s="21" t="s">
        <v>1082</v>
      </c>
      <c r="L2673" s="21" t="s">
        <v>1637</v>
      </c>
      <c r="M2673" s="21" t="s">
        <v>12</v>
      </c>
      <c r="N2673" s="54">
        <v>5500</v>
      </c>
      <c r="O2673" s="54">
        <v>-5500</v>
      </c>
      <c r="P2673" s="54">
        <v>0</v>
      </c>
      <c r="Q2673" s="54">
        <v>0</v>
      </c>
      <c r="R2673" s="54">
        <v>0</v>
      </c>
      <c r="S2673" s="54">
        <v>0</v>
      </c>
      <c r="T2673" s="54">
        <v>0</v>
      </c>
      <c r="U2673" s="54">
        <v>0</v>
      </c>
      <c r="V2673" s="54">
        <v>0</v>
      </c>
      <c r="W2673" s="54">
        <v>0</v>
      </c>
    </row>
    <row r="2674" spans="1:23" outlineLevel="2" x14ac:dyDescent="0.2">
      <c r="A2674" s="21" t="s">
        <v>999</v>
      </c>
      <c r="B2674" s="21" t="s">
        <v>39</v>
      </c>
      <c r="C2674" s="21" t="s">
        <v>70</v>
      </c>
      <c r="D2674" s="21" t="s">
        <v>89</v>
      </c>
      <c r="E2674" s="21" t="s">
        <v>90</v>
      </c>
      <c r="F2674" s="21" t="s">
        <v>1618</v>
      </c>
      <c r="G2674" s="21" t="s">
        <v>1619</v>
      </c>
      <c r="H2674" s="21" t="s">
        <v>1643</v>
      </c>
      <c r="I2674" s="21" t="s">
        <v>1644</v>
      </c>
      <c r="J2674" s="21" t="s">
        <v>1000</v>
      </c>
      <c r="K2674" s="21" t="s">
        <v>1084</v>
      </c>
      <c r="L2674" s="21" t="s">
        <v>1638</v>
      </c>
      <c r="M2674" s="21" t="s">
        <v>12</v>
      </c>
      <c r="N2674" s="54">
        <v>4000</v>
      </c>
      <c r="O2674" s="54">
        <v>0</v>
      </c>
      <c r="P2674" s="54">
        <v>0</v>
      </c>
      <c r="Q2674" s="54">
        <v>4000</v>
      </c>
      <c r="R2674" s="54">
        <v>0</v>
      </c>
      <c r="S2674" s="54">
        <v>0</v>
      </c>
      <c r="T2674" s="54">
        <v>0</v>
      </c>
      <c r="U2674" s="54">
        <v>4000</v>
      </c>
      <c r="V2674" s="54">
        <v>4000</v>
      </c>
      <c r="W2674" s="54">
        <v>4000</v>
      </c>
    </row>
    <row r="2675" spans="1:23" outlineLevel="2" x14ac:dyDescent="0.2">
      <c r="A2675" s="21" t="s">
        <v>999</v>
      </c>
      <c r="B2675" s="21" t="s">
        <v>39</v>
      </c>
      <c r="C2675" s="21" t="s">
        <v>70</v>
      </c>
      <c r="D2675" s="21" t="s">
        <v>89</v>
      </c>
      <c r="E2675" s="21" t="s">
        <v>90</v>
      </c>
      <c r="F2675" s="21" t="s">
        <v>1618</v>
      </c>
      <c r="G2675" s="21" t="s">
        <v>1619</v>
      </c>
      <c r="H2675" s="21" t="s">
        <v>1643</v>
      </c>
      <c r="I2675" s="21" t="s">
        <v>1644</v>
      </c>
      <c r="J2675" s="21" t="s">
        <v>1000</v>
      </c>
      <c r="K2675" s="21" t="s">
        <v>1194</v>
      </c>
      <c r="L2675" s="21" t="s">
        <v>1640</v>
      </c>
      <c r="M2675" s="21" t="s">
        <v>12</v>
      </c>
      <c r="N2675" s="54">
        <v>514000</v>
      </c>
      <c r="O2675" s="54">
        <v>0</v>
      </c>
      <c r="P2675" s="54">
        <v>0</v>
      </c>
      <c r="Q2675" s="54">
        <v>514000</v>
      </c>
      <c r="R2675" s="54">
        <v>46494.18</v>
      </c>
      <c r="S2675" s="54">
        <v>142667.12</v>
      </c>
      <c r="T2675" s="54">
        <v>96236.27</v>
      </c>
      <c r="U2675" s="54">
        <v>371332.88</v>
      </c>
      <c r="V2675" s="54">
        <v>417763.73</v>
      </c>
      <c r="W2675" s="54">
        <v>324838.7</v>
      </c>
    </row>
    <row r="2676" spans="1:23" outlineLevel="2" x14ac:dyDescent="0.2">
      <c r="A2676" s="21" t="s">
        <v>999</v>
      </c>
      <c r="B2676" s="21" t="s">
        <v>39</v>
      </c>
      <c r="C2676" s="21" t="s">
        <v>70</v>
      </c>
      <c r="D2676" s="21" t="s">
        <v>89</v>
      </c>
      <c r="E2676" s="21" t="s">
        <v>90</v>
      </c>
      <c r="F2676" s="21" t="s">
        <v>1618</v>
      </c>
      <c r="G2676" s="21" t="s">
        <v>1619</v>
      </c>
      <c r="H2676" s="21" t="s">
        <v>1643</v>
      </c>
      <c r="I2676" s="21" t="s">
        <v>1644</v>
      </c>
      <c r="J2676" s="21" t="s">
        <v>1000</v>
      </c>
      <c r="K2676" s="21" t="s">
        <v>1118</v>
      </c>
      <c r="L2676" s="21" t="s">
        <v>1664</v>
      </c>
      <c r="M2676" s="21" t="s">
        <v>12</v>
      </c>
      <c r="N2676" s="54">
        <v>100</v>
      </c>
      <c r="O2676" s="54">
        <v>0</v>
      </c>
      <c r="P2676" s="54">
        <v>0</v>
      </c>
      <c r="Q2676" s="54">
        <v>100</v>
      </c>
      <c r="R2676" s="54">
        <v>0</v>
      </c>
      <c r="S2676" s="54">
        <v>0</v>
      </c>
      <c r="T2676" s="54">
        <v>0</v>
      </c>
      <c r="U2676" s="54">
        <v>100</v>
      </c>
      <c r="V2676" s="54">
        <v>100</v>
      </c>
      <c r="W2676" s="54">
        <v>100</v>
      </c>
    </row>
    <row r="2677" spans="1:23" outlineLevel="2" x14ac:dyDescent="0.2">
      <c r="A2677" s="21" t="s">
        <v>999</v>
      </c>
      <c r="B2677" s="21" t="s">
        <v>39</v>
      </c>
      <c r="C2677" s="21" t="s">
        <v>70</v>
      </c>
      <c r="D2677" s="21" t="s">
        <v>89</v>
      </c>
      <c r="E2677" s="21" t="s">
        <v>90</v>
      </c>
      <c r="F2677" s="21" t="s">
        <v>1618</v>
      </c>
      <c r="G2677" s="21" t="s">
        <v>1619</v>
      </c>
      <c r="H2677" s="21" t="s">
        <v>1643</v>
      </c>
      <c r="I2677" s="21" t="s">
        <v>1644</v>
      </c>
      <c r="J2677" s="21" t="s">
        <v>1000</v>
      </c>
      <c r="K2677" s="21" t="s">
        <v>1592</v>
      </c>
      <c r="L2677" s="21" t="s">
        <v>1665</v>
      </c>
      <c r="M2677" s="21" t="s">
        <v>12</v>
      </c>
      <c r="N2677" s="54">
        <v>124000</v>
      </c>
      <c r="O2677" s="54">
        <v>0</v>
      </c>
      <c r="P2677" s="54">
        <v>0</v>
      </c>
      <c r="Q2677" s="54">
        <v>124000</v>
      </c>
      <c r="R2677" s="54">
        <v>85279.85</v>
      </c>
      <c r="S2677" s="54">
        <v>11168.69</v>
      </c>
      <c r="T2677" s="54">
        <v>5958.79</v>
      </c>
      <c r="U2677" s="54">
        <v>112831.31</v>
      </c>
      <c r="V2677" s="54">
        <v>118041.21</v>
      </c>
      <c r="W2677" s="54">
        <v>27551.46</v>
      </c>
    </row>
    <row r="2678" spans="1:23" outlineLevel="2" x14ac:dyDescent="0.2">
      <c r="A2678" s="21" t="s">
        <v>999</v>
      </c>
      <c r="B2678" s="21" t="s">
        <v>39</v>
      </c>
      <c r="C2678" s="21" t="s">
        <v>70</v>
      </c>
      <c r="D2678" s="21" t="s">
        <v>89</v>
      </c>
      <c r="E2678" s="21" t="s">
        <v>90</v>
      </c>
      <c r="F2678" s="21" t="s">
        <v>1618</v>
      </c>
      <c r="G2678" s="21" t="s">
        <v>1619</v>
      </c>
      <c r="H2678" s="21" t="s">
        <v>1643</v>
      </c>
      <c r="I2678" s="21" t="s">
        <v>1644</v>
      </c>
      <c r="J2678" s="21" t="s">
        <v>1000</v>
      </c>
      <c r="K2678" s="21" t="s">
        <v>1343</v>
      </c>
      <c r="L2678" s="21" t="s">
        <v>1666</v>
      </c>
      <c r="M2678" s="21" t="s">
        <v>12</v>
      </c>
      <c r="N2678" s="54">
        <v>67000</v>
      </c>
      <c r="O2678" s="54">
        <v>0</v>
      </c>
      <c r="P2678" s="54">
        <v>0</v>
      </c>
      <c r="Q2678" s="54">
        <v>67000</v>
      </c>
      <c r="R2678" s="54">
        <v>0</v>
      </c>
      <c r="S2678" s="54">
        <v>0</v>
      </c>
      <c r="T2678" s="54">
        <v>0</v>
      </c>
      <c r="U2678" s="54">
        <v>67000</v>
      </c>
      <c r="V2678" s="54">
        <v>67000</v>
      </c>
      <c r="W2678" s="54">
        <v>67000</v>
      </c>
    </row>
    <row r="2679" spans="1:23" outlineLevel="2" x14ac:dyDescent="0.2">
      <c r="A2679" s="21" t="s">
        <v>999</v>
      </c>
      <c r="B2679" s="21" t="s">
        <v>39</v>
      </c>
      <c r="C2679" s="21" t="s">
        <v>70</v>
      </c>
      <c r="D2679" s="21" t="s">
        <v>89</v>
      </c>
      <c r="E2679" s="21" t="s">
        <v>90</v>
      </c>
      <c r="F2679" s="21" t="s">
        <v>1618</v>
      </c>
      <c r="G2679" s="21" t="s">
        <v>1619</v>
      </c>
      <c r="H2679" s="21" t="s">
        <v>1643</v>
      </c>
      <c r="I2679" s="21" t="s">
        <v>1644</v>
      </c>
      <c r="J2679" s="21" t="s">
        <v>1000</v>
      </c>
      <c r="K2679" s="21" t="s">
        <v>1394</v>
      </c>
      <c r="L2679" s="21" t="s">
        <v>1667</v>
      </c>
      <c r="M2679" s="21" t="s">
        <v>12</v>
      </c>
      <c r="N2679" s="54">
        <v>7200</v>
      </c>
      <c r="O2679" s="54">
        <v>0</v>
      </c>
      <c r="P2679" s="54">
        <v>0</v>
      </c>
      <c r="Q2679" s="54">
        <v>7200</v>
      </c>
      <c r="R2679" s="54">
        <v>0</v>
      </c>
      <c r="S2679" s="54">
        <v>0</v>
      </c>
      <c r="T2679" s="54">
        <v>0</v>
      </c>
      <c r="U2679" s="54">
        <v>7200</v>
      </c>
      <c r="V2679" s="54">
        <v>7200</v>
      </c>
      <c r="W2679" s="54">
        <v>7200</v>
      </c>
    </row>
    <row r="2680" spans="1:23" outlineLevel="2" x14ac:dyDescent="0.2">
      <c r="A2680" s="21" t="s">
        <v>999</v>
      </c>
      <c r="B2680" s="21" t="s">
        <v>39</v>
      </c>
      <c r="C2680" s="21" t="s">
        <v>70</v>
      </c>
      <c r="D2680" s="21" t="s">
        <v>89</v>
      </c>
      <c r="E2680" s="21" t="s">
        <v>90</v>
      </c>
      <c r="F2680" s="21" t="s">
        <v>1618</v>
      </c>
      <c r="G2680" s="21" t="s">
        <v>1619</v>
      </c>
      <c r="H2680" s="21" t="s">
        <v>1643</v>
      </c>
      <c r="I2680" s="21" t="s">
        <v>1644</v>
      </c>
      <c r="J2680" s="21" t="s">
        <v>1000</v>
      </c>
      <c r="K2680" s="21" t="s">
        <v>1183</v>
      </c>
      <c r="L2680" s="21" t="s">
        <v>1668</v>
      </c>
      <c r="M2680" s="21" t="s">
        <v>12</v>
      </c>
      <c r="N2680" s="54">
        <v>73418</v>
      </c>
      <c r="O2680" s="54">
        <v>0</v>
      </c>
      <c r="P2680" s="54">
        <v>0</v>
      </c>
      <c r="Q2680" s="54">
        <v>73418</v>
      </c>
      <c r="R2680" s="54">
        <v>0</v>
      </c>
      <c r="S2680" s="54">
        <v>0</v>
      </c>
      <c r="T2680" s="54">
        <v>0</v>
      </c>
      <c r="U2680" s="54">
        <v>73418</v>
      </c>
      <c r="V2680" s="54">
        <v>73418</v>
      </c>
      <c r="W2680" s="54">
        <v>73418</v>
      </c>
    </row>
    <row r="2681" spans="1:23" outlineLevel="2" x14ac:dyDescent="0.2">
      <c r="A2681" s="21" t="s">
        <v>999</v>
      </c>
      <c r="B2681" s="21" t="s">
        <v>39</v>
      </c>
      <c r="C2681" s="21" t="s">
        <v>70</v>
      </c>
      <c r="D2681" s="21" t="s">
        <v>71</v>
      </c>
      <c r="E2681" s="21" t="s">
        <v>72</v>
      </c>
      <c r="F2681" s="21" t="s">
        <v>1618</v>
      </c>
      <c r="G2681" s="21" t="s">
        <v>1619</v>
      </c>
      <c r="H2681" s="21" t="s">
        <v>1643</v>
      </c>
      <c r="I2681" s="21" t="s">
        <v>1644</v>
      </c>
      <c r="J2681" s="21" t="s">
        <v>1000</v>
      </c>
      <c r="K2681" s="21" t="s">
        <v>1183</v>
      </c>
      <c r="L2681" s="21" t="s">
        <v>1668</v>
      </c>
      <c r="M2681" s="21" t="s">
        <v>12</v>
      </c>
      <c r="N2681" s="54">
        <v>0</v>
      </c>
      <c r="O2681" s="54">
        <v>1881.6</v>
      </c>
      <c r="P2681" s="54">
        <v>0</v>
      </c>
      <c r="Q2681" s="54">
        <v>1881.6</v>
      </c>
      <c r="R2681" s="54">
        <v>645.12</v>
      </c>
      <c r="S2681" s="54">
        <v>1236.48</v>
      </c>
      <c r="T2681" s="54">
        <v>1236.48</v>
      </c>
      <c r="U2681" s="54">
        <v>645.12</v>
      </c>
      <c r="V2681" s="54">
        <v>645.12</v>
      </c>
      <c r="W2681" s="54">
        <v>0</v>
      </c>
    </row>
    <row r="2682" spans="1:23" outlineLevel="2" x14ac:dyDescent="0.2">
      <c r="A2682" s="21" t="s">
        <v>999</v>
      </c>
      <c r="B2682" s="21" t="s">
        <v>39</v>
      </c>
      <c r="C2682" s="21" t="s">
        <v>58</v>
      </c>
      <c r="D2682" s="21" t="s">
        <v>147</v>
      </c>
      <c r="E2682" s="21" t="s">
        <v>148</v>
      </c>
      <c r="F2682" s="21" t="s">
        <v>1618</v>
      </c>
      <c r="G2682" s="21" t="s">
        <v>1619</v>
      </c>
      <c r="H2682" s="21" t="s">
        <v>1643</v>
      </c>
      <c r="I2682" s="21" t="s">
        <v>1644</v>
      </c>
      <c r="J2682" s="21" t="s">
        <v>1000</v>
      </c>
      <c r="K2682" s="21" t="s">
        <v>1023</v>
      </c>
      <c r="L2682" s="21" t="s">
        <v>1669</v>
      </c>
      <c r="M2682" s="21" t="s">
        <v>12</v>
      </c>
      <c r="N2682" s="54">
        <v>1000</v>
      </c>
      <c r="O2682" s="54">
        <v>0</v>
      </c>
      <c r="P2682" s="54">
        <v>0</v>
      </c>
      <c r="Q2682" s="54">
        <v>1000</v>
      </c>
      <c r="R2682" s="54">
        <v>0</v>
      </c>
      <c r="S2682" s="54">
        <v>0</v>
      </c>
      <c r="T2682" s="54">
        <v>0</v>
      </c>
      <c r="U2682" s="54">
        <v>1000</v>
      </c>
      <c r="V2682" s="54">
        <v>1000</v>
      </c>
      <c r="W2682" s="54">
        <v>1000</v>
      </c>
    </row>
    <row r="2683" spans="1:23" outlineLevel="2" x14ac:dyDescent="0.2">
      <c r="A2683" s="21" t="s">
        <v>999</v>
      </c>
      <c r="B2683" s="21" t="s">
        <v>39</v>
      </c>
      <c r="C2683" s="21" t="s">
        <v>70</v>
      </c>
      <c r="D2683" s="21" t="s">
        <v>89</v>
      </c>
      <c r="E2683" s="21" t="s">
        <v>90</v>
      </c>
      <c r="F2683" s="21" t="s">
        <v>1618</v>
      </c>
      <c r="G2683" s="21" t="s">
        <v>1619</v>
      </c>
      <c r="H2683" s="21" t="s">
        <v>1643</v>
      </c>
      <c r="I2683" s="21" t="s">
        <v>1644</v>
      </c>
      <c r="J2683" s="21" t="s">
        <v>1000</v>
      </c>
      <c r="K2683" s="21" t="s">
        <v>1023</v>
      </c>
      <c r="L2683" s="21" t="s">
        <v>1670</v>
      </c>
      <c r="M2683" s="21" t="s">
        <v>12</v>
      </c>
      <c r="N2683" s="54">
        <v>355</v>
      </c>
      <c r="O2683" s="54">
        <v>0</v>
      </c>
      <c r="P2683" s="54">
        <v>0</v>
      </c>
      <c r="Q2683" s="54">
        <v>355</v>
      </c>
      <c r="R2683" s="54">
        <v>0</v>
      </c>
      <c r="S2683" s="54">
        <v>0</v>
      </c>
      <c r="T2683" s="54">
        <v>0</v>
      </c>
      <c r="U2683" s="54">
        <v>355</v>
      </c>
      <c r="V2683" s="54">
        <v>355</v>
      </c>
      <c r="W2683" s="54">
        <v>355</v>
      </c>
    </row>
    <row r="2684" spans="1:23" outlineLevel="2" x14ac:dyDescent="0.2">
      <c r="A2684" s="21" t="s">
        <v>999</v>
      </c>
      <c r="B2684" s="21" t="s">
        <v>39</v>
      </c>
      <c r="C2684" s="21" t="s">
        <v>70</v>
      </c>
      <c r="D2684" s="21" t="s">
        <v>71</v>
      </c>
      <c r="E2684" s="21" t="s">
        <v>72</v>
      </c>
      <c r="F2684" s="21" t="s">
        <v>1618</v>
      </c>
      <c r="G2684" s="21" t="s">
        <v>1619</v>
      </c>
      <c r="H2684" s="21" t="s">
        <v>1671</v>
      </c>
      <c r="I2684" s="21" t="s">
        <v>1672</v>
      </c>
      <c r="J2684" s="21" t="s">
        <v>1000</v>
      </c>
      <c r="K2684" s="21" t="s">
        <v>1037</v>
      </c>
      <c r="L2684" s="21" t="s">
        <v>1628</v>
      </c>
      <c r="M2684" s="21" t="s">
        <v>12</v>
      </c>
      <c r="N2684" s="54">
        <v>0</v>
      </c>
      <c r="O2684" s="54">
        <v>10000</v>
      </c>
      <c r="P2684" s="54">
        <v>0</v>
      </c>
      <c r="Q2684" s="54">
        <v>10000</v>
      </c>
      <c r="R2684" s="54">
        <v>0</v>
      </c>
      <c r="S2684" s="54">
        <v>0</v>
      </c>
      <c r="T2684" s="54">
        <v>0</v>
      </c>
      <c r="U2684" s="54">
        <v>10000</v>
      </c>
      <c r="V2684" s="54">
        <v>10000</v>
      </c>
      <c r="W2684" s="54">
        <v>10000</v>
      </c>
    </row>
    <row r="2685" spans="1:23" outlineLevel="2" x14ac:dyDescent="0.2">
      <c r="A2685" s="21" t="s">
        <v>999</v>
      </c>
      <c r="B2685" s="21" t="s">
        <v>39</v>
      </c>
      <c r="C2685" s="21" t="s">
        <v>70</v>
      </c>
      <c r="D2685" s="21" t="s">
        <v>71</v>
      </c>
      <c r="E2685" s="21" t="s">
        <v>72</v>
      </c>
      <c r="F2685" s="21" t="s">
        <v>1618</v>
      </c>
      <c r="G2685" s="21" t="s">
        <v>1619</v>
      </c>
      <c r="H2685" s="21" t="s">
        <v>1671</v>
      </c>
      <c r="I2685" s="21" t="s">
        <v>1672</v>
      </c>
      <c r="J2685" s="21" t="s">
        <v>1000</v>
      </c>
      <c r="K2685" s="21" t="s">
        <v>1039</v>
      </c>
      <c r="L2685" s="21" t="s">
        <v>1629</v>
      </c>
      <c r="M2685" s="21" t="s">
        <v>12</v>
      </c>
      <c r="N2685" s="54">
        <v>149500</v>
      </c>
      <c r="O2685" s="54">
        <v>-149500</v>
      </c>
      <c r="P2685" s="54">
        <v>0</v>
      </c>
      <c r="Q2685" s="54">
        <v>0</v>
      </c>
      <c r="R2685" s="54">
        <v>0</v>
      </c>
      <c r="S2685" s="54">
        <v>0</v>
      </c>
      <c r="T2685" s="54">
        <v>0</v>
      </c>
      <c r="U2685" s="54">
        <v>0</v>
      </c>
      <c r="V2685" s="54">
        <v>0</v>
      </c>
      <c r="W2685" s="54">
        <v>0</v>
      </c>
    </row>
    <row r="2686" spans="1:23" outlineLevel="2" x14ac:dyDescent="0.2">
      <c r="A2686" s="21" t="s">
        <v>999</v>
      </c>
      <c r="B2686" s="21" t="s">
        <v>39</v>
      </c>
      <c r="C2686" s="21" t="s">
        <v>70</v>
      </c>
      <c r="D2686" s="21" t="s">
        <v>71</v>
      </c>
      <c r="E2686" s="21" t="s">
        <v>72</v>
      </c>
      <c r="F2686" s="21" t="s">
        <v>1618</v>
      </c>
      <c r="G2686" s="21" t="s">
        <v>1619</v>
      </c>
      <c r="H2686" s="21" t="s">
        <v>1671</v>
      </c>
      <c r="I2686" s="21" t="s">
        <v>1672</v>
      </c>
      <c r="J2686" s="21" t="s">
        <v>1000</v>
      </c>
      <c r="K2686" s="21" t="s">
        <v>1327</v>
      </c>
      <c r="L2686" s="21" t="s">
        <v>1654</v>
      </c>
      <c r="M2686" s="21" t="s">
        <v>12</v>
      </c>
      <c r="N2686" s="54">
        <v>0</v>
      </c>
      <c r="O2686" s="54">
        <v>130500</v>
      </c>
      <c r="P2686" s="54">
        <v>0</v>
      </c>
      <c r="Q2686" s="54">
        <v>130500</v>
      </c>
      <c r="R2686" s="54">
        <v>0</v>
      </c>
      <c r="S2686" s="54">
        <v>0</v>
      </c>
      <c r="T2686" s="54">
        <v>0</v>
      </c>
      <c r="U2686" s="54">
        <v>130500</v>
      </c>
      <c r="V2686" s="54">
        <v>130500</v>
      </c>
      <c r="W2686" s="54">
        <v>130500</v>
      </c>
    </row>
    <row r="2687" spans="1:23" outlineLevel="2" x14ac:dyDescent="0.2">
      <c r="A2687" s="21" t="s">
        <v>999</v>
      </c>
      <c r="B2687" s="21" t="s">
        <v>39</v>
      </c>
      <c r="C2687" s="21" t="s">
        <v>70</v>
      </c>
      <c r="D2687" s="21" t="s">
        <v>71</v>
      </c>
      <c r="E2687" s="21" t="s">
        <v>72</v>
      </c>
      <c r="F2687" s="21" t="s">
        <v>1673</v>
      </c>
      <c r="G2687" s="21" t="s">
        <v>1674</v>
      </c>
      <c r="H2687" s="21" t="s">
        <v>1675</v>
      </c>
      <c r="I2687" s="21" t="s">
        <v>1676</v>
      </c>
      <c r="J2687" s="21" t="s">
        <v>1000</v>
      </c>
      <c r="K2687" s="21" t="s">
        <v>1037</v>
      </c>
      <c r="L2687" s="21" t="s">
        <v>1677</v>
      </c>
      <c r="M2687" s="21" t="s">
        <v>12</v>
      </c>
      <c r="N2687" s="54">
        <v>55000</v>
      </c>
      <c r="O2687" s="54">
        <v>0</v>
      </c>
      <c r="P2687" s="54">
        <v>0</v>
      </c>
      <c r="Q2687" s="54">
        <v>55000</v>
      </c>
      <c r="R2687" s="54">
        <v>0</v>
      </c>
      <c r="S2687" s="54">
        <v>0</v>
      </c>
      <c r="T2687" s="54">
        <v>0</v>
      </c>
      <c r="U2687" s="54">
        <v>55000</v>
      </c>
      <c r="V2687" s="54">
        <v>55000</v>
      </c>
      <c r="W2687" s="54">
        <v>55000</v>
      </c>
    </row>
    <row r="2688" spans="1:23" outlineLevel="2" x14ac:dyDescent="0.2">
      <c r="A2688" s="21" t="s">
        <v>999</v>
      </c>
      <c r="B2688" s="21" t="s">
        <v>39</v>
      </c>
      <c r="C2688" s="21" t="s">
        <v>58</v>
      </c>
      <c r="D2688" s="21" t="s">
        <v>139</v>
      </c>
      <c r="E2688" s="21" t="s">
        <v>140</v>
      </c>
      <c r="F2688" s="21" t="s">
        <v>1673</v>
      </c>
      <c r="G2688" s="21" t="s">
        <v>1674</v>
      </c>
      <c r="H2688" s="21" t="s">
        <v>1678</v>
      </c>
      <c r="I2688" s="21" t="s">
        <v>1679</v>
      </c>
      <c r="J2688" s="21" t="s">
        <v>1000</v>
      </c>
      <c r="K2688" s="21" t="s">
        <v>1524</v>
      </c>
      <c r="L2688" s="21" t="s">
        <v>1680</v>
      </c>
      <c r="M2688" s="21" t="s">
        <v>12</v>
      </c>
      <c r="N2688" s="54">
        <v>2000</v>
      </c>
      <c r="O2688" s="54">
        <v>0</v>
      </c>
      <c r="P2688" s="54">
        <v>0</v>
      </c>
      <c r="Q2688" s="54">
        <v>2000</v>
      </c>
      <c r="R2688" s="54">
        <v>0</v>
      </c>
      <c r="S2688" s="54">
        <v>0</v>
      </c>
      <c r="T2688" s="54">
        <v>0</v>
      </c>
      <c r="U2688" s="54">
        <v>2000</v>
      </c>
      <c r="V2688" s="54">
        <v>2000</v>
      </c>
      <c r="W2688" s="54">
        <v>2000</v>
      </c>
    </row>
    <row r="2689" spans="1:23" outlineLevel="2" x14ac:dyDescent="0.2">
      <c r="A2689" s="21" t="s">
        <v>999</v>
      </c>
      <c r="B2689" s="21" t="s">
        <v>39</v>
      </c>
      <c r="C2689" s="21" t="s">
        <v>58</v>
      </c>
      <c r="D2689" s="21" t="s">
        <v>143</v>
      </c>
      <c r="E2689" s="21" t="s">
        <v>144</v>
      </c>
      <c r="F2689" s="21" t="s">
        <v>1673</v>
      </c>
      <c r="G2689" s="21" t="s">
        <v>1674</v>
      </c>
      <c r="H2689" s="21" t="s">
        <v>1678</v>
      </c>
      <c r="I2689" s="21" t="s">
        <v>1679</v>
      </c>
      <c r="J2689" s="21" t="s">
        <v>1000</v>
      </c>
      <c r="K2689" s="21" t="s">
        <v>1037</v>
      </c>
      <c r="L2689" s="21" t="s">
        <v>1681</v>
      </c>
      <c r="M2689" s="21" t="s">
        <v>12</v>
      </c>
      <c r="N2689" s="54">
        <v>2000</v>
      </c>
      <c r="O2689" s="54">
        <v>0</v>
      </c>
      <c r="P2689" s="54">
        <v>0</v>
      </c>
      <c r="Q2689" s="54">
        <v>2000</v>
      </c>
      <c r="R2689" s="54">
        <v>0</v>
      </c>
      <c r="S2689" s="54">
        <v>0</v>
      </c>
      <c r="T2689" s="54">
        <v>0</v>
      </c>
      <c r="U2689" s="54">
        <v>2000</v>
      </c>
      <c r="V2689" s="54">
        <v>2000</v>
      </c>
      <c r="W2689" s="54">
        <v>2000</v>
      </c>
    </row>
    <row r="2690" spans="1:23" outlineLevel="2" x14ac:dyDescent="0.2">
      <c r="A2690" s="21" t="s">
        <v>999</v>
      </c>
      <c r="B2690" s="21" t="s">
        <v>39</v>
      </c>
      <c r="C2690" s="21" t="s">
        <v>58</v>
      </c>
      <c r="D2690" s="21" t="s">
        <v>59</v>
      </c>
      <c r="E2690" s="21" t="s">
        <v>60</v>
      </c>
      <c r="F2690" s="21" t="s">
        <v>1673</v>
      </c>
      <c r="G2690" s="21" t="s">
        <v>1674</v>
      </c>
      <c r="H2690" s="21" t="s">
        <v>1678</v>
      </c>
      <c r="I2690" s="21" t="s">
        <v>1679</v>
      </c>
      <c r="J2690" s="21" t="s">
        <v>1000</v>
      </c>
      <c r="K2690" s="21" t="s">
        <v>1037</v>
      </c>
      <c r="L2690" s="21" t="s">
        <v>1681</v>
      </c>
      <c r="M2690" s="21" t="s">
        <v>12</v>
      </c>
      <c r="N2690" s="54">
        <v>100</v>
      </c>
      <c r="O2690" s="54">
        <v>0</v>
      </c>
      <c r="P2690" s="54">
        <v>0</v>
      </c>
      <c r="Q2690" s="54">
        <v>100</v>
      </c>
      <c r="R2690" s="54">
        <v>0</v>
      </c>
      <c r="S2690" s="54">
        <v>0</v>
      </c>
      <c r="T2690" s="54">
        <v>0</v>
      </c>
      <c r="U2690" s="54">
        <v>100</v>
      </c>
      <c r="V2690" s="54">
        <v>100</v>
      </c>
      <c r="W2690" s="54">
        <v>100</v>
      </c>
    </row>
    <row r="2691" spans="1:23" outlineLevel="2" x14ac:dyDescent="0.2">
      <c r="A2691" s="21" t="s">
        <v>999</v>
      </c>
      <c r="B2691" s="21" t="s">
        <v>39</v>
      </c>
      <c r="C2691" s="21" t="s">
        <v>58</v>
      </c>
      <c r="D2691" s="21" t="s">
        <v>139</v>
      </c>
      <c r="E2691" s="21" t="s">
        <v>140</v>
      </c>
      <c r="F2691" s="21" t="s">
        <v>1673</v>
      </c>
      <c r="G2691" s="21" t="s">
        <v>1674</v>
      </c>
      <c r="H2691" s="21" t="s">
        <v>1678</v>
      </c>
      <c r="I2691" s="21" t="s">
        <v>1679</v>
      </c>
      <c r="J2691" s="21" t="s">
        <v>1000</v>
      </c>
      <c r="K2691" s="21" t="s">
        <v>1037</v>
      </c>
      <c r="L2691" s="21" t="s">
        <v>1681</v>
      </c>
      <c r="M2691" s="21" t="s">
        <v>12</v>
      </c>
      <c r="N2691" s="54">
        <v>8000</v>
      </c>
      <c r="O2691" s="54">
        <v>0</v>
      </c>
      <c r="P2691" s="54">
        <v>0</v>
      </c>
      <c r="Q2691" s="54">
        <v>8000</v>
      </c>
      <c r="R2691" s="54">
        <v>0</v>
      </c>
      <c r="S2691" s="54">
        <v>0</v>
      </c>
      <c r="T2691" s="54">
        <v>0</v>
      </c>
      <c r="U2691" s="54">
        <v>8000</v>
      </c>
      <c r="V2691" s="54">
        <v>8000</v>
      </c>
      <c r="W2691" s="54">
        <v>8000</v>
      </c>
    </row>
    <row r="2692" spans="1:23" outlineLevel="2" x14ac:dyDescent="0.2">
      <c r="A2692" s="21" t="s">
        <v>999</v>
      </c>
      <c r="B2692" s="21" t="s">
        <v>39</v>
      </c>
      <c r="C2692" s="21" t="s">
        <v>58</v>
      </c>
      <c r="D2692" s="21" t="s">
        <v>147</v>
      </c>
      <c r="E2692" s="21" t="s">
        <v>148</v>
      </c>
      <c r="F2692" s="21" t="s">
        <v>1673</v>
      </c>
      <c r="G2692" s="21" t="s">
        <v>1674</v>
      </c>
      <c r="H2692" s="21" t="s">
        <v>1678</v>
      </c>
      <c r="I2692" s="21" t="s">
        <v>1679</v>
      </c>
      <c r="J2692" s="21" t="s">
        <v>1000</v>
      </c>
      <c r="K2692" s="21" t="s">
        <v>1037</v>
      </c>
      <c r="L2692" s="21" t="s">
        <v>1681</v>
      </c>
      <c r="M2692" s="21" t="s">
        <v>12</v>
      </c>
      <c r="N2692" s="54">
        <v>1000</v>
      </c>
      <c r="O2692" s="54">
        <v>0</v>
      </c>
      <c r="P2692" s="54">
        <v>0</v>
      </c>
      <c r="Q2692" s="54">
        <v>1000</v>
      </c>
      <c r="R2692" s="54">
        <v>0</v>
      </c>
      <c r="S2692" s="54">
        <v>0</v>
      </c>
      <c r="T2692" s="54">
        <v>0</v>
      </c>
      <c r="U2692" s="54">
        <v>1000</v>
      </c>
      <c r="V2692" s="54">
        <v>1000</v>
      </c>
      <c r="W2692" s="54">
        <v>1000</v>
      </c>
    </row>
    <row r="2693" spans="1:23" outlineLevel="2" x14ac:dyDescent="0.2">
      <c r="A2693" s="21" t="s">
        <v>999</v>
      </c>
      <c r="B2693" s="21" t="s">
        <v>39</v>
      </c>
      <c r="C2693" s="21" t="s">
        <v>70</v>
      </c>
      <c r="D2693" s="21" t="s">
        <v>89</v>
      </c>
      <c r="E2693" s="21" t="s">
        <v>90</v>
      </c>
      <c r="F2693" s="21" t="s">
        <v>1673</v>
      </c>
      <c r="G2693" s="21" t="s">
        <v>1674</v>
      </c>
      <c r="H2693" s="21" t="s">
        <v>1678</v>
      </c>
      <c r="I2693" s="21" t="s">
        <v>1679</v>
      </c>
      <c r="J2693" s="21" t="s">
        <v>1000</v>
      </c>
      <c r="K2693" s="21" t="s">
        <v>1037</v>
      </c>
      <c r="L2693" s="21" t="s">
        <v>1677</v>
      </c>
      <c r="M2693" s="21" t="s">
        <v>12</v>
      </c>
      <c r="N2693" s="54">
        <v>9000</v>
      </c>
      <c r="O2693" s="54">
        <v>0</v>
      </c>
      <c r="P2693" s="54">
        <v>0</v>
      </c>
      <c r="Q2693" s="54">
        <v>9000</v>
      </c>
      <c r="R2693" s="54">
        <v>0</v>
      </c>
      <c r="S2693" s="54">
        <v>0</v>
      </c>
      <c r="T2693" s="54">
        <v>0</v>
      </c>
      <c r="U2693" s="54">
        <v>9000</v>
      </c>
      <c r="V2693" s="54">
        <v>9000</v>
      </c>
      <c r="W2693" s="54">
        <v>9000</v>
      </c>
    </row>
    <row r="2694" spans="1:23" outlineLevel="2" x14ac:dyDescent="0.2">
      <c r="A2694" s="21" t="s">
        <v>999</v>
      </c>
      <c r="B2694" s="21" t="s">
        <v>39</v>
      </c>
      <c r="C2694" s="21" t="s">
        <v>58</v>
      </c>
      <c r="D2694" s="21" t="s">
        <v>135</v>
      </c>
      <c r="E2694" s="21" t="s">
        <v>136</v>
      </c>
      <c r="F2694" s="21" t="s">
        <v>1673</v>
      </c>
      <c r="G2694" s="21" t="s">
        <v>1674</v>
      </c>
      <c r="H2694" s="21" t="s">
        <v>1678</v>
      </c>
      <c r="I2694" s="21" t="s">
        <v>1679</v>
      </c>
      <c r="J2694" s="21" t="s">
        <v>1000</v>
      </c>
      <c r="K2694" s="21" t="s">
        <v>1037</v>
      </c>
      <c r="L2694" s="21" t="s">
        <v>1681</v>
      </c>
      <c r="M2694" s="21" t="s">
        <v>12</v>
      </c>
      <c r="N2694" s="54">
        <v>1500</v>
      </c>
      <c r="O2694" s="54">
        <v>0</v>
      </c>
      <c r="P2694" s="54">
        <v>0</v>
      </c>
      <c r="Q2694" s="54">
        <v>1500</v>
      </c>
      <c r="R2694" s="54">
        <v>0</v>
      </c>
      <c r="S2694" s="54">
        <v>0</v>
      </c>
      <c r="T2694" s="54">
        <v>0</v>
      </c>
      <c r="U2694" s="54">
        <v>1500</v>
      </c>
      <c r="V2694" s="54">
        <v>1500</v>
      </c>
      <c r="W2694" s="54">
        <v>1500</v>
      </c>
    </row>
    <row r="2695" spans="1:23" outlineLevel="2" x14ac:dyDescent="0.2">
      <c r="A2695" s="21" t="s">
        <v>999</v>
      </c>
      <c r="B2695" s="21" t="s">
        <v>39</v>
      </c>
      <c r="C2695" s="21" t="s">
        <v>58</v>
      </c>
      <c r="D2695" s="21" t="s">
        <v>135</v>
      </c>
      <c r="E2695" s="21" t="s">
        <v>136</v>
      </c>
      <c r="F2695" s="21" t="s">
        <v>1673</v>
      </c>
      <c r="G2695" s="21" t="s">
        <v>1674</v>
      </c>
      <c r="H2695" s="21" t="s">
        <v>1678</v>
      </c>
      <c r="I2695" s="21" t="s">
        <v>1679</v>
      </c>
      <c r="J2695" s="21" t="s">
        <v>1000</v>
      </c>
      <c r="K2695" s="21" t="s">
        <v>1039</v>
      </c>
      <c r="L2695" s="21" t="s">
        <v>1682</v>
      </c>
      <c r="M2695" s="21" t="s">
        <v>12</v>
      </c>
      <c r="N2695" s="54">
        <v>4000</v>
      </c>
      <c r="O2695" s="54">
        <v>-4000</v>
      </c>
      <c r="P2695" s="54">
        <v>0</v>
      </c>
      <c r="Q2695" s="54">
        <v>0</v>
      </c>
      <c r="R2695" s="54">
        <v>0</v>
      </c>
      <c r="S2695" s="54">
        <v>0</v>
      </c>
      <c r="T2695" s="54">
        <v>0</v>
      </c>
      <c r="U2695" s="54">
        <v>0</v>
      </c>
      <c r="V2695" s="54">
        <v>0</v>
      </c>
      <c r="W2695" s="54">
        <v>0</v>
      </c>
    </row>
    <row r="2696" spans="1:23" outlineLevel="2" x14ac:dyDescent="0.2">
      <c r="A2696" s="21" t="s">
        <v>999</v>
      </c>
      <c r="B2696" s="21" t="s">
        <v>39</v>
      </c>
      <c r="C2696" s="21" t="s">
        <v>58</v>
      </c>
      <c r="D2696" s="21" t="s">
        <v>59</v>
      </c>
      <c r="E2696" s="21" t="s">
        <v>60</v>
      </c>
      <c r="F2696" s="21" t="s">
        <v>1673</v>
      </c>
      <c r="G2696" s="21" t="s">
        <v>1674</v>
      </c>
      <c r="H2696" s="21" t="s">
        <v>1678</v>
      </c>
      <c r="I2696" s="21" t="s">
        <v>1679</v>
      </c>
      <c r="J2696" s="21" t="s">
        <v>1000</v>
      </c>
      <c r="K2696" s="21" t="s">
        <v>1110</v>
      </c>
      <c r="L2696" s="21" t="s">
        <v>1683</v>
      </c>
      <c r="M2696" s="21" t="s">
        <v>12</v>
      </c>
      <c r="N2696" s="54">
        <v>300</v>
      </c>
      <c r="O2696" s="54">
        <v>0</v>
      </c>
      <c r="P2696" s="54">
        <v>0</v>
      </c>
      <c r="Q2696" s="54">
        <v>300</v>
      </c>
      <c r="R2696" s="54">
        <v>0</v>
      </c>
      <c r="S2696" s="54">
        <v>0</v>
      </c>
      <c r="T2696" s="54">
        <v>0</v>
      </c>
      <c r="U2696" s="54">
        <v>300</v>
      </c>
      <c r="V2696" s="54">
        <v>300</v>
      </c>
      <c r="W2696" s="54">
        <v>300</v>
      </c>
    </row>
    <row r="2697" spans="1:23" outlineLevel="2" x14ac:dyDescent="0.2">
      <c r="A2697" s="21" t="s">
        <v>999</v>
      </c>
      <c r="B2697" s="21" t="s">
        <v>39</v>
      </c>
      <c r="C2697" s="21" t="s">
        <v>58</v>
      </c>
      <c r="D2697" s="21" t="s">
        <v>143</v>
      </c>
      <c r="E2697" s="21" t="s">
        <v>144</v>
      </c>
      <c r="F2697" s="21" t="s">
        <v>1673</v>
      </c>
      <c r="G2697" s="21" t="s">
        <v>1674</v>
      </c>
      <c r="H2697" s="21" t="s">
        <v>1678</v>
      </c>
      <c r="I2697" s="21" t="s">
        <v>1679</v>
      </c>
      <c r="J2697" s="21" t="s">
        <v>1000</v>
      </c>
      <c r="K2697" s="21" t="s">
        <v>1110</v>
      </c>
      <c r="L2697" s="21" t="s">
        <v>1683</v>
      </c>
      <c r="M2697" s="21" t="s">
        <v>12</v>
      </c>
      <c r="N2697" s="54">
        <v>1000</v>
      </c>
      <c r="O2697" s="54">
        <v>0</v>
      </c>
      <c r="P2697" s="54">
        <v>0</v>
      </c>
      <c r="Q2697" s="54">
        <v>1000</v>
      </c>
      <c r="R2697" s="54">
        <v>0</v>
      </c>
      <c r="S2697" s="54">
        <v>537.6</v>
      </c>
      <c r="T2697" s="54">
        <v>537.6</v>
      </c>
      <c r="U2697" s="54">
        <v>462.4</v>
      </c>
      <c r="V2697" s="54">
        <v>462.4</v>
      </c>
      <c r="W2697" s="54">
        <v>462.4</v>
      </c>
    </row>
    <row r="2698" spans="1:23" outlineLevel="2" x14ac:dyDescent="0.2">
      <c r="A2698" s="21" t="s">
        <v>999</v>
      </c>
      <c r="B2698" s="21" t="s">
        <v>39</v>
      </c>
      <c r="C2698" s="21" t="s">
        <v>58</v>
      </c>
      <c r="D2698" s="21" t="s">
        <v>59</v>
      </c>
      <c r="E2698" s="21" t="s">
        <v>60</v>
      </c>
      <c r="F2698" s="21" t="s">
        <v>1673</v>
      </c>
      <c r="G2698" s="21" t="s">
        <v>1674</v>
      </c>
      <c r="H2698" s="21" t="s">
        <v>1678</v>
      </c>
      <c r="I2698" s="21" t="s">
        <v>1679</v>
      </c>
      <c r="J2698" s="21" t="s">
        <v>1000</v>
      </c>
      <c r="K2698" s="21" t="s">
        <v>1129</v>
      </c>
      <c r="L2698" s="21" t="s">
        <v>1684</v>
      </c>
      <c r="M2698" s="21" t="s">
        <v>12</v>
      </c>
      <c r="N2698" s="54">
        <v>4000</v>
      </c>
      <c r="O2698" s="54">
        <v>0</v>
      </c>
      <c r="P2698" s="54">
        <v>0</v>
      </c>
      <c r="Q2698" s="54">
        <v>4000</v>
      </c>
      <c r="R2698" s="54">
        <v>0</v>
      </c>
      <c r="S2698" s="54">
        <v>0</v>
      </c>
      <c r="T2698" s="54">
        <v>0</v>
      </c>
      <c r="U2698" s="54">
        <v>4000</v>
      </c>
      <c r="V2698" s="54">
        <v>4000</v>
      </c>
      <c r="W2698" s="54">
        <v>4000</v>
      </c>
    </row>
    <row r="2699" spans="1:23" outlineLevel="2" x14ac:dyDescent="0.2">
      <c r="A2699" s="21" t="s">
        <v>999</v>
      </c>
      <c r="B2699" s="21" t="s">
        <v>39</v>
      </c>
      <c r="C2699" s="21" t="s">
        <v>58</v>
      </c>
      <c r="D2699" s="21" t="s">
        <v>145</v>
      </c>
      <c r="E2699" s="21" t="s">
        <v>146</v>
      </c>
      <c r="F2699" s="21" t="s">
        <v>1673</v>
      </c>
      <c r="G2699" s="21" t="s">
        <v>1674</v>
      </c>
      <c r="H2699" s="21" t="s">
        <v>1678</v>
      </c>
      <c r="I2699" s="21" t="s">
        <v>1679</v>
      </c>
      <c r="J2699" s="21" t="s">
        <v>1000</v>
      </c>
      <c r="K2699" s="21" t="s">
        <v>1129</v>
      </c>
      <c r="L2699" s="21" t="s">
        <v>1684</v>
      </c>
      <c r="M2699" s="21" t="s">
        <v>12</v>
      </c>
      <c r="N2699" s="54">
        <v>18942</v>
      </c>
      <c r="O2699" s="54">
        <v>0</v>
      </c>
      <c r="P2699" s="54">
        <v>0</v>
      </c>
      <c r="Q2699" s="54">
        <v>18942</v>
      </c>
      <c r="R2699" s="54">
        <v>0</v>
      </c>
      <c r="S2699" s="54">
        <v>0</v>
      </c>
      <c r="T2699" s="54">
        <v>0</v>
      </c>
      <c r="U2699" s="54">
        <v>18942</v>
      </c>
      <c r="V2699" s="54">
        <v>18942</v>
      </c>
      <c r="W2699" s="54">
        <v>18942</v>
      </c>
    </row>
    <row r="2700" spans="1:23" outlineLevel="2" x14ac:dyDescent="0.2">
      <c r="A2700" s="21" t="s">
        <v>999</v>
      </c>
      <c r="B2700" s="21" t="s">
        <v>39</v>
      </c>
      <c r="C2700" s="21" t="s">
        <v>58</v>
      </c>
      <c r="D2700" s="21" t="s">
        <v>147</v>
      </c>
      <c r="E2700" s="21" t="s">
        <v>148</v>
      </c>
      <c r="F2700" s="21" t="s">
        <v>1673</v>
      </c>
      <c r="G2700" s="21" t="s">
        <v>1674</v>
      </c>
      <c r="H2700" s="21" t="s">
        <v>1678</v>
      </c>
      <c r="I2700" s="21" t="s">
        <v>1679</v>
      </c>
      <c r="J2700" s="21" t="s">
        <v>1000</v>
      </c>
      <c r="K2700" s="21" t="s">
        <v>1071</v>
      </c>
      <c r="L2700" s="21" t="s">
        <v>1685</v>
      </c>
      <c r="M2700" s="21" t="s">
        <v>12</v>
      </c>
      <c r="N2700" s="54">
        <v>11000</v>
      </c>
      <c r="O2700" s="54">
        <v>0</v>
      </c>
      <c r="P2700" s="54">
        <v>0</v>
      </c>
      <c r="Q2700" s="54">
        <v>11000</v>
      </c>
      <c r="R2700" s="54">
        <v>11000</v>
      </c>
      <c r="S2700" s="54">
        <v>0</v>
      </c>
      <c r="T2700" s="54">
        <v>0</v>
      </c>
      <c r="U2700" s="54">
        <v>11000</v>
      </c>
      <c r="V2700" s="54">
        <v>11000</v>
      </c>
      <c r="W2700" s="54">
        <v>0</v>
      </c>
    </row>
    <row r="2701" spans="1:23" outlineLevel="2" x14ac:dyDescent="0.2">
      <c r="A2701" s="21" t="s">
        <v>999</v>
      </c>
      <c r="B2701" s="21" t="s">
        <v>39</v>
      </c>
      <c r="C2701" s="21" t="s">
        <v>58</v>
      </c>
      <c r="D2701" s="21" t="s">
        <v>143</v>
      </c>
      <c r="E2701" s="21" t="s">
        <v>144</v>
      </c>
      <c r="F2701" s="21" t="s">
        <v>1673</v>
      </c>
      <c r="G2701" s="21" t="s">
        <v>1674</v>
      </c>
      <c r="H2701" s="21" t="s">
        <v>1678</v>
      </c>
      <c r="I2701" s="21" t="s">
        <v>1679</v>
      </c>
      <c r="J2701" s="21" t="s">
        <v>1000</v>
      </c>
      <c r="K2701" s="21" t="s">
        <v>1071</v>
      </c>
      <c r="L2701" s="21" t="s">
        <v>1685</v>
      </c>
      <c r="M2701" s="21" t="s">
        <v>12</v>
      </c>
      <c r="N2701" s="54">
        <v>5500</v>
      </c>
      <c r="O2701" s="54">
        <v>0</v>
      </c>
      <c r="P2701" s="54">
        <v>0</v>
      </c>
      <c r="Q2701" s="54">
        <v>5500</v>
      </c>
      <c r="R2701" s="54">
        <v>0</v>
      </c>
      <c r="S2701" s="54">
        <v>5488</v>
      </c>
      <c r="T2701" s="54">
        <v>0</v>
      </c>
      <c r="U2701" s="54">
        <v>12</v>
      </c>
      <c r="V2701" s="54">
        <v>5500</v>
      </c>
      <c r="W2701" s="54">
        <v>12</v>
      </c>
    </row>
    <row r="2702" spans="1:23" outlineLevel="2" x14ac:dyDescent="0.2">
      <c r="A2702" s="21" t="s">
        <v>999</v>
      </c>
      <c r="B2702" s="21" t="s">
        <v>39</v>
      </c>
      <c r="C2702" s="21" t="s">
        <v>58</v>
      </c>
      <c r="D2702" s="21" t="s">
        <v>147</v>
      </c>
      <c r="E2702" s="21" t="s">
        <v>148</v>
      </c>
      <c r="F2702" s="21" t="s">
        <v>1673</v>
      </c>
      <c r="G2702" s="21" t="s">
        <v>1674</v>
      </c>
      <c r="H2702" s="21" t="s">
        <v>1678</v>
      </c>
      <c r="I2702" s="21" t="s">
        <v>1679</v>
      </c>
      <c r="J2702" s="21" t="s">
        <v>1000</v>
      </c>
      <c r="K2702" s="21" t="s">
        <v>1017</v>
      </c>
      <c r="L2702" s="21" t="s">
        <v>1686</v>
      </c>
      <c r="M2702" s="21" t="s">
        <v>12</v>
      </c>
      <c r="N2702" s="54">
        <v>16700</v>
      </c>
      <c r="O2702" s="54">
        <v>0</v>
      </c>
      <c r="P2702" s="54">
        <v>0</v>
      </c>
      <c r="Q2702" s="54">
        <v>16700</v>
      </c>
      <c r="R2702" s="54">
        <v>0</v>
      </c>
      <c r="S2702" s="54">
        <v>0</v>
      </c>
      <c r="T2702" s="54">
        <v>0</v>
      </c>
      <c r="U2702" s="54">
        <v>16700</v>
      </c>
      <c r="V2702" s="54">
        <v>16700</v>
      </c>
      <c r="W2702" s="54">
        <v>16700</v>
      </c>
    </row>
    <row r="2703" spans="1:23" outlineLevel="2" x14ac:dyDescent="0.2">
      <c r="A2703" s="21" t="s">
        <v>999</v>
      </c>
      <c r="B2703" s="21" t="s">
        <v>39</v>
      </c>
      <c r="C2703" s="21" t="s">
        <v>58</v>
      </c>
      <c r="D2703" s="21" t="s">
        <v>137</v>
      </c>
      <c r="E2703" s="21" t="s">
        <v>138</v>
      </c>
      <c r="F2703" s="21" t="s">
        <v>1673</v>
      </c>
      <c r="G2703" s="21" t="s">
        <v>1674</v>
      </c>
      <c r="H2703" s="21" t="s">
        <v>1678</v>
      </c>
      <c r="I2703" s="21" t="s">
        <v>1679</v>
      </c>
      <c r="J2703" s="21" t="s">
        <v>1000</v>
      </c>
      <c r="K2703" s="21" t="s">
        <v>1017</v>
      </c>
      <c r="L2703" s="21" t="s">
        <v>1686</v>
      </c>
      <c r="M2703" s="21" t="s">
        <v>12</v>
      </c>
      <c r="N2703" s="54">
        <v>29000</v>
      </c>
      <c r="O2703" s="54">
        <v>0</v>
      </c>
      <c r="P2703" s="54">
        <v>0</v>
      </c>
      <c r="Q2703" s="54">
        <v>29000</v>
      </c>
      <c r="R2703" s="54">
        <v>0</v>
      </c>
      <c r="S2703" s="54">
        <v>0</v>
      </c>
      <c r="T2703" s="54">
        <v>0</v>
      </c>
      <c r="U2703" s="54">
        <v>29000</v>
      </c>
      <c r="V2703" s="54">
        <v>29000</v>
      </c>
      <c r="W2703" s="54">
        <v>29000</v>
      </c>
    </row>
    <row r="2704" spans="1:23" outlineLevel="2" x14ac:dyDescent="0.2">
      <c r="A2704" s="21" t="s">
        <v>999</v>
      </c>
      <c r="B2704" s="21" t="s">
        <v>39</v>
      </c>
      <c r="C2704" s="21" t="s">
        <v>58</v>
      </c>
      <c r="D2704" s="21" t="s">
        <v>149</v>
      </c>
      <c r="E2704" s="21" t="s">
        <v>150</v>
      </c>
      <c r="F2704" s="21" t="s">
        <v>1673</v>
      </c>
      <c r="G2704" s="21" t="s">
        <v>1674</v>
      </c>
      <c r="H2704" s="21" t="s">
        <v>1678</v>
      </c>
      <c r="I2704" s="21" t="s">
        <v>1679</v>
      </c>
      <c r="J2704" s="21" t="s">
        <v>1000</v>
      </c>
      <c r="K2704" s="21" t="s">
        <v>1017</v>
      </c>
      <c r="L2704" s="21" t="s">
        <v>1686</v>
      </c>
      <c r="M2704" s="21" t="s">
        <v>12</v>
      </c>
      <c r="N2704" s="54">
        <v>10000</v>
      </c>
      <c r="O2704" s="54">
        <v>0</v>
      </c>
      <c r="P2704" s="54">
        <v>0</v>
      </c>
      <c r="Q2704" s="54">
        <v>10000</v>
      </c>
      <c r="R2704" s="54">
        <v>0</v>
      </c>
      <c r="S2704" s="54">
        <v>0</v>
      </c>
      <c r="T2704" s="54">
        <v>0</v>
      </c>
      <c r="U2704" s="54">
        <v>10000</v>
      </c>
      <c r="V2704" s="54">
        <v>10000</v>
      </c>
      <c r="W2704" s="54">
        <v>10000</v>
      </c>
    </row>
    <row r="2705" spans="1:23" outlineLevel="2" x14ac:dyDescent="0.2">
      <c r="A2705" s="21" t="s">
        <v>999</v>
      </c>
      <c r="B2705" s="21" t="s">
        <v>39</v>
      </c>
      <c r="C2705" s="21" t="s">
        <v>58</v>
      </c>
      <c r="D2705" s="21" t="s">
        <v>145</v>
      </c>
      <c r="E2705" s="21" t="s">
        <v>146</v>
      </c>
      <c r="F2705" s="21" t="s">
        <v>1673</v>
      </c>
      <c r="G2705" s="21" t="s">
        <v>1674</v>
      </c>
      <c r="H2705" s="21" t="s">
        <v>1678</v>
      </c>
      <c r="I2705" s="21" t="s">
        <v>1679</v>
      </c>
      <c r="J2705" s="21" t="s">
        <v>1000</v>
      </c>
      <c r="K2705" s="21" t="s">
        <v>1017</v>
      </c>
      <c r="L2705" s="21" t="s">
        <v>1686</v>
      </c>
      <c r="M2705" s="21" t="s">
        <v>12</v>
      </c>
      <c r="N2705" s="54">
        <v>30258</v>
      </c>
      <c r="O2705" s="54">
        <v>0</v>
      </c>
      <c r="P2705" s="54">
        <v>0</v>
      </c>
      <c r="Q2705" s="54">
        <v>30258</v>
      </c>
      <c r="R2705" s="54">
        <v>0</v>
      </c>
      <c r="S2705" s="54">
        <v>0</v>
      </c>
      <c r="T2705" s="54">
        <v>0</v>
      </c>
      <c r="U2705" s="54">
        <v>30258</v>
      </c>
      <c r="V2705" s="54">
        <v>30258</v>
      </c>
      <c r="W2705" s="54">
        <v>30258</v>
      </c>
    </row>
    <row r="2706" spans="1:23" outlineLevel="2" x14ac:dyDescent="0.2">
      <c r="A2706" s="21" t="s">
        <v>999</v>
      </c>
      <c r="B2706" s="21" t="s">
        <v>39</v>
      </c>
      <c r="C2706" s="21" t="s">
        <v>58</v>
      </c>
      <c r="D2706" s="21" t="s">
        <v>143</v>
      </c>
      <c r="E2706" s="21" t="s">
        <v>144</v>
      </c>
      <c r="F2706" s="21" t="s">
        <v>1673</v>
      </c>
      <c r="G2706" s="21" t="s">
        <v>1674</v>
      </c>
      <c r="H2706" s="21" t="s">
        <v>1678</v>
      </c>
      <c r="I2706" s="21" t="s">
        <v>1679</v>
      </c>
      <c r="J2706" s="21" t="s">
        <v>1000</v>
      </c>
      <c r="K2706" s="21" t="s">
        <v>1061</v>
      </c>
      <c r="L2706" s="21" t="s">
        <v>1687</v>
      </c>
      <c r="M2706" s="21" t="s">
        <v>12</v>
      </c>
      <c r="N2706" s="54">
        <v>5000</v>
      </c>
      <c r="O2706" s="54">
        <v>0</v>
      </c>
      <c r="P2706" s="54">
        <v>0</v>
      </c>
      <c r="Q2706" s="54">
        <v>5000</v>
      </c>
      <c r="R2706" s="54">
        <v>0</v>
      </c>
      <c r="S2706" s="54">
        <v>0</v>
      </c>
      <c r="T2706" s="54">
        <v>0</v>
      </c>
      <c r="U2706" s="54">
        <v>5000</v>
      </c>
      <c r="V2706" s="54">
        <v>5000</v>
      </c>
      <c r="W2706" s="54">
        <v>5000</v>
      </c>
    </row>
    <row r="2707" spans="1:23" outlineLevel="2" x14ac:dyDescent="0.2">
      <c r="A2707" s="21" t="s">
        <v>999</v>
      </c>
      <c r="B2707" s="21" t="s">
        <v>39</v>
      </c>
      <c r="C2707" s="21" t="s">
        <v>58</v>
      </c>
      <c r="D2707" s="21" t="s">
        <v>59</v>
      </c>
      <c r="E2707" s="21" t="s">
        <v>60</v>
      </c>
      <c r="F2707" s="21" t="s">
        <v>1673</v>
      </c>
      <c r="G2707" s="21" t="s">
        <v>1674</v>
      </c>
      <c r="H2707" s="21" t="s">
        <v>1678</v>
      </c>
      <c r="I2707" s="21" t="s">
        <v>1679</v>
      </c>
      <c r="J2707" s="21" t="s">
        <v>1000</v>
      </c>
      <c r="K2707" s="21" t="s">
        <v>1061</v>
      </c>
      <c r="L2707" s="21" t="s">
        <v>1687</v>
      </c>
      <c r="M2707" s="21" t="s">
        <v>12</v>
      </c>
      <c r="N2707" s="54">
        <v>900</v>
      </c>
      <c r="O2707" s="54">
        <v>0</v>
      </c>
      <c r="P2707" s="54">
        <v>0</v>
      </c>
      <c r="Q2707" s="54">
        <v>900</v>
      </c>
      <c r="R2707" s="54">
        <v>0</v>
      </c>
      <c r="S2707" s="54">
        <v>0</v>
      </c>
      <c r="T2707" s="54">
        <v>0</v>
      </c>
      <c r="U2707" s="54">
        <v>900</v>
      </c>
      <c r="V2707" s="54">
        <v>900</v>
      </c>
      <c r="W2707" s="54">
        <v>900</v>
      </c>
    </row>
    <row r="2708" spans="1:23" outlineLevel="2" x14ac:dyDescent="0.2">
      <c r="A2708" s="21" t="s">
        <v>999</v>
      </c>
      <c r="B2708" s="21" t="s">
        <v>39</v>
      </c>
      <c r="C2708" s="21" t="s">
        <v>58</v>
      </c>
      <c r="D2708" s="21" t="s">
        <v>143</v>
      </c>
      <c r="E2708" s="21" t="s">
        <v>144</v>
      </c>
      <c r="F2708" s="21" t="s">
        <v>1673</v>
      </c>
      <c r="G2708" s="21" t="s">
        <v>1674</v>
      </c>
      <c r="H2708" s="21" t="s">
        <v>1678</v>
      </c>
      <c r="I2708" s="21" t="s">
        <v>1679</v>
      </c>
      <c r="J2708" s="21" t="s">
        <v>1000</v>
      </c>
      <c r="K2708" s="21" t="s">
        <v>1313</v>
      </c>
      <c r="L2708" s="21" t="s">
        <v>1688</v>
      </c>
      <c r="M2708" s="21" t="s">
        <v>12</v>
      </c>
      <c r="N2708" s="54">
        <v>1000</v>
      </c>
      <c r="O2708" s="54">
        <v>0</v>
      </c>
      <c r="P2708" s="54">
        <v>0</v>
      </c>
      <c r="Q2708" s="54">
        <v>1000</v>
      </c>
      <c r="R2708" s="54">
        <v>0</v>
      </c>
      <c r="S2708" s="54">
        <v>0</v>
      </c>
      <c r="T2708" s="54">
        <v>0</v>
      </c>
      <c r="U2708" s="54">
        <v>1000</v>
      </c>
      <c r="V2708" s="54">
        <v>1000</v>
      </c>
      <c r="W2708" s="54">
        <v>1000</v>
      </c>
    </row>
    <row r="2709" spans="1:23" outlineLevel="2" x14ac:dyDescent="0.2">
      <c r="A2709" s="21" t="s">
        <v>999</v>
      </c>
      <c r="B2709" s="21" t="s">
        <v>39</v>
      </c>
      <c r="C2709" s="21" t="s">
        <v>58</v>
      </c>
      <c r="D2709" s="21" t="s">
        <v>139</v>
      </c>
      <c r="E2709" s="21" t="s">
        <v>140</v>
      </c>
      <c r="F2709" s="21" t="s">
        <v>1673</v>
      </c>
      <c r="G2709" s="21" t="s">
        <v>1674</v>
      </c>
      <c r="H2709" s="21" t="s">
        <v>1678</v>
      </c>
      <c r="I2709" s="21" t="s">
        <v>1679</v>
      </c>
      <c r="J2709" s="21" t="s">
        <v>1000</v>
      </c>
      <c r="K2709" s="21" t="s">
        <v>1082</v>
      </c>
      <c r="L2709" s="21" t="s">
        <v>1689</v>
      </c>
      <c r="M2709" s="21" t="s">
        <v>12</v>
      </c>
      <c r="N2709" s="54">
        <v>23000</v>
      </c>
      <c r="O2709" s="54">
        <v>0</v>
      </c>
      <c r="P2709" s="54">
        <v>0</v>
      </c>
      <c r="Q2709" s="54">
        <v>23000</v>
      </c>
      <c r="R2709" s="54">
        <v>0</v>
      </c>
      <c r="S2709" s="54">
        <v>0</v>
      </c>
      <c r="T2709" s="54">
        <v>0</v>
      </c>
      <c r="U2709" s="54">
        <v>23000</v>
      </c>
      <c r="V2709" s="54">
        <v>23000</v>
      </c>
      <c r="W2709" s="54">
        <v>23000</v>
      </c>
    </row>
    <row r="2710" spans="1:23" outlineLevel="2" x14ac:dyDescent="0.2">
      <c r="A2710" s="21" t="s">
        <v>999</v>
      </c>
      <c r="B2710" s="21" t="s">
        <v>39</v>
      </c>
      <c r="C2710" s="21" t="s">
        <v>58</v>
      </c>
      <c r="D2710" s="21" t="s">
        <v>135</v>
      </c>
      <c r="E2710" s="21" t="s">
        <v>136</v>
      </c>
      <c r="F2710" s="21" t="s">
        <v>1673</v>
      </c>
      <c r="G2710" s="21" t="s">
        <v>1674</v>
      </c>
      <c r="H2710" s="21" t="s">
        <v>1678</v>
      </c>
      <c r="I2710" s="21" t="s">
        <v>1679</v>
      </c>
      <c r="J2710" s="21" t="s">
        <v>1000</v>
      </c>
      <c r="K2710" s="21" t="s">
        <v>1082</v>
      </c>
      <c r="L2710" s="21" t="s">
        <v>1689</v>
      </c>
      <c r="M2710" s="21" t="s">
        <v>12</v>
      </c>
      <c r="N2710" s="54">
        <v>9500</v>
      </c>
      <c r="O2710" s="54">
        <v>0</v>
      </c>
      <c r="P2710" s="54">
        <v>0</v>
      </c>
      <c r="Q2710" s="54">
        <v>9500</v>
      </c>
      <c r="R2710" s="54">
        <v>0</v>
      </c>
      <c r="S2710" s="54">
        <v>0</v>
      </c>
      <c r="T2710" s="54">
        <v>0</v>
      </c>
      <c r="U2710" s="54">
        <v>9500</v>
      </c>
      <c r="V2710" s="54">
        <v>9500</v>
      </c>
      <c r="W2710" s="54">
        <v>9500</v>
      </c>
    </row>
    <row r="2711" spans="1:23" outlineLevel="2" x14ac:dyDescent="0.2">
      <c r="A2711" s="21" t="s">
        <v>999</v>
      </c>
      <c r="B2711" s="21" t="s">
        <v>39</v>
      </c>
      <c r="C2711" s="21" t="s">
        <v>58</v>
      </c>
      <c r="D2711" s="21" t="s">
        <v>137</v>
      </c>
      <c r="E2711" s="21" t="s">
        <v>138</v>
      </c>
      <c r="F2711" s="21" t="s">
        <v>1673</v>
      </c>
      <c r="G2711" s="21" t="s">
        <v>1674</v>
      </c>
      <c r="H2711" s="21" t="s">
        <v>1678</v>
      </c>
      <c r="I2711" s="21" t="s">
        <v>1679</v>
      </c>
      <c r="J2711" s="21" t="s">
        <v>1000</v>
      </c>
      <c r="K2711" s="21" t="s">
        <v>1082</v>
      </c>
      <c r="L2711" s="21" t="s">
        <v>1689</v>
      </c>
      <c r="M2711" s="21" t="s">
        <v>12</v>
      </c>
      <c r="N2711" s="54">
        <v>4700</v>
      </c>
      <c r="O2711" s="54">
        <v>0</v>
      </c>
      <c r="P2711" s="54">
        <v>0</v>
      </c>
      <c r="Q2711" s="54">
        <v>4700</v>
      </c>
      <c r="R2711" s="54">
        <v>0</v>
      </c>
      <c r="S2711" s="54">
        <v>0</v>
      </c>
      <c r="T2711" s="54">
        <v>0</v>
      </c>
      <c r="U2711" s="54">
        <v>4700</v>
      </c>
      <c r="V2711" s="54">
        <v>4700</v>
      </c>
      <c r="W2711" s="54">
        <v>4700</v>
      </c>
    </row>
    <row r="2712" spans="1:23" outlineLevel="2" x14ac:dyDescent="0.2">
      <c r="A2712" s="21" t="s">
        <v>999</v>
      </c>
      <c r="B2712" s="21" t="s">
        <v>39</v>
      </c>
      <c r="C2712" s="21" t="s">
        <v>58</v>
      </c>
      <c r="D2712" s="21" t="s">
        <v>149</v>
      </c>
      <c r="E2712" s="21" t="s">
        <v>150</v>
      </c>
      <c r="F2712" s="21" t="s">
        <v>1673</v>
      </c>
      <c r="G2712" s="21" t="s">
        <v>1674</v>
      </c>
      <c r="H2712" s="21" t="s">
        <v>1678</v>
      </c>
      <c r="I2712" s="21" t="s">
        <v>1679</v>
      </c>
      <c r="J2712" s="21" t="s">
        <v>1000</v>
      </c>
      <c r="K2712" s="21" t="s">
        <v>1082</v>
      </c>
      <c r="L2712" s="21" t="s">
        <v>1689</v>
      </c>
      <c r="M2712" s="21" t="s">
        <v>12</v>
      </c>
      <c r="N2712" s="54">
        <v>1200</v>
      </c>
      <c r="O2712" s="54">
        <v>-1200</v>
      </c>
      <c r="P2712" s="54">
        <v>0</v>
      </c>
      <c r="Q2712" s="54">
        <v>0</v>
      </c>
      <c r="R2712" s="54">
        <v>0</v>
      </c>
      <c r="S2712" s="54">
        <v>0</v>
      </c>
      <c r="T2712" s="54">
        <v>0</v>
      </c>
      <c r="U2712" s="54">
        <v>0</v>
      </c>
      <c r="V2712" s="54">
        <v>0</v>
      </c>
      <c r="W2712" s="54">
        <v>0</v>
      </c>
    </row>
    <row r="2713" spans="1:23" outlineLevel="2" x14ac:dyDescent="0.2">
      <c r="A2713" s="21" t="s">
        <v>999</v>
      </c>
      <c r="B2713" s="21" t="s">
        <v>39</v>
      </c>
      <c r="C2713" s="21" t="s">
        <v>58</v>
      </c>
      <c r="D2713" s="21" t="s">
        <v>59</v>
      </c>
      <c r="E2713" s="21" t="s">
        <v>60</v>
      </c>
      <c r="F2713" s="21" t="s">
        <v>1673</v>
      </c>
      <c r="G2713" s="21" t="s">
        <v>1674</v>
      </c>
      <c r="H2713" s="21" t="s">
        <v>1678</v>
      </c>
      <c r="I2713" s="21" t="s">
        <v>1679</v>
      </c>
      <c r="J2713" s="21" t="s">
        <v>1000</v>
      </c>
      <c r="K2713" s="21" t="s">
        <v>1082</v>
      </c>
      <c r="L2713" s="21" t="s">
        <v>1689</v>
      </c>
      <c r="M2713" s="21" t="s">
        <v>12</v>
      </c>
      <c r="N2713" s="54">
        <v>2500</v>
      </c>
      <c r="O2713" s="54">
        <v>0</v>
      </c>
      <c r="P2713" s="54">
        <v>0</v>
      </c>
      <c r="Q2713" s="54">
        <v>2500</v>
      </c>
      <c r="R2713" s="54">
        <v>0</v>
      </c>
      <c r="S2713" s="54">
        <v>0</v>
      </c>
      <c r="T2713" s="54">
        <v>0</v>
      </c>
      <c r="U2713" s="54">
        <v>2500</v>
      </c>
      <c r="V2713" s="54">
        <v>2500</v>
      </c>
      <c r="W2713" s="54">
        <v>2500</v>
      </c>
    </row>
    <row r="2714" spans="1:23" outlineLevel="2" x14ac:dyDescent="0.2">
      <c r="A2714" s="21" t="s">
        <v>999</v>
      </c>
      <c r="B2714" s="21" t="s">
        <v>39</v>
      </c>
      <c r="C2714" s="21" t="s">
        <v>58</v>
      </c>
      <c r="D2714" s="21" t="s">
        <v>147</v>
      </c>
      <c r="E2714" s="21" t="s">
        <v>148</v>
      </c>
      <c r="F2714" s="21" t="s">
        <v>1673</v>
      </c>
      <c r="G2714" s="21" t="s">
        <v>1674</v>
      </c>
      <c r="H2714" s="21" t="s">
        <v>1678</v>
      </c>
      <c r="I2714" s="21" t="s">
        <v>1679</v>
      </c>
      <c r="J2714" s="21" t="s">
        <v>1000</v>
      </c>
      <c r="K2714" s="21" t="s">
        <v>1082</v>
      </c>
      <c r="L2714" s="21" t="s">
        <v>1689</v>
      </c>
      <c r="M2714" s="21" t="s">
        <v>12</v>
      </c>
      <c r="N2714" s="54">
        <v>2000</v>
      </c>
      <c r="O2714" s="54">
        <v>0</v>
      </c>
      <c r="P2714" s="54">
        <v>0</v>
      </c>
      <c r="Q2714" s="54">
        <v>2000</v>
      </c>
      <c r="R2714" s="54">
        <v>0</v>
      </c>
      <c r="S2714" s="54">
        <v>0</v>
      </c>
      <c r="T2714" s="54">
        <v>0</v>
      </c>
      <c r="U2714" s="54">
        <v>2000</v>
      </c>
      <c r="V2714" s="54">
        <v>2000</v>
      </c>
      <c r="W2714" s="54">
        <v>2000</v>
      </c>
    </row>
    <row r="2715" spans="1:23" outlineLevel="2" x14ac:dyDescent="0.2">
      <c r="A2715" s="21" t="s">
        <v>999</v>
      </c>
      <c r="B2715" s="21" t="s">
        <v>39</v>
      </c>
      <c r="C2715" s="21" t="s">
        <v>58</v>
      </c>
      <c r="D2715" s="21" t="s">
        <v>147</v>
      </c>
      <c r="E2715" s="21" t="s">
        <v>148</v>
      </c>
      <c r="F2715" s="21" t="s">
        <v>1673</v>
      </c>
      <c r="G2715" s="21" t="s">
        <v>1674</v>
      </c>
      <c r="H2715" s="21" t="s">
        <v>1678</v>
      </c>
      <c r="I2715" s="21" t="s">
        <v>1679</v>
      </c>
      <c r="J2715" s="21" t="s">
        <v>1000</v>
      </c>
      <c r="K2715" s="21" t="s">
        <v>1118</v>
      </c>
      <c r="L2715" s="21" t="s">
        <v>1690</v>
      </c>
      <c r="M2715" s="21" t="s">
        <v>12</v>
      </c>
      <c r="N2715" s="54">
        <v>6000</v>
      </c>
      <c r="O2715" s="54">
        <v>0</v>
      </c>
      <c r="P2715" s="54">
        <v>0</v>
      </c>
      <c r="Q2715" s="54">
        <v>6000</v>
      </c>
      <c r="R2715" s="54">
        <v>0</v>
      </c>
      <c r="S2715" s="54">
        <v>0</v>
      </c>
      <c r="T2715" s="54">
        <v>0</v>
      </c>
      <c r="U2715" s="54">
        <v>6000</v>
      </c>
      <c r="V2715" s="54">
        <v>6000</v>
      </c>
      <c r="W2715" s="54">
        <v>6000</v>
      </c>
    </row>
    <row r="2716" spans="1:23" outlineLevel="2" x14ac:dyDescent="0.2">
      <c r="A2716" s="21" t="s">
        <v>999</v>
      </c>
      <c r="B2716" s="21" t="s">
        <v>39</v>
      </c>
      <c r="C2716" s="21" t="s">
        <v>58</v>
      </c>
      <c r="D2716" s="21" t="s">
        <v>139</v>
      </c>
      <c r="E2716" s="21" t="s">
        <v>140</v>
      </c>
      <c r="F2716" s="21" t="s">
        <v>1673</v>
      </c>
      <c r="G2716" s="21" t="s">
        <v>1674</v>
      </c>
      <c r="H2716" s="21" t="s">
        <v>1678</v>
      </c>
      <c r="I2716" s="21" t="s">
        <v>1679</v>
      </c>
      <c r="J2716" s="21" t="s">
        <v>1000</v>
      </c>
      <c r="K2716" s="21" t="s">
        <v>1118</v>
      </c>
      <c r="L2716" s="21" t="s">
        <v>1690</v>
      </c>
      <c r="M2716" s="21" t="s">
        <v>12</v>
      </c>
      <c r="N2716" s="54">
        <v>2000</v>
      </c>
      <c r="O2716" s="54">
        <v>0</v>
      </c>
      <c r="P2716" s="54">
        <v>0</v>
      </c>
      <c r="Q2716" s="54">
        <v>2000</v>
      </c>
      <c r="R2716" s="54">
        <v>0</v>
      </c>
      <c r="S2716" s="54">
        <v>0</v>
      </c>
      <c r="T2716" s="54">
        <v>0</v>
      </c>
      <c r="U2716" s="54">
        <v>2000</v>
      </c>
      <c r="V2716" s="54">
        <v>2000</v>
      </c>
      <c r="W2716" s="54">
        <v>2000</v>
      </c>
    </row>
    <row r="2717" spans="1:23" outlineLevel="2" x14ac:dyDescent="0.2">
      <c r="A2717" s="21" t="s">
        <v>999</v>
      </c>
      <c r="B2717" s="21" t="s">
        <v>39</v>
      </c>
      <c r="C2717" s="21" t="s">
        <v>58</v>
      </c>
      <c r="D2717" s="21" t="s">
        <v>59</v>
      </c>
      <c r="E2717" s="21" t="s">
        <v>60</v>
      </c>
      <c r="F2717" s="21" t="s">
        <v>1673</v>
      </c>
      <c r="G2717" s="21" t="s">
        <v>1674</v>
      </c>
      <c r="H2717" s="21" t="s">
        <v>1678</v>
      </c>
      <c r="I2717" s="21" t="s">
        <v>1679</v>
      </c>
      <c r="J2717" s="21" t="s">
        <v>1000</v>
      </c>
      <c r="K2717" s="21" t="s">
        <v>1118</v>
      </c>
      <c r="L2717" s="21" t="s">
        <v>1690</v>
      </c>
      <c r="M2717" s="21" t="s">
        <v>12</v>
      </c>
      <c r="N2717" s="54">
        <v>4500</v>
      </c>
      <c r="O2717" s="54">
        <v>0</v>
      </c>
      <c r="P2717" s="54">
        <v>0</v>
      </c>
      <c r="Q2717" s="54">
        <v>4500</v>
      </c>
      <c r="R2717" s="54">
        <v>0</v>
      </c>
      <c r="S2717" s="54">
        <v>0</v>
      </c>
      <c r="T2717" s="54">
        <v>0</v>
      </c>
      <c r="U2717" s="54">
        <v>4500</v>
      </c>
      <c r="V2717" s="54">
        <v>4500</v>
      </c>
      <c r="W2717" s="54">
        <v>4500</v>
      </c>
    </row>
    <row r="2718" spans="1:23" outlineLevel="2" x14ac:dyDescent="0.2">
      <c r="A2718" s="21" t="s">
        <v>999</v>
      </c>
      <c r="B2718" s="21" t="s">
        <v>39</v>
      </c>
      <c r="C2718" s="21" t="s">
        <v>58</v>
      </c>
      <c r="D2718" s="21" t="s">
        <v>137</v>
      </c>
      <c r="E2718" s="21" t="s">
        <v>138</v>
      </c>
      <c r="F2718" s="21" t="s">
        <v>1673</v>
      </c>
      <c r="G2718" s="21" t="s">
        <v>1674</v>
      </c>
      <c r="H2718" s="21" t="s">
        <v>1678</v>
      </c>
      <c r="I2718" s="21" t="s">
        <v>1679</v>
      </c>
      <c r="J2718" s="21" t="s">
        <v>1000</v>
      </c>
      <c r="K2718" s="21" t="s">
        <v>1118</v>
      </c>
      <c r="L2718" s="21" t="s">
        <v>1690</v>
      </c>
      <c r="M2718" s="21" t="s">
        <v>12</v>
      </c>
      <c r="N2718" s="54">
        <v>1000</v>
      </c>
      <c r="O2718" s="54">
        <v>0</v>
      </c>
      <c r="P2718" s="54">
        <v>0</v>
      </c>
      <c r="Q2718" s="54">
        <v>1000</v>
      </c>
      <c r="R2718" s="54">
        <v>0</v>
      </c>
      <c r="S2718" s="54">
        <v>0</v>
      </c>
      <c r="T2718" s="54">
        <v>0</v>
      </c>
      <c r="U2718" s="54">
        <v>1000</v>
      </c>
      <c r="V2718" s="54">
        <v>1000</v>
      </c>
      <c r="W2718" s="54">
        <v>1000</v>
      </c>
    </row>
    <row r="2719" spans="1:23" outlineLevel="2" x14ac:dyDescent="0.2">
      <c r="A2719" s="21" t="s">
        <v>999</v>
      </c>
      <c r="B2719" s="21" t="s">
        <v>39</v>
      </c>
      <c r="C2719" s="21" t="s">
        <v>58</v>
      </c>
      <c r="D2719" s="21" t="s">
        <v>145</v>
      </c>
      <c r="E2719" s="21" t="s">
        <v>146</v>
      </c>
      <c r="F2719" s="21" t="s">
        <v>1673</v>
      </c>
      <c r="G2719" s="21" t="s">
        <v>1674</v>
      </c>
      <c r="H2719" s="21" t="s">
        <v>1678</v>
      </c>
      <c r="I2719" s="21" t="s">
        <v>1679</v>
      </c>
      <c r="J2719" s="21" t="s">
        <v>1000</v>
      </c>
      <c r="K2719" s="21" t="s">
        <v>1118</v>
      </c>
      <c r="L2719" s="21" t="s">
        <v>1690</v>
      </c>
      <c r="M2719" s="21" t="s">
        <v>12</v>
      </c>
      <c r="N2719" s="54">
        <v>3000</v>
      </c>
      <c r="O2719" s="54">
        <v>0</v>
      </c>
      <c r="P2719" s="54">
        <v>0</v>
      </c>
      <c r="Q2719" s="54">
        <v>3000</v>
      </c>
      <c r="R2719" s="54">
        <v>0</v>
      </c>
      <c r="S2719" s="54">
        <v>0</v>
      </c>
      <c r="T2719" s="54">
        <v>0</v>
      </c>
      <c r="U2719" s="54">
        <v>3000</v>
      </c>
      <c r="V2719" s="54">
        <v>3000</v>
      </c>
      <c r="W2719" s="54">
        <v>3000</v>
      </c>
    </row>
    <row r="2720" spans="1:23" outlineLevel="2" x14ac:dyDescent="0.2">
      <c r="A2720" s="21" t="s">
        <v>999</v>
      </c>
      <c r="B2720" s="21" t="s">
        <v>39</v>
      </c>
      <c r="C2720" s="21" t="s">
        <v>58</v>
      </c>
      <c r="D2720" s="21" t="s">
        <v>139</v>
      </c>
      <c r="E2720" s="21" t="s">
        <v>140</v>
      </c>
      <c r="F2720" s="21" t="s">
        <v>1673</v>
      </c>
      <c r="G2720" s="21" t="s">
        <v>1674</v>
      </c>
      <c r="H2720" s="21" t="s">
        <v>1678</v>
      </c>
      <c r="I2720" s="21" t="s">
        <v>1679</v>
      </c>
      <c r="J2720" s="21" t="s">
        <v>1000</v>
      </c>
      <c r="K2720" s="21" t="s">
        <v>1120</v>
      </c>
      <c r="L2720" s="21" t="s">
        <v>1691</v>
      </c>
      <c r="M2720" s="21" t="s">
        <v>12</v>
      </c>
      <c r="N2720" s="54">
        <v>1500</v>
      </c>
      <c r="O2720" s="54">
        <v>0</v>
      </c>
      <c r="P2720" s="54">
        <v>0</v>
      </c>
      <c r="Q2720" s="54">
        <v>1500</v>
      </c>
      <c r="R2720" s="54">
        <v>0</v>
      </c>
      <c r="S2720" s="54">
        <v>0</v>
      </c>
      <c r="T2720" s="54">
        <v>0</v>
      </c>
      <c r="U2720" s="54">
        <v>1500</v>
      </c>
      <c r="V2720" s="54">
        <v>1500</v>
      </c>
      <c r="W2720" s="54">
        <v>1500</v>
      </c>
    </row>
    <row r="2721" spans="1:23" outlineLevel="2" x14ac:dyDescent="0.2">
      <c r="A2721" s="21" t="s">
        <v>999</v>
      </c>
      <c r="B2721" s="21" t="s">
        <v>39</v>
      </c>
      <c r="C2721" s="21" t="s">
        <v>58</v>
      </c>
      <c r="D2721" s="21" t="s">
        <v>59</v>
      </c>
      <c r="E2721" s="21" t="s">
        <v>60</v>
      </c>
      <c r="F2721" s="21" t="s">
        <v>1673</v>
      </c>
      <c r="G2721" s="21" t="s">
        <v>1674</v>
      </c>
      <c r="H2721" s="21" t="s">
        <v>1678</v>
      </c>
      <c r="I2721" s="21" t="s">
        <v>1679</v>
      </c>
      <c r="J2721" s="21" t="s">
        <v>1000</v>
      </c>
      <c r="K2721" s="21" t="s">
        <v>1120</v>
      </c>
      <c r="L2721" s="21" t="s">
        <v>1691</v>
      </c>
      <c r="M2721" s="21" t="s">
        <v>12</v>
      </c>
      <c r="N2721" s="54">
        <v>3200</v>
      </c>
      <c r="O2721" s="54">
        <v>0</v>
      </c>
      <c r="P2721" s="54">
        <v>0</v>
      </c>
      <c r="Q2721" s="54">
        <v>3200</v>
      </c>
      <c r="R2721" s="54">
        <v>0</v>
      </c>
      <c r="S2721" s="54">
        <v>0</v>
      </c>
      <c r="T2721" s="54">
        <v>0</v>
      </c>
      <c r="U2721" s="54">
        <v>3200</v>
      </c>
      <c r="V2721" s="54">
        <v>3200</v>
      </c>
      <c r="W2721" s="54">
        <v>3200</v>
      </c>
    </row>
    <row r="2722" spans="1:23" outlineLevel="2" x14ac:dyDescent="0.2">
      <c r="A2722" s="21" t="s">
        <v>999</v>
      </c>
      <c r="B2722" s="21" t="s">
        <v>39</v>
      </c>
      <c r="C2722" s="21" t="s">
        <v>58</v>
      </c>
      <c r="D2722" s="21" t="s">
        <v>143</v>
      </c>
      <c r="E2722" s="21" t="s">
        <v>144</v>
      </c>
      <c r="F2722" s="21" t="s">
        <v>1673</v>
      </c>
      <c r="G2722" s="21" t="s">
        <v>1674</v>
      </c>
      <c r="H2722" s="21" t="s">
        <v>1692</v>
      </c>
      <c r="I2722" s="21" t="s">
        <v>1693</v>
      </c>
      <c r="J2722" s="21" t="s">
        <v>1000</v>
      </c>
      <c r="K2722" s="21" t="s">
        <v>1106</v>
      </c>
      <c r="L2722" s="21" t="s">
        <v>1694</v>
      </c>
      <c r="M2722" s="21" t="s">
        <v>12</v>
      </c>
      <c r="N2722" s="54">
        <v>888.56</v>
      </c>
      <c r="O2722" s="54">
        <v>0</v>
      </c>
      <c r="P2722" s="54">
        <v>0</v>
      </c>
      <c r="Q2722" s="54">
        <v>888.56</v>
      </c>
      <c r="R2722" s="54">
        <v>0</v>
      </c>
      <c r="S2722" s="54">
        <v>0</v>
      </c>
      <c r="T2722" s="54">
        <v>0</v>
      </c>
      <c r="U2722" s="54">
        <v>888.56</v>
      </c>
      <c r="V2722" s="54">
        <v>888.56</v>
      </c>
      <c r="W2722" s="54">
        <v>888.56</v>
      </c>
    </row>
    <row r="2723" spans="1:23" outlineLevel="2" x14ac:dyDescent="0.2">
      <c r="A2723" s="21" t="s">
        <v>999</v>
      </c>
      <c r="B2723" s="21" t="s">
        <v>39</v>
      </c>
      <c r="C2723" s="21" t="s">
        <v>58</v>
      </c>
      <c r="D2723" s="21" t="s">
        <v>149</v>
      </c>
      <c r="E2723" s="21" t="s">
        <v>150</v>
      </c>
      <c r="F2723" s="21" t="s">
        <v>1673</v>
      </c>
      <c r="G2723" s="21" t="s">
        <v>1674</v>
      </c>
      <c r="H2723" s="21" t="s">
        <v>1692</v>
      </c>
      <c r="I2723" s="21" t="s">
        <v>1693</v>
      </c>
      <c r="J2723" s="21" t="s">
        <v>1000</v>
      </c>
      <c r="K2723" s="21" t="s">
        <v>1037</v>
      </c>
      <c r="L2723" s="21" t="s">
        <v>1681</v>
      </c>
      <c r="M2723" s="21" t="s">
        <v>12</v>
      </c>
      <c r="N2723" s="54">
        <v>700</v>
      </c>
      <c r="O2723" s="54">
        <v>0</v>
      </c>
      <c r="P2723" s="54">
        <v>0</v>
      </c>
      <c r="Q2723" s="54">
        <v>700</v>
      </c>
      <c r="R2723" s="54">
        <v>0</v>
      </c>
      <c r="S2723" s="54">
        <v>0</v>
      </c>
      <c r="T2723" s="54">
        <v>0</v>
      </c>
      <c r="U2723" s="54">
        <v>700</v>
      </c>
      <c r="V2723" s="54">
        <v>700</v>
      </c>
      <c r="W2723" s="54">
        <v>700</v>
      </c>
    </row>
    <row r="2724" spans="1:23" outlineLevel="2" x14ac:dyDescent="0.2">
      <c r="A2724" s="21" t="s">
        <v>999</v>
      </c>
      <c r="B2724" s="21" t="s">
        <v>39</v>
      </c>
      <c r="C2724" s="21" t="s">
        <v>58</v>
      </c>
      <c r="D2724" s="21" t="s">
        <v>129</v>
      </c>
      <c r="E2724" s="21" t="s">
        <v>130</v>
      </c>
      <c r="F2724" s="21" t="s">
        <v>1673</v>
      </c>
      <c r="G2724" s="21" t="s">
        <v>1674</v>
      </c>
      <c r="H2724" s="21" t="s">
        <v>1692</v>
      </c>
      <c r="I2724" s="21" t="s">
        <v>1693</v>
      </c>
      <c r="J2724" s="21" t="s">
        <v>1000</v>
      </c>
      <c r="K2724" s="21" t="s">
        <v>1037</v>
      </c>
      <c r="L2724" s="21" t="s">
        <v>1681</v>
      </c>
      <c r="M2724" s="21" t="s">
        <v>12</v>
      </c>
      <c r="N2724" s="54">
        <v>2400</v>
      </c>
      <c r="O2724" s="54">
        <v>0</v>
      </c>
      <c r="P2724" s="54">
        <v>0</v>
      </c>
      <c r="Q2724" s="54">
        <v>2400</v>
      </c>
      <c r="R2724" s="54">
        <v>0</v>
      </c>
      <c r="S2724" s="54">
        <v>2399.6</v>
      </c>
      <c r="T2724" s="54">
        <v>2399.6</v>
      </c>
      <c r="U2724" s="54">
        <v>0.4</v>
      </c>
      <c r="V2724" s="54">
        <v>0.4</v>
      </c>
      <c r="W2724" s="54">
        <v>0.4</v>
      </c>
    </row>
    <row r="2725" spans="1:23" outlineLevel="2" x14ac:dyDescent="0.2">
      <c r="A2725" s="21" t="s">
        <v>999</v>
      </c>
      <c r="B2725" s="21" t="s">
        <v>39</v>
      </c>
      <c r="C2725" s="21" t="s">
        <v>58</v>
      </c>
      <c r="D2725" s="21" t="s">
        <v>147</v>
      </c>
      <c r="E2725" s="21" t="s">
        <v>148</v>
      </c>
      <c r="F2725" s="21" t="s">
        <v>1673</v>
      </c>
      <c r="G2725" s="21" t="s">
        <v>1674</v>
      </c>
      <c r="H2725" s="21" t="s">
        <v>1692</v>
      </c>
      <c r="I2725" s="21" t="s">
        <v>1693</v>
      </c>
      <c r="J2725" s="21" t="s">
        <v>1000</v>
      </c>
      <c r="K2725" s="21" t="s">
        <v>1039</v>
      </c>
      <c r="L2725" s="21" t="s">
        <v>1682</v>
      </c>
      <c r="M2725" s="21" t="s">
        <v>12</v>
      </c>
      <c r="N2725" s="54">
        <v>1000</v>
      </c>
      <c r="O2725" s="54">
        <v>0</v>
      </c>
      <c r="P2725" s="54">
        <v>0</v>
      </c>
      <c r="Q2725" s="54">
        <v>1000</v>
      </c>
      <c r="R2725" s="54">
        <v>0</v>
      </c>
      <c r="S2725" s="54">
        <v>0</v>
      </c>
      <c r="T2725" s="54">
        <v>0</v>
      </c>
      <c r="U2725" s="54">
        <v>1000</v>
      </c>
      <c r="V2725" s="54">
        <v>1000</v>
      </c>
      <c r="W2725" s="54">
        <v>1000</v>
      </c>
    </row>
    <row r="2726" spans="1:23" outlineLevel="2" x14ac:dyDescent="0.2">
      <c r="A2726" s="21" t="s">
        <v>999</v>
      </c>
      <c r="B2726" s="21" t="s">
        <v>39</v>
      </c>
      <c r="C2726" s="21" t="s">
        <v>58</v>
      </c>
      <c r="D2726" s="21" t="s">
        <v>139</v>
      </c>
      <c r="E2726" s="21" t="s">
        <v>140</v>
      </c>
      <c r="F2726" s="21" t="s">
        <v>1673</v>
      </c>
      <c r="G2726" s="21" t="s">
        <v>1674</v>
      </c>
      <c r="H2726" s="21" t="s">
        <v>1692</v>
      </c>
      <c r="I2726" s="21" t="s">
        <v>1693</v>
      </c>
      <c r="J2726" s="21" t="s">
        <v>1000</v>
      </c>
      <c r="K2726" s="21" t="s">
        <v>1011</v>
      </c>
      <c r="L2726" s="21" t="s">
        <v>1695</v>
      </c>
      <c r="M2726" s="21" t="s">
        <v>12</v>
      </c>
      <c r="N2726" s="54">
        <v>7000</v>
      </c>
      <c r="O2726" s="54">
        <v>0</v>
      </c>
      <c r="P2726" s="54">
        <v>0</v>
      </c>
      <c r="Q2726" s="54">
        <v>7000</v>
      </c>
      <c r="R2726" s="54">
        <v>0</v>
      </c>
      <c r="S2726" s="54">
        <v>0</v>
      </c>
      <c r="T2726" s="54">
        <v>0</v>
      </c>
      <c r="U2726" s="54">
        <v>7000</v>
      </c>
      <c r="V2726" s="54">
        <v>7000</v>
      </c>
      <c r="W2726" s="54">
        <v>7000</v>
      </c>
    </row>
    <row r="2727" spans="1:23" outlineLevel="2" x14ac:dyDescent="0.2">
      <c r="A2727" s="21" t="s">
        <v>999</v>
      </c>
      <c r="B2727" s="21" t="s">
        <v>39</v>
      </c>
      <c r="C2727" s="21" t="s">
        <v>58</v>
      </c>
      <c r="D2727" s="21" t="s">
        <v>59</v>
      </c>
      <c r="E2727" s="21" t="s">
        <v>60</v>
      </c>
      <c r="F2727" s="21" t="s">
        <v>1673</v>
      </c>
      <c r="G2727" s="21" t="s">
        <v>1674</v>
      </c>
      <c r="H2727" s="21" t="s">
        <v>1692</v>
      </c>
      <c r="I2727" s="21" t="s">
        <v>1693</v>
      </c>
      <c r="J2727" s="21" t="s">
        <v>1000</v>
      </c>
      <c r="K2727" s="21" t="s">
        <v>1061</v>
      </c>
      <c r="L2727" s="21" t="s">
        <v>1687</v>
      </c>
      <c r="M2727" s="21" t="s">
        <v>12</v>
      </c>
      <c r="N2727" s="54">
        <v>200</v>
      </c>
      <c r="O2727" s="54">
        <v>0</v>
      </c>
      <c r="P2727" s="54">
        <v>0</v>
      </c>
      <c r="Q2727" s="54">
        <v>200</v>
      </c>
      <c r="R2727" s="54">
        <v>0</v>
      </c>
      <c r="S2727" s="54">
        <v>0</v>
      </c>
      <c r="T2727" s="54">
        <v>0</v>
      </c>
      <c r="U2727" s="54">
        <v>200</v>
      </c>
      <c r="V2727" s="54">
        <v>200</v>
      </c>
      <c r="W2727" s="54">
        <v>200</v>
      </c>
    </row>
    <row r="2728" spans="1:23" outlineLevel="2" x14ac:dyDescent="0.2">
      <c r="A2728" s="21" t="s">
        <v>999</v>
      </c>
      <c r="B2728" s="21" t="s">
        <v>39</v>
      </c>
      <c r="C2728" s="21" t="s">
        <v>58</v>
      </c>
      <c r="D2728" s="21" t="s">
        <v>139</v>
      </c>
      <c r="E2728" s="21" t="s">
        <v>140</v>
      </c>
      <c r="F2728" s="21" t="s">
        <v>1673</v>
      </c>
      <c r="G2728" s="21" t="s">
        <v>1674</v>
      </c>
      <c r="H2728" s="21" t="s">
        <v>1692</v>
      </c>
      <c r="I2728" s="21" t="s">
        <v>1693</v>
      </c>
      <c r="J2728" s="21" t="s">
        <v>1000</v>
      </c>
      <c r="K2728" s="21" t="s">
        <v>1061</v>
      </c>
      <c r="L2728" s="21" t="s">
        <v>1687</v>
      </c>
      <c r="M2728" s="21" t="s">
        <v>12</v>
      </c>
      <c r="N2728" s="54">
        <v>5000</v>
      </c>
      <c r="O2728" s="54">
        <v>0</v>
      </c>
      <c r="P2728" s="54">
        <v>0</v>
      </c>
      <c r="Q2728" s="54">
        <v>5000</v>
      </c>
      <c r="R2728" s="54">
        <v>0</v>
      </c>
      <c r="S2728" s="54">
        <v>0</v>
      </c>
      <c r="T2728" s="54">
        <v>0</v>
      </c>
      <c r="U2728" s="54">
        <v>5000</v>
      </c>
      <c r="V2728" s="54">
        <v>5000</v>
      </c>
      <c r="W2728" s="54">
        <v>5000</v>
      </c>
    </row>
    <row r="2729" spans="1:23" outlineLevel="2" x14ac:dyDescent="0.2">
      <c r="A2729" s="21" t="s">
        <v>999</v>
      </c>
      <c r="B2729" s="21" t="s">
        <v>39</v>
      </c>
      <c r="C2729" s="21" t="s">
        <v>70</v>
      </c>
      <c r="D2729" s="21" t="s">
        <v>89</v>
      </c>
      <c r="E2729" s="21" t="s">
        <v>90</v>
      </c>
      <c r="F2729" s="21" t="s">
        <v>1673</v>
      </c>
      <c r="G2729" s="21" t="s">
        <v>1674</v>
      </c>
      <c r="H2729" s="21" t="s">
        <v>1692</v>
      </c>
      <c r="I2729" s="21" t="s">
        <v>1693</v>
      </c>
      <c r="J2729" s="21" t="s">
        <v>1000</v>
      </c>
      <c r="K2729" s="21" t="s">
        <v>1061</v>
      </c>
      <c r="L2729" s="21" t="s">
        <v>1696</v>
      </c>
      <c r="M2729" s="21" t="s">
        <v>12</v>
      </c>
      <c r="N2729" s="54">
        <v>150000</v>
      </c>
      <c r="O2729" s="54">
        <v>0</v>
      </c>
      <c r="P2729" s="54">
        <v>0</v>
      </c>
      <c r="Q2729" s="54">
        <v>150000</v>
      </c>
      <c r="R2729" s="54">
        <v>0</v>
      </c>
      <c r="S2729" s="54">
        <v>0</v>
      </c>
      <c r="T2729" s="54">
        <v>0</v>
      </c>
      <c r="U2729" s="54">
        <v>150000</v>
      </c>
      <c r="V2729" s="54">
        <v>150000</v>
      </c>
      <c r="W2729" s="54">
        <v>150000</v>
      </c>
    </row>
    <row r="2730" spans="1:23" outlineLevel="2" x14ac:dyDescent="0.2">
      <c r="A2730" s="21" t="s">
        <v>999</v>
      </c>
      <c r="B2730" s="21" t="s">
        <v>39</v>
      </c>
      <c r="C2730" s="21" t="s">
        <v>58</v>
      </c>
      <c r="D2730" s="21" t="s">
        <v>147</v>
      </c>
      <c r="E2730" s="21" t="s">
        <v>148</v>
      </c>
      <c r="F2730" s="21" t="s">
        <v>1673</v>
      </c>
      <c r="G2730" s="21" t="s">
        <v>1674</v>
      </c>
      <c r="H2730" s="21" t="s">
        <v>1692</v>
      </c>
      <c r="I2730" s="21" t="s">
        <v>1693</v>
      </c>
      <c r="J2730" s="21" t="s">
        <v>1000</v>
      </c>
      <c r="K2730" s="21" t="s">
        <v>1061</v>
      </c>
      <c r="L2730" s="21" t="s">
        <v>1687</v>
      </c>
      <c r="M2730" s="21" t="s">
        <v>12</v>
      </c>
      <c r="N2730" s="54">
        <v>4000</v>
      </c>
      <c r="O2730" s="54">
        <v>0</v>
      </c>
      <c r="P2730" s="54">
        <v>0</v>
      </c>
      <c r="Q2730" s="54">
        <v>4000</v>
      </c>
      <c r="R2730" s="54">
        <v>3</v>
      </c>
      <c r="S2730" s="54">
        <v>3997</v>
      </c>
      <c r="T2730" s="54">
        <v>3997</v>
      </c>
      <c r="U2730" s="54">
        <v>3</v>
      </c>
      <c r="V2730" s="54">
        <v>3</v>
      </c>
      <c r="W2730" s="54">
        <v>0</v>
      </c>
    </row>
    <row r="2731" spans="1:23" outlineLevel="2" x14ac:dyDescent="0.2">
      <c r="A2731" s="21" t="s">
        <v>999</v>
      </c>
      <c r="B2731" s="21" t="s">
        <v>39</v>
      </c>
      <c r="C2731" s="21" t="s">
        <v>58</v>
      </c>
      <c r="D2731" s="21" t="s">
        <v>149</v>
      </c>
      <c r="E2731" s="21" t="s">
        <v>150</v>
      </c>
      <c r="F2731" s="21" t="s">
        <v>1673</v>
      </c>
      <c r="G2731" s="21" t="s">
        <v>1674</v>
      </c>
      <c r="H2731" s="21" t="s">
        <v>1692</v>
      </c>
      <c r="I2731" s="21" t="s">
        <v>1693</v>
      </c>
      <c r="J2731" s="21" t="s">
        <v>1000</v>
      </c>
      <c r="K2731" s="21" t="s">
        <v>1061</v>
      </c>
      <c r="L2731" s="21" t="s">
        <v>1687</v>
      </c>
      <c r="M2731" s="21" t="s">
        <v>12</v>
      </c>
      <c r="N2731" s="54">
        <v>3500</v>
      </c>
      <c r="O2731" s="54">
        <v>1500</v>
      </c>
      <c r="P2731" s="54">
        <v>0</v>
      </c>
      <c r="Q2731" s="54">
        <v>5000</v>
      </c>
      <c r="R2731" s="54">
        <v>0</v>
      </c>
      <c r="S2731" s="54">
        <v>1186.47</v>
      </c>
      <c r="T2731" s="54">
        <v>1186.47</v>
      </c>
      <c r="U2731" s="54">
        <v>3813.53</v>
      </c>
      <c r="V2731" s="54">
        <v>3813.53</v>
      </c>
      <c r="W2731" s="54">
        <v>3813.53</v>
      </c>
    </row>
    <row r="2732" spans="1:23" outlineLevel="2" x14ac:dyDescent="0.2">
      <c r="A2732" s="21" t="s">
        <v>999</v>
      </c>
      <c r="B2732" s="21" t="s">
        <v>39</v>
      </c>
      <c r="C2732" s="21" t="s">
        <v>58</v>
      </c>
      <c r="D2732" s="21" t="s">
        <v>129</v>
      </c>
      <c r="E2732" s="21" t="s">
        <v>130</v>
      </c>
      <c r="F2732" s="21" t="s">
        <v>1673</v>
      </c>
      <c r="G2732" s="21" t="s">
        <v>1674</v>
      </c>
      <c r="H2732" s="21" t="s">
        <v>1692</v>
      </c>
      <c r="I2732" s="21" t="s">
        <v>1693</v>
      </c>
      <c r="J2732" s="21" t="s">
        <v>1000</v>
      </c>
      <c r="K2732" s="21" t="s">
        <v>1061</v>
      </c>
      <c r="L2732" s="21" t="s">
        <v>1687</v>
      </c>
      <c r="M2732" s="21" t="s">
        <v>12</v>
      </c>
      <c r="N2732" s="54">
        <v>2000</v>
      </c>
      <c r="O2732" s="54">
        <v>0</v>
      </c>
      <c r="P2732" s="54">
        <v>0</v>
      </c>
      <c r="Q2732" s="54">
        <v>2000</v>
      </c>
      <c r="R2732" s="54">
        <v>0</v>
      </c>
      <c r="S2732" s="54">
        <v>1981.28</v>
      </c>
      <c r="T2732" s="54">
        <v>1981.28</v>
      </c>
      <c r="U2732" s="54">
        <v>18.72</v>
      </c>
      <c r="V2732" s="54">
        <v>18.72</v>
      </c>
      <c r="W2732" s="54">
        <v>18.72</v>
      </c>
    </row>
    <row r="2733" spans="1:23" outlineLevel="2" x14ac:dyDescent="0.2">
      <c r="A2733" s="21" t="s">
        <v>999</v>
      </c>
      <c r="B2733" s="21" t="s">
        <v>39</v>
      </c>
      <c r="C2733" s="21" t="s">
        <v>58</v>
      </c>
      <c r="D2733" s="21" t="s">
        <v>135</v>
      </c>
      <c r="E2733" s="21" t="s">
        <v>136</v>
      </c>
      <c r="F2733" s="21" t="s">
        <v>1673</v>
      </c>
      <c r="G2733" s="21" t="s">
        <v>1674</v>
      </c>
      <c r="H2733" s="21" t="s">
        <v>1692</v>
      </c>
      <c r="I2733" s="21" t="s">
        <v>1693</v>
      </c>
      <c r="J2733" s="21" t="s">
        <v>1000</v>
      </c>
      <c r="K2733" s="21" t="s">
        <v>1061</v>
      </c>
      <c r="L2733" s="21" t="s">
        <v>1687</v>
      </c>
      <c r="M2733" s="21" t="s">
        <v>12</v>
      </c>
      <c r="N2733" s="54">
        <v>4000</v>
      </c>
      <c r="O2733" s="54">
        <v>-2498.08</v>
      </c>
      <c r="P2733" s="54">
        <v>0</v>
      </c>
      <c r="Q2733" s="54">
        <v>1501.92</v>
      </c>
      <c r="R2733" s="54">
        <v>0</v>
      </c>
      <c r="S2733" s="54">
        <v>1501.92</v>
      </c>
      <c r="T2733" s="54">
        <v>1501.92</v>
      </c>
      <c r="U2733" s="54">
        <v>0</v>
      </c>
      <c r="V2733" s="54">
        <v>0</v>
      </c>
      <c r="W2733" s="54">
        <v>0</v>
      </c>
    </row>
    <row r="2734" spans="1:23" outlineLevel="2" x14ac:dyDescent="0.2">
      <c r="A2734" s="21" t="s">
        <v>999</v>
      </c>
      <c r="B2734" s="21" t="s">
        <v>39</v>
      </c>
      <c r="C2734" s="21" t="s">
        <v>58</v>
      </c>
      <c r="D2734" s="21" t="s">
        <v>145</v>
      </c>
      <c r="E2734" s="21" t="s">
        <v>146</v>
      </c>
      <c r="F2734" s="21" t="s">
        <v>1673</v>
      </c>
      <c r="G2734" s="21" t="s">
        <v>1674</v>
      </c>
      <c r="H2734" s="21" t="s">
        <v>1692</v>
      </c>
      <c r="I2734" s="21" t="s">
        <v>1693</v>
      </c>
      <c r="J2734" s="21" t="s">
        <v>1000</v>
      </c>
      <c r="K2734" s="21" t="s">
        <v>1061</v>
      </c>
      <c r="L2734" s="21" t="s">
        <v>1687</v>
      </c>
      <c r="M2734" s="21" t="s">
        <v>12</v>
      </c>
      <c r="N2734" s="54">
        <v>6000</v>
      </c>
      <c r="O2734" s="54">
        <v>0</v>
      </c>
      <c r="P2734" s="54">
        <v>0</v>
      </c>
      <c r="Q2734" s="54">
        <v>6000</v>
      </c>
      <c r="R2734" s="54">
        <v>0</v>
      </c>
      <c r="S2734" s="54">
        <v>4505.09</v>
      </c>
      <c r="T2734" s="54">
        <v>4505.09</v>
      </c>
      <c r="U2734" s="54">
        <v>1494.91</v>
      </c>
      <c r="V2734" s="54">
        <v>1494.91</v>
      </c>
      <c r="W2734" s="54">
        <v>1494.91</v>
      </c>
    </row>
    <row r="2735" spans="1:23" outlineLevel="2" x14ac:dyDescent="0.2">
      <c r="A2735" s="21" t="s">
        <v>999</v>
      </c>
      <c r="B2735" s="21" t="s">
        <v>39</v>
      </c>
      <c r="C2735" s="21" t="s">
        <v>58</v>
      </c>
      <c r="D2735" s="21" t="s">
        <v>137</v>
      </c>
      <c r="E2735" s="21" t="s">
        <v>138</v>
      </c>
      <c r="F2735" s="21" t="s">
        <v>1673</v>
      </c>
      <c r="G2735" s="21" t="s">
        <v>1674</v>
      </c>
      <c r="H2735" s="21" t="s">
        <v>1692</v>
      </c>
      <c r="I2735" s="21" t="s">
        <v>1693</v>
      </c>
      <c r="J2735" s="21" t="s">
        <v>1000</v>
      </c>
      <c r="K2735" s="21" t="s">
        <v>1061</v>
      </c>
      <c r="L2735" s="21" t="s">
        <v>1687</v>
      </c>
      <c r="M2735" s="21" t="s">
        <v>12</v>
      </c>
      <c r="N2735" s="54">
        <v>2500</v>
      </c>
      <c r="O2735" s="54">
        <v>0</v>
      </c>
      <c r="P2735" s="54">
        <v>0</v>
      </c>
      <c r="Q2735" s="54">
        <v>2500</v>
      </c>
      <c r="R2735" s="54">
        <v>2500</v>
      </c>
      <c r="S2735" s="54">
        <v>0</v>
      </c>
      <c r="T2735" s="54">
        <v>0</v>
      </c>
      <c r="U2735" s="54">
        <v>2500</v>
      </c>
      <c r="V2735" s="54">
        <v>2500</v>
      </c>
      <c r="W2735" s="54">
        <v>0</v>
      </c>
    </row>
    <row r="2736" spans="1:23" outlineLevel="2" x14ac:dyDescent="0.2">
      <c r="A2736" s="21" t="s">
        <v>999</v>
      </c>
      <c r="B2736" s="21" t="s">
        <v>39</v>
      </c>
      <c r="C2736" s="21" t="s">
        <v>58</v>
      </c>
      <c r="D2736" s="21" t="s">
        <v>59</v>
      </c>
      <c r="E2736" s="21" t="s">
        <v>60</v>
      </c>
      <c r="F2736" s="21" t="s">
        <v>1673</v>
      </c>
      <c r="G2736" s="21" t="s">
        <v>1674</v>
      </c>
      <c r="H2736" s="21" t="s">
        <v>1692</v>
      </c>
      <c r="I2736" s="21" t="s">
        <v>1693</v>
      </c>
      <c r="J2736" s="21" t="s">
        <v>1000</v>
      </c>
      <c r="K2736" s="21" t="s">
        <v>1313</v>
      </c>
      <c r="L2736" s="21" t="s">
        <v>1688</v>
      </c>
      <c r="M2736" s="21" t="s">
        <v>12</v>
      </c>
      <c r="N2736" s="54">
        <v>500</v>
      </c>
      <c r="O2736" s="54">
        <v>0</v>
      </c>
      <c r="P2736" s="54">
        <v>0</v>
      </c>
      <c r="Q2736" s="54">
        <v>500</v>
      </c>
      <c r="R2736" s="54">
        <v>0</v>
      </c>
      <c r="S2736" s="54">
        <v>0</v>
      </c>
      <c r="T2736" s="54">
        <v>0</v>
      </c>
      <c r="U2736" s="54">
        <v>500</v>
      </c>
      <c r="V2736" s="54">
        <v>500</v>
      </c>
      <c r="W2736" s="54">
        <v>500</v>
      </c>
    </row>
    <row r="2737" spans="1:23" outlineLevel="2" x14ac:dyDescent="0.2">
      <c r="A2737" s="21" t="s">
        <v>999</v>
      </c>
      <c r="B2737" s="21" t="s">
        <v>39</v>
      </c>
      <c r="C2737" s="21" t="s">
        <v>58</v>
      </c>
      <c r="D2737" s="21" t="s">
        <v>135</v>
      </c>
      <c r="E2737" s="21" t="s">
        <v>136</v>
      </c>
      <c r="F2737" s="21" t="s">
        <v>1673</v>
      </c>
      <c r="G2737" s="21" t="s">
        <v>1674</v>
      </c>
      <c r="H2737" s="21" t="s">
        <v>1692</v>
      </c>
      <c r="I2737" s="21" t="s">
        <v>1693</v>
      </c>
      <c r="J2737" s="21" t="s">
        <v>1000</v>
      </c>
      <c r="K2737" s="21" t="s">
        <v>1082</v>
      </c>
      <c r="L2737" s="21" t="s">
        <v>1689</v>
      </c>
      <c r="M2737" s="21" t="s">
        <v>12</v>
      </c>
      <c r="N2737" s="54">
        <v>7000</v>
      </c>
      <c r="O2737" s="54">
        <v>0</v>
      </c>
      <c r="P2737" s="54">
        <v>0</v>
      </c>
      <c r="Q2737" s="54">
        <v>7000</v>
      </c>
      <c r="R2737" s="54">
        <v>0</v>
      </c>
      <c r="S2737" s="54">
        <v>0</v>
      </c>
      <c r="T2737" s="54">
        <v>0</v>
      </c>
      <c r="U2737" s="54">
        <v>7000</v>
      </c>
      <c r="V2737" s="54">
        <v>7000</v>
      </c>
      <c r="W2737" s="54">
        <v>7000</v>
      </c>
    </row>
    <row r="2738" spans="1:23" outlineLevel="2" x14ac:dyDescent="0.2">
      <c r="A2738" s="21" t="s">
        <v>999</v>
      </c>
      <c r="B2738" s="21" t="s">
        <v>39</v>
      </c>
      <c r="C2738" s="21" t="s">
        <v>58</v>
      </c>
      <c r="D2738" s="21" t="s">
        <v>59</v>
      </c>
      <c r="E2738" s="21" t="s">
        <v>60</v>
      </c>
      <c r="F2738" s="21" t="s">
        <v>1673</v>
      </c>
      <c r="G2738" s="21" t="s">
        <v>1674</v>
      </c>
      <c r="H2738" s="21" t="s">
        <v>1692</v>
      </c>
      <c r="I2738" s="21" t="s">
        <v>1693</v>
      </c>
      <c r="J2738" s="21" t="s">
        <v>1000</v>
      </c>
      <c r="K2738" s="21" t="s">
        <v>1082</v>
      </c>
      <c r="L2738" s="21" t="s">
        <v>1689</v>
      </c>
      <c r="M2738" s="21" t="s">
        <v>12</v>
      </c>
      <c r="N2738" s="54">
        <v>4300</v>
      </c>
      <c r="O2738" s="54">
        <v>0</v>
      </c>
      <c r="P2738" s="54">
        <v>0</v>
      </c>
      <c r="Q2738" s="54">
        <v>4300</v>
      </c>
      <c r="R2738" s="54">
        <v>0</v>
      </c>
      <c r="S2738" s="54">
        <v>0</v>
      </c>
      <c r="T2738" s="54">
        <v>0</v>
      </c>
      <c r="U2738" s="54">
        <v>4300</v>
      </c>
      <c r="V2738" s="54">
        <v>4300</v>
      </c>
      <c r="W2738" s="54">
        <v>4300</v>
      </c>
    </row>
    <row r="2739" spans="1:23" outlineLevel="2" x14ac:dyDescent="0.2">
      <c r="A2739" s="21" t="s">
        <v>999</v>
      </c>
      <c r="B2739" s="21" t="s">
        <v>39</v>
      </c>
      <c r="C2739" s="21" t="s">
        <v>58</v>
      </c>
      <c r="D2739" s="21" t="s">
        <v>143</v>
      </c>
      <c r="E2739" s="21" t="s">
        <v>144</v>
      </c>
      <c r="F2739" s="21" t="s">
        <v>1673</v>
      </c>
      <c r="G2739" s="21" t="s">
        <v>1674</v>
      </c>
      <c r="H2739" s="21" t="s">
        <v>1692</v>
      </c>
      <c r="I2739" s="21" t="s">
        <v>1693</v>
      </c>
      <c r="J2739" s="21" t="s">
        <v>1000</v>
      </c>
      <c r="K2739" s="21" t="s">
        <v>1082</v>
      </c>
      <c r="L2739" s="21" t="s">
        <v>1689</v>
      </c>
      <c r="M2739" s="21" t="s">
        <v>12</v>
      </c>
      <c r="N2739" s="54">
        <v>3000</v>
      </c>
      <c r="O2739" s="54">
        <v>0</v>
      </c>
      <c r="P2739" s="54">
        <v>0</v>
      </c>
      <c r="Q2739" s="54">
        <v>3000</v>
      </c>
      <c r="R2739" s="54">
        <v>0</v>
      </c>
      <c r="S2739" s="54">
        <v>2954</v>
      </c>
      <c r="T2739" s="54">
        <v>2954</v>
      </c>
      <c r="U2739" s="54">
        <v>46</v>
      </c>
      <c r="V2739" s="54">
        <v>46</v>
      </c>
      <c r="W2739" s="54">
        <v>46</v>
      </c>
    </row>
    <row r="2740" spans="1:23" outlineLevel="2" x14ac:dyDescent="0.2">
      <c r="A2740" s="21" t="s">
        <v>999</v>
      </c>
      <c r="B2740" s="21" t="s">
        <v>39</v>
      </c>
      <c r="C2740" s="21" t="s">
        <v>58</v>
      </c>
      <c r="D2740" s="21" t="s">
        <v>149</v>
      </c>
      <c r="E2740" s="21" t="s">
        <v>150</v>
      </c>
      <c r="F2740" s="21" t="s">
        <v>1673</v>
      </c>
      <c r="G2740" s="21" t="s">
        <v>1674</v>
      </c>
      <c r="H2740" s="21" t="s">
        <v>1692</v>
      </c>
      <c r="I2740" s="21" t="s">
        <v>1693</v>
      </c>
      <c r="J2740" s="21" t="s">
        <v>1000</v>
      </c>
      <c r="K2740" s="21" t="s">
        <v>1118</v>
      </c>
      <c r="L2740" s="21" t="s">
        <v>1690</v>
      </c>
      <c r="M2740" s="21" t="s">
        <v>12</v>
      </c>
      <c r="N2740" s="54">
        <v>5000</v>
      </c>
      <c r="O2740" s="54">
        <v>2000</v>
      </c>
      <c r="P2740" s="54">
        <v>0</v>
      </c>
      <c r="Q2740" s="54">
        <v>7000</v>
      </c>
      <c r="R2740" s="54">
        <v>0</v>
      </c>
      <c r="S2740" s="54">
        <v>0</v>
      </c>
      <c r="T2740" s="54">
        <v>0</v>
      </c>
      <c r="U2740" s="54">
        <v>7000</v>
      </c>
      <c r="V2740" s="54">
        <v>7000</v>
      </c>
      <c r="W2740" s="54">
        <v>7000</v>
      </c>
    </row>
    <row r="2741" spans="1:23" outlineLevel="2" x14ac:dyDescent="0.2">
      <c r="A2741" s="21" t="s">
        <v>999</v>
      </c>
      <c r="B2741" s="21" t="s">
        <v>39</v>
      </c>
      <c r="C2741" s="21" t="s">
        <v>58</v>
      </c>
      <c r="D2741" s="21" t="s">
        <v>137</v>
      </c>
      <c r="E2741" s="21" t="s">
        <v>138</v>
      </c>
      <c r="F2741" s="21" t="s">
        <v>1673</v>
      </c>
      <c r="G2741" s="21" t="s">
        <v>1674</v>
      </c>
      <c r="H2741" s="21" t="s">
        <v>1692</v>
      </c>
      <c r="I2741" s="21" t="s">
        <v>1693</v>
      </c>
      <c r="J2741" s="21" t="s">
        <v>1000</v>
      </c>
      <c r="K2741" s="21" t="s">
        <v>1023</v>
      </c>
      <c r="L2741" s="21" t="s">
        <v>1697</v>
      </c>
      <c r="M2741" s="21" t="s">
        <v>12</v>
      </c>
      <c r="N2741" s="54">
        <v>2000</v>
      </c>
      <c r="O2741" s="54">
        <v>0</v>
      </c>
      <c r="P2741" s="54">
        <v>0</v>
      </c>
      <c r="Q2741" s="54">
        <v>2000</v>
      </c>
      <c r="R2741" s="54">
        <v>0</v>
      </c>
      <c r="S2741" s="54">
        <v>0</v>
      </c>
      <c r="T2741" s="54">
        <v>0</v>
      </c>
      <c r="U2741" s="54">
        <v>2000</v>
      </c>
      <c r="V2741" s="54">
        <v>2000</v>
      </c>
      <c r="W2741" s="54">
        <v>2000</v>
      </c>
    </row>
    <row r="2742" spans="1:23" outlineLevel="2" x14ac:dyDescent="0.2">
      <c r="A2742" s="21" t="s">
        <v>999</v>
      </c>
      <c r="B2742" s="21" t="s">
        <v>39</v>
      </c>
      <c r="C2742" s="21" t="s">
        <v>58</v>
      </c>
      <c r="D2742" s="21" t="s">
        <v>147</v>
      </c>
      <c r="E2742" s="21" t="s">
        <v>148</v>
      </c>
      <c r="F2742" s="21" t="s">
        <v>1673</v>
      </c>
      <c r="G2742" s="21" t="s">
        <v>1674</v>
      </c>
      <c r="H2742" s="21" t="s">
        <v>1692</v>
      </c>
      <c r="I2742" s="21" t="s">
        <v>1693</v>
      </c>
      <c r="J2742" s="21" t="s">
        <v>1000</v>
      </c>
      <c r="K2742" s="21" t="s">
        <v>1023</v>
      </c>
      <c r="L2742" s="21" t="s">
        <v>1697</v>
      </c>
      <c r="M2742" s="21" t="s">
        <v>12</v>
      </c>
      <c r="N2742" s="54">
        <v>1500</v>
      </c>
      <c r="O2742" s="54">
        <v>0</v>
      </c>
      <c r="P2742" s="54">
        <v>0</v>
      </c>
      <c r="Q2742" s="54">
        <v>1500</v>
      </c>
      <c r="R2742" s="54">
        <v>0</v>
      </c>
      <c r="S2742" s="54">
        <v>0</v>
      </c>
      <c r="T2742" s="54">
        <v>0</v>
      </c>
      <c r="U2742" s="54">
        <v>1500</v>
      </c>
      <c r="V2742" s="54">
        <v>1500</v>
      </c>
      <c r="W2742" s="54">
        <v>1500</v>
      </c>
    </row>
    <row r="2743" spans="1:23" outlineLevel="2" x14ac:dyDescent="0.2">
      <c r="A2743" s="21" t="s">
        <v>999</v>
      </c>
      <c r="B2743" s="21" t="s">
        <v>39</v>
      </c>
      <c r="C2743" s="21" t="s">
        <v>66</v>
      </c>
      <c r="D2743" s="21" t="s">
        <v>67</v>
      </c>
      <c r="E2743" s="21" t="s">
        <v>68</v>
      </c>
      <c r="F2743" s="21" t="s">
        <v>967</v>
      </c>
      <c r="G2743" s="21" t="s">
        <v>968</v>
      </c>
      <c r="H2743" s="21" t="s">
        <v>969</v>
      </c>
      <c r="I2743" s="21" t="s">
        <v>970</v>
      </c>
      <c r="J2743" s="21" t="s">
        <v>1000</v>
      </c>
      <c r="K2743" s="21" t="s">
        <v>1037</v>
      </c>
      <c r="L2743" s="21" t="s">
        <v>1698</v>
      </c>
      <c r="M2743" s="21" t="s">
        <v>12</v>
      </c>
      <c r="N2743" s="54">
        <v>0</v>
      </c>
      <c r="O2743" s="54">
        <v>5249.07</v>
      </c>
      <c r="P2743" s="54">
        <v>0</v>
      </c>
      <c r="Q2743" s="54">
        <v>5249.07</v>
      </c>
      <c r="R2743" s="54">
        <v>0</v>
      </c>
      <c r="S2743" s="54">
        <v>0</v>
      </c>
      <c r="T2743" s="54">
        <v>0</v>
      </c>
      <c r="U2743" s="54">
        <v>5249.07</v>
      </c>
      <c r="V2743" s="54">
        <v>5249.07</v>
      </c>
      <c r="W2743" s="54">
        <v>5249.07</v>
      </c>
    </row>
    <row r="2744" spans="1:23" outlineLevel="2" x14ac:dyDescent="0.2">
      <c r="A2744" s="21" t="s">
        <v>999</v>
      </c>
      <c r="B2744" s="21" t="s">
        <v>39</v>
      </c>
      <c r="C2744" s="21" t="s">
        <v>66</v>
      </c>
      <c r="D2744" s="21" t="s">
        <v>67</v>
      </c>
      <c r="E2744" s="21" t="s">
        <v>68</v>
      </c>
      <c r="F2744" s="21" t="s">
        <v>967</v>
      </c>
      <c r="G2744" s="21" t="s">
        <v>968</v>
      </c>
      <c r="H2744" s="21" t="s">
        <v>969</v>
      </c>
      <c r="I2744" s="21" t="s">
        <v>970</v>
      </c>
      <c r="J2744" s="21" t="s">
        <v>1000</v>
      </c>
      <c r="K2744" s="21" t="s">
        <v>1039</v>
      </c>
      <c r="L2744" s="21" t="s">
        <v>1699</v>
      </c>
      <c r="M2744" s="21" t="s">
        <v>12</v>
      </c>
      <c r="N2744" s="54">
        <v>170000</v>
      </c>
      <c r="O2744" s="54">
        <v>0</v>
      </c>
      <c r="P2744" s="54">
        <v>0</v>
      </c>
      <c r="Q2744" s="54">
        <v>170000</v>
      </c>
      <c r="R2744" s="54">
        <v>0</v>
      </c>
      <c r="S2744" s="54">
        <v>152507.56</v>
      </c>
      <c r="T2744" s="54">
        <v>151638.51</v>
      </c>
      <c r="U2744" s="54">
        <v>17492.439999999999</v>
      </c>
      <c r="V2744" s="54">
        <v>18361.490000000002</v>
      </c>
      <c r="W2744" s="54">
        <v>17492.439999999999</v>
      </c>
    </row>
    <row r="2745" spans="1:23" outlineLevel="2" x14ac:dyDescent="0.2">
      <c r="A2745" s="21" t="s">
        <v>999</v>
      </c>
      <c r="B2745" s="21" t="s">
        <v>39</v>
      </c>
      <c r="C2745" s="21" t="s">
        <v>66</v>
      </c>
      <c r="D2745" s="21" t="s">
        <v>67</v>
      </c>
      <c r="E2745" s="21" t="s">
        <v>68</v>
      </c>
      <c r="F2745" s="21" t="s">
        <v>967</v>
      </c>
      <c r="G2745" s="21" t="s">
        <v>968</v>
      </c>
      <c r="H2745" s="21" t="s">
        <v>969</v>
      </c>
      <c r="I2745" s="21" t="s">
        <v>970</v>
      </c>
      <c r="J2745" s="21" t="s">
        <v>1000</v>
      </c>
      <c r="K2745" s="21" t="s">
        <v>1058</v>
      </c>
      <c r="L2745" s="21" t="s">
        <v>1700</v>
      </c>
      <c r="M2745" s="21" t="s">
        <v>12</v>
      </c>
      <c r="N2745" s="54">
        <v>40000</v>
      </c>
      <c r="O2745" s="54">
        <v>0</v>
      </c>
      <c r="P2745" s="54">
        <v>0</v>
      </c>
      <c r="Q2745" s="54">
        <v>40000</v>
      </c>
      <c r="R2745" s="54">
        <v>0</v>
      </c>
      <c r="S2745" s="54">
        <v>39432.959999999999</v>
      </c>
      <c r="T2745" s="54">
        <v>39432.959999999999</v>
      </c>
      <c r="U2745" s="54">
        <v>567.04</v>
      </c>
      <c r="V2745" s="54">
        <v>567.04</v>
      </c>
      <c r="W2745" s="54">
        <v>567.04</v>
      </c>
    </row>
    <row r="2746" spans="1:23" outlineLevel="2" x14ac:dyDescent="0.2">
      <c r="A2746" s="21" t="s">
        <v>999</v>
      </c>
      <c r="B2746" s="21" t="s">
        <v>39</v>
      </c>
      <c r="C2746" s="21" t="s">
        <v>66</v>
      </c>
      <c r="D2746" s="21" t="s">
        <v>67</v>
      </c>
      <c r="E2746" s="21" t="s">
        <v>68</v>
      </c>
      <c r="F2746" s="21" t="s">
        <v>967</v>
      </c>
      <c r="G2746" s="21" t="s">
        <v>968</v>
      </c>
      <c r="H2746" s="21" t="s">
        <v>969</v>
      </c>
      <c r="I2746" s="21" t="s">
        <v>970</v>
      </c>
      <c r="J2746" s="21" t="s">
        <v>1000</v>
      </c>
      <c r="K2746" s="21" t="s">
        <v>1149</v>
      </c>
      <c r="L2746" s="21" t="s">
        <v>1701</v>
      </c>
      <c r="M2746" s="21" t="s">
        <v>12</v>
      </c>
      <c r="N2746" s="54">
        <v>0</v>
      </c>
      <c r="O2746" s="54">
        <v>104255.09</v>
      </c>
      <c r="P2746" s="54">
        <v>0</v>
      </c>
      <c r="Q2746" s="54">
        <v>104255.09</v>
      </c>
      <c r="R2746" s="54">
        <v>0</v>
      </c>
      <c r="S2746" s="54">
        <v>0</v>
      </c>
      <c r="T2746" s="54">
        <v>0</v>
      </c>
      <c r="U2746" s="54">
        <v>104255.09</v>
      </c>
      <c r="V2746" s="54">
        <v>104255.09</v>
      </c>
      <c r="W2746" s="54">
        <v>104255.09</v>
      </c>
    </row>
    <row r="2747" spans="1:23" outlineLevel="2" x14ac:dyDescent="0.2">
      <c r="A2747" s="21" t="s">
        <v>999</v>
      </c>
      <c r="B2747" s="21" t="s">
        <v>39</v>
      </c>
      <c r="C2747" s="21" t="s">
        <v>66</v>
      </c>
      <c r="D2747" s="21" t="s">
        <v>67</v>
      </c>
      <c r="E2747" s="21" t="s">
        <v>68</v>
      </c>
      <c r="F2747" s="21" t="s">
        <v>967</v>
      </c>
      <c r="G2747" s="21" t="s">
        <v>968</v>
      </c>
      <c r="H2747" s="21" t="s">
        <v>969</v>
      </c>
      <c r="I2747" s="21" t="s">
        <v>970</v>
      </c>
      <c r="J2747" s="21" t="s">
        <v>1000</v>
      </c>
      <c r="K2747" s="21" t="s">
        <v>1013</v>
      </c>
      <c r="L2747" s="21" t="s">
        <v>1702</v>
      </c>
      <c r="M2747" s="21" t="s">
        <v>12</v>
      </c>
      <c r="N2747" s="54">
        <v>430000</v>
      </c>
      <c r="O2747" s="54">
        <v>-127101.02</v>
      </c>
      <c r="P2747" s="54">
        <v>0</v>
      </c>
      <c r="Q2747" s="54">
        <v>302898.98</v>
      </c>
      <c r="R2747" s="54">
        <v>0</v>
      </c>
      <c r="S2747" s="54">
        <v>145058.9</v>
      </c>
      <c r="T2747" s="54">
        <v>55256.99</v>
      </c>
      <c r="U2747" s="54">
        <v>157840.07999999999</v>
      </c>
      <c r="V2747" s="54">
        <v>247641.99</v>
      </c>
      <c r="W2747" s="54">
        <v>157840.07999999999</v>
      </c>
    </row>
    <row r="2748" spans="1:23" outlineLevel="2" x14ac:dyDescent="0.2">
      <c r="A2748" s="21" t="s">
        <v>999</v>
      </c>
      <c r="B2748" s="21" t="s">
        <v>39</v>
      </c>
      <c r="C2748" s="21" t="s">
        <v>66</v>
      </c>
      <c r="D2748" s="21" t="s">
        <v>67</v>
      </c>
      <c r="E2748" s="21" t="s">
        <v>68</v>
      </c>
      <c r="F2748" s="21" t="s">
        <v>967</v>
      </c>
      <c r="G2748" s="21" t="s">
        <v>968</v>
      </c>
      <c r="H2748" s="21" t="s">
        <v>969</v>
      </c>
      <c r="I2748" s="21" t="s">
        <v>970</v>
      </c>
      <c r="J2748" s="21" t="s">
        <v>1000</v>
      </c>
      <c r="K2748" s="21" t="s">
        <v>1017</v>
      </c>
      <c r="L2748" s="21" t="s">
        <v>1703</v>
      </c>
      <c r="M2748" s="21" t="s">
        <v>12</v>
      </c>
      <c r="N2748" s="54">
        <v>250406.08</v>
      </c>
      <c r="O2748" s="54">
        <v>-19696.84</v>
      </c>
      <c r="P2748" s="54">
        <v>0</v>
      </c>
      <c r="Q2748" s="54">
        <v>230709.24</v>
      </c>
      <c r="R2748" s="54">
        <v>4016.32</v>
      </c>
      <c r="S2748" s="54">
        <v>219101.04</v>
      </c>
      <c r="T2748" s="54">
        <v>176842.33</v>
      </c>
      <c r="U2748" s="54">
        <v>11608.2</v>
      </c>
      <c r="V2748" s="54">
        <v>53866.91</v>
      </c>
      <c r="W2748" s="54">
        <v>7591.88</v>
      </c>
    </row>
    <row r="2749" spans="1:23" outlineLevel="2" x14ac:dyDescent="0.2">
      <c r="A2749" s="21" t="s">
        <v>999</v>
      </c>
      <c r="B2749" s="21" t="s">
        <v>39</v>
      </c>
      <c r="C2749" s="21" t="s">
        <v>66</v>
      </c>
      <c r="D2749" s="21" t="s">
        <v>67</v>
      </c>
      <c r="E2749" s="21" t="s">
        <v>68</v>
      </c>
      <c r="F2749" s="21" t="s">
        <v>967</v>
      </c>
      <c r="G2749" s="21" t="s">
        <v>968</v>
      </c>
      <c r="H2749" s="21" t="s">
        <v>969</v>
      </c>
      <c r="I2749" s="21" t="s">
        <v>970</v>
      </c>
      <c r="J2749" s="21" t="s">
        <v>1000</v>
      </c>
      <c r="K2749" s="21" t="s">
        <v>1078</v>
      </c>
      <c r="L2749" s="21" t="s">
        <v>1704</v>
      </c>
      <c r="M2749" s="21" t="s">
        <v>12</v>
      </c>
      <c r="N2749" s="54">
        <v>40000</v>
      </c>
      <c r="O2749" s="54">
        <v>-40000</v>
      </c>
      <c r="P2749" s="54">
        <v>0</v>
      </c>
      <c r="Q2749" s="54">
        <v>0</v>
      </c>
      <c r="R2749" s="54">
        <v>0</v>
      </c>
      <c r="S2749" s="54">
        <v>0</v>
      </c>
      <c r="T2749" s="54">
        <v>0</v>
      </c>
      <c r="U2749" s="54">
        <v>0</v>
      </c>
      <c r="V2749" s="54">
        <v>0</v>
      </c>
      <c r="W2749" s="54">
        <v>0</v>
      </c>
    </row>
    <row r="2750" spans="1:23" outlineLevel="2" x14ac:dyDescent="0.2">
      <c r="A2750" s="21" t="s">
        <v>999</v>
      </c>
      <c r="B2750" s="21" t="s">
        <v>39</v>
      </c>
      <c r="C2750" s="21" t="s">
        <v>66</v>
      </c>
      <c r="D2750" s="21" t="s">
        <v>67</v>
      </c>
      <c r="E2750" s="21" t="s">
        <v>68</v>
      </c>
      <c r="F2750" s="21" t="s">
        <v>967</v>
      </c>
      <c r="G2750" s="21" t="s">
        <v>968</v>
      </c>
      <c r="H2750" s="21" t="s">
        <v>969</v>
      </c>
      <c r="I2750" s="21" t="s">
        <v>970</v>
      </c>
      <c r="J2750" s="21" t="s">
        <v>1000</v>
      </c>
      <c r="K2750" s="21" t="s">
        <v>1084</v>
      </c>
      <c r="L2750" s="21" t="s">
        <v>1705</v>
      </c>
      <c r="M2750" s="21" t="s">
        <v>12</v>
      </c>
      <c r="N2750" s="54">
        <v>0</v>
      </c>
      <c r="O2750" s="54">
        <v>38314.06</v>
      </c>
      <c r="P2750" s="54">
        <v>0</v>
      </c>
      <c r="Q2750" s="54">
        <v>38314.06</v>
      </c>
      <c r="R2750" s="54">
        <v>0</v>
      </c>
      <c r="S2750" s="54">
        <v>0</v>
      </c>
      <c r="T2750" s="54">
        <v>0</v>
      </c>
      <c r="U2750" s="54">
        <v>38314.06</v>
      </c>
      <c r="V2750" s="54">
        <v>38314.06</v>
      </c>
      <c r="W2750" s="54">
        <v>38314.06</v>
      </c>
    </row>
    <row r="2751" spans="1:23" outlineLevel="2" x14ac:dyDescent="0.2">
      <c r="A2751" s="21" t="s">
        <v>999</v>
      </c>
      <c r="B2751" s="21" t="s">
        <v>39</v>
      </c>
      <c r="C2751" s="21" t="s">
        <v>66</v>
      </c>
      <c r="D2751" s="21" t="s">
        <v>67</v>
      </c>
      <c r="E2751" s="21" t="s">
        <v>68</v>
      </c>
      <c r="F2751" s="21" t="s">
        <v>967</v>
      </c>
      <c r="G2751" s="21" t="s">
        <v>968</v>
      </c>
      <c r="H2751" s="21" t="s">
        <v>1706</v>
      </c>
      <c r="I2751" s="21" t="s">
        <v>1707</v>
      </c>
      <c r="J2751" s="21" t="s">
        <v>1000</v>
      </c>
      <c r="K2751" s="21" t="s">
        <v>1447</v>
      </c>
      <c r="L2751" s="21" t="s">
        <v>1708</v>
      </c>
      <c r="M2751" s="21" t="s">
        <v>12</v>
      </c>
      <c r="N2751" s="54">
        <v>78400</v>
      </c>
      <c r="O2751" s="54">
        <v>-1456</v>
      </c>
      <c r="P2751" s="54">
        <v>0</v>
      </c>
      <c r="Q2751" s="54">
        <v>76944</v>
      </c>
      <c r="R2751" s="54">
        <v>0</v>
      </c>
      <c r="S2751" s="54">
        <v>76944</v>
      </c>
      <c r="T2751" s="54">
        <v>38472</v>
      </c>
      <c r="U2751" s="54">
        <v>0</v>
      </c>
      <c r="V2751" s="54">
        <v>38472</v>
      </c>
      <c r="W2751" s="54">
        <v>0</v>
      </c>
    </row>
    <row r="2752" spans="1:23" outlineLevel="2" x14ac:dyDescent="0.2">
      <c r="A2752" s="21" t="s">
        <v>999</v>
      </c>
      <c r="B2752" s="21" t="s">
        <v>39</v>
      </c>
      <c r="C2752" s="21" t="s">
        <v>66</v>
      </c>
      <c r="D2752" s="21" t="s">
        <v>67</v>
      </c>
      <c r="E2752" s="21" t="s">
        <v>68</v>
      </c>
      <c r="F2752" s="21" t="s">
        <v>967</v>
      </c>
      <c r="G2752" s="21" t="s">
        <v>968</v>
      </c>
      <c r="H2752" s="21" t="s">
        <v>1706</v>
      </c>
      <c r="I2752" s="21" t="s">
        <v>1707</v>
      </c>
      <c r="J2752" s="21" t="s">
        <v>1000</v>
      </c>
      <c r="K2752" s="21" t="s">
        <v>1015</v>
      </c>
      <c r="L2752" s="21" t="s">
        <v>1709</v>
      </c>
      <c r="M2752" s="21" t="s">
        <v>12</v>
      </c>
      <c r="N2752" s="54">
        <v>295300</v>
      </c>
      <c r="O2752" s="54">
        <v>-67435.199999999997</v>
      </c>
      <c r="P2752" s="54">
        <v>0</v>
      </c>
      <c r="Q2752" s="54">
        <v>227864.8</v>
      </c>
      <c r="R2752" s="54">
        <v>0</v>
      </c>
      <c r="S2752" s="54">
        <v>45271.519999999997</v>
      </c>
      <c r="T2752" s="54">
        <v>40397.760000000002</v>
      </c>
      <c r="U2752" s="54">
        <v>182593.28</v>
      </c>
      <c r="V2752" s="54">
        <v>187467.04</v>
      </c>
      <c r="W2752" s="54">
        <v>182593.28</v>
      </c>
    </row>
    <row r="2753" spans="1:23" outlineLevel="2" x14ac:dyDescent="0.2">
      <c r="A2753" s="21" t="s">
        <v>999</v>
      </c>
      <c r="B2753" s="21" t="s">
        <v>39</v>
      </c>
      <c r="C2753" s="21" t="s">
        <v>66</v>
      </c>
      <c r="D2753" s="21" t="s">
        <v>67</v>
      </c>
      <c r="E2753" s="21" t="s">
        <v>68</v>
      </c>
      <c r="F2753" s="21" t="s">
        <v>967</v>
      </c>
      <c r="G2753" s="21" t="s">
        <v>968</v>
      </c>
      <c r="H2753" s="21" t="s">
        <v>1706</v>
      </c>
      <c r="I2753" s="21" t="s">
        <v>1707</v>
      </c>
      <c r="J2753" s="21" t="s">
        <v>1000</v>
      </c>
      <c r="K2753" s="21" t="s">
        <v>1015</v>
      </c>
      <c r="L2753" s="21" t="s">
        <v>1709</v>
      </c>
      <c r="M2753" s="21" t="s">
        <v>15</v>
      </c>
      <c r="N2753" s="54">
        <v>1165.06</v>
      </c>
      <c r="O2753" s="54">
        <v>0</v>
      </c>
      <c r="P2753" s="54">
        <v>0</v>
      </c>
      <c r="Q2753" s="54">
        <v>1165.06</v>
      </c>
      <c r="R2753" s="54">
        <v>0</v>
      </c>
      <c r="S2753" s="54">
        <v>1165.06</v>
      </c>
      <c r="T2753" s="54">
        <v>0</v>
      </c>
      <c r="U2753" s="54">
        <v>0</v>
      </c>
      <c r="V2753" s="54">
        <v>1165.06</v>
      </c>
      <c r="W2753" s="54">
        <v>0</v>
      </c>
    </row>
    <row r="2754" spans="1:23" outlineLevel="2" x14ac:dyDescent="0.2">
      <c r="A2754" s="21" t="s">
        <v>999</v>
      </c>
      <c r="B2754" s="21" t="s">
        <v>39</v>
      </c>
      <c r="C2754" s="21" t="s">
        <v>66</v>
      </c>
      <c r="D2754" s="21" t="s">
        <v>67</v>
      </c>
      <c r="E2754" s="21" t="s">
        <v>68</v>
      </c>
      <c r="F2754" s="21" t="s">
        <v>967</v>
      </c>
      <c r="G2754" s="21" t="s">
        <v>968</v>
      </c>
      <c r="H2754" s="21" t="s">
        <v>1706</v>
      </c>
      <c r="I2754" s="21" t="s">
        <v>1707</v>
      </c>
      <c r="J2754" s="21" t="s">
        <v>1000</v>
      </c>
      <c r="K2754" s="21" t="s">
        <v>1017</v>
      </c>
      <c r="L2754" s="21" t="s">
        <v>1703</v>
      </c>
      <c r="M2754" s="21" t="s">
        <v>12</v>
      </c>
      <c r="N2754" s="54">
        <v>0</v>
      </c>
      <c r="O2754" s="54">
        <v>48462.400000000001</v>
      </c>
      <c r="P2754" s="54">
        <v>0</v>
      </c>
      <c r="Q2754" s="54">
        <v>48462.400000000001</v>
      </c>
      <c r="R2754" s="54">
        <v>0</v>
      </c>
      <c r="S2754" s="54">
        <v>48462.400000000001</v>
      </c>
      <c r="T2754" s="54">
        <v>43277.919999999998</v>
      </c>
      <c r="U2754" s="54">
        <v>0</v>
      </c>
      <c r="V2754" s="54">
        <v>5184.4799999999996</v>
      </c>
      <c r="W2754" s="54">
        <v>0</v>
      </c>
    </row>
    <row r="2755" spans="1:23" outlineLevel="2" x14ac:dyDescent="0.2">
      <c r="A2755" s="21" t="s">
        <v>999</v>
      </c>
      <c r="B2755" s="21" t="s">
        <v>39</v>
      </c>
      <c r="C2755" s="21" t="s">
        <v>66</v>
      </c>
      <c r="D2755" s="21" t="s">
        <v>67</v>
      </c>
      <c r="E2755" s="21" t="s">
        <v>68</v>
      </c>
      <c r="F2755" s="21" t="s">
        <v>967</v>
      </c>
      <c r="G2755" s="21" t="s">
        <v>968</v>
      </c>
      <c r="H2755" s="21" t="s">
        <v>978</v>
      </c>
      <c r="I2755" s="21" t="s">
        <v>979</v>
      </c>
      <c r="J2755" s="21" t="s">
        <v>1000</v>
      </c>
      <c r="K2755" s="21" t="s">
        <v>1100</v>
      </c>
      <c r="L2755" s="21" t="s">
        <v>1710</v>
      </c>
      <c r="M2755" s="21" t="s">
        <v>12</v>
      </c>
      <c r="N2755" s="54">
        <v>16000</v>
      </c>
      <c r="O2755" s="54">
        <v>0</v>
      </c>
      <c r="P2755" s="54">
        <v>0</v>
      </c>
      <c r="Q2755" s="54">
        <v>16000</v>
      </c>
      <c r="R2755" s="54">
        <v>0</v>
      </c>
      <c r="S2755" s="54">
        <v>8000</v>
      </c>
      <c r="T2755" s="54">
        <v>4069.22</v>
      </c>
      <c r="U2755" s="54">
        <v>8000</v>
      </c>
      <c r="V2755" s="54">
        <v>11930.78</v>
      </c>
      <c r="W2755" s="54">
        <v>8000</v>
      </c>
    </row>
    <row r="2756" spans="1:23" outlineLevel="2" x14ac:dyDescent="0.2">
      <c r="A2756" s="21" t="s">
        <v>999</v>
      </c>
      <c r="B2756" s="21" t="s">
        <v>39</v>
      </c>
      <c r="C2756" s="21" t="s">
        <v>66</v>
      </c>
      <c r="D2756" s="21" t="s">
        <v>67</v>
      </c>
      <c r="E2756" s="21" t="s">
        <v>68</v>
      </c>
      <c r="F2756" s="21" t="s">
        <v>967</v>
      </c>
      <c r="G2756" s="21" t="s">
        <v>968</v>
      </c>
      <c r="H2756" s="21" t="s">
        <v>978</v>
      </c>
      <c r="I2756" s="21" t="s">
        <v>979</v>
      </c>
      <c r="J2756" s="21" t="s">
        <v>1000</v>
      </c>
      <c r="K2756" s="21" t="s">
        <v>1102</v>
      </c>
      <c r="L2756" s="21" t="s">
        <v>1711</v>
      </c>
      <c r="M2756" s="21" t="s">
        <v>12</v>
      </c>
      <c r="N2756" s="54">
        <v>15000</v>
      </c>
      <c r="O2756" s="54">
        <v>0</v>
      </c>
      <c r="P2756" s="54">
        <v>0</v>
      </c>
      <c r="Q2756" s="54">
        <v>15000</v>
      </c>
      <c r="R2756" s="54">
        <v>0</v>
      </c>
      <c r="S2756" s="54">
        <v>7000</v>
      </c>
      <c r="T2756" s="54">
        <v>3594.22</v>
      </c>
      <c r="U2756" s="54">
        <v>8000</v>
      </c>
      <c r="V2756" s="54">
        <v>11405.78</v>
      </c>
      <c r="W2756" s="54">
        <v>8000</v>
      </c>
    </row>
    <row r="2757" spans="1:23" outlineLevel="2" x14ac:dyDescent="0.2">
      <c r="A2757" s="21" t="s">
        <v>999</v>
      </c>
      <c r="B2757" s="21" t="s">
        <v>39</v>
      </c>
      <c r="C2757" s="21" t="s">
        <v>66</v>
      </c>
      <c r="D2757" s="21" t="s">
        <v>67</v>
      </c>
      <c r="E2757" s="21" t="s">
        <v>68</v>
      </c>
      <c r="F2757" s="21" t="s">
        <v>967</v>
      </c>
      <c r="G2757" s="21" t="s">
        <v>968</v>
      </c>
      <c r="H2757" s="21" t="s">
        <v>978</v>
      </c>
      <c r="I2757" s="21" t="s">
        <v>979</v>
      </c>
      <c r="J2757" s="21" t="s">
        <v>1000</v>
      </c>
      <c r="K2757" s="21" t="s">
        <v>1108</v>
      </c>
      <c r="L2757" s="21" t="s">
        <v>1712</v>
      </c>
      <c r="M2757" s="21" t="s">
        <v>12</v>
      </c>
      <c r="N2757" s="54">
        <v>230000</v>
      </c>
      <c r="O2757" s="54">
        <v>93807.95</v>
      </c>
      <c r="P2757" s="54">
        <v>0</v>
      </c>
      <c r="Q2757" s="54">
        <v>323807.95</v>
      </c>
      <c r="R2757" s="54">
        <v>15480.86</v>
      </c>
      <c r="S2757" s="54">
        <v>213858.94</v>
      </c>
      <c r="T2757" s="54">
        <v>192185.73</v>
      </c>
      <c r="U2757" s="54">
        <v>109949.01</v>
      </c>
      <c r="V2757" s="54">
        <v>131622.22</v>
      </c>
      <c r="W2757" s="54">
        <v>94468.15</v>
      </c>
    </row>
    <row r="2758" spans="1:23" outlineLevel="2" x14ac:dyDescent="0.2">
      <c r="A2758" s="21" t="s">
        <v>999</v>
      </c>
      <c r="B2758" s="21" t="s">
        <v>39</v>
      </c>
      <c r="C2758" s="21" t="s">
        <v>66</v>
      </c>
      <c r="D2758" s="21" t="s">
        <v>67</v>
      </c>
      <c r="E2758" s="21" t="s">
        <v>68</v>
      </c>
      <c r="F2758" s="21" t="s">
        <v>967</v>
      </c>
      <c r="G2758" s="21" t="s">
        <v>968</v>
      </c>
      <c r="H2758" s="21" t="s">
        <v>978</v>
      </c>
      <c r="I2758" s="21" t="s">
        <v>979</v>
      </c>
      <c r="J2758" s="21" t="s">
        <v>1000</v>
      </c>
      <c r="K2758" s="21" t="s">
        <v>1015</v>
      </c>
      <c r="L2758" s="21" t="s">
        <v>1709</v>
      </c>
      <c r="M2758" s="21" t="s">
        <v>15</v>
      </c>
      <c r="N2758" s="54">
        <v>28054</v>
      </c>
      <c r="O2758" s="54">
        <v>0</v>
      </c>
      <c r="P2758" s="54">
        <v>0</v>
      </c>
      <c r="Q2758" s="54">
        <v>28054</v>
      </c>
      <c r="R2758" s="54">
        <v>0</v>
      </c>
      <c r="S2758" s="54">
        <v>23845.9</v>
      </c>
      <c r="T2758" s="54">
        <v>22443.200000000001</v>
      </c>
      <c r="U2758" s="54">
        <v>4208.1000000000004</v>
      </c>
      <c r="V2758" s="54">
        <v>5610.8</v>
      </c>
      <c r="W2758" s="54">
        <v>4208.1000000000004</v>
      </c>
    </row>
    <row r="2759" spans="1:23" outlineLevel="2" x14ac:dyDescent="0.2">
      <c r="A2759" s="21" t="s">
        <v>999</v>
      </c>
      <c r="B2759" s="21" t="s">
        <v>39</v>
      </c>
      <c r="C2759" s="21" t="s">
        <v>66</v>
      </c>
      <c r="D2759" s="21" t="s">
        <v>67</v>
      </c>
      <c r="E2759" s="21" t="s">
        <v>68</v>
      </c>
      <c r="F2759" s="21" t="s">
        <v>967</v>
      </c>
      <c r="G2759" s="21" t="s">
        <v>968</v>
      </c>
      <c r="H2759" s="21" t="s">
        <v>978</v>
      </c>
      <c r="I2759" s="21" t="s">
        <v>979</v>
      </c>
      <c r="J2759" s="21" t="s">
        <v>1000</v>
      </c>
      <c r="K2759" s="21" t="s">
        <v>1015</v>
      </c>
      <c r="L2759" s="21" t="s">
        <v>1709</v>
      </c>
      <c r="M2759" s="21" t="s">
        <v>12</v>
      </c>
      <c r="N2759" s="54">
        <v>0</v>
      </c>
      <c r="O2759" s="54">
        <v>1404.05</v>
      </c>
      <c r="P2759" s="54">
        <v>0</v>
      </c>
      <c r="Q2759" s="54">
        <v>1404.05</v>
      </c>
      <c r="R2759" s="54">
        <v>0</v>
      </c>
      <c r="S2759" s="54">
        <v>1404.05</v>
      </c>
      <c r="T2759" s="54">
        <v>0</v>
      </c>
      <c r="U2759" s="54">
        <v>0</v>
      </c>
      <c r="V2759" s="54">
        <v>1404.05</v>
      </c>
      <c r="W2759" s="54">
        <v>0</v>
      </c>
    </row>
    <row r="2760" spans="1:23" outlineLevel="2" x14ac:dyDescent="0.2">
      <c r="A2760" s="21" t="s">
        <v>999</v>
      </c>
      <c r="B2760" s="21" t="s">
        <v>39</v>
      </c>
      <c r="C2760" s="21" t="s">
        <v>66</v>
      </c>
      <c r="D2760" s="21" t="s">
        <v>67</v>
      </c>
      <c r="E2760" s="21" t="s">
        <v>68</v>
      </c>
      <c r="F2760" s="21" t="s">
        <v>967</v>
      </c>
      <c r="G2760" s="21" t="s">
        <v>968</v>
      </c>
      <c r="H2760" s="21" t="s">
        <v>978</v>
      </c>
      <c r="I2760" s="21" t="s">
        <v>979</v>
      </c>
      <c r="J2760" s="21" t="s">
        <v>1000</v>
      </c>
      <c r="K2760" s="21" t="s">
        <v>1017</v>
      </c>
      <c r="L2760" s="21" t="s">
        <v>1703</v>
      </c>
      <c r="M2760" s="21" t="s">
        <v>12</v>
      </c>
      <c r="N2760" s="54">
        <v>29639.56</v>
      </c>
      <c r="O2760" s="54">
        <v>-11724.04</v>
      </c>
      <c r="P2760" s="54">
        <v>0</v>
      </c>
      <c r="Q2760" s="54">
        <v>17915.52</v>
      </c>
      <c r="R2760" s="54">
        <v>0</v>
      </c>
      <c r="S2760" s="54">
        <v>17915.52</v>
      </c>
      <c r="T2760" s="54">
        <v>13436.64</v>
      </c>
      <c r="U2760" s="54">
        <v>0</v>
      </c>
      <c r="V2760" s="54">
        <v>4478.88</v>
      </c>
      <c r="W2760" s="54">
        <v>0</v>
      </c>
    </row>
    <row r="2761" spans="1:23" outlineLevel="2" x14ac:dyDescent="0.2">
      <c r="A2761" s="21" t="s">
        <v>999</v>
      </c>
      <c r="B2761" s="21" t="s">
        <v>39</v>
      </c>
      <c r="C2761" s="21" t="s">
        <v>66</v>
      </c>
      <c r="D2761" s="21" t="s">
        <v>67</v>
      </c>
      <c r="E2761" s="21" t="s">
        <v>68</v>
      </c>
      <c r="F2761" s="21" t="s">
        <v>967</v>
      </c>
      <c r="G2761" s="21" t="s">
        <v>968</v>
      </c>
      <c r="H2761" s="21" t="s">
        <v>1714</v>
      </c>
      <c r="I2761" s="21" t="s">
        <v>1715</v>
      </c>
      <c r="J2761" s="21" t="s">
        <v>1000</v>
      </c>
      <c r="K2761" s="21" t="s">
        <v>1037</v>
      </c>
      <c r="L2761" s="21" t="s">
        <v>1698</v>
      </c>
      <c r="M2761" s="21" t="s">
        <v>15</v>
      </c>
      <c r="N2761" s="54">
        <v>13517.5</v>
      </c>
      <c r="O2761" s="54">
        <v>0</v>
      </c>
      <c r="P2761" s="54">
        <v>0</v>
      </c>
      <c r="Q2761" s="54">
        <v>13517.5</v>
      </c>
      <c r="R2761" s="54">
        <v>0</v>
      </c>
      <c r="S2761" s="54">
        <v>13517.5</v>
      </c>
      <c r="T2761" s="54">
        <v>13517.5</v>
      </c>
      <c r="U2761" s="54">
        <v>0</v>
      </c>
      <c r="V2761" s="54">
        <v>0</v>
      </c>
      <c r="W2761" s="54">
        <v>0</v>
      </c>
    </row>
    <row r="2762" spans="1:23" outlineLevel="2" x14ac:dyDescent="0.2">
      <c r="A2762" s="21" t="s">
        <v>999</v>
      </c>
      <c r="B2762" s="21" t="s">
        <v>39</v>
      </c>
      <c r="C2762" s="21" t="s">
        <v>66</v>
      </c>
      <c r="D2762" s="21" t="s">
        <v>67</v>
      </c>
      <c r="E2762" s="21" t="s">
        <v>68</v>
      </c>
      <c r="F2762" s="21" t="s">
        <v>967</v>
      </c>
      <c r="G2762" s="21" t="s">
        <v>968</v>
      </c>
      <c r="H2762" s="21" t="s">
        <v>1714</v>
      </c>
      <c r="I2762" s="21" t="s">
        <v>1715</v>
      </c>
      <c r="J2762" s="21" t="s">
        <v>1000</v>
      </c>
      <c r="K2762" s="21" t="s">
        <v>1037</v>
      </c>
      <c r="L2762" s="21" t="s">
        <v>1698</v>
      </c>
      <c r="M2762" s="21" t="s">
        <v>12</v>
      </c>
      <c r="N2762" s="54">
        <v>0</v>
      </c>
      <c r="O2762" s="54">
        <v>16761.7</v>
      </c>
      <c r="P2762" s="54">
        <v>0</v>
      </c>
      <c r="Q2762" s="54">
        <v>16761.7</v>
      </c>
      <c r="R2762" s="54">
        <v>0</v>
      </c>
      <c r="S2762" s="54">
        <v>16761.7</v>
      </c>
      <c r="T2762" s="54">
        <v>16761.7</v>
      </c>
      <c r="U2762" s="54">
        <v>0</v>
      </c>
      <c r="V2762" s="54">
        <v>0</v>
      </c>
      <c r="W2762" s="54">
        <v>0</v>
      </c>
    </row>
    <row r="2763" spans="1:23" outlineLevel="2" x14ac:dyDescent="0.2">
      <c r="A2763" s="21" t="s">
        <v>999</v>
      </c>
      <c r="B2763" s="21" t="s">
        <v>39</v>
      </c>
      <c r="C2763" s="21" t="s">
        <v>66</v>
      </c>
      <c r="D2763" s="21" t="s">
        <v>67</v>
      </c>
      <c r="E2763" s="21" t="s">
        <v>68</v>
      </c>
      <c r="F2763" s="21" t="s">
        <v>967</v>
      </c>
      <c r="G2763" s="21" t="s">
        <v>968</v>
      </c>
      <c r="H2763" s="21" t="s">
        <v>1714</v>
      </c>
      <c r="I2763" s="21" t="s">
        <v>1715</v>
      </c>
      <c r="J2763" s="21" t="s">
        <v>1000</v>
      </c>
      <c r="K2763" s="21" t="s">
        <v>1003</v>
      </c>
      <c r="L2763" s="21" t="s">
        <v>1713</v>
      </c>
      <c r="M2763" s="21" t="s">
        <v>12</v>
      </c>
      <c r="N2763" s="54">
        <v>60000</v>
      </c>
      <c r="O2763" s="54">
        <v>0</v>
      </c>
      <c r="P2763" s="54">
        <v>0</v>
      </c>
      <c r="Q2763" s="54">
        <v>60000</v>
      </c>
      <c r="R2763" s="54">
        <v>0</v>
      </c>
      <c r="S2763" s="54">
        <v>0</v>
      </c>
      <c r="T2763" s="54">
        <v>0</v>
      </c>
      <c r="U2763" s="54">
        <v>60000</v>
      </c>
      <c r="V2763" s="54">
        <v>60000</v>
      </c>
      <c r="W2763" s="54">
        <v>60000</v>
      </c>
    </row>
    <row r="2764" spans="1:23" outlineLevel="2" x14ac:dyDescent="0.2">
      <c r="A2764" s="21" t="s">
        <v>999</v>
      </c>
      <c r="B2764" s="21" t="s">
        <v>39</v>
      </c>
      <c r="C2764" s="21" t="s">
        <v>66</v>
      </c>
      <c r="D2764" s="21" t="s">
        <v>67</v>
      </c>
      <c r="E2764" s="21" t="s">
        <v>68</v>
      </c>
      <c r="F2764" s="21" t="s">
        <v>967</v>
      </c>
      <c r="G2764" s="21" t="s">
        <v>968</v>
      </c>
      <c r="H2764" s="21" t="s">
        <v>1714</v>
      </c>
      <c r="I2764" s="21" t="s">
        <v>1715</v>
      </c>
      <c r="J2764" s="21" t="s">
        <v>1000</v>
      </c>
      <c r="K2764" s="21" t="s">
        <v>1129</v>
      </c>
      <c r="L2764" s="21" t="s">
        <v>1716</v>
      </c>
      <c r="M2764" s="21" t="s">
        <v>12</v>
      </c>
      <c r="N2764" s="54">
        <v>42294</v>
      </c>
      <c r="O2764" s="54">
        <v>46386</v>
      </c>
      <c r="P2764" s="54">
        <v>0</v>
      </c>
      <c r="Q2764" s="54">
        <v>88680</v>
      </c>
      <c r="R2764" s="54">
        <v>11289.6</v>
      </c>
      <c r="S2764" s="54">
        <v>40071.019999999997</v>
      </c>
      <c r="T2764" s="54">
        <v>14351.92</v>
      </c>
      <c r="U2764" s="54">
        <v>48608.98</v>
      </c>
      <c r="V2764" s="54">
        <v>74328.08</v>
      </c>
      <c r="W2764" s="54">
        <v>37319.379999999997</v>
      </c>
    </row>
    <row r="2765" spans="1:23" outlineLevel="2" x14ac:dyDescent="0.2">
      <c r="A2765" s="21" t="s">
        <v>999</v>
      </c>
      <c r="B2765" s="21" t="s">
        <v>39</v>
      </c>
      <c r="C2765" s="21" t="s">
        <v>66</v>
      </c>
      <c r="D2765" s="21" t="s">
        <v>67</v>
      </c>
      <c r="E2765" s="21" t="s">
        <v>68</v>
      </c>
      <c r="F2765" s="21" t="s">
        <v>967</v>
      </c>
      <c r="G2765" s="21" t="s">
        <v>968</v>
      </c>
      <c r="H2765" s="21" t="s">
        <v>1714</v>
      </c>
      <c r="I2765" s="21" t="s">
        <v>1715</v>
      </c>
      <c r="J2765" s="21" t="s">
        <v>1000</v>
      </c>
      <c r="K2765" s="21" t="s">
        <v>1149</v>
      </c>
      <c r="L2765" s="21" t="s">
        <v>1701</v>
      </c>
      <c r="M2765" s="21" t="s">
        <v>12</v>
      </c>
      <c r="N2765" s="54">
        <v>75000</v>
      </c>
      <c r="O2765" s="54">
        <v>35000</v>
      </c>
      <c r="P2765" s="54">
        <v>0</v>
      </c>
      <c r="Q2765" s="54">
        <v>110000</v>
      </c>
      <c r="R2765" s="54">
        <v>0</v>
      </c>
      <c r="S2765" s="54">
        <v>0</v>
      </c>
      <c r="T2765" s="54">
        <v>0</v>
      </c>
      <c r="U2765" s="54">
        <v>110000</v>
      </c>
      <c r="V2765" s="54">
        <v>110000</v>
      </c>
      <c r="W2765" s="54">
        <v>110000</v>
      </c>
    </row>
    <row r="2766" spans="1:23" outlineLevel="2" x14ac:dyDescent="0.2">
      <c r="A2766" s="21" t="s">
        <v>999</v>
      </c>
      <c r="B2766" s="21" t="s">
        <v>39</v>
      </c>
      <c r="C2766" s="21" t="s">
        <v>66</v>
      </c>
      <c r="D2766" s="21" t="s">
        <v>67</v>
      </c>
      <c r="E2766" s="21" t="s">
        <v>68</v>
      </c>
      <c r="F2766" s="21" t="s">
        <v>967</v>
      </c>
      <c r="G2766" s="21" t="s">
        <v>968</v>
      </c>
      <c r="H2766" s="21" t="s">
        <v>1714</v>
      </c>
      <c r="I2766" s="21" t="s">
        <v>1715</v>
      </c>
      <c r="J2766" s="21" t="s">
        <v>1000</v>
      </c>
      <c r="K2766" s="21" t="s">
        <v>1013</v>
      </c>
      <c r="L2766" s="21" t="s">
        <v>1702</v>
      </c>
      <c r="M2766" s="21" t="s">
        <v>12</v>
      </c>
      <c r="N2766" s="54">
        <v>326100</v>
      </c>
      <c r="O2766" s="54">
        <v>0</v>
      </c>
      <c r="P2766" s="54">
        <v>0</v>
      </c>
      <c r="Q2766" s="54">
        <v>326100</v>
      </c>
      <c r="R2766" s="54">
        <v>2225.9899999999998</v>
      </c>
      <c r="S2766" s="54">
        <v>234719.57</v>
      </c>
      <c r="T2766" s="54">
        <v>55627.62</v>
      </c>
      <c r="U2766" s="54">
        <v>91380.43</v>
      </c>
      <c r="V2766" s="54">
        <v>270472.38</v>
      </c>
      <c r="W2766" s="54">
        <v>89154.44</v>
      </c>
    </row>
    <row r="2767" spans="1:23" outlineLevel="2" x14ac:dyDescent="0.2">
      <c r="A2767" s="21" t="s">
        <v>999</v>
      </c>
      <c r="B2767" s="21" t="s">
        <v>39</v>
      </c>
      <c r="C2767" s="21" t="s">
        <v>66</v>
      </c>
      <c r="D2767" s="21" t="s">
        <v>67</v>
      </c>
      <c r="E2767" s="21" t="s">
        <v>68</v>
      </c>
      <c r="F2767" s="21" t="s">
        <v>967</v>
      </c>
      <c r="G2767" s="21" t="s">
        <v>968</v>
      </c>
      <c r="H2767" s="21" t="s">
        <v>1714</v>
      </c>
      <c r="I2767" s="21" t="s">
        <v>1715</v>
      </c>
      <c r="J2767" s="21" t="s">
        <v>1000</v>
      </c>
      <c r="K2767" s="21" t="s">
        <v>1015</v>
      </c>
      <c r="L2767" s="21" t="s">
        <v>1709</v>
      </c>
      <c r="M2767" s="21" t="s">
        <v>12</v>
      </c>
      <c r="N2767" s="54">
        <v>20000</v>
      </c>
      <c r="O2767" s="54">
        <v>0</v>
      </c>
      <c r="P2767" s="54">
        <v>0</v>
      </c>
      <c r="Q2767" s="54">
        <v>20000</v>
      </c>
      <c r="R2767" s="54">
        <v>0</v>
      </c>
      <c r="S2767" s="54">
        <v>0</v>
      </c>
      <c r="T2767" s="54">
        <v>0</v>
      </c>
      <c r="U2767" s="54">
        <v>20000</v>
      </c>
      <c r="V2767" s="54">
        <v>20000</v>
      </c>
      <c r="W2767" s="54">
        <v>20000</v>
      </c>
    </row>
    <row r="2768" spans="1:23" outlineLevel="2" x14ac:dyDescent="0.2">
      <c r="A2768" s="21" t="s">
        <v>999</v>
      </c>
      <c r="B2768" s="21" t="s">
        <v>39</v>
      </c>
      <c r="C2768" s="21" t="s">
        <v>66</v>
      </c>
      <c r="D2768" s="21" t="s">
        <v>67</v>
      </c>
      <c r="E2768" s="21" t="s">
        <v>68</v>
      </c>
      <c r="F2768" s="21" t="s">
        <v>967</v>
      </c>
      <c r="G2768" s="21" t="s">
        <v>968</v>
      </c>
      <c r="H2768" s="21" t="s">
        <v>1714</v>
      </c>
      <c r="I2768" s="21" t="s">
        <v>1715</v>
      </c>
      <c r="J2768" s="21" t="s">
        <v>1000</v>
      </c>
      <c r="K2768" s="21" t="s">
        <v>1017</v>
      </c>
      <c r="L2768" s="21" t="s">
        <v>1703</v>
      </c>
      <c r="M2768" s="21" t="s">
        <v>12</v>
      </c>
      <c r="N2768" s="54">
        <v>36450</v>
      </c>
      <c r="O2768" s="54">
        <v>-17041.52</v>
      </c>
      <c r="P2768" s="54">
        <v>0</v>
      </c>
      <c r="Q2768" s="54">
        <v>19408.48</v>
      </c>
      <c r="R2768" s="54">
        <v>0</v>
      </c>
      <c r="S2768" s="54">
        <v>19408.48</v>
      </c>
      <c r="T2768" s="54">
        <v>14929.6</v>
      </c>
      <c r="U2768" s="54">
        <v>0</v>
      </c>
      <c r="V2768" s="54">
        <v>4478.88</v>
      </c>
      <c r="W2768" s="54">
        <v>0</v>
      </c>
    </row>
    <row r="2769" spans="1:23" outlineLevel="2" x14ac:dyDescent="0.2">
      <c r="A2769" s="21" t="s">
        <v>999</v>
      </c>
      <c r="B2769" s="21" t="s">
        <v>39</v>
      </c>
      <c r="C2769" s="21" t="s">
        <v>66</v>
      </c>
      <c r="D2769" s="21" t="s">
        <v>67</v>
      </c>
      <c r="E2769" s="21" t="s">
        <v>68</v>
      </c>
      <c r="F2769" s="21" t="s">
        <v>967</v>
      </c>
      <c r="G2769" s="21" t="s">
        <v>968</v>
      </c>
      <c r="H2769" s="21" t="s">
        <v>1714</v>
      </c>
      <c r="I2769" s="21" t="s">
        <v>1715</v>
      </c>
      <c r="J2769" s="21" t="s">
        <v>1000</v>
      </c>
      <c r="K2769" s="21" t="s">
        <v>1289</v>
      </c>
      <c r="L2769" s="21" t="s">
        <v>1717</v>
      </c>
      <c r="M2769" s="21" t="s">
        <v>12</v>
      </c>
      <c r="N2769" s="54">
        <v>30000</v>
      </c>
      <c r="O2769" s="54">
        <v>0</v>
      </c>
      <c r="P2769" s="54">
        <v>0</v>
      </c>
      <c r="Q2769" s="54">
        <v>30000</v>
      </c>
      <c r="R2769" s="54">
        <v>5.35</v>
      </c>
      <c r="S2769" s="54">
        <v>29545.599999999999</v>
      </c>
      <c r="T2769" s="54">
        <v>5909.12</v>
      </c>
      <c r="U2769" s="54">
        <v>454.4</v>
      </c>
      <c r="V2769" s="54">
        <v>24090.880000000001</v>
      </c>
      <c r="W2769" s="54">
        <v>449.05</v>
      </c>
    </row>
    <row r="2770" spans="1:23" outlineLevel="2" x14ac:dyDescent="0.2">
      <c r="A2770" s="21" t="s">
        <v>999</v>
      </c>
      <c r="B2770" s="21" t="s">
        <v>39</v>
      </c>
      <c r="C2770" s="21" t="s">
        <v>66</v>
      </c>
      <c r="D2770" s="21" t="s">
        <v>121</v>
      </c>
      <c r="E2770" s="21" t="s">
        <v>122</v>
      </c>
      <c r="F2770" s="21" t="s">
        <v>980</v>
      </c>
      <c r="G2770" s="21" t="s">
        <v>981</v>
      </c>
      <c r="H2770" s="21" t="s">
        <v>982</v>
      </c>
      <c r="I2770" s="21" t="s">
        <v>983</v>
      </c>
      <c r="J2770" s="21" t="s">
        <v>1000</v>
      </c>
      <c r="K2770" s="21" t="s">
        <v>1058</v>
      </c>
      <c r="L2770" s="21" t="s">
        <v>1719</v>
      </c>
      <c r="M2770" s="21" t="s">
        <v>12</v>
      </c>
      <c r="N2770" s="54">
        <v>14000</v>
      </c>
      <c r="O2770" s="54">
        <v>0</v>
      </c>
      <c r="P2770" s="54">
        <v>0</v>
      </c>
      <c r="Q2770" s="54">
        <v>14000</v>
      </c>
      <c r="R2770" s="54">
        <v>0</v>
      </c>
      <c r="S2770" s="54">
        <v>0</v>
      </c>
      <c r="T2770" s="54">
        <v>0</v>
      </c>
      <c r="U2770" s="54">
        <v>14000</v>
      </c>
      <c r="V2770" s="54">
        <v>14000</v>
      </c>
      <c r="W2770" s="54">
        <v>14000</v>
      </c>
    </row>
    <row r="2771" spans="1:23" outlineLevel="2" x14ac:dyDescent="0.2">
      <c r="A2771" s="21" t="s">
        <v>999</v>
      </c>
      <c r="B2771" s="21" t="s">
        <v>39</v>
      </c>
      <c r="C2771" s="21" t="s">
        <v>66</v>
      </c>
      <c r="D2771" s="21" t="s">
        <v>121</v>
      </c>
      <c r="E2771" s="21" t="s">
        <v>122</v>
      </c>
      <c r="F2771" s="21" t="s">
        <v>980</v>
      </c>
      <c r="G2771" s="21" t="s">
        <v>981</v>
      </c>
      <c r="H2771" s="21" t="s">
        <v>982</v>
      </c>
      <c r="I2771" s="21" t="s">
        <v>983</v>
      </c>
      <c r="J2771" s="21" t="s">
        <v>1000</v>
      </c>
      <c r="K2771" s="21" t="s">
        <v>1017</v>
      </c>
      <c r="L2771" s="21" t="s">
        <v>1720</v>
      </c>
      <c r="M2771" s="21" t="s">
        <v>12</v>
      </c>
      <c r="N2771" s="54">
        <v>713000</v>
      </c>
      <c r="O2771" s="54">
        <v>-671451.34</v>
      </c>
      <c r="P2771" s="54">
        <v>0</v>
      </c>
      <c r="Q2771" s="54">
        <v>41548.660000000003</v>
      </c>
      <c r="R2771" s="54">
        <v>0</v>
      </c>
      <c r="S2771" s="54">
        <v>0</v>
      </c>
      <c r="T2771" s="54">
        <v>0</v>
      </c>
      <c r="U2771" s="54">
        <v>41548.660000000003</v>
      </c>
      <c r="V2771" s="54">
        <v>41548.660000000003</v>
      </c>
      <c r="W2771" s="54">
        <v>41548.660000000003</v>
      </c>
    </row>
    <row r="2772" spans="1:23" outlineLevel="2" x14ac:dyDescent="0.2">
      <c r="A2772" s="21" t="s">
        <v>999</v>
      </c>
      <c r="B2772" s="21" t="s">
        <v>39</v>
      </c>
      <c r="C2772" s="21" t="s">
        <v>66</v>
      </c>
      <c r="D2772" s="21" t="s">
        <v>121</v>
      </c>
      <c r="E2772" s="21" t="s">
        <v>122</v>
      </c>
      <c r="F2772" s="21" t="s">
        <v>980</v>
      </c>
      <c r="G2772" s="21" t="s">
        <v>981</v>
      </c>
      <c r="H2772" s="21" t="s">
        <v>982</v>
      </c>
      <c r="I2772" s="21" t="s">
        <v>983</v>
      </c>
      <c r="J2772" s="21" t="s">
        <v>1000</v>
      </c>
      <c r="K2772" s="21" t="s">
        <v>1031</v>
      </c>
      <c r="L2772" s="21" t="s">
        <v>1721</v>
      </c>
      <c r="M2772" s="21" t="s">
        <v>12</v>
      </c>
      <c r="N2772" s="54">
        <v>7000</v>
      </c>
      <c r="O2772" s="54">
        <v>7000</v>
      </c>
      <c r="P2772" s="54">
        <v>0</v>
      </c>
      <c r="Q2772" s="54">
        <v>14000</v>
      </c>
      <c r="R2772" s="54">
        <v>6473.04</v>
      </c>
      <c r="S2772" s="54">
        <v>0</v>
      </c>
      <c r="T2772" s="54">
        <v>0</v>
      </c>
      <c r="U2772" s="54">
        <v>14000</v>
      </c>
      <c r="V2772" s="54">
        <v>14000</v>
      </c>
      <c r="W2772" s="54">
        <v>7526.96</v>
      </c>
    </row>
    <row r="2773" spans="1:23" outlineLevel="2" x14ac:dyDescent="0.2">
      <c r="A2773" s="21" t="s">
        <v>999</v>
      </c>
      <c r="B2773" s="21" t="s">
        <v>39</v>
      </c>
      <c r="C2773" s="21" t="s">
        <v>66</v>
      </c>
      <c r="D2773" s="21" t="s">
        <v>121</v>
      </c>
      <c r="E2773" s="21" t="s">
        <v>122</v>
      </c>
      <c r="F2773" s="21" t="s">
        <v>980</v>
      </c>
      <c r="G2773" s="21" t="s">
        <v>981</v>
      </c>
      <c r="H2773" s="21" t="s">
        <v>982</v>
      </c>
      <c r="I2773" s="21" t="s">
        <v>983</v>
      </c>
      <c r="J2773" s="21" t="s">
        <v>1000</v>
      </c>
      <c r="K2773" s="21" t="s">
        <v>1116</v>
      </c>
      <c r="L2773" s="21" t="s">
        <v>1722</v>
      </c>
      <c r="M2773" s="21" t="s">
        <v>12</v>
      </c>
      <c r="N2773" s="54">
        <v>14000</v>
      </c>
      <c r="O2773" s="54">
        <v>-7000</v>
      </c>
      <c r="P2773" s="54">
        <v>0</v>
      </c>
      <c r="Q2773" s="54">
        <v>7000</v>
      </c>
      <c r="R2773" s="54">
        <v>0</v>
      </c>
      <c r="S2773" s="54">
        <v>0</v>
      </c>
      <c r="T2773" s="54">
        <v>0</v>
      </c>
      <c r="U2773" s="54">
        <v>7000</v>
      </c>
      <c r="V2773" s="54">
        <v>7000</v>
      </c>
      <c r="W2773" s="54">
        <v>7000</v>
      </c>
    </row>
    <row r="2774" spans="1:23" outlineLevel="2" x14ac:dyDescent="0.2">
      <c r="A2774" s="21" t="s">
        <v>999</v>
      </c>
      <c r="B2774" s="21" t="s">
        <v>39</v>
      </c>
      <c r="C2774" s="21" t="s">
        <v>66</v>
      </c>
      <c r="D2774" s="21" t="s">
        <v>121</v>
      </c>
      <c r="E2774" s="21" t="s">
        <v>122</v>
      </c>
      <c r="F2774" s="21" t="s">
        <v>980</v>
      </c>
      <c r="G2774" s="21" t="s">
        <v>981</v>
      </c>
      <c r="H2774" s="21" t="s">
        <v>982</v>
      </c>
      <c r="I2774" s="21" t="s">
        <v>983</v>
      </c>
      <c r="J2774" s="21" t="s">
        <v>1000</v>
      </c>
      <c r="K2774" s="21" t="s">
        <v>1092</v>
      </c>
      <c r="L2774" s="21" t="s">
        <v>1723</v>
      </c>
      <c r="M2774" s="21" t="s">
        <v>12</v>
      </c>
      <c r="N2774" s="54">
        <v>7000</v>
      </c>
      <c r="O2774" s="54">
        <v>0</v>
      </c>
      <c r="P2774" s="54">
        <v>0</v>
      </c>
      <c r="Q2774" s="54">
        <v>7000</v>
      </c>
      <c r="R2774" s="54">
        <v>0</v>
      </c>
      <c r="S2774" s="54">
        <v>0</v>
      </c>
      <c r="T2774" s="54">
        <v>0</v>
      </c>
      <c r="U2774" s="54">
        <v>7000</v>
      </c>
      <c r="V2774" s="54">
        <v>7000</v>
      </c>
      <c r="W2774" s="54">
        <v>7000</v>
      </c>
    </row>
    <row r="2775" spans="1:23" outlineLevel="2" x14ac:dyDescent="0.2">
      <c r="A2775" s="21" t="s">
        <v>999</v>
      </c>
      <c r="B2775" s="21" t="s">
        <v>39</v>
      </c>
      <c r="C2775" s="21" t="s">
        <v>66</v>
      </c>
      <c r="D2775" s="21" t="s">
        <v>121</v>
      </c>
      <c r="E2775" s="21" t="s">
        <v>122</v>
      </c>
      <c r="F2775" s="21" t="s">
        <v>980</v>
      </c>
      <c r="G2775" s="21" t="s">
        <v>981</v>
      </c>
      <c r="H2775" s="21" t="s">
        <v>982</v>
      </c>
      <c r="I2775" s="21" t="s">
        <v>983</v>
      </c>
      <c r="J2775" s="21" t="s">
        <v>1000</v>
      </c>
      <c r="K2775" s="21" t="s">
        <v>1194</v>
      </c>
      <c r="L2775" s="21" t="s">
        <v>1724</v>
      </c>
      <c r="M2775" s="21" t="s">
        <v>12</v>
      </c>
      <c r="N2775" s="54">
        <v>5000</v>
      </c>
      <c r="O2775" s="54">
        <v>0</v>
      </c>
      <c r="P2775" s="54">
        <v>0</v>
      </c>
      <c r="Q2775" s="54">
        <v>5000</v>
      </c>
      <c r="R2775" s="54">
        <v>0</v>
      </c>
      <c r="S2775" s="54">
        <v>0</v>
      </c>
      <c r="T2775" s="54">
        <v>0</v>
      </c>
      <c r="U2775" s="54">
        <v>5000</v>
      </c>
      <c r="V2775" s="54">
        <v>5000</v>
      </c>
      <c r="W2775" s="54">
        <v>5000</v>
      </c>
    </row>
    <row r="2776" spans="1:23" outlineLevel="2" x14ac:dyDescent="0.2">
      <c r="A2776" s="21" t="s">
        <v>999</v>
      </c>
      <c r="B2776" s="21" t="s">
        <v>39</v>
      </c>
      <c r="C2776" s="21" t="s">
        <v>66</v>
      </c>
      <c r="D2776" s="21" t="s">
        <v>121</v>
      </c>
      <c r="E2776" s="21" t="s">
        <v>122</v>
      </c>
      <c r="F2776" s="21" t="s">
        <v>980</v>
      </c>
      <c r="G2776" s="21" t="s">
        <v>981</v>
      </c>
      <c r="H2776" s="21" t="s">
        <v>1725</v>
      </c>
      <c r="I2776" s="21" t="s">
        <v>1726</v>
      </c>
      <c r="J2776" s="21" t="s">
        <v>1000</v>
      </c>
      <c r="K2776" s="21" t="s">
        <v>1037</v>
      </c>
      <c r="L2776" s="21" t="s">
        <v>1727</v>
      </c>
      <c r="M2776" s="21" t="s">
        <v>12</v>
      </c>
      <c r="N2776" s="54">
        <v>10000</v>
      </c>
      <c r="O2776" s="54">
        <v>0</v>
      </c>
      <c r="P2776" s="54">
        <v>0</v>
      </c>
      <c r="Q2776" s="54">
        <v>10000</v>
      </c>
      <c r="R2776" s="54">
        <v>0</v>
      </c>
      <c r="S2776" s="54">
        <v>0</v>
      </c>
      <c r="T2776" s="54">
        <v>0</v>
      </c>
      <c r="U2776" s="54">
        <v>10000</v>
      </c>
      <c r="V2776" s="54">
        <v>10000</v>
      </c>
      <c r="W2776" s="54">
        <v>10000</v>
      </c>
    </row>
    <row r="2777" spans="1:23" outlineLevel="2" x14ac:dyDescent="0.2">
      <c r="A2777" s="21" t="s">
        <v>999</v>
      </c>
      <c r="B2777" s="21" t="s">
        <v>39</v>
      </c>
      <c r="C2777" s="21" t="s">
        <v>66</v>
      </c>
      <c r="D2777" s="21" t="s">
        <v>121</v>
      </c>
      <c r="E2777" s="21" t="s">
        <v>122</v>
      </c>
      <c r="F2777" s="21" t="s">
        <v>980</v>
      </c>
      <c r="G2777" s="21" t="s">
        <v>981</v>
      </c>
      <c r="H2777" s="21" t="s">
        <v>1725</v>
      </c>
      <c r="I2777" s="21" t="s">
        <v>1726</v>
      </c>
      <c r="J2777" s="21" t="s">
        <v>1000</v>
      </c>
      <c r="K2777" s="21" t="s">
        <v>1039</v>
      </c>
      <c r="L2777" s="21" t="s">
        <v>1728</v>
      </c>
      <c r="M2777" s="21" t="s">
        <v>12</v>
      </c>
      <c r="N2777" s="54">
        <v>10000</v>
      </c>
      <c r="O2777" s="54">
        <v>0</v>
      </c>
      <c r="P2777" s="54">
        <v>0</v>
      </c>
      <c r="Q2777" s="54">
        <v>10000</v>
      </c>
      <c r="R2777" s="54">
        <v>0</v>
      </c>
      <c r="S2777" s="54">
        <v>0</v>
      </c>
      <c r="T2777" s="54">
        <v>0</v>
      </c>
      <c r="U2777" s="54">
        <v>10000</v>
      </c>
      <c r="V2777" s="54">
        <v>10000</v>
      </c>
      <c r="W2777" s="54">
        <v>10000</v>
      </c>
    </row>
    <row r="2778" spans="1:23" outlineLevel="2" x14ac:dyDescent="0.2">
      <c r="A2778" s="21" t="s">
        <v>999</v>
      </c>
      <c r="B2778" s="21" t="s">
        <v>39</v>
      </c>
      <c r="C2778" s="21" t="s">
        <v>66</v>
      </c>
      <c r="D2778" s="21" t="s">
        <v>121</v>
      </c>
      <c r="E2778" s="21" t="s">
        <v>122</v>
      </c>
      <c r="F2778" s="21" t="s">
        <v>980</v>
      </c>
      <c r="G2778" s="21" t="s">
        <v>981</v>
      </c>
      <c r="H2778" s="21" t="s">
        <v>1729</v>
      </c>
      <c r="I2778" s="21" t="s">
        <v>1730</v>
      </c>
      <c r="J2778" s="21" t="s">
        <v>1000</v>
      </c>
      <c r="K2778" s="21" t="s">
        <v>1013</v>
      </c>
      <c r="L2778" s="21" t="s">
        <v>1731</v>
      </c>
      <c r="M2778" s="21" t="s">
        <v>12</v>
      </c>
      <c r="N2778" s="54">
        <v>60000</v>
      </c>
      <c r="O2778" s="54">
        <v>0</v>
      </c>
      <c r="P2778" s="54">
        <v>0</v>
      </c>
      <c r="Q2778" s="54">
        <v>60000</v>
      </c>
      <c r="R2778" s="54">
        <v>0</v>
      </c>
      <c r="S2778" s="54">
        <v>0</v>
      </c>
      <c r="T2778" s="54">
        <v>0</v>
      </c>
      <c r="U2778" s="54">
        <v>60000</v>
      </c>
      <c r="V2778" s="54">
        <v>60000</v>
      </c>
      <c r="W2778" s="54">
        <v>60000</v>
      </c>
    </row>
    <row r="2779" spans="1:23" outlineLevel="2" x14ac:dyDescent="0.2">
      <c r="A2779" s="21" t="s">
        <v>999</v>
      </c>
      <c r="B2779" s="21" t="s">
        <v>39</v>
      </c>
      <c r="C2779" s="21" t="s">
        <v>66</v>
      </c>
      <c r="D2779" s="21" t="s">
        <v>121</v>
      </c>
      <c r="E2779" s="21" t="s">
        <v>122</v>
      </c>
      <c r="F2779" s="21" t="s">
        <v>980</v>
      </c>
      <c r="G2779" s="21" t="s">
        <v>981</v>
      </c>
      <c r="H2779" s="21" t="s">
        <v>1729</v>
      </c>
      <c r="I2779" s="21" t="s">
        <v>1730</v>
      </c>
      <c r="J2779" s="21" t="s">
        <v>1000</v>
      </c>
      <c r="K2779" s="21" t="s">
        <v>1017</v>
      </c>
      <c r="L2779" s="21" t="s">
        <v>1720</v>
      </c>
      <c r="M2779" s="21" t="s">
        <v>12</v>
      </c>
      <c r="N2779" s="54">
        <v>139485.76000000001</v>
      </c>
      <c r="O2779" s="54">
        <v>0</v>
      </c>
      <c r="P2779" s="54">
        <v>0</v>
      </c>
      <c r="Q2779" s="54">
        <v>139485.76000000001</v>
      </c>
      <c r="R2779" s="54">
        <v>0</v>
      </c>
      <c r="S2779" s="54">
        <v>0</v>
      </c>
      <c r="T2779" s="54">
        <v>0</v>
      </c>
      <c r="U2779" s="54">
        <v>139485.76000000001</v>
      </c>
      <c r="V2779" s="54">
        <v>139485.76000000001</v>
      </c>
      <c r="W2779" s="54">
        <v>139485.76000000001</v>
      </c>
    </row>
    <row r="2780" spans="1:23" outlineLevel="2" x14ac:dyDescent="0.2">
      <c r="A2780" s="21" t="s">
        <v>999</v>
      </c>
      <c r="B2780" s="21" t="s">
        <v>39</v>
      </c>
      <c r="C2780" s="21" t="s">
        <v>58</v>
      </c>
      <c r="D2780" s="21" t="s">
        <v>119</v>
      </c>
      <c r="E2780" s="21" t="s">
        <v>120</v>
      </c>
      <c r="F2780" s="21" t="s">
        <v>980</v>
      </c>
      <c r="G2780" s="21" t="s">
        <v>981</v>
      </c>
      <c r="H2780" s="21" t="s">
        <v>991</v>
      </c>
      <c r="I2780" s="21" t="s">
        <v>992</v>
      </c>
      <c r="J2780" s="21" t="s">
        <v>1000</v>
      </c>
      <c r="K2780" s="21" t="s">
        <v>1037</v>
      </c>
      <c r="L2780" s="21" t="s">
        <v>1732</v>
      </c>
      <c r="M2780" s="21" t="s">
        <v>12</v>
      </c>
      <c r="N2780" s="54">
        <v>4000</v>
      </c>
      <c r="O2780" s="54">
        <v>0</v>
      </c>
      <c r="P2780" s="54">
        <v>0</v>
      </c>
      <c r="Q2780" s="54">
        <v>4000</v>
      </c>
      <c r="R2780" s="54">
        <v>0</v>
      </c>
      <c r="S2780" s="54">
        <v>0</v>
      </c>
      <c r="T2780" s="54">
        <v>0</v>
      </c>
      <c r="U2780" s="54">
        <v>4000</v>
      </c>
      <c r="V2780" s="54">
        <v>4000</v>
      </c>
      <c r="W2780" s="54">
        <v>4000</v>
      </c>
    </row>
    <row r="2781" spans="1:23" outlineLevel="2" x14ac:dyDescent="0.2">
      <c r="A2781" s="21" t="s">
        <v>999</v>
      </c>
      <c r="B2781" s="21" t="s">
        <v>39</v>
      </c>
      <c r="C2781" s="21" t="s">
        <v>58</v>
      </c>
      <c r="D2781" s="21" t="s">
        <v>119</v>
      </c>
      <c r="E2781" s="21" t="s">
        <v>120</v>
      </c>
      <c r="F2781" s="21" t="s">
        <v>980</v>
      </c>
      <c r="G2781" s="21" t="s">
        <v>981</v>
      </c>
      <c r="H2781" s="21" t="s">
        <v>991</v>
      </c>
      <c r="I2781" s="21" t="s">
        <v>992</v>
      </c>
      <c r="J2781" s="21" t="s">
        <v>1000</v>
      </c>
      <c r="K2781" s="21" t="s">
        <v>1058</v>
      </c>
      <c r="L2781" s="21" t="s">
        <v>1733</v>
      </c>
      <c r="M2781" s="21" t="s">
        <v>12</v>
      </c>
      <c r="N2781" s="54">
        <v>4000</v>
      </c>
      <c r="O2781" s="54">
        <v>0</v>
      </c>
      <c r="P2781" s="54">
        <v>0</v>
      </c>
      <c r="Q2781" s="54">
        <v>4000</v>
      </c>
      <c r="R2781" s="54">
        <v>0</v>
      </c>
      <c r="S2781" s="54">
        <v>0</v>
      </c>
      <c r="T2781" s="54">
        <v>0</v>
      </c>
      <c r="U2781" s="54">
        <v>4000</v>
      </c>
      <c r="V2781" s="54">
        <v>4000</v>
      </c>
      <c r="W2781" s="54">
        <v>4000</v>
      </c>
    </row>
    <row r="2782" spans="1:23" outlineLevel="2" x14ac:dyDescent="0.2">
      <c r="A2782" s="21" t="s">
        <v>999</v>
      </c>
      <c r="B2782" s="21" t="s">
        <v>39</v>
      </c>
      <c r="C2782" s="21" t="s">
        <v>58</v>
      </c>
      <c r="D2782" s="21" t="s">
        <v>119</v>
      </c>
      <c r="E2782" s="21" t="s">
        <v>120</v>
      </c>
      <c r="F2782" s="21" t="s">
        <v>980</v>
      </c>
      <c r="G2782" s="21" t="s">
        <v>981</v>
      </c>
      <c r="H2782" s="21" t="s">
        <v>991</v>
      </c>
      <c r="I2782" s="21" t="s">
        <v>992</v>
      </c>
      <c r="J2782" s="21" t="s">
        <v>1000</v>
      </c>
      <c r="K2782" s="21" t="s">
        <v>1009</v>
      </c>
      <c r="L2782" s="21" t="s">
        <v>1734</v>
      </c>
      <c r="M2782" s="21" t="s">
        <v>12</v>
      </c>
      <c r="N2782" s="54">
        <v>8000</v>
      </c>
      <c r="O2782" s="54">
        <v>0</v>
      </c>
      <c r="P2782" s="54">
        <v>0</v>
      </c>
      <c r="Q2782" s="54">
        <v>8000</v>
      </c>
      <c r="R2782" s="54">
        <v>0</v>
      </c>
      <c r="S2782" s="54">
        <v>0</v>
      </c>
      <c r="T2782" s="54">
        <v>0</v>
      </c>
      <c r="U2782" s="54">
        <v>8000</v>
      </c>
      <c r="V2782" s="54">
        <v>8000</v>
      </c>
      <c r="W2782" s="54">
        <v>8000</v>
      </c>
    </row>
    <row r="2783" spans="1:23" outlineLevel="2" x14ac:dyDescent="0.2">
      <c r="A2783" s="21" t="s">
        <v>999</v>
      </c>
      <c r="B2783" s="21" t="s">
        <v>39</v>
      </c>
      <c r="C2783" s="21" t="s">
        <v>58</v>
      </c>
      <c r="D2783" s="21" t="s">
        <v>119</v>
      </c>
      <c r="E2783" s="21" t="s">
        <v>120</v>
      </c>
      <c r="F2783" s="21" t="s">
        <v>980</v>
      </c>
      <c r="G2783" s="21" t="s">
        <v>981</v>
      </c>
      <c r="H2783" s="21" t="s">
        <v>991</v>
      </c>
      <c r="I2783" s="21" t="s">
        <v>992</v>
      </c>
      <c r="J2783" s="21" t="s">
        <v>1000</v>
      </c>
      <c r="K2783" s="21" t="s">
        <v>1011</v>
      </c>
      <c r="L2783" s="21" t="s">
        <v>1735</v>
      </c>
      <c r="M2783" s="21" t="s">
        <v>12</v>
      </c>
      <c r="N2783" s="54">
        <v>115000</v>
      </c>
      <c r="O2783" s="54">
        <v>0</v>
      </c>
      <c r="P2783" s="54">
        <v>0</v>
      </c>
      <c r="Q2783" s="54">
        <v>115000</v>
      </c>
      <c r="R2783" s="54">
        <v>0</v>
      </c>
      <c r="S2783" s="54">
        <v>5800</v>
      </c>
      <c r="T2783" s="54">
        <v>0</v>
      </c>
      <c r="U2783" s="54">
        <v>109200</v>
      </c>
      <c r="V2783" s="54">
        <v>115000</v>
      </c>
      <c r="W2783" s="54">
        <v>109200</v>
      </c>
    </row>
    <row r="2784" spans="1:23" outlineLevel="2" x14ac:dyDescent="0.2">
      <c r="A2784" s="21" t="s">
        <v>999</v>
      </c>
      <c r="B2784" s="21" t="s">
        <v>39</v>
      </c>
      <c r="C2784" s="21" t="s">
        <v>58</v>
      </c>
      <c r="D2784" s="21" t="s">
        <v>119</v>
      </c>
      <c r="E2784" s="21" t="s">
        <v>120</v>
      </c>
      <c r="F2784" s="21" t="s">
        <v>980</v>
      </c>
      <c r="G2784" s="21" t="s">
        <v>981</v>
      </c>
      <c r="H2784" s="21" t="s">
        <v>991</v>
      </c>
      <c r="I2784" s="21" t="s">
        <v>992</v>
      </c>
      <c r="J2784" s="21" t="s">
        <v>1000</v>
      </c>
      <c r="K2784" s="21" t="s">
        <v>1013</v>
      </c>
      <c r="L2784" s="21" t="s">
        <v>1736</v>
      </c>
      <c r="M2784" s="21" t="s">
        <v>12</v>
      </c>
      <c r="N2784" s="54">
        <v>202000</v>
      </c>
      <c r="O2784" s="54">
        <v>0</v>
      </c>
      <c r="P2784" s="54">
        <v>0</v>
      </c>
      <c r="Q2784" s="54">
        <v>202000</v>
      </c>
      <c r="R2784" s="54">
        <v>0</v>
      </c>
      <c r="S2784" s="54">
        <v>0</v>
      </c>
      <c r="T2784" s="54">
        <v>0</v>
      </c>
      <c r="U2784" s="54">
        <v>202000</v>
      </c>
      <c r="V2784" s="54">
        <v>202000</v>
      </c>
      <c r="W2784" s="54">
        <v>202000</v>
      </c>
    </row>
    <row r="2785" spans="1:23" outlineLevel="2" x14ac:dyDescent="0.2">
      <c r="A2785" s="21" t="s">
        <v>999</v>
      </c>
      <c r="B2785" s="21" t="s">
        <v>39</v>
      </c>
      <c r="C2785" s="21" t="s">
        <v>58</v>
      </c>
      <c r="D2785" s="21" t="s">
        <v>119</v>
      </c>
      <c r="E2785" s="21" t="s">
        <v>120</v>
      </c>
      <c r="F2785" s="21" t="s">
        <v>980</v>
      </c>
      <c r="G2785" s="21" t="s">
        <v>981</v>
      </c>
      <c r="H2785" s="21" t="s">
        <v>991</v>
      </c>
      <c r="I2785" s="21" t="s">
        <v>992</v>
      </c>
      <c r="J2785" s="21" t="s">
        <v>1000</v>
      </c>
      <c r="K2785" s="21" t="s">
        <v>1017</v>
      </c>
      <c r="L2785" s="21" t="s">
        <v>1737</v>
      </c>
      <c r="M2785" s="21" t="s">
        <v>12</v>
      </c>
      <c r="N2785" s="54">
        <v>542000</v>
      </c>
      <c r="O2785" s="54">
        <v>-367172.78</v>
      </c>
      <c r="P2785" s="54">
        <v>0</v>
      </c>
      <c r="Q2785" s="54">
        <v>174827.22</v>
      </c>
      <c r="R2785" s="54">
        <v>0</v>
      </c>
      <c r="S2785" s="54">
        <v>0</v>
      </c>
      <c r="T2785" s="54">
        <v>0</v>
      </c>
      <c r="U2785" s="54">
        <v>174827.22</v>
      </c>
      <c r="V2785" s="54">
        <v>174827.22</v>
      </c>
      <c r="W2785" s="54">
        <v>174827.22</v>
      </c>
    </row>
    <row r="2786" spans="1:23" outlineLevel="2" x14ac:dyDescent="0.2">
      <c r="A2786" s="21" t="s">
        <v>999</v>
      </c>
      <c r="B2786" s="21" t="s">
        <v>39</v>
      </c>
      <c r="C2786" s="21" t="s">
        <v>58</v>
      </c>
      <c r="D2786" s="21" t="s">
        <v>119</v>
      </c>
      <c r="E2786" s="21" t="s">
        <v>120</v>
      </c>
      <c r="F2786" s="21" t="s">
        <v>980</v>
      </c>
      <c r="G2786" s="21" t="s">
        <v>981</v>
      </c>
      <c r="H2786" s="21" t="s">
        <v>991</v>
      </c>
      <c r="I2786" s="21" t="s">
        <v>992</v>
      </c>
      <c r="J2786" s="21" t="s">
        <v>1000</v>
      </c>
      <c r="K2786" s="21" t="s">
        <v>1031</v>
      </c>
      <c r="L2786" s="21" t="s">
        <v>1738</v>
      </c>
      <c r="M2786" s="21" t="s">
        <v>12</v>
      </c>
      <c r="N2786" s="54">
        <v>22500</v>
      </c>
      <c r="O2786" s="54">
        <v>0</v>
      </c>
      <c r="P2786" s="54">
        <v>0</v>
      </c>
      <c r="Q2786" s="54">
        <v>22500</v>
      </c>
      <c r="R2786" s="54">
        <v>0</v>
      </c>
      <c r="S2786" s="54">
        <v>0</v>
      </c>
      <c r="T2786" s="54">
        <v>0</v>
      </c>
      <c r="U2786" s="54">
        <v>22500</v>
      </c>
      <c r="V2786" s="54">
        <v>22500</v>
      </c>
      <c r="W2786" s="54">
        <v>22500</v>
      </c>
    </row>
    <row r="2787" spans="1:23" outlineLevel="2" x14ac:dyDescent="0.2">
      <c r="A2787" s="21" t="s">
        <v>999</v>
      </c>
      <c r="B2787" s="21" t="s">
        <v>39</v>
      </c>
      <c r="C2787" s="21" t="s">
        <v>58</v>
      </c>
      <c r="D2787" s="21" t="s">
        <v>119</v>
      </c>
      <c r="E2787" s="21" t="s">
        <v>120</v>
      </c>
      <c r="F2787" s="21" t="s">
        <v>980</v>
      </c>
      <c r="G2787" s="21" t="s">
        <v>981</v>
      </c>
      <c r="H2787" s="21" t="s">
        <v>991</v>
      </c>
      <c r="I2787" s="21" t="s">
        <v>992</v>
      </c>
      <c r="J2787" s="21" t="s">
        <v>1000</v>
      </c>
      <c r="K2787" s="21" t="s">
        <v>1116</v>
      </c>
      <c r="L2787" s="21" t="s">
        <v>1739</v>
      </c>
      <c r="M2787" s="21" t="s">
        <v>12</v>
      </c>
      <c r="N2787" s="54">
        <v>8000</v>
      </c>
      <c r="O2787" s="54">
        <v>0</v>
      </c>
      <c r="P2787" s="54">
        <v>0</v>
      </c>
      <c r="Q2787" s="54">
        <v>8000</v>
      </c>
      <c r="R2787" s="54">
        <v>0</v>
      </c>
      <c r="S2787" s="54">
        <v>0</v>
      </c>
      <c r="T2787" s="54">
        <v>0</v>
      </c>
      <c r="U2787" s="54">
        <v>8000</v>
      </c>
      <c r="V2787" s="54">
        <v>8000</v>
      </c>
      <c r="W2787" s="54">
        <v>8000</v>
      </c>
    </row>
    <row r="2788" spans="1:23" outlineLevel="2" x14ac:dyDescent="0.2">
      <c r="A2788" s="21" t="s">
        <v>999</v>
      </c>
      <c r="B2788" s="21" t="s">
        <v>39</v>
      </c>
      <c r="C2788" s="21" t="s">
        <v>58</v>
      </c>
      <c r="D2788" s="21" t="s">
        <v>119</v>
      </c>
      <c r="E2788" s="21" t="s">
        <v>120</v>
      </c>
      <c r="F2788" s="21" t="s">
        <v>980</v>
      </c>
      <c r="G2788" s="21" t="s">
        <v>981</v>
      </c>
      <c r="H2788" s="21" t="s">
        <v>991</v>
      </c>
      <c r="I2788" s="21" t="s">
        <v>992</v>
      </c>
      <c r="J2788" s="21" t="s">
        <v>1000</v>
      </c>
      <c r="K2788" s="21" t="s">
        <v>1019</v>
      </c>
      <c r="L2788" s="21" t="s">
        <v>1740</v>
      </c>
      <c r="M2788" s="21" t="s">
        <v>12</v>
      </c>
      <c r="N2788" s="54">
        <v>10000</v>
      </c>
      <c r="O2788" s="54">
        <v>0</v>
      </c>
      <c r="P2788" s="54">
        <v>0</v>
      </c>
      <c r="Q2788" s="54">
        <v>10000</v>
      </c>
      <c r="R2788" s="54">
        <v>0</v>
      </c>
      <c r="S2788" s="54">
        <v>1399.57</v>
      </c>
      <c r="T2788" s="54">
        <v>1384.45</v>
      </c>
      <c r="U2788" s="54">
        <v>8600.43</v>
      </c>
      <c r="V2788" s="54">
        <v>8615.5499999999993</v>
      </c>
      <c r="W2788" s="54">
        <v>8600.43</v>
      </c>
    </row>
    <row r="2789" spans="1:23" outlineLevel="2" x14ac:dyDescent="0.2">
      <c r="A2789" s="21" t="s">
        <v>999</v>
      </c>
      <c r="B2789" s="21" t="s">
        <v>39</v>
      </c>
      <c r="C2789" s="21" t="s">
        <v>58</v>
      </c>
      <c r="D2789" s="21" t="s">
        <v>119</v>
      </c>
      <c r="E2789" s="21" t="s">
        <v>120</v>
      </c>
      <c r="F2789" s="21" t="s">
        <v>980</v>
      </c>
      <c r="G2789" s="21" t="s">
        <v>981</v>
      </c>
      <c r="H2789" s="21" t="s">
        <v>991</v>
      </c>
      <c r="I2789" s="21" t="s">
        <v>992</v>
      </c>
      <c r="J2789" s="21" t="s">
        <v>1000</v>
      </c>
      <c r="K2789" s="21" t="s">
        <v>1092</v>
      </c>
      <c r="L2789" s="21" t="s">
        <v>1741</v>
      </c>
      <c r="M2789" s="21" t="s">
        <v>12</v>
      </c>
      <c r="N2789" s="54">
        <v>51000</v>
      </c>
      <c r="O2789" s="54">
        <v>0</v>
      </c>
      <c r="P2789" s="54">
        <v>0</v>
      </c>
      <c r="Q2789" s="54">
        <v>51000</v>
      </c>
      <c r="R2789" s="54">
        <v>0</v>
      </c>
      <c r="S2789" s="54">
        <v>0</v>
      </c>
      <c r="T2789" s="54">
        <v>0</v>
      </c>
      <c r="U2789" s="54">
        <v>51000</v>
      </c>
      <c r="V2789" s="54">
        <v>51000</v>
      </c>
      <c r="W2789" s="54">
        <v>51000</v>
      </c>
    </row>
    <row r="2790" spans="1:23" outlineLevel="2" x14ac:dyDescent="0.2">
      <c r="A2790" s="21" t="s">
        <v>1742</v>
      </c>
      <c r="B2790" s="21" t="s">
        <v>39</v>
      </c>
      <c r="C2790" s="21" t="s">
        <v>58</v>
      </c>
      <c r="D2790" s="21" t="s">
        <v>143</v>
      </c>
      <c r="E2790" s="21" t="s">
        <v>144</v>
      </c>
      <c r="F2790" s="21" t="s">
        <v>1005</v>
      </c>
      <c r="G2790" s="21" t="s">
        <v>1006</v>
      </c>
      <c r="H2790" s="21" t="s">
        <v>1007</v>
      </c>
      <c r="I2790" s="21" t="s">
        <v>1008</v>
      </c>
      <c r="J2790" s="21" t="s">
        <v>1743</v>
      </c>
      <c r="K2790" s="21" t="s">
        <v>1744</v>
      </c>
      <c r="L2790" s="21" t="s">
        <v>1745</v>
      </c>
      <c r="M2790" s="21" t="s">
        <v>12</v>
      </c>
      <c r="N2790" s="54">
        <v>50000</v>
      </c>
      <c r="O2790" s="54">
        <v>0</v>
      </c>
      <c r="P2790" s="54">
        <v>0</v>
      </c>
      <c r="Q2790" s="54">
        <v>50000</v>
      </c>
      <c r="R2790" s="54">
        <v>0</v>
      </c>
      <c r="S2790" s="54">
        <v>49878.09</v>
      </c>
      <c r="T2790" s="54">
        <v>0</v>
      </c>
      <c r="U2790" s="54">
        <v>121.91</v>
      </c>
      <c r="V2790" s="54">
        <v>50000</v>
      </c>
      <c r="W2790" s="54">
        <v>121.91</v>
      </c>
    </row>
    <row r="2791" spans="1:23" outlineLevel="2" x14ac:dyDescent="0.2">
      <c r="A2791" s="21" t="s">
        <v>1742</v>
      </c>
      <c r="B2791" s="21" t="s">
        <v>39</v>
      </c>
      <c r="C2791" s="21" t="s">
        <v>58</v>
      </c>
      <c r="D2791" s="21" t="s">
        <v>59</v>
      </c>
      <c r="E2791" s="21" t="s">
        <v>60</v>
      </c>
      <c r="F2791" s="21" t="s">
        <v>1005</v>
      </c>
      <c r="G2791" s="21" t="s">
        <v>1006</v>
      </c>
      <c r="H2791" s="21" t="s">
        <v>1007</v>
      </c>
      <c r="I2791" s="21" t="s">
        <v>1008</v>
      </c>
      <c r="J2791" s="21" t="s">
        <v>1743</v>
      </c>
      <c r="K2791" s="21" t="s">
        <v>1744</v>
      </c>
      <c r="L2791" s="21" t="s">
        <v>1745</v>
      </c>
      <c r="M2791" s="21" t="s">
        <v>12</v>
      </c>
      <c r="N2791" s="54">
        <v>50000</v>
      </c>
      <c r="O2791" s="54">
        <v>0</v>
      </c>
      <c r="P2791" s="54">
        <v>0</v>
      </c>
      <c r="Q2791" s="54">
        <v>50000</v>
      </c>
      <c r="R2791" s="54">
        <v>0</v>
      </c>
      <c r="S2791" s="54">
        <v>0</v>
      </c>
      <c r="T2791" s="54">
        <v>0</v>
      </c>
      <c r="U2791" s="54">
        <v>50000</v>
      </c>
      <c r="V2791" s="54">
        <v>50000</v>
      </c>
      <c r="W2791" s="54">
        <v>50000</v>
      </c>
    </row>
    <row r="2792" spans="1:23" outlineLevel="2" x14ac:dyDescent="0.2">
      <c r="A2792" s="21" t="s">
        <v>1742</v>
      </c>
      <c r="B2792" s="21" t="s">
        <v>39</v>
      </c>
      <c r="C2792" s="21" t="s">
        <v>58</v>
      </c>
      <c r="D2792" s="21" t="s">
        <v>135</v>
      </c>
      <c r="E2792" s="21" t="s">
        <v>136</v>
      </c>
      <c r="F2792" s="21" t="s">
        <v>837</v>
      </c>
      <c r="G2792" s="21" t="s">
        <v>838</v>
      </c>
      <c r="H2792" s="21" t="s">
        <v>1064</v>
      </c>
      <c r="I2792" s="21" t="s">
        <v>1065</v>
      </c>
      <c r="J2792" s="21" t="s">
        <v>1743</v>
      </c>
      <c r="K2792" s="21" t="s">
        <v>1746</v>
      </c>
      <c r="L2792" s="21" t="s">
        <v>1747</v>
      </c>
      <c r="M2792" s="21" t="s">
        <v>12</v>
      </c>
      <c r="N2792" s="54">
        <v>210247.01</v>
      </c>
      <c r="O2792" s="54">
        <v>39912.050000000003</v>
      </c>
      <c r="P2792" s="54">
        <v>0</v>
      </c>
      <c r="Q2792" s="54">
        <v>250159.06</v>
      </c>
      <c r="R2792" s="54">
        <v>520.54</v>
      </c>
      <c r="S2792" s="54">
        <v>181940.11</v>
      </c>
      <c r="T2792" s="54">
        <v>15492.88</v>
      </c>
      <c r="U2792" s="54">
        <v>68218.95</v>
      </c>
      <c r="V2792" s="54">
        <v>234666.18</v>
      </c>
      <c r="W2792" s="54">
        <v>67698.41</v>
      </c>
    </row>
    <row r="2793" spans="1:23" outlineLevel="2" x14ac:dyDescent="0.2">
      <c r="A2793" s="21" t="s">
        <v>1742</v>
      </c>
      <c r="B2793" s="21" t="s">
        <v>39</v>
      </c>
      <c r="C2793" s="21" t="s">
        <v>58</v>
      </c>
      <c r="D2793" s="21" t="s">
        <v>143</v>
      </c>
      <c r="E2793" s="21" t="s">
        <v>144</v>
      </c>
      <c r="F2793" s="21" t="s">
        <v>837</v>
      </c>
      <c r="G2793" s="21" t="s">
        <v>838</v>
      </c>
      <c r="H2793" s="21" t="s">
        <v>1064</v>
      </c>
      <c r="I2793" s="21" t="s">
        <v>1065</v>
      </c>
      <c r="J2793" s="21" t="s">
        <v>1743</v>
      </c>
      <c r="K2793" s="21" t="s">
        <v>1746</v>
      </c>
      <c r="L2793" s="21" t="s">
        <v>1747</v>
      </c>
      <c r="M2793" s="21" t="s">
        <v>15</v>
      </c>
      <c r="N2793" s="54">
        <v>259644.36</v>
      </c>
      <c r="O2793" s="54">
        <v>-214370.71</v>
      </c>
      <c r="P2793" s="54">
        <v>0</v>
      </c>
      <c r="Q2793" s="54">
        <v>45273.65</v>
      </c>
      <c r="R2793" s="54">
        <v>0</v>
      </c>
      <c r="S2793" s="54">
        <v>45273.65</v>
      </c>
      <c r="T2793" s="54">
        <v>45273.64</v>
      </c>
      <c r="U2793" s="54">
        <v>0</v>
      </c>
      <c r="V2793" s="54">
        <v>0.01</v>
      </c>
      <c r="W2793" s="54">
        <v>0</v>
      </c>
    </row>
    <row r="2794" spans="1:23" outlineLevel="2" x14ac:dyDescent="0.2">
      <c r="A2794" s="21" t="s">
        <v>1742</v>
      </c>
      <c r="B2794" s="21" t="s">
        <v>39</v>
      </c>
      <c r="C2794" s="21" t="s">
        <v>58</v>
      </c>
      <c r="D2794" s="21" t="s">
        <v>139</v>
      </c>
      <c r="E2794" s="21" t="s">
        <v>140</v>
      </c>
      <c r="F2794" s="21" t="s">
        <v>837</v>
      </c>
      <c r="G2794" s="21" t="s">
        <v>838</v>
      </c>
      <c r="H2794" s="21" t="s">
        <v>1064</v>
      </c>
      <c r="I2794" s="21" t="s">
        <v>1065</v>
      </c>
      <c r="J2794" s="21" t="s">
        <v>1743</v>
      </c>
      <c r="K2794" s="21" t="s">
        <v>1746</v>
      </c>
      <c r="L2794" s="21" t="s">
        <v>1747</v>
      </c>
      <c r="M2794" s="21" t="s">
        <v>15</v>
      </c>
      <c r="N2794" s="54">
        <v>567002.05000000005</v>
      </c>
      <c r="O2794" s="54">
        <v>-80030.91</v>
      </c>
      <c r="P2794" s="54">
        <v>0</v>
      </c>
      <c r="Q2794" s="54">
        <v>486971.14</v>
      </c>
      <c r="R2794" s="54">
        <v>0</v>
      </c>
      <c r="S2794" s="54">
        <v>486971.14</v>
      </c>
      <c r="T2794" s="54">
        <v>486971.08</v>
      </c>
      <c r="U2794" s="54">
        <v>0</v>
      </c>
      <c r="V2794" s="54">
        <v>0.06</v>
      </c>
      <c r="W2794" s="54">
        <v>0</v>
      </c>
    </row>
    <row r="2795" spans="1:23" outlineLevel="2" x14ac:dyDescent="0.2">
      <c r="A2795" s="21" t="s">
        <v>1742</v>
      </c>
      <c r="B2795" s="21" t="s">
        <v>39</v>
      </c>
      <c r="C2795" s="21" t="s">
        <v>58</v>
      </c>
      <c r="D2795" s="21" t="s">
        <v>59</v>
      </c>
      <c r="E2795" s="21" t="s">
        <v>60</v>
      </c>
      <c r="F2795" s="21" t="s">
        <v>837</v>
      </c>
      <c r="G2795" s="21" t="s">
        <v>838</v>
      </c>
      <c r="H2795" s="21" t="s">
        <v>1064</v>
      </c>
      <c r="I2795" s="21" t="s">
        <v>1065</v>
      </c>
      <c r="J2795" s="21" t="s">
        <v>1743</v>
      </c>
      <c r="K2795" s="21" t="s">
        <v>1746</v>
      </c>
      <c r="L2795" s="21" t="s">
        <v>1747</v>
      </c>
      <c r="M2795" s="21" t="s">
        <v>12</v>
      </c>
      <c r="N2795" s="54">
        <v>2125517.42</v>
      </c>
      <c r="O2795" s="54">
        <v>-254208.4</v>
      </c>
      <c r="P2795" s="54">
        <v>0</v>
      </c>
      <c r="Q2795" s="54">
        <v>1871309.02</v>
      </c>
      <c r="R2795" s="54">
        <v>0</v>
      </c>
      <c r="S2795" s="54">
        <v>1405257.86</v>
      </c>
      <c r="T2795" s="54">
        <v>83055.649999999994</v>
      </c>
      <c r="U2795" s="54">
        <v>466051.16</v>
      </c>
      <c r="V2795" s="54">
        <v>1788253.37</v>
      </c>
      <c r="W2795" s="54">
        <v>466051.16</v>
      </c>
    </row>
    <row r="2796" spans="1:23" outlineLevel="2" x14ac:dyDescent="0.2">
      <c r="A2796" s="21" t="s">
        <v>1742</v>
      </c>
      <c r="B2796" s="21" t="s">
        <v>39</v>
      </c>
      <c r="C2796" s="21" t="s">
        <v>58</v>
      </c>
      <c r="D2796" s="21" t="s">
        <v>143</v>
      </c>
      <c r="E2796" s="21" t="s">
        <v>144</v>
      </c>
      <c r="F2796" s="21" t="s">
        <v>837</v>
      </c>
      <c r="G2796" s="21" t="s">
        <v>838</v>
      </c>
      <c r="H2796" s="21" t="s">
        <v>1064</v>
      </c>
      <c r="I2796" s="21" t="s">
        <v>1065</v>
      </c>
      <c r="J2796" s="21" t="s">
        <v>1743</v>
      </c>
      <c r="K2796" s="21" t="s">
        <v>1746</v>
      </c>
      <c r="L2796" s="21" t="s">
        <v>1747</v>
      </c>
      <c r="M2796" s="21" t="s">
        <v>12</v>
      </c>
      <c r="N2796" s="54">
        <v>1687354.49</v>
      </c>
      <c r="O2796" s="54">
        <v>-134878.67000000001</v>
      </c>
      <c r="P2796" s="54">
        <v>0</v>
      </c>
      <c r="Q2796" s="54">
        <v>1552475.82</v>
      </c>
      <c r="R2796" s="54">
        <v>52965.51</v>
      </c>
      <c r="S2796" s="54">
        <v>631593.31000000006</v>
      </c>
      <c r="T2796" s="54">
        <v>124192.46</v>
      </c>
      <c r="U2796" s="54">
        <v>920882.51</v>
      </c>
      <c r="V2796" s="54">
        <v>1428283.36</v>
      </c>
      <c r="W2796" s="54">
        <v>867917</v>
      </c>
    </row>
    <row r="2797" spans="1:23" outlineLevel="2" x14ac:dyDescent="0.2">
      <c r="A2797" s="21" t="s">
        <v>1742</v>
      </c>
      <c r="B2797" s="21" t="s">
        <v>39</v>
      </c>
      <c r="C2797" s="21" t="s">
        <v>58</v>
      </c>
      <c r="D2797" s="21" t="s">
        <v>59</v>
      </c>
      <c r="E2797" s="21" t="s">
        <v>60</v>
      </c>
      <c r="F2797" s="21" t="s">
        <v>837</v>
      </c>
      <c r="G2797" s="21" t="s">
        <v>838</v>
      </c>
      <c r="H2797" s="21" t="s">
        <v>1064</v>
      </c>
      <c r="I2797" s="21" t="s">
        <v>1065</v>
      </c>
      <c r="J2797" s="21" t="s">
        <v>1743</v>
      </c>
      <c r="K2797" s="21" t="s">
        <v>1746</v>
      </c>
      <c r="L2797" s="21" t="s">
        <v>1747</v>
      </c>
      <c r="M2797" s="21" t="s">
        <v>15</v>
      </c>
      <c r="N2797" s="54">
        <v>232581.4</v>
      </c>
      <c r="O2797" s="54">
        <v>-161665.68</v>
      </c>
      <c r="P2797" s="54">
        <v>0</v>
      </c>
      <c r="Q2797" s="54">
        <v>70915.72</v>
      </c>
      <c r="R2797" s="54">
        <v>0</v>
      </c>
      <c r="S2797" s="54">
        <v>70915.72</v>
      </c>
      <c r="T2797" s="54">
        <v>70915.72</v>
      </c>
      <c r="U2797" s="54">
        <v>0</v>
      </c>
      <c r="V2797" s="54">
        <v>0</v>
      </c>
      <c r="W2797" s="54">
        <v>0</v>
      </c>
    </row>
    <row r="2798" spans="1:23" outlineLevel="2" x14ac:dyDescent="0.2">
      <c r="A2798" s="21" t="s">
        <v>1742</v>
      </c>
      <c r="B2798" s="21" t="s">
        <v>39</v>
      </c>
      <c r="C2798" s="21" t="s">
        <v>58</v>
      </c>
      <c r="D2798" s="21" t="s">
        <v>145</v>
      </c>
      <c r="E2798" s="21" t="s">
        <v>146</v>
      </c>
      <c r="F2798" s="21" t="s">
        <v>837</v>
      </c>
      <c r="G2798" s="21" t="s">
        <v>838</v>
      </c>
      <c r="H2798" s="21" t="s">
        <v>1064</v>
      </c>
      <c r="I2798" s="21" t="s">
        <v>1065</v>
      </c>
      <c r="J2798" s="21" t="s">
        <v>1743</v>
      </c>
      <c r="K2798" s="21" t="s">
        <v>1746</v>
      </c>
      <c r="L2798" s="21" t="s">
        <v>1747</v>
      </c>
      <c r="M2798" s="21" t="s">
        <v>12</v>
      </c>
      <c r="N2798" s="54">
        <v>3057015.52</v>
      </c>
      <c r="O2798" s="54">
        <v>9533.15</v>
      </c>
      <c r="P2798" s="54">
        <v>0</v>
      </c>
      <c r="Q2798" s="54">
        <v>3066548.67</v>
      </c>
      <c r="R2798" s="54">
        <v>0.02</v>
      </c>
      <c r="S2798" s="54">
        <v>2945211.8</v>
      </c>
      <c r="T2798" s="54">
        <v>894149.21</v>
      </c>
      <c r="U2798" s="54">
        <v>121336.87</v>
      </c>
      <c r="V2798" s="54">
        <v>2172399.46</v>
      </c>
      <c r="W2798" s="54">
        <v>121336.85</v>
      </c>
    </row>
    <row r="2799" spans="1:23" outlineLevel="2" x14ac:dyDescent="0.2">
      <c r="A2799" s="21" t="s">
        <v>1742</v>
      </c>
      <c r="B2799" s="21" t="s">
        <v>39</v>
      </c>
      <c r="C2799" s="21" t="s">
        <v>58</v>
      </c>
      <c r="D2799" s="21" t="s">
        <v>149</v>
      </c>
      <c r="E2799" s="21" t="s">
        <v>150</v>
      </c>
      <c r="F2799" s="21" t="s">
        <v>837</v>
      </c>
      <c r="G2799" s="21" t="s">
        <v>838</v>
      </c>
      <c r="H2799" s="21" t="s">
        <v>1064</v>
      </c>
      <c r="I2799" s="21" t="s">
        <v>1065</v>
      </c>
      <c r="J2799" s="21" t="s">
        <v>1743</v>
      </c>
      <c r="K2799" s="21" t="s">
        <v>1746</v>
      </c>
      <c r="L2799" s="21" t="s">
        <v>1747</v>
      </c>
      <c r="M2799" s="21" t="s">
        <v>15</v>
      </c>
      <c r="N2799" s="54">
        <v>275597.96000000002</v>
      </c>
      <c r="O2799" s="54">
        <v>298158.67</v>
      </c>
      <c r="P2799" s="54">
        <v>0</v>
      </c>
      <c r="Q2799" s="54">
        <v>573756.63</v>
      </c>
      <c r="R2799" s="54">
        <v>0.01</v>
      </c>
      <c r="S2799" s="54">
        <v>449569.5</v>
      </c>
      <c r="T2799" s="54">
        <v>416875.53</v>
      </c>
      <c r="U2799" s="54">
        <v>124187.13</v>
      </c>
      <c r="V2799" s="54">
        <v>156881.1</v>
      </c>
      <c r="W2799" s="54">
        <v>124187.12</v>
      </c>
    </row>
    <row r="2800" spans="1:23" outlineLevel="2" x14ac:dyDescent="0.2">
      <c r="A2800" s="21" t="s">
        <v>1742</v>
      </c>
      <c r="B2800" s="21" t="s">
        <v>39</v>
      </c>
      <c r="C2800" s="21" t="s">
        <v>58</v>
      </c>
      <c r="D2800" s="21" t="s">
        <v>137</v>
      </c>
      <c r="E2800" s="21" t="s">
        <v>138</v>
      </c>
      <c r="F2800" s="21" t="s">
        <v>837</v>
      </c>
      <c r="G2800" s="21" t="s">
        <v>838</v>
      </c>
      <c r="H2800" s="21" t="s">
        <v>1064</v>
      </c>
      <c r="I2800" s="21" t="s">
        <v>1065</v>
      </c>
      <c r="J2800" s="21" t="s">
        <v>1743</v>
      </c>
      <c r="K2800" s="21" t="s">
        <v>1746</v>
      </c>
      <c r="L2800" s="21" t="s">
        <v>1747</v>
      </c>
      <c r="M2800" s="21" t="s">
        <v>12</v>
      </c>
      <c r="N2800" s="54">
        <v>819164.85</v>
      </c>
      <c r="O2800" s="54">
        <v>-30945.41</v>
      </c>
      <c r="P2800" s="54">
        <v>0</v>
      </c>
      <c r="Q2800" s="54">
        <v>788219.44</v>
      </c>
      <c r="R2800" s="54">
        <v>0.01</v>
      </c>
      <c r="S2800" s="54">
        <v>705771.8</v>
      </c>
      <c r="T2800" s="54">
        <v>14885.65</v>
      </c>
      <c r="U2800" s="54">
        <v>82447.64</v>
      </c>
      <c r="V2800" s="54">
        <v>773333.79</v>
      </c>
      <c r="W2800" s="54">
        <v>82447.63</v>
      </c>
    </row>
    <row r="2801" spans="1:23" outlineLevel="2" x14ac:dyDescent="0.2">
      <c r="A2801" s="21" t="s">
        <v>1742</v>
      </c>
      <c r="B2801" s="21" t="s">
        <v>39</v>
      </c>
      <c r="C2801" s="21" t="s">
        <v>58</v>
      </c>
      <c r="D2801" s="21" t="s">
        <v>139</v>
      </c>
      <c r="E2801" s="21" t="s">
        <v>140</v>
      </c>
      <c r="F2801" s="21" t="s">
        <v>837</v>
      </c>
      <c r="G2801" s="21" t="s">
        <v>838</v>
      </c>
      <c r="H2801" s="21" t="s">
        <v>1064</v>
      </c>
      <c r="I2801" s="21" t="s">
        <v>1065</v>
      </c>
      <c r="J2801" s="21" t="s">
        <v>1743</v>
      </c>
      <c r="K2801" s="21" t="s">
        <v>1746</v>
      </c>
      <c r="L2801" s="21" t="s">
        <v>1747</v>
      </c>
      <c r="M2801" s="21" t="s">
        <v>12</v>
      </c>
      <c r="N2801" s="54">
        <v>2176079.4</v>
      </c>
      <c r="O2801" s="54">
        <v>4495.4399999999996</v>
      </c>
      <c r="P2801" s="54">
        <v>0</v>
      </c>
      <c r="Q2801" s="54">
        <v>2180574.84</v>
      </c>
      <c r="R2801" s="54">
        <v>718282.03</v>
      </c>
      <c r="S2801" s="54">
        <v>1056018.4099999999</v>
      </c>
      <c r="T2801" s="54">
        <v>601565.24</v>
      </c>
      <c r="U2801" s="54">
        <v>1124556.43</v>
      </c>
      <c r="V2801" s="54">
        <v>1579009.6</v>
      </c>
      <c r="W2801" s="54">
        <v>406274.4</v>
      </c>
    </row>
    <row r="2802" spans="1:23" outlineLevel="2" x14ac:dyDescent="0.2">
      <c r="A2802" s="21" t="s">
        <v>1742</v>
      </c>
      <c r="B2802" s="21" t="s">
        <v>39</v>
      </c>
      <c r="C2802" s="21" t="s">
        <v>58</v>
      </c>
      <c r="D2802" s="21" t="s">
        <v>145</v>
      </c>
      <c r="E2802" s="21" t="s">
        <v>146</v>
      </c>
      <c r="F2802" s="21" t="s">
        <v>837</v>
      </c>
      <c r="G2802" s="21" t="s">
        <v>838</v>
      </c>
      <c r="H2802" s="21" t="s">
        <v>1064</v>
      </c>
      <c r="I2802" s="21" t="s">
        <v>1065</v>
      </c>
      <c r="J2802" s="21" t="s">
        <v>1743</v>
      </c>
      <c r="K2802" s="21" t="s">
        <v>1746</v>
      </c>
      <c r="L2802" s="21" t="s">
        <v>1747</v>
      </c>
      <c r="M2802" s="21" t="s">
        <v>15</v>
      </c>
      <c r="N2802" s="54">
        <v>787657.76</v>
      </c>
      <c r="O2802" s="54">
        <v>-84391.89</v>
      </c>
      <c r="P2802" s="54">
        <v>0</v>
      </c>
      <c r="Q2802" s="54">
        <v>703265.87</v>
      </c>
      <c r="R2802" s="54">
        <v>0</v>
      </c>
      <c r="S2802" s="54">
        <v>703265.87</v>
      </c>
      <c r="T2802" s="54">
        <v>697886.11</v>
      </c>
      <c r="U2802" s="54">
        <v>0</v>
      </c>
      <c r="V2802" s="54">
        <v>5379.76</v>
      </c>
      <c r="W2802" s="54">
        <v>0</v>
      </c>
    </row>
    <row r="2803" spans="1:23" outlineLevel="2" x14ac:dyDescent="0.2">
      <c r="A2803" s="21" t="s">
        <v>1742</v>
      </c>
      <c r="B2803" s="21" t="s">
        <v>39</v>
      </c>
      <c r="C2803" s="21" t="s">
        <v>58</v>
      </c>
      <c r="D2803" s="21" t="s">
        <v>149</v>
      </c>
      <c r="E2803" s="21" t="s">
        <v>150</v>
      </c>
      <c r="F2803" s="21" t="s">
        <v>837</v>
      </c>
      <c r="G2803" s="21" t="s">
        <v>838</v>
      </c>
      <c r="H2803" s="21" t="s">
        <v>1064</v>
      </c>
      <c r="I2803" s="21" t="s">
        <v>1065</v>
      </c>
      <c r="J2803" s="21" t="s">
        <v>1743</v>
      </c>
      <c r="K2803" s="21" t="s">
        <v>1746</v>
      </c>
      <c r="L2803" s="21" t="s">
        <v>1747</v>
      </c>
      <c r="M2803" s="21" t="s">
        <v>12</v>
      </c>
      <c r="N2803" s="54">
        <v>3924069.69</v>
      </c>
      <c r="O2803" s="54">
        <v>-21439.06</v>
      </c>
      <c r="P2803" s="54">
        <v>0</v>
      </c>
      <c r="Q2803" s="54">
        <v>3902630.63</v>
      </c>
      <c r="R2803" s="54">
        <v>79197.16</v>
      </c>
      <c r="S2803" s="54">
        <v>2713901.26</v>
      </c>
      <c r="T2803" s="54">
        <v>545945.19999999995</v>
      </c>
      <c r="U2803" s="54">
        <v>1188729.3700000001</v>
      </c>
      <c r="V2803" s="54">
        <v>3356685.43</v>
      </c>
      <c r="W2803" s="54">
        <v>1109532.21</v>
      </c>
    </row>
    <row r="2804" spans="1:23" outlineLevel="2" x14ac:dyDescent="0.2">
      <c r="A2804" s="21" t="s">
        <v>1742</v>
      </c>
      <c r="B2804" s="21" t="s">
        <v>39</v>
      </c>
      <c r="C2804" s="21" t="s">
        <v>58</v>
      </c>
      <c r="D2804" s="21" t="s">
        <v>147</v>
      </c>
      <c r="E2804" s="21" t="s">
        <v>148</v>
      </c>
      <c r="F2804" s="21" t="s">
        <v>837</v>
      </c>
      <c r="G2804" s="21" t="s">
        <v>838</v>
      </c>
      <c r="H2804" s="21" t="s">
        <v>1064</v>
      </c>
      <c r="I2804" s="21" t="s">
        <v>1065</v>
      </c>
      <c r="J2804" s="21" t="s">
        <v>1743</v>
      </c>
      <c r="K2804" s="21" t="s">
        <v>1746</v>
      </c>
      <c r="L2804" s="21" t="s">
        <v>1747</v>
      </c>
      <c r="M2804" s="21" t="s">
        <v>15</v>
      </c>
      <c r="N2804" s="54">
        <v>161918.95000000001</v>
      </c>
      <c r="O2804" s="54">
        <v>-111879.96</v>
      </c>
      <c r="P2804" s="54">
        <v>0</v>
      </c>
      <c r="Q2804" s="54">
        <v>50038.99</v>
      </c>
      <c r="R2804" s="54">
        <v>0</v>
      </c>
      <c r="S2804" s="54">
        <v>50038.99</v>
      </c>
      <c r="T2804" s="54">
        <v>50038.99</v>
      </c>
      <c r="U2804" s="54">
        <v>0</v>
      </c>
      <c r="V2804" s="54">
        <v>0</v>
      </c>
      <c r="W2804" s="54">
        <v>0</v>
      </c>
    </row>
    <row r="2805" spans="1:23" outlineLevel="2" x14ac:dyDescent="0.2">
      <c r="A2805" s="21" t="s">
        <v>1742</v>
      </c>
      <c r="B2805" s="21" t="s">
        <v>39</v>
      </c>
      <c r="C2805" s="21" t="s">
        <v>58</v>
      </c>
      <c r="D2805" s="21" t="s">
        <v>147</v>
      </c>
      <c r="E2805" s="21" t="s">
        <v>148</v>
      </c>
      <c r="F2805" s="21" t="s">
        <v>837</v>
      </c>
      <c r="G2805" s="21" t="s">
        <v>838</v>
      </c>
      <c r="H2805" s="21" t="s">
        <v>1064</v>
      </c>
      <c r="I2805" s="21" t="s">
        <v>1065</v>
      </c>
      <c r="J2805" s="21" t="s">
        <v>1743</v>
      </c>
      <c r="K2805" s="21" t="s">
        <v>1746</v>
      </c>
      <c r="L2805" s="21" t="s">
        <v>1747</v>
      </c>
      <c r="M2805" s="21" t="s">
        <v>12</v>
      </c>
      <c r="N2805" s="54">
        <v>3380061.09</v>
      </c>
      <c r="O2805" s="54">
        <v>-26103.68</v>
      </c>
      <c r="P2805" s="54">
        <v>0</v>
      </c>
      <c r="Q2805" s="54">
        <v>3353957.41</v>
      </c>
      <c r="R2805" s="54">
        <v>105538.37</v>
      </c>
      <c r="S2805" s="54">
        <v>2779064.88</v>
      </c>
      <c r="T2805" s="54">
        <v>867627.21</v>
      </c>
      <c r="U2805" s="54">
        <v>574892.53</v>
      </c>
      <c r="V2805" s="54">
        <v>2486330.2000000002</v>
      </c>
      <c r="W2805" s="54">
        <v>469354.16</v>
      </c>
    </row>
    <row r="2806" spans="1:23" outlineLevel="2" x14ac:dyDescent="0.2">
      <c r="A2806" s="21" t="s">
        <v>1742</v>
      </c>
      <c r="B2806" s="21" t="s">
        <v>39</v>
      </c>
      <c r="C2806" s="21" t="s">
        <v>58</v>
      </c>
      <c r="D2806" s="21" t="s">
        <v>137</v>
      </c>
      <c r="E2806" s="21" t="s">
        <v>138</v>
      </c>
      <c r="F2806" s="21" t="s">
        <v>837</v>
      </c>
      <c r="G2806" s="21" t="s">
        <v>838</v>
      </c>
      <c r="H2806" s="21" t="s">
        <v>1064</v>
      </c>
      <c r="I2806" s="21" t="s">
        <v>1065</v>
      </c>
      <c r="J2806" s="21" t="s">
        <v>1743</v>
      </c>
      <c r="K2806" s="21" t="s">
        <v>1746</v>
      </c>
      <c r="L2806" s="21" t="s">
        <v>1747</v>
      </c>
      <c r="M2806" s="21" t="s">
        <v>15</v>
      </c>
      <c r="N2806" s="54">
        <v>57278.64</v>
      </c>
      <c r="O2806" s="54">
        <v>-45250.76</v>
      </c>
      <c r="P2806" s="54">
        <v>0</v>
      </c>
      <c r="Q2806" s="54">
        <v>12027.88</v>
      </c>
      <c r="R2806" s="54">
        <v>0</v>
      </c>
      <c r="S2806" s="54">
        <v>12027.87</v>
      </c>
      <c r="T2806" s="54">
        <v>12027.86</v>
      </c>
      <c r="U2806" s="54">
        <v>0.01</v>
      </c>
      <c r="V2806" s="54">
        <v>0.02</v>
      </c>
      <c r="W2806" s="54">
        <v>0.01</v>
      </c>
    </row>
    <row r="2807" spans="1:23" outlineLevel="2" x14ac:dyDescent="0.2">
      <c r="A2807" s="21" t="s">
        <v>1742</v>
      </c>
      <c r="B2807" s="21" t="s">
        <v>39</v>
      </c>
      <c r="C2807" s="21" t="s">
        <v>58</v>
      </c>
      <c r="D2807" s="21" t="s">
        <v>143</v>
      </c>
      <c r="E2807" s="21" t="s">
        <v>144</v>
      </c>
      <c r="F2807" s="21" t="s">
        <v>837</v>
      </c>
      <c r="G2807" s="21" t="s">
        <v>838</v>
      </c>
      <c r="H2807" s="21" t="s">
        <v>1064</v>
      </c>
      <c r="I2807" s="21" t="s">
        <v>1065</v>
      </c>
      <c r="J2807" s="21" t="s">
        <v>1743</v>
      </c>
      <c r="K2807" s="21" t="s">
        <v>1748</v>
      </c>
      <c r="L2807" s="21" t="s">
        <v>1749</v>
      </c>
      <c r="M2807" s="21" t="s">
        <v>15</v>
      </c>
      <c r="N2807" s="54">
        <v>90000</v>
      </c>
      <c r="O2807" s="54">
        <v>-59574.17</v>
      </c>
      <c r="P2807" s="54">
        <v>0</v>
      </c>
      <c r="Q2807" s="54">
        <v>30425.83</v>
      </c>
      <c r="R2807" s="54">
        <v>0.01</v>
      </c>
      <c r="S2807" s="54">
        <v>30425.82</v>
      </c>
      <c r="T2807" s="54">
        <v>30425.82</v>
      </c>
      <c r="U2807" s="54">
        <v>0.01</v>
      </c>
      <c r="V2807" s="54">
        <v>0.01</v>
      </c>
      <c r="W2807" s="54">
        <v>0</v>
      </c>
    </row>
    <row r="2808" spans="1:23" outlineLevel="2" x14ac:dyDescent="0.2">
      <c r="A2808" s="21" t="s">
        <v>1742</v>
      </c>
      <c r="B2808" s="21" t="s">
        <v>39</v>
      </c>
      <c r="C2808" s="21" t="s">
        <v>58</v>
      </c>
      <c r="D2808" s="21" t="s">
        <v>149</v>
      </c>
      <c r="E2808" s="21" t="s">
        <v>150</v>
      </c>
      <c r="F2808" s="21" t="s">
        <v>837</v>
      </c>
      <c r="G2808" s="21" t="s">
        <v>838</v>
      </c>
      <c r="H2808" s="21" t="s">
        <v>1064</v>
      </c>
      <c r="I2808" s="21" t="s">
        <v>1065</v>
      </c>
      <c r="J2808" s="21" t="s">
        <v>1743</v>
      </c>
      <c r="K2808" s="21" t="s">
        <v>1748</v>
      </c>
      <c r="L2808" s="21" t="s">
        <v>1749</v>
      </c>
      <c r="M2808" s="21" t="s">
        <v>15</v>
      </c>
      <c r="N2808" s="54">
        <v>56249.919999999998</v>
      </c>
      <c r="O2808" s="54">
        <v>243219.5</v>
      </c>
      <c r="P2808" s="54">
        <v>0</v>
      </c>
      <c r="Q2808" s="54">
        <v>299469.42</v>
      </c>
      <c r="R2808" s="54">
        <v>0</v>
      </c>
      <c r="S2808" s="54">
        <v>299469.42</v>
      </c>
      <c r="T2808" s="54">
        <v>299469.42</v>
      </c>
      <c r="U2808" s="54">
        <v>0</v>
      </c>
      <c r="V2808" s="54">
        <v>0</v>
      </c>
      <c r="W2808" s="54">
        <v>0</v>
      </c>
    </row>
    <row r="2809" spans="1:23" outlineLevel="2" x14ac:dyDescent="0.2">
      <c r="A2809" s="21" t="s">
        <v>1742</v>
      </c>
      <c r="B2809" s="21" t="s">
        <v>39</v>
      </c>
      <c r="C2809" s="21" t="s">
        <v>58</v>
      </c>
      <c r="D2809" s="21" t="s">
        <v>139</v>
      </c>
      <c r="E2809" s="21" t="s">
        <v>140</v>
      </c>
      <c r="F2809" s="21" t="s">
        <v>837</v>
      </c>
      <c r="G2809" s="21" t="s">
        <v>838</v>
      </c>
      <c r="H2809" s="21" t="s">
        <v>1064</v>
      </c>
      <c r="I2809" s="21" t="s">
        <v>1065</v>
      </c>
      <c r="J2809" s="21" t="s">
        <v>1743</v>
      </c>
      <c r="K2809" s="21" t="s">
        <v>1748</v>
      </c>
      <c r="L2809" s="21" t="s">
        <v>1749</v>
      </c>
      <c r="M2809" s="21" t="s">
        <v>12</v>
      </c>
      <c r="N2809" s="54">
        <v>786371.82</v>
      </c>
      <c r="O2809" s="54">
        <v>68751.990000000005</v>
      </c>
      <c r="P2809" s="54">
        <v>0</v>
      </c>
      <c r="Q2809" s="54">
        <v>855123.81</v>
      </c>
      <c r="R2809" s="54">
        <v>244160</v>
      </c>
      <c r="S2809" s="54">
        <v>405255.8</v>
      </c>
      <c r="T2809" s="54">
        <v>55803.9</v>
      </c>
      <c r="U2809" s="54">
        <v>449868.01</v>
      </c>
      <c r="V2809" s="54">
        <v>799319.91</v>
      </c>
      <c r="W2809" s="54">
        <v>205708.01</v>
      </c>
    </row>
    <row r="2810" spans="1:23" outlineLevel="2" x14ac:dyDescent="0.2">
      <c r="A2810" s="21" t="s">
        <v>1742</v>
      </c>
      <c r="B2810" s="21" t="s">
        <v>39</v>
      </c>
      <c r="C2810" s="21" t="s">
        <v>58</v>
      </c>
      <c r="D2810" s="21" t="s">
        <v>135</v>
      </c>
      <c r="E2810" s="21" t="s">
        <v>136</v>
      </c>
      <c r="F2810" s="21" t="s">
        <v>837</v>
      </c>
      <c r="G2810" s="21" t="s">
        <v>838</v>
      </c>
      <c r="H2810" s="21" t="s">
        <v>1064</v>
      </c>
      <c r="I2810" s="21" t="s">
        <v>1065</v>
      </c>
      <c r="J2810" s="21" t="s">
        <v>1743</v>
      </c>
      <c r="K2810" s="21" t="s">
        <v>1748</v>
      </c>
      <c r="L2810" s="21" t="s">
        <v>1749</v>
      </c>
      <c r="M2810" s="21" t="s">
        <v>12</v>
      </c>
      <c r="N2810" s="54">
        <v>1430806.72</v>
      </c>
      <c r="O2810" s="54">
        <v>-17994.16</v>
      </c>
      <c r="P2810" s="54">
        <v>0</v>
      </c>
      <c r="Q2810" s="54">
        <v>1412812.56</v>
      </c>
      <c r="R2810" s="54">
        <v>289868.09000000003</v>
      </c>
      <c r="S2810" s="54">
        <v>1086621</v>
      </c>
      <c r="T2810" s="54">
        <v>42257.84</v>
      </c>
      <c r="U2810" s="54">
        <v>326191.56</v>
      </c>
      <c r="V2810" s="54">
        <v>1370554.72</v>
      </c>
      <c r="W2810" s="54">
        <v>36323.47</v>
      </c>
    </row>
    <row r="2811" spans="1:23" outlineLevel="2" x14ac:dyDescent="0.2">
      <c r="A2811" s="21" t="s">
        <v>1742</v>
      </c>
      <c r="B2811" s="21" t="s">
        <v>39</v>
      </c>
      <c r="C2811" s="21" t="s">
        <v>58</v>
      </c>
      <c r="D2811" s="21" t="s">
        <v>137</v>
      </c>
      <c r="E2811" s="21" t="s">
        <v>138</v>
      </c>
      <c r="F2811" s="21" t="s">
        <v>837</v>
      </c>
      <c r="G2811" s="21" t="s">
        <v>838</v>
      </c>
      <c r="H2811" s="21" t="s">
        <v>1064</v>
      </c>
      <c r="I2811" s="21" t="s">
        <v>1065</v>
      </c>
      <c r="J2811" s="21" t="s">
        <v>1743</v>
      </c>
      <c r="K2811" s="21" t="s">
        <v>1748</v>
      </c>
      <c r="L2811" s="21" t="s">
        <v>1749</v>
      </c>
      <c r="M2811" s="21" t="s">
        <v>12</v>
      </c>
      <c r="N2811" s="54">
        <v>1668818.66</v>
      </c>
      <c r="O2811" s="54">
        <v>-169481.19</v>
      </c>
      <c r="P2811" s="54">
        <v>0</v>
      </c>
      <c r="Q2811" s="54">
        <v>1499337.47</v>
      </c>
      <c r="R2811" s="54">
        <v>0</v>
      </c>
      <c r="S2811" s="54">
        <v>1343709.69</v>
      </c>
      <c r="T2811" s="54">
        <v>120238.18</v>
      </c>
      <c r="U2811" s="54">
        <v>155627.78</v>
      </c>
      <c r="V2811" s="54">
        <v>1379099.29</v>
      </c>
      <c r="W2811" s="54">
        <v>155627.78</v>
      </c>
    </row>
    <row r="2812" spans="1:23" outlineLevel="2" x14ac:dyDescent="0.2">
      <c r="A2812" s="21" t="s">
        <v>1742</v>
      </c>
      <c r="B2812" s="21" t="s">
        <v>39</v>
      </c>
      <c r="C2812" s="21" t="s">
        <v>58</v>
      </c>
      <c r="D2812" s="21" t="s">
        <v>143</v>
      </c>
      <c r="E2812" s="21" t="s">
        <v>144</v>
      </c>
      <c r="F2812" s="21" t="s">
        <v>837</v>
      </c>
      <c r="G2812" s="21" t="s">
        <v>838</v>
      </c>
      <c r="H2812" s="21" t="s">
        <v>1064</v>
      </c>
      <c r="I2812" s="21" t="s">
        <v>1065</v>
      </c>
      <c r="J2812" s="21" t="s">
        <v>1743</v>
      </c>
      <c r="K2812" s="21" t="s">
        <v>1748</v>
      </c>
      <c r="L2812" s="21" t="s">
        <v>1749</v>
      </c>
      <c r="M2812" s="21" t="s">
        <v>12</v>
      </c>
      <c r="N2812" s="54">
        <v>1505465.7</v>
      </c>
      <c r="O2812" s="54">
        <v>-109503.08</v>
      </c>
      <c r="P2812" s="54">
        <v>0</v>
      </c>
      <c r="Q2812" s="54">
        <v>1395962.62</v>
      </c>
      <c r="R2812" s="54">
        <v>615373.87</v>
      </c>
      <c r="S2812" s="54">
        <v>730851.75</v>
      </c>
      <c r="T2812" s="54">
        <v>142045.91</v>
      </c>
      <c r="U2812" s="54">
        <v>665110.87</v>
      </c>
      <c r="V2812" s="54">
        <v>1253916.71</v>
      </c>
      <c r="W2812" s="54">
        <v>49737</v>
      </c>
    </row>
    <row r="2813" spans="1:23" outlineLevel="2" x14ac:dyDescent="0.2">
      <c r="A2813" s="21" t="s">
        <v>1742</v>
      </c>
      <c r="B2813" s="21" t="s">
        <v>39</v>
      </c>
      <c r="C2813" s="21" t="s">
        <v>58</v>
      </c>
      <c r="D2813" s="21" t="s">
        <v>139</v>
      </c>
      <c r="E2813" s="21" t="s">
        <v>140</v>
      </c>
      <c r="F2813" s="21" t="s">
        <v>837</v>
      </c>
      <c r="G2813" s="21" t="s">
        <v>838</v>
      </c>
      <c r="H2813" s="21" t="s">
        <v>1064</v>
      </c>
      <c r="I2813" s="21" t="s">
        <v>1065</v>
      </c>
      <c r="J2813" s="21" t="s">
        <v>1743</v>
      </c>
      <c r="K2813" s="21" t="s">
        <v>1748</v>
      </c>
      <c r="L2813" s="21" t="s">
        <v>1749</v>
      </c>
      <c r="M2813" s="21" t="s">
        <v>15</v>
      </c>
      <c r="N2813" s="54">
        <v>24900</v>
      </c>
      <c r="O2813" s="54">
        <v>22567.58</v>
      </c>
      <c r="P2813" s="54">
        <v>0</v>
      </c>
      <c r="Q2813" s="54">
        <v>47467.58</v>
      </c>
      <c r="R2813" s="54">
        <v>0.01</v>
      </c>
      <c r="S2813" s="54">
        <v>47467.57</v>
      </c>
      <c r="T2813" s="54">
        <v>47467.57</v>
      </c>
      <c r="U2813" s="54">
        <v>0.01</v>
      </c>
      <c r="V2813" s="54">
        <v>0.01</v>
      </c>
      <c r="W2813" s="54">
        <v>0</v>
      </c>
    </row>
    <row r="2814" spans="1:23" outlineLevel="2" x14ac:dyDescent="0.2">
      <c r="A2814" s="21" t="s">
        <v>1742</v>
      </c>
      <c r="B2814" s="21" t="s">
        <v>39</v>
      </c>
      <c r="C2814" s="21" t="s">
        <v>58</v>
      </c>
      <c r="D2814" s="21" t="s">
        <v>147</v>
      </c>
      <c r="E2814" s="21" t="s">
        <v>148</v>
      </c>
      <c r="F2814" s="21" t="s">
        <v>837</v>
      </c>
      <c r="G2814" s="21" t="s">
        <v>838</v>
      </c>
      <c r="H2814" s="21" t="s">
        <v>1064</v>
      </c>
      <c r="I2814" s="21" t="s">
        <v>1065</v>
      </c>
      <c r="J2814" s="21" t="s">
        <v>1743</v>
      </c>
      <c r="K2814" s="21" t="s">
        <v>1748</v>
      </c>
      <c r="L2814" s="21" t="s">
        <v>1749</v>
      </c>
      <c r="M2814" s="21" t="s">
        <v>12</v>
      </c>
      <c r="N2814" s="54">
        <v>1533018.52</v>
      </c>
      <c r="O2814" s="54">
        <v>26103.68</v>
      </c>
      <c r="P2814" s="54">
        <v>0</v>
      </c>
      <c r="Q2814" s="54">
        <v>1559122.2</v>
      </c>
      <c r="R2814" s="54">
        <v>197299.92</v>
      </c>
      <c r="S2814" s="54">
        <v>1177979.56</v>
      </c>
      <c r="T2814" s="54">
        <v>153951.10999999999</v>
      </c>
      <c r="U2814" s="54">
        <v>381142.64</v>
      </c>
      <c r="V2814" s="54">
        <v>1405171.09</v>
      </c>
      <c r="W2814" s="54">
        <v>183842.72</v>
      </c>
    </row>
    <row r="2815" spans="1:23" outlineLevel="2" x14ac:dyDescent="0.2">
      <c r="A2815" s="21" t="s">
        <v>1742</v>
      </c>
      <c r="B2815" s="21" t="s">
        <v>39</v>
      </c>
      <c r="C2815" s="21" t="s">
        <v>58</v>
      </c>
      <c r="D2815" s="21" t="s">
        <v>149</v>
      </c>
      <c r="E2815" s="21" t="s">
        <v>150</v>
      </c>
      <c r="F2815" s="21" t="s">
        <v>837</v>
      </c>
      <c r="G2815" s="21" t="s">
        <v>838</v>
      </c>
      <c r="H2815" s="21" t="s">
        <v>1064</v>
      </c>
      <c r="I2815" s="21" t="s">
        <v>1065</v>
      </c>
      <c r="J2815" s="21" t="s">
        <v>1743</v>
      </c>
      <c r="K2815" s="21" t="s">
        <v>1748</v>
      </c>
      <c r="L2815" s="21" t="s">
        <v>1749</v>
      </c>
      <c r="M2815" s="21" t="s">
        <v>12</v>
      </c>
      <c r="N2815" s="54">
        <v>1982402.14</v>
      </c>
      <c r="O2815" s="54">
        <v>190160.81</v>
      </c>
      <c r="P2815" s="54">
        <v>0</v>
      </c>
      <c r="Q2815" s="54">
        <v>2172562.9500000002</v>
      </c>
      <c r="R2815" s="54">
        <v>0</v>
      </c>
      <c r="S2815" s="54">
        <v>1810936.45</v>
      </c>
      <c r="T2815" s="54">
        <v>313551.12</v>
      </c>
      <c r="U2815" s="54">
        <v>361626.5</v>
      </c>
      <c r="V2815" s="54">
        <v>1859011.83</v>
      </c>
      <c r="W2815" s="54">
        <v>361626.5</v>
      </c>
    </row>
    <row r="2816" spans="1:23" outlineLevel="2" x14ac:dyDescent="0.2">
      <c r="A2816" s="21" t="s">
        <v>1742</v>
      </c>
      <c r="B2816" s="21" t="s">
        <v>39</v>
      </c>
      <c r="C2816" s="21" t="s">
        <v>58</v>
      </c>
      <c r="D2816" s="21" t="s">
        <v>147</v>
      </c>
      <c r="E2816" s="21" t="s">
        <v>148</v>
      </c>
      <c r="F2816" s="21" t="s">
        <v>837</v>
      </c>
      <c r="G2816" s="21" t="s">
        <v>838</v>
      </c>
      <c r="H2816" s="21" t="s">
        <v>1064</v>
      </c>
      <c r="I2816" s="21" t="s">
        <v>1065</v>
      </c>
      <c r="J2816" s="21" t="s">
        <v>1743</v>
      </c>
      <c r="K2816" s="21" t="s">
        <v>1748</v>
      </c>
      <c r="L2816" s="21" t="s">
        <v>1749</v>
      </c>
      <c r="M2816" s="21" t="s">
        <v>15</v>
      </c>
      <c r="N2816" s="54">
        <v>0</v>
      </c>
      <c r="O2816" s="54">
        <v>111879.96</v>
      </c>
      <c r="P2816" s="54">
        <v>0</v>
      </c>
      <c r="Q2816" s="54">
        <v>111879.96</v>
      </c>
      <c r="R2816" s="54">
        <v>0</v>
      </c>
      <c r="S2816" s="54">
        <v>111879.96</v>
      </c>
      <c r="T2816" s="54">
        <v>111879.96</v>
      </c>
      <c r="U2816" s="54">
        <v>0</v>
      </c>
      <c r="V2816" s="54">
        <v>0</v>
      </c>
      <c r="W2816" s="54">
        <v>0</v>
      </c>
    </row>
    <row r="2817" spans="1:23" outlineLevel="2" x14ac:dyDescent="0.2">
      <c r="A2817" s="21" t="s">
        <v>1742</v>
      </c>
      <c r="B2817" s="21" t="s">
        <v>39</v>
      </c>
      <c r="C2817" s="21" t="s">
        <v>58</v>
      </c>
      <c r="D2817" s="21" t="s">
        <v>59</v>
      </c>
      <c r="E2817" s="21" t="s">
        <v>60</v>
      </c>
      <c r="F2817" s="21" t="s">
        <v>837</v>
      </c>
      <c r="G2817" s="21" t="s">
        <v>838</v>
      </c>
      <c r="H2817" s="21" t="s">
        <v>1064</v>
      </c>
      <c r="I2817" s="21" t="s">
        <v>1065</v>
      </c>
      <c r="J2817" s="21" t="s">
        <v>1743</v>
      </c>
      <c r="K2817" s="21" t="s">
        <v>1748</v>
      </c>
      <c r="L2817" s="21" t="s">
        <v>1749</v>
      </c>
      <c r="M2817" s="21" t="s">
        <v>12</v>
      </c>
      <c r="N2817" s="54">
        <v>2871294.47</v>
      </c>
      <c r="O2817" s="54">
        <v>232581.4</v>
      </c>
      <c r="P2817" s="54">
        <v>0</v>
      </c>
      <c r="Q2817" s="54">
        <v>3103875.87</v>
      </c>
      <c r="R2817" s="54">
        <v>151095.85999999999</v>
      </c>
      <c r="S2817" s="54">
        <v>2311547.13</v>
      </c>
      <c r="T2817" s="54">
        <v>277317.01</v>
      </c>
      <c r="U2817" s="54">
        <v>792328.74</v>
      </c>
      <c r="V2817" s="54">
        <v>2826558.86</v>
      </c>
      <c r="W2817" s="54">
        <v>641232.88</v>
      </c>
    </row>
    <row r="2818" spans="1:23" outlineLevel="2" x14ac:dyDescent="0.2">
      <c r="A2818" s="21" t="s">
        <v>1742</v>
      </c>
      <c r="B2818" s="21" t="s">
        <v>39</v>
      </c>
      <c r="C2818" s="21" t="s">
        <v>58</v>
      </c>
      <c r="D2818" s="21" t="s">
        <v>59</v>
      </c>
      <c r="E2818" s="21" t="s">
        <v>60</v>
      </c>
      <c r="F2818" s="21" t="s">
        <v>837</v>
      </c>
      <c r="G2818" s="21" t="s">
        <v>838</v>
      </c>
      <c r="H2818" s="21" t="s">
        <v>1064</v>
      </c>
      <c r="I2818" s="21" t="s">
        <v>1065</v>
      </c>
      <c r="J2818" s="21" t="s">
        <v>1743</v>
      </c>
      <c r="K2818" s="21" t="s">
        <v>1748</v>
      </c>
      <c r="L2818" s="21" t="s">
        <v>1749</v>
      </c>
      <c r="M2818" s="21" t="s">
        <v>15</v>
      </c>
      <c r="N2818" s="54">
        <v>0</v>
      </c>
      <c r="O2818" s="54">
        <v>174333.23</v>
      </c>
      <c r="P2818" s="54">
        <v>0</v>
      </c>
      <c r="Q2818" s="54">
        <v>174333.23</v>
      </c>
      <c r="R2818" s="54">
        <v>0</v>
      </c>
      <c r="S2818" s="54">
        <v>174333.22</v>
      </c>
      <c r="T2818" s="54">
        <v>174333.22</v>
      </c>
      <c r="U2818" s="54">
        <v>0.01</v>
      </c>
      <c r="V2818" s="54">
        <v>0.01</v>
      </c>
      <c r="W2818" s="54">
        <v>0.01</v>
      </c>
    </row>
    <row r="2819" spans="1:23" outlineLevel="2" x14ac:dyDescent="0.2">
      <c r="A2819" s="21" t="s">
        <v>1742</v>
      </c>
      <c r="B2819" s="21" t="s">
        <v>39</v>
      </c>
      <c r="C2819" s="21" t="s">
        <v>58</v>
      </c>
      <c r="D2819" s="21" t="s">
        <v>145</v>
      </c>
      <c r="E2819" s="21" t="s">
        <v>146</v>
      </c>
      <c r="F2819" s="21" t="s">
        <v>837</v>
      </c>
      <c r="G2819" s="21" t="s">
        <v>838</v>
      </c>
      <c r="H2819" s="21" t="s">
        <v>1064</v>
      </c>
      <c r="I2819" s="21" t="s">
        <v>1065</v>
      </c>
      <c r="J2819" s="21" t="s">
        <v>1743</v>
      </c>
      <c r="K2819" s="21" t="s">
        <v>1748</v>
      </c>
      <c r="L2819" s="21" t="s">
        <v>1749</v>
      </c>
      <c r="M2819" s="21" t="s">
        <v>12</v>
      </c>
      <c r="N2819" s="54">
        <v>2443557.15</v>
      </c>
      <c r="O2819" s="54">
        <v>-91757.15</v>
      </c>
      <c r="P2819" s="54">
        <v>0</v>
      </c>
      <c r="Q2819" s="54">
        <v>2351800</v>
      </c>
      <c r="R2819" s="54">
        <v>0</v>
      </c>
      <c r="S2819" s="54">
        <v>1953015.46</v>
      </c>
      <c r="T2819" s="54">
        <v>0</v>
      </c>
      <c r="U2819" s="54">
        <v>398784.54</v>
      </c>
      <c r="V2819" s="54">
        <v>2351800</v>
      </c>
      <c r="W2819" s="54">
        <v>398784.54</v>
      </c>
    </row>
    <row r="2820" spans="1:23" outlineLevel="2" x14ac:dyDescent="0.2">
      <c r="A2820" s="21" t="s">
        <v>1742</v>
      </c>
      <c r="B2820" s="21" t="s">
        <v>39</v>
      </c>
      <c r="C2820" s="21" t="s">
        <v>58</v>
      </c>
      <c r="D2820" s="21" t="s">
        <v>137</v>
      </c>
      <c r="E2820" s="21" t="s">
        <v>138</v>
      </c>
      <c r="F2820" s="21" t="s">
        <v>837</v>
      </c>
      <c r="G2820" s="21" t="s">
        <v>838</v>
      </c>
      <c r="H2820" s="21" t="s">
        <v>1064</v>
      </c>
      <c r="I2820" s="21" t="s">
        <v>1065</v>
      </c>
      <c r="J2820" s="21" t="s">
        <v>1743</v>
      </c>
      <c r="K2820" s="21" t="s">
        <v>1748</v>
      </c>
      <c r="L2820" s="21" t="s">
        <v>1749</v>
      </c>
      <c r="M2820" s="21" t="s">
        <v>15</v>
      </c>
      <c r="N2820" s="54">
        <v>141267.42000000001</v>
      </c>
      <c r="O2820" s="54">
        <v>-71169.77</v>
      </c>
      <c r="P2820" s="54">
        <v>0</v>
      </c>
      <c r="Q2820" s="54">
        <v>70097.649999999994</v>
      </c>
      <c r="R2820" s="54">
        <v>0</v>
      </c>
      <c r="S2820" s="54">
        <v>70097.64</v>
      </c>
      <c r="T2820" s="54">
        <v>70097.64</v>
      </c>
      <c r="U2820" s="54">
        <v>0.01</v>
      </c>
      <c r="V2820" s="54">
        <v>0.01</v>
      </c>
      <c r="W2820" s="54">
        <v>0.01</v>
      </c>
    </row>
    <row r="2821" spans="1:23" outlineLevel="2" x14ac:dyDescent="0.2">
      <c r="A2821" s="21" t="s">
        <v>1742</v>
      </c>
      <c r="B2821" s="21" t="s">
        <v>39</v>
      </c>
      <c r="C2821" s="21" t="s">
        <v>58</v>
      </c>
      <c r="D2821" s="21" t="s">
        <v>137</v>
      </c>
      <c r="E2821" s="21" t="s">
        <v>138</v>
      </c>
      <c r="F2821" s="21" t="s">
        <v>837</v>
      </c>
      <c r="G2821" s="21" t="s">
        <v>838</v>
      </c>
      <c r="H2821" s="21" t="s">
        <v>1064</v>
      </c>
      <c r="I2821" s="21" t="s">
        <v>1065</v>
      </c>
      <c r="J2821" s="21" t="s">
        <v>1743</v>
      </c>
      <c r="K2821" s="21" t="s">
        <v>1744</v>
      </c>
      <c r="L2821" s="21" t="s">
        <v>1750</v>
      </c>
      <c r="M2821" s="21" t="s">
        <v>15</v>
      </c>
      <c r="N2821" s="54">
        <v>234498.13</v>
      </c>
      <c r="O2821" s="54">
        <v>-26732.05</v>
      </c>
      <c r="P2821" s="54">
        <v>0</v>
      </c>
      <c r="Q2821" s="54">
        <v>207766.08</v>
      </c>
      <c r="R2821" s="54">
        <v>0</v>
      </c>
      <c r="S2821" s="54">
        <v>207766.08</v>
      </c>
      <c r="T2821" s="54">
        <v>207766.07</v>
      </c>
      <c r="U2821" s="54">
        <v>0</v>
      </c>
      <c r="V2821" s="54">
        <v>0.01</v>
      </c>
      <c r="W2821" s="54">
        <v>0</v>
      </c>
    </row>
    <row r="2822" spans="1:23" outlineLevel="2" x14ac:dyDescent="0.2">
      <c r="A2822" s="21" t="s">
        <v>1742</v>
      </c>
      <c r="B2822" s="21" t="s">
        <v>39</v>
      </c>
      <c r="C2822" s="21" t="s">
        <v>58</v>
      </c>
      <c r="D2822" s="21" t="s">
        <v>137</v>
      </c>
      <c r="E2822" s="21" t="s">
        <v>138</v>
      </c>
      <c r="F2822" s="21" t="s">
        <v>837</v>
      </c>
      <c r="G2822" s="21" t="s">
        <v>838</v>
      </c>
      <c r="H2822" s="21" t="s">
        <v>1064</v>
      </c>
      <c r="I2822" s="21" t="s">
        <v>1065</v>
      </c>
      <c r="J2822" s="21" t="s">
        <v>1743</v>
      </c>
      <c r="K2822" s="21" t="s">
        <v>1744</v>
      </c>
      <c r="L2822" s="21" t="s">
        <v>1750</v>
      </c>
      <c r="M2822" s="21" t="s">
        <v>12</v>
      </c>
      <c r="N2822" s="54">
        <v>825454.9</v>
      </c>
      <c r="O2822" s="54">
        <v>50747.49</v>
      </c>
      <c r="P2822" s="54">
        <v>0</v>
      </c>
      <c r="Q2822" s="54">
        <v>876202.39</v>
      </c>
      <c r="R2822" s="54">
        <v>0</v>
      </c>
      <c r="S2822" s="54">
        <v>604665.29</v>
      </c>
      <c r="T2822" s="54">
        <v>241267.05</v>
      </c>
      <c r="U2822" s="54">
        <v>271537.09999999998</v>
      </c>
      <c r="V2822" s="54">
        <v>634935.34</v>
      </c>
      <c r="W2822" s="54">
        <v>271537.09999999998</v>
      </c>
    </row>
    <row r="2823" spans="1:23" outlineLevel="2" x14ac:dyDescent="0.2">
      <c r="A2823" s="21" t="s">
        <v>1742</v>
      </c>
      <c r="B2823" s="21" t="s">
        <v>39</v>
      </c>
      <c r="C2823" s="21" t="s">
        <v>58</v>
      </c>
      <c r="D2823" s="21" t="s">
        <v>143</v>
      </c>
      <c r="E2823" s="21" t="s">
        <v>144</v>
      </c>
      <c r="F2823" s="21" t="s">
        <v>837</v>
      </c>
      <c r="G2823" s="21" t="s">
        <v>838</v>
      </c>
      <c r="H2823" s="21" t="s">
        <v>1064</v>
      </c>
      <c r="I2823" s="21" t="s">
        <v>1065</v>
      </c>
      <c r="J2823" s="21" t="s">
        <v>1743</v>
      </c>
      <c r="K2823" s="21" t="s">
        <v>1744</v>
      </c>
      <c r="L2823" s="21" t="s">
        <v>1750</v>
      </c>
      <c r="M2823" s="21" t="s">
        <v>15</v>
      </c>
      <c r="N2823" s="54">
        <v>65000</v>
      </c>
      <c r="O2823" s="54">
        <v>-65000</v>
      </c>
      <c r="P2823" s="54">
        <v>0</v>
      </c>
      <c r="Q2823" s="54">
        <v>0</v>
      </c>
      <c r="R2823" s="54">
        <v>0</v>
      </c>
      <c r="S2823" s="54">
        <v>0</v>
      </c>
      <c r="T2823" s="54">
        <v>0</v>
      </c>
      <c r="U2823" s="54">
        <v>0</v>
      </c>
      <c r="V2823" s="54">
        <v>0</v>
      </c>
      <c r="W2823" s="54">
        <v>0</v>
      </c>
    </row>
    <row r="2824" spans="1:23" outlineLevel="2" x14ac:dyDescent="0.2">
      <c r="A2824" s="21" t="s">
        <v>1742</v>
      </c>
      <c r="B2824" s="21" t="s">
        <v>39</v>
      </c>
      <c r="C2824" s="21" t="s">
        <v>58</v>
      </c>
      <c r="D2824" s="21" t="s">
        <v>59</v>
      </c>
      <c r="E2824" s="21" t="s">
        <v>60</v>
      </c>
      <c r="F2824" s="21" t="s">
        <v>837</v>
      </c>
      <c r="G2824" s="21" t="s">
        <v>838</v>
      </c>
      <c r="H2824" s="21" t="s">
        <v>1125</v>
      </c>
      <c r="I2824" s="21" t="s">
        <v>1126</v>
      </c>
      <c r="J2824" s="21" t="s">
        <v>1743</v>
      </c>
      <c r="K2824" s="21" t="s">
        <v>1746</v>
      </c>
      <c r="L2824" s="21" t="s">
        <v>1747</v>
      </c>
      <c r="M2824" s="21" t="s">
        <v>12</v>
      </c>
      <c r="N2824" s="54">
        <v>230964</v>
      </c>
      <c r="O2824" s="54">
        <v>-164490.57</v>
      </c>
      <c r="P2824" s="54">
        <v>0</v>
      </c>
      <c r="Q2824" s="54">
        <v>66473.429999999993</v>
      </c>
      <c r="R2824" s="54">
        <v>0</v>
      </c>
      <c r="S2824" s="54">
        <v>65644.009999999995</v>
      </c>
      <c r="T2824" s="54">
        <v>65644.009999999995</v>
      </c>
      <c r="U2824" s="54">
        <v>829.42</v>
      </c>
      <c r="V2824" s="54">
        <v>829.42</v>
      </c>
      <c r="W2824" s="54">
        <v>829.42</v>
      </c>
    </row>
    <row r="2825" spans="1:23" outlineLevel="2" x14ac:dyDescent="0.2">
      <c r="A2825" s="21" t="s">
        <v>1742</v>
      </c>
      <c r="B2825" s="21" t="s">
        <v>39</v>
      </c>
      <c r="C2825" s="21" t="s">
        <v>58</v>
      </c>
      <c r="D2825" s="21" t="s">
        <v>149</v>
      </c>
      <c r="E2825" s="21" t="s">
        <v>150</v>
      </c>
      <c r="F2825" s="21" t="s">
        <v>837</v>
      </c>
      <c r="G2825" s="21" t="s">
        <v>838</v>
      </c>
      <c r="H2825" s="21" t="s">
        <v>1125</v>
      </c>
      <c r="I2825" s="21" t="s">
        <v>1126</v>
      </c>
      <c r="J2825" s="21" t="s">
        <v>1743</v>
      </c>
      <c r="K2825" s="21" t="s">
        <v>1746</v>
      </c>
      <c r="L2825" s="21" t="s">
        <v>1747</v>
      </c>
      <c r="M2825" s="21" t="s">
        <v>12</v>
      </c>
      <c r="N2825" s="54">
        <v>300000</v>
      </c>
      <c r="O2825" s="54">
        <v>-31462.5</v>
      </c>
      <c r="P2825" s="54">
        <v>0</v>
      </c>
      <c r="Q2825" s="54">
        <v>268537.5</v>
      </c>
      <c r="R2825" s="54">
        <v>0</v>
      </c>
      <c r="S2825" s="54">
        <v>217851.22</v>
      </c>
      <c r="T2825" s="54">
        <v>0</v>
      </c>
      <c r="U2825" s="54">
        <v>50686.28</v>
      </c>
      <c r="V2825" s="54">
        <v>268537.5</v>
      </c>
      <c r="W2825" s="54">
        <v>50686.28</v>
      </c>
    </row>
    <row r="2826" spans="1:23" outlineLevel="2" x14ac:dyDescent="0.2">
      <c r="A2826" s="21" t="s">
        <v>1742</v>
      </c>
      <c r="B2826" s="21" t="s">
        <v>39</v>
      </c>
      <c r="C2826" s="21" t="s">
        <v>58</v>
      </c>
      <c r="D2826" s="21" t="s">
        <v>135</v>
      </c>
      <c r="E2826" s="21" t="s">
        <v>136</v>
      </c>
      <c r="F2826" s="21" t="s">
        <v>837</v>
      </c>
      <c r="G2826" s="21" t="s">
        <v>838</v>
      </c>
      <c r="H2826" s="21" t="s">
        <v>1125</v>
      </c>
      <c r="I2826" s="21" t="s">
        <v>1126</v>
      </c>
      <c r="J2826" s="21" t="s">
        <v>1743</v>
      </c>
      <c r="K2826" s="21" t="s">
        <v>1746</v>
      </c>
      <c r="L2826" s="21" t="s">
        <v>1747</v>
      </c>
      <c r="M2826" s="21" t="s">
        <v>12</v>
      </c>
      <c r="N2826" s="54">
        <v>197716.97</v>
      </c>
      <c r="O2826" s="54">
        <v>10607.83</v>
      </c>
      <c r="P2826" s="54">
        <v>0</v>
      </c>
      <c r="Q2826" s="54">
        <v>208324.8</v>
      </c>
      <c r="R2826" s="54">
        <v>0.06</v>
      </c>
      <c r="S2826" s="54">
        <v>208324.74</v>
      </c>
      <c r="T2826" s="54">
        <v>0</v>
      </c>
      <c r="U2826" s="54">
        <v>0.06</v>
      </c>
      <c r="V2826" s="54">
        <v>208324.8</v>
      </c>
      <c r="W2826" s="54">
        <v>0</v>
      </c>
    </row>
    <row r="2827" spans="1:23" outlineLevel="2" x14ac:dyDescent="0.2">
      <c r="A2827" s="21" t="s">
        <v>1742</v>
      </c>
      <c r="B2827" s="21" t="s">
        <v>39</v>
      </c>
      <c r="C2827" s="21" t="s">
        <v>58</v>
      </c>
      <c r="D2827" s="21" t="s">
        <v>137</v>
      </c>
      <c r="E2827" s="21" t="s">
        <v>138</v>
      </c>
      <c r="F2827" s="21" t="s">
        <v>837</v>
      </c>
      <c r="G2827" s="21" t="s">
        <v>838</v>
      </c>
      <c r="H2827" s="21" t="s">
        <v>1125</v>
      </c>
      <c r="I2827" s="21" t="s">
        <v>1126</v>
      </c>
      <c r="J2827" s="21" t="s">
        <v>1743</v>
      </c>
      <c r="K2827" s="21" t="s">
        <v>1746</v>
      </c>
      <c r="L2827" s="21" t="s">
        <v>1747</v>
      </c>
      <c r="M2827" s="21" t="s">
        <v>12</v>
      </c>
      <c r="N2827" s="54">
        <v>55000</v>
      </c>
      <c r="O2827" s="54">
        <v>-27000</v>
      </c>
      <c r="P2827" s="54">
        <v>0</v>
      </c>
      <c r="Q2827" s="54">
        <v>28000</v>
      </c>
      <c r="R2827" s="54">
        <v>0</v>
      </c>
      <c r="S2827" s="54">
        <v>0</v>
      </c>
      <c r="T2827" s="54">
        <v>0</v>
      </c>
      <c r="U2827" s="54">
        <v>28000</v>
      </c>
      <c r="V2827" s="54">
        <v>28000</v>
      </c>
      <c r="W2827" s="54">
        <v>28000</v>
      </c>
    </row>
    <row r="2828" spans="1:23" outlineLevel="2" x14ac:dyDescent="0.2">
      <c r="A2828" s="21" t="s">
        <v>1742</v>
      </c>
      <c r="B2828" s="21" t="s">
        <v>39</v>
      </c>
      <c r="C2828" s="21" t="s">
        <v>58</v>
      </c>
      <c r="D2828" s="21" t="s">
        <v>59</v>
      </c>
      <c r="E2828" s="21" t="s">
        <v>60</v>
      </c>
      <c r="F2828" s="21" t="s">
        <v>837</v>
      </c>
      <c r="G2828" s="21" t="s">
        <v>838</v>
      </c>
      <c r="H2828" s="21" t="s">
        <v>1125</v>
      </c>
      <c r="I2828" s="21" t="s">
        <v>1126</v>
      </c>
      <c r="J2828" s="21" t="s">
        <v>1743</v>
      </c>
      <c r="K2828" s="21" t="s">
        <v>1746</v>
      </c>
      <c r="L2828" s="21" t="s">
        <v>1747</v>
      </c>
      <c r="M2828" s="21" t="s">
        <v>15</v>
      </c>
      <c r="N2828" s="54">
        <v>53123.75</v>
      </c>
      <c r="O2828" s="54">
        <v>0</v>
      </c>
      <c r="P2828" s="54">
        <v>0</v>
      </c>
      <c r="Q2828" s="54">
        <v>53123.75</v>
      </c>
      <c r="R2828" s="54">
        <v>0</v>
      </c>
      <c r="S2828" s="54">
        <v>53123.75</v>
      </c>
      <c r="T2828" s="54">
        <v>53123.75</v>
      </c>
      <c r="U2828" s="54">
        <v>0</v>
      </c>
      <c r="V2828" s="54">
        <v>0</v>
      </c>
      <c r="W2828" s="54">
        <v>0</v>
      </c>
    </row>
    <row r="2829" spans="1:23" outlineLevel="2" x14ac:dyDescent="0.2">
      <c r="A2829" s="21" t="s">
        <v>1742</v>
      </c>
      <c r="B2829" s="21" t="s">
        <v>39</v>
      </c>
      <c r="C2829" s="21" t="s">
        <v>58</v>
      </c>
      <c r="D2829" s="21" t="s">
        <v>143</v>
      </c>
      <c r="E2829" s="21" t="s">
        <v>144</v>
      </c>
      <c r="F2829" s="21" t="s">
        <v>837</v>
      </c>
      <c r="G2829" s="21" t="s">
        <v>838</v>
      </c>
      <c r="H2829" s="21" t="s">
        <v>1125</v>
      </c>
      <c r="I2829" s="21" t="s">
        <v>1126</v>
      </c>
      <c r="J2829" s="21" t="s">
        <v>1743</v>
      </c>
      <c r="K2829" s="21" t="s">
        <v>1746</v>
      </c>
      <c r="L2829" s="21" t="s">
        <v>1747</v>
      </c>
      <c r="M2829" s="21" t="s">
        <v>12</v>
      </c>
      <c r="N2829" s="54">
        <v>238012.98</v>
      </c>
      <c r="O2829" s="54">
        <v>0</v>
      </c>
      <c r="P2829" s="54">
        <v>0</v>
      </c>
      <c r="Q2829" s="54">
        <v>238012.98</v>
      </c>
      <c r="R2829" s="54">
        <v>10510.76</v>
      </c>
      <c r="S2829" s="54">
        <v>196987.9</v>
      </c>
      <c r="T2829" s="54">
        <v>42861.120000000003</v>
      </c>
      <c r="U2829" s="54">
        <v>41025.08</v>
      </c>
      <c r="V2829" s="54">
        <v>195151.86</v>
      </c>
      <c r="W2829" s="54">
        <v>30514.32</v>
      </c>
    </row>
    <row r="2830" spans="1:23" outlineLevel="2" x14ac:dyDescent="0.2">
      <c r="A2830" s="21" t="s">
        <v>1742</v>
      </c>
      <c r="B2830" s="21" t="s">
        <v>39</v>
      </c>
      <c r="C2830" s="21" t="s">
        <v>58</v>
      </c>
      <c r="D2830" s="21" t="s">
        <v>145</v>
      </c>
      <c r="E2830" s="21" t="s">
        <v>146</v>
      </c>
      <c r="F2830" s="21" t="s">
        <v>837</v>
      </c>
      <c r="G2830" s="21" t="s">
        <v>838</v>
      </c>
      <c r="H2830" s="21" t="s">
        <v>1125</v>
      </c>
      <c r="I2830" s="21" t="s">
        <v>1126</v>
      </c>
      <c r="J2830" s="21" t="s">
        <v>1743</v>
      </c>
      <c r="K2830" s="21" t="s">
        <v>1746</v>
      </c>
      <c r="L2830" s="21" t="s">
        <v>1747</v>
      </c>
      <c r="M2830" s="21" t="s">
        <v>12</v>
      </c>
      <c r="N2830" s="54">
        <v>455528.6</v>
      </c>
      <c r="O2830" s="54">
        <v>-380528.6</v>
      </c>
      <c r="P2830" s="54">
        <v>0</v>
      </c>
      <c r="Q2830" s="54">
        <v>75000</v>
      </c>
      <c r="R2830" s="54">
        <v>0</v>
      </c>
      <c r="S2830" s="54">
        <v>24981.02</v>
      </c>
      <c r="T2830" s="54">
        <v>0</v>
      </c>
      <c r="U2830" s="54">
        <v>50018.98</v>
      </c>
      <c r="V2830" s="54">
        <v>75000</v>
      </c>
      <c r="W2830" s="54">
        <v>50018.98</v>
      </c>
    </row>
    <row r="2831" spans="1:23" outlineLevel="2" x14ac:dyDescent="0.2">
      <c r="A2831" s="21" t="s">
        <v>1742</v>
      </c>
      <c r="B2831" s="21" t="s">
        <v>39</v>
      </c>
      <c r="C2831" s="21" t="s">
        <v>58</v>
      </c>
      <c r="D2831" s="21" t="s">
        <v>143</v>
      </c>
      <c r="E2831" s="21" t="s">
        <v>144</v>
      </c>
      <c r="F2831" s="21" t="s">
        <v>837</v>
      </c>
      <c r="G2831" s="21" t="s">
        <v>838</v>
      </c>
      <c r="H2831" s="21" t="s">
        <v>1125</v>
      </c>
      <c r="I2831" s="21" t="s">
        <v>1126</v>
      </c>
      <c r="J2831" s="21" t="s">
        <v>1743</v>
      </c>
      <c r="K2831" s="21" t="s">
        <v>1746</v>
      </c>
      <c r="L2831" s="21" t="s">
        <v>1747</v>
      </c>
      <c r="M2831" s="21" t="s">
        <v>15</v>
      </c>
      <c r="N2831" s="54">
        <v>100000</v>
      </c>
      <c r="O2831" s="54">
        <v>-64108.63</v>
      </c>
      <c r="P2831" s="54">
        <v>0</v>
      </c>
      <c r="Q2831" s="54">
        <v>35891.370000000003</v>
      </c>
      <c r="R2831" s="54">
        <v>0.01</v>
      </c>
      <c r="S2831" s="54">
        <v>35891.360000000001</v>
      </c>
      <c r="T2831" s="54">
        <v>35891.360000000001</v>
      </c>
      <c r="U2831" s="54">
        <v>0.01</v>
      </c>
      <c r="V2831" s="54">
        <v>0.01</v>
      </c>
      <c r="W2831" s="54">
        <v>0</v>
      </c>
    </row>
    <row r="2832" spans="1:23" outlineLevel="2" x14ac:dyDescent="0.2">
      <c r="A2832" s="21" t="s">
        <v>1742</v>
      </c>
      <c r="B2832" s="21" t="s">
        <v>39</v>
      </c>
      <c r="C2832" s="21" t="s">
        <v>58</v>
      </c>
      <c r="D2832" s="21" t="s">
        <v>147</v>
      </c>
      <c r="E2832" s="21" t="s">
        <v>148</v>
      </c>
      <c r="F2832" s="21" t="s">
        <v>837</v>
      </c>
      <c r="G2832" s="21" t="s">
        <v>838</v>
      </c>
      <c r="H2832" s="21" t="s">
        <v>1125</v>
      </c>
      <c r="I2832" s="21" t="s">
        <v>1126</v>
      </c>
      <c r="J2832" s="21" t="s">
        <v>1743</v>
      </c>
      <c r="K2832" s="21" t="s">
        <v>1746</v>
      </c>
      <c r="L2832" s="21" t="s">
        <v>1747</v>
      </c>
      <c r="M2832" s="21" t="s">
        <v>12</v>
      </c>
      <c r="N2832" s="54">
        <v>402100.22</v>
      </c>
      <c r="O2832" s="54">
        <v>0</v>
      </c>
      <c r="P2832" s="54">
        <v>0</v>
      </c>
      <c r="Q2832" s="54">
        <v>402100.22</v>
      </c>
      <c r="R2832" s="54">
        <v>35002.730000000003</v>
      </c>
      <c r="S2832" s="54">
        <v>233351.54</v>
      </c>
      <c r="T2832" s="54">
        <v>232659.59</v>
      </c>
      <c r="U2832" s="54">
        <v>168748.68</v>
      </c>
      <c r="V2832" s="54">
        <v>169440.63</v>
      </c>
      <c r="W2832" s="54">
        <v>133745.95000000001</v>
      </c>
    </row>
    <row r="2833" spans="1:23" outlineLevel="2" x14ac:dyDescent="0.2">
      <c r="A2833" s="21" t="s">
        <v>1742</v>
      </c>
      <c r="B2833" s="21" t="s">
        <v>39</v>
      </c>
      <c r="C2833" s="21" t="s">
        <v>58</v>
      </c>
      <c r="D2833" s="21" t="s">
        <v>139</v>
      </c>
      <c r="E2833" s="21" t="s">
        <v>140</v>
      </c>
      <c r="F2833" s="21" t="s">
        <v>837</v>
      </c>
      <c r="G2833" s="21" t="s">
        <v>838</v>
      </c>
      <c r="H2833" s="21" t="s">
        <v>1125</v>
      </c>
      <c r="I2833" s="21" t="s">
        <v>1126</v>
      </c>
      <c r="J2833" s="21" t="s">
        <v>1743</v>
      </c>
      <c r="K2833" s="21" t="s">
        <v>1746</v>
      </c>
      <c r="L2833" s="21" t="s">
        <v>1747</v>
      </c>
      <c r="M2833" s="21" t="s">
        <v>12</v>
      </c>
      <c r="N2833" s="54">
        <v>347040</v>
      </c>
      <c r="O2833" s="54">
        <v>0</v>
      </c>
      <c r="P2833" s="54">
        <v>0</v>
      </c>
      <c r="Q2833" s="54">
        <v>347040</v>
      </c>
      <c r="R2833" s="54">
        <v>0</v>
      </c>
      <c r="S2833" s="54">
        <v>80640</v>
      </c>
      <c r="T2833" s="54">
        <v>0</v>
      </c>
      <c r="U2833" s="54">
        <v>266400</v>
      </c>
      <c r="V2833" s="54">
        <v>347040</v>
      </c>
      <c r="W2833" s="54">
        <v>266400</v>
      </c>
    </row>
    <row r="2834" spans="1:23" outlineLevel="2" x14ac:dyDescent="0.2">
      <c r="A2834" s="21" t="s">
        <v>1742</v>
      </c>
      <c r="B2834" s="21" t="s">
        <v>39</v>
      </c>
      <c r="C2834" s="21" t="s">
        <v>58</v>
      </c>
      <c r="D2834" s="21" t="s">
        <v>149</v>
      </c>
      <c r="E2834" s="21" t="s">
        <v>150</v>
      </c>
      <c r="F2834" s="21" t="s">
        <v>837</v>
      </c>
      <c r="G2834" s="21" t="s">
        <v>838</v>
      </c>
      <c r="H2834" s="21" t="s">
        <v>1125</v>
      </c>
      <c r="I2834" s="21" t="s">
        <v>1126</v>
      </c>
      <c r="J2834" s="21" t="s">
        <v>1743</v>
      </c>
      <c r="K2834" s="21" t="s">
        <v>1748</v>
      </c>
      <c r="L2834" s="21" t="s">
        <v>1749</v>
      </c>
      <c r="M2834" s="21" t="s">
        <v>12</v>
      </c>
      <c r="N2834" s="54">
        <v>276402.88</v>
      </c>
      <c r="O2834" s="54">
        <v>0</v>
      </c>
      <c r="P2834" s="54">
        <v>0</v>
      </c>
      <c r="Q2834" s="54">
        <v>276402.88</v>
      </c>
      <c r="R2834" s="54">
        <v>0</v>
      </c>
      <c r="S2834" s="54">
        <v>0</v>
      </c>
      <c r="T2834" s="54">
        <v>0</v>
      </c>
      <c r="U2834" s="54">
        <v>276402.88</v>
      </c>
      <c r="V2834" s="54">
        <v>276402.88</v>
      </c>
      <c r="W2834" s="54">
        <v>276402.88</v>
      </c>
    </row>
    <row r="2835" spans="1:23" outlineLevel="2" x14ac:dyDescent="0.2">
      <c r="A2835" s="21" t="s">
        <v>1742</v>
      </c>
      <c r="B2835" s="21" t="s">
        <v>39</v>
      </c>
      <c r="C2835" s="21" t="s">
        <v>58</v>
      </c>
      <c r="D2835" s="21" t="s">
        <v>143</v>
      </c>
      <c r="E2835" s="21" t="s">
        <v>144</v>
      </c>
      <c r="F2835" s="21" t="s">
        <v>837</v>
      </c>
      <c r="G2835" s="21" t="s">
        <v>838</v>
      </c>
      <c r="H2835" s="21" t="s">
        <v>1125</v>
      </c>
      <c r="I2835" s="21" t="s">
        <v>1126</v>
      </c>
      <c r="J2835" s="21" t="s">
        <v>1743</v>
      </c>
      <c r="K2835" s="21" t="s">
        <v>1748</v>
      </c>
      <c r="L2835" s="21" t="s">
        <v>1749</v>
      </c>
      <c r="M2835" s="21" t="s">
        <v>12</v>
      </c>
      <c r="N2835" s="54">
        <v>220000</v>
      </c>
      <c r="O2835" s="54">
        <v>0</v>
      </c>
      <c r="P2835" s="54">
        <v>0</v>
      </c>
      <c r="Q2835" s="54">
        <v>220000</v>
      </c>
      <c r="R2835" s="54">
        <v>87696.17</v>
      </c>
      <c r="S2835" s="54">
        <v>123063.41</v>
      </c>
      <c r="T2835" s="54">
        <v>0</v>
      </c>
      <c r="U2835" s="54">
        <v>96936.59</v>
      </c>
      <c r="V2835" s="54">
        <v>220000</v>
      </c>
      <c r="W2835" s="54">
        <v>9240.42</v>
      </c>
    </row>
    <row r="2836" spans="1:23" outlineLevel="2" x14ac:dyDescent="0.2">
      <c r="A2836" s="21" t="s">
        <v>1742</v>
      </c>
      <c r="B2836" s="21" t="s">
        <v>39</v>
      </c>
      <c r="C2836" s="21" t="s">
        <v>58</v>
      </c>
      <c r="D2836" s="21" t="s">
        <v>59</v>
      </c>
      <c r="E2836" s="21" t="s">
        <v>60</v>
      </c>
      <c r="F2836" s="21" t="s">
        <v>837</v>
      </c>
      <c r="G2836" s="21" t="s">
        <v>838</v>
      </c>
      <c r="H2836" s="21" t="s">
        <v>1125</v>
      </c>
      <c r="I2836" s="21" t="s">
        <v>1126</v>
      </c>
      <c r="J2836" s="21" t="s">
        <v>1743</v>
      </c>
      <c r="K2836" s="21" t="s">
        <v>1748</v>
      </c>
      <c r="L2836" s="21" t="s">
        <v>1749</v>
      </c>
      <c r="M2836" s="21" t="s">
        <v>12</v>
      </c>
      <c r="N2836" s="54">
        <v>316380.99</v>
      </c>
      <c r="O2836" s="54">
        <v>162290.57</v>
      </c>
      <c r="P2836" s="54">
        <v>0</v>
      </c>
      <c r="Q2836" s="54">
        <v>478671.56</v>
      </c>
      <c r="R2836" s="54">
        <v>202666.41</v>
      </c>
      <c r="S2836" s="54">
        <v>188878.27</v>
      </c>
      <c r="T2836" s="54">
        <v>108031.18</v>
      </c>
      <c r="U2836" s="54">
        <v>289793.28999999998</v>
      </c>
      <c r="V2836" s="54">
        <v>370640.38</v>
      </c>
      <c r="W2836" s="54">
        <v>87126.88</v>
      </c>
    </row>
    <row r="2837" spans="1:23" outlineLevel="2" x14ac:dyDescent="0.2">
      <c r="A2837" s="21" t="s">
        <v>1742</v>
      </c>
      <c r="B2837" s="21" t="s">
        <v>39</v>
      </c>
      <c r="C2837" s="21" t="s">
        <v>58</v>
      </c>
      <c r="D2837" s="21" t="s">
        <v>145</v>
      </c>
      <c r="E2837" s="21" t="s">
        <v>146</v>
      </c>
      <c r="F2837" s="21" t="s">
        <v>837</v>
      </c>
      <c r="G2837" s="21" t="s">
        <v>838</v>
      </c>
      <c r="H2837" s="21" t="s">
        <v>1125</v>
      </c>
      <c r="I2837" s="21" t="s">
        <v>1126</v>
      </c>
      <c r="J2837" s="21" t="s">
        <v>1743</v>
      </c>
      <c r="K2837" s="21" t="s">
        <v>1748</v>
      </c>
      <c r="L2837" s="21" t="s">
        <v>1749</v>
      </c>
      <c r="M2837" s="21" t="s">
        <v>12</v>
      </c>
      <c r="N2837" s="54">
        <v>171842.86</v>
      </c>
      <c r="O2837" s="54">
        <v>370157.14</v>
      </c>
      <c r="P2837" s="54">
        <v>0</v>
      </c>
      <c r="Q2837" s="54">
        <v>542000</v>
      </c>
      <c r="R2837" s="54">
        <v>0</v>
      </c>
      <c r="S2837" s="54">
        <v>269455.84000000003</v>
      </c>
      <c r="T2837" s="54">
        <v>0</v>
      </c>
      <c r="U2837" s="54">
        <v>272544.15999999997</v>
      </c>
      <c r="V2837" s="54">
        <v>542000</v>
      </c>
      <c r="W2837" s="54">
        <v>272544.15999999997</v>
      </c>
    </row>
    <row r="2838" spans="1:23" outlineLevel="2" x14ac:dyDescent="0.2">
      <c r="A2838" s="21" t="s">
        <v>1742</v>
      </c>
      <c r="B2838" s="21" t="s">
        <v>39</v>
      </c>
      <c r="C2838" s="21" t="s">
        <v>58</v>
      </c>
      <c r="D2838" s="21" t="s">
        <v>139</v>
      </c>
      <c r="E2838" s="21" t="s">
        <v>140</v>
      </c>
      <c r="F2838" s="21" t="s">
        <v>837</v>
      </c>
      <c r="G2838" s="21" t="s">
        <v>838</v>
      </c>
      <c r="H2838" s="21" t="s">
        <v>1125</v>
      </c>
      <c r="I2838" s="21" t="s">
        <v>1126</v>
      </c>
      <c r="J2838" s="21" t="s">
        <v>1743</v>
      </c>
      <c r="K2838" s="21" t="s">
        <v>1748</v>
      </c>
      <c r="L2838" s="21" t="s">
        <v>1749</v>
      </c>
      <c r="M2838" s="21" t="s">
        <v>12</v>
      </c>
      <c r="N2838" s="54">
        <v>75756.740000000005</v>
      </c>
      <c r="O2838" s="54">
        <v>0</v>
      </c>
      <c r="P2838" s="54">
        <v>0</v>
      </c>
      <c r="Q2838" s="54">
        <v>75756.740000000005</v>
      </c>
      <c r="R2838" s="54">
        <v>0</v>
      </c>
      <c r="S2838" s="54">
        <v>25760</v>
      </c>
      <c r="T2838" s="54">
        <v>0</v>
      </c>
      <c r="U2838" s="54">
        <v>49996.74</v>
      </c>
      <c r="V2838" s="54">
        <v>75756.740000000005</v>
      </c>
      <c r="W2838" s="54">
        <v>49996.74</v>
      </c>
    </row>
    <row r="2839" spans="1:23" outlineLevel="2" x14ac:dyDescent="0.2">
      <c r="A2839" s="21" t="s">
        <v>1742</v>
      </c>
      <c r="B2839" s="21" t="s">
        <v>39</v>
      </c>
      <c r="C2839" s="21" t="s">
        <v>58</v>
      </c>
      <c r="D2839" s="21" t="s">
        <v>147</v>
      </c>
      <c r="E2839" s="21" t="s">
        <v>148</v>
      </c>
      <c r="F2839" s="21" t="s">
        <v>837</v>
      </c>
      <c r="G2839" s="21" t="s">
        <v>838</v>
      </c>
      <c r="H2839" s="21" t="s">
        <v>1125</v>
      </c>
      <c r="I2839" s="21" t="s">
        <v>1126</v>
      </c>
      <c r="J2839" s="21" t="s">
        <v>1743</v>
      </c>
      <c r="K2839" s="21" t="s">
        <v>1748</v>
      </c>
      <c r="L2839" s="21" t="s">
        <v>1749</v>
      </c>
      <c r="M2839" s="21" t="s">
        <v>12</v>
      </c>
      <c r="N2839" s="54">
        <v>134041.07</v>
      </c>
      <c r="O2839" s="54">
        <v>-36257.49</v>
      </c>
      <c r="P2839" s="54">
        <v>0</v>
      </c>
      <c r="Q2839" s="54">
        <v>97783.58</v>
      </c>
      <c r="R2839" s="54">
        <v>0</v>
      </c>
      <c r="S2839" s="54">
        <v>0</v>
      </c>
      <c r="T2839" s="54">
        <v>0</v>
      </c>
      <c r="U2839" s="54">
        <v>97783.58</v>
      </c>
      <c r="V2839" s="54">
        <v>97783.58</v>
      </c>
      <c r="W2839" s="54">
        <v>97783.58</v>
      </c>
    </row>
    <row r="2840" spans="1:23" outlineLevel="2" x14ac:dyDescent="0.2">
      <c r="A2840" s="21" t="s">
        <v>1742</v>
      </c>
      <c r="B2840" s="21" t="s">
        <v>39</v>
      </c>
      <c r="C2840" s="21" t="s">
        <v>58</v>
      </c>
      <c r="D2840" s="21" t="s">
        <v>135</v>
      </c>
      <c r="E2840" s="21" t="s">
        <v>136</v>
      </c>
      <c r="F2840" s="21" t="s">
        <v>837</v>
      </c>
      <c r="G2840" s="21" t="s">
        <v>838</v>
      </c>
      <c r="H2840" s="21" t="s">
        <v>1125</v>
      </c>
      <c r="I2840" s="21" t="s">
        <v>1126</v>
      </c>
      <c r="J2840" s="21" t="s">
        <v>1743</v>
      </c>
      <c r="K2840" s="21" t="s">
        <v>1748</v>
      </c>
      <c r="L2840" s="21" t="s">
        <v>1749</v>
      </c>
      <c r="M2840" s="21" t="s">
        <v>12</v>
      </c>
      <c r="N2840" s="54">
        <v>40000</v>
      </c>
      <c r="O2840" s="54">
        <v>29392.17</v>
      </c>
      <c r="P2840" s="54">
        <v>0</v>
      </c>
      <c r="Q2840" s="54">
        <v>69392.17</v>
      </c>
      <c r="R2840" s="54">
        <v>25062.74</v>
      </c>
      <c r="S2840" s="54">
        <v>39342</v>
      </c>
      <c r="T2840" s="54">
        <v>14999.22</v>
      </c>
      <c r="U2840" s="54">
        <v>30050.17</v>
      </c>
      <c r="V2840" s="54">
        <v>54392.95</v>
      </c>
      <c r="W2840" s="54">
        <v>4987.43</v>
      </c>
    </row>
    <row r="2841" spans="1:23" outlineLevel="2" x14ac:dyDescent="0.2">
      <c r="A2841" s="21" t="s">
        <v>1742</v>
      </c>
      <c r="B2841" s="21" t="s">
        <v>39</v>
      </c>
      <c r="C2841" s="21" t="s">
        <v>58</v>
      </c>
      <c r="D2841" s="21" t="s">
        <v>59</v>
      </c>
      <c r="E2841" s="21" t="s">
        <v>60</v>
      </c>
      <c r="F2841" s="21" t="s">
        <v>837</v>
      </c>
      <c r="G2841" s="21" t="s">
        <v>838</v>
      </c>
      <c r="H2841" s="21" t="s">
        <v>1125</v>
      </c>
      <c r="I2841" s="21" t="s">
        <v>1126</v>
      </c>
      <c r="J2841" s="21" t="s">
        <v>1743</v>
      </c>
      <c r="K2841" s="21" t="s">
        <v>1748</v>
      </c>
      <c r="L2841" s="21" t="s">
        <v>1749</v>
      </c>
      <c r="M2841" s="21" t="s">
        <v>15</v>
      </c>
      <c r="N2841" s="54">
        <v>0</v>
      </c>
      <c r="O2841" s="54">
        <v>82171.839999999997</v>
      </c>
      <c r="P2841" s="54">
        <v>0</v>
      </c>
      <c r="Q2841" s="54">
        <v>82171.839999999997</v>
      </c>
      <c r="R2841" s="54">
        <v>0</v>
      </c>
      <c r="S2841" s="54">
        <v>82171.839999999997</v>
      </c>
      <c r="T2841" s="54">
        <v>82171.83</v>
      </c>
      <c r="U2841" s="54">
        <v>0</v>
      </c>
      <c r="V2841" s="54">
        <v>0.01</v>
      </c>
      <c r="W2841" s="54">
        <v>0</v>
      </c>
    </row>
    <row r="2842" spans="1:23" outlineLevel="2" x14ac:dyDescent="0.2">
      <c r="A2842" s="21" t="s">
        <v>1742</v>
      </c>
      <c r="B2842" s="21" t="s">
        <v>39</v>
      </c>
      <c r="C2842" s="21" t="s">
        <v>58</v>
      </c>
      <c r="D2842" s="21" t="s">
        <v>137</v>
      </c>
      <c r="E2842" s="21" t="s">
        <v>138</v>
      </c>
      <c r="F2842" s="21" t="s">
        <v>837</v>
      </c>
      <c r="G2842" s="21" t="s">
        <v>838</v>
      </c>
      <c r="H2842" s="21" t="s">
        <v>1125</v>
      </c>
      <c r="I2842" s="21" t="s">
        <v>1126</v>
      </c>
      <c r="J2842" s="21" t="s">
        <v>1743</v>
      </c>
      <c r="K2842" s="21" t="s">
        <v>1748</v>
      </c>
      <c r="L2842" s="21" t="s">
        <v>1749</v>
      </c>
      <c r="M2842" s="21" t="s">
        <v>12</v>
      </c>
      <c r="N2842" s="54">
        <v>80000</v>
      </c>
      <c r="O2842" s="54">
        <v>316151.86</v>
      </c>
      <c r="P2842" s="54">
        <v>0</v>
      </c>
      <c r="Q2842" s="54">
        <v>396151.86</v>
      </c>
      <c r="R2842" s="54">
        <v>0</v>
      </c>
      <c r="S2842" s="54">
        <v>144893.82999999999</v>
      </c>
      <c r="T2842" s="54">
        <v>0</v>
      </c>
      <c r="U2842" s="54">
        <v>251258.03</v>
      </c>
      <c r="V2842" s="54">
        <v>396151.86</v>
      </c>
      <c r="W2842" s="54">
        <v>251258.03</v>
      </c>
    </row>
    <row r="2843" spans="1:23" outlineLevel="2" x14ac:dyDescent="0.2">
      <c r="A2843" s="21" t="s">
        <v>1742</v>
      </c>
      <c r="B2843" s="21" t="s">
        <v>39</v>
      </c>
      <c r="C2843" s="21" t="s">
        <v>58</v>
      </c>
      <c r="D2843" s="21" t="s">
        <v>137</v>
      </c>
      <c r="E2843" s="21" t="s">
        <v>138</v>
      </c>
      <c r="F2843" s="21" t="s">
        <v>837</v>
      </c>
      <c r="G2843" s="21" t="s">
        <v>838</v>
      </c>
      <c r="H2843" s="21" t="s">
        <v>1125</v>
      </c>
      <c r="I2843" s="21" t="s">
        <v>1126</v>
      </c>
      <c r="J2843" s="21" t="s">
        <v>1743</v>
      </c>
      <c r="K2843" s="21" t="s">
        <v>1744</v>
      </c>
      <c r="L2843" s="21" t="s">
        <v>1750</v>
      </c>
      <c r="M2843" s="21" t="s">
        <v>12</v>
      </c>
      <c r="N2843" s="54">
        <v>289151.86</v>
      </c>
      <c r="O2843" s="54">
        <v>-289151.86</v>
      </c>
      <c r="P2843" s="54">
        <v>0</v>
      </c>
      <c r="Q2843" s="54">
        <v>0</v>
      </c>
      <c r="R2843" s="54">
        <v>0</v>
      </c>
      <c r="S2843" s="54">
        <v>0</v>
      </c>
      <c r="T2843" s="54">
        <v>0</v>
      </c>
      <c r="U2843" s="54">
        <v>0</v>
      </c>
      <c r="V2843" s="54">
        <v>0</v>
      </c>
      <c r="W2843" s="54">
        <v>0</v>
      </c>
    </row>
    <row r="2844" spans="1:23" outlineLevel="2" x14ac:dyDescent="0.2">
      <c r="A2844" s="21" t="s">
        <v>1742</v>
      </c>
      <c r="B2844" s="21" t="s">
        <v>39</v>
      </c>
      <c r="C2844" s="21" t="s">
        <v>58</v>
      </c>
      <c r="D2844" s="21" t="s">
        <v>59</v>
      </c>
      <c r="E2844" s="21" t="s">
        <v>60</v>
      </c>
      <c r="F2844" s="21" t="s">
        <v>837</v>
      </c>
      <c r="G2844" s="21" t="s">
        <v>838</v>
      </c>
      <c r="H2844" s="21" t="s">
        <v>1125</v>
      </c>
      <c r="I2844" s="21" t="s">
        <v>1126</v>
      </c>
      <c r="J2844" s="21" t="s">
        <v>1743</v>
      </c>
      <c r="K2844" s="21" t="s">
        <v>1751</v>
      </c>
      <c r="L2844" s="21" t="s">
        <v>1752</v>
      </c>
      <c r="M2844" s="21" t="s">
        <v>12</v>
      </c>
      <c r="N2844" s="54">
        <v>0</v>
      </c>
      <c r="O2844" s="54">
        <v>2200</v>
      </c>
      <c r="P2844" s="54">
        <v>0</v>
      </c>
      <c r="Q2844" s="54">
        <v>2200</v>
      </c>
      <c r="R2844" s="54">
        <v>0</v>
      </c>
      <c r="S2844" s="54">
        <v>0</v>
      </c>
      <c r="T2844" s="54">
        <v>0</v>
      </c>
      <c r="U2844" s="54">
        <v>2200</v>
      </c>
      <c r="V2844" s="54">
        <v>2200</v>
      </c>
      <c r="W2844" s="54">
        <v>2200</v>
      </c>
    </row>
    <row r="2845" spans="1:23" outlineLevel="2" x14ac:dyDescent="0.2">
      <c r="A2845" s="21" t="s">
        <v>1742</v>
      </c>
      <c r="B2845" s="21" t="s">
        <v>31</v>
      </c>
      <c r="C2845" s="21" t="s">
        <v>107</v>
      </c>
      <c r="D2845" s="21" t="s">
        <v>108</v>
      </c>
      <c r="E2845" s="21" t="s">
        <v>109</v>
      </c>
      <c r="F2845" s="21" t="s">
        <v>856</v>
      </c>
      <c r="G2845" s="21" t="s">
        <v>857</v>
      </c>
      <c r="H2845" s="21" t="s">
        <v>870</v>
      </c>
      <c r="I2845" s="21" t="s">
        <v>871</v>
      </c>
      <c r="J2845" s="21" t="s">
        <v>1743</v>
      </c>
      <c r="K2845" s="21" t="s">
        <v>1751</v>
      </c>
      <c r="L2845" s="21" t="s">
        <v>1753</v>
      </c>
      <c r="M2845" s="21" t="s">
        <v>12</v>
      </c>
      <c r="N2845" s="54">
        <v>10000</v>
      </c>
      <c r="O2845" s="54">
        <v>0</v>
      </c>
      <c r="P2845" s="54">
        <v>0</v>
      </c>
      <c r="Q2845" s="54">
        <v>10000</v>
      </c>
      <c r="R2845" s="54">
        <v>0</v>
      </c>
      <c r="S2845" s="54">
        <v>0</v>
      </c>
      <c r="T2845" s="54">
        <v>0</v>
      </c>
      <c r="U2845" s="54">
        <v>10000</v>
      </c>
      <c r="V2845" s="54">
        <v>10000</v>
      </c>
      <c r="W2845" s="54">
        <v>10000</v>
      </c>
    </row>
    <row r="2846" spans="1:23" outlineLevel="2" x14ac:dyDescent="0.2">
      <c r="A2846" s="21" t="s">
        <v>1742</v>
      </c>
      <c r="B2846" s="21" t="s">
        <v>53</v>
      </c>
      <c r="C2846" s="21" t="s">
        <v>54</v>
      </c>
      <c r="D2846" s="21" t="s">
        <v>55</v>
      </c>
      <c r="E2846" s="21" t="s">
        <v>56</v>
      </c>
      <c r="F2846" s="21" t="s">
        <v>1754</v>
      </c>
      <c r="G2846" s="21" t="s">
        <v>1755</v>
      </c>
      <c r="H2846" s="21" t="s">
        <v>1756</v>
      </c>
      <c r="I2846" s="21" t="s">
        <v>1757</v>
      </c>
      <c r="J2846" s="21" t="s">
        <v>1743</v>
      </c>
      <c r="K2846" s="21" t="s">
        <v>1744</v>
      </c>
      <c r="L2846" s="21" t="s">
        <v>1758</v>
      </c>
      <c r="M2846" s="21" t="s">
        <v>12</v>
      </c>
      <c r="N2846" s="54">
        <v>2000000</v>
      </c>
      <c r="O2846" s="54">
        <v>-2000000</v>
      </c>
      <c r="P2846" s="54">
        <v>0</v>
      </c>
      <c r="Q2846" s="54">
        <v>0</v>
      </c>
      <c r="R2846" s="54">
        <v>0</v>
      </c>
      <c r="S2846" s="54">
        <v>0</v>
      </c>
      <c r="T2846" s="54">
        <v>0</v>
      </c>
      <c r="U2846" s="54">
        <v>0</v>
      </c>
      <c r="V2846" s="54">
        <v>0</v>
      </c>
      <c r="W2846" s="54">
        <v>0</v>
      </c>
    </row>
    <row r="2847" spans="1:23" outlineLevel="2" x14ac:dyDescent="0.2">
      <c r="A2847" s="21" t="s">
        <v>1742</v>
      </c>
      <c r="B2847" s="21" t="s">
        <v>53</v>
      </c>
      <c r="C2847" s="21" t="s">
        <v>54</v>
      </c>
      <c r="D2847" s="21" t="s">
        <v>55</v>
      </c>
      <c r="E2847" s="21" t="s">
        <v>56</v>
      </c>
      <c r="F2847" s="21" t="s">
        <v>1196</v>
      </c>
      <c r="G2847" s="21" t="s">
        <v>1197</v>
      </c>
      <c r="H2847" s="21" t="s">
        <v>1198</v>
      </c>
      <c r="I2847" s="21" t="s">
        <v>1199</v>
      </c>
      <c r="J2847" s="21" t="s">
        <v>1743</v>
      </c>
      <c r="K2847" s="21" t="s">
        <v>1744</v>
      </c>
      <c r="L2847" s="21" t="s">
        <v>1759</v>
      </c>
      <c r="M2847" s="21" t="s">
        <v>12</v>
      </c>
      <c r="N2847" s="54">
        <v>2806879.08</v>
      </c>
      <c r="O2847" s="54">
        <v>1995812</v>
      </c>
      <c r="P2847" s="54">
        <v>0</v>
      </c>
      <c r="Q2847" s="54">
        <v>4802691.08</v>
      </c>
      <c r="R2847" s="54">
        <v>49999.64</v>
      </c>
      <c r="S2847" s="54">
        <v>465046.83</v>
      </c>
      <c r="T2847" s="54">
        <v>271662.45</v>
      </c>
      <c r="U2847" s="54">
        <v>4337644.25</v>
      </c>
      <c r="V2847" s="54">
        <v>4531028.63</v>
      </c>
      <c r="W2847" s="54">
        <v>4287644.6100000003</v>
      </c>
    </row>
    <row r="2848" spans="1:23" outlineLevel="2" x14ac:dyDescent="0.2">
      <c r="A2848" s="21" t="s">
        <v>1742</v>
      </c>
      <c r="B2848" s="21" t="s">
        <v>39</v>
      </c>
      <c r="C2848" s="21" t="s">
        <v>58</v>
      </c>
      <c r="D2848" s="21" t="s">
        <v>129</v>
      </c>
      <c r="E2848" s="21" t="s">
        <v>130</v>
      </c>
      <c r="F2848" s="21" t="s">
        <v>1220</v>
      </c>
      <c r="G2848" s="21" t="s">
        <v>1221</v>
      </c>
      <c r="H2848" s="21" t="s">
        <v>1222</v>
      </c>
      <c r="I2848" s="21" t="s">
        <v>1223</v>
      </c>
      <c r="J2848" s="21" t="s">
        <v>1743</v>
      </c>
      <c r="K2848" s="21" t="s">
        <v>1746</v>
      </c>
      <c r="L2848" s="21" t="s">
        <v>1760</v>
      </c>
      <c r="M2848" s="21" t="s">
        <v>12</v>
      </c>
      <c r="N2848" s="54">
        <v>10000</v>
      </c>
      <c r="O2848" s="54">
        <v>0</v>
      </c>
      <c r="P2848" s="54">
        <v>0</v>
      </c>
      <c r="Q2848" s="54">
        <v>10000</v>
      </c>
      <c r="R2848" s="54">
        <v>7571.2</v>
      </c>
      <c r="S2848" s="54">
        <v>0</v>
      </c>
      <c r="T2848" s="54">
        <v>0</v>
      </c>
      <c r="U2848" s="54">
        <v>10000</v>
      </c>
      <c r="V2848" s="54">
        <v>10000</v>
      </c>
      <c r="W2848" s="54">
        <v>2428.8000000000002</v>
      </c>
    </row>
    <row r="2849" spans="1:23" outlineLevel="2" x14ac:dyDescent="0.2">
      <c r="A2849" s="21" t="s">
        <v>1742</v>
      </c>
      <c r="B2849" s="21" t="s">
        <v>31</v>
      </c>
      <c r="C2849" s="21" t="s">
        <v>79</v>
      </c>
      <c r="D2849" s="21" t="s">
        <v>83</v>
      </c>
      <c r="E2849" s="21" t="s">
        <v>84</v>
      </c>
      <c r="F2849" s="21" t="s">
        <v>874</v>
      </c>
      <c r="G2849" s="21" t="s">
        <v>875</v>
      </c>
      <c r="H2849" s="21" t="s">
        <v>1251</v>
      </c>
      <c r="I2849" s="21" t="s">
        <v>1252</v>
      </c>
      <c r="J2849" s="21" t="s">
        <v>1743</v>
      </c>
      <c r="K2849" s="21" t="s">
        <v>1744</v>
      </c>
      <c r="L2849" s="21" t="s">
        <v>1761</v>
      </c>
      <c r="M2849" s="21" t="s">
        <v>12</v>
      </c>
      <c r="N2849" s="54">
        <v>14742672</v>
      </c>
      <c r="O2849" s="54">
        <v>-4612221.26</v>
      </c>
      <c r="P2849" s="54">
        <v>0</v>
      </c>
      <c r="Q2849" s="54">
        <v>10130450.74</v>
      </c>
      <c r="R2849" s="54">
        <v>3695081.03</v>
      </c>
      <c r="S2849" s="54">
        <v>15588.74</v>
      </c>
      <c r="T2849" s="54">
        <v>0</v>
      </c>
      <c r="U2849" s="54">
        <v>10114862</v>
      </c>
      <c r="V2849" s="54">
        <v>10130450.74</v>
      </c>
      <c r="W2849" s="54">
        <v>6419780.9699999997</v>
      </c>
    </row>
    <row r="2850" spans="1:23" outlineLevel="2" x14ac:dyDescent="0.2">
      <c r="A2850" s="21" t="s">
        <v>1742</v>
      </c>
      <c r="B2850" s="21" t="s">
        <v>31</v>
      </c>
      <c r="C2850" s="21" t="s">
        <v>79</v>
      </c>
      <c r="D2850" s="21" t="s">
        <v>131</v>
      </c>
      <c r="E2850" s="21" t="s">
        <v>132</v>
      </c>
      <c r="F2850" s="21" t="s">
        <v>883</v>
      </c>
      <c r="G2850" s="21" t="s">
        <v>884</v>
      </c>
      <c r="H2850" s="21" t="s">
        <v>1255</v>
      </c>
      <c r="I2850" s="21" t="s">
        <v>1256</v>
      </c>
      <c r="J2850" s="21" t="s">
        <v>1743</v>
      </c>
      <c r="K2850" s="21" t="s">
        <v>1744</v>
      </c>
      <c r="L2850" s="21" t="s">
        <v>1762</v>
      </c>
      <c r="M2850" s="21" t="s">
        <v>12</v>
      </c>
      <c r="N2850" s="54">
        <v>10000</v>
      </c>
      <c r="O2850" s="54">
        <v>0</v>
      </c>
      <c r="P2850" s="54">
        <v>0</v>
      </c>
      <c r="Q2850" s="54">
        <v>10000</v>
      </c>
      <c r="R2850" s="54">
        <v>0</v>
      </c>
      <c r="S2850" s="54">
        <v>0</v>
      </c>
      <c r="T2850" s="54">
        <v>0</v>
      </c>
      <c r="U2850" s="54">
        <v>10000</v>
      </c>
      <c r="V2850" s="54">
        <v>10000</v>
      </c>
      <c r="W2850" s="54">
        <v>10000</v>
      </c>
    </row>
    <row r="2851" spans="1:23" outlineLevel="2" x14ac:dyDescent="0.2">
      <c r="A2851" s="21" t="s">
        <v>1742</v>
      </c>
      <c r="B2851" s="21" t="s">
        <v>31</v>
      </c>
      <c r="C2851" s="21" t="s">
        <v>79</v>
      </c>
      <c r="D2851" s="21" t="s">
        <v>83</v>
      </c>
      <c r="E2851" s="21" t="s">
        <v>84</v>
      </c>
      <c r="F2851" s="21" t="s">
        <v>883</v>
      </c>
      <c r="G2851" s="21" t="s">
        <v>884</v>
      </c>
      <c r="H2851" s="21" t="s">
        <v>1293</v>
      </c>
      <c r="I2851" s="21" t="s">
        <v>1294</v>
      </c>
      <c r="J2851" s="21" t="s">
        <v>1743</v>
      </c>
      <c r="K2851" s="21" t="s">
        <v>1744</v>
      </c>
      <c r="L2851" s="21" t="s">
        <v>1762</v>
      </c>
      <c r="M2851" s="21" t="s">
        <v>12</v>
      </c>
      <c r="N2851" s="54">
        <v>7648470</v>
      </c>
      <c r="O2851" s="54">
        <v>-2406030.38</v>
      </c>
      <c r="P2851" s="54">
        <v>0</v>
      </c>
      <c r="Q2851" s="54">
        <v>5242439.62</v>
      </c>
      <c r="R2851" s="54">
        <v>0</v>
      </c>
      <c r="S2851" s="54">
        <v>0</v>
      </c>
      <c r="T2851" s="54">
        <v>0</v>
      </c>
      <c r="U2851" s="54">
        <v>5242439.62</v>
      </c>
      <c r="V2851" s="54">
        <v>5242439.62</v>
      </c>
      <c r="W2851" s="54">
        <v>5242439.62</v>
      </c>
    </row>
    <row r="2852" spans="1:23" outlineLevel="2" x14ac:dyDescent="0.2">
      <c r="A2852" s="21" t="s">
        <v>1742</v>
      </c>
      <c r="B2852" s="21" t="s">
        <v>31</v>
      </c>
      <c r="C2852" s="21" t="s">
        <v>32</v>
      </c>
      <c r="D2852" s="21" t="s">
        <v>33</v>
      </c>
      <c r="E2852" s="21" t="s">
        <v>34</v>
      </c>
      <c r="F2852" s="21" t="s">
        <v>933</v>
      </c>
      <c r="G2852" s="21" t="s">
        <v>934</v>
      </c>
      <c r="H2852" s="21" t="s">
        <v>1615</v>
      </c>
      <c r="I2852" s="21" t="s">
        <v>1616</v>
      </c>
      <c r="J2852" s="21" t="s">
        <v>1743</v>
      </c>
      <c r="K2852" s="21" t="s">
        <v>1751</v>
      </c>
      <c r="L2852" s="21" t="s">
        <v>1764</v>
      </c>
      <c r="M2852" s="21" t="s">
        <v>12</v>
      </c>
      <c r="N2852" s="54">
        <v>0</v>
      </c>
      <c r="O2852" s="54">
        <v>1600000</v>
      </c>
      <c r="P2852" s="54">
        <v>0</v>
      </c>
      <c r="Q2852" s="54">
        <v>1600000</v>
      </c>
      <c r="R2852" s="54">
        <v>0</v>
      </c>
      <c r="S2852" s="54">
        <v>0</v>
      </c>
      <c r="T2852" s="54">
        <v>0</v>
      </c>
      <c r="U2852" s="54">
        <v>1600000</v>
      </c>
      <c r="V2852" s="54">
        <v>1600000</v>
      </c>
      <c r="W2852" s="54">
        <v>1600000</v>
      </c>
    </row>
    <row r="2853" spans="1:23" outlineLevel="2" x14ac:dyDescent="0.2">
      <c r="A2853" s="21" t="s">
        <v>1742</v>
      </c>
      <c r="B2853" s="21" t="s">
        <v>39</v>
      </c>
      <c r="C2853" s="21" t="s">
        <v>70</v>
      </c>
      <c r="D2853" s="21" t="s">
        <v>89</v>
      </c>
      <c r="E2853" s="21" t="s">
        <v>90</v>
      </c>
      <c r="F2853" s="21" t="s">
        <v>1618</v>
      </c>
      <c r="G2853" s="21" t="s">
        <v>1619</v>
      </c>
      <c r="H2853" s="21" t="s">
        <v>1643</v>
      </c>
      <c r="I2853" s="21" t="s">
        <v>1644</v>
      </c>
      <c r="J2853" s="21" t="s">
        <v>1743</v>
      </c>
      <c r="K2853" s="21" t="s">
        <v>1765</v>
      </c>
      <c r="L2853" s="21" t="s">
        <v>1766</v>
      </c>
      <c r="M2853" s="21" t="s">
        <v>12</v>
      </c>
      <c r="N2853" s="54">
        <v>350000</v>
      </c>
      <c r="O2853" s="54">
        <v>0</v>
      </c>
      <c r="P2853" s="54">
        <v>0</v>
      </c>
      <c r="Q2853" s="54">
        <v>350000</v>
      </c>
      <c r="R2853" s="54">
        <v>0</v>
      </c>
      <c r="S2853" s="54">
        <v>0</v>
      </c>
      <c r="T2853" s="54">
        <v>0</v>
      </c>
      <c r="U2853" s="54">
        <v>350000</v>
      </c>
      <c r="V2853" s="54">
        <v>350000</v>
      </c>
      <c r="W2853" s="54">
        <v>350000</v>
      </c>
    </row>
    <row r="2854" spans="1:23" outlineLevel="2" x14ac:dyDescent="0.2">
      <c r="A2854" s="21" t="s">
        <v>1742</v>
      </c>
      <c r="B2854" s="21" t="s">
        <v>39</v>
      </c>
      <c r="C2854" s="21" t="s">
        <v>58</v>
      </c>
      <c r="D2854" s="21" t="s">
        <v>59</v>
      </c>
      <c r="E2854" s="21" t="s">
        <v>60</v>
      </c>
      <c r="F2854" s="21" t="s">
        <v>1673</v>
      </c>
      <c r="G2854" s="21" t="s">
        <v>1674</v>
      </c>
      <c r="H2854" s="21" t="s">
        <v>1678</v>
      </c>
      <c r="I2854" s="21" t="s">
        <v>1679</v>
      </c>
      <c r="J2854" s="21" t="s">
        <v>1743</v>
      </c>
      <c r="K2854" s="21" t="s">
        <v>1748</v>
      </c>
      <c r="L2854" s="21" t="s">
        <v>1767</v>
      </c>
      <c r="M2854" s="21" t="s">
        <v>12</v>
      </c>
      <c r="N2854" s="54">
        <v>10300</v>
      </c>
      <c r="O2854" s="54">
        <v>0</v>
      </c>
      <c r="P2854" s="54">
        <v>0</v>
      </c>
      <c r="Q2854" s="54">
        <v>10300</v>
      </c>
      <c r="R2854" s="54">
        <v>0</v>
      </c>
      <c r="S2854" s="54">
        <v>0</v>
      </c>
      <c r="T2854" s="54">
        <v>0</v>
      </c>
      <c r="U2854" s="54">
        <v>10300</v>
      </c>
      <c r="V2854" s="54">
        <v>10300</v>
      </c>
      <c r="W2854" s="54">
        <v>10300</v>
      </c>
    </row>
    <row r="2855" spans="1:23" outlineLevel="2" x14ac:dyDescent="0.2">
      <c r="A2855" s="21" t="s">
        <v>1742</v>
      </c>
      <c r="B2855" s="21" t="s">
        <v>39</v>
      </c>
      <c r="C2855" s="21" t="s">
        <v>66</v>
      </c>
      <c r="D2855" s="21" t="s">
        <v>67</v>
      </c>
      <c r="E2855" s="21" t="s">
        <v>68</v>
      </c>
      <c r="F2855" s="21" t="s">
        <v>967</v>
      </c>
      <c r="G2855" s="21" t="s">
        <v>968</v>
      </c>
      <c r="H2855" s="21" t="s">
        <v>1706</v>
      </c>
      <c r="I2855" s="21" t="s">
        <v>1707</v>
      </c>
      <c r="J2855" s="21" t="s">
        <v>1743</v>
      </c>
      <c r="K2855" s="21" t="s">
        <v>1746</v>
      </c>
      <c r="L2855" s="21" t="s">
        <v>1768</v>
      </c>
      <c r="M2855" s="21" t="s">
        <v>12</v>
      </c>
      <c r="N2855" s="54">
        <v>10295560</v>
      </c>
      <c r="O2855" s="54">
        <v>-853816.83</v>
      </c>
      <c r="P2855" s="54">
        <v>0</v>
      </c>
      <c r="Q2855" s="54">
        <v>9441743.1699999999</v>
      </c>
      <c r="R2855" s="54">
        <v>45728.35</v>
      </c>
      <c r="S2855" s="54">
        <v>2392840.2999999998</v>
      </c>
      <c r="T2855" s="54">
        <v>1806768.57</v>
      </c>
      <c r="U2855" s="54">
        <v>7048902.8700000001</v>
      </c>
      <c r="V2855" s="54">
        <v>7634974.5999999996</v>
      </c>
      <c r="W2855" s="54">
        <v>7003174.5199999996</v>
      </c>
    </row>
    <row r="2856" spans="1:23" outlineLevel="2" x14ac:dyDescent="0.2">
      <c r="A2856" s="21" t="s">
        <v>1742</v>
      </c>
      <c r="B2856" s="21" t="s">
        <v>39</v>
      </c>
      <c r="C2856" s="21" t="s">
        <v>66</v>
      </c>
      <c r="D2856" s="21" t="s">
        <v>67</v>
      </c>
      <c r="E2856" s="21" t="s">
        <v>68</v>
      </c>
      <c r="F2856" s="21" t="s">
        <v>967</v>
      </c>
      <c r="G2856" s="21" t="s">
        <v>968</v>
      </c>
      <c r="H2856" s="21" t="s">
        <v>1769</v>
      </c>
      <c r="I2856" s="21" t="s">
        <v>1770</v>
      </c>
      <c r="J2856" s="21" t="s">
        <v>1743</v>
      </c>
      <c r="K2856" s="21" t="s">
        <v>1746</v>
      </c>
      <c r="L2856" s="21" t="s">
        <v>1768</v>
      </c>
      <c r="M2856" s="21" t="s">
        <v>12</v>
      </c>
      <c r="N2856" s="54">
        <v>2131000</v>
      </c>
      <c r="O2856" s="54">
        <v>-300000</v>
      </c>
      <c r="P2856" s="54">
        <v>0</v>
      </c>
      <c r="Q2856" s="54">
        <v>1831000</v>
      </c>
      <c r="R2856" s="54">
        <v>0</v>
      </c>
      <c r="S2856" s="54">
        <v>937682.83</v>
      </c>
      <c r="T2856" s="54">
        <v>583880.02</v>
      </c>
      <c r="U2856" s="54">
        <v>893317.17</v>
      </c>
      <c r="V2856" s="54">
        <v>1247119.98</v>
      </c>
      <c r="W2856" s="54">
        <v>893317.17</v>
      </c>
    </row>
    <row r="2857" spans="1:23" outlineLevel="2" x14ac:dyDescent="0.2">
      <c r="A2857" s="21" t="s">
        <v>1742</v>
      </c>
      <c r="B2857" s="21" t="s">
        <v>39</v>
      </c>
      <c r="C2857" s="21" t="s">
        <v>66</v>
      </c>
      <c r="D2857" s="21" t="s">
        <v>67</v>
      </c>
      <c r="E2857" s="21" t="s">
        <v>68</v>
      </c>
      <c r="F2857" s="21" t="s">
        <v>967</v>
      </c>
      <c r="G2857" s="21" t="s">
        <v>968</v>
      </c>
      <c r="H2857" s="21" t="s">
        <v>978</v>
      </c>
      <c r="I2857" s="21" t="s">
        <v>979</v>
      </c>
      <c r="J2857" s="21" t="s">
        <v>1743</v>
      </c>
      <c r="K2857" s="21" t="s">
        <v>1746</v>
      </c>
      <c r="L2857" s="21" t="s">
        <v>1768</v>
      </c>
      <c r="M2857" s="21" t="s">
        <v>15</v>
      </c>
      <c r="N2857" s="54">
        <v>616354.76</v>
      </c>
      <c r="O2857" s="54">
        <v>0</v>
      </c>
      <c r="P2857" s="54">
        <v>0</v>
      </c>
      <c r="Q2857" s="54">
        <v>616354.76</v>
      </c>
      <c r="R2857" s="54">
        <v>0.01</v>
      </c>
      <c r="S2857" s="54">
        <v>440200.9</v>
      </c>
      <c r="T2857" s="54">
        <v>416563.14</v>
      </c>
      <c r="U2857" s="54">
        <v>176153.86</v>
      </c>
      <c r="V2857" s="54">
        <v>199791.62</v>
      </c>
      <c r="W2857" s="54">
        <v>176153.85</v>
      </c>
    </row>
    <row r="2858" spans="1:23" outlineLevel="2" x14ac:dyDescent="0.2">
      <c r="A2858" s="21" t="s">
        <v>1742</v>
      </c>
      <c r="B2858" s="21" t="s">
        <v>39</v>
      </c>
      <c r="C2858" s="21" t="s">
        <v>66</v>
      </c>
      <c r="D2858" s="21" t="s">
        <v>67</v>
      </c>
      <c r="E2858" s="21" t="s">
        <v>68</v>
      </c>
      <c r="F2858" s="21" t="s">
        <v>967</v>
      </c>
      <c r="G2858" s="21" t="s">
        <v>968</v>
      </c>
      <c r="H2858" s="21" t="s">
        <v>978</v>
      </c>
      <c r="I2858" s="21" t="s">
        <v>979</v>
      </c>
      <c r="J2858" s="21" t="s">
        <v>1743</v>
      </c>
      <c r="K2858" s="21" t="s">
        <v>1746</v>
      </c>
      <c r="L2858" s="21" t="s">
        <v>1768</v>
      </c>
      <c r="M2858" s="21" t="s">
        <v>12</v>
      </c>
      <c r="N2858" s="54">
        <v>5750350.3600000003</v>
      </c>
      <c r="O2858" s="54">
        <v>488939.56</v>
      </c>
      <c r="P2858" s="54">
        <v>0</v>
      </c>
      <c r="Q2858" s="54">
        <v>6239289.9199999999</v>
      </c>
      <c r="R2858" s="54">
        <v>21.42</v>
      </c>
      <c r="S2858" s="54">
        <v>1935314.56</v>
      </c>
      <c r="T2858" s="54">
        <v>1294472.57</v>
      </c>
      <c r="U2858" s="54">
        <v>4303975.3600000003</v>
      </c>
      <c r="V2858" s="54">
        <v>4944817.3499999996</v>
      </c>
      <c r="W2858" s="54">
        <v>4303953.9400000004</v>
      </c>
    </row>
    <row r="2859" spans="1:23" outlineLevel="2" x14ac:dyDescent="0.2">
      <c r="A2859" s="21" t="s">
        <v>1742</v>
      </c>
      <c r="B2859" s="21" t="s">
        <v>39</v>
      </c>
      <c r="C2859" s="21" t="s">
        <v>66</v>
      </c>
      <c r="D2859" s="21" t="s">
        <v>67</v>
      </c>
      <c r="E2859" s="21" t="s">
        <v>68</v>
      </c>
      <c r="F2859" s="21" t="s">
        <v>967</v>
      </c>
      <c r="G2859" s="21" t="s">
        <v>968</v>
      </c>
      <c r="H2859" s="21" t="s">
        <v>1714</v>
      </c>
      <c r="I2859" s="21" t="s">
        <v>1715</v>
      </c>
      <c r="J2859" s="21" t="s">
        <v>1743</v>
      </c>
      <c r="K2859" s="21" t="s">
        <v>1746</v>
      </c>
      <c r="L2859" s="21" t="s">
        <v>1768</v>
      </c>
      <c r="M2859" s="21" t="s">
        <v>12</v>
      </c>
      <c r="N2859" s="54">
        <v>370000</v>
      </c>
      <c r="O2859" s="54">
        <v>0</v>
      </c>
      <c r="P2859" s="54">
        <v>0</v>
      </c>
      <c r="Q2859" s="54">
        <v>370000</v>
      </c>
      <c r="R2859" s="54">
        <v>766.91</v>
      </c>
      <c r="S2859" s="54">
        <v>296776.8</v>
      </c>
      <c r="T2859" s="54">
        <v>225278.8</v>
      </c>
      <c r="U2859" s="54">
        <v>73223.199999999997</v>
      </c>
      <c r="V2859" s="54">
        <v>144721.20000000001</v>
      </c>
      <c r="W2859" s="54">
        <v>72456.289999999994</v>
      </c>
    </row>
    <row r="2860" spans="1:23" outlineLevel="2" x14ac:dyDescent="0.2">
      <c r="A2860" s="21" t="s">
        <v>1742</v>
      </c>
      <c r="B2860" s="21" t="s">
        <v>39</v>
      </c>
      <c r="C2860" s="21" t="s">
        <v>66</v>
      </c>
      <c r="D2860" s="21" t="s">
        <v>67</v>
      </c>
      <c r="E2860" s="21" t="s">
        <v>68</v>
      </c>
      <c r="F2860" s="21" t="s">
        <v>967</v>
      </c>
      <c r="G2860" s="21" t="s">
        <v>968</v>
      </c>
      <c r="H2860" s="21" t="s">
        <v>1771</v>
      </c>
      <c r="I2860" s="21" t="s">
        <v>1772</v>
      </c>
      <c r="J2860" s="21" t="s">
        <v>1743</v>
      </c>
      <c r="K2860" s="21" t="s">
        <v>1746</v>
      </c>
      <c r="L2860" s="21" t="s">
        <v>1768</v>
      </c>
      <c r="M2860" s="21" t="s">
        <v>12</v>
      </c>
      <c r="N2860" s="54">
        <v>1893500</v>
      </c>
      <c r="O2860" s="54">
        <v>0</v>
      </c>
      <c r="P2860" s="54">
        <v>0</v>
      </c>
      <c r="Q2860" s="54">
        <v>1893500</v>
      </c>
      <c r="R2860" s="54">
        <v>1992.25</v>
      </c>
      <c r="S2860" s="54">
        <v>896327.97</v>
      </c>
      <c r="T2860" s="54">
        <v>637403.88</v>
      </c>
      <c r="U2860" s="54">
        <v>997172.03</v>
      </c>
      <c r="V2860" s="54">
        <v>1256096.1200000001</v>
      </c>
      <c r="W2860" s="54">
        <v>995179.78</v>
      </c>
    </row>
    <row r="2861" spans="1:23" outlineLevel="2" x14ac:dyDescent="0.2">
      <c r="A2861" s="21" t="s">
        <v>1773</v>
      </c>
      <c r="B2861" s="21" t="s">
        <v>31</v>
      </c>
      <c r="C2861" s="21" t="s">
        <v>79</v>
      </c>
      <c r="D2861" s="21" t="s">
        <v>83</v>
      </c>
      <c r="E2861" s="21" t="s">
        <v>84</v>
      </c>
      <c r="F2861" s="21" t="s">
        <v>883</v>
      </c>
      <c r="G2861" s="21" t="s">
        <v>884</v>
      </c>
      <c r="H2861" s="21" t="s">
        <v>1286</v>
      </c>
      <c r="I2861" s="21" t="s">
        <v>1287</v>
      </c>
      <c r="J2861" s="21" t="s">
        <v>1774</v>
      </c>
      <c r="K2861" s="21" t="s">
        <v>1775</v>
      </c>
      <c r="L2861" s="21" t="s">
        <v>1776</v>
      </c>
      <c r="M2861" s="21" t="s">
        <v>12</v>
      </c>
      <c r="N2861" s="54">
        <v>2000</v>
      </c>
      <c r="O2861" s="54">
        <v>0</v>
      </c>
      <c r="P2861" s="54">
        <v>0</v>
      </c>
      <c r="Q2861" s="54">
        <v>2000</v>
      </c>
      <c r="R2861" s="54">
        <v>0</v>
      </c>
      <c r="S2861" s="54">
        <v>1993.6</v>
      </c>
      <c r="T2861" s="54">
        <v>1993.6</v>
      </c>
      <c r="U2861" s="54">
        <v>6.4</v>
      </c>
      <c r="V2861" s="54">
        <v>6.4</v>
      </c>
      <c r="W2861" s="54">
        <v>6.4</v>
      </c>
    </row>
    <row r="2862" spans="1:23" outlineLevel="2" x14ac:dyDescent="0.2">
      <c r="A2862" s="21" t="s">
        <v>1773</v>
      </c>
      <c r="B2862" s="21" t="s">
        <v>39</v>
      </c>
      <c r="C2862" s="21" t="s">
        <v>40</v>
      </c>
      <c r="D2862" s="21" t="s">
        <v>77</v>
      </c>
      <c r="E2862" s="21" t="s">
        <v>78</v>
      </c>
      <c r="F2862" s="21" t="s">
        <v>1354</v>
      </c>
      <c r="G2862" s="21" t="s">
        <v>1355</v>
      </c>
      <c r="H2862" s="21" t="s">
        <v>1369</v>
      </c>
      <c r="I2862" s="21" t="s">
        <v>1370</v>
      </c>
      <c r="J2862" s="21" t="s">
        <v>1774</v>
      </c>
      <c r="K2862" s="21" t="s">
        <v>1777</v>
      </c>
      <c r="L2862" s="21" t="s">
        <v>1778</v>
      </c>
      <c r="M2862" s="21" t="s">
        <v>12</v>
      </c>
      <c r="N2862" s="54">
        <v>5000000.46</v>
      </c>
      <c r="O2862" s="54">
        <v>0</v>
      </c>
      <c r="P2862" s="54">
        <v>0</v>
      </c>
      <c r="Q2862" s="54">
        <v>5000000.46</v>
      </c>
      <c r="R2862" s="54">
        <v>0</v>
      </c>
      <c r="S2862" s="54">
        <v>1809152.7</v>
      </c>
      <c r="T2862" s="54">
        <v>1809152.7</v>
      </c>
      <c r="U2862" s="54">
        <v>3190847.76</v>
      </c>
      <c r="V2862" s="54">
        <v>3190847.76</v>
      </c>
      <c r="W2862" s="54">
        <v>3190847.76</v>
      </c>
    </row>
    <row r="2863" spans="1:23" outlineLevel="2" x14ac:dyDescent="0.2">
      <c r="A2863" s="21" t="s">
        <v>1773</v>
      </c>
      <c r="B2863" s="21" t="s">
        <v>31</v>
      </c>
      <c r="C2863" s="21" t="s">
        <v>32</v>
      </c>
      <c r="D2863" s="21" t="s">
        <v>123</v>
      </c>
      <c r="E2863" s="21" t="s">
        <v>124</v>
      </c>
      <c r="F2863" s="21" t="s">
        <v>933</v>
      </c>
      <c r="G2863" s="21" t="s">
        <v>934</v>
      </c>
      <c r="H2863" s="21" t="s">
        <v>949</v>
      </c>
      <c r="I2863" s="21" t="s">
        <v>950</v>
      </c>
      <c r="J2863" s="21" t="s">
        <v>1774</v>
      </c>
      <c r="K2863" s="21" t="s">
        <v>1777</v>
      </c>
      <c r="L2863" s="21" t="s">
        <v>1779</v>
      </c>
      <c r="M2863" s="21" t="s">
        <v>12</v>
      </c>
      <c r="N2863" s="54">
        <v>0</v>
      </c>
      <c r="O2863" s="54">
        <v>710</v>
      </c>
      <c r="P2863" s="54">
        <v>0</v>
      </c>
      <c r="Q2863" s="54">
        <v>710</v>
      </c>
      <c r="R2863" s="54">
        <v>0</v>
      </c>
      <c r="S2863" s="54">
        <v>710</v>
      </c>
      <c r="T2863" s="54">
        <v>707.66</v>
      </c>
      <c r="U2863" s="54">
        <v>0</v>
      </c>
      <c r="V2863" s="54">
        <v>2.34</v>
      </c>
      <c r="W2863" s="54">
        <v>0</v>
      </c>
    </row>
    <row r="2864" spans="1:23" outlineLevel="2" x14ac:dyDescent="0.2">
      <c r="A2864" s="21" t="s">
        <v>1773</v>
      </c>
      <c r="B2864" s="21" t="s">
        <v>31</v>
      </c>
      <c r="C2864" s="21" t="s">
        <v>32</v>
      </c>
      <c r="D2864" s="21" t="s">
        <v>123</v>
      </c>
      <c r="E2864" s="21" t="s">
        <v>124</v>
      </c>
      <c r="F2864" s="21" t="s">
        <v>933</v>
      </c>
      <c r="G2864" s="21" t="s">
        <v>934</v>
      </c>
      <c r="H2864" s="21" t="s">
        <v>965</v>
      </c>
      <c r="I2864" s="21" t="s">
        <v>966</v>
      </c>
      <c r="J2864" s="21" t="s">
        <v>1774</v>
      </c>
      <c r="K2864" s="21" t="s">
        <v>1777</v>
      </c>
      <c r="L2864" s="21" t="s">
        <v>1779</v>
      </c>
      <c r="M2864" s="21" t="s">
        <v>12</v>
      </c>
      <c r="N2864" s="54">
        <v>600</v>
      </c>
      <c r="O2864" s="54">
        <v>0</v>
      </c>
      <c r="P2864" s="54">
        <v>0</v>
      </c>
      <c r="Q2864" s="54">
        <v>600</v>
      </c>
      <c r="R2864" s="54">
        <v>0</v>
      </c>
      <c r="S2864" s="54">
        <v>0</v>
      </c>
      <c r="T2864" s="54">
        <v>0</v>
      </c>
      <c r="U2864" s="54">
        <v>600</v>
      </c>
      <c r="V2864" s="54">
        <v>600</v>
      </c>
      <c r="W2864" s="54">
        <v>600</v>
      </c>
    </row>
    <row r="2865" spans="1:23" outlineLevel="2" x14ac:dyDescent="0.2">
      <c r="A2865" s="21" t="s">
        <v>1773</v>
      </c>
      <c r="B2865" s="21" t="s">
        <v>39</v>
      </c>
      <c r="C2865" s="21" t="s">
        <v>70</v>
      </c>
      <c r="D2865" s="21" t="s">
        <v>89</v>
      </c>
      <c r="E2865" s="21" t="s">
        <v>90</v>
      </c>
      <c r="F2865" s="21" t="s">
        <v>1618</v>
      </c>
      <c r="G2865" s="21" t="s">
        <v>1619</v>
      </c>
      <c r="H2865" s="21" t="s">
        <v>1643</v>
      </c>
      <c r="I2865" s="21" t="s">
        <v>1644</v>
      </c>
      <c r="J2865" s="21" t="s">
        <v>1774</v>
      </c>
      <c r="K2865" s="21" t="s">
        <v>1777</v>
      </c>
      <c r="L2865" s="21" t="s">
        <v>1780</v>
      </c>
      <c r="M2865" s="21" t="s">
        <v>12</v>
      </c>
      <c r="N2865" s="54">
        <v>45000</v>
      </c>
      <c r="O2865" s="54">
        <v>0</v>
      </c>
      <c r="P2865" s="54">
        <v>0</v>
      </c>
      <c r="Q2865" s="54">
        <v>45000</v>
      </c>
      <c r="R2865" s="54">
        <v>0</v>
      </c>
      <c r="S2865" s="54">
        <v>27473</v>
      </c>
      <c r="T2865" s="54">
        <v>13709.21</v>
      </c>
      <c r="U2865" s="54">
        <v>17527</v>
      </c>
      <c r="V2865" s="54">
        <v>31290.79</v>
      </c>
      <c r="W2865" s="54">
        <v>17527</v>
      </c>
    </row>
    <row r="2866" spans="1:23" outlineLevel="2" x14ac:dyDescent="0.2">
      <c r="A2866" s="21" t="s">
        <v>1773</v>
      </c>
      <c r="B2866" s="21" t="s">
        <v>39</v>
      </c>
      <c r="C2866" s="21" t="s">
        <v>70</v>
      </c>
      <c r="D2866" s="21" t="s">
        <v>89</v>
      </c>
      <c r="E2866" s="21" t="s">
        <v>90</v>
      </c>
      <c r="F2866" s="21" t="s">
        <v>1618</v>
      </c>
      <c r="G2866" s="21" t="s">
        <v>1619</v>
      </c>
      <c r="H2866" s="21" t="s">
        <v>1643</v>
      </c>
      <c r="I2866" s="21" t="s">
        <v>1644</v>
      </c>
      <c r="J2866" s="21" t="s">
        <v>1774</v>
      </c>
      <c r="K2866" s="21" t="s">
        <v>1775</v>
      </c>
      <c r="L2866" s="21" t="s">
        <v>1781</v>
      </c>
      <c r="M2866" s="21" t="s">
        <v>12</v>
      </c>
      <c r="N2866" s="54">
        <v>1000</v>
      </c>
      <c r="O2866" s="54">
        <v>0</v>
      </c>
      <c r="P2866" s="54">
        <v>0</v>
      </c>
      <c r="Q2866" s="54">
        <v>1000</v>
      </c>
      <c r="R2866" s="54">
        <v>0</v>
      </c>
      <c r="S2866" s="54">
        <v>0</v>
      </c>
      <c r="T2866" s="54">
        <v>0</v>
      </c>
      <c r="U2866" s="54">
        <v>1000</v>
      </c>
      <c r="V2866" s="54">
        <v>1000</v>
      </c>
      <c r="W2866" s="54">
        <v>1000</v>
      </c>
    </row>
    <row r="2867" spans="1:23" outlineLevel="2" x14ac:dyDescent="0.2">
      <c r="A2867" s="21" t="s">
        <v>1773</v>
      </c>
      <c r="B2867" s="21" t="s">
        <v>39</v>
      </c>
      <c r="C2867" s="21" t="s">
        <v>66</v>
      </c>
      <c r="D2867" s="21" t="s">
        <v>67</v>
      </c>
      <c r="E2867" s="21" t="s">
        <v>68</v>
      </c>
      <c r="F2867" s="21" t="s">
        <v>967</v>
      </c>
      <c r="G2867" s="21" t="s">
        <v>968</v>
      </c>
      <c r="H2867" s="21" t="s">
        <v>978</v>
      </c>
      <c r="I2867" s="21" t="s">
        <v>979</v>
      </c>
      <c r="J2867" s="21" t="s">
        <v>1774</v>
      </c>
      <c r="K2867" s="21" t="s">
        <v>1775</v>
      </c>
      <c r="L2867" s="21" t="s">
        <v>1782</v>
      </c>
      <c r="M2867" s="21" t="s">
        <v>12</v>
      </c>
      <c r="N2867" s="54">
        <v>5000</v>
      </c>
      <c r="O2867" s="54">
        <v>0</v>
      </c>
      <c r="P2867" s="54">
        <v>0</v>
      </c>
      <c r="Q2867" s="54">
        <v>5000</v>
      </c>
      <c r="R2867" s="54">
        <v>0</v>
      </c>
      <c r="S2867" s="54">
        <v>60.4</v>
      </c>
      <c r="T2867" s="54">
        <v>0</v>
      </c>
      <c r="U2867" s="54">
        <v>4939.6000000000004</v>
      </c>
      <c r="V2867" s="54">
        <v>5000</v>
      </c>
      <c r="W2867" s="54">
        <v>4939.6000000000004</v>
      </c>
    </row>
    <row r="2868" spans="1:23" outlineLevel="2" x14ac:dyDescent="0.2">
      <c r="A2868" s="21" t="s">
        <v>1783</v>
      </c>
      <c r="B2868" s="21" t="s">
        <v>53</v>
      </c>
      <c r="C2868" s="21" t="s">
        <v>54</v>
      </c>
      <c r="D2868" s="21" t="s">
        <v>1784</v>
      </c>
      <c r="E2868" s="21" t="s">
        <v>1785</v>
      </c>
      <c r="F2868" s="21" t="s">
        <v>820</v>
      </c>
      <c r="G2868" s="21" t="s">
        <v>821</v>
      </c>
      <c r="H2868" s="21" t="s">
        <v>1786</v>
      </c>
      <c r="I2868" s="21" t="s">
        <v>1787</v>
      </c>
      <c r="J2868" s="21" t="s">
        <v>1788</v>
      </c>
      <c r="K2868" s="21" t="s">
        <v>1789</v>
      </c>
      <c r="L2868" s="21" t="s">
        <v>1790</v>
      </c>
      <c r="M2868" s="21" t="s">
        <v>12</v>
      </c>
      <c r="N2868" s="54">
        <v>430000</v>
      </c>
      <c r="O2868" s="54">
        <v>0</v>
      </c>
      <c r="P2868" s="54">
        <v>0</v>
      </c>
      <c r="Q2868" s="54">
        <v>430000</v>
      </c>
      <c r="R2868" s="54">
        <v>0</v>
      </c>
      <c r="S2868" s="54">
        <v>179166.87</v>
      </c>
      <c r="T2868" s="54">
        <v>143333.32</v>
      </c>
      <c r="U2868" s="54">
        <v>250833.13</v>
      </c>
      <c r="V2868" s="54">
        <v>286666.68</v>
      </c>
      <c r="W2868" s="54">
        <v>250833.13</v>
      </c>
    </row>
    <row r="2869" spans="1:23" outlineLevel="2" x14ac:dyDescent="0.2">
      <c r="A2869" s="21" t="s">
        <v>1783</v>
      </c>
      <c r="B2869" s="21" t="s">
        <v>39</v>
      </c>
      <c r="C2869" s="21" t="s">
        <v>95</v>
      </c>
      <c r="D2869" s="21" t="s">
        <v>1791</v>
      </c>
      <c r="E2869" s="21" t="s">
        <v>1792</v>
      </c>
      <c r="F2869" s="21" t="s">
        <v>820</v>
      </c>
      <c r="G2869" s="21" t="s">
        <v>821</v>
      </c>
      <c r="H2869" s="21" t="s">
        <v>1793</v>
      </c>
      <c r="I2869" s="21" t="s">
        <v>1794</v>
      </c>
      <c r="J2869" s="21" t="s">
        <v>1788</v>
      </c>
      <c r="K2869" s="21" t="s">
        <v>1789</v>
      </c>
      <c r="L2869" s="21" t="s">
        <v>1795</v>
      </c>
      <c r="M2869" s="21" t="s">
        <v>15</v>
      </c>
      <c r="N2869" s="54">
        <v>0</v>
      </c>
      <c r="O2869" s="54">
        <v>1204769.4099999999</v>
      </c>
      <c r="P2869" s="54">
        <v>0</v>
      </c>
      <c r="Q2869" s="54">
        <v>1204769.4099999999</v>
      </c>
      <c r="R2869" s="54">
        <v>0</v>
      </c>
      <c r="S2869" s="54">
        <v>1204769.4099999999</v>
      </c>
      <c r="T2869" s="54">
        <v>454067.31</v>
      </c>
      <c r="U2869" s="54">
        <v>0</v>
      </c>
      <c r="V2869" s="54">
        <v>750702.1</v>
      </c>
      <c r="W2869" s="54">
        <v>0</v>
      </c>
    </row>
    <row r="2870" spans="1:23" outlineLevel="2" x14ac:dyDescent="0.2">
      <c r="A2870" s="21" t="s">
        <v>1783</v>
      </c>
      <c r="B2870" s="21" t="s">
        <v>39</v>
      </c>
      <c r="C2870" s="21" t="s">
        <v>95</v>
      </c>
      <c r="D2870" s="21" t="s">
        <v>1791</v>
      </c>
      <c r="E2870" s="21" t="s">
        <v>1792</v>
      </c>
      <c r="F2870" s="21" t="s">
        <v>820</v>
      </c>
      <c r="G2870" s="21" t="s">
        <v>821</v>
      </c>
      <c r="H2870" s="21" t="s">
        <v>1793</v>
      </c>
      <c r="I2870" s="21" t="s">
        <v>1794</v>
      </c>
      <c r="J2870" s="21" t="s">
        <v>1788</v>
      </c>
      <c r="K2870" s="21" t="s">
        <v>1789</v>
      </c>
      <c r="L2870" s="21" t="s">
        <v>1795</v>
      </c>
      <c r="M2870" s="21" t="s">
        <v>12</v>
      </c>
      <c r="N2870" s="54">
        <v>6000000</v>
      </c>
      <c r="O2870" s="54">
        <v>1000000</v>
      </c>
      <c r="P2870" s="54">
        <v>0</v>
      </c>
      <c r="Q2870" s="54">
        <v>7000000</v>
      </c>
      <c r="R2870" s="54">
        <v>0</v>
      </c>
      <c r="S2870" s="54">
        <v>4795230.59</v>
      </c>
      <c r="T2870" s="54">
        <v>3275596.16</v>
      </c>
      <c r="U2870" s="54">
        <v>2204769.41</v>
      </c>
      <c r="V2870" s="54">
        <v>3724403.84</v>
      </c>
      <c r="W2870" s="54">
        <v>2204769.41</v>
      </c>
    </row>
    <row r="2871" spans="1:23" outlineLevel="2" x14ac:dyDescent="0.2">
      <c r="A2871" s="21" t="s">
        <v>1783</v>
      </c>
      <c r="B2871" s="21" t="s">
        <v>31</v>
      </c>
      <c r="C2871" s="21" t="s">
        <v>107</v>
      </c>
      <c r="D2871" s="21" t="s">
        <v>1796</v>
      </c>
      <c r="E2871" s="21" t="s">
        <v>1797</v>
      </c>
      <c r="F2871" s="21" t="s">
        <v>820</v>
      </c>
      <c r="G2871" s="21" t="s">
        <v>821</v>
      </c>
      <c r="H2871" s="21" t="s">
        <v>1798</v>
      </c>
      <c r="I2871" s="21" t="s">
        <v>1799</v>
      </c>
      <c r="J2871" s="21" t="s">
        <v>1788</v>
      </c>
      <c r="K2871" s="21" t="s">
        <v>1800</v>
      </c>
      <c r="L2871" s="21" t="s">
        <v>1801</v>
      </c>
      <c r="M2871" s="21" t="s">
        <v>12</v>
      </c>
      <c r="N2871" s="54">
        <v>5839596</v>
      </c>
      <c r="O2871" s="54">
        <v>0</v>
      </c>
      <c r="P2871" s="54">
        <v>0</v>
      </c>
      <c r="Q2871" s="54">
        <v>5839596</v>
      </c>
      <c r="R2871" s="54">
        <v>0</v>
      </c>
      <c r="S2871" s="54">
        <v>3938378.38</v>
      </c>
      <c r="T2871" s="54">
        <v>1900000</v>
      </c>
      <c r="U2871" s="54">
        <v>1901217.62</v>
      </c>
      <c r="V2871" s="54">
        <v>3939596</v>
      </c>
      <c r="W2871" s="54">
        <v>1901217.62</v>
      </c>
    </row>
    <row r="2872" spans="1:23" outlineLevel="2" x14ac:dyDescent="0.2">
      <c r="A2872" s="21" t="s">
        <v>1783</v>
      </c>
      <c r="B2872" s="21" t="s">
        <v>31</v>
      </c>
      <c r="C2872" s="21" t="s">
        <v>107</v>
      </c>
      <c r="D2872" s="21" t="s">
        <v>1802</v>
      </c>
      <c r="E2872" s="21" t="s">
        <v>1803</v>
      </c>
      <c r="F2872" s="21" t="s">
        <v>820</v>
      </c>
      <c r="G2872" s="21" t="s">
        <v>821</v>
      </c>
      <c r="H2872" s="21" t="s">
        <v>1804</v>
      </c>
      <c r="I2872" s="21" t="s">
        <v>1805</v>
      </c>
      <c r="J2872" s="21" t="s">
        <v>1788</v>
      </c>
      <c r="K2872" s="21" t="s">
        <v>1800</v>
      </c>
      <c r="L2872" s="21" t="s">
        <v>1801</v>
      </c>
      <c r="M2872" s="21" t="s">
        <v>12</v>
      </c>
      <c r="N2872" s="54">
        <v>4035016.69</v>
      </c>
      <c r="O2872" s="54">
        <v>0</v>
      </c>
      <c r="P2872" s="54">
        <v>0</v>
      </c>
      <c r="Q2872" s="54">
        <v>4035016.69</v>
      </c>
      <c r="R2872" s="54">
        <v>0</v>
      </c>
      <c r="S2872" s="54">
        <v>3497617.1</v>
      </c>
      <c r="T2872" s="54">
        <v>2610533.36</v>
      </c>
      <c r="U2872" s="54">
        <v>537399.59</v>
      </c>
      <c r="V2872" s="54">
        <v>1424483.33</v>
      </c>
      <c r="W2872" s="54">
        <v>537399.59</v>
      </c>
    </row>
    <row r="2873" spans="1:23" outlineLevel="2" x14ac:dyDescent="0.2">
      <c r="A2873" s="21" t="s">
        <v>1783</v>
      </c>
      <c r="B2873" s="21" t="s">
        <v>53</v>
      </c>
      <c r="C2873" s="21" t="s">
        <v>85</v>
      </c>
      <c r="D2873" s="21" t="s">
        <v>1806</v>
      </c>
      <c r="E2873" s="21" t="s">
        <v>1807</v>
      </c>
      <c r="F2873" s="21" t="s">
        <v>820</v>
      </c>
      <c r="G2873" s="21" t="s">
        <v>821</v>
      </c>
      <c r="H2873" s="21" t="s">
        <v>1808</v>
      </c>
      <c r="I2873" s="21" t="s">
        <v>1809</v>
      </c>
      <c r="J2873" s="21" t="s">
        <v>1788</v>
      </c>
      <c r="K2873" s="21" t="s">
        <v>1800</v>
      </c>
      <c r="L2873" s="21" t="s">
        <v>1810</v>
      </c>
      <c r="M2873" s="21" t="s">
        <v>12</v>
      </c>
      <c r="N2873" s="54">
        <v>1642926</v>
      </c>
      <c r="O2873" s="54">
        <v>0</v>
      </c>
      <c r="P2873" s="54">
        <v>0</v>
      </c>
      <c r="Q2873" s="54">
        <v>1642926</v>
      </c>
      <c r="R2873" s="54">
        <v>0</v>
      </c>
      <c r="S2873" s="54">
        <v>1437597</v>
      </c>
      <c r="T2873" s="54">
        <v>684552.5</v>
      </c>
      <c r="U2873" s="54">
        <v>205329</v>
      </c>
      <c r="V2873" s="54">
        <v>958373.5</v>
      </c>
      <c r="W2873" s="54">
        <v>205329</v>
      </c>
    </row>
    <row r="2874" spans="1:23" outlineLevel="2" x14ac:dyDescent="0.2">
      <c r="A2874" s="21" t="s">
        <v>1783</v>
      </c>
      <c r="B2874" s="21" t="s">
        <v>53</v>
      </c>
      <c r="C2874" s="21" t="s">
        <v>85</v>
      </c>
      <c r="D2874" s="21" t="s">
        <v>1811</v>
      </c>
      <c r="E2874" s="21" t="s">
        <v>1812</v>
      </c>
      <c r="F2874" s="21" t="s">
        <v>820</v>
      </c>
      <c r="G2874" s="21" t="s">
        <v>821</v>
      </c>
      <c r="H2874" s="21" t="s">
        <v>1813</v>
      </c>
      <c r="I2874" s="21" t="s">
        <v>1814</v>
      </c>
      <c r="J2874" s="21" t="s">
        <v>1788</v>
      </c>
      <c r="K2874" s="21" t="s">
        <v>1789</v>
      </c>
      <c r="L2874" s="21" t="s">
        <v>1815</v>
      </c>
      <c r="M2874" s="21" t="s">
        <v>12</v>
      </c>
      <c r="N2874" s="54">
        <v>2635898.96</v>
      </c>
      <c r="O2874" s="54">
        <v>0</v>
      </c>
      <c r="P2874" s="54">
        <v>0</v>
      </c>
      <c r="Q2874" s="54">
        <v>2635898.96</v>
      </c>
      <c r="R2874" s="54">
        <v>0</v>
      </c>
      <c r="S2874" s="54">
        <v>1581526.59</v>
      </c>
      <c r="T2874" s="54">
        <v>1171505.33</v>
      </c>
      <c r="U2874" s="54">
        <v>1054372.3700000001</v>
      </c>
      <c r="V2874" s="54">
        <v>1464393.63</v>
      </c>
      <c r="W2874" s="54">
        <v>1054372.3700000001</v>
      </c>
    </row>
    <row r="2875" spans="1:23" outlineLevel="2" x14ac:dyDescent="0.2">
      <c r="A2875" s="21" t="s">
        <v>1783</v>
      </c>
      <c r="B2875" s="21" t="s">
        <v>31</v>
      </c>
      <c r="C2875" s="21" t="s">
        <v>49</v>
      </c>
      <c r="D2875" s="21" t="s">
        <v>1816</v>
      </c>
      <c r="E2875" s="21" t="s">
        <v>1817</v>
      </c>
      <c r="F2875" s="21" t="s">
        <v>820</v>
      </c>
      <c r="G2875" s="21" t="s">
        <v>821</v>
      </c>
      <c r="H2875" s="21" t="s">
        <v>1818</v>
      </c>
      <c r="I2875" s="21" t="s">
        <v>1819</v>
      </c>
      <c r="J2875" s="21" t="s">
        <v>1788</v>
      </c>
      <c r="K2875" s="21" t="s">
        <v>1820</v>
      </c>
      <c r="L2875" s="21" t="s">
        <v>1821</v>
      </c>
      <c r="M2875" s="21" t="s">
        <v>12</v>
      </c>
      <c r="N2875" s="54">
        <v>0</v>
      </c>
      <c r="O2875" s="54">
        <v>30256906.059999999</v>
      </c>
      <c r="P2875" s="54">
        <v>0</v>
      </c>
      <c r="Q2875" s="54">
        <v>30256906.059999999</v>
      </c>
      <c r="R2875" s="54">
        <v>0</v>
      </c>
      <c r="S2875" s="54">
        <v>17248364.379999999</v>
      </c>
      <c r="T2875" s="54">
        <v>12495892.93</v>
      </c>
      <c r="U2875" s="54">
        <v>13008541.68</v>
      </c>
      <c r="V2875" s="54">
        <v>17761013.129999999</v>
      </c>
      <c r="W2875" s="54">
        <v>13008541.68</v>
      </c>
    </row>
    <row r="2876" spans="1:23" outlineLevel="2" x14ac:dyDescent="0.2">
      <c r="A2876" s="21" t="s">
        <v>1783</v>
      </c>
      <c r="B2876" s="21" t="s">
        <v>31</v>
      </c>
      <c r="C2876" s="21" t="s">
        <v>49</v>
      </c>
      <c r="D2876" s="21" t="s">
        <v>1816</v>
      </c>
      <c r="E2876" s="21" t="s">
        <v>1817</v>
      </c>
      <c r="F2876" s="21" t="s">
        <v>820</v>
      </c>
      <c r="G2876" s="21" t="s">
        <v>821</v>
      </c>
      <c r="H2876" s="21" t="s">
        <v>1818</v>
      </c>
      <c r="I2876" s="21" t="s">
        <v>1819</v>
      </c>
      <c r="J2876" s="21" t="s">
        <v>1788</v>
      </c>
      <c r="K2876" s="21" t="s">
        <v>1789</v>
      </c>
      <c r="L2876" s="21" t="s">
        <v>1822</v>
      </c>
      <c r="M2876" s="21" t="s">
        <v>12</v>
      </c>
      <c r="N2876" s="54">
        <v>30256906.059999999</v>
      </c>
      <c r="O2876" s="54">
        <v>-30256906.059999999</v>
      </c>
      <c r="P2876" s="54">
        <v>0</v>
      </c>
      <c r="Q2876" s="54">
        <v>0</v>
      </c>
      <c r="R2876" s="54">
        <v>0</v>
      </c>
      <c r="S2876" s="54">
        <v>0</v>
      </c>
      <c r="T2876" s="54">
        <v>0</v>
      </c>
      <c r="U2876" s="54">
        <v>0</v>
      </c>
      <c r="V2876" s="54">
        <v>0</v>
      </c>
      <c r="W2876" s="54">
        <v>0</v>
      </c>
    </row>
    <row r="2877" spans="1:23" outlineLevel="2" x14ac:dyDescent="0.2">
      <c r="A2877" s="21" t="s">
        <v>1783</v>
      </c>
      <c r="B2877" s="21" t="s">
        <v>39</v>
      </c>
      <c r="C2877" s="21" t="s">
        <v>40</v>
      </c>
      <c r="D2877" s="21" t="s">
        <v>1823</v>
      </c>
      <c r="E2877" s="21" t="s">
        <v>1824</v>
      </c>
      <c r="F2877" s="21" t="s">
        <v>820</v>
      </c>
      <c r="G2877" s="21" t="s">
        <v>821</v>
      </c>
      <c r="H2877" s="21" t="s">
        <v>1825</v>
      </c>
      <c r="I2877" s="21" t="s">
        <v>1826</v>
      </c>
      <c r="J2877" s="21" t="s">
        <v>1788</v>
      </c>
      <c r="K2877" s="21" t="s">
        <v>1789</v>
      </c>
      <c r="L2877" s="21" t="s">
        <v>1827</v>
      </c>
      <c r="M2877" s="21" t="s">
        <v>12</v>
      </c>
      <c r="N2877" s="54">
        <v>34763147</v>
      </c>
      <c r="O2877" s="54">
        <v>0</v>
      </c>
      <c r="P2877" s="54">
        <v>0</v>
      </c>
      <c r="Q2877" s="54">
        <v>34763147</v>
      </c>
      <c r="R2877" s="54">
        <v>0</v>
      </c>
      <c r="S2877" s="54">
        <v>34763147</v>
      </c>
      <c r="T2877" s="54">
        <v>28631084.219999999</v>
      </c>
      <c r="U2877" s="54">
        <v>0</v>
      </c>
      <c r="V2877" s="54">
        <v>6132062.7800000003</v>
      </c>
      <c r="W2877" s="54">
        <v>0</v>
      </c>
    </row>
    <row r="2878" spans="1:23" outlineLevel="2" x14ac:dyDescent="0.2">
      <c r="A2878" s="21" t="s">
        <v>1783</v>
      </c>
      <c r="B2878" s="21" t="s">
        <v>39</v>
      </c>
      <c r="C2878" s="21" t="s">
        <v>40</v>
      </c>
      <c r="D2878" s="21" t="s">
        <v>1823</v>
      </c>
      <c r="E2878" s="21" t="s">
        <v>1824</v>
      </c>
      <c r="F2878" s="21" t="s">
        <v>820</v>
      </c>
      <c r="G2878" s="21" t="s">
        <v>821</v>
      </c>
      <c r="H2878" s="21" t="s">
        <v>1825</v>
      </c>
      <c r="I2878" s="21" t="s">
        <v>1826</v>
      </c>
      <c r="J2878" s="21" t="s">
        <v>1788</v>
      </c>
      <c r="K2878" s="21" t="s">
        <v>1789</v>
      </c>
      <c r="L2878" s="21" t="s">
        <v>1827</v>
      </c>
      <c r="M2878" s="21" t="s">
        <v>15</v>
      </c>
      <c r="N2878" s="54">
        <v>56072118.43</v>
      </c>
      <c r="O2878" s="54">
        <v>-1204769.4099999999</v>
      </c>
      <c r="P2878" s="54">
        <v>0</v>
      </c>
      <c r="Q2878" s="54">
        <v>54867349.020000003</v>
      </c>
      <c r="R2878" s="54">
        <v>0</v>
      </c>
      <c r="S2878" s="54">
        <v>54867349.020000003</v>
      </c>
      <c r="T2878" s="54">
        <v>16434614.369999999</v>
      </c>
      <c r="U2878" s="54">
        <v>0</v>
      </c>
      <c r="V2878" s="54">
        <v>38432734.649999999</v>
      </c>
      <c r="W2878" s="54">
        <v>0</v>
      </c>
    </row>
    <row r="2879" spans="1:23" outlineLevel="2" x14ac:dyDescent="0.2">
      <c r="A2879" s="21" t="s">
        <v>1783</v>
      </c>
      <c r="B2879" s="21" t="s">
        <v>39</v>
      </c>
      <c r="C2879" s="21" t="s">
        <v>40</v>
      </c>
      <c r="D2879" s="21" t="s">
        <v>1828</v>
      </c>
      <c r="E2879" s="21" t="s">
        <v>1829</v>
      </c>
      <c r="F2879" s="21" t="s">
        <v>820</v>
      </c>
      <c r="G2879" s="21" t="s">
        <v>821</v>
      </c>
      <c r="H2879" s="21" t="s">
        <v>1830</v>
      </c>
      <c r="I2879" s="21" t="s">
        <v>1831</v>
      </c>
      <c r="J2879" s="21" t="s">
        <v>1788</v>
      </c>
      <c r="K2879" s="21" t="s">
        <v>1789</v>
      </c>
      <c r="L2879" s="21" t="s">
        <v>1827</v>
      </c>
      <c r="M2879" s="21" t="s">
        <v>12</v>
      </c>
      <c r="N2879" s="54">
        <v>41000000</v>
      </c>
      <c r="O2879" s="54">
        <v>0</v>
      </c>
      <c r="P2879" s="54">
        <v>0</v>
      </c>
      <c r="Q2879" s="54">
        <v>41000000</v>
      </c>
      <c r="R2879" s="54">
        <v>0</v>
      </c>
      <c r="S2879" s="54">
        <v>37054233.100000001</v>
      </c>
      <c r="T2879" s="54">
        <v>25404195.149999999</v>
      </c>
      <c r="U2879" s="54">
        <v>3945766.9</v>
      </c>
      <c r="V2879" s="54">
        <v>15595804.85</v>
      </c>
      <c r="W2879" s="54">
        <v>3945766.9</v>
      </c>
    </row>
    <row r="2880" spans="1:23" outlineLevel="2" x14ac:dyDescent="0.2">
      <c r="A2880" s="21" t="s">
        <v>1783</v>
      </c>
      <c r="B2880" s="21" t="s">
        <v>39</v>
      </c>
      <c r="C2880" s="21" t="s">
        <v>40</v>
      </c>
      <c r="D2880" s="21" t="s">
        <v>1832</v>
      </c>
      <c r="E2880" s="21" t="s">
        <v>1833</v>
      </c>
      <c r="F2880" s="21" t="s">
        <v>820</v>
      </c>
      <c r="G2880" s="21" t="s">
        <v>821</v>
      </c>
      <c r="H2880" s="21" t="s">
        <v>1834</v>
      </c>
      <c r="I2880" s="21" t="s">
        <v>1835</v>
      </c>
      <c r="J2880" s="21" t="s">
        <v>1788</v>
      </c>
      <c r="K2880" s="21" t="s">
        <v>1789</v>
      </c>
      <c r="L2880" s="21" t="s">
        <v>1827</v>
      </c>
      <c r="M2880" s="21" t="s">
        <v>12</v>
      </c>
      <c r="N2880" s="54">
        <v>26681305</v>
      </c>
      <c r="O2880" s="54">
        <v>-1000000</v>
      </c>
      <c r="P2880" s="54">
        <v>0</v>
      </c>
      <c r="Q2880" s="54">
        <v>25681305</v>
      </c>
      <c r="R2880" s="54">
        <v>0</v>
      </c>
      <c r="S2880" s="54">
        <v>9159648.5600000005</v>
      </c>
      <c r="T2880" s="54">
        <v>6331989.9199999999</v>
      </c>
      <c r="U2880" s="54">
        <v>16521656.439999999</v>
      </c>
      <c r="V2880" s="54">
        <v>19349315.079999998</v>
      </c>
      <c r="W2880" s="54">
        <v>16521656.439999999</v>
      </c>
    </row>
    <row r="2881" spans="1:23" outlineLevel="2" x14ac:dyDescent="0.2">
      <c r="A2881" s="21" t="s">
        <v>1783</v>
      </c>
      <c r="B2881" s="21" t="s">
        <v>1</v>
      </c>
      <c r="C2881" s="21" t="s">
        <v>44</v>
      </c>
      <c r="D2881" s="21" t="s">
        <v>1836</v>
      </c>
      <c r="E2881" s="21" t="s">
        <v>1837</v>
      </c>
      <c r="F2881" s="21" t="s">
        <v>820</v>
      </c>
      <c r="G2881" s="21" t="s">
        <v>821</v>
      </c>
      <c r="H2881" s="21" t="s">
        <v>1838</v>
      </c>
      <c r="I2881" s="21" t="s">
        <v>1839</v>
      </c>
      <c r="J2881" s="21" t="s">
        <v>1788</v>
      </c>
      <c r="K2881" s="21" t="s">
        <v>1820</v>
      </c>
      <c r="L2881" s="21" t="s">
        <v>1840</v>
      </c>
      <c r="M2881" s="21" t="s">
        <v>15</v>
      </c>
      <c r="N2881" s="54">
        <v>0</v>
      </c>
      <c r="O2881" s="54">
        <v>300000</v>
      </c>
      <c r="P2881" s="54">
        <v>0</v>
      </c>
      <c r="Q2881" s="54">
        <v>300000</v>
      </c>
      <c r="R2881" s="54">
        <v>180000</v>
      </c>
      <c r="S2881" s="54">
        <v>0</v>
      </c>
      <c r="T2881" s="54">
        <v>0</v>
      </c>
      <c r="U2881" s="54">
        <v>300000</v>
      </c>
      <c r="V2881" s="54">
        <v>300000</v>
      </c>
      <c r="W2881" s="54">
        <v>120000</v>
      </c>
    </row>
    <row r="2882" spans="1:23" outlineLevel="2" x14ac:dyDescent="0.2">
      <c r="A2882" s="21" t="s">
        <v>1783</v>
      </c>
      <c r="B2882" s="21" t="s">
        <v>1</v>
      </c>
      <c r="C2882" s="21" t="s">
        <v>44</v>
      </c>
      <c r="D2882" s="21" t="s">
        <v>1836</v>
      </c>
      <c r="E2882" s="21" t="s">
        <v>1837</v>
      </c>
      <c r="F2882" s="21" t="s">
        <v>820</v>
      </c>
      <c r="G2882" s="21" t="s">
        <v>821</v>
      </c>
      <c r="H2882" s="21" t="s">
        <v>1838</v>
      </c>
      <c r="I2882" s="21" t="s">
        <v>1839</v>
      </c>
      <c r="J2882" s="21" t="s">
        <v>1788</v>
      </c>
      <c r="K2882" s="21" t="s">
        <v>1841</v>
      </c>
      <c r="L2882" s="21" t="s">
        <v>1842</v>
      </c>
      <c r="M2882" s="21" t="s">
        <v>15</v>
      </c>
      <c r="N2882" s="54">
        <v>300000</v>
      </c>
      <c r="O2882" s="54">
        <v>-300000</v>
      </c>
      <c r="P2882" s="54">
        <v>0</v>
      </c>
      <c r="Q2882" s="54">
        <v>0</v>
      </c>
      <c r="R2882" s="54">
        <v>0</v>
      </c>
      <c r="S2882" s="54">
        <v>0</v>
      </c>
      <c r="T2882" s="54">
        <v>0</v>
      </c>
      <c r="U2882" s="54">
        <v>0</v>
      </c>
      <c r="V2882" s="54">
        <v>0</v>
      </c>
      <c r="W2882" s="54">
        <v>0</v>
      </c>
    </row>
    <row r="2883" spans="1:23" outlineLevel="2" x14ac:dyDescent="0.2">
      <c r="A2883" s="21" t="s">
        <v>1783</v>
      </c>
      <c r="B2883" s="21" t="s">
        <v>39</v>
      </c>
      <c r="C2883" s="21" t="s">
        <v>66</v>
      </c>
      <c r="D2883" s="21" t="s">
        <v>1843</v>
      </c>
      <c r="E2883" s="21" t="s">
        <v>1844</v>
      </c>
      <c r="F2883" s="21" t="s">
        <v>820</v>
      </c>
      <c r="G2883" s="21" t="s">
        <v>821</v>
      </c>
      <c r="H2883" s="21" t="s">
        <v>1845</v>
      </c>
      <c r="I2883" s="21" t="s">
        <v>1846</v>
      </c>
      <c r="J2883" s="21" t="s">
        <v>1788</v>
      </c>
      <c r="K2883" s="21" t="s">
        <v>1789</v>
      </c>
      <c r="L2883" s="21" t="s">
        <v>1847</v>
      </c>
      <c r="M2883" s="21" t="s">
        <v>12</v>
      </c>
      <c r="N2883" s="54">
        <v>13000000</v>
      </c>
      <c r="O2883" s="54">
        <v>0</v>
      </c>
      <c r="P2883" s="54">
        <v>0</v>
      </c>
      <c r="Q2883" s="54">
        <v>13000000</v>
      </c>
      <c r="R2883" s="54">
        <v>0</v>
      </c>
      <c r="S2883" s="54">
        <v>3250000</v>
      </c>
      <c r="T2883" s="54">
        <v>3249999.99</v>
      </c>
      <c r="U2883" s="54">
        <v>9750000</v>
      </c>
      <c r="V2883" s="54">
        <v>9750000.0099999998</v>
      </c>
      <c r="W2883" s="54">
        <v>9750000</v>
      </c>
    </row>
    <row r="2884" spans="1:23" outlineLevel="2" x14ac:dyDescent="0.2">
      <c r="A2884" s="21" t="s">
        <v>1783</v>
      </c>
      <c r="B2884" s="21" t="s">
        <v>39</v>
      </c>
      <c r="C2884" s="21" t="s">
        <v>66</v>
      </c>
      <c r="D2884" s="21" t="s">
        <v>826</v>
      </c>
      <c r="E2884" s="21" t="s">
        <v>827</v>
      </c>
      <c r="F2884" s="21" t="s">
        <v>820</v>
      </c>
      <c r="G2884" s="21" t="s">
        <v>821</v>
      </c>
      <c r="H2884" s="21" t="s">
        <v>828</v>
      </c>
      <c r="I2884" s="21" t="s">
        <v>829</v>
      </c>
      <c r="J2884" s="21" t="s">
        <v>1788</v>
      </c>
      <c r="K2884" s="21" t="s">
        <v>1789</v>
      </c>
      <c r="L2884" s="21" t="s">
        <v>1847</v>
      </c>
      <c r="M2884" s="21" t="s">
        <v>12</v>
      </c>
      <c r="N2884" s="54">
        <v>3500000</v>
      </c>
      <c r="O2884" s="54">
        <v>0</v>
      </c>
      <c r="P2884" s="54">
        <v>0</v>
      </c>
      <c r="Q2884" s="54">
        <v>3500000</v>
      </c>
      <c r="R2884" s="54">
        <v>0</v>
      </c>
      <c r="S2884" s="54">
        <v>1166666.67</v>
      </c>
      <c r="T2884" s="54">
        <v>1166666.67</v>
      </c>
      <c r="U2884" s="54">
        <v>2333333.33</v>
      </c>
      <c r="V2884" s="54">
        <v>2333333.33</v>
      </c>
      <c r="W2884" s="54">
        <v>2333333.33</v>
      </c>
    </row>
    <row r="2885" spans="1:23" outlineLevel="2" x14ac:dyDescent="0.2">
      <c r="A2885" s="21" t="s">
        <v>1783</v>
      </c>
      <c r="B2885" s="21" t="s">
        <v>53</v>
      </c>
      <c r="C2885" s="21" t="s">
        <v>85</v>
      </c>
      <c r="D2885" s="21" t="s">
        <v>831</v>
      </c>
      <c r="E2885" s="21" t="s">
        <v>832</v>
      </c>
      <c r="F2885" s="21" t="s">
        <v>820</v>
      </c>
      <c r="G2885" s="21" t="s">
        <v>821</v>
      </c>
      <c r="H2885" s="21" t="s">
        <v>833</v>
      </c>
      <c r="I2885" s="21" t="s">
        <v>834</v>
      </c>
      <c r="J2885" s="21" t="s">
        <v>1788</v>
      </c>
      <c r="K2885" s="21" t="s">
        <v>1789</v>
      </c>
      <c r="L2885" s="21" t="s">
        <v>1815</v>
      </c>
      <c r="M2885" s="21" t="s">
        <v>12</v>
      </c>
      <c r="N2885" s="54">
        <v>0</v>
      </c>
      <c r="O2885" s="54">
        <v>305368.53999999998</v>
      </c>
      <c r="P2885" s="54">
        <v>0</v>
      </c>
      <c r="Q2885" s="54">
        <v>305368.53999999998</v>
      </c>
      <c r="R2885" s="54">
        <v>0</v>
      </c>
      <c r="S2885" s="54">
        <v>305368.53999999998</v>
      </c>
      <c r="T2885" s="54">
        <v>305368.53999999998</v>
      </c>
      <c r="U2885" s="54">
        <v>0</v>
      </c>
      <c r="V2885" s="54">
        <v>0</v>
      </c>
      <c r="W2885" s="54">
        <v>0</v>
      </c>
    </row>
    <row r="2886" spans="1:23" outlineLevel="2" x14ac:dyDescent="0.2">
      <c r="A2886" s="21" t="s">
        <v>1783</v>
      </c>
      <c r="B2886" s="21" t="s">
        <v>31</v>
      </c>
      <c r="C2886" s="21" t="s">
        <v>49</v>
      </c>
      <c r="D2886" s="21" t="s">
        <v>1848</v>
      </c>
      <c r="E2886" s="21" t="s">
        <v>1849</v>
      </c>
      <c r="F2886" s="21" t="s">
        <v>820</v>
      </c>
      <c r="G2886" s="21" t="s">
        <v>821</v>
      </c>
      <c r="H2886" s="21" t="s">
        <v>1850</v>
      </c>
      <c r="I2886" s="21" t="s">
        <v>1851</v>
      </c>
      <c r="J2886" s="21" t="s">
        <v>1788</v>
      </c>
      <c r="K2886" s="21" t="s">
        <v>1820</v>
      </c>
      <c r="L2886" s="21" t="s">
        <v>1821</v>
      </c>
      <c r="M2886" s="21" t="s">
        <v>12</v>
      </c>
      <c r="N2886" s="54">
        <v>0</v>
      </c>
      <c r="O2886" s="54">
        <v>750000</v>
      </c>
      <c r="P2886" s="54">
        <v>0</v>
      </c>
      <c r="Q2886" s="54">
        <v>750000</v>
      </c>
      <c r="R2886" s="54">
        <v>0</v>
      </c>
      <c r="S2886" s="54">
        <v>586947.09</v>
      </c>
      <c r="T2886" s="54">
        <v>526000</v>
      </c>
      <c r="U2886" s="54">
        <v>163052.91</v>
      </c>
      <c r="V2886" s="54">
        <v>224000</v>
      </c>
      <c r="W2886" s="54">
        <v>163052.91</v>
      </c>
    </row>
    <row r="2887" spans="1:23" outlineLevel="2" x14ac:dyDescent="0.2">
      <c r="A2887" s="21" t="s">
        <v>1783</v>
      </c>
      <c r="B2887" s="21" t="s">
        <v>31</v>
      </c>
      <c r="C2887" s="21" t="s">
        <v>49</v>
      </c>
      <c r="D2887" s="21" t="s">
        <v>1848</v>
      </c>
      <c r="E2887" s="21" t="s">
        <v>1849</v>
      </c>
      <c r="F2887" s="21" t="s">
        <v>820</v>
      </c>
      <c r="G2887" s="21" t="s">
        <v>821</v>
      </c>
      <c r="H2887" s="21" t="s">
        <v>1850</v>
      </c>
      <c r="I2887" s="21" t="s">
        <v>1851</v>
      </c>
      <c r="J2887" s="21" t="s">
        <v>1788</v>
      </c>
      <c r="K2887" s="21" t="s">
        <v>1789</v>
      </c>
      <c r="L2887" s="21" t="s">
        <v>1822</v>
      </c>
      <c r="M2887" s="21" t="s">
        <v>12</v>
      </c>
      <c r="N2887" s="54">
        <v>750000</v>
      </c>
      <c r="O2887" s="54">
        <v>-750000</v>
      </c>
      <c r="P2887" s="54">
        <v>0</v>
      </c>
      <c r="Q2887" s="54">
        <v>0</v>
      </c>
      <c r="R2887" s="54">
        <v>0</v>
      </c>
      <c r="S2887" s="54">
        <v>0</v>
      </c>
      <c r="T2887" s="54">
        <v>0</v>
      </c>
      <c r="U2887" s="54">
        <v>0</v>
      </c>
      <c r="V2887" s="54">
        <v>0</v>
      </c>
      <c r="W2887" s="54">
        <v>0</v>
      </c>
    </row>
    <row r="2888" spans="1:23" outlineLevel="2" x14ac:dyDescent="0.2">
      <c r="A2888" s="21" t="s">
        <v>1783</v>
      </c>
      <c r="B2888" s="21" t="s">
        <v>39</v>
      </c>
      <c r="C2888" s="21" t="s">
        <v>95</v>
      </c>
      <c r="D2888" s="21" t="s">
        <v>96</v>
      </c>
      <c r="E2888" s="21" t="s">
        <v>97</v>
      </c>
      <c r="F2888" s="21" t="s">
        <v>1033</v>
      </c>
      <c r="G2888" s="21" t="s">
        <v>1034</v>
      </c>
      <c r="H2888" s="21" t="s">
        <v>1852</v>
      </c>
      <c r="I2888" s="21" t="s">
        <v>1853</v>
      </c>
      <c r="J2888" s="21" t="s">
        <v>1788</v>
      </c>
      <c r="K2888" s="21" t="s">
        <v>1800</v>
      </c>
      <c r="L2888" s="21" t="s">
        <v>1854</v>
      </c>
      <c r="M2888" s="21" t="s">
        <v>12</v>
      </c>
      <c r="N2888" s="54">
        <v>365417.45</v>
      </c>
      <c r="O2888" s="54">
        <v>0</v>
      </c>
      <c r="P2888" s="54">
        <v>0</v>
      </c>
      <c r="Q2888" s="54">
        <v>365417.45</v>
      </c>
      <c r="R2888" s="54">
        <v>0</v>
      </c>
      <c r="S2888" s="54">
        <v>0</v>
      </c>
      <c r="T2888" s="54">
        <v>0</v>
      </c>
      <c r="U2888" s="54">
        <v>365417.45</v>
      </c>
      <c r="V2888" s="54">
        <v>365417.45</v>
      </c>
      <c r="W2888" s="54">
        <v>365417.45</v>
      </c>
    </row>
    <row r="2889" spans="1:23" outlineLevel="2" x14ac:dyDescent="0.2">
      <c r="A2889" s="21" t="s">
        <v>1783</v>
      </c>
      <c r="B2889" s="21" t="s">
        <v>31</v>
      </c>
      <c r="C2889" s="21" t="s">
        <v>107</v>
      </c>
      <c r="D2889" s="21" t="s">
        <v>108</v>
      </c>
      <c r="E2889" s="21" t="s">
        <v>109</v>
      </c>
      <c r="F2889" s="21" t="s">
        <v>856</v>
      </c>
      <c r="G2889" s="21" t="s">
        <v>857</v>
      </c>
      <c r="H2889" s="21" t="s">
        <v>1143</v>
      </c>
      <c r="I2889" s="21" t="s">
        <v>1144</v>
      </c>
      <c r="J2889" s="21" t="s">
        <v>1788</v>
      </c>
      <c r="K2889" s="21" t="s">
        <v>1800</v>
      </c>
      <c r="L2889" s="21" t="s">
        <v>1857</v>
      </c>
      <c r="M2889" s="21" t="s">
        <v>12</v>
      </c>
      <c r="N2889" s="54">
        <v>55000</v>
      </c>
      <c r="O2889" s="54">
        <v>0</v>
      </c>
      <c r="P2889" s="54">
        <v>0</v>
      </c>
      <c r="Q2889" s="54">
        <v>55000</v>
      </c>
      <c r="R2889" s="54">
        <v>0</v>
      </c>
      <c r="S2889" s="54">
        <v>0</v>
      </c>
      <c r="T2889" s="54">
        <v>0</v>
      </c>
      <c r="U2889" s="54">
        <v>55000</v>
      </c>
      <c r="V2889" s="54">
        <v>55000</v>
      </c>
      <c r="W2889" s="54">
        <v>55000</v>
      </c>
    </row>
    <row r="2890" spans="1:23" outlineLevel="2" x14ac:dyDescent="0.2">
      <c r="A2890" s="21" t="s">
        <v>1783</v>
      </c>
      <c r="B2890" s="21" t="s">
        <v>31</v>
      </c>
      <c r="C2890" s="21" t="s">
        <v>107</v>
      </c>
      <c r="D2890" s="21" t="s">
        <v>108</v>
      </c>
      <c r="E2890" s="21" t="s">
        <v>109</v>
      </c>
      <c r="F2890" s="21" t="s">
        <v>856</v>
      </c>
      <c r="G2890" s="21" t="s">
        <v>857</v>
      </c>
      <c r="H2890" s="21" t="s">
        <v>1187</v>
      </c>
      <c r="I2890" s="21" t="s">
        <v>1188</v>
      </c>
      <c r="J2890" s="21" t="s">
        <v>1788</v>
      </c>
      <c r="K2890" s="21" t="s">
        <v>1789</v>
      </c>
      <c r="L2890" s="21" t="s">
        <v>1858</v>
      </c>
      <c r="M2890" s="21" t="s">
        <v>12</v>
      </c>
      <c r="N2890" s="54">
        <v>161100</v>
      </c>
      <c r="O2890" s="54">
        <v>-61100</v>
      </c>
      <c r="P2890" s="54">
        <v>0</v>
      </c>
      <c r="Q2890" s="54">
        <v>100000</v>
      </c>
      <c r="R2890" s="54">
        <v>0</v>
      </c>
      <c r="S2890" s="54">
        <v>0</v>
      </c>
      <c r="T2890" s="54">
        <v>0</v>
      </c>
      <c r="U2890" s="54">
        <v>100000</v>
      </c>
      <c r="V2890" s="54">
        <v>100000</v>
      </c>
      <c r="W2890" s="54">
        <v>100000</v>
      </c>
    </row>
    <row r="2891" spans="1:23" outlineLevel="2" x14ac:dyDescent="0.2">
      <c r="A2891" s="21" t="s">
        <v>1783</v>
      </c>
      <c r="B2891" s="21" t="s">
        <v>53</v>
      </c>
      <c r="C2891" s="21" t="s">
        <v>85</v>
      </c>
      <c r="D2891" s="21" t="s">
        <v>86</v>
      </c>
      <c r="E2891" s="21" t="s">
        <v>87</v>
      </c>
      <c r="F2891" s="21" t="s">
        <v>1215</v>
      </c>
      <c r="G2891" s="21" t="s">
        <v>1216</v>
      </c>
      <c r="H2891" s="21" t="s">
        <v>1217</v>
      </c>
      <c r="I2891" s="21" t="s">
        <v>1218</v>
      </c>
      <c r="J2891" s="21" t="s">
        <v>1788</v>
      </c>
      <c r="K2891" s="21" t="s">
        <v>1800</v>
      </c>
      <c r="L2891" s="21" t="s">
        <v>1859</v>
      </c>
      <c r="M2891" s="21" t="s">
        <v>12</v>
      </c>
      <c r="N2891" s="54">
        <v>36000</v>
      </c>
      <c r="O2891" s="54">
        <v>6000</v>
      </c>
      <c r="P2891" s="54">
        <v>0</v>
      </c>
      <c r="Q2891" s="54">
        <v>42000</v>
      </c>
      <c r="R2891" s="54">
        <v>0</v>
      </c>
      <c r="S2891" s="54">
        <v>0</v>
      </c>
      <c r="T2891" s="54">
        <v>0</v>
      </c>
      <c r="U2891" s="54">
        <v>42000</v>
      </c>
      <c r="V2891" s="54">
        <v>42000</v>
      </c>
      <c r="W2891" s="54">
        <v>42000</v>
      </c>
    </row>
    <row r="2892" spans="1:23" outlineLevel="2" x14ac:dyDescent="0.2">
      <c r="A2892" s="21" t="s">
        <v>1783</v>
      </c>
      <c r="B2892" s="21" t="s">
        <v>53</v>
      </c>
      <c r="C2892" s="21" t="s">
        <v>85</v>
      </c>
      <c r="D2892" s="21" t="s">
        <v>86</v>
      </c>
      <c r="E2892" s="21" t="s">
        <v>87</v>
      </c>
      <c r="F2892" s="21" t="s">
        <v>1236</v>
      </c>
      <c r="G2892" s="21" t="s">
        <v>1237</v>
      </c>
      <c r="H2892" s="21" t="s">
        <v>1238</v>
      </c>
      <c r="I2892" s="21" t="s">
        <v>1239</v>
      </c>
      <c r="J2892" s="21" t="s">
        <v>1788</v>
      </c>
      <c r="K2892" s="21" t="s">
        <v>1800</v>
      </c>
      <c r="L2892" s="21" t="s">
        <v>1860</v>
      </c>
      <c r="M2892" s="21" t="s">
        <v>12</v>
      </c>
      <c r="N2892" s="54">
        <v>50000</v>
      </c>
      <c r="O2892" s="54">
        <v>0</v>
      </c>
      <c r="P2892" s="54">
        <v>0</v>
      </c>
      <c r="Q2892" s="54">
        <v>50000</v>
      </c>
      <c r="R2892" s="54">
        <v>0</v>
      </c>
      <c r="S2892" s="54">
        <v>0</v>
      </c>
      <c r="T2892" s="54">
        <v>0</v>
      </c>
      <c r="U2892" s="54">
        <v>50000</v>
      </c>
      <c r="V2892" s="54">
        <v>50000</v>
      </c>
      <c r="W2892" s="54">
        <v>50000</v>
      </c>
    </row>
    <row r="2893" spans="1:23" outlineLevel="2" x14ac:dyDescent="0.2">
      <c r="A2893" s="21" t="s">
        <v>1783</v>
      </c>
      <c r="B2893" s="21" t="s">
        <v>53</v>
      </c>
      <c r="C2893" s="21" t="s">
        <v>85</v>
      </c>
      <c r="D2893" s="21" t="s">
        <v>86</v>
      </c>
      <c r="E2893" s="21" t="s">
        <v>87</v>
      </c>
      <c r="F2893" s="21" t="s">
        <v>1243</v>
      </c>
      <c r="G2893" s="21" t="s">
        <v>1244</v>
      </c>
      <c r="H2893" s="21" t="s">
        <v>1245</v>
      </c>
      <c r="I2893" s="21" t="s">
        <v>1246</v>
      </c>
      <c r="J2893" s="21" t="s">
        <v>1788</v>
      </c>
      <c r="K2893" s="21" t="s">
        <v>1800</v>
      </c>
      <c r="L2893" s="21" t="s">
        <v>1861</v>
      </c>
      <c r="M2893" s="21" t="s">
        <v>12</v>
      </c>
      <c r="N2893" s="54">
        <v>43000</v>
      </c>
      <c r="O2893" s="54">
        <v>-17000</v>
      </c>
      <c r="P2893" s="54">
        <v>0</v>
      </c>
      <c r="Q2893" s="54">
        <v>26000</v>
      </c>
      <c r="R2893" s="54">
        <v>0</v>
      </c>
      <c r="S2893" s="54">
        <v>0</v>
      </c>
      <c r="T2893" s="54">
        <v>0</v>
      </c>
      <c r="U2893" s="54">
        <v>26000</v>
      </c>
      <c r="V2893" s="54">
        <v>26000</v>
      </c>
      <c r="W2893" s="54">
        <v>26000</v>
      </c>
    </row>
    <row r="2894" spans="1:23" outlineLevel="2" x14ac:dyDescent="0.2">
      <c r="A2894" s="21" t="s">
        <v>1783</v>
      </c>
      <c r="B2894" s="21" t="s">
        <v>31</v>
      </c>
      <c r="C2894" s="21" t="s">
        <v>79</v>
      </c>
      <c r="D2894" s="21" t="s">
        <v>83</v>
      </c>
      <c r="E2894" s="21" t="s">
        <v>84</v>
      </c>
      <c r="F2894" s="21" t="s">
        <v>874</v>
      </c>
      <c r="G2894" s="21" t="s">
        <v>875</v>
      </c>
      <c r="H2894" s="21" t="s">
        <v>876</v>
      </c>
      <c r="I2894" s="21" t="s">
        <v>877</v>
      </c>
      <c r="J2894" s="21" t="s">
        <v>1788</v>
      </c>
      <c r="K2894" s="21" t="s">
        <v>1800</v>
      </c>
      <c r="L2894" s="21" t="s">
        <v>1862</v>
      </c>
      <c r="M2894" s="21" t="s">
        <v>12</v>
      </c>
      <c r="N2894" s="54">
        <v>150000</v>
      </c>
      <c r="O2894" s="54">
        <v>-150000</v>
      </c>
      <c r="P2894" s="54">
        <v>0</v>
      </c>
      <c r="Q2894" s="54">
        <v>0</v>
      </c>
      <c r="R2894" s="54">
        <v>0</v>
      </c>
      <c r="S2894" s="54">
        <v>0</v>
      </c>
      <c r="T2894" s="54">
        <v>0</v>
      </c>
      <c r="U2894" s="54">
        <v>0</v>
      </c>
      <c r="V2894" s="54">
        <v>0</v>
      </c>
      <c r="W2894" s="54">
        <v>0</v>
      </c>
    </row>
    <row r="2895" spans="1:23" outlineLevel="2" x14ac:dyDescent="0.2">
      <c r="A2895" s="21" t="s">
        <v>1783</v>
      </c>
      <c r="B2895" s="21" t="s">
        <v>31</v>
      </c>
      <c r="C2895" s="21" t="s">
        <v>79</v>
      </c>
      <c r="D2895" s="21" t="s">
        <v>83</v>
      </c>
      <c r="E2895" s="21" t="s">
        <v>84</v>
      </c>
      <c r="F2895" s="21" t="s">
        <v>883</v>
      </c>
      <c r="G2895" s="21" t="s">
        <v>884</v>
      </c>
      <c r="H2895" s="21" t="s">
        <v>1286</v>
      </c>
      <c r="I2895" s="21" t="s">
        <v>1287</v>
      </c>
      <c r="J2895" s="21" t="s">
        <v>1788</v>
      </c>
      <c r="K2895" s="21" t="s">
        <v>1800</v>
      </c>
      <c r="L2895" s="21" t="s">
        <v>1863</v>
      </c>
      <c r="M2895" s="21" t="s">
        <v>12</v>
      </c>
      <c r="N2895" s="54">
        <v>0</v>
      </c>
      <c r="O2895" s="54">
        <v>15000</v>
      </c>
      <c r="P2895" s="54">
        <v>0</v>
      </c>
      <c r="Q2895" s="54">
        <v>15000</v>
      </c>
      <c r="R2895" s="54">
        <v>0</v>
      </c>
      <c r="S2895" s="54">
        <v>0</v>
      </c>
      <c r="T2895" s="54">
        <v>0</v>
      </c>
      <c r="U2895" s="54">
        <v>15000</v>
      </c>
      <c r="V2895" s="54">
        <v>15000</v>
      </c>
      <c r="W2895" s="54">
        <v>15000</v>
      </c>
    </row>
    <row r="2896" spans="1:23" outlineLevel="2" x14ac:dyDescent="0.2">
      <c r="A2896" s="21" t="s">
        <v>1783</v>
      </c>
      <c r="B2896" s="21" t="s">
        <v>31</v>
      </c>
      <c r="C2896" s="21" t="s">
        <v>49</v>
      </c>
      <c r="D2896" s="21" t="s">
        <v>50</v>
      </c>
      <c r="E2896" s="21" t="s">
        <v>51</v>
      </c>
      <c r="F2896" s="21" t="s">
        <v>1864</v>
      </c>
      <c r="G2896" s="21" t="s">
        <v>1865</v>
      </c>
      <c r="H2896" s="21" t="s">
        <v>1866</v>
      </c>
      <c r="I2896" s="21" t="s">
        <v>1867</v>
      </c>
      <c r="J2896" s="21" t="s">
        <v>1788</v>
      </c>
      <c r="K2896" s="21" t="s">
        <v>1800</v>
      </c>
      <c r="L2896" s="21" t="s">
        <v>1868</v>
      </c>
      <c r="M2896" s="21" t="s">
        <v>12</v>
      </c>
      <c r="N2896" s="54">
        <v>74179.58</v>
      </c>
      <c r="O2896" s="54">
        <v>0</v>
      </c>
      <c r="P2896" s="54">
        <v>0</v>
      </c>
      <c r="Q2896" s="54">
        <v>74179.58</v>
      </c>
      <c r="R2896" s="54">
        <v>0</v>
      </c>
      <c r="S2896" s="54">
        <v>0</v>
      </c>
      <c r="T2896" s="54">
        <v>0</v>
      </c>
      <c r="U2896" s="54">
        <v>74179.58</v>
      </c>
      <c r="V2896" s="54">
        <v>74179.58</v>
      </c>
      <c r="W2896" s="54">
        <v>74179.58</v>
      </c>
    </row>
    <row r="2897" spans="1:23" outlineLevel="2" x14ac:dyDescent="0.2">
      <c r="A2897" s="21" t="s">
        <v>1783</v>
      </c>
      <c r="B2897" s="21" t="s">
        <v>31</v>
      </c>
      <c r="C2897" s="21" t="s">
        <v>49</v>
      </c>
      <c r="D2897" s="21" t="s">
        <v>50</v>
      </c>
      <c r="E2897" s="21" t="s">
        <v>51</v>
      </c>
      <c r="F2897" s="21" t="s">
        <v>1864</v>
      </c>
      <c r="G2897" s="21" t="s">
        <v>1865</v>
      </c>
      <c r="H2897" s="21" t="s">
        <v>1866</v>
      </c>
      <c r="I2897" s="21" t="s">
        <v>1867</v>
      </c>
      <c r="J2897" s="21" t="s">
        <v>1788</v>
      </c>
      <c r="K2897" s="21" t="s">
        <v>1869</v>
      </c>
      <c r="L2897" s="21" t="s">
        <v>1870</v>
      </c>
      <c r="M2897" s="21" t="s">
        <v>12</v>
      </c>
      <c r="N2897" s="54">
        <v>303660</v>
      </c>
      <c r="O2897" s="54">
        <v>0</v>
      </c>
      <c r="P2897" s="54">
        <v>0</v>
      </c>
      <c r="Q2897" s="54">
        <v>303660</v>
      </c>
      <c r="R2897" s="54">
        <v>0</v>
      </c>
      <c r="S2897" s="54">
        <v>153660</v>
      </c>
      <c r="T2897" s="54">
        <v>153660</v>
      </c>
      <c r="U2897" s="54">
        <v>150000</v>
      </c>
      <c r="V2897" s="54">
        <v>150000</v>
      </c>
      <c r="W2897" s="54">
        <v>150000</v>
      </c>
    </row>
    <row r="2898" spans="1:23" outlineLevel="2" x14ac:dyDescent="0.2">
      <c r="A2898" s="21" t="s">
        <v>1783</v>
      </c>
      <c r="B2898" s="21" t="s">
        <v>31</v>
      </c>
      <c r="C2898" s="21" t="s">
        <v>49</v>
      </c>
      <c r="D2898" s="21" t="s">
        <v>50</v>
      </c>
      <c r="E2898" s="21" t="s">
        <v>51</v>
      </c>
      <c r="F2898" s="21" t="s">
        <v>893</v>
      </c>
      <c r="G2898" s="21" t="s">
        <v>894</v>
      </c>
      <c r="H2898" s="21" t="s">
        <v>895</v>
      </c>
      <c r="I2898" s="21" t="s">
        <v>896</v>
      </c>
      <c r="J2898" s="21" t="s">
        <v>1788</v>
      </c>
      <c r="K2898" s="21" t="s">
        <v>1800</v>
      </c>
      <c r="L2898" s="21" t="s">
        <v>1871</v>
      </c>
      <c r="M2898" s="21" t="s">
        <v>12</v>
      </c>
      <c r="N2898" s="54">
        <v>100000</v>
      </c>
      <c r="O2898" s="54">
        <v>0</v>
      </c>
      <c r="P2898" s="54">
        <v>0</v>
      </c>
      <c r="Q2898" s="54">
        <v>100000</v>
      </c>
      <c r="R2898" s="54">
        <v>0</v>
      </c>
      <c r="S2898" s="54">
        <v>0</v>
      </c>
      <c r="T2898" s="54">
        <v>0</v>
      </c>
      <c r="U2898" s="54">
        <v>100000</v>
      </c>
      <c r="V2898" s="54">
        <v>100000</v>
      </c>
      <c r="W2898" s="54">
        <v>100000</v>
      </c>
    </row>
    <row r="2899" spans="1:23" outlineLevel="2" x14ac:dyDescent="0.2">
      <c r="A2899" s="21" t="s">
        <v>1783</v>
      </c>
      <c r="B2899" s="21" t="s">
        <v>31</v>
      </c>
      <c r="C2899" s="21" t="s">
        <v>49</v>
      </c>
      <c r="D2899" s="21" t="s">
        <v>50</v>
      </c>
      <c r="E2899" s="21" t="s">
        <v>51</v>
      </c>
      <c r="F2899" s="21" t="s">
        <v>893</v>
      </c>
      <c r="G2899" s="21" t="s">
        <v>894</v>
      </c>
      <c r="H2899" s="21" t="s">
        <v>902</v>
      </c>
      <c r="I2899" s="21" t="s">
        <v>903</v>
      </c>
      <c r="J2899" s="21" t="s">
        <v>1788</v>
      </c>
      <c r="K2899" s="21" t="s">
        <v>1800</v>
      </c>
      <c r="L2899" s="21" t="s">
        <v>1871</v>
      </c>
      <c r="M2899" s="21" t="s">
        <v>12</v>
      </c>
      <c r="N2899" s="54">
        <v>0</v>
      </c>
      <c r="O2899" s="54">
        <v>27000</v>
      </c>
      <c r="P2899" s="54">
        <v>0</v>
      </c>
      <c r="Q2899" s="54">
        <v>27000</v>
      </c>
      <c r="R2899" s="54">
        <v>0</v>
      </c>
      <c r="S2899" s="54">
        <v>25000</v>
      </c>
      <c r="T2899" s="54">
        <v>12500</v>
      </c>
      <c r="U2899" s="54">
        <v>2000</v>
      </c>
      <c r="V2899" s="54">
        <v>14500</v>
      </c>
      <c r="W2899" s="54">
        <v>2000</v>
      </c>
    </row>
    <row r="2900" spans="1:23" outlineLevel="2" x14ac:dyDescent="0.2">
      <c r="A2900" s="21" t="s">
        <v>1783</v>
      </c>
      <c r="B2900" s="21" t="s">
        <v>39</v>
      </c>
      <c r="C2900" s="21" t="s">
        <v>40</v>
      </c>
      <c r="D2900" s="21" t="s">
        <v>77</v>
      </c>
      <c r="E2900" s="21" t="s">
        <v>78</v>
      </c>
      <c r="F2900" s="21" t="s">
        <v>1354</v>
      </c>
      <c r="G2900" s="21" t="s">
        <v>1355</v>
      </c>
      <c r="H2900" s="21" t="s">
        <v>1369</v>
      </c>
      <c r="I2900" s="21" t="s">
        <v>1370</v>
      </c>
      <c r="J2900" s="21" t="s">
        <v>1788</v>
      </c>
      <c r="K2900" s="21" t="s">
        <v>1800</v>
      </c>
      <c r="L2900" s="21" t="s">
        <v>1872</v>
      </c>
      <c r="M2900" s="21" t="s">
        <v>12</v>
      </c>
      <c r="N2900" s="54">
        <v>5081379.0999999996</v>
      </c>
      <c r="O2900" s="54">
        <v>-3640360.8</v>
      </c>
      <c r="P2900" s="54">
        <v>0</v>
      </c>
      <c r="Q2900" s="54">
        <v>1441018.3</v>
      </c>
      <c r="R2900" s="54">
        <v>0</v>
      </c>
      <c r="S2900" s="54">
        <v>1295000</v>
      </c>
      <c r="T2900" s="54">
        <v>1294000</v>
      </c>
      <c r="U2900" s="54">
        <v>146018.29999999999</v>
      </c>
      <c r="V2900" s="54">
        <v>147018.29999999999</v>
      </c>
      <c r="W2900" s="54">
        <v>146018.29999999999</v>
      </c>
    </row>
    <row r="2901" spans="1:23" outlineLevel="2" x14ac:dyDescent="0.2">
      <c r="A2901" s="21" t="s">
        <v>1783</v>
      </c>
      <c r="B2901" s="21" t="s">
        <v>1</v>
      </c>
      <c r="C2901" s="21" t="s">
        <v>16</v>
      </c>
      <c r="D2901" s="21" t="s">
        <v>64</v>
      </c>
      <c r="E2901" s="21" t="s">
        <v>65</v>
      </c>
      <c r="F2901" s="21" t="s">
        <v>911</v>
      </c>
      <c r="G2901" s="21" t="s">
        <v>912</v>
      </c>
      <c r="H2901" s="21" t="s">
        <v>1497</v>
      </c>
      <c r="I2901" s="21" t="s">
        <v>1498</v>
      </c>
      <c r="J2901" s="21" t="s">
        <v>1788</v>
      </c>
      <c r="K2901" s="21" t="s">
        <v>1841</v>
      </c>
      <c r="L2901" s="21" t="s">
        <v>1873</v>
      </c>
      <c r="M2901" s="21" t="s">
        <v>15</v>
      </c>
      <c r="N2901" s="54">
        <v>99488.98</v>
      </c>
      <c r="O2901" s="54">
        <v>0</v>
      </c>
      <c r="P2901" s="54">
        <v>0</v>
      </c>
      <c r="Q2901" s="54">
        <v>99488.98</v>
      </c>
      <c r="R2901" s="54">
        <v>0</v>
      </c>
      <c r="S2901" s="54">
        <v>99488.98</v>
      </c>
      <c r="T2901" s="54">
        <v>99488.98</v>
      </c>
      <c r="U2901" s="54">
        <v>0</v>
      </c>
      <c r="V2901" s="54">
        <v>0</v>
      </c>
      <c r="W2901" s="54">
        <v>0</v>
      </c>
    </row>
    <row r="2902" spans="1:23" outlineLevel="2" x14ac:dyDescent="0.2">
      <c r="A2902" s="21" t="s">
        <v>1783</v>
      </c>
      <c r="B2902" s="21" t="s">
        <v>31</v>
      </c>
      <c r="C2902" s="21" t="s">
        <v>32</v>
      </c>
      <c r="D2902" s="21" t="s">
        <v>33</v>
      </c>
      <c r="E2902" s="21" t="s">
        <v>34</v>
      </c>
      <c r="F2902" s="21" t="s">
        <v>933</v>
      </c>
      <c r="G2902" s="21" t="s">
        <v>934</v>
      </c>
      <c r="H2902" s="21" t="s">
        <v>949</v>
      </c>
      <c r="I2902" s="21" t="s">
        <v>950</v>
      </c>
      <c r="J2902" s="21" t="s">
        <v>1788</v>
      </c>
      <c r="K2902" s="21" t="s">
        <v>1869</v>
      </c>
      <c r="L2902" s="21" t="s">
        <v>1874</v>
      </c>
      <c r="M2902" s="21" t="s">
        <v>12</v>
      </c>
      <c r="N2902" s="54">
        <v>382128</v>
      </c>
      <c r="O2902" s="54">
        <v>-382128</v>
      </c>
      <c r="P2902" s="54">
        <v>0</v>
      </c>
      <c r="Q2902" s="54">
        <v>0</v>
      </c>
      <c r="R2902" s="54">
        <v>0</v>
      </c>
      <c r="S2902" s="54">
        <v>0</v>
      </c>
      <c r="T2902" s="54">
        <v>0</v>
      </c>
      <c r="U2902" s="54">
        <v>0</v>
      </c>
      <c r="V2902" s="54">
        <v>0</v>
      </c>
      <c r="W2902" s="54">
        <v>0</v>
      </c>
    </row>
    <row r="2903" spans="1:23" outlineLevel="2" x14ac:dyDescent="0.2">
      <c r="A2903" s="21" t="s">
        <v>1783</v>
      </c>
      <c r="B2903" s="21" t="s">
        <v>31</v>
      </c>
      <c r="C2903" s="21" t="s">
        <v>32</v>
      </c>
      <c r="D2903" s="21" t="s">
        <v>75</v>
      </c>
      <c r="E2903" s="21" t="s">
        <v>76</v>
      </c>
      <c r="F2903" s="21" t="s">
        <v>933</v>
      </c>
      <c r="G2903" s="21" t="s">
        <v>934</v>
      </c>
      <c r="H2903" s="21" t="s">
        <v>949</v>
      </c>
      <c r="I2903" s="21" t="s">
        <v>950</v>
      </c>
      <c r="J2903" s="21" t="s">
        <v>1788</v>
      </c>
      <c r="K2903" s="21" t="s">
        <v>1869</v>
      </c>
      <c r="L2903" s="21" t="s">
        <v>1874</v>
      </c>
      <c r="M2903" s="21" t="s">
        <v>12</v>
      </c>
      <c r="N2903" s="54">
        <v>80448</v>
      </c>
      <c r="O2903" s="54">
        <v>-53000</v>
      </c>
      <c r="P2903" s="54">
        <v>0</v>
      </c>
      <c r="Q2903" s="54">
        <v>27448</v>
      </c>
      <c r="R2903" s="54">
        <v>0</v>
      </c>
      <c r="S2903" s="54">
        <v>0</v>
      </c>
      <c r="T2903" s="54">
        <v>0</v>
      </c>
      <c r="U2903" s="54">
        <v>27448</v>
      </c>
      <c r="V2903" s="54">
        <v>27448</v>
      </c>
      <c r="W2903" s="54">
        <v>27448</v>
      </c>
    </row>
    <row r="2904" spans="1:23" outlineLevel="2" x14ac:dyDescent="0.2">
      <c r="A2904" s="21" t="s">
        <v>1783</v>
      </c>
      <c r="B2904" s="21" t="s">
        <v>39</v>
      </c>
      <c r="C2904" s="21" t="s">
        <v>70</v>
      </c>
      <c r="D2904" s="21" t="s">
        <v>71</v>
      </c>
      <c r="E2904" s="21" t="s">
        <v>72</v>
      </c>
      <c r="F2904" s="21" t="s">
        <v>1618</v>
      </c>
      <c r="G2904" s="21" t="s">
        <v>1619</v>
      </c>
      <c r="H2904" s="21" t="s">
        <v>1643</v>
      </c>
      <c r="I2904" s="21" t="s">
        <v>1644</v>
      </c>
      <c r="J2904" s="21" t="s">
        <v>1788</v>
      </c>
      <c r="K2904" s="21" t="s">
        <v>1789</v>
      </c>
      <c r="L2904" s="21" t="s">
        <v>1875</v>
      </c>
      <c r="M2904" s="21" t="s">
        <v>12</v>
      </c>
      <c r="N2904" s="54">
        <v>216905.54</v>
      </c>
      <c r="O2904" s="54">
        <v>-11437.44</v>
      </c>
      <c r="P2904" s="54">
        <v>0</v>
      </c>
      <c r="Q2904" s="54">
        <v>205468.1</v>
      </c>
      <c r="R2904" s="54">
        <v>0</v>
      </c>
      <c r="S2904" s="54">
        <v>0</v>
      </c>
      <c r="T2904" s="54">
        <v>0</v>
      </c>
      <c r="U2904" s="54">
        <v>205468.1</v>
      </c>
      <c r="V2904" s="54">
        <v>205468.1</v>
      </c>
      <c r="W2904" s="54">
        <v>205468.1</v>
      </c>
    </row>
    <row r="2905" spans="1:23" outlineLevel="2" x14ac:dyDescent="0.2">
      <c r="A2905" s="21" t="s">
        <v>1783</v>
      </c>
      <c r="B2905" s="21" t="s">
        <v>39</v>
      </c>
      <c r="C2905" s="21" t="s">
        <v>70</v>
      </c>
      <c r="D2905" s="21" t="s">
        <v>71</v>
      </c>
      <c r="E2905" s="21" t="s">
        <v>72</v>
      </c>
      <c r="F2905" s="21" t="s">
        <v>1618</v>
      </c>
      <c r="G2905" s="21" t="s">
        <v>1619</v>
      </c>
      <c r="H2905" s="21" t="s">
        <v>1643</v>
      </c>
      <c r="I2905" s="21" t="s">
        <v>1644</v>
      </c>
      <c r="J2905" s="21" t="s">
        <v>1788</v>
      </c>
      <c r="K2905" s="21" t="s">
        <v>1800</v>
      </c>
      <c r="L2905" s="21" t="s">
        <v>1876</v>
      </c>
      <c r="M2905" s="21" t="s">
        <v>12</v>
      </c>
      <c r="N2905" s="54">
        <v>9000</v>
      </c>
      <c r="O2905" s="54">
        <v>-9000</v>
      </c>
      <c r="P2905" s="54">
        <v>0</v>
      </c>
      <c r="Q2905" s="54">
        <v>0</v>
      </c>
      <c r="R2905" s="54">
        <v>0</v>
      </c>
      <c r="S2905" s="54">
        <v>0</v>
      </c>
      <c r="T2905" s="54">
        <v>0</v>
      </c>
      <c r="U2905" s="54">
        <v>0</v>
      </c>
      <c r="V2905" s="54">
        <v>0</v>
      </c>
      <c r="W2905" s="54">
        <v>0</v>
      </c>
    </row>
    <row r="2906" spans="1:23" outlineLevel="2" x14ac:dyDescent="0.2">
      <c r="A2906" s="21" t="s">
        <v>1783</v>
      </c>
      <c r="B2906" s="21" t="s">
        <v>39</v>
      </c>
      <c r="C2906" s="21" t="s">
        <v>70</v>
      </c>
      <c r="D2906" s="21" t="s">
        <v>71</v>
      </c>
      <c r="E2906" s="21" t="s">
        <v>72</v>
      </c>
      <c r="F2906" s="21" t="s">
        <v>1618</v>
      </c>
      <c r="G2906" s="21" t="s">
        <v>1619</v>
      </c>
      <c r="H2906" s="21" t="s">
        <v>1671</v>
      </c>
      <c r="I2906" s="21" t="s">
        <v>1672</v>
      </c>
      <c r="J2906" s="21" t="s">
        <v>1788</v>
      </c>
      <c r="K2906" s="21" t="s">
        <v>1800</v>
      </c>
      <c r="L2906" s="21" t="s">
        <v>1876</v>
      </c>
      <c r="M2906" s="21" t="s">
        <v>12</v>
      </c>
      <c r="N2906" s="54">
        <v>0</v>
      </c>
      <c r="O2906" s="54">
        <v>9000</v>
      </c>
      <c r="P2906" s="54">
        <v>0</v>
      </c>
      <c r="Q2906" s="54">
        <v>9000</v>
      </c>
      <c r="R2906" s="54">
        <v>0</v>
      </c>
      <c r="S2906" s="54">
        <v>0</v>
      </c>
      <c r="T2906" s="54">
        <v>0</v>
      </c>
      <c r="U2906" s="54">
        <v>9000</v>
      </c>
      <c r="V2906" s="54">
        <v>9000</v>
      </c>
      <c r="W2906" s="54">
        <v>9000</v>
      </c>
    </row>
    <row r="2907" spans="1:23" outlineLevel="2" x14ac:dyDescent="0.2">
      <c r="A2907" s="21" t="s">
        <v>1783</v>
      </c>
      <c r="B2907" s="21" t="s">
        <v>39</v>
      </c>
      <c r="C2907" s="21" t="s">
        <v>70</v>
      </c>
      <c r="D2907" s="21" t="s">
        <v>71</v>
      </c>
      <c r="E2907" s="21" t="s">
        <v>72</v>
      </c>
      <c r="F2907" s="21" t="s">
        <v>1673</v>
      </c>
      <c r="G2907" s="21" t="s">
        <v>1674</v>
      </c>
      <c r="H2907" s="21" t="s">
        <v>1675</v>
      </c>
      <c r="I2907" s="21" t="s">
        <v>1676</v>
      </c>
      <c r="J2907" s="21" t="s">
        <v>1788</v>
      </c>
      <c r="K2907" s="21" t="s">
        <v>1855</v>
      </c>
      <c r="L2907" s="21" t="s">
        <v>1877</v>
      </c>
      <c r="M2907" s="21" t="s">
        <v>12</v>
      </c>
      <c r="N2907" s="54">
        <v>250000</v>
      </c>
      <c r="O2907" s="54">
        <v>0</v>
      </c>
      <c r="P2907" s="54">
        <v>0</v>
      </c>
      <c r="Q2907" s="54">
        <v>250000</v>
      </c>
      <c r="R2907" s="54">
        <v>0</v>
      </c>
      <c r="S2907" s="54">
        <v>0</v>
      </c>
      <c r="T2907" s="54">
        <v>0</v>
      </c>
      <c r="U2907" s="54">
        <v>250000</v>
      </c>
      <c r="V2907" s="54">
        <v>250000</v>
      </c>
      <c r="W2907" s="54">
        <v>250000</v>
      </c>
    </row>
    <row r="2908" spans="1:23" outlineLevel="2" x14ac:dyDescent="0.2">
      <c r="A2908" s="21" t="s">
        <v>1783</v>
      </c>
      <c r="B2908" s="21" t="s">
        <v>39</v>
      </c>
      <c r="C2908" s="21" t="s">
        <v>70</v>
      </c>
      <c r="D2908" s="21" t="s">
        <v>71</v>
      </c>
      <c r="E2908" s="21" t="s">
        <v>72</v>
      </c>
      <c r="F2908" s="21" t="s">
        <v>1673</v>
      </c>
      <c r="G2908" s="21" t="s">
        <v>1674</v>
      </c>
      <c r="H2908" s="21" t="s">
        <v>1675</v>
      </c>
      <c r="I2908" s="21" t="s">
        <v>1676</v>
      </c>
      <c r="J2908" s="21" t="s">
        <v>1788</v>
      </c>
      <c r="K2908" s="21" t="s">
        <v>1800</v>
      </c>
      <c r="L2908" s="21" t="s">
        <v>1878</v>
      </c>
      <c r="M2908" s="21" t="s">
        <v>12</v>
      </c>
      <c r="N2908" s="54">
        <v>300000</v>
      </c>
      <c r="O2908" s="54">
        <v>0</v>
      </c>
      <c r="P2908" s="54">
        <v>0</v>
      </c>
      <c r="Q2908" s="54">
        <v>300000</v>
      </c>
      <c r="R2908" s="54">
        <v>0</v>
      </c>
      <c r="S2908" s="54">
        <v>0</v>
      </c>
      <c r="T2908" s="54">
        <v>0</v>
      </c>
      <c r="U2908" s="54">
        <v>300000</v>
      </c>
      <c r="V2908" s="54">
        <v>300000</v>
      </c>
      <c r="W2908" s="54">
        <v>300000</v>
      </c>
    </row>
    <row r="2909" spans="1:23" outlineLevel="2" x14ac:dyDescent="0.2">
      <c r="A2909" s="21" t="s">
        <v>1783</v>
      </c>
      <c r="B2909" s="21" t="s">
        <v>39</v>
      </c>
      <c r="C2909" s="21" t="s">
        <v>70</v>
      </c>
      <c r="D2909" s="21" t="s">
        <v>71</v>
      </c>
      <c r="E2909" s="21" t="s">
        <v>72</v>
      </c>
      <c r="F2909" s="21" t="s">
        <v>1673</v>
      </c>
      <c r="G2909" s="21" t="s">
        <v>1674</v>
      </c>
      <c r="H2909" s="21" t="s">
        <v>1678</v>
      </c>
      <c r="I2909" s="21" t="s">
        <v>1679</v>
      </c>
      <c r="J2909" s="21" t="s">
        <v>1788</v>
      </c>
      <c r="K2909" s="21" t="s">
        <v>1789</v>
      </c>
      <c r="L2909" s="21" t="s">
        <v>1879</v>
      </c>
      <c r="M2909" s="21" t="s">
        <v>12</v>
      </c>
      <c r="N2909" s="54">
        <v>1000000</v>
      </c>
      <c r="O2909" s="54">
        <v>0</v>
      </c>
      <c r="P2909" s="54">
        <v>0</v>
      </c>
      <c r="Q2909" s="54">
        <v>1000000</v>
      </c>
      <c r="R2909" s="54">
        <v>0</v>
      </c>
      <c r="S2909" s="54">
        <v>1000000</v>
      </c>
      <c r="T2909" s="54">
        <v>1000000</v>
      </c>
      <c r="U2909" s="54">
        <v>0</v>
      </c>
      <c r="V2909" s="54">
        <v>0</v>
      </c>
      <c r="W2909" s="54">
        <v>0</v>
      </c>
    </row>
    <row r="2910" spans="1:23" outlineLevel="2" x14ac:dyDescent="0.2">
      <c r="A2910" s="21" t="s">
        <v>1783</v>
      </c>
      <c r="B2910" s="21" t="s">
        <v>39</v>
      </c>
      <c r="C2910" s="21" t="s">
        <v>70</v>
      </c>
      <c r="D2910" s="21" t="s">
        <v>71</v>
      </c>
      <c r="E2910" s="21" t="s">
        <v>72</v>
      </c>
      <c r="F2910" s="21" t="s">
        <v>1673</v>
      </c>
      <c r="G2910" s="21" t="s">
        <v>1674</v>
      </c>
      <c r="H2910" s="21" t="s">
        <v>1678</v>
      </c>
      <c r="I2910" s="21" t="s">
        <v>1679</v>
      </c>
      <c r="J2910" s="21" t="s">
        <v>1788</v>
      </c>
      <c r="K2910" s="21" t="s">
        <v>1800</v>
      </c>
      <c r="L2910" s="21" t="s">
        <v>1878</v>
      </c>
      <c r="M2910" s="21" t="s">
        <v>12</v>
      </c>
      <c r="N2910" s="54">
        <v>30000</v>
      </c>
      <c r="O2910" s="54">
        <v>0</v>
      </c>
      <c r="P2910" s="54">
        <v>0</v>
      </c>
      <c r="Q2910" s="54">
        <v>30000</v>
      </c>
      <c r="R2910" s="54">
        <v>0</v>
      </c>
      <c r="S2910" s="54">
        <v>30000</v>
      </c>
      <c r="T2910" s="54">
        <v>197</v>
      </c>
      <c r="U2910" s="54">
        <v>0</v>
      </c>
      <c r="V2910" s="54">
        <v>29803</v>
      </c>
      <c r="W2910" s="54">
        <v>0</v>
      </c>
    </row>
    <row r="2911" spans="1:23" outlineLevel="2" x14ac:dyDescent="0.2">
      <c r="A2911" s="21" t="s">
        <v>1783</v>
      </c>
      <c r="B2911" s="21" t="s">
        <v>39</v>
      </c>
      <c r="C2911" s="21" t="s">
        <v>66</v>
      </c>
      <c r="D2911" s="21" t="s">
        <v>67</v>
      </c>
      <c r="E2911" s="21" t="s">
        <v>68</v>
      </c>
      <c r="F2911" s="21" t="s">
        <v>967</v>
      </c>
      <c r="G2911" s="21" t="s">
        <v>968</v>
      </c>
      <c r="H2911" s="21" t="s">
        <v>1706</v>
      </c>
      <c r="I2911" s="21" t="s">
        <v>1707</v>
      </c>
      <c r="J2911" s="21" t="s">
        <v>1788</v>
      </c>
      <c r="K2911" s="21" t="s">
        <v>1789</v>
      </c>
      <c r="L2911" s="21" t="s">
        <v>1880</v>
      </c>
      <c r="M2911" s="21" t="s">
        <v>12</v>
      </c>
      <c r="N2911" s="54">
        <v>0</v>
      </c>
      <c r="O2911" s="54">
        <v>726091.57</v>
      </c>
      <c r="P2911" s="54">
        <v>0</v>
      </c>
      <c r="Q2911" s="54">
        <v>726091.57</v>
      </c>
      <c r="R2911" s="54">
        <v>0</v>
      </c>
      <c r="S2911" s="54">
        <v>0</v>
      </c>
      <c r="T2911" s="54">
        <v>0</v>
      </c>
      <c r="U2911" s="54">
        <v>726091.57</v>
      </c>
      <c r="V2911" s="54">
        <v>726091.57</v>
      </c>
      <c r="W2911" s="54">
        <v>726091.57</v>
      </c>
    </row>
    <row r="2912" spans="1:23" outlineLevel="2" x14ac:dyDescent="0.2">
      <c r="A2912" s="21" t="s">
        <v>1783</v>
      </c>
      <c r="B2912" s="21" t="s">
        <v>39</v>
      </c>
      <c r="C2912" s="21" t="s">
        <v>66</v>
      </c>
      <c r="D2912" s="21" t="s">
        <v>67</v>
      </c>
      <c r="E2912" s="21" t="s">
        <v>68</v>
      </c>
      <c r="F2912" s="21" t="s">
        <v>967</v>
      </c>
      <c r="G2912" s="21" t="s">
        <v>968</v>
      </c>
      <c r="H2912" s="21" t="s">
        <v>1706</v>
      </c>
      <c r="I2912" s="21" t="s">
        <v>1707</v>
      </c>
      <c r="J2912" s="21" t="s">
        <v>1788</v>
      </c>
      <c r="K2912" s="21" t="s">
        <v>1800</v>
      </c>
      <c r="L2912" s="21" t="s">
        <v>1881</v>
      </c>
      <c r="M2912" s="21" t="s">
        <v>12</v>
      </c>
      <c r="N2912" s="54">
        <v>300000</v>
      </c>
      <c r="O2912" s="54">
        <v>-200000</v>
      </c>
      <c r="P2912" s="54">
        <v>0</v>
      </c>
      <c r="Q2912" s="54">
        <v>100000</v>
      </c>
      <c r="R2912" s="54">
        <v>0</v>
      </c>
      <c r="S2912" s="54">
        <v>0</v>
      </c>
      <c r="T2912" s="54">
        <v>0</v>
      </c>
      <c r="U2912" s="54">
        <v>100000</v>
      </c>
      <c r="V2912" s="54">
        <v>100000</v>
      </c>
      <c r="W2912" s="54">
        <v>100000</v>
      </c>
    </row>
    <row r="2913" spans="1:23" outlineLevel="2" x14ac:dyDescent="0.2">
      <c r="A2913" s="21" t="s">
        <v>1882</v>
      </c>
      <c r="B2913" s="21" t="s">
        <v>39</v>
      </c>
      <c r="C2913" s="21" t="s">
        <v>58</v>
      </c>
      <c r="D2913" s="21" t="s">
        <v>143</v>
      </c>
      <c r="E2913" s="21" t="s">
        <v>144</v>
      </c>
      <c r="F2913" s="21" t="s">
        <v>1005</v>
      </c>
      <c r="G2913" s="21" t="s">
        <v>1006</v>
      </c>
      <c r="H2913" s="21" t="s">
        <v>1007</v>
      </c>
      <c r="I2913" s="21" t="s">
        <v>1008</v>
      </c>
      <c r="J2913" s="21" t="s">
        <v>1883</v>
      </c>
      <c r="K2913" s="21" t="s">
        <v>1884</v>
      </c>
      <c r="L2913" s="21" t="s">
        <v>1885</v>
      </c>
      <c r="M2913" s="21" t="s">
        <v>12</v>
      </c>
      <c r="N2913" s="54">
        <v>4000</v>
      </c>
      <c r="O2913" s="54">
        <v>0</v>
      </c>
      <c r="P2913" s="54">
        <v>0</v>
      </c>
      <c r="Q2913" s="54">
        <v>4000</v>
      </c>
      <c r="R2913" s="54">
        <v>0</v>
      </c>
      <c r="S2913" s="54">
        <v>0</v>
      </c>
      <c r="T2913" s="54">
        <v>0</v>
      </c>
      <c r="U2913" s="54">
        <v>4000</v>
      </c>
      <c r="V2913" s="54">
        <v>4000</v>
      </c>
      <c r="W2913" s="54">
        <v>4000</v>
      </c>
    </row>
    <row r="2914" spans="1:23" outlineLevel="2" x14ac:dyDescent="0.2">
      <c r="A2914" s="21" t="s">
        <v>1882</v>
      </c>
      <c r="B2914" s="21" t="s">
        <v>39</v>
      </c>
      <c r="C2914" s="21" t="s">
        <v>58</v>
      </c>
      <c r="D2914" s="21" t="s">
        <v>59</v>
      </c>
      <c r="E2914" s="21" t="s">
        <v>60</v>
      </c>
      <c r="F2914" s="21" t="s">
        <v>1005</v>
      </c>
      <c r="G2914" s="21" t="s">
        <v>1006</v>
      </c>
      <c r="H2914" s="21" t="s">
        <v>1007</v>
      </c>
      <c r="I2914" s="21" t="s">
        <v>1008</v>
      </c>
      <c r="J2914" s="21" t="s">
        <v>1883</v>
      </c>
      <c r="K2914" s="21" t="s">
        <v>1884</v>
      </c>
      <c r="L2914" s="21" t="s">
        <v>1885</v>
      </c>
      <c r="M2914" s="21" t="s">
        <v>12</v>
      </c>
      <c r="N2914" s="54">
        <v>6000</v>
      </c>
      <c r="O2914" s="54">
        <v>0</v>
      </c>
      <c r="P2914" s="54">
        <v>0</v>
      </c>
      <c r="Q2914" s="54">
        <v>6000</v>
      </c>
      <c r="R2914" s="54">
        <v>0</v>
      </c>
      <c r="S2914" s="54">
        <v>0</v>
      </c>
      <c r="T2914" s="54">
        <v>0</v>
      </c>
      <c r="U2914" s="54">
        <v>6000</v>
      </c>
      <c r="V2914" s="54">
        <v>6000</v>
      </c>
      <c r="W2914" s="54">
        <v>6000</v>
      </c>
    </row>
    <row r="2915" spans="1:23" outlineLevel="2" x14ac:dyDescent="0.2">
      <c r="A2915" s="21" t="s">
        <v>1882</v>
      </c>
      <c r="B2915" s="21" t="s">
        <v>39</v>
      </c>
      <c r="C2915" s="21" t="s">
        <v>58</v>
      </c>
      <c r="D2915" s="21" t="s">
        <v>143</v>
      </c>
      <c r="E2915" s="21" t="s">
        <v>144</v>
      </c>
      <c r="F2915" s="21" t="s">
        <v>1005</v>
      </c>
      <c r="G2915" s="21" t="s">
        <v>1006</v>
      </c>
      <c r="H2915" s="21" t="s">
        <v>1007</v>
      </c>
      <c r="I2915" s="21" t="s">
        <v>1008</v>
      </c>
      <c r="J2915" s="21" t="s">
        <v>1883</v>
      </c>
      <c r="K2915" s="21" t="s">
        <v>1886</v>
      </c>
      <c r="L2915" s="21" t="s">
        <v>1887</v>
      </c>
      <c r="M2915" s="21" t="s">
        <v>12</v>
      </c>
      <c r="N2915" s="54">
        <v>2000</v>
      </c>
      <c r="O2915" s="54">
        <v>0</v>
      </c>
      <c r="P2915" s="54">
        <v>0</v>
      </c>
      <c r="Q2915" s="54">
        <v>2000</v>
      </c>
      <c r="R2915" s="54">
        <v>0</v>
      </c>
      <c r="S2915" s="54">
        <v>0</v>
      </c>
      <c r="T2915" s="54">
        <v>0</v>
      </c>
      <c r="U2915" s="54">
        <v>2000</v>
      </c>
      <c r="V2915" s="54">
        <v>2000</v>
      </c>
      <c r="W2915" s="54">
        <v>2000</v>
      </c>
    </row>
    <row r="2916" spans="1:23" outlineLevel="2" x14ac:dyDescent="0.2">
      <c r="A2916" s="21" t="s">
        <v>1882</v>
      </c>
      <c r="B2916" s="21" t="s">
        <v>39</v>
      </c>
      <c r="C2916" s="21" t="s">
        <v>58</v>
      </c>
      <c r="D2916" s="21" t="s">
        <v>59</v>
      </c>
      <c r="E2916" s="21" t="s">
        <v>60</v>
      </c>
      <c r="F2916" s="21" t="s">
        <v>1005</v>
      </c>
      <c r="G2916" s="21" t="s">
        <v>1006</v>
      </c>
      <c r="H2916" s="21" t="s">
        <v>1007</v>
      </c>
      <c r="I2916" s="21" t="s">
        <v>1008</v>
      </c>
      <c r="J2916" s="21" t="s">
        <v>1883</v>
      </c>
      <c r="K2916" s="21" t="s">
        <v>1886</v>
      </c>
      <c r="L2916" s="21" t="s">
        <v>1887</v>
      </c>
      <c r="M2916" s="21" t="s">
        <v>12</v>
      </c>
      <c r="N2916" s="54">
        <v>2000</v>
      </c>
      <c r="O2916" s="54">
        <v>0</v>
      </c>
      <c r="P2916" s="54">
        <v>0</v>
      </c>
      <c r="Q2916" s="54">
        <v>2000</v>
      </c>
      <c r="R2916" s="54">
        <v>0</v>
      </c>
      <c r="S2916" s="54">
        <v>0</v>
      </c>
      <c r="T2916" s="54">
        <v>0</v>
      </c>
      <c r="U2916" s="54">
        <v>2000</v>
      </c>
      <c r="V2916" s="54">
        <v>2000</v>
      </c>
      <c r="W2916" s="54">
        <v>2000</v>
      </c>
    </row>
    <row r="2917" spans="1:23" outlineLevel="2" x14ac:dyDescent="0.2">
      <c r="A2917" s="21" t="s">
        <v>1882</v>
      </c>
      <c r="B2917" s="21" t="s">
        <v>39</v>
      </c>
      <c r="C2917" s="21" t="s">
        <v>95</v>
      </c>
      <c r="D2917" s="21" t="s">
        <v>96</v>
      </c>
      <c r="E2917" s="21" t="s">
        <v>97</v>
      </c>
      <c r="F2917" s="21" t="s">
        <v>1025</v>
      </c>
      <c r="G2917" s="21" t="s">
        <v>1026</v>
      </c>
      <c r="H2917" s="21" t="s">
        <v>1027</v>
      </c>
      <c r="I2917" s="21" t="s">
        <v>1028</v>
      </c>
      <c r="J2917" s="21" t="s">
        <v>1883</v>
      </c>
      <c r="K2917" s="21" t="s">
        <v>1886</v>
      </c>
      <c r="L2917" s="21" t="s">
        <v>1888</v>
      </c>
      <c r="M2917" s="21" t="s">
        <v>12</v>
      </c>
      <c r="N2917" s="54">
        <v>15000</v>
      </c>
      <c r="O2917" s="54">
        <v>0</v>
      </c>
      <c r="P2917" s="54">
        <v>0</v>
      </c>
      <c r="Q2917" s="54">
        <v>15000</v>
      </c>
      <c r="R2917" s="54">
        <v>0</v>
      </c>
      <c r="S2917" s="54">
        <v>0</v>
      </c>
      <c r="T2917" s="54">
        <v>0</v>
      </c>
      <c r="U2917" s="54">
        <v>15000</v>
      </c>
      <c r="V2917" s="54">
        <v>15000</v>
      </c>
      <c r="W2917" s="54">
        <v>15000</v>
      </c>
    </row>
    <row r="2918" spans="1:23" outlineLevel="2" x14ac:dyDescent="0.2">
      <c r="A2918" s="21" t="s">
        <v>1882</v>
      </c>
      <c r="B2918" s="21" t="s">
        <v>39</v>
      </c>
      <c r="C2918" s="21" t="s">
        <v>95</v>
      </c>
      <c r="D2918" s="21" t="s">
        <v>96</v>
      </c>
      <c r="E2918" s="21" t="s">
        <v>97</v>
      </c>
      <c r="F2918" s="21" t="s">
        <v>1047</v>
      </c>
      <c r="G2918" s="21" t="s">
        <v>1048</v>
      </c>
      <c r="H2918" s="21" t="s">
        <v>1049</v>
      </c>
      <c r="I2918" s="21" t="s">
        <v>1050</v>
      </c>
      <c r="J2918" s="21" t="s">
        <v>1883</v>
      </c>
      <c r="K2918" s="21" t="s">
        <v>1886</v>
      </c>
      <c r="L2918" s="21" t="s">
        <v>1889</v>
      </c>
      <c r="M2918" s="21" t="s">
        <v>12</v>
      </c>
      <c r="N2918" s="54">
        <v>13000</v>
      </c>
      <c r="O2918" s="54">
        <v>-13000</v>
      </c>
      <c r="P2918" s="54">
        <v>0</v>
      </c>
      <c r="Q2918" s="54">
        <v>0</v>
      </c>
      <c r="R2918" s="54">
        <v>0</v>
      </c>
      <c r="S2918" s="54">
        <v>0</v>
      </c>
      <c r="T2918" s="54">
        <v>0</v>
      </c>
      <c r="U2918" s="54">
        <v>0</v>
      </c>
      <c r="V2918" s="54">
        <v>0</v>
      </c>
      <c r="W2918" s="54">
        <v>0</v>
      </c>
    </row>
    <row r="2919" spans="1:23" outlineLevel="2" x14ac:dyDescent="0.2">
      <c r="A2919" s="21" t="s">
        <v>1882</v>
      </c>
      <c r="B2919" s="21" t="s">
        <v>39</v>
      </c>
      <c r="C2919" s="21" t="s">
        <v>58</v>
      </c>
      <c r="D2919" s="21" t="s">
        <v>149</v>
      </c>
      <c r="E2919" s="21" t="s">
        <v>150</v>
      </c>
      <c r="F2919" s="21" t="s">
        <v>837</v>
      </c>
      <c r="G2919" s="21" t="s">
        <v>838</v>
      </c>
      <c r="H2919" s="21" t="s">
        <v>1064</v>
      </c>
      <c r="I2919" s="21" t="s">
        <v>1065</v>
      </c>
      <c r="J2919" s="21" t="s">
        <v>1883</v>
      </c>
      <c r="K2919" s="21" t="s">
        <v>1891</v>
      </c>
      <c r="L2919" s="21" t="s">
        <v>1892</v>
      </c>
      <c r="M2919" s="21" t="s">
        <v>12</v>
      </c>
      <c r="N2919" s="54">
        <v>0</v>
      </c>
      <c r="O2919" s="54">
        <v>5000</v>
      </c>
      <c r="P2919" s="54">
        <v>0</v>
      </c>
      <c r="Q2919" s="54">
        <v>5000</v>
      </c>
      <c r="R2919" s="54">
        <v>0</v>
      </c>
      <c r="S2919" s="54">
        <v>0</v>
      </c>
      <c r="T2919" s="54">
        <v>0</v>
      </c>
      <c r="U2919" s="54">
        <v>5000</v>
      </c>
      <c r="V2919" s="54">
        <v>5000</v>
      </c>
      <c r="W2919" s="54">
        <v>5000</v>
      </c>
    </row>
    <row r="2920" spans="1:23" outlineLevel="2" x14ac:dyDescent="0.2">
      <c r="A2920" s="21" t="s">
        <v>1882</v>
      </c>
      <c r="B2920" s="21" t="s">
        <v>39</v>
      </c>
      <c r="C2920" s="21" t="s">
        <v>58</v>
      </c>
      <c r="D2920" s="21" t="s">
        <v>149</v>
      </c>
      <c r="E2920" s="21" t="s">
        <v>150</v>
      </c>
      <c r="F2920" s="21" t="s">
        <v>837</v>
      </c>
      <c r="G2920" s="21" t="s">
        <v>838</v>
      </c>
      <c r="H2920" s="21" t="s">
        <v>1064</v>
      </c>
      <c r="I2920" s="21" t="s">
        <v>1065</v>
      </c>
      <c r="J2920" s="21" t="s">
        <v>1883</v>
      </c>
      <c r="K2920" s="21" t="s">
        <v>1884</v>
      </c>
      <c r="L2920" s="21" t="s">
        <v>1890</v>
      </c>
      <c r="M2920" s="21" t="s">
        <v>12</v>
      </c>
      <c r="N2920" s="54">
        <v>0</v>
      </c>
      <c r="O2920" s="54">
        <v>18000</v>
      </c>
      <c r="P2920" s="54">
        <v>0</v>
      </c>
      <c r="Q2920" s="54">
        <v>18000</v>
      </c>
      <c r="R2920" s="54">
        <v>0</v>
      </c>
      <c r="S2920" s="54">
        <v>0</v>
      </c>
      <c r="T2920" s="54">
        <v>0</v>
      </c>
      <c r="U2920" s="54">
        <v>18000</v>
      </c>
      <c r="V2920" s="54">
        <v>18000</v>
      </c>
      <c r="W2920" s="54">
        <v>18000</v>
      </c>
    </row>
    <row r="2921" spans="1:23" outlineLevel="2" x14ac:dyDescent="0.2">
      <c r="A2921" s="21" t="s">
        <v>1882</v>
      </c>
      <c r="B2921" s="21" t="s">
        <v>39</v>
      </c>
      <c r="C2921" s="21" t="s">
        <v>58</v>
      </c>
      <c r="D2921" s="21" t="s">
        <v>149</v>
      </c>
      <c r="E2921" s="21" t="s">
        <v>150</v>
      </c>
      <c r="F2921" s="21" t="s">
        <v>837</v>
      </c>
      <c r="G2921" s="21" t="s">
        <v>838</v>
      </c>
      <c r="H2921" s="21" t="s">
        <v>1064</v>
      </c>
      <c r="I2921" s="21" t="s">
        <v>1065</v>
      </c>
      <c r="J2921" s="21" t="s">
        <v>1883</v>
      </c>
      <c r="K2921" s="21" t="s">
        <v>1886</v>
      </c>
      <c r="L2921" s="21" t="s">
        <v>1895</v>
      </c>
      <c r="M2921" s="21" t="s">
        <v>12</v>
      </c>
      <c r="N2921" s="54">
        <v>0</v>
      </c>
      <c r="O2921" s="54">
        <v>65000</v>
      </c>
      <c r="P2921" s="54">
        <v>0</v>
      </c>
      <c r="Q2921" s="54">
        <v>65000</v>
      </c>
      <c r="R2921" s="54">
        <v>0</v>
      </c>
      <c r="S2921" s="54">
        <v>0</v>
      </c>
      <c r="T2921" s="54">
        <v>0</v>
      </c>
      <c r="U2921" s="54">
        <v>65000</v>
      </c>
      <c r="V2921" s="54">
        <v>65000</v>
      </c>
      <c r="W2921" s="54">
        <v>65000</v>
      </c>
    </row>
    <row r="2922" spans="1:23" outlineLevel="2" x14ac:dyDescent="0.2">
      <c r="A2922" s="21" t="s">
        <v>1882</v>
      </c>
      <c r="B2922" s="21" t="s">
        <v>39</v>
      </c>
      <c r="C2922" s="21" t="s">
        <v>58</v>
      </c>
      <c r="D2922" s="21" t="s">
        <v>149</v>
      </c>
      <c r="E2922" s="21" t="s">
        <v>150</v>
      </c>
      <c r="F2922" s="21" t="s">
        <v>837</v>
      </c>
      <c r="G2922" s="21" t="s">
        <v>838</v>
      </c>
      <c r="H2922" s="21" t="s">
        <v>839</v>
      </c>
      <c r="I2922" s="21" t="s">
        <v>840</v>
      </c>
      <c r="J2922" s="21" t="s">
        <v>1883</v>
      </c>
      <c r="K2922" s="21" t="s">
        <v>1884</v>
      </c>
      <c r="L2922" s="21" t="s">
        <v>1890</v>
      </c>
      <c r="M2922" s="21" t="s">
        <v>12</v>
      </c>
      <c r="N2922" s="54">
        <v>1000</v>
      </c>
      <c r="O2922" s="54">
        <v>0</v>
      </c>
      <c r="P2922" s="54">
        <v>0</v>
      </c>
      <c r="Q2922" s="54">
        <v>1000</v>
      </c>
      <c r="R2922" s="54">
        <v>0</v>
      </c>
      <c r="S2922" s="54">
        <v>0</v>
      </c>
      <c r="T2922" s="54">
        <v>0</v>
      </c>
      <c r="U2922" s="54">
        <v>1000</v>
      </c>
      <c r="V2922" s="54">
        <v>1000</v>
      </c>
      <c r="W2922" s="54">
        <v>1000</v>
      </c>
    </row>
    <row r="2923" spans="1:23" outlineLevel="2" x14ac:dyDescent="0.2">
      <c r="A2923" s="21" t="s">
        <v>1882</v>
      </c>
      <c r="B2923" s="21" t="s">
        <v>39</v>
      </c>
      <c r="C2923" s="21" t="s">
        <v>58</v>
      </c>
      <c r="D2923" s="21" t="s">
        <v>135</v>
      </c>
      <c r="E2923" s="21" t="s">
        <v>136</v>
      </c>
      <c r="F2923" s="21" t="s">
        <v>837</v>
      </c>
      <c r="G2923" s="21" t="s">
        <v>838</v>
      </c>
      <c r="H2923" s="21" t="s">
        <v>839</v>
      </c>
      <c r="I2923" s="21" t="s">
        <v>840</v>
      </c>
      <c r="J2923" s="21" t="s">
        <v>1883</v>
      </c>
      <c r="K2923" s="21" t="s">
        <v>1884</v>
      </c>
      <c r="L2923" s="21" t="s">
        <v>1890</v>
      </c>
      <c r="M2923" s="21" t="s">
        <v>12</v>
      </c>
      <c r="N2923" s="54">
        <v>1000</v>
      </c>
      <c r="O2923" s="54">
        <v>0</v>
      </c>
      <c r="P2923" s="54">
        <v>0</v>
      </c>
      <c r="Q2923" s="54">
        <v>1000</v>
      </c>
      <c r="R2923" s="54">
        <v>0</v>
      </c>
      <c r="S2923" s="54">
        <v>0</v>
      </c>
      <c r="T2923" s="54">
        <v>0</v>
      </c>
      <c r="U2923" s="54">
        <v>1000</v>
      </c>
      <c r="V2923" s="54">
        <v>1000</v>
      </c>
      <c r="W2923" s="54">
        <v>1000</v>
      </c>
    </row>
    <row r="2924" spans="1:23" outlineLevel="2" x14ac:dyDescent="0.2">
      <c r="A2924" s="21" t="s">
        <v>1882</v>
      </c>
      <c r="B2924" s="21" t="s">
        <v>39</v>
      </c>
      <c r="C2924" s="21" t="s">
        <v>58</v>
      </c>
      <c r="D2924" s="21" t="s">
        <v>145</v>
      </c>
      <c r="E2924" s="21" t="s">
        <v>146</v>
      </c>
      <c r="F2924" s="21" t="s">
        <v>837</v>
      </c>
      <c r="G2924" s="21" t="s">
        <v>838</v>
      </c>
      <c r="H2924" s="21" t="s">
        <v>852</v>
      </c>
      <c r="I2924" s="21" t="s">
        <v>853</v>
      </c>
      <c r="J2924" s="21" t="s">
        <v>1883</v>
      </c>
      <c r="K2924" s="21" t="s">
        <v>1891</v>
      </c>
      <c r="L2924" s="21" t="s">
        <v>1892</v>
      </c>
      <c r="M2924" s="21" t="s">
        <v>12</v>
      </c>
      <c r="N2924" s="54">
        <v>4500</v>
      </c>
      <c r="O2924" s="54">
        <v>0</v>
      </c>
      <c r="P2924" s="54">
        <v>0</v>
      </c>
      <c r="Q2924" s="54">
        <v>4500</v>
      </c>
      <c r="R2924" s="54">
        <v>0</v>
      </c>
      <c r="S2924" s="54">
        <v>0</v>
      </c>
      <c r="T2924" s="54">
        <v>0</v>
      </c>
      <c r="U2924" s="54">
        <v>4500</v>
      </c>
      <c r="V2924" s="54">
        <v>4500</v>
      </c>
      <c r="W2924" s="54">
        <v>4500</v>
      </c>
    </row>
    <row r="2925" spans="1:23" outlineLevel="2" x14ac:dyDescent="0.2">
      <c r="A2925" s="21" t="s">
        <v>1882</v>
      </c>
      <c r="B2925" s="21" t="s">
        <v>39</v>
      </c>
      <c r="C2925" s="21" t="s">
        <v>58</v>
      </c>
      <c r="D2925" s="21" t="s">
        <v>129</v>
      </c>
      <c r="E2925" s="21" t="s">
        <v>130</v>
      </c>
      <c r="F2925" s="21" t="s">
        <v>837</v>
      </c>
      <c r="G2925" s="21" t="s">
        <v>838</v>
      </c>
      <c r="H2925" s="21" t="s">
        <v>852</v>
      </c>
      <c r="I2925" s="21" t="s">
        <v>853</v>
      </c>
      <c r="J2925" s="21" t="s">
        <v>1883</v>
      </c>
      <c r="K2925" s="21" t="s">
        <v>1891</v>
      </c>
      <c r="L2925" s="21" t="s">
        <v>1892</v>
      </c>
      <c r="M2925" s="21" t="s">
        <v>12</v>
      </c>
      <c r="N2925" s="54">
        <v>1000</v>
      </c>
      <c r="O2925" s="54">
        <v>0</v>
      </c>
      <c r="P2925" s="54">
        <v>0</v>
      </c>
      <c r="Q2925" s="54">
        <v>1000</v>
      </c>
      <c r="R2925" s="54">
        <v>0</v>
      </c>
      <c r="S2925" s="54">
        <v>0</v>
      </c>
      <c r="T2925" s="54">
        <v>0</v>
      </c>
      <c r="U2925" s="54">
        <v>1000</v>
      </c>
      <c r="V2925" s="54">
        <v>1000</v>
      </c>
      <c r="W2925" s="54">
        <v>1000</v>
      </c>
    </row>
    <row r="2926" spans="1:23" outlineLevel="2" x14ac:dyDescent="0.2">
      <c r="A2926" s="21" t="s">
        <v>1882</v>
      </c>
      <c r="B2926" s="21" t="s">
        <v>39</v>
      </c>
      <c r="C2926" s="21" t="s">
        <v>58</v>
      </c>
      <c r="D2926" s="21" t="s">
        <v>135</v>
      </c>
      <c r="E2926" s="21" t="s">
        <v>136</v>
      </c>
      <c r="F2926" s="21" t="s">
        <v>837</v>
      </c>
      <c r="G2926" s="21" t="s">
        <v>838</v>
      </c>
      <c r="H2926" s="21" t="s">
        <v>852</v>
      </c>
      <c r="I2926" s="21" t="s">
        <v>853</v>
      </c>
      <c r="J2926" s="21" t="s">
        <v>1883</v>
      </c>
      <c r="K2926" s="21" t="s">
        <v>1891</v>
      </c>
      <c r="L2926" s="21" t="s">
        <v>1892</v>
      </c>
      <c r="M2926" s="21" t="s">
        <v>12</v>
      </c>
      <c r="N2926" s="54">
        <v>7000</v>
      </c>
      <c r="O2926" s="54">
        <v>0</v>
      </c>
      <c r="P2926" s="54">
        <v>0</v>
      </c>
      <c r="Q2926" s="54">
        <v>7000</v>
      </c>
      <c r="R2926" s="54">
        <v>0</v>
      </c>
      <c r="S2926" s="54">
        <v>0</v>
      </c>
      <c r="T2926" s="54">
        <v>0</v>
      </c>
      <c r="U2926" s="54">
        <v>7000</v>
      </c>
      <c r="V2926" s="54">
        <v>7000</v>
      </c>
      <c r="W2926" s="54">
        <v>7000</v>
      </c>
    </row>
    <row r="2927" spans="1:23" outlineLevel="2" x14ac:dyDescent="0.2">
      <c r="A2927" s="21" t="s">
        <v>1882</v>
      </c>
      <c r="B2927" s="21" t="s">
        <v>39</v>
      </c>
      <c r="C2927" s="21" t="s">
        <v>58</v>
      </c>
      <c r="D2927" s="21" t="s">
        <v>139</v>
      </c>
      <c r="E2927" s="21" t="s">
        <v>140</v>
      </c>
      <c r="F2927" s="21" t="s">
        <v>837</v>
      </c>
      <c r="G2927" s="21" t="s">
        <v>838</v>
      </c>
      <c r="H2927" s="21" t="s">
        <v>852</v>
      </c>
      <c r="I2927" s="21" t="s">
        <v>853</v>
      </c>
      <c r="J2927" s="21" t="s">
        <v>1883</v>
      </c>
      <c r="K2927" s="21" t="s">
        <v>1891</v>
      </c>
      <c r="L2927" s="21" t="s">
        <v>1892</v>
      </c>
      <c r="M2927" s="21" t="s">
        <v>12</v>
      </c>
      <c r="N2927" s="54">
        <v>500</v>
      </c>
      <c r="O2927" s="54">
        <v>-500</v>
      </c>
      <c r="P2927" s="54">
        <v>0</v>
      </c>
      <c r="Q2927" s="54">
        <v>0</v>
      </c>
      <c r="R2927" s="54">
        <v>0</v>
      </c>
      <c r="S2927" s="54">
        <v>0</v>
      </c>
      <c r="T2927" s="54">
        <v>0</v>
      </c>
      <c r="U2927" s="54">
        <v>0</v>
      </c>
      <c r="V2927" s="54">
        <v>0</v>
      </c>
      <c r="W2927" s="54">
        <v>0</v>
      </c>
    </row>
    <row r="2928" spans="1:23" outlineLevel="2" x14ac:dyDescent="0.2">
      <c r="A2928" s="21" t="s">
        <v>1882</v>
      </c>
      <c r="B2928" s="21" t="s">
        <v>39</v>
      </c>
      <c r="C2928" s="21" t="s">
        <v>58</v>
      </c>
      <c r="D2928" s="21" t="s">
        <v>143</v>
      </c>
      <c r="E2928" s="21" t="s">
        <v>144</v>
      </c>
      <c r="F2928" s="21" t="s">
        <v>837</v>
      </c>
      <c r="G2928" s="21" t="s">
        <v>838</v>
      </c>
      <c r="H2928" s="21" t="s">
        <v>852</v>
      </c>
      <c r="I2928" s="21" t="s">
        <v>853</v>
      </c>
      <c r="J2928" s="21" t="s">
        <v>1883</v>
      </c>
      <c r="K2928" s="21" t="s">
        <v>1891</v>
      </c>
      <c r="L2928" s="21" t="s">
        <v>1892</v>
      </c>
      <c r="M2928" s="21" t="s">
        <v>12</v>
      </c>
      <c r="N2928" s="54">
        <v>25000</v>
      </c>
      <c r="O2928" s="54">
        <v>-20000</v>
      </c>
      <c r="P2928" s="54">
        <v>0</v>
      </c>
      <c r="Q2928" s="54">
        <v>5000</v>
      </c>
      <c r="R2928" s="54">
        <v>0</v>
      </c>
      <c r="S2928" s="54">
        <v>0</v>
      </c>
      <c r="T2928" s="54">
        <v>0</v>
      </c>
      <c r="U2928" s="54">
        <v>5000</v>
      </c>
      <c r="V2928" s="54">
        <v>5000</v>
      </c>
      <c r="W2928" s="54">
        <v>5000</v>
      </c>
    </row>
    <row r="2929" spans="1:23" outlineLevel="2" x14ac:dyDescent="0.2">
      <c r="A2929" s="21" t="s">
        <v>1882</v>
      </c>
      <c r="B2929" s="21" t="s">
        <v>39</v>
      </c>
      <c r="C2929" s="21" t="s">
        <v>58</v>
      </c>
      <c r="D2929" s="21" t="s">
        <v>147</v>
      </c>
      <c r="E2929" s="21" t="s">
        <v>148</v>
      </c>
      <c r="F2929" s="21" t="s">
        <v>837</v>
      </c>
      <c r="G2929" s="21" t="s">
        <v>838</v>
      </c>
      <c r="H2929" s="21" t="s">
        <v>852</v>
      </c>
      <c r="I2929" s="21" t="s">
        <v>853</v>
      </c>
      <c r="J2929" s="21" t="s">
        <v>1883</v>
      </c>
      <c r="K2929" s="21" t="s">
        <v>1891</v>
      </c>
      <c r="L2929" s="21" t="s">
        <v>1892</v>
      </c>
      <c r="M2929" s="21" t="s">
        <v>12</v>
      </c>
      <c r="N2929" s="54">
        <v>7080.07</v>
      </c>
      <c r="O2929" s="54">
        <v>0</v>
      </c>
      <c r="P2929" s="54">
        <v>0</v>
      </c>
      <c r="Q2929" s="54">
        <v>7080.07</v>
      </c>
      <c r="R2929" s="54">
        <v>0</v>
      </c>
      <c r="S2929" s="54">
        <v>0</v>
      </c>
      <c r="T2929" s="54">
        <v>0</v>
      </c>
      <c r="U2929" s="54">
        <v>7080.07</v>
      </c>
      <c r="V2929" s="54">
        <v>7080.07</v>
      </c>
      <c r="W2929" s="54">
        <v>7080.07</v>
      </c>
    </row>
    <row r="2930" spans="1:23" outlineLevel="2" x14ac:dyDescent="0.2">
      <c r="A2930" s="21" t="s">
        <v>1882</v>
      </c>
      <c r="B2930" s="21" t="s">
        <v>39</v>
      </c>
      <c r="C2930" s="21" t="s">
        <v>58</v>
      </c>
      <c r="D2930" s="21" t="s">
        <v>149</v>
      </c>
      <c r="E2930" s="21" t="s">
        <v>150</v>
      </c>
      <c r="F2930" s="21" t="s">
        <v>837</v>
      </c>
      <c r="G2930" s="21" t="s">
        <v>838</v>
      </c>
      <c r="H2930" s="21" t="s">
        <v>852</v>
      </c>
      <c r="I2930" s="21" t="s">
        <v>853</v>
      </c>
      <c r="J2930" s="21" t="s">
        <v>1883</v>
      </c>
      <c r="K2930" s="21" t="s">
        <v>1884</v>
      </c>
      <c r="L2930" s="21" t="s">
        <v>1890</v>
      </c>
      <c r="M2930" s="21" t="s">
        <v>12</v>
      </c>
      <c r="N2930" s="54">
        <v>7000</v>
      </c>
      <c r="O2930" s="54">
        <v>0</v>
      </c>
      <c r="P2930" s="54">
        <v>0</v>
      </c>
      <c r="Q2930" s="54">
        <v>7000</v>
      </c>
      <c r="R2930" s="54">
        <v>0</v>
      </c>
      <c r="S2930" s="54">
        <v>0</v>
      </c>
      <c r="T2930" s="54">
        <v>0</v>
      </c>
      <c r="U2930" s="54">
        <v>7000</v>
      </c>
      <c r="V2930" s="54">
        <v>7000</v>
      </c>
      <c r="W2930" s="54">
        <v>7000</v>
      </c>
    </row>
    <row r="2931" spans="1:23" outlineLevel="2" x14ac:dyDescent="0.2">
      <c r="A2931" s="21" t="s">
        <v>1882</v>
      </c>
      <c r="B2931" s="21" t="s">
        <v>39</v>
      </c>
      <c r="C2931" s="21" t="s">
        <v>58</v>
      </c>
      <c r="D2931" s="21" t="s">
        <v>145</v>
      </c>
      <c r="E2931" s="21" t="s">
        <v>146</v>
      </c>
      <c r="F2931" s="21" t="s">
        <v>837</v>
      </c>
      <c r="G2931" s="21" t="s">
        <v>838</v>
      </c>
      <c r="H2931" s="21" t="s">
        <v>852</v>
      </c>
      <c r="I2931" s="21" t="s">
        <v>853</v>
      </c>
      <c r="J2931" s="21" t="s">
        <v>1883</v>
      </c>
      <c r="K2931" s="21" t="s">
        <v>1884</v>
      </c>
      <c r="L2931" s="21" t="s">
        <v>1890</v>
      </c>
      <c r="M2931" s="21" t="s">
        <v>12</v>
      </c>
      <c r="N2931" s="54">
        <v>3300</v>
      </c>
      <c r="O2931" s="54">
        <v>0</v>
      </c>
      <c r="P2931" s="54">
        <v>0</v>
      </c>
      <c r="Q2931" s="54">
        <v>3300</v>
      </c>
      <c r="R2931" s="54">
        <v>0</v>
      </c>
      <c r="S2931" s="54">
        <v>0</v>
      </c>
      <c r="T2931" s="54">
        <v>0</v>
      </c>
      <c r="U2931" s="54">
        <v>3300</v>
      </c>
      <c r="V2931" s="54">
        <v>3300</v>
      </c>
      <c r="W2931" s="54">
        <v>3300</v>
      </c>
    </row>
    <row r="2932" spans="1:23" outlineLevel="2" x14ac:dyDescent="0.2">
      <c r="A2932" s="21" t="s">
        <v>1882</v>
      </c>
      <c r="B2932" s="21" t="s">
        <v>39</v>
      </c>
      <c r="C2932" s="21" t="s">
        <v>58</v>
      </c>
      <c r="D2932" s="21" t="s">
        <v>143</v>
      </c>
      <c r="E2932" s="21" t="s">
        <v>144</v>
      </c>
      <c r="F2932" s="21" t="s">
        <v>837</v>
      </c>
      <c r="G2932" s="21" t="s">
        <v>838</v>
      </c>
      <c r="H2932" s="21" t="s">
        <v>852</v>
      </c>
      <c r="I2932" s="21" t="s">
        <v>853</v>
      </c>
      <c r="J2932" s="21" t="s">
        <v>1883</v>
      </c>
      <c r="K2932" s="21" t="s">
        <v>1884</v>
      </c>
      <c r="L2932" s="21" t="s">
        <v>1890</v>
      </c>
      <c r="M2932" s="21" t="s">
        <v>12</v>
      </c>
      <c r="N2932" s="54">
        <v>16000</v>
      </c>
      <c r="O2932" s="54">
        <v>-5450.88</v>
      </c>
      <c r="P2932" s="54">
        <v>0</v>
      </c>
      <c r="Q2932" s="54">
        <v>10549.12</v>
      </c>
      <c r="R2932" s="54">
        <v>0</v>
      </c>
      <c r="S2932" s="54">
        <v>2340.8000000000002</v>
      </c>
      <c r="T2932" s="54">
        <v>2340.8000000000002</v>
      </c>
      <c r="U2932" s="54">
        <v>8208.32</v>
      </c>
      <c r="V2932" s="54">
        <v>8208.32</v>
      </c>
      <c r="W2932" s="54">
        <v>8208.32</v>
      </c>
    </row>
    <row r="2933" spans="1:23" outlineLevel="2" x14ac:dyDescent="0.2">
      <c r="A2933" s="21" t="s">
        <v>1882</v>
      </c>
      <c r="B2933" s="21" t="s">
        <v>39</v>
      </c>
      <c r="C2933" s="21" t="s">
        <v>58</v>
      </c>
      <c r="D2933" s="21" t="s">
        <v>59</v>
      </c>
      <c r="E2933" s="21" t="s">
        <v>60</v>
      </c>
      <c r="F2933" s="21" t="s">
        <v>837</v>
      </c>
      <c r="G2933" s="21" t="s">
        <v>838</v>
      </c>
      <c r="H2933" s="21" t="s">
        <v>852</v>
      </c>
      <c r="I2933" s="21" t="s">
        <v>853</v>
      </c>
      <c r="J2933" s="21" t="s">
        <v>1883</v>
      </c>
      <c r="K2933" s="21" t="s">
        <v>1884</v>
      </c>
      <c r="L2933" s="21" t="s">
        <v>1890</v>
      </c>
      <c r="M2933" s="21" t="s">
        <v>12</v>
      </c>
      <c r="N2933" s="54">
        <v>1500</v>
      </c>
      <c r="O2933" s="54">
        <v>0</v>
      </c>
      <c r="P2933" s="54">
        <v>0</v>
      </c>
      <c r="Q2933" s="54">
        <v>1500</v>
      </c>
      <c r="R2933" s="54">
        <v>0</v>
      </c>
      <c r="S2933" s="54">
        <v>0</v>
      </c>
      <c r="T2933" s="54">
        <v>0</v>
      </c>
      <c r="U2933" s="54">
        <v>1500</v>
      </c>
      <c r="V2933" s="54">
        <v>1500</v>
      </c>
      <c r="W2933" s="54">
        <v>1500</v>
      </c>
    </row>
    <row r="2934" spans="1:23" outlineLevel="2" x14ac:dyDescent="0.2">
      <c r="A2934" s="21" t="s">
        <v>1882</v>
      </c>
      <c r="B2934" s="21" t="s">
        <v>39</v>
      </c>
      <c r="C2934" s="21" t="s">
        <v>58</v>
      </c>
      <c r="D2934" s="21" t="s">
        <v>137</v>
      </c>
      <c r="E2934" s="21" t="s">
        <v>138</v>
      </c>
      <c r="F2934" s="21" t="s">
        <v>837</v>
      </c>
      <c r="G2934" s="21" t="s">
        <v>838</v>
      </c>
      <c r="H2934" s="21" t="s">
        <v>852</v>
      </c>
      <c r="I2934" s="21" t="s">
        <v>853</v>
      </c>
      <c r="J2934" s="21" t="s">
        <v>1883</v>
      </c>
      <c r="K2934" s="21" t="s">
        <v>1884</v>
      </c>
      <c r="L2934" s="21" t="s">
        <v>1890</v>
      </c>
      <c r="M2934" s="21" t="s">
        <v>12</v>
      </c>
      <c r="N2934" s="54">
        <v>4000</v>
      </c>
      <c r="O2934" s="54">
        <v>0</v>
      </c>
      <c r="P2934" s="54">
        <v>0</v>
      </c>
      <c r="Q2934" s="54">
        <v>4000</v>
      </c>
      <c r="R2934" s="54">
        <v>0</v>
      </c>
      <c r="S2934" s="54">
        <v>0</v>
      </c>
      <c r="T2934" s="54">
        <v>0</v>
      </c>
      <c r="U2934" s="54">
        <v>4000</v>
      </c>
      <c r="V2934" s="54">
        <v>4000</v>
      </c>
      <c r="W2934" s="54">
        <v>4000</v>
      </c>
    </row>
    <row r="2935" spans="1:23" outlineLevel="2" x14ac:dyDescent="0.2">
      <c r="A2935" s="21" t="s">
        <v>1882</v>
      </c>
      <c r="B2935" s="21" t="s">
        <v>39</v>
      </c>
      <c r="C2935" s="21" t="s">
        <v>58</v>
      </c>
      <c r="D2935" s="21" t="s">
        <v>147</v>
      </c>
      <c r="E2935" s="21" t="s">
        <v>148</v>
      </c>
      <c r="F2935" s="21" t="s">
        <v>837</v>
      </c>
      <c r="G2935" s="21" t="s">
        <v>838</v>
      </c>
      <c r="H2935" s="21" t="s">
        <v>852</v>
      </c>
      <c r="I2935" s="21" t="s">
        <v>853</v>
      </c>
      <c r="J2935" s="21" t="s">
        <v>1883</v>
      </c>
      <c r="K2935" s="21" t="s">
        <v>1884</v>
      </c>
      <c r="L2935" s="21" t="s">
        <v>1890</v>
      </c>
      <c r="M2935" s="21" t="s">
        <v>12</v>
      </c>
      <c r="N2935" s="54">
        <v>4000.83</v>
      </c>
      <c r="O2935" s="54">
        <v>0</v>
      </c>
      <c r="P2935" s="54">
        <v>0</v>
      </c>
      <c r="Q2935" s="54">
        <v>4000.83</v>
      </c>
      <c r="R2935" s="54">
        <v>0</v>
      </c>
      <c r="S2935" s="54">
        <v>0</v>
      </c>
      <c r="T2935" s="54">
        <v>0</v>
      </c>
      <c r="U2935" s="54">
        <v>4000.83</v>
      </c>
      <c r="V2935" s="54">
        <v>4000.83</v>
      </c>
      <c r="W2935" s="54">
        <v>4000.83</v>
      </c>
    </row>
    <row r="2936" spans="1:23" outlineLevel="2" x14ac:dyDescent="0.2">
      <c r="A2936" s="21" t="s">
        <v>1882</v>
      </c>
      <c r="B2936" s="21" t="s">
        <v>39</v>
      </c>
      <c r="C2936" s="21" t="s">
        <v>58</v>
      </c>
      <c r="D2936" s="21" t="s">
        <v>139</v>
      </c>
      <c r="E2936" s="21" t="s">
        <v>140</v>
      </c>
      <c r="F2936" s="21" t="s">
        <v>837</v>
      </c>
      <c r="G2936" s="21" t="s">
        <v>838</v>
      </c>
      <c r="H2936" s="21" t="s">
        <v>852</v>
      </c>
      <c r="I2936" s="21" t="s">
        <v>853</v>
      </c>
      <c r="J2936" s="21" t="s">
        <v>1883</v>
      </c>
      <c r="K2936" s="21" t="s">
        <v>1893</v>
      </c>
      <c r="L2936" s="21" t="s">
        <v>1894</v>
      </c>
      <c r="M2936" s="21" t="s">
        <v>12</v>
      </c>
      <c r="N2936" s="54">
        <v>700</v>
      </c>
      <c r="O2936" s="54">
        <v>-700</v>
      </c>
      <c r="P2936" s="54">
        <v>0</v>
      </c>
      <c r="Q2936" s="54">
        <v>0</v>
      </c>
      <c r="R2936" s="54">
        <v>0</v>
      </c>
      <c r="S2936" s="54">
        <v>0</v>
      </c>
      <c r="T2936" s="54">
        <v>0</v>
      </c>
      <c r="U2936" s="54">
        <v>0</v>
      </c>
      <c r="V2936" s="54">
        <v>0</v>
      </c>
      <c r="W2936" s="54">
        <v>0</v>
      </c>
    </row>
    <row r="2937" spans="1:23" outlineLevel="2" x14ac:dyDescent="0.2">
      <c r="A2937" s="21" t="s">
        <v>1882</v>
      </c>
      <c r="B2937" s="21" t="s">
        <v>39</v>
      </c>
      <c r="C2937" s="21" t="s">
        <v>58</v>
      </c>
      <c r="D2937" s="21" t="s">
        <v>143</v>
      </c>
      <c r="E2937" s="21" t="s">
        <v>144</v>
      </c>
      <c r="F2937" s="21" t="s">
        <v>837</v>
      </c>
      <c r="G2937" s="21" t="s">
        <v>838</v>
      </c>
      <c r="H2937" s="21" t="s">
        <v>852</v>
      </c>
      <c r="I2937" s="21" t="s">
        <v>853</v>
      </c>
      <c r="J2937" s="21" t="s">
        <v>1883</v>
      </c>
      <c r="K2937" s="21" t="s">
        <v>1886</v>
      </c>
      <c r="L2937" s="21" t="s">
        <v>1895</v>
      </c>
      <c r="M2937" s="21" t="s">
        <v>12</v>
      </c>
      <c r="N2937" s="54">
        <v>20000</v>
      </c>
      <c r="O2937" s="54">
        <v>-15845</v>
      </c>
      <c r="P2937" s="54">
        <v>0</v>
      </c>
      <c r="Q2937" s="54">
        <v>4155</v>
      </c>
      <c r="R2937" s="54">
        <v>0</v>
      </c>
      <c r="S2937" s="54">
        <v>0</v>
      </c>
      <c r="T2937" s="54">
        <v>0</v>
      </c>
      <c r="U2937" s="54">
        <v>4155</v>
      </c>
      <c r="V2937" s="54">
        <v>4155</v>
      </c>
      <c r="W2937" s="54">
        <v>4155</v>
      </c>
    </row>
    <row r="2938" spans="1:23" outlineLevel="2" x14ac:dyDescent="0.2">
      <c r="A2938" s="21" t="s">
        <v>1882</v>
      </c>
      <c r="B2938" s="21" t="s">
        <v>39</v>
      </c>
      <c r="C2938" s="21" t="s">
        <v>58</v>
      </c>
      <c r="D2938" s="21" t="s">
        <v>129</v>
      </c>
      <c r="E2938" s="21" t="s">
        <v>130</v>
      </c>
      <c r="F2938" s="21" t="s">
        <v>837</v>
      </c>
      <c r="G2938" s="21" t="s">
        <v>838</v>
      </c>
      <c r="H2938" s="21" t="s">
        <v>852</v>
      </c>
      <c r="I2938" s="21" t="s">
        <v>853</v>
      </c>
      <c r="J2938" s="21" t="s">
        <v>1883</v>
      </c>
      <c r="K2938" s="21" t="s">
        <v>1886</v>
      </c>
      <c r="L2938" s="21" t="s">
        <v>1895</v>
      </c>
      <c r="M2938" s="21" t="s">
        <v>12</v>
      </c>
      <c r="N2938" s="54">
        <v>3500</v>
      </c>
      <c r="O2938" s="54">
        <v>0</v>
      </c>
      <c r="P2938" s="54">
        <v>0</v>
      </c>
      <c r="Q2938" s="54">
        <v>3500</v>
      </c>
      <c r="R2938" s="54">
        <v>0</v>
      </c>
      <c r="S2938" s="54">
        <v>3102.4</v>
      </c>
      <c r="T2938" s="54">
        <v>3102.4</v>
      </c>
      <c r="U2938" s="54">
        <v>397.6</v>
      </c>
      <c r="V2938" s="54">
        <v>397.6</v>
      </c>
      <c r="W2938" s="54">
        <v>397.6</v>
      </c>
    </row>
    <row r="2939" spans="1:23" outlineLevel="2" x14ac:dyDescent="0.2">
      <c r="A2939" s="21" t="s">
        <v>1882</v>
      </c>
      <c r="B2939" s="21" t="s">
        <v>39</v>
      </c>
      <c r="C2939" s="21" t="s">
        <v>58</v>
      </c>
      <c r="D2939" s="21" t="s">
        <v>147</v>
      </c>
      <c r="E2939" s="21" t="s">
        <v>148</v>
      </c>
      <c r="F2939" s="21" t="s">
        <v>837</v>
      </c>
      <c r="G2939" s="21" t="s">
        <v>838</v>
      </c>
      <c r="H2939" s="21" t="s">
        <v>852</v>
      </c>
      <c r="I2939" s="21" t="s">
        <v>853</v>
      </c>
      <c r="J2939" s="21" t="s">
        <v>1883</v>
      </c>
      <c r="K2939" s="21" t="s">
        <v>1886</v>
      </c>
      <c r="L2939" s="21" t="s">
        <v>1895</v>
      </c>
      <c r="M2939" s="21" t="s">
        <v>12</v>
      </c>
      <c r="N2939" s="54">
        <v>3000</v>
      </c>
      <c r="O2939" s="54">
        <v>0</v>
      </c>
      <c r="P2939" s="54">
        <v>0</v>
      </c>
      <c r="Q2939" s="54">
        <v>3000</v>
      </c>
      <c r="R2939" s="54">
        <v>0</v>
      </c>
      <c r="S2939" s="54">
        <v>0</v>
      </c>
      <c r="T2939" s="54">
        <v>0</v>
      </c>
      <c r="U2939" s="54">
        <v>3000</v>
      </c>
      <c r="V2939" s="54">
        <v>3000</v>
      </c>
      <c r="W2939" s="54">
        <v>3000</v>
      </c>
    </row>
    <row r="2940" spans="1:23" outlineLevel="2" x14ac:dyDescent="0.2">
      <c r="A2940" s="21" t="s">
        <v>1882</v>
      </c>
      <c r="B2940" s="21" t="s">
        <v>39</v>
      </c>
      <c r="C2940" s="21" t="s">
        <v>58</v>
      </c>
      <c r="D2940" s="21" t="s">
        <v>149</v>
      </c>
      <c r="E2940" s="21" t="s">
        <v>150</v>
      </c>
      <c r="F2940" s="21" t="s">
        <v>837</v>
      </c>
      <c r="G2940" s="21" t="s">
        <v>838</v>
      </c>
      <c r="H2940" s="21" t="s">
        <v>1125</v>
      </c>
      <c r="I2940" s="21" t="s">
        <v>1126</v>
      </c>
      <c r="J2940" s="21" t="s">
        <v>1883</v>
      </c>
      <c r="K2940" s="21" t="s">
        <v>1891</v>
      </c>
      <c r="L2940" s="21" t="s">
        <v>1892</v>
      </c>
      <c r="M2940" s="21" t="s">
        <v>12</v>
      </c>
      <c r="N2940" s="54">
        <v>5000</v>
      </c>
      <c r="O2940" s="54">
        <v>-5000</v>
      </c>
      <c r="P2940" s="54">
        <v>0</v>
      </c>
      <c r="Q2940" s="54">
        <v>0</v>
      </c>
      <c r="R2940" s="54">
        <v>0</v>
      </c>
      <c r="S2940" s="54">
        <v>0</v>
      </c>
      <c r="T2940" s="54">
        <v>0</v>
      </c>
      <c r="U2940" s="54">
        <v>0</v>
      </c>
      <c r="V2940" s="54">
        <v>0</v>
      </c>
      <c r="W2940" s="54">
        <v>0</v>
      </c>
    </row>
    <row r="2941" spans="1:23" outlineLevel="2" x14ac:dyDescent="0.2">
      <c r="A2941" s="21" t="s">
        <v>1882</v>
      </c>
      <c r="B2941" s="21" t="s">
        <v>39</v>
      </c>
      <c r="C2941" s="21" t="s">
        <v>58</v>
      </c>
      <c r="D2941" s="21" t="s">
        <v>149</v>
      </c>
      <c r="E2941" s="21" t="s">
        <v>150</v>
      </c>
      <c r="F2941" s="21" t="s">
        <v>837</v>
      </c>
      <c r="G2941" s="21" t="s">
        <v>838</v>
      </c>
      <c r="H2941" s="21" t="s">
        <v>1125</v>
      </c>
      <c r="I2941" s="21" t="s">
        <v>1126</v>
      </c>
      <c r="J2941" s="21" t="s">
        <v>1883</v>
      </c>
      <c r="K2941" s="21" t="s">
        <v>1884</v>
      </c>
      <c r="L2941" s="21" t="s">
        <v>1890</v>
      </c>
      <c r="M2941" s="21" t="s">
        <v>12</v>
      </c>
      <c r="N2941" s="54">
        <v>18000</v>
      </c>
      <c r="O2941" s="54">
        <v>-18000</v>
      </c>
      <c r="P2941" s="54">
        <v>0</v>
      </c>
      <c r="Q2941" s="54">
        <v>0</v>
      </c>
      <c r="R2941" s="54">
        <v>0</v>
      </c>
      <c r="S2941" s="54">
        <v>0</v>
      </c>
      <c r="T2941" s="54">
        <v>0</v>
      </c>
      <c r="U2941" s="54">
        <v>0</v>
      </c>
      <c r="V2941" s="54">
        <v>0</v>
      </c>
      <c r="W2941" s="54">
        <v>0</v>
      </c>
    </row>
    <row r="2942" spans="1:23" outlineLevel="2" x14ac:dyDescent="0.2">
      <c r="A2942" s="21" t="s">
        <v>1882</v>
      </c>
      <c r="B2942" s="21" t="s">
        <v>39</v>
      </c>
      <c r="C2942" s="21" t="s">
        <v>58</v>
      </c>
      <c r="D2942" s="21" t="s">
        <v>135</v>
      </c>
      <c r="E2942" s="21" t="s">
        <v>136</v>
      </c>
      <c r="F2942" s="21" t="s">
        <v>837</v>
      </c>
      <c r="G2942" s="21" t="s">
        <v>838</v>
      </c>
      <c r="H2942" s="21" t="s">
        <v>1125</v>
      </c>
      <c r="I2942" s="21" t="s">
        <v>1126</v>
      </c>
      <c r="J2942" s="21" t="s">
        <v>1883</v>
      </c>
      <c r="K2942" s="21" t="s">
        <v>1884</v>
      </c>
      <c r="L2942" s="21" t="s">
        <v>1890</v>
      </c>
      <c r="M2942" s="21" t="s">
        <v>12</v>
      </c>
      <c r="N2942" s="54">
        <v>0</v>
      </c>
      <c r="O2942" s="54">
        <v>25000</v>
      </c>
      <c r="P2942" s="54">
        <v>0</v>
      </c>
      <c r="Q2942" s="54">
        <v>25000</v>
      </c>
      <c r="R2942" s="54">
        <v>24999.99</v>
      </c>
      <c r="S2942" s="54">
        <v>0</v>
      </c>
      <c r="T2942" s="54">
        <v>0</v>
      </c>
      <c r="U2942" s="54">
        <v>25000</v>
      </c>
      <c r="V2942" s="54">
        <v>25000</v>
      </c>
      <c r="W2942" s="54">
        <v>0.01</v>
      </c>
    </row>
    <row r="2943" spans="1:23" outlineLevel="2" x14ac:dyDescent="0.2">
      <c r="A2943" s="21" t="s">
        <v>1882</v>
      </c>
      <c r="B2943" s="21" t="s">
        <v>39</v>
      </c>
      <c r="C2943" s="21" t="s">
        <v>58</v>
      </c>
      <c r="D2943" s="21" t="s">
        <v>147</v>
      </c>
      <c r="E2943" s="21" t="s">
        <v>148</v>
      </c>
      <c r="F2943" s="21" t="s">
        <v>837</v>
      </c>
      <c r="G2943" s="21" t="s">
        <v>838</v>
      </c>
      <c r="H2943" s="21" t="s">
        <v>1125</v>
      </c>
      <c r="I2943" s="21" t="s">
        <v>1126</v>
      </c>
      <c r="J2943" s="21" t="s">
        <v>1883</v>
      </c>
      <c r="K2943" s="21" t="s">
        <v>1884</v>
      </c>
      <c r="L2943" s="21" t="s">
        <v>1890</v>
      </c>
      <c r="M2943" s="21" t="s">
        <v>12</v>
      </c>
      <c r="N2943" s="54">
        <v>0</v>
      </c>
      <c r="O2943" s="54">
        <v>20000</v>
      </c>
      <c r="P2943" s="54">
        <v>0</v>
      </c>
      <c r="Q2943" s="54">
        <v>20000</v>
      </c>
      <c r="R2943" s="54">
        <v>20000</v>
      </c>
      <c r="S2943" s="54">
        <v>0</v>
      </c>
      <c r="T2943" s="54">
        <v>0</v>
      </c>
      <c r="U2943" s="54">
        <v>20000</v>
      </c>
      <c r="V2943" s="54">
        <v>20000</v>
      </c>
      <c r="W2943" s="54">
        <v>0</v>
      </c>
    </row>
    <row r="2944" spans="1:23" outlineLevel="2" x14ac:dyDescent="0.2">
      <c r="A2944" s="21" t="s">
        <v>1882</v>
      </c>
      <c r="B2944" s="21" t="s">
        <v>39</v>
      </c>
      <c r="C2944" s="21" t="s">
        <v>58</v>
      </c>
      <c r="D2944" s="21" t="s">
        <v>149</v>
      </c>
      <c r="E2944" s="21" t="s">
        <v>150</v>
      </c>
      <c r="F2944" s="21" t="s">
        <v>837</v>
      </c>
      <c r="G2944" s="21" t="s">
        <v>838</v>
      </c>
      <c r="H2944" s="21" t="s">
        <v>1125</v>
      </c>
      <c r="I2944" s="21" t="s">
        <v>1126</v>
      </c>
      <c r="J2944" s="21" t="s">
        <v>1883</v>
      </c>
      <c r="K2944" s="21" t="s">
        <v>1886</v>
      </c>
      <c r="L2944" s="21" t="s">
        <v>1895</v>
      </c>
      <c r="M2944" s="21" t="s">
        <v>12</v>
      </c>
      <c r="N2944" s="54">
        <v>65000</v>
      </c>
      <c r="O2944" s="54">
        <v>-65000</v>
      </c>
      <c r="P2944" s="54">
        <v>0</v>
      </c>
      <c r="Q2944" s="54">
        <v>0</v>
      </c>
      <c r="R2944" s="54">
        <v>0</v>
      </c>
      <c r="S2944" s="54">
        <v>0</v>
      </c>
      <c r="T2944" s="54">
        <v>0</v>
      </c>
      <c r="U2944" s="54">
        <v>0</v>
      </c>
      <c r="V2944" s="54">
        <v>0</v>
      </c>
      <c r="W2944" s="54">
        <v>0</v>
      </c>
    </row>
    <row r="2945" spans="1:23" outlineLevel="2" x14ac:dyDescent="0.2">
      <c r="A2945" s="21" t="s">
        <v>1882</v>
      </c>
      <c r="B2945" s="21" t="s">
        <v>31</v>
      </c>
      <c r="C2945" s="21" t="s">
        <v>107</v>
      </c>
      <c r="D2945" s="21" t="s">
        <v>108</v>
      </c>
      <c r="E2945" s="21" t="s">
        <v>109</v>
      </c>
      <c r="F2945" s="21" t="s">
        <v>856</v>
      </c>
      <c r="G2945" s="21" t="s">
        <v>857</v>
      </c>
      <c r="H2945" s="21" t="s">
        <v>1143</v>
      </c>
      <c r="I2945" s="21" t="s">
        <v>1144</v>
      </c>
      <c r="J2945" s="21" t="s">
        <v>1883</v>
      </c>
      <c r="K2945" s="21" t="s">
        <v>1884</v>
      </c>
      <c r="L2945" s="21" t="s">
        <v>1896</v>
      </c>
      <c r="M2945" s="21" t="s">
        <v>12</v>
      </c>
      <c r="N2945" s="54">
        <v>10000</v>
      </c>
      <c r="O2945" s="54">
        <v>0</v>
      </c>
      <c r="P2945" s="54">
        <v>0</v>
      </c>
      <c r="Q2945" s="54">
        <v>10000</v>
      </c>
      <c r="R2945" s="54">
        <v>0</v>
      </c>
      <c r="S2945" s="54">
        <v>0</v>
      </c>
      <c r="T2945" s="54">
        <v>0</v>
      </c>
      <c r="U2945" s="54">
        <v>10000</v>
      </c>
      <c r="V2945" s="54">
        <v>10000</v>
      </c>
      <c r="W2945" s="54">
        <v>10000</v>
      </c>
    </row>
    <row r="2946" spans="1:23" outlineLevel="2" x14ac:dyDescent="0.2">
      <c r="A2946" s="21" t="s">
        <v>1882</v>
      </c>
      <c r="B2946" s="21" t="s">
        <v>31</v>
      </c>
      <c r="C2946" s="21" t="s">
        <v>107</v>
      </c>
      <c r="D2946" s="21" t="s">
        <v>108</v>
      </c>
      <c r="E2946" s="21" t="s">
        <v>109</v>
      </c>
      <c r="F2946" s="21" t="s">
        <v>856</v>
      </c>
      <c r="G2946" s="21" t="s">
        <v>857</v>
      </c>
      <c r="H2946" s="21" t="s">
        <v>870</v>
      </c>
      <c r="I2946" s="21" t="s">
        <v>871</v>
      </c>
      <c r="J2946" s="21" t="s">
        <v>1883</v>
      </c>
      <c r="K2946" s="21" t="s">
        <v>1891</v>
      </c>
      <c r="L2946" s="21" t="s">
        <v>1897</v>
      </c>
      <c r="M2946" s="21" t="s">
        <v>12</v>
      </c>
      <c r="N2946" s="54">
        <v>6000</v>
      </c>
      <c r="O2946" s="54">
        <v>0</v>
      </c>
      <c r="P2946" s="54">
        <v>0</v>
      </c>
      <c r="Q2946" s="54">
        <v>6000</v>
      </c>
      <c r="R2946" s="54">
        <v>0</v>
      </c>
      <c r="S2946" s="54">
        <v>0</v>
      </c>
      <c r="T2946" s="54">
        <v>0</v>
      </c>
      <c r="U2946" s="54">
        <v>6000</v>
      </c>
      <c r="V2946" s="54">
        <v>6000</v>
      </c>
      <c r="W2946" s="54">
        <v>6000</v>
      </c>
    </row>
    <row r="2947" spans="1:23" outlineLevel="2" x14ac:dyDescent="0.2">
      <c r="A2947" s="21" t="s">
        <v>1882</v>
      </c>
      <c r="B2947" s="21" t="s">
        <v>31</v>
      </c>
      <c r="C2947" s="21" t="s">
        <v>107</v>
      </c>
      <c r="D2947" s="21" t="s">
        <v>108</v>
      </c>
      <c r="E2947" s="21" t="s">
        <v>109</v>
      </c>
      <c r="F2947" s="21" t="s">
        <v>856</v>
      </c>
      <c r="G2947" s="21" t="s">
        <v>857</v>
      </c>
      <c r="H2947" s="21" t="s">
        <v>870</v>
      </c>
      <c r="I2947" s="21" t="s">
        <v>871</v>
      </c>
      <c r="J2947" s="21" t="s">
        <v>1883</v>
      </c>
      <c r="K2947" s="21" t="s">
        <v>1884</v>
      </c>
      <c r="L2947" s="21" t="s">
        <v>1896</v>
      </c>
      <c r="M2947" s="21" t="s">
        <v>12</v>
      </c>
      <c r="N2947" s="54">
        <v>54840</v>
      </c>
      <c r="O2947" s="54">
        <v>0</v>
      </c>
      <c r="P2947" s="54">
        <v>0</v>
      </c>
      <c r="Q2947" s="54">
        <v>54840</v>
      </c>
      <c r="R2947" s="54">
        <v>0</v>
      </c>
      <c r="S2947" s="54">
        <v>0</v>
      </c>
      <c r="T2947" s="54">
        <v>0</v>
      </c>
      <c r="U2947" s="54">
        <v>54840</v>
      </c>
      <c r="V2947" s="54">
        <v>54840</v>
      </c>
      <c r="W2947" s="54">
        <v>54840</v>
      </c>
    </row>
    <row r="2948" spans="1:23" outlineLevel="2" x14ac:dyDescent="0.2">
      <c r="A2948" s="21" t="s">
        <v>1882</v>
      </c>
      <c r="B2948" s="21" t="s">
        <v>31</v>
      </c>
      <c r="C2948" s="21" t="s">
        <v>107</v>
      </c>
      <c r="D2948" s="21" t="s">
        <v>108</v>
      </c>
      <c r="E2948" s="21" t="s">
        <v>109</v>
      </c>
      <c r="F2948" s="21" t="s">
        <v>856</v>
      </c>
      <c r="G2948" s="21" t="s">
        <v>857</v>
      </c>
      <c r="H2948" s="21" t="s">
        <v>870</v>
      </c>
      <c r="I2948" s="21" t="s">
        <v>871</v>
      </c>
      <c r="J2948" s="21" t="s">
        <v>1883</v>
      </c>
      <c r="K2948" s="21" t="s">
        <v>1893</v>
      </c>
      <c r="L2948" s="21" t="s">
        <v>1898</v>
      </c>
      <c r="M2948" s="21" t="s">
        <v>12</v>
      </c>
      <c r="N2948" s="54">
        <v>4000</v>
      </c>
      <c r="O2948" s="54">
        <v>0</v>
      </c>
      <c r="P2948" s="54">
        <v>0</v>
      </c>
      <c r="Q2948" s="54">
        <v>4000</v>
      </c>
      <c r="R2948" s="54">
        <v>0</v>
      </c>
      <c r="S2948" s="54">
        <v>0</v>
      </c>
      <c r="T2948" s="54">
        <v>0</v>
      </c>
      <c r="U2948" s="54">
        <v>4000</v>
      </c>
      <c r="V2948" s="54">
        <v>4000</v>
      </c>
      <c r="W2948" s="54">
        <v>4000</v>
      </c>
    </row>
    <row r="2949" spans="1:23" outlineLevel="2" x14ac:dyDescent="0.2">
      <c r="A2949" s="21" t="s">
        <v>1882</v>
      </c>
      <c r="B2949" s="21" t="s">
        <v>31</v>
      </c>
      <c r="C2949" s="21" t="s">
        <v>107</v>
      </c>
      <c r="D2949" s="21" t="s">
        <v>108</v>
      </c>
      <c r="E2949" s="21" t="s">
        <v>109</v>
      </c>
      <c r="F2949" s="21" t="s">
        <v>856</v>
      </c>
      <c r="G2949" s="21" t="s">
        <v>857</v>
      </c>
      <c r="H2949" s="21" t="s">
        <v>870</v>
      </c>
      <c r="I2949" s="21" t="s">
        <v>871</v>
      </c>
      <c r="J2949" s="21" t="s">
        <v>1883</v>
      </c>
      <c r="K2949" s="21" t="s">
        <v>1886</v>
      </c>
      <c r="L2949" s="21" t="s">
        <v>1899</v>
      </c>
      <c r="M2949" s="21" t="s">
        <v>12</v>
      </c>
      <c r="N2949" s="54">
        <v>10055</v>
      </c>
      <c r="O2949" s="54">
        <v>0</v>
      </c>
      <c r="P2949" s="54">
        <v>0</v>
      </c>
      <c r="Q2949" s="54">
        <v>10055</v>
      </c>
      <c r="R2949" s="54">
        <v>0</v>
      </c>
      <c r="S2949" s="54">
        <v>0</v>
      </c>
      <c r="T2949" s="54">
        <v>0</v>
      </c>
      <c r="U2949" s="54">
        <v>10055</v>
      </c>
      <c r="V2949" s="54">
        <v>10055</v>
      </c>
      <c r="W2949" s="54">
        <v>10055</v>
      </c>
    </row>
    <row r="2950" spans="1:23" outlineLevel="2" x14ac:dyDescent="0.2">
      <c r="A2950" s="21" t="s">
        <v>1882</v>
      </c>
      <c r="B2950" s="21" t="s">
        <v>31</v>
      </c>
      <c r="C2950" s="21" t="s">
        <v>107</v>
      </c>
      <c r="D2950" s="21" t="s">
        <v>1168</v>
      </c>
      <c r="E2950" s="21" t="s">
        <v>1169</v>
      </c>
      <c r="F2950" s="21" t="s">
        <v>856</v>
      </c>
      <c r="G2950" s="21" t="s">
        <v>857</v>
      </c>
      <c r="H2950" s="21" t="s">
        <v>1166</v>
      </c>
      <c r="I2950" s="21" t="s">
        <v>1167</v>
      </c>
      <c r="J2950" s="21" t="s">
        <v>1883</v>
      </c>
      <c r="K2950" s="21" t="s">
        <v>1886</v>
      </c>
      <c r="L2950" s="21" t="s">
        <v>1899</v>
      </c>
      <c r="M2950" s="21" t="s">
        <v>12</v>
      </c>
      <c r="N2950" s="54">
        <v>10000</v>
      </c>
      <c r="O2950" s="54">
        <v>0</v>
      </c>
      <c r="P2950" s="54">
        <v>0</v>
      </c>
      <c r="Q2950" s="54">
        <v>10000</v>
      </c>
      <c r="R2950" s="54">
        <v>0</v>
      </c>
      <c r="S2950" s="54">
        <v>0</v>
      </c>
      <c r="T2950" s="54">
        <v>0</v>
      </c>
      <c r="U2950" s="54">
        <v>10000</v>
      </c>
      <c r="V2950" s="54">
        <v>10000</v>
      </c>
      <c r="W2950" s="54">
        <v>10000</v>
      </c>
    </row>
    <row r="2951" spans="1:23" outlineLevel="2" x14ac:dyDescent="0.2">
      <c r="A2951" s="21" t="s">
        <v>1882</v>
      </c>
      <c r="B2951" s="21" t="s">
        <v>31</v>
      </c>
      <c r="C2951" s="21" t="s">
        <v>107</v>
      </c>
      <c r="D2951" s="21" t="s">
        <v>1168</v>
      </c>
      <c r="E2951" s="21" t="s">
        <v>1169</v>
      </c>
      <c r="F2951" s="21" t="s">
        <v>856</v>
      </c>
      <c r="G2951" s="21" t="s">
        <v>857</v>
      </c>
      <c r="H2951" s="21" t="s">
        <v>1173</v>
      </c>
      <c r="I2951" s="21" t="s">
        <v>1174</v>
      </c>
      <c r="J2951" s="21" t="s">
        <v>1883</v>
      </c>
      <c r="K2951" s="21" t="s">
        <v>1891</v>
      </c>
      <c r="L2951" s="21" t="s">
        <v>1897</v>
      </c>
      <c r="M2951" s="21" t="s">
        <v>12</v>
      </c>
      <c r="N2951" s="54">
        <v>15000</v>
      </c>
      <c r="O2951" s="54">
        <v>0</v>
      </c>
      <c r="P2951" s="54">
        <v>0</v>
      </c>
      <c r="Q2951" s="54">
        <v>15000</v>
      </c>
      <c r="R2951" s="54">
        <v>0</v>
      </c>
      <c r="S2951" s="54">
        <v>0</v>
      </c>
      <c r="T2951" s="54">
        <v>0</v>
      </c>
      <c r="U2951" s="54">
        <v>15000</v>
      </c>
      <c r="V2951" s="54">
        <v>15000</v>
      </c>
      <c r="W2951" s="54">
        <v>15000</v>
      </c>
    </row>
    <row r="2952" spans="1:23" outlineLevel="2" x14ac:dyDescent="0.2">
      <c r="A2952" s="21" t="s">
        <v>1882</v>
      </c>
      <c r="B2952" s="21" t="s">
        <v>31</v>
      </c>
      <c r="C2952" s="21" t="s">
        <v>107</v>
      </c>
      <c r="D2952" s="21" t="s">
        <v>1168</v>
      </c>
      <c r="E2952" s="21" t="s">
        <v>1169</v>
      </c>
      <c r="F2952" s="21" t="s">
        <v>856</v>
      </c>
      <c r="G2952" s="21" t="s">
        <v>857</v>
      </c>
      <c r="H2952" s="21" t="s">
        <v>1173</v>
      </c>
      <c r="I2952" s="21" t="s">
        <v>1174</v>
      </c>
      <c r="J2952" s="21" t="s">
        <v>1883</v>
      </c>
      <c r="K2952" s="21" t="s">
        <v>1884</v>
      </c>
      <c r="L2952" s="21" t="s">
        <v>1896</v>
      </c>
      <c r="M2952" s="21" t="s">
        <v>12</v>
      </c>
      <c r="N2952" s="54">
        <v>24070</v>
      </c>
      <c r="O2952" s="54">
        <v>-24070</v>
      </c>
      <c r="P2952" s="54">
        <v>0</v>
      </c>
      <c r="Q2952" s="54">
        <v>0</v>
      </c>
      <c r="R2952" s="54">
        <v>0</v>
      </c>
      <c r="S2952" s="54">
        <v>0</v>
      </c>
      <c r="T2952" s="54">
        <v>0</v>
      </c>
      <c r="U2952" s="54">
        <v>0</v>
      </c>
      <c r="V2952" s="54">
        <v>0</v>
      </c>
      <c r="W2952" s="54">
        <v>0</v>
      </c>
    </row>
    <row r="2953" spans="1:23" outlineLevel="2" x14ac:dyDescent="0.2">
      <c r="A2953" s="21" t="s">
        <v>1882</v>
      </c>
      <c r="B2953" s="21" t="s">
        <v>31</v>
      </c>
      <c r="C2953" s="21" t="s">
        <v>107</v>
      </c>
      <c r="D2953" s="21" t="s">
        <v>1168</v>
      </c>
      <c r="E2953" s="21" t="s">
        <v>1169</v>
      </c>
      <c r="F2953" s="21" t="s">
        <v>856</v>
      </c>
      <c r="G2953" s="21" t="s">
        <v>857</v>
      </c>
      <c r="H2953" s="21" t="s">
        <v>1173</v>
      </c>
      <c r="I2953" s="21" t="s">
        <v>1174</v>
      </c>
      <c r="J2953" s="21" t="s">
        <v>1883</v>
      </c>
      <c r="K2953" s="21" t="s">
        <v>1886</v>
      </c>
      <c r="L2953" s="21" t="s">
        <v>1899</v>
      </c>
      <c r="M2953" s="21" t="s">
        <v>12</v>
      </c>
      <c r="N2953" s="54">
        <v>5000</v>
      </c>
      <c r="O2953" s="54">
        <v>0</v>
      </c>
      <c r="P2953" s="54">
        <v>0</v>
      </c>
      <c r="Q2953" s="54">
        <v>5000</v>
      </c>
      <c r="R2953" s="54">
        <v>0</v>
      </c>
      <c r="S2953" s="54">
        <v>0</v>
      </c>
      <c r="T2953" s="54">
        <v>0</v>
      </c>
      <c r="U2953" s="54">
        <v>5000</v>
      </c>
      <c r="V2953" s="54">
        <v>5000</v>
      </c>
      <c r="W2953" s="54">
        <v>5000</v>
      </c>
    </row>
    <row r="2954" spans="1:23" outlineLevel="2" x14ac:dyDescent="0.2">
      <c r="A2954" s="21" t="s">
        <v>1882</v>
      </c>
      <c r="B2954" s="21" t="s">
        <v>31</v>
      </c>
      <c r="C2954" s="21" t="s">
        <v>107</v>
      </c>
      <c r="D2954" s="21" t="s">
        <v>108</v>
      </c>
      <c r="E2954" s="21" t="s">
        <v>109</v>
      </c>
      <c r="F2954" s="21" t="s">
        <v>856</v>
      </c>
      <c r="G2954" s="21" t="s">
        <v>857</v>
      </c>
      <c r="H2954" s="21" t="s">
        <v>1187</v>
      </c>
      <c r="I2954" s="21" t="s">
        <v>1188</v>
      </c>
      <c r="J2954" s="21" t="s">
        <v>1883</v>
      </c>
      <c r="K2954" s="21" t="s">
        <v>1891</v>
      </c>
      <c r="L2954" s="21" t="s">
        <v>1897</v>
      </c>
      <c r="M2954" s="21" t="s">
        <v>12</v>
      </c>
      <c r="N2954" s="54">
        <v>5000</v>
      </c>
      <c r="O2954" s="54">
        <v>0</v>
      </c>
      <c r="P2954" s="54">
        <v>0</v>
      </c>
      <c r="Q2954" s="54">
        <v>5000</v>
      </c>
      <c r="R2954" s="54">
        <v>0</v>
      </c>
      <c r="S2954" s="54">
        <v>0</v>
      </c>
      <c r="T2954" s="54">
        <v>0</v>
      </c>
      <c r="U2954" s="54">
        <v>5000</v>
      </c>
      <c r="V2954" s="54">
        <v>5000</v>
      </c>
      <c r="W2954" s="54">
        <v>5000</v>
      </c>
    </row>
    <row r="2955" spans="1:23" outlineLevel="2" x14ac:dyDescent="0.2">
      <c r="A2955" s="21" t="s">
        <v>1882</v>
      </c>
      <c r="B2955" s="21" t="s">
        <v>31</v>
      </c>
      <c r="C2955" s="21" t="s">
        <v>107</v>
      </c>
      <c r="D2955" s="21" t="s">
        <v>108</v>
      </c>
      <c r="E2955" s="21" t="s">
        <v>109</v>
      </c>
      <c r="F2955" s="21" t="s">
        <v>856</v>
      </c>
      <c r="G2955" s="21" t="s">
        <v>857</v>
      </c>
      <c r="H2955" s="21" t="s">
        <v>1187</v>
      </c>
      <c r="I2955" s="21" t="s">
        <v>1188</v>
      </c>
      <c r="J2955" s="21" t="s">
        <v>1883</v>
      </c>
      <c r="K2955" s="21" t="s">
        <v>1884</v>
      </c>
      <c r="L2955" s="21" t="s">
        <v>1896</v>
      </c>
      <c r="M2955" s="21" t="s">
        <v>12</v>
      </c>
      <c r="N2955" s="54">
        <v>60000</v>
      </c>
      <c r="O2955" s="54">
        <v>-7000</v>
      </c>
      <c r="P2955" s="54">
        <v>0</v>
      </c>
      <c r="Q2955" s="54">
        <v>53000</v>
      </c>
      <c r="R2955" s="54">
        <v>0</v>
      </c>
      <c r="S2955" s="54">
        <v>0</v>
      </c>
      <c r="T2955" s="54">
        <v>0</v>
      </c>
      <c r="U2955" s="54">
        <v>53000</v>
      </c>
      <c r="V2955" s="54">
        <v>53000</v>
      </c>
      <c r="W2955" s="54">
        <v>53000</v>
      </c>
    </row>
    <row r="2956" spans="1:23" outlineLevel="2" x14ac:dyDescent="0.2">
      <c r="A2956" s="21" t="s">
        <v>1882</v>
      </c>
      <c r="B2956" s="21" t="s">
        <v>31</v>
      </c>
      <c r="C2956" s="21" t="s">
        <v>107</v>
      </c>
      <c r="D2956" s="21" t="s">
        <v>108</v>
      </c>
      <c r="E2956" s="21" t="s">
        <v>109</v>
      </c>
      <c r="F2956" s="21" t="s">
        <v>856</v>
      </c>
      <c r="G2956" s="21" t="s">
        <v>857</v>
      </c>
      <c r="H2956" s="21" t="s">
        <v>1187</v>
      </c>
      <c r="I2956" s="21" t="s">
        <v>1188</v>
      </c>
      <c r="J2956" s="21" t="s">
        <v>1883</v>
      </c>
      <c r="K2956" s="21" t="s">
        <v>1886</v>
      </c>
      <c r="L2956" s="21" t="s">
        <v>1899</v>
      </c>
      <c r="M2956" s="21" t="s">
        <v>12</v>
      </c>
      <c r="N2956" s="54">
        <v>5000</v>
      </c>
      <c r="O2956" s="54">
        <v>0</v>
      </c>
      <c r="P2956" s="54">
        <v>0</v>
      </c>
      <c r="Q2956" s="54">
        <v>5000</v>
      </c>
      <c r="R2956" s="54">
        <v>0</v>
      </c>
      <c r="S2956" s="54">
        <v>0</v>
      </c>
      <c r="T2956" s="54">
        <v>0</v>
      </c>
      <c r="U2956" s="54">
        <v>5000</v>
      </c>
      <c r="V2956" s="54">
        <v>5000</v>
      </c>
      <c r="W2956" s="54">
        <v>5000</v>
      </c>
    </row>
    <row r="2957" spans="1:23" outlineLevel="2" x14ac:dyDescent="0.2">
      <c r="A2957" s="21" t="s">
        <v>1882</v>
      </c>
      <c r="B2957" s="21" t="s">
        <v>31</v>
      </c>
      <c r="C2957" s="21" t="s">
        <v>107</v>
      </c>
      <c r="D2957" s="21" t="s">
        <v>108</v>
      </c>
      <c r="E2957" s="21" t="s">
        <v>109</v>
      </c>
      <c r="F2957" s="21" t="s">
        <v>856</v>
      </c>
      <c r="G2957" s="21" t="s">
        <v>857</v>
      </c>
      <c r="H2957" s="21" t="s">
        <v>1187</v>
      </c>
      <c r="I2957" s="21" t="s">
        <v>1188</v>
      </c>
      <c r="J2957" s="21" t="s">
        <v>1883</v>
      </c>
      <c r="K2957" s="21" t="s">
        <v>1900</v>
      </c>
      <c r="L2957" s="21" t="s">
        <v>1901</v>
      </c>
      <c r="M2957" s="21" t="s">
        <v>12</v>
      </c>
      <c r="N2957" s="54">
        <v>10000</v>
      </c>
      <c r="O2957" s="54">
        <v>0</v>
      </c>
      <c r="P2957" s="54">
        <v>0</v>
      </c>
      <c r="Q2957" s="54">
        <v>10000</v>
      </c>
      <c r="R2957" s="54">
        <v>0</v>
      </c>
      <c r="S2957" s="54">
        <v>0</v>
      </c>
      <c r="T2957" s="54">
        <v>0</v>
      </c>
      <c r="U2957" s="54">
        <v>10000</v>
      </c>
      <c r="V2957" s="54">
        <v>10000</v>
      </c>
      <c r="W2957" s="54">
        <v>10000</v>
      </c>
    </row>
    <row r="2958" spans="1:23" outlineLevel="2" x14ac:dyDescent="0.2">
      <c r="A2958" s="21" t="s">
        <v>1882</v>
      </c>
      <c r="B2958" s="21" t="s">
        <v>53</v>
      </c>
      <c r="C2958" s="21" t="s">
        <v>54</v>
      </c>
      <c r="D2958" s="21" t="s">
        <v>55</v>
      </c>
      <c r="E2958" s="21" t="s">
        <v>56</v>
      </c>
      <c r="F2958" s="21" t="s">
        <v>1196</v>
      </c>
      <c r="G2958" s="21" t="s">
        <v>1197</v>
      </c>
      <c r="H2958" s="21" t="s">
        <v>1202</v>
      </c>
      <c r="I2958" s="21" t="s">
        <v>1203</v>
      </c>
      <c r="J2958" s="21" t="s">
        <v>1883</v>
      </c>
      <c r="K2958" s="21" t="s">
        <v>1884</v>
      </c>
      <c r="L2958" s="21" t="s">
        <v>1902</v>
      </c>
      <c r="M2958" s="21" t="s">
        <v>12</v>
      </c>
      <c r="N2958" s="54">
        <v>434563.92</v>
      </c>
      <c r="O2958" s="54">
        <v>-279743.2</v>
      </c>
      <c r="P2958" s="54">
        <v>0</v>
      </c>
      <c r="Q2958" s="54">
        <v>154820.72</v>
      </c>
      <c r="R2958" s="54">
        <v>0</v>
      </c>
      <c r="S2958" s="54">
        <v>5644.8</v>
      </c>
      <c r="T2958" s="54">
        <v>5644.8</v>
      </c>
      <c r="U2958" s="54">
        <v>149175.92000000001</v>
      </c>
      <c r="V2958" s="54">
        <v>149175.92000000001</v>
      </c>
      <c r="W2958" s="54">
        <v>149175.92000000001</v>
      </c>
    </row>
    <row r="2959" spans="1:23" outlineLevel="2" x14ac:dyDescent="0.2">
      <c r="A2959" s="21" t="s">
        <v>1882</v>
      </c>
      <c r="B2959" s="21" t="s">
        <v>53</v>
      </c>
      <c r="C2959" s="21" t="s">
        <v>54</v>
      </c>
      <c r="D2959" s="21" t="s">
        <v>55</v>
      </c>
      <c r="E2959" s="21" t="s">
        <v>56</v>
      </c>
      <c r="F2959" s="21" t="s">
        <v>1196</v>
      </c>
      <c r="G2959" s="21" t="s">
        <v>1197</v>
      </c>
      <c r="H2959" s="21" t="s">
        <v>1202</v>
      </c>
      <c r="I2959" s="21" t="s">
        <v>1203</v>
      </c>
      <c r="J2959" s="21" t="s">
        <v>1883</v>
      </c>
      <c r="K2959" s="21" t="s">
        <v>1886</v>
      </c>
      <c r="L2959" s="21" t="s">
        <v>1903</v>
      </c>
      <c r="M2959" s="21" t="s">
        <v>12</v>
      </c>
      <c r="N2959" s="54">
        <v>10000</v>
      </c>
      <c r="O2959" s="54">
        <v>15006.66</v>
      </c>
      <c r="P2959" s="54">
        <v>0</v>
      </c>
      <c r="Q2959" s="54">
        <v>25006.66</v>
      </c>
      <c r="R2959" s="54">
        <v>6916.08</v>
      </c>
      <c r="S2959" s="54">
        <v>15006.66</v>
      </c>
      <c r="T2959" s="54">
        <v>15006.66</v>
      </c>
      <c r="U2959" s="54">
        <v>10000</v>
      </c>
      <c r="V2959" s="54">
        <v>10000</v>
      </c>
      <c r="W2959" s="54">
        <v>3083.92</v>
      </c>
    </row>
    <row r="2960" spans="1:23" outlineLevel="2" x14ac:dyDescent="0.2">
      <c r="A2960" s="21" t="s">
        <v>1882</v>
      </c>
      <c r="B2960" s="21" t="s">
        <v>39</v>
      </c>
      <c r="C2960" s="21" t="s">
        <v>58</v>
      </c>
      <c r="D2960" s="21" t="s">
        <v>143</v>
      </c>
      <c r="E2960" s="21" t="s">
        <v>144</v>
      </c>
      <c r="F2960" s="21" t="s">
        <v>1220</v>
      </c>
      <c r="G2960" s="21" t="s">
        <v>1221</v>
      </c>
      <c r="H2960" s="21" t="s">
        <v>1222</v>
      </c>
      <c r="I2960" s="21" t="s">
        <v>1223</v>
      </c>
      <c r="J2960" s="21" t="s">
        <v>1883</v>
      </c>
      <c r="K2960" s="21" t="s">
        <v>1886</v>
      </c>
      <c r="L2960" s="21" t="s">
        <v>1904</v>
      </c>
      <c r="M2960" s="21" t="s">
        <v>12</v>
      </c>
      <c r="N2960" s="54">
        <v>1500</v>
      </c>
      <c r="O2960" s="54">
        <v>0</v>
      </c>
      <c r="P2960" s="54">
        <v>0</v>
      </c>
      <c r="Q2960" s="54">
        <v>1500</v>
      </c>
      <c r="R2960" s="54">
        <v>0</v>
      </c>
      <c r="S2960" s="54">
        <v>1432.48</v>
      </c>
      <c r="T2960" s="54">
        <v>1432.48</v>
      </c>
      <c r="U2960" s="54">
        <v>67.52</v>
      </c>
      <c r="V2960" s="54">
        <v>67.52</v>
      </c>
      <c r="W2960" s="54">
        <v>67.52</v>
      </c>
    </row>
    <row r="2961" spans="1:23" outlineLevel="2" x14ac:dyDescent="0.2">
      <c r="A2961" s="21" t="s">
        <v>1882</v>
      </c>
      <c r="B2961" s="21" t="s">
        <v>31</v>
      </c>
      <c r="C2961" s="21" t="s">
        <v>79</v>
      </c>
      <c r="D2961" s="21" t="s">
        <v>83</v>
      </c>
      <c r="E2961" s="21" t="s">
        <v>84</v>
      </c>
      <c r="F2961" s="21" t="s">
        <v>874</v>
      </c>
      <c r="G2961" s="21" t="s">
        <v>875</v>
      </c>
      <c r="H2961" s="21" t="s">
        <v>1251</v>
      </c>
      <c r="I2961" s="21" t="s">
        <v>1252</v>
      </c>
      <c r="J2961" s="21" t="s">
        <v>1883</v>
      </c>
      <c r="K2961" s="21" t="s">
        <v>1886</v>
      </c>
      <c r="L2961" s="21" t="s">
        <v>1905</v>
      </c>
      <c r="M2961" s="21" t="s">
        <v>12</v>
      </c>
      <c r="N2961" s="54">
        <v>5934.84</v>
      </c>
      <c r="O2961" s="54">
        <v>-5934.84</v>
      </c>
      <c r="P2961" s="54">
        <v>0</v>
      </c>
      <c r="Q2961" s="54">
        <v>0</v>
      </c>
      <c r="R2961" s="54">
        <v>0</v>
      </c>
      <c r="S2961" s="54">
        <v>0</v>
      </c>
      <c r="T2961" s="54">
        <v>0</v>
      </c>
      <c r="U2961" s="54">
        <v>0</v>
      </c>
      <c r="V2961" s="54">
        <v>0</v>
      </c>
      <c r="W2961" s="54">
        <v>0</v>
      </c>
    </row>
    <row r="2962" spans="1:23" outlineLevel="2" x14ac:dyDescent="0.2">
      <c r="A2962" s="21" t="s">
        <v>1882</v>
      </c>
      <c r="B2962" s="21" t="s">
        <v>31</v>
      </c>
      <c r="C2962" s="21" t="s">
        <v>79</v>
      </c>
      <c r="D2962" s="21" t="s">
        <v>83</v>
      </c>
      <c r="E2962" s="21" t="s">
        <v>84</v>
      </c>
      <c r="F2962" s="21" t="s">
        <v>874</v>
      </c>
      <c r="G2962" s="21" t="s">
        <v>875</v>
      </c>
      <c r="H2962" s="21" t="s">
        <v>1251</v>
      </c>
      <c r="I2962" s="21" t="s">
        <v>1252</v>
      </c>
      <c r="J2962" s="21" t="s">
        <v>1883</v>
      </c>
      <c r="K2962" s="21" t="s">
        <v>1906</v>
      </c>
      <c r="L2962" s="21" t="s">
        <v>1907</v>
      </c>
      <c r="M2962" s="21" t="s">
        <v>12</v>
      </c>
      <c r="N2962" s="54">
        <v>0</v>
      </c>
      <c r="O2962" s="54">
        <v>1000</v>
      </c>
      <c r="P2962" s="54">
        <v>0</v>
      </c>
      <c r="Q2962" s="54">
        <v>1000</v>
      </c>
      <c r="R2962" s="54">
        <v>0</v>
      </c>
      <c r="S2962" s="54">
        <v>0</v>
      </c>
      <c r="T2962" s="54">
        <v>0</v>
      </c>
      <c r="U2962" s="54">
        <v>1000</v>
      </c>
      <c r="V2962" s="54">
        <v>1000</v>
      </c>
      <c r="W2962" s="54">
        <v>1000</v>
      </c>
    </row>
    <row r="2963" spans="1:23" outlineLevel="2" x14ac:dyDescent="0.2">
      <c r="A2963" s="21" t="s">
        <v>1882</v>
      </c>
      <c r="B2963" s="21" t="s">
        <v>31</v>
      </c>
      <c r="C2963" s="21" t="s">
        <v>79</v>
      </c>
      <c r="D2963" s="21" t="s">
        <v>125</v>
      </c>
      <c r="E2963" s="21" t="s">
        <v>126</v>
      </c>
      <c r="F2963" s="21" t="s">
        <v>883</v>
      </c>
      <c r="G2963" s="21" t="s">
        <v>884</v>
      </c>
      <c r="H2963" s="21" t="s">
        <v>1255</v>
      </c>
      <c r="I2963" s="21" t="s">
        <v>1256</v>
      </c>
      <c r="J2963" s="21" t="s">
        <v>1883</v>
      </c>
      <c r="K2963" s="21" t="s">
        <v>1891</v>
      </c>
      <c r="L2963" s="21" t="s">
        <v>1908</v>
      </c>
      <c r="M2963" s="21" t="s">
        <v>12</v>
      </c>
      <c r="N2963" s="54">
        <v>124571.42</v>
      </c>
      <c r="O2963" s="54">
        <v>0</v>
      </c>
      <c r="P2963" s="54">
        <v>0</v>
      </c>
      <c r="Q2963" s="54">
        <v>124571.42</v>
      </c>
      <c r="R2963" s="54">
        <v>0</v>
      </c>
      <c r="S2963" s="54">
        <v>0</v>
      </c>
      <c r="T2963" s="54">
        <v>0</v>
      </c>
      <c r="U2963" s="54">
        <v>124571.42</v>
      </c>
      <c r="V2963" s="54">
        <v>124571.42</v>
      </c>
      <c r="W2963" s="54">
        <v>124571.42</v>
      </c>
    </row>
    <row r="2964" spans="1:23" outlineLevel="2" x14ac:dyDescent="0.2">
      <c r="A2964" s="21" t="s">
        <v>1882</v>
      </c>
      <c r="B2964" s="21" t="s">
        <v>31</v>
      </c>
      <c r="C2964" s="21" t="s">
        <v>79</v>
      </c>
      <c r="D2964" s="21" t="s">
        <v>80</v>
      </c>
      <c r="E2964" s="21" t="s">
        <v>81</v>
      </c>
      <c r="F2964" s="21" t="s">
        <v>883</v>
      </c>
      <c r="G2964" s="21" t="s">
        <v>884</v>
      </c>
      <c r="H2964" s="21" t="s">
        <v>1255</v>
      </c>
      <c r="I2964" s="21" t="s">
        <v>1256</v>
      </c>
      <c r="J2964" s="21" t="s">
        <v>1883</v>
      </c>
      <c r="K2964" s="21" t="s">
        <v>1884</v>
      </c>
      <c r="L2964" s="21" t="s">
        <v>1909</v>
      </c>
      <c r="M2964" s="21" t="s">
        <v>12</v>
      </c>
      <c r="N2964" s="54">
        <v>48200</v>
      </c>
      <c r="O2964" s="54">
        <v>0</v>
      </c>
      <c r="P2964" s="54">
        <v>0</v>
      </c>
      <c r="Q2964" s="54">
        <v>48200</v>
      </c>
      <c r="R2964" s="54">
        <v>0</v>
      </c>
      <c r="S2964" s="54">
        <v>0</v>
      </c>
      <c r="T2964" s="54">
        <v>0</v>
      </c>
      <c r="U2964" s="54">
        <v>48200</v>
      </c>
      <c r="V2964" s="54">
        <v>48200</v>
      </c>
      <c r="W2964" s="54">
        <v>48200</v>
      </c>
    </row>
    <row r="2965" spans="1:23" outlineLevel="2" x14ac:dyDescent="0.2">
      <c r="A2965" s="21" t="s">
        <v>1882</v>
      </c>
      <c r="B2965" s="21" t="s">
        <v>31</v>
      </c>
      <c r="C2965" s="21" t="s">
        <v>79</v>
      </c>
      <c r="D2965" s="21" t="s">
        <v>127</v>
      </c>
      <c r="E2965" s="21" t="s">
        <v>128</v>
      </c>
      <c r="F2965" s="21" t="s">
        <v>883</v>
      </c>
      <c r="G2965" s="21" t="s">
        <v>884</v>
      </c>
      <c r="H2965" s="21" t="s">
        <v>1255</v>
      </c>
      <c r="I2965" s="21" t="s">
        <v>1256</v>
      </c>
      <c r="J2965" s="21" t="s">
        <v>1883</v>
      </c>
      <c r="K2965" s="21" t="s">
        <v>1884</v>
      </c>
      <c r="L2965" s="21" t="s">
        <v>1909</v>
      </c>
      <c r="M2965" s="21" t="s">
        <v>12</v>
      </c>
      <c r="N2965" s="54">
        <v>84000</v>
      </c>
      <c r="O2965" s="54">
        <v>-50400</v>
      </c>
      <c r="P2965" s="54">
        <v>0</v>
      </c>
      <c r="Q2965" s="54">
        <v>33600</v>
      </c>
      <c r="R2965" s="54">
        <v>0</v>
      </c>
      <c r="S2965" s="54">
        <v>0</v>
      </c>
      <c r="T2965" s="54">
        <v>0</v>
      </c>
      <c r="U2965" s="54">
        <v>33600</v>
      </c>
      <c r="V2965" s="54">
        <v>33600</v>
      </c>
      <c r="W2965" s="54">
        <v>33600</v>
      </c>
    </row>
    <row r="2966" spans="1:23" outlineLevel="2" x14ac:dyDescent="0.2">
      <c r="A2966" s="21" t="s">
        <v>1882</v>
      </c>
      <c r="B2966" s="21" t="s">
        <v>31</v>
      </c>
      <c r="C2966" s="21" t="s">
        <v>79</v>
      </c>
      <c r="D2966" s="21" t="s">
        <v>115</v>
      </c>
      <c r="E2966" s="21" t="s">
        <v>116</v>
      </c>
      <c r="F2966" s="21" t="s">
        <v>883</v>
      </c>
      <c r="G2966" s="21" t="s">
        <v>884</v>
      </c>
      <c r="H2966" s="21" t="s">
        <v>1255</v>
      </c>
      <c r="I2966" s="21" t="s">
        <v>1256</v>
      </c>
      <c r="J2966" s="21" t="s">
        <v>1883</v>
      </c>
      <c r="K2966" s="21" t="s">
        <v>1884</v>
      </c>
      <c r="L2966" s="21" t="s">
        <v>1909</v>
      </c>
      <c r="M2966" s="21" t="s">
        <v>12</v>
      </c>
      <c r="N2966" s="54">
        <v>6040</v>
      </c>
      <c r="O2966" s="54">
        <v>0</v>
      </c>
      <c r="P2966" s="54">
        <v>0</v>
      </c>
      <c r="Q2966" s="54">
        <v>6040</v>
      </c>
      <c r="R2966" s="54">
        <v>0</v>
      </c>
      <c r="S2966" s="54">
        <v>0</v>
      </c>
      <c r="T2966" s="54">
        <v>0</v>
      </c>
      <c r="U2966" s="54">
        <v>6040</v>
      </c>
      <c r="V2966" s="54">
        <v>6040</v>
      </c>
      <c r="W2966" s="54">
        <v>6040</v>
      </c>
    </row>
    <row r="2967" spans="1:23" outlineLevel="2" x14ac:dyDescent="0.2">
      <c r="A2967" s="21" t="s">
        <v>1882</v>
      </c>
      <c r="B2967" s="21" t="s">
        <v>31</v>
      </c>
      <c r="C2967" s="21" t="s">
        <v>79</v>
      </c>
      <c r="D2967" s="21" t="s">
        <v>113</v>
      </c>
      <c r="E2967" s="21" t="s">
        <v>114</v>
      </c>
      <c r="F2967" s="21" t="s">
        <v>883</v>
      </c>
      <c r="G2967" s="21" t="s">
        <v>884</v>
      </c>
      <c r="H2967" s="21" t="s">
        <v>1255</v>
      </c>
      <c r="I2967" s="21" t="s">
        <v>1256</v>
      </c>
      <c r="J2967" s="21" t="s">
        <v>1883</v>
      </c>
      <c r="K2967" s="21" t="s">
        <v>1886</v>
      </c>
      <c r="L2967" s="21" t="s">
        <v>1910</v>
      </c>
      <c r="M2967" s="21" t="s">
        <v>12</v>
      </c>
      <c r="N2967" s="54">
        <v>0</v>
      </c>
      <c r="O2967" s="54">
        <v>7000</v>
      </c>
      <c r="P2967" s="54">
        <v>0</v>
      </c>
      <c r="Q2967" s="54">
        <v>7000</v>
      </c>
      <c r="R2967" s="54">
        <v>0</v>
      </c>
      <c r="S2967" s="54">
        <v>0</v>
      </c>
      <c r="T2967" s="54">
        <v>0</v>
      </c>
      <c r="U2967" s="54">
        <v>7000</v>
      </c>
      <c r="V2967" s="54">
        <v>7000</v>
      </c>
      <c r="W2967" s="54">
        <v>7000</v>
      </c>
    </row>
    <row r="2968" spans="1:23" outlineLevel="2" x14ac:dyDescent="0.2">
      <c r="A2968" s="21" t="s">
        <v>1882</v>
      </c>
      <c r="B2968" s="21" t="s">
        <v>31</v>
      </c>
      <c r="C2968" s="21" t="s">
        <v>79</v>
      </c>
      <c r="D2968" s="21" t="s">
        <v>125</v>
      </c>
      <c r="E2968" s="21" t="s">
        <v>126</v>
      </c>
      <c r="F2968" s="21" t="s">
        <v>883</v>
      </c>
      <c r="G2968" s="21" t="s">
        <v>884</v>
      </c>
      <c r="H2968" s="21" t="s">
        <v>1255</v>
      </c>
      <c r="I2968" s="21" t="s">
        <v>1256</v>
      </c>
      <c r="J2968" s="21" t="s">
        <v>1883</v>
      </c>
      <c r="K2968" s="21" t="s">
        <v>1886</v>
      </c>
      <c r="L2968" s="21" t="s">
        <v>1910</v>
      </c>
      <c r="M2968" s="21" t="s">
        <v>12</v>
      </c>
      <c r="N2968" s="54">
        <v>114720.11</v>
      </c>
      <c r="O2968" s="54">
        <v>0</v>
      </c>
      <c r="P2968" s="54">
        <v>0</v>
      </c>
      <c r="Q2968" s="54">
        <v>114720.11</v>
      </c>
      <c r="R2968" s="54">
        <v>0</v>
      </c>
      <c r="S2968" s="54">
        <v>0</v>
      </c>
      <c r="T2968" s="54">
        <v>0</v>
      </c>
      <c r="U2968" s="54">
        <v>114720.11</v>
      </c>
      <c r="V2968" s="54">
        <v>114720.11</v>
      </c>
      <c r="W2968" s="54">
        <v>114720.11</v>
      </c>
    </row>
    <row r="2969" spans="1:23" outlineLevel="2" x14ac:dyDescent="0.2">
      <c r="A2969" s="21" t="s">
        <v>1882</v>
      </c>
      <c r="B2969" s="21" t="s">
        <v>31</v>
      </c>
      <c r="C2969" s="21" t="s">
        <v>79</v>
      </c>
      <c r="D2969" s="21" t="s">
        <v>80</v>
      </c>
      <c r="E2969" s="21" t="s">
        <v>81</v>
      </c>
      <c r="F2969" s="21" t="s">
        <v>883</v>
      </c>
      <c r="G2969" s="21" t="s">
        <v>884</v>
      </c>
      <c r="H2969" s="21" t="s">
        <v>1255</v>
      </c>
      <c r="I2969" s="21" t="s">
        <v>1256</v>
      </c>
      <c r="J2969" s="21" t="s">
        <v>1883</v>
      </c>
      <c r="K2969" s="21" t="s">
        <v>1886</v>
      </c>
      <c r="L2969" s="21" t="s">
        <v>1910</v>
      </c>
      <c r="M2969" s="21" t="s">
        <v>12</v>
      </c>
      <c r="N2969" s="54">
        <v>74800</v>
      </c>
      <c r="O2969" s="54">
        <v>0</v>
      </c>
      <c r="P2969" s="54">
        <v>0</v>
      </c>
      <c r="Q2969" s="54">
        <v>74800</v>
      </c>
      <c r="R2969" s="54">
        <v>0</v>
      </c>
      <c r="S2969" s="54">
        <v>0</v>
      </c>
      <c r="T2969" s="54">
        <v>0</v>
      </c>
      <c r="U2969" s="54">
        <v>74800</v>
      </c>
      <c r="V2969" s="54">
        <v>74800</v>
      </c>
      <c r="W2969" s="54">
        <v>74800</v>
      </c>
    </row>
    <row r="2970" spans="1:23" outlineLevel="2" x14ac:dyDescent="0.2">
      <c r="A2970" s="21" t="s">
        <v>1882</v>
      </c>
      <c r="B2970" s="21" t="s">
        <v>31</v>
      </c>
      <c r="C2970" s="21" t="s">
        <v>79</v>
      </c>
      <c r="D2970" s="21" t="s">
        <v>83</v>
      </c>
      <c r="E2970" s="21" t="s">
        <v>84</v>
      </c>
      <c r="F2970" s="21" t="s">
        <v>883</v>
      </c>
      <c r="G2970" s="21" t="s">
        <v>884</v>
      </c>
      <c r="H2970" s="21" t="s">
        <v>1286</v>
      </c>
      <c r="I2970" s="21" t="s">
        <v>1287</v>
      </c>
      <c r="J2970" s="21" t="s">
        <v>1883</v>
      </c>
      <c r="K2970" s="21" t="s">
        <v>1886</v>
      </c>
      <c r="L2970" s="21" t="s">
        <v>1910</v>
      </c>
      <c r="M2970" s="21" t="s">
        <v>12</v>
      </c>
      <c r="N2970" s="54">
        <v>114480.66</v>
      </c>
      <c r="O2970" s="54">
        <v>0</v>
      </c>
      <c r="P2970" s="54">
        <v>0</v>
      </c>
      <c r="Q2970" s="54">
        <v>114480.66</v>
      </c>
      <c r="R2970" s="54">
        <v>0</v>
      </c>
      <c r="S2970" s="54">
        <v>0</v>
      </c>
      <c r="T2970" s="54">
        <v>0</v>
      </c>
      <c r="U2970" s="54">
        <v>114480.66</v>
      </c>
      <c r="V2970" s="54">
        <v>114480.66</v>
      </c>
      <c r="W2970" s="54">
        <v>114480.66</v>
      </c>
    </row>
    <row r="2971" spans="1:23" outlineLevel="2" x14ac:dyDescent="0.2">
      <c r="A2971" s="21" t="s">
        <v>1882</v>
      </c>
      <c r="B2971" s="21" t="s">
        <v>31</v>
      </c>
      <c r="C2971" s="21" t="s">
        <v>49</v>
      </c>
      <c r="D2971" s="21" t="s">
        <v>50</v>
      </c>
      <c r="E2971" s="21" t="s">
        <v>51</v>
      </c>
      <c r="F2971" s="21" t="s">
        <v>893</v>
      </c>
      <c r="G2971" s="21" t="s">
        <v>894</v>
      </c>
      <c r="H2971" s="21" t="s">
        <v>895</v>
      </c>
      <c r="I2971" s="21" t="s">
        <v>896</v>
      </c>
      <c r="J2971" s="21" t="s">
        <v>1883</v>
      </c>
      <c r="K2971" s="21" t="s">
        <v>1891</v>
      </c>
      <c r="L2971" s="21" t="s">
        <v>1911</v>
      </c>
      <c r="M2971" s="21" t="s">
        <v>12</v>
      </c>
      <c r="N2971" s="54">
        <v>9000</v>
      </c>
      <c r="O2971" s="54">
        <v>0</v>
      </c>
      <c r="P2971" s="54">
        <v>0</v>
      </c>
      <c r="Q2971" s="54">
        <v>9000</v>
      </c>
      <c r="R2971" s="54">
        <v>0</v>
      </c>
      <c r="S2971" s="54">
        <v>0</v>
      </c>
      <c r="T2971" s="54">
        <v>0</v>
      </c>
      <c r="U2971" s="54">
        <v>9000</v>
      </c>
      <c r="V2971" s="54">
        <v>9000</v>
      </c>
      <c r="W2971" s="54">
        <v>9000</v>
      </c>
    </row>
    <row r="2972" spans="1:23" outlineLevel="2" x14ac:dyDescent="0.2">
      <c r="A2972" s="21" t="s">
        <v>1882</v>
      </c>
      <c r="B2972" s="21" t="s">
        <v>31</v>
      </c>
      <c r="C2972" s="21" t="s">
        <v>49</v>
      </c>
      <c r="D2972" s="21" t="s">
        <v>50</v>
      </c>
      <c r="E2972" s="21" t="s">
        <v>51</v>
      </c>
      <c r="F2972" s="21" t="s">
        <v>893</v>
      </c>
      <c r="G2972" s="21" t="s">
        <v>894</v>
      </c>
      <c r="H2972" s="21" t="s">
        <v>895</v>
      </c>
      <c r="I2972" s="21" t="s">
        <v>896</v>
      </c>
      <c r="J2972" s="21" t="s">
        <v>1883</v>
      </c>
      <c r="K2972" s="21" t="s">
        <v>1884</v>
      </c>
      <c r="L2972" s="21" t="s">
        <v>1912</v>
      </c>
      <c r="M2972" s="21" t="s">
        <v>12</v>
      </c>
      <c r="N2972" s="54">
        <v>4500</v>
      </c>
      <c r="O2972" s="54">
        <v>0</v>
      </c>
      <c r="P2972" s="54">
        <v>0</v>
      </c>
      <c r="Q2972" s="54">
        <v>4500</v>
      </c>
      <c r="R2972" s="54">
        <v>0</v>
      </c>
      <c r="S2972" s="54">
        <v>0</v>
      </c>
      <c r="T2972" s="54">
        <v>0</v>
      </c>
      <c r="U2972" s="54">
        <v>4500</v>
      </c>
      <c r="V2972" s="54">
        <v>4500</v>
      </c>
      <c r="W2972" s="54">
        <v>4500</v>
      </c>
    </row>
    <row r="2973" spans="1:23" outlineLevel="2" x14ac:dyDescent="0.2">
      <c r="A2973" s="21" t="s">
        <v>1882</v>
      </c>
      <c r="B2973" s="21" t="s">
        <v>31</v>
      </c>
      <c r="C2973" s="21" t="s">
        <v>49</v>
      </c>
      <c r="D2973" s="21" t="s">
        <v>50</v>
      </c>
      <c r="E2973" s="21" t="s">
        <v>51</v>
      </c>
      <c r="F2973" s="21" t="s">
        <v>893</v>
      </c>
      <c r="G2973" s="21" t="s">
        <v>894</v>
      </c>
      <c r="H2973" s="21" t="s">
        <v>895</v>
      </c>
      <c r="I2973" s="21" t="s">
        <v>896</v>
      </c>
      <c r="J2973" s="21" t="s">
        <v>1883</v>
      </c>
      <c r="K2973" s="21" t="s">
        <v>1886</v>
      </c>
      <c r="L2973" s="21" t="s">
        <v>1913</v>
      </c>
      <c r="M2973" s="21" t="s">
        <v>12</v>
      </c>
      <c r="N2973" s="54">
        <v>7000</v>
      </c>
      <c r="O2973" s="54">
        <v>0</v>
      </c>
      <c r="P2973" s="54">
        <v>0</v>
      </c>
      <c r="Q2973" s="54">
        <v>7000</v>
      </c>
      <c r="R2973" s="54">
        <v>0</v>
      </c>
      <c r="S2973" s="54">
        <v>0</v>
      </c>
      <c r="T2973" s="54">
        <v>0</v>
      </c>
      <c r="U2973" s="54">
        <v>7000</v>
      </c>
      <c r="V2973" s="54">
        <v>7000</v>
      </c>
      <c r="W2973" s="54">
        <v>7000</v>
      </c>
    </row>
    <row r="2974" spans="1:23" outlineLevel="2" x14ac:dyDescent="0.2">
      <c r="A2974" s="21" t="s">
        <v>1882</v>
      </c>
      <c r="B2974" s="21" t="s">
        <v>31</v>
      </c>
      <c r="C2974" s="21" t="s">
        <v>49</v>
      </c>
      <c r="D2974" s="21" t="s">
        <v>50</v>
      </c>
      <c r="E2974" s="21" t="s">
        <v>51</v>
      </c>
      <c r="F2974" s="21" t="s">
        <v>893</v>
      </c>
      <c r="G2974" s="21" t="s">
        <v>894</v>
      </c>
      <c r="H2974" s="21" t="s">
        <v>895</v>
      </c>
      <c r="I2974" s="21" t="s">
        <v>896</v>
      </c>
      <c r="J2974" s="21" t="s">
        <v>1883</v>
      </c>
      <c r="K2974" s="21" t="s">
        <v>1914</v>
      </c>
      <c r="L2974" s="21" t="s">
        <v>1915</v>
      </c>
      <c r="M2974" s="21" t="s">
        <v>12</v>
      </c>
      <c r="N2974" s="54">
        <v>2000</v>
      </c>
      <c r="O2974" s="54">
        <v>0</v>
      </c>
      <c r="P2974" s="54">
        <v>0</v>
      </c>
      <c r="Q2974" s="54">
        <v>2000</v>
      </c>
      <c r="R2974" s="54">
        <v>0</v>
      </c>
      <c r="S2974" s="54">
        <v>0</v>
      </c>
      <c r="T2974" s="54">
        <v>0</v>
      </c>
      <c r="U2974" s="54">
        <v>2000</v>
      </c>
      <c r="V2974" s="54">
        <v>2000</v>
      </c>
      <c r="W2974" s="54">
        <v>2000</v>
      </c>
    </row>
    <row r="2975" spans="1:23" outlineLevel="2" x14ac:dyDescent="0.2">
      <c r="A2975" s="21" t="s">
        <v>1882</v>
      </c>
      <c r="B2975" s="21" t="s">
        <v>31</v>
      </c>
      <c r="C2975" s="21" t="s">
        <v>49</v>
      </c>
      <c r="D2975" s="21" t="s">
        <v>50</v>
      </c>
      <c r="E2975" s="21" t="s">
        <v>51</v>
      </c>
      <c r="F2975" s="21" t="s">
        <v>893</v>
      </c>
      <c r="G2975" s="21" t="s">
        <v>894</v>
      </c>
      <c r="H2975" s="21" t="s">
        <v>902</v>
      </c>
      <c r="I2975" s="21" t="s">
        <v>903</v>
      </c>
      <c r="J2975" s="21" t="s">
        <v>1883</v>
      </c>
      <c r="K2975" s="21" t="s">
        <v>1884</v>
      </c>
      <c r="L2975" s="21" t="s">
        <v>1912</v>
      </c>
      <c r="M2975" s="21" t="s">
        <v>12</v>
      </c>
      <c r="N2975" s="54">
        <v>118500</v>
      </c>
      <c r="O2975" s="54">
        <v>0</v>
      </c>
      <c r="P2975" s="54">
        <v>0</v>
      </c>
      <c r="Q2975" s="54">
        <v>118500</v>
      </c>
      <c r="R2975" s="54">
        <v>0</v>
      </c>
      <c r="S2975" s="54">
        <v>0</v>
      </c>
      <c r="T2975" s="54">
        <v>0</v>
      </c>
      <c r="U2975" s="54">
        <v>118500</v>
      </c>
      <c r="V2975" s="54">
        <v>118500</v>
      </c>
      <c r="W2975" s="54">
        <v>118500</v>
      </c>
    </row>
    <row r="2976" spans="1:23" outlineLevel="2" x14ac:dyDescent="0.2">
      <c r="A2976" s="21" t="s">
        <v>1882</v>
      </c>
      <c r="B2976" s="21" t="s">
        <v>31</v>
      </c>
      <c r="C2976" s="21" t="s">
        <v>49</v>
      </c>
      <c r="D2976" s="21" t="s">
        <v>50</v>
      </c>
      <c r="E2976" s="21" t="s">
        <v>51</v>
      </c>
      <c r="F2976" s="21" t="s">
        <v>893</v>
      </c>
      <c r="G2976" s="21" t="s">
        <v>894</v>
      </c>
      <c r="H2976" s="21" t="s">
        <v>1346</v>
      </c>
      <c r="I2976" s="21" t="s">
        <v>1347</v>
      </c>
      <c r="J2976" s="21" t="s">
        <v>1883</v>
      </c>
      <c r="K2976" s="21" t="s">
        <v>1891</v>
      </c>
      <c r="L2976" s="21" t="s">
        <v>1911</v>
      </c>
      <c r="M2976" s="21" t="s">
        <v>12</v>
      </c>
      <c r="N2976" s="54">
        <v>15000</v>
      </c>
      <c r="O2976" s="54">
        <v>0</v>
      </c>
      <c r="P2976" s="54">
        <v>0</v>
      </c>
      <c r="Q2976" s="54">
        <v>15000</v>
      </c>
      <c r="R2976" s="54">
        <v>0</v>
      </c>
      <c r="S2976" s="54">
        <v>0</v>
      </c>
      <c r="T2976" s="54">
        <v>0</v>
      </c>
      <c r="U2976" s="54">
        <v>15000</v>
      </c>
      <c r="V2976" s="54">
        <v>15000</v>
      </c>
      <c r="W2976" s="54">
        <v>15000</v>
      </c>
    </row>
    <row r="2977" spans="1:23" outlineLevel="2" x14ac:dyDescent="0.2">
      <c r="A2977" s="21" t="s">
        <v>1882</v>
      </c>
      <c r="B2977" s="21" t="s">
        <v>31</v>
      </c>
      <c r="C2977" s="21" t="s">
        <v>49</v>
      </c>
      <c r="D2977" s="21" t="s">
        <v>50</v>
      </c>
      <c r="E2977" s="21" t="s">
        <v>51</v>
      </c>
      <c r="F2977" s="21" t="s">
        <v>893</v>
      </c>
      <c r="G2977" s="21" t="s">
        <v>894</v>
      </c>
      <c r="H2977" s="21" t="s">
        <v>1346</v>
      </c>
      <c r="I2977" s="21" t="s">
        <v>1347</v>
      </c>
      <c r="J2977" s="21" t="s">
        <v>1883</v>
      </c>
      <c r="K2977" s="21" t="s">
        <v>1884</v>
      </c>
      <c r="L2977" s="21" t="s">
        <v>1912</v>
      </c>
      <c r="M2977" s="21" t="s">
        <v>12</v>
      </c>
      <c r="N2977" s="54">
        <v>25000.12</v>
      </c>
      <c r="O2977" s="54">
        <v>-25000.12</v>
      </c>
      <c r="P2977" s="54">
        <v>0</v>
      </c>
      <c r="Q2977" s="54">
        <v>0</v>
      </c>
      <c r="R2977" s="54">
        <v>0</v>
      </c>
      <c r="S2977" s="54">
        <v>0</v>
      </c>
      <c r="T2977" s="54">
        <v>0</v>
      </c>
      <c r="U2977" s="54">
        <v>0</v>
      </c>
      <c r="V2977" s="54">
        <v>0</v>
      </c>
      <c r="W2977" s="54">
        <v>0</v>
      </c>
    </row>
    <row r="2978" spans="1:23" outlineLevel="2" x14ac:dyDescent="0.2">
      <c r="A2978" s="21" t="s">
        <v>1882</v>
      </c>
      <c r="B2978" s="21" t="s">
        <v>31</v>
      </c>
      <c r="C2978" s="21" t="s">
        <v>49</v>
      </c>
      <c r="D2978" s="21" t="s">
        <v>50</v>
      </c>
      <c r="E2978" s="21" t="s">
        <v>51</v>
      </c>
      <c r="F2978" s="21" t="s">
        <v>893</v>
      </c>
      <c r="G2978" s="21" t="s">
        <v>894</v>
      </c>
      <c r="H2978" s="21" t="s">
        <v>1346</v>
      </c>
      <c r="I2978" s="21" t="s">
        <v>1347</v>
      </c>
      <c r="J2978" s="21" t="s">
        <v>1883</v>
      </c>
      <c r="K2978" s="21" t="s">
        <v>1886</v>
      </c>
      <c r="L2978" s="21" t="s">
        <v>1913</v>
      </c>
      <c r="M2978" s="21" t="s">
        <v>12</v>
      </c>
      <c r="N2978" s="54">
        <v>20000</v>
      </c>
      <c r="O2978" s="54">
        <v>0</v>
      </c>
      <c r="P2978" s="54">
        <v>0</v>
      </c>
      <c r="Q2978" s="54">
        <v>20000</v>
      </c>
      <c r="R2978" s="54">
        <v>0</v>
      </c>
      <c r="S2978" s="54">
        <v>0</v>
      </c>
      <c r="T2978" s="54">
        <v>0</v>
      </c>
      <c r="U2978" s="54">
        <v>20000</v>
      </c>
      <c r="V2978" s="54">
        <v>20000</v>
      </c>
      <c r="W2978" s="54">
        <v>20000</v>
      </c>
    </row>
    <row r="2979" spans="1:23" outlineLevel="2" x14ac:dyDescent="0.2">
      <c r="A2979" s="21" t="s">
        <v>1882</v>
      </c>
      <c r="B2979" s="21" t="s">
        <v>39</v>
      </c>
      <c r="C2979" s="21" t="s">
        <v>40</v>
      </c>
      <c r="D2979" s="21" t="s">
        <v>77</v>
      </c>
      <c r="E2979" s="21" t="s">
        <v>78</v>
      </c>
      <c r="F2979" s="21" t="s">
        <v>1354</v>
      </c>
      <c r="G2979" s="21" t="s">
        <v>1355</v>
      </c>
      <c r="H2979" s="21" t="s">
        <v>1356</v>
      </c>
      <c r="I2979" s="21" t="s">
        <v>1357</v>
      </c>
      <c r="J2979" s="21" t="s">
        <v>1883</v>
      </c>
      <c r="K2979" s="21" t="s">
        <v>1884</v>
      </c>
      <c r="L2979" s="21" t="s">
        <v>1916</v>
      </c>
      <c r="M2979" s="21" t="s">
        <v>12</v>
      </c>
      <c r="N2979" s="54">
        <v>205595.2</v>
      </c>
      <c r="O2979" s="54">
        <v>0</v>
      </c>
      <c r="P2979" s="54">
        <v>0</v>
      </c>
      <c r="Q2979" s="54">
        <v>205595.2</v>
      </c>
      <c r="R2979" s="54">
        <v>22260.84</v>
      </c>
      <c r="S2979" s="54">
        <v>76160</v>
      </c>
      <c r="T2979" s="54">
        <v>0</v>
      </c>
      <c r="U2979" s="54">
        <v>129435.2</v>
      </c>
      <c r="V2979" s="54">
        <v>205595.2</v>
      </c>
      <c r="W2979" s="54">
        <v>107174.36</v>
      </c>
    </row>
    <row r="2980" spans="1:23" outlineLevel="2" x14ac:dyDescent="0.2">
      <c r="A2980" s="21" t="s">
        <v>1882</v>
      </c>
      <c r="B2980" s="21" t="s">
        <v>39</v>
      </c>
      <c r="C2980" s="21" t="s">
        <v>40</v>
      </c>
      <c r="D2980" s="21" t="s">
        <v>77</v>
      </c>
      <c r="E2980" s="21" t="s">
        <v>78</v>
      </c>
      <c r="F2980" s="21" t="s">
        <v>1354</v>
      </c>
      <c r="G2980" s="21" t="s">
        <v>1355</v>
      </c>
      <c r="H2980" s="21" t="s">
        <v>1356</v>
      </c>
      <c r="I2980" s="21" t="s">
        <v>1357</v>
      </c>
      <c r="J2980" s="21" t="s">
        <v>1883</v>
      </c>
      <c r="K2980" s="21" t="s">
        <v>1886</v>
      </c>
      <c r="L2980" s="21" t="s">
        <v>1917</v>
      </c>
      <c r="M2980" s="21" t="s">
        <v>12</v>
      </c>
      <c r="N2980" s="54">
        <v>54500</v>
      </c>
      <c r="O2980" s="54">
        <v>0</v>
      </c>
      <c r="P2980" s="54">
        <v>0</v>
      </c>
      <c r="Q2980" s="54">
        <v>54500</v>
      </c>
      <c r="R2980" s="54">
        <v>0</v>
      </c>
      <c r="S2980" s="54">
        <v>0</v>
      </c>
      <c r="T2980" s="54">
        <v>0</v>
      </c>
      <c r="U2980" s="54">
        <v>54500</v>
      </c>
      <c r="V2980" s="54">
        <v>54500</v>
      </c>
      <c r="W2980" s="54">
        <v>54500</v>
      </c>
    </row>
    <row r="2981" spans="1:23" outlineLevel="2" x14ac:dyDescent="0.2">
      <c r="A2981" s="21" t="s">
        <v>1882</v>
      </c>
      <c r="B2981" s="21" t="s">
        <v>39</v>
      </c>
      <c r="C2981" s="21" t="s">
        <v>40</v>
      </c>
      <c r="D2981" s="21" t="s">
        <v>77</v>
      </c>
      <c r="E2981" s="21" t="s">
        <v>78</v>
      </c>
      <c r="F2981" s="21" t="s">
        <v>1354</v>
      </c>
      <c r="G2981" s="21" t="s">
        <v>1355</v>
      </c>
      <c r="H2981" s="21" t="s">
        <v>1362</v>
      </c>
      <c r="I2981" s="21" t="s">
        <v>1363</v>
      </c>
      <c r="J2981" s="21" t="s">
        <v>1883</v>
      </c>
      <c r="K2981" s="21" t="s">
        <v>1884</v>
      </c>
      <c r="L2981" s="21" t="s">
        <v>1916</v>
      </c>
      <c r="M2981" s="21" t="s">
        <v>12</v>
      </c>
      <c r="N2981" s="54">
        <v>5000</v>
      </c>
      <c r="O2981" s="54">
        <v>0</v>
      </c>
      <c r="P2981" s="54">
        <v>0</v>
      </c>
      <c r="Q2981" s="54">
        <v>5000</v>
      </c>
      <c r="R2981" s="54">
        <v>0</v>
      </c>
      <c r="S2981" s="54">
        <v>0</v>
      </c>
      <c r="T2981" s="54">
        <v>0</v>
      </c>
      <c r="U2981" s="54">
        <v>5000</v>
      </c>
      <c r="V2981" s="54">
        <v>5000</v>
      </c>
      <c r="W2981" s="54">
        <v>5000</v>
      </c>
    </row>
    <row r="2982" spans="1:23" outlineLevel="2" x14ac:dyDescent="0.2">
      <c r="A2982" s="21" t="s">
        <v>1882</v>
      </c>
      <c r="B2982" s="21" t="s">
        <v>39</v>
      </c>
      <c r="C2982" s="21" t="s">
        <v>40</v>
      </c>
      <c r="D2982" s="21" t="s">
        <v>77</v>
      </c>
      <c r="E2982" s="21" t="s">
        <v>78</v>
      </c>
      <c r="F2982" s="21" t="s">
        <v>1354</v>
      </c>
      <c r="G2982" s="21" t="s">
        <v>1355</v>
      </c>
      <c r="H2982" s="21" t="s">
        <v>1362</v>
      </c>
      <c r="I2982" s="21" t="s">
        <v>1363</v>
      </c>
      <c r="J2982" s="21" t="s">
        <v>1883</v>
      </c>
      <c r="K2982" s="21" t="s">
        <v>1886</v>
      </c>
      <c r="L2982" s="21" t="s">
        <v>1917</v>
      </c>
      <c r="M2982" s="21" t="s">
        <v>12</v>
      </c>
      <c r="N2982" s="54">
        <v>8800</v>
      </c>
      <c r="O2982" s="54">
        <v>0</v>
      </c>
      <c r="P2982" s="54">
        <v>0</v>
      </c>
      <c r="Q2982" s="54">
        <v>8800</v>
      </c>
      <c r="R2982" s="54">
        <v>0</v>
      </c>
      <c r="S2982" s="54">
        <v>0</v>
      </c>
      <c r="T2982" s="54">
        <v>0</v>
      </c>
      <c r="U2982" s="54">
        <v>8800</v>
      </c>
      <c r="V2982" s="54">
        <v>8800</v>
      </c>
      <c r="W2982" s="54">
        <v>8800</v>
      </c>
    </row>
    <row r="2983" spans="1:23" outlineLevel="2" x14ac:dyDescent="0.2">
      <c r="A2983" s="21" t="s">
        <v>1882</v>
      </c>
      <c r="B2983" s="21" t="s">
        <v>39</v>
      </c>
      <c r="C2983" s="21" t="s">
        <v>40</v>
      </c>
      <c r="D2983" s="21" t="s">
        <v>77</v>
      </c>
      <c r="E2983" s="21" t="s">
        <v>78</v>
      </c>
      <c r="F2983" s="21" t="s">
        <v>1354</v>
      </c>
      <c r="G2983" s="21" t="s">
        <v>1355</v>
      </c>
      <c r="H2983" s="21" t="s">
        <v>1369</v>
      </c>
      <c r="I2983" s="21" t="s">
        <v>1370</v>
      </c>
      <c r="J2983" s="21" t="s">
        <v>1883</v>
      </c>
      <c r="K2983" s="21" t="s">
        <v>1891</v>
      </c>
      <c r="L2983" s="21" t="s">
        <v>1918</v>
      </c>
      <c r="M2983" s="21" t="s">
        <v>12</v>
      </c>
      <c r="N2983" s="54">
        <v>0</v>
      </c>
      <c r="O2983" s="54">
        <v>640</v>
      </c>
      <c r="P2983" s="54">
        <v>0</v>
      </c>
      <c r="Q2983" s="54">
        <v>640</v>
      </c>
      <c r="R2983" s="54">
        <v>0</v>
      </c>
      <c r="S2983" s="54">
        <v>0</v>
      </c>
      <c r="T2983" s="54">
        <v>0</v>
      </c>
      <c r="U2983" s="54">
        <v>640</v>
      </c>
      <c r="V2983" s="54">
        <v>640</v>
      </c>
      <c r="W2983" s="54">
        <v>640</v>
      </c>
    </row>
    <row r="2984" spans="1:23" outlineLevel="2" x14ac:dyDescent="0.2">
      <c r="A2984" s="21" t="s">
        <v>1882</v>
      </c>
      <c r="B2984" s="21" t="s">
        <v>39</v>
      </c>
      <c r="C2984" s="21" t="s">
        <v>40</v>
      </c>
      <c r="D2984" s="21" t="s">
        <v>77</v>
      </c>
      <c r="E2984" s="21" t="s">
        <v>78</v>
      </c>
      <c r="F2984" s="21" t="s">
        <v>1354</v>
      </c>
      <c r="G2984" s="21" t="s">
        <v>1355</v>
      </c>
      <c r="H2984" s="21" t="s">
        <v>1369</v>
      </c>
      <c r="I2984" s="21" t="s">
        <v>1370</v>
      </c>
      <c r="J2984" s="21" t="s">
        <v>1883</v>
      </c>
      <c r="K2984" s="21" t="s">
        <v>1884</v>
      </c>
      <c r="L2984" s="21" t="s">
        <v>1916</v>
      </c>
      <c r="M2984" s="21" t="s">
        <v>12</v>
      </c>
      <c r="N2984" s="54">
        <v>3052296.2</v>
      </c>
      <c r="O2984" s="54">
        <v>-48357.919999999998</v>
      </c>
      <c r="P2984" s="54">
        <v>0</v>
      </c>
      <c r="Q2984" s="54">
        <v>3003938.28</v>
      </c>
      <c r="R2984" s="54">
        <v>76.8</v>
      </c>
      <c r="S2984" s="54">
        <v>3483.2</v>
      </c>
      <c r="T2984" s="54">
        <v>3483.2</v>
      </c>
      <c r="U2984" s="54">
        <v>3000455.08</v>
      </c>
      <c r="V2984" s="54">
        <v>3000455.08</v>
      </c>
      <c r="W2984" s="54">
        <v>3000378.28</v>
      </c>
    </row>
    <row r="2985" spans="1:23" outlineLevel="2" x14ac:dyDescent="0.2">
      <c r="A2985" s="21" t="s">
        <v>1882</v>
      </c>
      <c r="B2985" s="21" t="s">
        <v>39</v>
      </c>
      <c r="C2985" s="21" t="s">
        <v>40</v>
      </c>
      <c r="D2985" s="21" t="s">
        <v>77</v>
      </c>
      <c r="E2985" s="21" t="s">
        <v>78</v>
      </c>
      <c r="F2985" s="21" t="s">
        <v>1354</v>
      </c>
      <c r="G2985" s="21" t="s">
        <v>1355</v>
      </c>
      <c r="H2985" s="21" t="s">
        <v>1369</v>
      </c>
      <c r="I2985" s="21" t="s">
        <v>1370</v>
      </c>
      <c r="J2985" s="21" t="s">
        <v>1883</v>
      </c>
      <c r="K2985" s="21" t="s">
        <v>1893</v>
      </c>
      <c r="L2985" s="21" t="s">
        <v>1919</v>
      </c>
      <c r="M2985" s="21" t="s">
        <v>12</v>
      </c>
      <c r="N2985" s="54">
        <v>0</v>
      </c>
      <c r="O2985" s="54">
        <v>3815.2</v>
      </c>
      <c r="P2985" s="54">
        <v>0</v>
      </c>
      <c r="Q2985" s="54">
        <v>3815.2</v>
      </c>
      <c r="R2985" s="54">
        <v>0</v>
      </c>
      <c r="S2985" s="54">
        <v>0</v>
      </c>
      <c r="T2985" s="54">
        <v>0</v>
      </c>
      <c r="U2985" s="54">
        <v>3815.2</v>
      </c>
      <c r="V2985" s="54">
        <v>3815.2</v>
      </c>
      <c r="W2985" s="54">
        <v>3815.2</v>
      </c>
    </row>
    <row r="2986" spans="1:23" outlineLevel="2" x14ac:dyDescent="0.2">
      <c r="A2986" s="21" t="s">
        <v>1882</v>
      </c>
      <c r="B2986" s="21" t="s">
        <v>39</v>
      </c>
      <c r="C2986" s="21" t="s">
        <v>40</v>
      </c>
      <c r="D2986" s="21" t="s">
        <v>77</v>
      </c>
      <c r="E2986" s="21" t="s">
        <v>78</v>
      </c>
      <c r="F2986" s="21" t="s">
        <v>1354</v>
      </c>
      <c r="G2986" s="21" t="s">
        <v>1355</v>
      </c>
      <c r="H2986" s="21" t="s">
        <v>1369</v>
      </c>
      <c r="I2986" s="21" t="s">
        <v>1370</v>
      </c>
      <c r="J2986" s="21" t="s">
        <v>1883</v>
      </c>
      <c r="K2986" s="21" t="s">
        <v>1886</v>
      </c>
      <c r="L2986" s="21" t="s">
        <v>1917</v>
      </c>
      <c r="M2986" s="21" t="s">
        <v>12</v>
      </c>
      <c r="N2986" s="54">
        <v>296800</v>
      </c>
      <c r="O2986" s="54">
        <v>0</v>
      </c>
      <c r="P2986" s="54">
        <v>0</v>
      </c>
      <c r="Q2986" s="54">
        <v>296800</v>
      </c>
      <c r="R2986" s="54">
        <v>0</v>
      </c>
      <c r="S2986" s="54">
        <v>0</v>
      </c>
      <c r="T2986" s="54">
        <v>0</v>
      </c>
      <c r="U2986" s="54">
        <v>296800</v>
      </c>
      <c r="V2986" s="54">
        <v>296800</v>
      </c>
      <c r="W2986" s="54">
        <v>296800</v>
      </c>
    </row>
    <row r="2987" spans="1:23" outlineLevel="2" x14ac:dyDescent="0.2">
      <c r="A2987" s="21" t="s">
        <v>1882</v>
      </c>
      <c r="B2987" s="21" t="s">
        <v>39</v>
      </c>
      <c r="C2987" s="21" t="s">
        <v>40</v>
      </c>
      <c r="D2987" s="21" t="s">
        <v>77</v>
      </c>
      <c r="E2987" s="21" t="s">
        <v>78</v>
      </c>
      <c r="F2987" s="21" t="s">
        <v>1354</v>
      </c>
      <c r="G2987" s="21" t="s">
        <v>1355</v>
      </c>
      <c r="H2987" s="21" t="s">
        <v>1369</v>
      </c>
      <c r="I2987" s="21" t="s">
        <v>1370</v>
      </c>
      <c r="J2987" s="21" t="s">
        <v>1883</v>
      </c>
      <c r="K2987" s="21" t="s">
        <v>1920</v>
      </c>
      <c r="L2987" s="21" t="s">
        <v>1921</v>
      </c>
      <c r="M2987" s="21" t="s">
        <v>12</v>
      </c>
      <c r="N2987" s="54">
        <v>0</v>
      </c>
      <c r="O2987" s="54">
        <v>200000</v>
      </c>
      <c r="P2987" s="54">
        <v>0</v>
      </c>
      <c r="Q2987" s="54">
        <v>200000</v>
      </c>
      <c r="R2987" s="54">
        <v>0</v>
      </c>
      <c r="S2987" s="54">
        <v>0</v>
      </c>
      <c r="T2987" s="54">
        <v>0</v>
      </c>
      <c r="U2987" s="54">
        <v>200000</v>
      </c>
      <c r="V2987" s="54">
        <v>200000</v>
      </c>
      <c r="W2987" s="54">
        <v>200000</v>
      </c>
    </row>
    <row r="2988" spans="1:23" outlineLevel="2" x14ac:dyDescent="0.2">
      <c r="A2988" s="21" t="s">
        <v>1882</v>
      </c>
      <c r="B2988" s="21" t="s">
        <v>39</v>
      </c>
      <c r="C2988" s="21" t="s">
        <v>40</v>
      </c>
      <c r="D2988" s="21" t="s">
        <v>77</v>
      </c>
      <c r="E2988" s="21" t="s">
        <v>78</v>
      </c>
      <c r="F2988" s="21" t="s">
        <v>1354</v>
      </c>
      <c r="G2988" s="21" t="s">
        <v>1355</v>
      </c>
      <c r="H2988" s="21" t="s">
        <v>1399</v>
      </c>
      <c r="I2988" s="21" t="s">
        <v>1400</v>
      </c>
      <c r="J2988" s="21" t="s">
        <v>1883</v>
      </c>
      <c r="K2988" s="21" t="s">
        <v>1891</v>
      </c>
      <c r="L2988" s="21" t="s">
        <v>1918</v>
      </c>
      <c r="M2988" s="21" t="s">
        <v>12</v>
      </c>
      <c r="N2988" s="54">
        <v>174739.6</v>
      </c>
      <c r="O2988" s="54">
        <v>0</v>
      </c>
      <c r="P2988" s="54">
        <v>0</v>
      </c>
      <c r="Q2988" s="54">
        <v>174739.6</v>
      </c>
      <c r="R2988" s="54">
        <v>0</v>
      </c>
      <c r="S2988" s="54">
        <v>0</v>
      </c>
      <c r="T2988" s="54">
        <v>0</v>
      </c>
      <c r="U2988" s="54">
        <v>174739.6</v>
      </c>
      <c r="V2988" s="54">
        <v>174739.6</v>
      </c>
      <c r="W2988" s="54">
        <v>174739.6</v>
      </c>
    </row>
    <row r="2989" spans="1:23" outlineLevel="2" x14ac:dyDescent="0.2">
      <c r="A2989" s="21" t="s">
        <v>1882</v>
      </c>
      <c r="B2989" s="21" t="s">
        <v>39</v>
      </c>
      <c r="C2989" s="21" t="s">
        <v>40</v>
      </c>
      <c r="D2989" s="21" t="s">
        <v>77</v>
      </c>
      <c r="E2989" s="21" t="s">
        <v>78</v>
      </c>
      <c r="F2989" s="21" t="s">
        <v>1354</v>
      </c>
      <c r="G2989" s="21" t="s">
        <v>1355</v>
      </c>
      <c r="H2989" s="21" t="s">
        <v>1399</v>
      </c>
      <c r="I2989" s="21" t="s">
        <v>1400</v>
      </c>
      <c r="J2989" s="21" t="s">
        <v>1883</v>
      </c>
      <c r="K2989" s="21" t="s">
        <v>1884</v>
      </c>
      <c r="L2989" s="21" t="s">
        <v>1916</v>
      </c>
      <c r="M2989" s="21" t="s">
        <v>12</v>
      </c>
      <c r="N2989" s="54">
        <v>78400</v>
      </c>
      <c r="O2989" s="54">
        <v>0</v>
      </c>
      <c r="P2989" s="54">
        <v>0</v>
      </c>
      <c r="Q2989" s="54">
        <v>78400</v>
      </c>
      <c r="R2989" s="54">
        <v>0</v>
      </c>
      <c r="S2989" s="54">
        <v>0</v>
      </c>
      <c r="T2989" s="54">
        <v>0</v>
      </c>
      <c r="U2989" s="54">
        <v>78400</v>
      </c>
      <c r="V2989" s="54">
        <v>78400</v>
      </c>
      <c r="W2989" s="54">
        <v>78400</v>
      </c>
    </row>
    <row r="2990" spans="1:23" outlineLevel="2" x14ac:dyDescent="0.2">
      <c r="A2990" s="21" t="s">
        <v>1882</v>
      </c>
      <c r="B2990" s="21" t="s">
        <v>39</v>
      </c>
      <c r="C2990" s="21" t="s">
        <v>40</v>
      </c>
      <c r="D2990" s="21" t="s">
        <v>77</v>
      </c>
      <c r="E2990" s="21" t="s">
        <v>78</v>
      </c>
      <c r="F2990" s="21" t="s">
        <v>1354</v>
      </c>
      <c r="G2990" s="21" t="s">
        <v>1355</v>
      </c>
      <c r="H2990" s="21" t="s">
        <v>1399</v>
      </c>
      <c r="I2990" s="21" t="s">
        <v>1400</v>
      </c>
      <c r="J2990" s="21" t="s">
        <v>1883</v>
      </c>
      <c r="K2990" s="21" t="s">
        <v>1886</v>
      </c>
      <c r="L2990" s="21" t="s">
        <v>1917</v>
      </c>
      <c r="M2990" s="21" t="s">
        <v>12</v>
      </c>
      <c r="N2990" s="54">
        <v>1636921.02</v>
      </c>
      <c r="O2990" s="54">
        <v>0</v>
      </c>
      <c r="P2990" s="54">
        <v>0</v>
      </c>
      <c r="Q2990" s="54">
        <v>1636921.02</v>
      </c>
      <c r="R2990" s="54">
        <v>0</v>
      </c>
      <c r="S2990" s="54">
        <v>467510.4</v>
      </c>
      <c r="T2990" s="54">
        <v>285488</v>
      </c>
      <c r="U2990" s="54">
        <v>1169410.6200000001</v>
      </c>
      <c r="V2990" s="54">
        <v>1351433.02</v>
      </c>
      <c r="W2990" s="54">
        <v>1169410.6200000001</v>
      </c>
    </row>
    <row r="2991" spans="1:23" outlineLevel="2" x14ac:dyDescent="0.2">
      <c r="A2991" s="21" t="s">
        <v>1882</v>
      </c>
      <c r="B2991" s="21" t="s">
        <v>39</v>
      </c>
      <c r="C2991" s="21" t="s">
        <v>40</v>
      </c>
      <c r="D2991" s="21" t="s">
        <v>41</v>
      </c>
      <c r="E2991" s="21" t="s">
        <v>42</v>
      </c>
      <c r="F2991" s="21" t="s">
        <v>1403</v>
      </c>
      <c r="G2991" s="21" t="s">
        <v>1404</v>
      </c>
      <c r="H2991" s="21" t="s">
        <v>1405</v>
      </c>
      <c r="I2991" s="21" t="s">
        <v>1406</v>
      </c>
      <c r="J2991" s="21" t="s">
        <v>1883</v>
      </c>
      <c r="K2991" s="21" t="s">
        <v>1884</v>
      </c>
      <c r="L2991" s="21" t="s">
        <v>1922</v>
      </c>
      <c r="M2991" s="21" t="s">
        <v>12</v>
      </c>
      <c r="N2991" s="54">
        <v>0</v>
      </c>
      <c r="O2991" s="54">
        <v>4396</v>
      </c>
      <c r="P2991" s="54">
        <v>0</v>
      </c>
      <c r="Q2991" s="54">
        <v>4396</v>
      </c>
      <c r="R2991" s="54">
        <v>0</v>
      </c>
      <c r="S2991" s="54">
        <v>0</v>
      </c>
      <c r="T2991" s="54">
        <v>0</v>
      </c>
      <c r="U2991" s="54">
        <v>4396</v>
      </c>
      <c r="V2991" s="54">
        <v>4396</v>
      </c>
      <c r="W2991" s="54">
        <v>4396</v>
      </c>
    </row>
    <row r="2992" spans="1:23" outlineLevel="2" x14ac:dyDescent="0.2">
      <c r="A2992" s="21" t="s">
        <v>1882</v>
      </c>
      <c r="B2992" s="21" t="s">
        <v>39</v>
      </c>
      <c r="C2992" s="21" t="s">
        <v>40</v>
      </c>
      <c r="D2992" s="21" t="s">
        <v>41</v>
      </c>
      <c r="E2992" s="21" t="s">
        <v>42</v>
      </c>
      <c r="F2992" s="21" t="s">
        <v>1403</v>
      </c>
      <c r="G2992" s="21" t="s">
        <v>1404</v>
      </c>
      <c r="H2992" s="21" t="s">
        <v>1405</v>
      </c>
      <c r="I2992" s="21" t="s">
        <v>1406</v>
      </c>
      <c r="J2992" s="21" t="s">
        <v>1883</v>
      </c>
      <c r="K2992" s="21" t="s">
        <v>1886</v>
      </c>
      <c r="L2992" s="21" t="s">
        <v>1923</v>
      </c>
      <c r="M2992" s="21" t="s">
        <v>12</v>
      </c>
      <c r="N2992" s="54">
        <v>596480</v>
      </c>
      <c r="O2992" s="54">
        <v>-2288.16</v>
      </c>
      <c r="P2992" s="54">
        <v>0</v>
      </c>
      <c r="Q2992" s="54">
        <v>594191.84</v>
      </c>
      <c r="R2992" s="54">
        <v>0</v>
      </c>
      <c r="S2992" s="54">
        <v>7000</v>
      </c>
      <c r="T2992" s="54">
        <v>7000</v>
      </c>
      <c r="U2992" s="54">
        <v>587191.84</v>
      </c>
      <c r="V2992" s="54">
        <v>587191.84</v>
      </c>
      <c r="W2992" s="54">
        <v>587191.84</v>
      </c>
    </row>
    <row r="2993" spans="1:23" outlineLevel="2" x14ac:dyDescent="0.2">
      <c r="A2993" s="21" t="s">
        <v>1882</v>
      </c>
      <c r="B2993" s="21" t="s">
        <v>39</v>
      </c>
      <c r="C2993" s="21" t="s">
        <v>40</v>
      </c>
      <c r="D2993" s="21" t="s">
        <v>77</v>
      </c>
      <c r="E2993" s="21" t="s">
        <v>78</v>
      </c>
      <c r="F2993" s="21" t="s">
        <v>1403</v>
      </c>
      <c r="G2993" s="21" t="s">
        <v>1404</v>
      </c>
      <c r="H2993" s="21" t="s">
        <v>1414</v>
      </c>
      <c r="I2993" s="21" t="s">
        <v>1415</v>
      </c>
      <c r="J2993" s="21" t="s">
        <v>1883</v>
      </c>
      <c r="K2993" s="21" t="s">
        <v>1891</v>
      </c>
      <c r="L2993" s="21" t="s">
        <v>1924</v>
      </c>
      <c r="M2993" s="21" t="s">
        <v>12</v>
      </c>
      <c r="N2993" s="54">
        <v>0</v>
      </c>
      <c r="O2993" s="54">
        <v>3200</v>
      </c>
      <c r="P2993" s="54">
        <v>0</v>
      </c>
      <c r="Q2993" s="54">
        <v>3200</v>
      </c>
      <c r="R2993" s="54">
        <v>0</v>
      </c>
      <c r="S2993" s="54">
        <v>0</v>
      </c>
      <c r="T2993" s="54">
        <v>0</v>
      </c>
      <c r="U2993" s="54">
        <v>3200</v>
      </c>
      <c r="V2993" s="54">
        <v>3200</v>
      </c>
      <c r="W2993" s="54">
        <v>3200</v>
      </c>
    </row>
    <row r="2994" spans="1:23" outlineLevel="2" x14ac:dyDescent="0.2">
      <c r="A2994" s="21" t="s">
        <v>1882</v>
      </c>
      <c r="B2994" s="21" t="s">
        <v>1</v>
      </c>
      <c r="C2994" s="21" t="s">
        <v>2</v>
      </c>
      <c r="D2994" s="21" t="s">
        <v>463</v>
      </c>
      <c r="E2994" s="21" t="s">
        <v>464</v>
      </c>
      <c r="F2994" s="21" t="s">
        <v>911</v>
      </c>
      <c r="G2994" s="21" t="s">
        <v>912</v>
      </c>
      <c r="H2994" s="21" t="s">
        <v>913</v>
      </c>
      <c r="I2994" s="21" t="s">
        <v>914</v>
      </c>
      <c r="J2994" s="21" t="s">
        <v>1883</v>
      </c>
      <c r="K2994" s="21" t="s">
        <v>1884</v>
      </c>
      <c r="L2994" s="21" t="s">
        <v>1929</v>
      </c>
      <c r="M2994" s="21" t="s">
        <v>15</v>
      </c>
      <c r="N2994" s="54">
        <v>0</v>
      </c>
      <c r="O2994" s="54">
        <v>309115.96999999997</v>
      </c>
      <c r="P2994" s="54">
        <v>0</v>
      </c>
      <c r="Q2994" s="54">
        <v>309115.96999999997</v>
      </c>
      <c r="R2994" s="54">
        <v>0</v>
      </c>
      <c r="S2994" s="54">
        <v>309115.96999999997</v>
      </c>
      <c r="T2994" s="54">
        <v>0</v>
      </c>
      <c r="U2994" s="54">
        <v>0</v>
      </c>
      <c r="V2994" s="54">
        <v>309115.96999999997</v>
      </c>
      <c r="W2994" s="54">
        <v>0</v>
      </c>
    </row>
    <row r="2995" spans="1:23" outlineLevel="2" x14ac:dyDescent="0.2">
      <c r="A2995" s="21" t="s">
        <v>1882</v>
      </c>
      <c r="B2995" s="21" t="s">
        <v>1</v>
      </c>
      <c r="C2995" s="21" t="s">
        <v>2</v>
      </c>
      <c r="D2995" s="21" t="s">
        <v>3</v>
      </c>
      <c r="E2995" s="21" t="s">
        <v>4</v>
      </c>
      <c r="F2995" s="21" t="s">
        <v>911</v>
      </c>
      <c r="G2995" s="21" t="s">
        <v>912</v>
      </c>
      <c r="H2995" s="21" t="s">
        <v>1441</v>
      </c>
      <c r="I2995" s="21" t="s">
        <v>1442</v>
      </c>
      <c r="J2995" s="21" t="s">
        <v>1883</v>
      </c>
      <c r="K2995" s="21" t="s">
        <v>1891</v>
      </c>
      <c r="L2995" s="21" t="s">
        <v>1930</v>
      </c>
      <c r="M2995" s="21" t="s">
        <v>15</v>
      </c>
      <c r="N2995" s="54">
        <v>0</v>
      </c>
      <c r="O2995" s="54">
        <v>1510.77</v>
      </c>
      <c r="P2995" s="54">
        <v>0</v>
      </c>
      <c r="Q2995" s="54">
        <v>1510.77</v>
      </c>
      <c r="R2995" s="54">
        <v>1376.37</v>
      </c>
      <c r="S2995" s="54">
        <v>0</v>
      </c>
      <c r="T2995" s="54">
        <v>0</v>
      </c>
      <c r="U2995" s="54">
        <v>1510.77</v>
      </c>
      <c r="V2995" s="54">
        <v>1510.77</v>
      </c>
      <c r="W2995" s="54">
        <v>134.4</v>
      </c>
    </row>
    <row r="2996" spans="1:23" outlineLevel="2" x14ac:dyDescent="0.2">
      <c r="A2996" s="21" t="s">
        <v>1882</v>
      </c>
      <c r="B2996" s="21" t="s">
        <v>1</v>
      </c>
      <c r="C2996" s="21" t="s">
        <v>2</v>
      </c>
      <c r="D2996" s="21" t="s">
        <v>3</v>
      </c>
      <c r="E2996" s="21" t="s">
        <v>4</v>
      </c>
      <c r="F2996" s="21" t="s">
        <v>911</v>
      </c>
      <c r="G2996" s="21" t="s">
        <v>912</v>
      </c>
      <c r="H2996" s="21" t="s">
        <v>1441</v>
      </c>
      <c r="I2996" s="21" t="s">
        <v>1442</v>
      </c>
      <c r="J2996" s="21" t="s">
        <v>1883</v>
      </c>
      <c r="K2996" s="21" t="s">
        <v>1884</v>
      </c>
      <c r="L2996" s="21" t="s">
        <v>1929</v>
      </c>
      <c r="M2996" s="21" t="s">
        <v>15</v>
      </c>
      <c r="N2996" s="54">
        <v>10000</v>
      </c>
      <c r="O2996" s="54">
        <v>-10000</v>
      </c>
      <c r="P2996" s="54">
        <v>0</v>
      </c>
      <c r="Q2996" s="54">
        <v>0</v>
      </c>
      <c r="R2996" s="54">
        <v>0</v>
      </c>
      <c r="S2996" s="54">
        <v>0</v>
      </c>
      <c r="T2996" s="54">
        <v>0</v>
      </c>
      <c r="U2996" s="54">
        <v>0</v>
      </c>
      <c r="V2996" s="54">
        <v>0</v>
      </c>
      <c r="W2996" s="54">
        <v>0</v>
      </c>
    </row>
    <row r="2997" spans="1:23" outlineLevel="2" x14ac:dyDescent="0.2">
      <c r="A2997" s="21" t="s">
        <v>1882</v>
      </c>
      <c r="B2997" s="21" t="s">
        <v>1</v>
      </c>
      <c r="C2997" s="21" t="s">
        <v>2</v>
      </c>
      <c r="D2997" s="21" t="s">
        <v>3</v>
      </c>
      <c r="E2997" s="21" t="s">
        <v>4</v>
      </c>
      <c r="F2997" s="21" t="s">
        <v>911</v>
      </c>
      <c r="G2997" s="21" t="s">
        <v>912</v>
      </c>
      <c r="H2997" s="21" t="s">
        <v>1441</v>
      </c>
      <c r="I2997" s="21" t="s">
        <v>1442</v>
      </c>
      <c r="J2997" s="21" t="s">
        <v>1883</v>
      </c>
      <c r="K2997" s="21" t="s">
        <v>1886</v>
      </c>
      <c r="L2997" s="21" t="s">
        <v>1931</v>
      </c>
      <c r="M2997" s="21" t="s">
        <v>15</v>
      </c>
      <c r="N2997" s="54">
        <v>757633.67</v>
      </c>
      <c r="O2997" s="54">
        <v>2329.6</v>
      </c>
      <c r="P2997" s="54">
        <v>0</v>
      </c>
      <c r="Q2997" s="54">
        <v>759963.27</v>
      </c>
      <c r="R2997" s="54">
        <v>0</v>
      </c>
      <c r="S2997" s="54">
        <v>6378.6</v>
      </c>
      <c r="T2997" s="54">
        <v>6378.6</v>
      </c>
      <c r="U2997" s="54">
        <v>753584.67</v>
      </c>
      <c r="V2997" s="54">
        <v>753584.67</v>
      </c>
      <c r="W2997" s="54">
        <v>753584.67</v>
      </c>
    </row>
    <row r="2998" spans="1:23" outlineLevel="2" x14ac:dyDescent="0.2">
      <c r="A2998" s="21" t="s">
        <v>1882</v>
      </c>
      <c r="B2998" s="21" t="s">
        <v>1</v>
      </c>
      <c r="C2998" s="21" t="s">
        <v>2</v>
      </c>
      <c r="D2998" s="21" t="s">
        <v>3</v>
      </c>
      <c r="E2998" s="21" t="s">
        <v>4</v>
      </c>
      <c r="F2998" s="21" t="s">
        <v>911</v>
      </c>
      <c r="G2998" s="21" t="s">
        <v>912</v>
      </c>
      <c r="H2998" s="21" t="s">
        <v>1441</v>
      </c>
      <c r="I2998" s="21" t="s">
        <v>1442</v>
      </c>
      <c r="J2998" s="21" t="s">
        <v>1883</v>
      </c>
      <c r="K2998" s="21" t="s">
        <v>1932</v>
      </c>
      <c r="L2998" s="21" t="s">
        <v>1933</v>
      </c>
      <c r="M2998" s="21" t="s">
        <v>15</v>
      </c>
      <c r="N2998" s="54">
        <v>0</v>
      </c>
      <c r="O2998" s="54">
        <v>87344.78</v>
      </c>
      <c r="P2998" s="54">
        <v>0</v>
      </c>
      <c r="Q2998" s="54">
        <v>87344.78</v>
      </c>
      <c r="R2998" s="54">
        <v>0</v>
      </c>
      <c r="S2998" s="54">
        <v>0</v>
      </c>
      <c r="T2998" s="54">
        <v>0</v>
      </c>
      <c r="U2998" s="54">
        <v>87344.78</v>
      </c>
      <c r="V2998" s="54">
        <v>87344.78</v>
      </c>
      <c r="W2998" s="54">
        <v>87344.78</v>
      </c>
    </row>
    <row r="2999" spans="1:23" outlineLevel="2" x14ac:dyDescent="0.2">
      <c r="A2999" s="21" t="s">
        <v>1882</v>
      </c>
      <c r="B2999" s="21" t="s">
        <v>1</v>
      </c>
      <c r="C2999" s="21" t="s">
        <v>91</v>
      </c>
      <c r="D2999" s="21" t="s">
        <v>92</v>
      </c>
      <c r="E2999" s="21" t="s">
        <v>93</v>
      </c>
      <c r="F2999" s="21" t="s">
        <v>911</v>
      </c>
      <c r="G2999" s="21" t="s">
        <v>912</v>
      </c>
      <c r="H2999" s="21" t="s">
        <v>920</v>
      </c>
      <c r="I2999" s="21" t="s">
        <v>921</v>
      </c>
      <c r="J2999" s="21" t="s">
        <v>1883</v>
      </c>
      <c r="K2999" s="21" t="s">
        <v>1891</v>
      </c>
      <c r="L2999" s="21" t="s">
        <v>1934</v>
      </c>
      <c r="M2999" s="21" t="s">
        <v>15</v>
      </c>
      <c r="N2999" s="54">
        <v>0</v>
      </c>
      <c r="O2999" s="54">
        <v>84870.24</v>
      </c>
      <c r="P2999" s="54">
        <v>0</v>
      </c>
      <c r="Q2999" s="54">
        <v>84870.24</v>
      </c>
      <c r="R2999" s="54">
        <v>0</v>
      </c>
      <c r="S2999" s="54">
        <v>0</v>
      </c>
      <c r="T2999" s="54">
        <v>0</v>
      </c>
      <c r="U2999" s="54">
        <v>84870.24</v>
      </c>
      <c r="V2999" s="54">
        <v>84870.24</v>
      </c>
      <c r="W2999" s="54">
        <v>84870.24</v>
      </c>
    </row>
    <row r="3000" spans="1:23" outlineLevel="2" x14ac:dyDescent="0.2">
      <c r="A3000" s="21" t="s">
        <v>1882</v>
      </c>
      <c r="B3000" s="21" t="s">
        <v>1</v>
      </c>
      <c r="C3000" s="21" t="s">
        <v>91</v>
      </c>
      <c r="D3000" s="21" t="s">
        <v>92</v>
      </c>
      <c r="E3000" s="21" t="s">
        <v>93</v>
      </c>
      <c r="F3000" s="21" t="s">
        <v>911</v>
      </c>
      <c r="G3000" s="21" t="s">
        <v>912</v>
      </c>
      <c r="H3000" s="21" t="s">
        <v>920</v>
      </c>
      <c r="I3000" s="21" t="s">
        <v>921</v>
      </c>
      <c r="J3000" s="21" t="s">
        <v>1883</v>
      </c>
      <c r="K3000" s="21" t="s">
        <v>1884</v>
      </c>
      <c r="L3000" s="21" t="s">
        <v>1935</v>
      </c>
      <c r="M3000" s="21" t="s">
        <v>15</v>
      </c>
      <c r="N3000" s="54">
        <v>15400</v>
      </c>
      <c r="O3000" s="54">
        <v>-8761</v>
      </c>
      <c r="P3000" s="54">
        <v>0</v>
      </c>
      <c r="Q3000" s="54">
        <v>6639</v>
      </c>
      <c r="R3000" s="54">
        <v>3</v>
      </c>
      <c r="S3000" s="54">
        <v>6636</v>
      </c>
      <c r="T3000" s="54">
        <v>6636</v>
      </c>
      <c r="U3000" s="54">
        <v>3</v>
      </c>
      <c r="V3000" s="54">
        <v>3</v>
      </c>
      <c r="W3000" s="54">
        <v>0</v>
      </c>
    </row>
    <row r="3001" spans="1:23" outlineLevel="2" x14ac:dyDescent="0.2">
      <c r="A3001" s="21" t="s">
        <v>1882</v>
      </c>
      <c r="B3001" s="21" t="s">
        <v>1</v>
      </c>
      <c r="C3001" s="21" t="s">
        <v>91</v>
      </c>
      <c r="D3001" s="21" t="s">
        <v>92</v>
      </c>
      <c r="E3001" s="21" t="s">
        <v>93</v>
      </c>
      <c r="F3001" s="21" t="s">
        <v>911</v>
      </c>
      <c r="G3001" s="21" t="s">
        <v>912</v>
      </c>
      <c r="H3001" s="21" t="s">
        <v>920</v>
      </c>
      <c r="I3001" s="21" t="s">
        <v>921</v>
      </c>
      <c r="J3001" s="21" t="s">
        <v>1883</v>
      </c>
      <c r="K3001" s="21" t="s">
        <v>1925</v>
      </c>
      <c r="L3001" s="21" t="s">
        <v>1936</v>
      </c>
      <c r="M3001" s="21" t="s">
        <v>15</v>
      </c>
      <c r="N3001" s="54">
        <v>62800</v>
      </c>
      <c r="O3001" s="54">
        <v>-62800</v>
      </c>
      <c r="P3001" s="54">
        <v>0</v>
      </c>
      <c r="Q3001" s="54">
        <v>0</v>
      </c>
      <c r="R3001" s="54">
        <v>0</v>
      </c>
      <c r="S3001" s="54">
        <v>0</v>
      </c>
      <c r="T3001" s="54">
        <v>0</v>
      </c>
      <c r="U3001" s="54">
        <v>0</v>
      </c>
      <c r="V3001" s="54">
        <v>0</v>
      </c>
      <c r="W3001" s="54">
        <v>0</v>
      </c>
    </row>
    <row r="3002" spans="1:23" outlineLevel="2" x14ac:dyDescent="0.2">
      <c r="A3002" s="21" t="s">
        <v>1882</v>
      </c>
      <c r="B3002" s="21" t="s">
        <v>1</v>
      </c>
      <c r="C3002" s="21" t="s">
        <v>91</v>
      </c>
      <c r="D3002" s="21" t="s">
        <v>92</v>
      </c>
      <c r="E3002" s="21" t="s">
        <v>93</v>
      </c>
      <c r="F3002" s="21" t="s">
        <v>911</v>
      </c>
      <c r="G3002" s="21" t="s">
        <v>912</v>
      </c>
      <c r="H3002" s="21" t="s">
        <v>920</v>
      </c>
      <c r="I3002" s="21" t="s">
        <v>921</v>
      </c>
      <c r="J3002" s="21" t="s">
        <v>1883</v>
      </c>
      <c r="K3002" s="21" t="s">
        <v>1886</v>
      </c>
      <c r="L3002" s="21" t="s">
        <v>1937</v>
      </c>
      <c r="M3002" s="21" t="s">
        <v>15</v>
      </c>
      <c r="N3002" s="54">
        <v>8980.7000000000007</v>
      </c>
      <c r="O3002" s="54">
        <v>0</v>
      </c>
      <c r="P3002" s="54">
        <v>0</v>
      </c>
      <c r="Q3002" s="54">
        <v>8980.7000000000007</v>
      </c>
      <c r="R3002" s="54">
        <v>0</v>
      </c>
      <c r="S3002" s="54">
        <v>0</v>
      </c>
      <c r="T3002" s="54">
        <v>0</v>
      </c>
      <c r="U3002" s="54">
        <v>8980.7000000000007</v>
      </c>
      <c r="V3002" s="54">
        <v>8980.7000000000007</v>
      </c>
      <c r="W3002" s="54">
        <v>8980.7000000000007</v>
      </c>
    </row>
    <row r="3003" spans="1:23" outlineLevel="2" x14ac:dyDescent="0.2">
      <c r="A3003" s="21" t="s">
        <v>1882</v>
      </c>
      <c r="B3003" s="21" t="s">
        <v>1</v>
      </c>
      <c r="C3003" s="21" t="s">
        <v>99</v>
      </c>
      <c r="D3003" s="21" t="s">
        <v>100</v>
      </c>
      <c r="E3003" s="21" t="s">
        <v>101</v>
      </c>
      <c r="F3003" s="21" t="s">
        <v>911</v>
      </c>
      <c r="G3003" s="21" t="s">
        <v>912</v>
      </c>
      <c r="H3003" s="21" t="s">
        <v>1470</v>
      </c>
      <c r="I3003" s="21" t="s">
        <v>1471</v>
      </c>
      <c r="J3003" s="21" t="s">
        <v>1883</v>
      </c>
      <c r="K3003" s="21" t="s">
        <v>1884</v>
      </c>
      <c r="L3003" s="21" t="s">
        <v>1938</v>
      </c>
      <c r="M3003" s="21" t="s">
        <v>15</v>
      </c>
      <c r="N3003" s="54">
        <v>18816</v>
      </c>
      <c r="O3003" s="54">
        <v>0</v>
      </c>
      <c r="P3003" s="54">
        <v>0</v>
      </c>
      <c r="Q3003" s="54">
        <v>18816</v>
      </c>
      <c r="R3003" s="54">
        <v>0</v>
      </c>
      <c r="S3003" s="54">
        <v>0</v>
      </c>
      <c r="T3003" s="54">
        <v>0</v>
      </c>
      <c r="U3003" s="54">
        <v>18816</v>
      </c>
      <c r="V3003" s="54">
        <v>18816</v>
      </c>
      <c r="W3003" s="54">
        <v>18816</v>
      </c>
    </row>
    <row r="3004" spans="1:23" outlineLevel="2" x14ac:dyDescent="0.2">
      <c r="A3004" s="21" t="s">
        <v>1882</v>
      </c>
      <c r="B3004" s="21" t="s">
        <v>1</v>
      </c>
      <c r="C3004" s="21" t="s">
        <v>99</v>
      </c>
      <c r="D3004" s="21" t="s">
        <v>100</v>
      </c>
      <c r="E3004" s="21" t="s">
        <v>101</v>
      </c>
      <c r="F3004" s="21" t="s">
        <v>911</v>
      </c>
      <c r="G3004" s="21" t="s">
        <v>912</v>
      </c>
      <c r="H3004" s="21" t="s">
        <v>1470</v>
      </c>
      <c r="I3004" s="21" t="s">
        <v>1471</v>
      </c>
      <c r="J3004" s="21" t="s">
        <v>1883</v>
      </c>
      <c r="K3004" s="21" t="s">
        <v>1906</v>
      </c>
      <c r="L3004" s="21" t="s">
        <v>1939</v>
      </c>
      <c r="M3004" s="21" t="s">
        <v>15</v>
      </c>
      <c r="N3004" s="54">
        <v>5040</v>
      </c>
      <c r="O3004" s="54">
        <v>-1344</v>
      </c>
      <c r="P3004" s="54">
        <v>0</v>
      </c>
      <c r="Q3004" s="54">
        <v>3696</v>
      </c>
      <c r="R3004" s="54">
        <v>0</v>
      </c>
      <c r="S3004" s="54">
        <v>2974.38</v>
      </c>
      <c r="T3004" s="54">
        <v>1545.42</v>
      </c>
      <c r="U3004" s="54">
        <v>721.62</v>
      </c>
      <c r="V3004" s="54">
        <v>2150.58</v>
      </c>
      <c r="W3004" s="54">
        <v>721.62</v>
      </c>
    </row>
    <row r="3005" spans="1:23" outlineLevel="2" x14ac:dyDescent="0.2">
      <c r="A3005" s="21" t="s">
        <v>1882</v>
      </c>
      <c r="B3005" s="21" t="s">
        <v>1</v>
      </c>
      <c r="C3005" s="21" t="s">
        <v>2</v>
      </c>
      <c r="D3005" s="21" t="s">
        <v>630</v>
      </c>
      <c r="E3005" s="21" t="s">
        <v>631</v>
      </c>
      <c r="F3005" s="21" t="s">
        <v>911</v>
      </c>
      <c r="G3005" s="21" t="s">
        <v>912</v>
      </c>
      <c r="H3005" s="21" t="s">
        <v>1509</v>
      </c>
      <c r="I3005" s="21" t="s">
        <v>1510</v>
      </c>
      <c r="J3005" s="21" t="s">
        <v>1883</v>
      </c>
      <c r="K3005" s="21" t="s">
        <v>1886</v>
      </c>
      <c r="L3005" s="21" t="s">
        <v>1931</v>
      </c>
      <c r="M3005" s="21" t="s">
        <v>15</v>
      </c>
      <c r="N3005" s="54">
        <v>20000</v>
      </c>
      <c r="O3005" s="54">
        <v>0</v>
      </c>
      <c r="P3005" s="54">
        <v>0</v>
      </c>
      <c r="Q3005" s="54">
        <v>20000</v>
      </c>
      <c r="R3005" s="54">
        <v>0</v>
      </c>
      <c r="S3005" s="54">
        <v>0</v>
      </c>
      <c r="T3005" s="54">
        <v>0</v>
      </c>
      <c r="U3005" s="54">
        <v>20000</v>
      </c>
      <c r="V3005" s="54">
        <v>20000</v>
      </c>
      <c r="W3005" s="54">
        <v>20000</v>
      </c>
    </row>
    <row r="3006" spans="1:23" outlineLevel="2" x14ac:dyDescent="0.2">
      <c r="A3006" s="21" t="s">
        <v>1882</v>
      </c>
      <c r="B3006" s="21" t="s">
        <v>1</v>
      </c>
      <c r="C3006" s="21" t="s">
        <v>2</v>
      </c>
      <c r="D3006" s="21" t="s">
        <v>13</v>
      </c>
      <c r="E3006" s="21" t="s">
        <v>14</v>
      </c>
      <c r="F3006" s="21" t="s">
        <v>911</v>
      </c>
      <c r="G3006" s="21" t="s">
        <v>912</v>
      </c>
      <c r="H3006" s="21" t="s">
        <v>1513</v>
      </c>
      <c r="I3006" s="21" t="s">
        <v>1514</v>
      </c>
      <c r="J3006" s="21" t="s">
        <v>1883</v>
      </c>
      <c r="K3006" s="21" t="s">
        <v>1891</v>
      </c>
      <c r="L3006" s="21" t="s">
        <v>1930</v>
      </c>
      <c r="M3006" s="21" t="s">
        <v>15</v>
      </c>
      <c r="N3006" s="54">
        <v>161000</v>
      </c>
      <c r="O3006" s="54">
        <v>0</v>
      </c>
      <c r="P3006" s="54">
        <v>0</v>
      </c>
      <c r="Q3006" s="54">
        <v>161000</v>
      </c>
      <c r="R3006" s="54">
        <v>0</v>
      </c>
      <c r="S3006" s="54">
        <v>0</v>
      </c>
      <c r="T3006" s="54">
        <v>0</v>
      </c>
      <c r="U3006" s="54">
        <v>161000</v>
      </c>
      <c r="V3006" s="54">
        <v>161000</v>
      </c>
      <c r="W3006" s="54">
        <v>161000</v>
      </c>
    </row>
    <row r="3007" spans="1:23" outlineLevel="2" x14ac:dyDescent="0.2">
      <c r="A3007" s="21" t="s">
        <v>1882</v>
      </c>
      <c r="B3007" s="21" t="s">
        <v>1</v>
      </c>
      <c r="C3007" s="21" t="s">
        <v>2</v>
      </c>
      <c r="D3007" s="21" t="s">
        <v>13</v>
      </c>
      <c r="E3007" s="21" t="s">
        <v>14</v>
      </c>
      <c r="F3007" s="21" t="s">
        <v>911</v>
      </c>
      <c r="G3007" s="21" t="s">
        <v>912</v>
      </c>
      <c r="H3007" s="21" t="s">
        <v>1513</v>
      </c>
      <c r="I3007" s="21" t="s">
        <v>1514</v>
      </c>
      <c r="J3007" s="21" t="s">
        <v>1883</v>
      </c>
      <c r="K3007" s="21" t="s">
        <v>1884</v>
      </c>
      <c r="L3007" s="21" t="s">
        <v>1929</v>
      </c>
      <c r="M3007" s="21" t="s">
        <v>15</v>
      </c>
      <c r="N3007" s="54">
        <v>60500</v>
      </c>
      <c r="O3007" s="54">
        <v>0</v>
      </c>
      <c r="P3007" s="54">
        <v>0</v>
      </c>
      <c r="Q3007" s="54">
        <v>60500</v>
      </c>
      <c r="R3007" s="54">
        <v>0</v>
      </c>
      <c r="S3007" s="54">
        <v>0</v>
      </c>
      <c r="T3007" s="54">
        <v>0</v>
      </c>
      <c r="U3007" s="54">
        <v>60500</v>
      </c>
      <c r="V3007" s="54">
        <v>60500</v>
      </c>
      <c r="W3007" s="54">
        <v>60500</v>
      </c>
    </row>
    <row r="3008" spans="1:23" outlineLevel="2" x14ac:dyDescent="0.2">
      <c r="A3008" s="21" t="s">
        <v>1882</v>
      </c>
      <c r="B3008" s="21" t="s">
        <v>1</v>
      </c>
      <c r="C3008" s="21" t="s">
        <v>2</v>
      </c>
      <c r="D3008" s="21" t="s">
        <v>589</v>
      </c>
      <c r="E3008" s="21" t="s">
        <v>590</v>
      </c>
      <c r="F3008" s="21" t="s">
        <v>911</v>
      </c>
      <c r="G3008" s="21" t="s">
        <v>912</v>
      </c>
      <c r="H3008" s="21" t="s">
        <v>931</v>
      </c>
      <c r="I3008" s="21" t="s">
        <v>932</v>
      </c>
      <c r="J3008" s="21" t="s">
        <v>1883</v>
      </c>
      <c r="K3008" s="21" t="s">
        <v>1927</v>
      </c>
      <c r="L3008" s="21" t="s">
        <v>1940</v>
      </c>
      <c r="M3008" s="21" t="s">
        <v>15</v>
      </c>
      <c r="N3008" s="54">
        <v>5995414.71</v>
      </c>
      <c r="O3008" s="54">
        <v>-931995.97</v>
      </c>
      <c r="P3008" s="54">
        <v>0</v>
      </c>
      <c r="Q3008" s="54">
        <v>5063418.74</v>
      </c>
      <c r="R3008" s="54">
        <v>508698</v>
      </c>
      <c r="S3008" s="54">
        <v>283271.26</v>
      </c>
      <c r="T3008" s="54">
        <v>283271.26</v>
      </c>
      <c r="U3008" s="54">
        <v>4780147.4800000004</v>
      </c>
      <c r="V3008" s="54">
        <v>4780147.4800000004</v>
      </c>
      <c r="W3008" s="54">
        <v>4271449.4800000004</v>
      </c>
    </row>
    <row r="3009" spans="1:23" outlineLevel="2" x14ac:dyDescent="0.2">
      <c r="A3009" s="21" t="s">
        <v>1882</v>
      </c>
      <c r="B3009" s="21" t="s">
        <v>1</v>
      </c>
      <c r="C3009" s="21" t="s">
        <v>2</v>
      </c>
      <c r="D3009" s="21" t="s">
        <v>505</v>
      </c>
      <c r="E3009" s="21" t="s">
        <v>506</v>
      </c>
      <c r="F3009" s="21" t="s">
        <v>911</v>
      </c>
      <c r="G3009" s="21" t="s">
        <v>912</v>
      </c>
      <c r="H3009" s="21" t="s">
        <v>1522</v>
      </c>
      <c r="I3009" s="21" t="s">
        <v>1523</v>
      </c>
      <c r="J3009" s="21" t="s">
        <v>1883</v>
      </c>
      <c r="K3009" s="21" t="s">
        <v>1891</v>
      </c>
      <c r="L3009" s="21" t="s">
        <v>1930</v>
      </c>
      <c r="M3009" s="21" t="s">
        <v>15</v>
      </c>
      <c r="N3009" s="54">
        <v>0</v>
      </c>
      <c r="O3009" s="54">
        <v>177322.17</v>
      </c>
      <c r="P3009" s="54">
        <v>0</v>
      </c>
      <c r="Q3009" s="54">
        <v>177322.17</v>
      </c>
      <c r="R3009" s="54">
        <v>0</v>
      </c>
      <c r="S3009" s="54">
        <v>0</v>
      </c>
      <c r="T3009" s="54">
        <v>0</v>
      </c>
      <c r="U3009" s="54">
        <v>177322.17</v>
      </c>
      <c r="V3009" s="54">
        <v>177322.17</v>
      </c>
      <c r="W3009" s="54">
        <v>177322.17</v>
      </c>
    </row>
    <row r="3010" spans="1:23" outlineLevel="2" x14ac:dyDescent="0.2">
      <c r="A3010" s="21" t="s">
        <v>1882</v>
      </c>
      <c r="B3010" s="21" t="s">
        <v>1</v>
      </c>
      <c r="C3010" s="21" t="s">
        <v>2</v>
      </c>
      <c r="D3010" s="21" t="s">
        <v>505</v>
      </c>
      <c r="E3010" s="21" t="s">
        <v>506</v>
      </c>
      <c r="F3010" s="21" t="s">
        <v>911</v>
      </c>
      <c r="G3010" s="21" t="s">
        <v>912</v>
      </c>
      <c r="H3010" s="21" t="s">
        <v>1522</v>
      </c>
      <c r="I3010" s="21" t="s">
        <v>1523</v>
      </c>
      <c r="J3010" s="21" t="s">
        <v>1883</v>
      </c>
      <c r="K3010" s="21" t="s">
        <v>1884</v>
      </c>
      <c r="L3010" s="21" t="s">
        <v>1929</v>
      </c>
      <c r="M3010" s="21" t="s">
        <v>15</v>
      </c>
      <c r="N3010" s="54">
        <v>0</v>
      </c>
      <c r="O3010" s="54">
        <v>35333.019999999997</v>
      </c>
      <c r="P3010" s="54">
        <v>0</v>
      </c>
      <c r="Q3010" s="54">
        <v>35333.019999999997</v>
      </c>
      <c r="R3010" s="54">
        <v>0</v>
      </c>
      <c r="S3010" s="54">
        <v>0</v>
      </c>
      <c r="T3010" s="54">
        <v>0</v>
      </c>
      <c r="U3010" s="54">
        <v>35333.019999999997</v>
      </c>
      <c r="V3010" s="54">
        <v>35333.019999999997</v>
      </c>
      <c r="W3010" s="54">
        <v>35333.019999999997</v>
      </c>
    </row>
    <row r="3011" spans="1:23" outlineLevel="2" x14ac:dyDescent="0.2">
      <c r="A3011" s="21" t="s">
        <v>1882</v>
      </c>
      <c r="B3011" s="21" t="s">
        <v>1</v>
      </c>
      <c r="C3011" s="21" t="s">
        <v>2</v>
      </c>
      <c r="D3011" s="21" t="s">
        <v>505</v>
      </c>
      <c r="E3011" s="21" t="s">
        <v>506</v>
      </c>
      <c r="F3011" s="21" t="s">
        <v>911</v>
      </c>
      <c r="G3011" s="21" t="s">
        <v>912</v>
      </c>
      <c r="H3011" s="21" t="s">
        <v>1522</v>
      </c>
      <c r="I3011" s="21" t="s">
        <v>1523</v>
      </c>
      <c r="J3011" s="21" t="s">
        <v>1883</v>
      </c>
      <c r="K3011" s="21" t="s">
        <v>1886</v>
      </c>
      <c r="L3011" s="21" t="s">
        <v>1931</v>
      </c>
      <c r="M3011" s="21" t="s">
        <v>15</v>
      </c>
      <c r="N3011" s="54">
        <v>30000</v>
      </c>
      <c r="O3011" s="54">
        <v>50597.56</v>
      </c>
      <c r="P3011" s="54">
        <v>0</v>
      </c>
      <c r="Q3011" s="54">
        <v>80597.56</v>
      </c>
      <c r="R3011" s="54">
        <v>0</v>
      </c>
      <c r="S3011" s="54">
        <v>0</v>
      </c>
      <c r="T3011" s="54">
        <v>0</v>
      </c>
      <c r="U3011" s="54">
        <v>80597.56</v>
      </c>
      <c r="V3011" s="54">
        <v>80597.56</v>
      </c>
      <c r="W3011" s="54">
        <v>80597.56</v>
      </c>
    </row>
    <row r="3012" spans="1:23" outlineLevel="2" x14ac:dyDescent="0.2">
      <c r="A3012" s="21" t="s">
        <v>1882</v>
      </c>
      <c r="B3012" s="21" t="s">
        <v>1</v>
      </c>
      <c r="C3012" s="21" t="s">
        <v>91</v>
      </c>
      <c r="D3012" s="21" t="s">
        <v>92</v>
      </c>
      <c r="E3012" s="21" t="s">
        <v>93</v>
      </c>
      <c r="F3012" s="21" t="s">
        <v>911</v>
      </c>
      <c r="G3012" s="21" t="s">
        <v>912</v>
      </c>
      <c r="H3012" s="21" t="s">
        <v>1529</v>
      </c>
      <c r="I3012" s="21" t="s">
        <v>1530</v>
      </c>
      <c r="J3012" s="21" t="s">
        <v>1883</v>
      </c>
      <c r="K3012" s="21" t="s">
        <v>1891</v>
      </c>
      <c r="L3012" s="21" t="s">
        <v>1934</v>
      </c>
      <c r="M3012" s="21" t="s">
        <v>15</v>
      </c>
      <c r="N3012" s="54">
        <v>0</v>
      </c>
      <c r="O3012" s="54">
        <v>6350.4</v>
      </c>
      <c r="P3012" s="54">
        <v>0</v>
      </c>
      <c r="Q3012" s="54">
        <v>6350.4</v>
      </c>
      <c r="R3012" s="54">
        <v>0</v>
      </c>
      <c r="S3012" s="54">
        <v>6350.4</v>
      </c>
      <c r="T3012" s="54">
        <v>6350.4</v>
      </c>
      <c r="U3012" s="54">
        <v>0</v>
      </c>
      <c r="V3012" s="54">
        <v>0</v>
      </c>
      <c r="W3012" s="54">
        <v>0</v>
      </c>
    </row>
    <row r="3013" spans="1:23" outlineLevel="2" x14ac:dyDescent="0.2">
      <c r="A3013" s="21" t="s">
        <v>1882</v>
      </c>
      <c r="B3013" s="21" t="s">
        <v>1</v>
      </c>
      <c r="C3013" s="21" t="s">
        <v>91</v>
      </c>
      <c r="D3013" s="21" t="s">
        <v>92</v>
      </c>
      <c r="E3013" s="21" t="s">
        <v>93</v>
      </c>
      <c r="F3013" s="21" t="s">
        <v>911</v>
      </c>
      <c r="G3013" s="21" t="s">
        <v>912</v>
      </c>
      <c r="H3013" s="21" t="s">
        <v>1529</v>
      </c>
      <c r="I3013" s="21" t="s">
        <v>1530</v>
      </c>
      <c r="J3013" s="21" t="s">
        <v>1883</v>
      </c>
      <c r="K3013" s="21" t="s">
        <v>1884</v>
      </c>
      <c r="L3013" s="21" t="s">
        <v>1935</v>
      </c>
      <c r="M3013" s="21" t="s">
        <v>15</v>
      </c>
      <c r="N3013" s="54">
        <v>320000</v>
      </c>
      <c r="O3013" s="54">
        <v>11478</v>
      </c>
      <c r="P3013" s="54">
        <v>0</v>
      </c>
      <c r="Q3013" s="54">
        <v>331478</v>
      </c>
      <c r="R3013" s="54">
        <v>0</v>
      </c>
      <c r="S3013" s="54">
        <v>0</v>
      </c>
      <c r="T3013" s="54">
        <v>0</v>
      </c>
      <c r="U3013" s="54">
        <v>331478</v>
      </c>
      <c r="V3013" s="54">
        <v>331478</v>
      </c>
      <c r="W3013" s="54">
        <v>331478</v>
      </c>
    </row>
    <row r="3014" spans="1:23" outlineLevel="2" x14ac:dyDescent="0.2">
      <c r="A3014" s="21" t="s">
        <v>1882</v>
      </c>
      <c r="B3014" s="21" t="s">
        <v>1</v>
      </c>
      <c r="C3014" s="21" t="s">
        <v>91</v>
      </c>
      <c r="D3014" s="21" t="s">
        <v>92</v>
      </c>
      <c r="E3014" s="21" t="s">
        <v>93</v>
      </c>
      <c r="F3014" s="21" t="s">
        <v>911</v>
      </c>
      <c r="G3014" s="21" t="s">
        <v>912</v>
      </c>
      <c r="H3014" s="21" t="s">
        <v>1529</v>
      </c>
      <c r="I3014" s="21" t="s">
        <v>1530</v>
      </c>
      <c r="J3014" s="21" t="s">
        <v>1883</v>
      </c>
      <c r="K3014" s="21" t="s">
        <v>1886</v>
      </c>
      <c r="L3014" s="21" t="s">
        <v>1937</v>
      </c>
      <c r="M3014" s="21" t="s">
        <v>15</v>
      </c>
      <c r="N3014" s="54">
        <v>3500</v>
      </c>
      <c r="O3014" s="54">
        <v>53671.6</v>
      </c>
      <c r="P3014" s="54">
        <v>0</v>
      </c>
      <c r="Q3014" s="54">
        <v>57171.6</v>
      </c>
      <c r="R3014" s="54">
        <v>0</v>
      </c>
      <c r="S3014" s="54">
        <v>0</v>
      </c>
      <c r="T3014" s="54">
        <v>0</v>
      </c>
      <c r="U3014" s="54">
        <v>57171.6</v>
      </c>
      <c r="V3014" s="54">
        <v>57171.6</v>
      </c>
      <c r="W3014" s="54">
        <v>57171.6</v>
      </c>
    </row>
    <row r="3015" spans="1:23" outlineLevel="2" x14ac:dyDescent="0.2">
      <c r="A3015" s="21" t="s">
        <v>1882</v>
      </c>
      <c r="B3015" s="21" t="s">
        <v>1</v>
      </c>
      <c r="C3015" s="21" t="s">
        <v>2</v>
      </c>
      <c r="D3015" s="21" t="s">
        <v>1533</v>
      </c>
      <c r="E3015" s="21" t="s">
        <v>1534</v>
      </c>
      <c r="F3015" s="21" t="s">
        <v>911</v>
      </c>
      <c r="G3015" s="21" t="s">
        <v>912</v>
      </c>
      <c r="H3015" s="21" t="s">
        <v>1535</v>
      </c>
      <c r="I3015" s="21" t="s">
        <v>1536</v>
      </c>
      <c r="J3015" s="21" t="s">
        <v>1883</v>
      </c>
      <c r="K3015" s="21" t="s">
        <v>1884</v>
      </c>
      <c r="L3015" s="21" t="s">
        <v>1929</v>
      </c>
      <c r="M3015" s="21" t="s">
        <v>15</v>
      </c>
      <c r="N3015" s="54">
        <v>1115000</v>
      </c>
      <c r="O3015" s="54">
        <v>-1052392</v>
      </c>
      <c r="P3015" s="54">
        <v>0</v>
      </c>
      <c r="Q3015" s="54">
        <v>62608</v>
      </c>
      <c r="R3015" s="54">
        <v>39132.800000000003</v>
      </c>
      <c r="S3015" s="54">
        <v>0</v>
      </c>
      <c r="T3015" s="54">
        <v>0</v>
      </c>
      <c r="U3015" s="54">
        <v>62608</v>
      </c>
      <c r="V3015" s="54">
        <v>62608</v>
      </c>
      <c r="W3015" s="54">
        <v>23475.200000000001</v>
      </c>
    </row>
    <row r="3016" spans="1:23" outlineLevel="2" x14ac:dyDescent="0.2">
      <c r="A3016" s="21" t="s">
        <v>1882</v>
      </c>
      <c r="B3016" s="21" t="s">
        <v>1</v>
      </c>
      <c r="C3016" s="21" t="s">
        <v>2</v>
      </c>
      <c r="D3016" s="21" t="s">
        <v>1533</v>
      </c>
      <c r="E3016" s="21" t="s">
        <v>1534</v>
      </c>
      <c r="F3016" s="21" t="s">
        <v>911</v>
      </c>
      <c r="G3016" s="21" t="s">
        <v>912</v>
      </c>
      <c r="H3016" s="21" t="s">
        <v>1535</v>
      </c>
      <c r="I3016" s="21" t="s">
        <v>1536</v>
      </c>
      <c r="J3016" s="21" t="s">
        <v>1883</v>
      </c>
      <c r="K3016" s="21" t="s">
        <v>1886</v>
      </c>
      <c r="L3016" s="21" t="s">
        <v>1931</v>
      </c>
      <c r="M3016" s="21" t="s">
        <v>15</v>
      </c>
      <c r="N3016" s="54">
        <v>500000</v>
      </c>
      <c r="O3016" s="54">
        <v>649759.36</v>
      </c>
      <c r="P3016" s="54">
        <v>0</v>
      </c>
      <c r="Q3016" s="54">
        <v>1149759.3600000001</v>
      </c>
      <c r="R3016" s="54">
        <v>86240</v>
      </c>
      <c r="S3016" s="54">
        <v>0</v>
      </c>
      <c r="T3016" s="54">
        <v>0</v>
      </c>
      <c r="U3016" s="54">
        <v>1149759.3600000001</v>
      </c>
      <c r="V3016" s="54">
        <v>1149759.3600000001</v>
      </c>
      <c r="W3016" s="54">
        <v>1063519.3600000001</v>
      </c>
    </row>
    <row r="3017" spans="1:23" outlineLevel="2" x14ac:dyDescent="0.2">
      <c r="A3017" s="21" t="s">
        <v>1882</v>
      </c>
      <c r="B3017" s="21" t="s">
        <v>1</v>
      </c>
      <c r="C3017" s="21" t="s">
        <v>2</v>
      </c>
      <c r="D3017" s="21" t="s">
        <v>1533</v>
      </c>
      <c r="E3017" s="21" t="s">
        <v>1534</v>
      </c>
      <c r="F3017" s="21" t="s">
        <v>911</v>
      </c>
      <c r="G3017" s="21" t="s">
        <v>912</v>
      </c>
      <c r="H3017" s="21" t="s">
        <v>1537</v>
      </c>
      <c r="I3017" s="21" t="s">
        <v>1538</v>
      </c>
      <c r="J3017" s="21" t="s">
        <v>1883</v>
      </c>
      <c r="K3017" s="21" t="s">
        <v>1884</v>
      </c>
      <c r="L3017" s="21" t="s">
        <v>1929</v>
      </c>
      <c r="M3017" s="21" t="s">
        <v>15</v>
      </c>
      <c r="N3017" s="54">
        <v>49624</v>
      </c>
      <c r="O3017" s="54">
        <v>0</v>
      </c>
      <c r="P3017" s="54">
        <v>0</v>
      </c>
      <c r="Q3017" s="54">
        <v>49624</v>
      </c>
      <c r="R3017" s="54">
        <v>0</v>
      </c>
      <c r="S3017" s="54">
        <v>0</v>
      </c>
      <c r="T3017" s="54">
        <v>0</v>
      </c>
      <c r="U3017" s="54">
        <v>49624</v>
      </c>
      <c r="V3017" s="54">
        <v>49624</v>
      </c>
      <c r="W3017" s="54">
        <v>49624</v>
      </c>
    </row>
    <row r="3018" spans="1:23" outlineLevel="2" x14ac:dyDescent="0.2">
      <c r="A3018" s="21" t="s">
        <v>1882</v>
      </c>
      <c r="B3018" s="21" t="s">
        <v>1</v>
      </c>
      <c r="C3018" s="21" t="s">
        <v>2</v>
      </c>
      <c r="D3018" s="21" t="s">
        <v>1533</v>
      </c>
      <c r="E3018" s="21" t="s">
        <v>1534</v>
      </c>
      <c r="F3018" s="21" t="s">
        <v>911</v>
      </c>
      <c r="G3018" s="21" t="s">
        <v>912</v>
      </c>
      <c r="H3018" s="21" t="s">
        <v>1537</v>
      </c>
      <c r="I3018" s="21" t="s">
        <v>1538</v>
      </c>
      <c r="J3018" s="21" t="s">
        <v>1883</v>
      </c>
      <c r="K3018" s="21" t="s">
        <v>1886</v>
      </c>
      <c r="L3018" s="21" t="s">
        <v>1931</v>
      </c>
      <c r="M3018" s="21" t="s">
        <v>15</v>
      </c>
      <c r="N3018" s="54">
        <v>2254175.17</v>
      </c>
      <c r="O3018" s="54">
        <v>-233291.18</v>
      </c>
      <c r="P3018" s="54">
        <v>0</v>
      </c>
      <c r="Q3018" s="54">
        <v>2020883.99</v>
      </c>
      <c r="R3018" s="54">
        <v>1250123.93</v>
      </c>
      <c r="S3018" s="54">
        <v>329959.11</v>
      </c>
      <c r="T3018" s="54">
        <v>174775.15</v>
      </c>
      <c r="U3018" s="54">
        <v>1690924.88</v>
      </c>
      <c r="V3018" s="54">
        <v>1846108.84</v>
      </c>
      <c r="W3018" s="54">
        <v>440800.95</v>
      </c>
    </row>
    <row r="3019" spans="1:23" outlineLevel="2" x14ac:dyDescent="0.2">
      <c r="A3019" s="21" t="s">
        <v>1882</v>
      </c>
      <c r="B3019" s="21" t="s">
        <v>31</v>
      </c>
      <c r="C3019" s="21" t="s">
        <v>32</v>
      </c>
      <c r="D3019" s="21" t="s">
        <v>141</v>
      </c>
      <c r="E3019" s="21" t="s">
        <v>142</v>
      </c>
      <c r="F3019" s="21" t="s">
        <v>933</v>
      </c>
      <c r="G3019" s="21" t="s">
        <v>934</v>
      </c>
      <c r="H3019" s="21" t="s">
        <v>1545</v>
      </c>
      <c r="I3019" s="21" t="s">
        <v>1546</v>
      </c>
      <c r="J3019" s="21" t="s">
        <v>1883</v>
      </c>
      <c r="K3019" s="21" t="s">
        <v>1886</v>
      </c>
      <c r="L3019" s="21" t="s">
        <v>1941</v>
      </c>
      <c r="M3019" s="21" t="s">
        <v>12</v>
      </c>
      <c r="N3019" s="54">
        <v>700000</v>
      </c>
      <c r="O3019" s="54">
        <v>6368.32</v>
      </c>
      <c r="P3019" s="54">
        <v>0</v>
      </c>
      <c r="Q3019" s="54">
        <v>706368.32</v>
      </c>
      <c r="R3019" s="54">
        <v>0</v>
      </c>
      <c r="S3019" s="54">
        <v>6368.32</v>
      </c>
      <c r="T3019" s="54">
        <v>0</v>
      </c>
      <c r="U3019" s="54">
        <v>700000</v>
      </c>
      <c r="V3019" s="54">
        <v>706368.32</v>
      </c>
      <c r="W3019" s="54">
        <v>700000</v>
      </c>
    </row>
    <row r="3020" spans="1:23" outlineLevel="2" x14ac:dyDescent="0.2">
      <c r="A3020" s="21" t="s">
        <v>1882</v>
      </c>
      <c r="B3020" s="21" t="s">
        <v>39</v>
      </c>
      <c r="C3020" s="21" t="s">
        <v>58</v>
      </c>
      <c r="D3020" s="21" t="s">
        <v>137</v>
      </c>
      <c r="E3020" s="21" t="s">
        <v>138</v>
      </c>
      <c r="F3020" s="21" t="s">
        <v>933</v>
      </c>
      <c r="G3020" s="21" t="s">
        <v>934</v>
      </c>
      <c r="H3020" s="21" t="s">
        <v>1564</v>
      </c>
      <c r="I3020" s="21" t="s">
        <v>1565</v>
      </c>
      <c r="J3020" s="21" t="s">
        <v>1883</v>
      </c>
      <c r="K3020" s="21" t="s">
        <v>1914</v>
      </c>
      <c r="L3020" s="21" t="s">
        <v>1943</v>
      </c>
      <c r="M3020" s="21" t="s">
        <v>12</v>
      </c>
      <c r="N3020" s="54">
        <v>0</v>
      </c>
      <c r="O3020" s="54">
        <v>4000</v>
      </c>
      <c r="P3020" s="54">
        <v>0</v>
      </c>
      <c r="Q3020" s="54">
        <v>4000</v>
      </c>
      <c r="R3020" s="54">
        <v>0</v>
      </c>
      <c r="S3020" s="54">
        <v>0</v>
      </c>
      <c r="T3020" s="54">
        <v>0</v>
      </c>
      <c r="U3020" s="54">
        <v>4000</v>
      </c>
      <c r="V3020" s="54">
        <v>4000</v>
      </c>
      <c r="W3020" s="54">
        <v>4000</v>
      </c>
    </row>
    <row r="3021" spans="1:23" outlineLevel="2" x14ac:dyDescent="0.2">
      <c r="A3021" s="21" t="s">
        <v>1882</v>
      </c>
      <c r="B3021" s="21" t="s">
        <v>39</v>
      </c>
      <c r="C3021" s="21" t="s">
        <v>58</v>
      </c>
      <c r="D3021" s="21" t="s">
        <v>139</v>
      </c>
      <c r="E3021" s="21" t="s">
        <v>140</v>
      </c>
      <c r="F3021" s="21" t="s">
        <v>933</v>
      </c>
      <c r="G3021" s="21" t="s">
        <v>934</v>
      </c>
      <c r="H3021" s="21" t="s">
        <v>1564</v>
      </c>
      <c r="I3021" s="21" t="s">
        <v>1565</v>
      </c>
      <c r="J3021" s="21" t="s">
        <v>1883</v>
      </c>
      <c r="K3021" s="21" t="s">
        <v>1914</v>
      </c>
      <c r="L3021" s="21" t="s">
        <v>1943</v>
      </c>
      <c r="M3021" s="21" t="s">
        <v>12</v>
      </c>
      <c r="N3021" s="54">
        <v>0</v>
      </c>
      <c r="O3021" s="54">
        <v>3500</v>
      </c>
      <c r="P3021" s="54">
        <v>0</v>
      </c>
      <c r="Q3021" s="54">
        <v>3500</v>
      </c>
      <c r="R3021" s="54">
        <v>0</v>
      </c>
      <c r="S3021" s="54">
        <v>0</v>
      </c>
      <c r="T3021" s="54">
        <v>0</v>
      </c>
      <c r="U3021" s="54">
        <v>3500</v>
      </c>
      <c r="V3021" s="54">
        <v>3500</v>
      </c>
      <c r="W3021" s="54">
        <v>3500</v>
      </c>
    </row>
    <row r="3022" spans="1:23" outlineLevel="2" x14ac:dyDescent="0.2">
      <c r="A3022" s="21" t="s">
        <v>1882</v>
      </c>
      <c r="B3022" s="21" t="s">
        <v>39</v>
      </c>
      <c r="C3022" s="21" t="s">
        <v>58</v>
      </c>
      <c r="D3022" s="21" t="s">
        <v>143</v>
      </c>
      <c r="E3022" s="21" t="s">
        <v>144</v>
      </c>
      <c r="F3022" s="21" t="s">
        <v>933</v>
      </c>
      <c r="G3022" s="21" t="s">
        <v>934</v>
      </c>
      <c r="H3022" s="21" t="s">
        <v>1564</v>
      </c>
      <c r="I3022" s="21" t="s">
        <v>1565</v>
      </c>
      <c r="J3022" s="21" t="s">
        <v>1883</v>
      </c>
      <c r="K3022" s="21" t="s">
        <v>1914</v>
      </c>
      <c r="L3022" s="21" t="s">
        <v>1943</v>
      </c>
      <c r="M3022" s="21" t="s">
        <v>12</v>
      </c>
      <c r="N3022" s="54">
        <v>0</v>
      </c>
      <c r="O3022" s="54">
        <v>3500</v>
      </c>
      <c r="P3022" s="54">
        <v>0</v>
      </c>
      <c r="Q3022" s="54">
        <v>3500</v>
      </c>
      <c r="R3022" s="54">
        <v>0</v>
      </c>
      <c r="S3022" s="54">
        <v>0</v>
      </c>
      <c r="T3022" s="54">
        <v>0</v>
      </c>
      <c r="U3022" s="54">
        <v>3500</v>
      </c>
      <c r="V3022" s="54">
        <v>3500</v>
      </c>
      <c r="W3022" s="54">
        <v>3500</v>
      </c>
    </row>
    <row r="3023" spans="1:23" outlineLevel="2" x14ac:dyDescent="0.2">
      <c r="A3023" s="21" t="s">
        <v>1882</v>
      </c>
      <c r="B3023" s="21" t="s">
        <v>39</v>
      </c>
      <c r="C3023" s="21" t="s">
        <v>58</v>
      </c>
      <c r="D3023" s="21" t="s">
        <v>137</v>
      </c>
      <c r="E3023" s="21" t="s">
        <v>138</v>
      </c>
      <c r="F3023" s="21" t="s">
        <v>933</v>
      </c>
      <c r="G3023" s="21" t="s">
        <v>934</v>
      </c>
      <c r="H3023" s="21" t="s">
        <v>1575</v>
      </c>
      <c r="I3023" s="21" t="s">
        <v>1576</v>
      </c>
      <c r="J3023" s="21" t="s">
        <v>1883</v>
      </c>
      <c r="K3023" s="21" t="s">
        <v>1886</v>
      </c>
      <c r="L3023" s="21" t="s">
        <v>1944</v>
      </c>
      <c r="M3023" s="21" t="s">
        <v>12</v>
      </c>
      <c r="N3023" s="54">
        <v>0</v>
      </c>
      <c r="O3023" s="54">
        <v>2908</v>
      </c>
      <c r="P3023" s="54">
        <v>0</v>
      </c>
      <c r="Q3023" s="54">
        <v>2908</v>
      </c>
      <c r="R3023" s="54">
        <v>0</v>
      </c>
      <c r="S3023" s="54">
        <v>0</v>
      </c>
      <c r="T3023" s="54">
        <v>0</v>
      </c>
      <c r="U3023" s="54">
        <v>2908</v>
      </c>
      <c r="V3023" s="54">
        <v>2908</v>
      </c>
      <c r="W3023" s="54">
        <v>2908</v>
      </c>
    </row>
    <row r="3024" spans="1:23" outlineLevel="2" x14ac:dyDescent="0.2">
      <c r="A3024" s="21" t="s">
        <v>1882</v>
      </c>
      <c r="B3024" s="21" t="s">
        <v>39</v>
      </c>
      <c r="C3024" s="21" t="s">
        <v>58</v>
      </c>
      <c r="D3024" s="21" t="s">
        <v>139</v>
      </c>
      <c r="E3024" s="21" t="s">
        <v>140</v>
      </c>
      <c r="F3024" s="21" t="s">
        <v>933</v>
      </c>
      <c r="G3024" s="21" t="s">
        <v>934</v>
      </c>
      <c r="H3024" s="21" t="s">
        <v>1575</v>
      </c>
      <c r="I3024" s="21" t="s">
        <v>1576</v>
      </c>
      <c r="J3024" s="21" t="s">
        <v>1883</v>
      </c>
      <c r="K3024" s="21" t="s">
        <v>1886</v>
      </c>
      <c r="L3024" s="21" t="s">
        <v>1944</v>
      </c>
      <c r="M3024" s="21" t="s">
        <v>12</v>
      </c>
      <c r="N3024" s="54">
        <v>0</v>
      </c>
      <c r="O3024" s="54">
        <v>4000</v>
      </c>
      <c r="P3024" s="54">
        <v>0</v>
      </c>
      <c r="Q3024" s="54">
        <v>4000</v>
      </c>
      <c r="R3024" s="54">
        <v>0</v>
      </c>
      <c r="S3024" s="54">
        <v>0</v>
      </c>
      <c r="T3024" s="54">
        <v>0</v>
      </c>
      <c r="U3024" s="54">
        <v>4000</v>
      </c>
      <c r="V3024" s="54">
        <v>4000</v>
      </c>
      <c r="W3024" s="54">
        <v>4000</v>
      </c>
    </row>
    <row r="3025" spans="1:23" outlineLevel="2" x14ac:dyDescent="0.2">
      <c r="A3025" s="21" t="s">
        <v>1882</v>
      </c>
      <c r="B3025" s="21" t="s">
        <v>39</v>
      </c>
      <c r="C3025" s="21" t="s">
        <v>58</v>
      </c>
      <c r="D3025" s="21" t="s">
        <v>143</v>
      </c>
      <c r="E3025" s="21" t="s">
        <v>144</v>
      </c>
      <c r="F3025" s="21" t="s">
        <v>933</v>
      </c>
      <c r="G3025" s="21" t="s">
        <v>934</v>
      </c>
      <c r="H3025" s="21" t="s">
        <v>1575</v>
      </c>
      <c r="I3025" s="21" t="s">
        <v>1576</v>
      </c>
      <c r="J3025" s="21" t="s">
        <v>1883</v>
      </c>
      <c r="K3025" s="21" t="s">
        <v>1886</v>
      </c>
      <c r="L3025" s="21" t="s">
        <v>1944</v>
      </c>
      <c r="M3025" s="21" t="s">
        <v>12</v>
      </c>
      <c r="N3025" s="54">
        <v>0</v>
      </c>
      <c r="O3025" s="54">
        <v>4000</v>
      </c>
      <c r="P3025" s="54">
        <v>0</v>
      </c>
      <c r="Q3025" s="54">
        <v>4000</v>
      </c>
      <c r="R3025" s="54">
        <v>0</v>
      </c>
      <c r="S3025" s="54">
        <v>0</v>
      </c>
      <c r="T3025" s="54">
        <v>0</v>
      </c>
      <c r="U3025" s="54">
        <v>4000</v>
      </c>
      <c r="V3025" s="54">
        <v>4000</v>
      </c>
      <c r="W3025" s="54">
        <v>4000</v>
      </c>
    </row>
    <row r="3026" spans="1:23" outlineLevel="2" x14ac:dyDescent="0.2">
      <c r="A3026" s="21" t="s">
        <v>1882</v>
      </c>
      <c r="B3026" s="21" t="s">
        <v>39</v>
      </c>
      <c r="C3026" s="21" t="s">
        <v>58</v>
      </c>
      <c r="D3026" s="21" t="s">
        <v>137</v>
      </c>
      <c r="E3026" s="21" t="s">
        <v>138</v>
      </c>
      <c r="F3026" s="21" t="s">
        <v>933</v>
      </c>
      <c r="G3026" s="21" t="s">
        <v>934</v>
      </c>
      <c r="H3026" s="21" t="s">
        <v>1575</v>
      </c>
      <c r="I3026" s="21" t="s">
        <v>1576</v>
      </c>
      <c r="J3026" s="21" t="s">
        <v>1883</v>
      </c>
      <c r="K3026" s="21" t="s">
        <v>1914</v>
      </c>
      <c r="L3026" s="21" t="s">
        <v>1943</v>
      </c>
      <c r="M3026" s="21" t="s">
        <v>12</v>
      </c>
      <c r="N3026" s="54">
        <v>0</v>
      </c>
      <c r="O3026" s="54">
        <v>1300</v>
      </c>
      <c r="P3026" s="54">
        <v>0</v>
      </c>
      <c r="Q3026" s="54">
        <v>1300</v>
      </c>
      <c r="R3026" s="54">
        <v>0</v>
      </c>
      <c r="S3026" s="54">
        <v>0</v>
      </c>
      <c r="T3026" s="54">
        <v>0</v>
      </c>
      <c r="U3026" s="54">
        <v>1300</v>
      </c>
      <c r="V3026" s="54">
        <v>1300</v>
      </c>
      <c r="W3026" s="54">
        <v>1300</v>
      </c>
    </row>
    <row r="3027" spans="1:23" outlineLevel="2" x14ac:dyDescent="0.2">
      <c r="A3027" s="21" t="s">
        <v>1882</v>
      </c>
      <c r="B3027" s="21" t="s">
        <v>39</v>
      </c>
      <c r="C3027" s="21" t="s">
        <v>58</v>
      </c>
      <c r="D3027" s="21" t="s">
        <v>139</v>
      </c>
      <c r="E3027" s="21" t="s">
        <v>140</v>
      </c>
      <c r="F3027" s="21" t="s">
        <v>933</v>
      </c>
      <c r="G3027" s="21" t="s">
        <v>934</v>
      </c>
      <c r="H3027" s="21" t="s">
        <v>1575</v>
      </c>
      <c r="I3027" s="21" t="s">
        <v>1576</v>
      </c>
      <c r="J3027" s="21" t="s">
        <v>1883</v>
      </c>
      <c r="K3027" s="21" t="s">
        <v>1914</v>
      </c>
      <c r="L3027" s="21" t="s">
        <v>1943</v>
      </c>
      <c r="M3027" s="21" t="s">
        <v>12</v>
      </c>
      <c r="N3027" s="54">
        <v>0</v>
      </c>
      <c r="O3027" s="54">
        <v>2000</v>
      </c>
      <c r="P3027" s="54">
        <v>0</v>
      </c>
      <c r="Q3027" s="54">
        <v>2000</v>
      </c>
      <c r="R3027" s="54">
        <v>0</v>
      </c>
      <c r="S3027" s="54">
        <v>0</v>
      </c>
      <c r="T3027" s="54">
        <v>0</v>
      </c>
      <c r="U3027" s="54">
        <v>2000</v>
      </c>
      <c r="V3027" s="54">
        <v>2000</v>
      </c>
      <c r="W3027" s="54">
        <v>2000</v>
      </c>
    </row>
    <row r="3028" spans="1:23" outlineLevel="2" x14ac:dyDescent="0.2">
      <c r="A3028" s="21" t="s">
        <v>1882</v>
      </c>
      <c r="B3028" s="21" t="s">
        <v>39</v>
      </c>
      <c r="C3028" s="21" t="s">
        <v>58</v>
      </c>
      <c r="D3028" s="21" t="s">
        <v>143</v>
      </c>
      <c r="E3028" s="21" t="s">
        <v>144</v>
      </c>
      <c r="F3028" s="21" t="s">
        <v>933</v>
      </c>
      <c r="G3028" s="21" t="s">
        <v>934</v>
      </c>
      <c r="H3028" s="21" t="s">
        <v>1575</v>
      </c>
      <c r="I3028" s="21" t="s">
        <v>1576</v>
      </c>
      <c r="J3028" s="21" t="s">
        <v>1883</v>
      </c>
      <c r="K3028" s="21" t="s">
        <v>1914</v>
      </c>
      <c r="L3028" s="21" t="s">
        <v>1943</v>
      </c>
      <c r="M3028" s="21" t="s">
        <v>12</v>
      </c>
      <c r="N3028" s="54">
        <v>0</v>
      </c>
      <c r="O3028" s="54">
        <v>2000</v>
      </c>
      <c r="P3028" s="54">
        <v>0</v>
      </c>
      <c r="Q3028" s="54">
        <v>2000</v>
      </c>
      <c r="R3028" s="54">
        <v>0</v>
      </c>
      <c r="S3028" s="54">
        <v>0</v>
      </c>
      <c r="T3028" s="54">
        <v>0</v>
      </c>
      <c r="U3028" s="54">
        <v>2000</v>
      </c>
      <c r="V3028" s="54">
        <v>2000</v>
      </c>
      <c r="W3028" s="54">
        <v>2000</v>
      </c>
    </row>
    <row r="3029" spans="1:23" outlineLevel="2" x14ac:dyDescent="0.2">
      <c r="A3029" s="21" t="s">
        <v>1882</v>
      </c>
      <c r="B3029" s="21" t="s">
        <v>31</v>
      </c>
      <c r="C3029" s="21" t="s">
        <v>32</v>
      </c>
      <c r="D3029" s="21" t="s">
        <v>141</v>
      </c>
      <c r="E3029" s="21" t="s">
        <v>142</v>
      </c>
      <c r="F3029" s="21" t="s">
        <v>933</v>
      </c>
      <c r="G3029" s="21" t="s">
        <v>934</v>
      </c>
      <c r="H3029" s="21" t="s">
        <v>935</v>
      </c>
      <c r="I3029" s="21" t="s">
        <v>936</v>
      </c>
      <c r="J3029" s="21" t="s">
        <v>1883</v>
      </c>
      <c r="K3029" s="21" t="s">
        <v>1891</v>
      </c>
      <c r="L3029" s="21" t="s">
        <v>1946</v>
      </c>
      <c r="M3029" s="21" t="s">
        <v>12</v>
      </c>
      <c r="N3029" s="54">
        <v>0</v>
      </c>
      <c r="O3029" s="54">
        <v>52000</v>
      </c>
      <c r="P3029" s="54">
        <v>0</v>
      </c>
      <c r="Q3029" s="54">
        <v>52000</v>
      </c>
      <c r="R3029" s="54">
        <v>0</v>
      </c>
      <c r="S3029" s="54">
        <v>0</v>
      </c>
      <c r="T3029" s="54">
        <v>0</v>
      </c>
      <c r="U3029" s="54">
        <v>52000</v>
      </c>
      <c r="V3029" s="54">
        <v>52000</v>
      </c>
      <c r="W3029" s="54">
        <v>52000</v>
      </c>
    </row>
    <row r="3030" spans="1:23" outlineLevel="2" x14ac:dyDescent="0.2">
      <c r="A3030" s="21" t="s">
        <v>1882</v>
      </c>
      <c r="B3030" s="21" t="s">
        <v>39</v>
      </c>
      <c r="C3030" s="21" t="s">
        <v>58</v>
      </c>
      <c r="D3030" s="21" t="s">
        <v>143</v>
      </c>
      <c r="E3030" s="21" t="s">
        <v>144</v>
      </c>
      <c r="F3030" s="21" t="s">
        <v>933</v>
      </c>
      <c r="G3030" s="21" t="s">
        <v>934</v>
      </c>
      <c r="H3030" s="21" t="s">
        <v>935</v>
      </c>
      <c r="I3030" s="21" t="s">
        <v>936</v>
      </c>
      <c r="J3030" s="21" t="s">
        <v>1883</v>
      </c>
      <c r="K3030" s="21" t="s">
        <v>1891</v>
      </c>
      <c r="L3030" s="21" t="s">
        <v>1945</v>
      </c>
      <c r="M3030" s="21" t="s">
        <v>12</v>
      </c>
      <c r="N3030" s="54">
        <v>1472.46</v>
      </c>
      <c r="O3030" s="54">
        <v>0</v>
      </c>
      <c r="P3030" s="54">
        <v>0</v>
      </c>
      <c r="Q3030" s="54">
        <v>1472.46</v>
      </c>
      <c r="R3030" s="54">
        <v>0</v>
      </c>
      <c r="S3030" s="54">
        <v>0</v>
      </c>
      <c r="T3030" s="54">
        <v>0</v>
      </c>
      <c r="U3030" s="54">
        <v>1472.46</v>
      </c>
      <c r="V3030" s="54">
        <v>1472.46</v>
      </c>
      <c r="W3030" s="54">
        <v>1472.46</v>
      </c>
    </row>
    <row r="3031" spans="1:23" outlineLevel="2" x14ac:dyDescent="0.2">
      <c r="A3031" s="21" t="s">
        <v>1882</v>
      </c>
      <c r="B3031" s="21" t="s">
        <v>39</v>
      </c>
      <c r="C3031" s="21" t="s">
        <v>58</v>
      </c>
      <c r="D3031" s="21" t="s">
        <v>59</v>
      </c>
      <c r="E3031" s="21" t="s">
        <v>60</v>
      </c>
      <c r="F3031" s="21" t="s">
        <v>933</v>
      </c>
      <c r="G3031" s="21" t="s">
        <v>934</v>
      </c>
      <c r="H3031" s="21" t="s">
        <v>935</v>
      </c>
      <c r="I3031" s="21" t="s">
        <v>936</v>
      </c>
      <c r="J3031" s="21" t="s">
        <v>1883</v>
      </c>
      <c r="K3031" s="21" t="s">
        <v>1891</v>
      </c>
      <c r="L3031" s="21" t="s">
        <v>1945</v>
      </c>
      <c r="M3031" s="21" t="s">
        <v>12</v>
      </c>
      <c r="N3031" s="54">
        <v>1472.46</v>
      </c>
      <c r="O3031" s="54">
        <v>0</v>
      </c>
      <c r="P3031" s="54">
        <v>0</v>
      </c>
      <c r="Q3031" s="54">
        <v>1472.46</v>
      </c>
      <c r="R3031" s="54">
        <v>0</v>
      </c>
      <c r="S3031" s="54">
        <v>0</v>
      </c>
      <c r="T3031" s="54">
        <v>0</v>
      </c>
      <c r="U3031" s="54">
        <v>1472.46</v>
      </c>
      <c r="V3031" s="54">
        <v>1472.46</v>
      </c>
      <c r="W3031" s="54">
        <v>1472.46</v>
      </c>
    </row>
    <row r="3032" spans="1:23" outlineLevel="2" x14ac:dyDescent="0.2">
      <c r="A3032" s="21" t="s">
        <v>1882</v>
      </c>
      <c r="B3032" s="21" t="s">
        <v>39</v>
      </c>
      <c r="C3032" s="21" t="s">
        <v>58</v>
      </c>
      <c r="D3032" s="21" t="s">
        <v>149</v>
      </c>
      <c r="E3032" s="21" t="s">
        <v>150</v>
      </c>
      <c r="F3032" s="21" t="s">
        <v>933</v>
      </c>
      <c r="G3032" s="21" t="s">
        <v>934</v>
      </c>
      <c r="H3032" s="21" t="s">
        <v>935</v>
      </c>
      <c r="I3032" s="21" t="s">
        <v>936</v>
      </c>
      <c r="J3032" s="21" t="s">
        <v>1883</v>
      </c>
      <c r="K3032" s="21" t="s">
        <v>1891</v>
      </c>
      <c r="L3032" s="21" t="s">
        <v>1945</v>
      </c>
      <c r="M3032" s="21" t="s">
        <v>12</v>
      </c>
      <c r="N3032" s="54">
        <v>1472.46</v>
      </c>
      <c r="O3032" s="54">
        <v>0</v>
      </c>
      <c r="P3032" s="54">
        <v>0</v>
      </c>
      <c r="Q3032" s="54">
        <v>1472.46</v>
      </c>
      <c r="R3032" s="54">
        <v>0</v>
      </c>
      <c r="S3032" s="54">
        <v>0</v>
      </c>
      <c r="T3032" s="54">
        <v>0</v>
      </c>
      <c r="U3032" s="54">
        <v>1472.46</v>
      </c>
      <c r="V3032" s="54">
        <v>1472.46</v>
      </c>
      <c r="W3032" s="54">
        <v>1472.46</v>
      </c>
    </row>
    <row r="3033" spans="1:23" outlineLevel="2" x14ac:dyDescent="0.2">
      <c r="A3033" s="21" t="s">
        <v>1882</v>
      </c>
      <c r="B3033" s="21" t="s">
        <v>39</v>
      </c>
      <c r="C3033" s="21" t="s">
        <v>58</v>
      </c>
      <c r="D3033" s="21" t="s">
        <v>147</v>
      </c>
      <c r="E3033" s="21" t="s">
        <v>148</v>
      </c>
      <c r="F3033" s="21" t="s">
        <v>933</v>
      </c>
      <c r="G3033" s="21" t="s">
        <v>934</v>
      </c>
      <c r="H3033" s="21" t="s">
        <v>935</v>
      </c>
      <c r="I3033" s="21" t="s">
        <v>936</v>
      </c>
      <c r="J3033" s="21" t="s">
        <v>1883</v>
      </c>
      <c r="K3033" s="21" t="s">
        <v>1891</v>
      </c>
      <c r="L3033" s="21" t="s">
        <v>1945</v>
      </c>
      <c r="M3033" s="21" t="s">
        <v>12</v>
      </c>
      <c r="N3033" s="54">
        <v>3000</v>
      </c>
      <c r="O3033" s="54">
        <v>0</v>
      </c>
      <c r="P3033" s="54">
        <v>0</v>
      </c>
      <c r="Q3033" s="54">
        <v>3000</v>
      </c>
      <c r="R3033" s="54">
        <v>0</v>
      </c>
      <c r="S3033" s="54">
        <v>0</v>
      </c>
      <c r="T3033" s="54">
        <v>0</v>
      </c>
      <c r="U3033" s="54">
        <v>3000</v>
      </c>
      <c r="V3033" s="54">
        <v>3000</v>
      </c>
      <c r="W3033" s="54">
        <v>3000</v>
      </c>
    </row>
    <row r="3034" spans="1:23" outlineLevel="2" x14ac:dyDescent="0.2">
      <c r="A3034" s="21" t="s">
        <v>1882</v>
      </c>
      <c r="B3034" s="21" t="s">
        <v>39</v>
      </c>
      <c r="C3034" s="21" t="s">
        <v>58</v>
      </c>
      <c r="D3034" s="21" t="s">
        <v>145</v>
      </c>
      <c r="E3034" s="21" t="s">
        <v>146</v>
      </c>
      <c r="F3034" s="21" t="s">
        <v>933</v>
      </c>
      <c r="G3034" s="21" t="s">
        <v>934</v>
      </c>
      <c r="H3034" s="21" t="s">
        <v>935</v>
      </c>
      <c r="I3034" s="21" t="s">
        <v>936</v>
      </c>
      <c r="J3034" s="21" t="s">
        <v>1883</v>
      </c>
      <c r="K3034" s="21" t="s">
        <v>1891</v>
      </c>
      <c r="L3034" s="21" t="s">
        <v>1945</v>
      </c>
      <c r="M3034" s="21" t="s">
        <v>12</v>
      </c>
      <c r="N3034" s="54">
        <v>1472.46</v>
      </c>
      <c r="O3034" s="54">
        <v>0</v>
      </c>
      <c r="P3034" s="54">
        <v>0</v>
      </c>
      <c r="Q3034" s="54">
        <v>1472.46</v>
      </c>
      <c r="R3034" s="54">
        <v>0</v>
      </c>
      <c r="S3034" s="54">
        <v>1471.68</v>
      </c>
      <c r="T3034" s="54">
        <v>1471.68</v>
      </c>
      <c r="U3034" s="54">
        <v>0.78</v>
      </c>
      <c r="V3034" s="54">
        <v>0.78</v>
      </c>
      <c r="W3034" s="54">
        <v>0.78</v>
      </c>
    </row>
    <row r="3035" spans="1:23" outlineLevel="2" x14ac:dyDescent="0.2">
      <c r="A3035" s="21" t="s">
        <v>1882</v>
      </c>
      <c r="B3035" s="21" t="s">
        <v>39</v>
      </c>
      <c r="C3035" s="21" t="s">
        <v>58</v>
      </c>
      <c r="D3035" s="21" t="s">
        <v>139</v>
      </c>
      <c r="E3035" s="21" t="s">
        <v>140</v>
      </c>
      <c r="F3035" s="21" t="s">
        <v>933</v>
      </c>
      <c r="G3035" s="21" t="s">
        <v>934</v>
      </c>
      <c r="H3035" s="21" t="s">
        <v>935</v>
      </c>
      <c r="I3035" s="21" t="s">
        <v>936</v>
      </c>
      <c r="J3035" s="21" t="s">
        <v>1883</v>
      </c>
      <c r="K3035" s="21" t="s">
        <v>1891</v>
      </c>
      <c r="L3035" s="21" t="s">
        <v>1945</v>
      </c>
      <c r="M3035" s="21" t="s">
        <v>12</v>
      </c>
      <c r="N3035" s="54">
        <v>1472.46</v>
      </c>
      <c r="O3035" s="54">
        <v>0</v>
      </c>
      <c r="P3035" s="54">
        <v>0</v>
      </c>
      <c r="Q3035" s="54">
        <v>1472.46</v>
      </c>
      <c r="R3035" s="54">
        <v>0</v>
      </c>
      <c r="S3035" s="54">
        <v>0</v>
      </c>
      <c r="T3035" s="54">
        <v>0</v>
      </c>
      <c r="U3035" s="54">
        <v>1472.46</v>
      </c>
      <c r="V3035" s="54">
        <v>1472.46</v>
      </c>
      <c r="W3035" s="54">
        <v>1472.46</v>
      </c>
    </row>
    <row r="3036" spans="1:23" outlineLevel="2" x14ac:dyDescent="0.2">
      <c r="A3036" s="21" t="s">
        <v>1882</v>
      </c>
      <c r="B3036" s="21" t="s">
        <v>39</v>
      </c>
      <c r="C3036" s="21" t="s">
        <v>58</v>
      </c>
      <c r="D3036" s="21" t="s">
        <v>137</v>
      </c>
      <c r="E3036" s="21" t="s">
        <v>138</v>
      </c>
      <c r="F3036" s="21" t="s">
        <v>933</v>
      </c>
      <c r="G3036" s="21" t="s">
        <v>934</v>
      </c>
      <c r="H3036" s="21" t="s">
        <v>935</v>
      </c>
      <c r="I3036" s="21" t="s">
        <v>936</v>
      </c>
      <c r="J3036" s="21" t="s">
        <v>1883</v>
      </c>
      <c r="K3036" s="21" t="s">
        <v>1891</v>
      </c>
      <c r="L3036" s="21" t="s">
        <v>1945</v>
      </c>
      <c r="M3036" s="21" t="s">
        <v>12</v>
      </c>
      <c r="N3036" s="54">
        <v>1472.46</v>
      </c>
      <c r="O3036" s="54">
        <v>0</v>
      </c>
      <c r="P3036" s="54">
        <v>0</v>
      </c>
      <c r="Q3036" s="54">
        <v>1472.46</v>
      </c>
      <c r="R3036" s="54">
        <v>0</v>
      </c>
      <c r="S3036" s="54">
        <v>0</v>
      </c>
      <c r="T3036" s="54">
        <v>0</v>
      </c>
      <c r="U3036" s="54">
        <v>1472.46</v>
      </c>
      <c r="V3036" s="54">
        <v>1472.46</v>
      </c>
      <c r="W3036" s="54">
        <v>1472.46</v>
      </c>
    </row>
    <row r="3037" spans="1:23" outlineLevel="2" x14ac:dyDescent="0.2">
      <c r="A3037" s="21" t="s">
        <v>1882</v>
      </c>
      <c r="B3037" s="21" t="s">
        <v>39</v>
      </c>
      <c r="C3037" s="21" t="s">
        <v>58</v>
      </c>
      <c r="D3037" s="21" t="s">
        <v>135</v>
      </c>
      <c r="E3037" s="21" t="s">
        <v>136</v>
      </c>
      <c r="F3037" s="21" t="s">
        <v>933</v>
      </c>
      <c r="G3037" s="21" t="s">
        <v>934</v>
      </c>
      <c r="H3037" s="21" t="s">
        <v>935</v>
      </c>
      <c r="I3037" s="21" t="s">
        <v>936</v>
      </c>
      <c r="J3037" s="21" t="s">
        <v>1883</v>
      </c>
      <c r="K3037" s="21" t="s">
        <v>1891</v>
      </c>
      <c r="L3037" s="21" t="s">
        <v>1945</v>
      </c>
      <c r="M3037" s="21" t="s">
        <v>12</v>
      </c>
      <c r="N3037" s="54">
        <v>1472.46</v>
      </c>
      <c r="O3037" s="54">
        <v>0</v>
      </c>
      <c r="P3037" s="54">
        <v>0</v>
      </c>
      <c r="Q3037" s="54">
        <v>1472.46</v>
      </c>
      <c r="R3037" s="54">
        <v>0</v>
      </c>
      <c r="S3037" s="54">
        <v>0</v>
      </c>
      <c r="T3037" s="54">
        <v>0</v>
      </c>
      <c r="U3037" s="54">
        <v>1472.46</v>
      </c>
      <c r="V3037" s="54">
        <v>1472.46</v>
      </c>
      <c r="W3037" s="54">
        <v>1472.46</v>
      </c>
    </row>
    <row r="3038" spans="1:23" outlineLevel="2" x14ac:dyDescent="0.2">
      <c r="A3038" s="21" t="s">
        <v>1882</v>
      </c>
      <c r="B3038" s="21" t="s">
        <v>31</v>
      </c>
      <c r="C3038" s="21" t="s">
        <v>32</v>
      </c>
      <c r="D3038" s="21" t="s">
        <v>141</v>
      </c>
      <c r="E3038" s="21" t="s">
        <v>142</v>
      </c>
      <c r="F3038" s="21" t="s">
        <v>933</v>
      </c>
      <c r="G3038" s="21" t="s">
        <v>934</v>
      </c>
      <c r="H3038" s="21" t="s">
        <v>935</v>
      </c>
      <c r="I3038" s="21" t="s">
        <v>936</v>
      </c>
      <c r="J3038" s="21" t="s">
        <v>1883</v>
      </c>
      <c r="K3038" s="21" t="s">
        <v>1884</v>
      </c>
      <c r="L3038" s="21" t="s">
        <v>1947</v>
      </c>
      <c r="M3038" s="21" t="s">
        <v>12</v>
      </c>
      <c r="N3038" s="54">
        <v>682960.5</v>
      </c>
      <c r="O3038" s="54">
        <v>-514481.54</v>
      </c>
      <c r="P3038" s="54">
        <v>0</v>
      </c>
      <c r="Q3038" s="54">
        <v>168478.96</v>
      </c>
      <c r="R3038" s="54">
        <v>0</v>
      </c>
      <c r="S3038" s="54">
        <v>0</v>
      </c>
      <c r="T3038" s="54">
        <v>0</v>
      </c>
      <c r="U3038" s="54">
        <v>168478.96</v>
      </c>
      <c r="V3038" s="54">
        <v>168478.96</v>
      </c>
      <c r="W3038" s="54">
        <v>168478.96</v>
      </c>
    </row>
    <row r="3039" spans="1:23" outlineLevel="2" x14ac:dyDescent="0.2">
      <c r="A3039" s="21" t="s">
        <v>1882</v>
      </c>
      <c r="B3039" s="21" t="s">
        <v>31</v>
      </c>
      <c r="C3039" s="21" t="s">
        <v>32</v>
      </c>
      <c r="D3039" s="21" t="s">
        <v>141</v>
      </c>
      <c r="E3039" s="21" t="s">
        <v>142</v>
      </c>
      <c r="F3039" s="21" t="s">
        <v>933</v>
      </c>
      <c r="G3039" s="21" t="s">
        <v>934</v>
      </c>
      <c r="H3039" s="21" t="s">
        <v>935</v>
      </c>
      <c r="I3039" s="21" t="s">
        <v>936</v>
      </c>
      <c r="J3039" s="21" t="s">
        <v>1883</v>
      </c>
      <c r="K3039" s="21" t="s">
        <v>1925</v>
      </c>
      <c r="L3039" s="21" t="s">
        <v>1948</v>
      </c>
      <c r="M3039" s="21" t="s">
        <v>12</v>
      </c>
      <c r="N3039" s="54">
        <v>0</v>
      </c>
      <c r="O3039" s="54">
        <v>100000</v>
      </c>
      <c r="P3039" s="54">
        <v>0</v>
      </c>
      <c r="Q3039" s="54">
        <v>100000</v>
      </c>
      <c r="R3039" s="54">
        <v>0</v>
      </c>
      <c r="S3039" s="54">
        <v>0</v>
      </c>
      <c r="T3039" s="54">
        <v>0</v>
      </c>
      <c r="U3039" s="54">
        <v>100000</v>
      </c>
      <c r="V3039" s="54">
        <v>100000</v>
      </c>
      <c r="W3039" s="54">
        <v>100000</v>
      </c>
    </row>
    <row r="3040" spans="1:23" outlineLevel="2" x14ac:dyDescent="0.2">
      <c r="A3040" s="21" t="s">
        <v>1882</v>
      </c>
      <c r="B3040" s="21" t="s">
        <v>31</v>
      </c>
      <c r="C3040" s="21" t="s">
        <v>32</v>
      </c>
      <c r="D3040" s="21" t="s">
        <v>141</v>
      </c>
      <c r="E3040" s="21" t="s">
        <v>142</v>
      </c>
      <c r="F3040" s="21" t="s">
        <v>933</v>
      </c>
      <c r="G3040" s="21" t="s">
        <v>934</v>
      </c>
      <c r="H3040" s="21" t="s">
        <v>935</v>
      </c>
      <c r="I3040" s="21" t="s">
        <v>936</v>
      </c>
      <c r="J3040" s="21" t="s">
        <v>1883</v>
      </c>
      <c r="K3040" s="21" t="s">
        <v>1886</v>
      </c>
      <c r="L3040" s="21" t="s">
        <v>1941</v>
      </c>
      <c r="M3040" s="21" t="s">
        <v>12</v>
      </c>
      <c r="N3040" s="54">
        <v>187000</v>
      </c>
      <c r="O3040" s="54">
        <v>-52000</v>
      </c>
      <c r="P3040" s="54">
        <v>0</v>
      </c>
      <c r="Q3040" s="54">
        <v>135000</v>
      </c>
      <c r="R3040" s="54">
        <v>0</v>
      </c>
      <c r="S3040" s="54">
        <v>0</v>
      </c>
      <c r="T3040" s="54">
        <v>0</v>
      </c>
      <c r="U3040" s="54">
        <v>135000</v>
      </c>
      <c r="V3040" s="54">
        <v>135000</v>
      </c>
      <c r="W3040" s="54">
        <v>135000</v>
      </c>
    </row>
    <row r="3041" spans="1:23" outlineLevel="2" x14ac:dyDescent="0.2">
      <c r="A3041" s="21" t="s">
        <v>1882</v>
      </c>
      <c r="B3041" s="21" t="s">
        <v>31</v>
      </c>
      <c r="C3041" s="21" t="s">
        <v>32</v>
      </c>
      <c r="D3041" s="21" t="s">
        <v>141</v>
      </c>
      <c r="E3041" s="21" t="s">
        <v>142</v>
      </c>
      <c r="F3041" s="21" t="s">
        <v>933</v>
      </c>
      <c r="G3041" s="21" t="s">
        <v>934</v>
      </c>
      <c r="H3041" s="21" t="s">
        <v>935</v>
      </c>
      <c r="I3041" s="21" t="s">
        <v>936</v>
      </c>
      <c r="J3041" s="21" t="s">
        <v>1883</v>
      </c>
      <c r="K3041" s="21" t="s">
        <v>1949</v>
      </c>
      <c r="L3041" s="21" t="s">
        <v>1950</v>
      </c>
      <c r="M3041" s="21" t="s">
        <v>12</v>
      </c>
      <c r="N3041" s="54">
        <v>0</v>
      </c>
      <c r="O3041" s="54">
        <v>2719.7</v>
      </c>
      <c r="P3041" s="54">
        <v>0</v>
      </c>
      <c r="Q3041" s="54">
        <v>2719.7</v>
      </c>
      <c r="R3041" s="54">
        <v>0</v>
      </c>
      <c r="S3041" s="54">
        <v>0</v>
      </c>
      <c r="T3041" s="54">
        <v>0</v>
      </c>
      <c r="U3041" s="54">
        <v>2719.7</v>
      </c>
      <c r="V3041" s="54">
        <v>2719.7</v>
      </c>
      <c r="W3041" s="54">
        <v>2719.7</v>
      </c>
    </row>
    <row r="3042" spans="1:23" outlineLevel="2" x14ac:dyDescent="0.2">
      <c r="A3042" s="21" t="s">
        <v>1882</v>
      </c>
      <c r="B3042" s="21" t="s">
        <v>31</v>
      </c>
      <c r="C3042" s="21" t="s">
        <v>32</v>
      </c>
      <c r="D3042" s="21" t="s">
        <v>141</v>
      </c>
      <c r="E3042" s="21" t="s">
        <v>142</v>
      </c>
      <c r="F3042" s="21" t="s">
        <v>933</v>
      </c>
      <c r="G3042" s="21" t="s">
        <v>934</v>
      </c>
      <c r="H3042" s="21" t="s">
        <v>935</v>
      </c>
      <c r="I3042" s="21" t="s">
        <v>936</v>
      </c>
      <c r="J3042" s="21" t="s">
        <v>1883</v>
      </c>
      <c r="K3042" s="21" t="s">
        <v>1914</v>
      </c>
      <c r="L3042" s="21" t="s">
        <v>1951</v>
      </c>
      <c r="M3042" s="21" t="s">
        <v>12</v>
      </c>
      <c r="N3042" s="54">
        <v>0</v>
      </c>
      <c r="O3042" s="54">
        <v>85000</v>
      </c>
      <c r="P3042" s="54">
        <v>0</v>
      </c>
      <c r="Q3042" s="54">
        <v>85000</v>
      </c>
      <c r="R3042" s="54">
        <v>0</v>
      </c>
      <c r="S3042" s="54">
        <v>0</v>
      </c>
      <c r="T3042" s="54">
        <v>0</v>
      </c>
      <c r="U3042" s="54">
        <v>85000</v>
      </c>
      <c r="V3042" s="54">
        <v>85000</v>
      </c>
      <c r="W3042" s="54">
        <v>85000</v>
      </c>
    </row>
    <row r="3043" spans="1:23" outlineLevel="2" x14ac:dyDescent="0.2">
      <c r="A3043" s="21" t="s">
        <v>1882</v>
      </c>
      <c r="B3043" s="21" t="s">
        <v>39</v>
      </c>
      <c r="C3043" s="21" t="s">
        <v>58</v>
      </c>
      <c r="D3043" s="21" t="s">
        <v>147</v>
      </c>
      <c r="E3043" s="21" t="s">
        <v>148</v>
      </c>
      <c r="F3043" s="21" t="s">
        <v>933</v>
      </c>
      <c r="G3043" s="21" t="s">
        <v>934</v>
      </c>
      <c r="H3043" s="21" t="s">
        <v>935</v>
      </c>
      <c r="I3043" s="21" t="s">
        <v>936</v>
      </c>
      <c r="J3043" s="21" t="s">
        <v>1883</v>
      </c>
      <c r="K3043" s="21" t="s">
        <v>1914</v>
      </c>
      <c r="L3043" s="21" t="s">
        <v>1943</v>
      </c>
      <c r="M3043" s="21" t="s">
        <v>12</v>
      </c>
      <c r="N3043" s="54">
        <v>2000</v>
      </c>
      <c r="O3043" s="54">
        <v>0</v>
      </c>
      <c r="P3043" s="54">
        <v>0</v>
      </c>
      <c r="Q3043" s="54">
        <v>2000</v>
      </c>
      <c r="R3043" s="54">
        <v>0</v>
      </c>
      <c r="S3043" s="54">
        <v>0</v>
      </c>
      <c r="T3043" s="54">
        <v>0</v>
      </c>
      <c r="U3043" s="54">
        <v>2000</v>
      </c>
      <c r="V3043" s="54">
        <v>2000</v>
      </c>
      <c r="W3043" s="54">
        <v>2000</v>
      </c>
    </row>
    <row r="3044" spans="1:23" outlineLevel="2" x14ac:dyDescent="0.2">
      <c r="A3044" s="21" t="s">
        <v>1882</v>
      </c>
      <c r="B3044" s="21" t="s">
        <v>31</v>
      </c>
      <c r="C3044" s="21" t="s">
        <v>32</v>
      </c>
      <c r="D3044" s="21" t="s">
        <v>75</v>
      </c>
      <c r="E3044" s="21" t="s">
        <v>76</v>
      </c>
      <c r="F3044" s="21" t="s">
        <v>933</v>
      </c>
      <c r="G3044" s="21" t="s">
        <v>934</v>
      </c>
      <c r="H3044" s="21" t="s">
        <v>949</v>
      </c>
      <c r="I3044" s="21" t="s">
        <v>950</v>
      </c>
      <c r="J3044" s="21" t="s">
        <v>1883</v>
      </c>
      <c r="K3044" s="21" t="s">
        <v>1891</v>
      </c>
      <c r="L3044" s="21" t="s">
        <v>1946</v>
      </c>
      <c r="M3044" s="21" t="s">
        <v>12</v>
      </c>
      <c r="N3044" s="54">
        <v>1500</v>
      </c>
      <c r="O3044" s="54">
        <v>36155.22</v>
      </c>
      <c r="P3044" s="54">
        <v>0</v>
      </c>
      <c r="Q3044" s="54">
        <v>37655.22</v>
      </c>
      <c r="R3044" s="54">
        <v>0</v>
      </c>
      <c r="S3044" s="54">
        <v>0</v>
      </c>
      <c r="T3044" s="54">
        <v>0</v>
      </c>
      <c r="U3044" s="54">
        <v>37655.22</v>
      </c>
      <c r="V3044" s="54">
        <v>37655.22</v>
      </c>
      <c r="W3044" s="54">
        <v>37655.22</v>
      </c>
    </row>
    <row r="3045" spans="1:23" outlineLevel="2" x14ac:dyDescent="0.2">
      <c r="A3045" s="21" t="s">
        <v>1882</v>
      </c>
      <c r="B3045" s="21" t="s">
        <v>31</v>
      </c>
      <c r="C3045" s="21" t="s">
        <v>32</v>
      </c>
      <c r="D3045" s="21" t="s">
        <v>123</v>
      </c>
      <c r="E3045" s="21" t="s">
        <v>124</v>
      </c>
      <c r="F3045" s="21" t="s">
        <v>933</v>
      </c>
      <c r="G3045" s="21" t="s">
        <v>934</v>
      </c>
      <c r="H3045" s="21" t="s">
        <v>949</v>
      </c>
      <c r="I3045" s="21" t="s">
        <v>950</v>
      </c>
      <c r="J3045" s="21" t="s">
        <v>1883</v>
      </c>
      <c r="K3045" s="21" t="s">
        <v>1884</v>
      </c>
      <c r="L3045" s="21" t="s">
        <v>1947</v>
      </c>
      <c r="M3045" s="21" t="s">
        <v>12</v>
      </c>
      <c r="N3045" s="54">
        <v>50000</v>
      </c>
      <c r="O3045" s="54">
        <v>0</v>
      </c>
      <c r="P3045" s="54">
        <v>0</v>
      </c>
      <c r="Q3045" s="54">
        <v>50000</v>
      </c>
      <c r="R3045" s="54">
        <v>5789.56</v>
      </c>
      <c r="S3045" s="54">
        <v>3108</v>
      </c>
      <c r="T3045" s="54">
        <v>3108</v>
      </c>
      <c r="U3045" s="54">
        <v>46892</v>
      </c>
      <c r="V3045" s="54">
        <v>46892</v>
      </c>
      <c r="W3045" s="54">
        <v>41102.44</v>
      </c>
    </row>
    <row r="3046" spans="1:23" outlineLevel="2" x14ac:dyDescent="0.2">
      <c r="A3046" s="21" t="s">
        <v>1882</v>
      </c>
      <c r="B3046" s="21" t="s">
        <v>31</v>
      </c>
      <c r="C3046" s="21" t="s">
        <v>32</v>
      </c>
      <c r="D3046" s="21" t="s">
        <v>75</v>
      </c>
      <c r="E3046" s="21" t="s">
        <v>76</v>
      </c>
      <c r="F3046" s="21" t="s">
        <v>933</v>
      </c>
      <c r="G3046" s="21" t="s">
        <v>934</v>
      </c>
      <c r="H3046" s="21" t="s">
        <v>949</v>
      </c>
      <c r="I3046" s="21" t="s">
        <v>950</v>
      </c>
      <c r="J3046" s="21" t="s">
        <v>1883</v>
      </c>
      <c r="K3046" s="21" t="s">
        <v>1884</v>
      </c>
      <c r="L3046" s="21" t="s">
        <v>1947</v>
      </c>
      <c r="M3046" s="21" t="s">
        <v>12</v>
      </c>
      <c r="N3046" s="54">
        <v>30000</v>
      </c>
      <c r="O3046" s="54">
        <v>78616</v>
      </c>
      <c r="P3046" s="54">
        <v>0</v>
      </c>
      <c r="Q3046" s="54">
        <v>108616</v>
      </c>
      <c r="R3046" s="54">
        <v>0</v>
      </c>
      <c r="S3046" s="54">
        <v>0</v>
      </c>
      <c r="T3046" s="54">
        <v>0</v>
      </c>
      <c r="U3046" s="54">
        <v>108616</v>
      </c>
      <c r="V3046" s="54">
        <v>108616</v>
      </c>
      <c r="W3046" s="54">
        <v>108616</v>
      </c>
    </row>
    <row r="3047" spans="1:23" outlineLevel="2" x14ac:dyDescent="0.2">
      <c r="A3047" s="21" t="s">
        <v>1882</v>
      </c>
      <c r="B3047" s="21" t="s">
        <v>31</v>
      </c>
      <c r="C3047" s="21" t="s">
        <v>32</v>
      </c>
      <c r="D3047" s="21" t="s">
        <v>33</v>
      </c>
      <c r="E3047" s="21" t="s">
        <v>34</v>
      </c>
      <c r="F3047" s="21" t="s">
        <v>933</v>
      </c>
      <c r="G3047" s="21" t="s">
        <v>934</v>
      </c>
      <c r="H3047" s="21" t="s">
        <v>949</v>
      </c>
      <c r="I3047" s="21" t="s">
        <v>950</v>
      </c>
      <c r="J3047" s="21" t="s">
        <v>1883</v>
      </c>
      <c r="K3047" s="21" t="s">
        <v>1886</v>
      </c>
      <c r="L3047" s="21" t="s">
        <v>1941</v>
      </c>
      <c r="M3047" s="21" t="s">
        <v>12</v>
      </c>
      <c r="N3047" s="54">
        <v>0</v>
      </c>
      <c r="O3047" s="54">
        <v>17919.98</v>
      </c>
      <c r="P3047" s="54">
        <v>0</v>
      </c>
      <c r="Q3047" s="54">
        <v>17919.98</v>
      </c>
      <c r="R3047" s="54">
        <v>0</v>
      </c>
      <c r="S3047" s="54">
        <v>17919.98</v>
      </c>
      <c r="T3047" s="54">
        <v>17919.98</v>
      </c>
      <c r="U3047" s="54">
        <v>0</v>
      </c>
      <c r="V3047" s="54">
        <v>0</v>
      </c>
      <c r="W3047" s="54">
        <v>0</v>
      </c>
    </row>
    <row r="3048" spans="1:23" outlineLevel="2" x14ac:dyDescent="0.2">
      <c r="A3048" s="21" t="s">
        <v>1882</v>
      </c>
      <c r="B3048" s="21" t="s">
        <v>31</v>
      </c>
      <c r="C3048" s="21" t="s">
        <v>32</v>
      </c>
      <c r="D3048" s="21" t="s">
        <v>75</v>
      </c>
      <c r="E3048" s="21" t="s">
        <v>76</v>
      </c>
      <c r="F3048" s="21" t="s">
        <v>933</v>
      </c>
      <c r="G3048" s="21" t="s">
        <v>934</v>
      </c>
      <c r="H3048" s="21" t="s">
        <v>949</v>
      </c>
      <c r="I3048" s="21" t="s">
        <v>950</v>
      </c>
      <c r="J3048" s="21" t="s">
        <v>1883</v>
      </c>
      <c r="K3048" s="21" t="s">
        <v>1886</v>
      </c>
      <c r="L3048" s="21" t="s">
        <v>1941</v>
      </c>
      <c r="M3048" s="21" t="s">
        <v>12</v>
      </c>
      <c r="N3048" s="54">
        <v>50000</v>
      </c>
      <c r="O3048" s="54">
        <v>-42133.88</v>
      </c>
      <c r="P3048" s="54">
        <v>0</v>
      </c>
      <c r="Q3048" s="54">
        <v>7866.12</v>
      </c>
      <c r="R3048" s="54">
        <v>0</v>
      </c>
      <c r="S3048" s="54">
        <v>0</v>
      </c>
      <c r="T3048" s="54">
        <v>0</v>
      </c>
      <c r="U3048" s="54">
        <v>7866.12</v>
      </c>
      <c r="V3048" s="54">
        <v>7866.12</v>
      </c>
      <c r="W3048" s="54">
        <v>7866.12</v>
      </c>
    </row>
    <row r="3049" spans="1:23" outlineLevel="2" x14ac:dyDescent="0.2">
      <c r="A3049" s="21" t="s">
        <v>1882</v>
      </c>
      <c r="B3049" s="21" t="s">
        <v>31</v>
      </c>
      <c r="C3049" s="21" t="s">
        <v>32</v>
      </c>
      <c r="D3049" s="21" t="s">
        <v>123</v>
      </c>
      <c r="E3049" s="21" t="s">
        <v>124</v>
      </c>
      <c r="F3049" s="21" t="s">
        <v>933</v>
      </c>
      <c r="G3049" s="21" t="s">
        <v>934</v>
      </c>
      <c r="H3049" s="21" t="s">
        <v>949</v>
      </c>
      <c r="I3049" s="21" t="s">
        <v>950</v>
      </c>
      <c r="J3049" s="21" t="s">
        <v>1883</v>
      </c>
      <c r="K3049" s="21" t="s">
        <v>1886</v>
      </c>
      <c r="L3049" s="21" t="s">
        <v>1941</v>
      </c>
      <c r="M3049" s="21" t="s">
        <v>12</v>
      </c>
      <c r="N3049" s="54">
        <v>46000</v>
      </c>
      <c r="O3049" s="54">
        <v>0</v>
      </c>
      <c r="P3049" s="54">
        <v>0</v>
      </c>
      <c r="Q3049" s="54">
        <v>46000</v>
      </c>
      <c r="R3049" s="54">
        <v>104.92</v>
      </c>
      <c r="S3049" s="54">
        <v>10379.040000000001</v>
      </c>
      <c r="T3049" s="54">
        <v>10379.040000000001</v>
      </c>
      <c r="U3049" s="54">
        <v>35620.959999999999</v>
      </c>
      <c r="V3049" s="54">
        <v>35620.959999999999</v>
      </c>
      <c r="W3049" s="54">
        <v>35516.04</v>
      </c>
    </row>
    <row r="3050" spans="1:23" outlineLevel="2" x14ac:dyDescent="0.2">
      <c r="A3050" s="21" t="s">
        <v>1882</v>
      </c>
      <c r="B3050" s="21" t="s">
        <v>31</v>
      </c>
      <c r="C3050" s="21" t="s">
        <v>32</v>
      </c>
      <c r="D3050" s="21" t="s">
        <v>75</v>
      </c>
      <c r="E3050" s="21" t="s">
        <v>76</v>
      </c>
      <c r="F3050" s="21" t="s">
        <v>933</v>
      </c>
      <c r="G3050" s="21" t="s">
        <v>934</v>
      </c>
      <c r="H3050" s="21" t="s">
        <v>949</v>
      </c>
      <c r="I3050" s="21" t="s">
        <v>950</v>
      </c>
      <c r="J3050" s="21" t="s">
        <v>1883</v>
      </c>
      <c r="K3050" s="21" t="s">
        <v>1914</v>
      </c>
      <c r="L3050" s="21" t="s">
        <v>1951</v>
      </c>
      <c r="M3050" s="21" t="s">
        <v>12</v>
      </c>
      <c r="N3050" s="54">
        <v>650757</v>
      </c>
      <c r="O3050" s="54">
        <v>-416807.37</v>
      </c>
      <c r="P3050" s="54">
        <v>0</v>
      </c>
      <c r="Q3050" s="54">
        <v>233949.63</v>
      </c>
      <c r="R3050" s="54">
        <v>0</v>
      </c>
      <c r="S3050" s="54">
        <v>47687.02</v>
      </c>
      <c r="T3050" s="54">
        <v>47687.02</v>
      </c>
      <c r="U3050" s="54">
        <v>186262.61</v>
      </c>
      <c r="V3050" s="54">
        <v>186262.61</v>
      </c>
      <c r="W3050" s="54">
        <v>186262.61</v>
      </c>
    </row>
    <row r="3051" spans="1:23" outlineLevel="2" x14ac:dyDescent="0.2">
      <c r="A3051" s="21" t="s">
        <v>1882</v>
      </c>
      <c r="B3051" s="21" t="s">
        <v>31</v>
      </c>
      <c r="C3051" s="21" t="s">
        <v>32</v>
      </c>
      <c r="D3051" s="21" t="s">
        <v>33</v>
      </c>
      <c r="E3051" s="21" t="s">
        <v>34</v>
      </c>
      <c r="F3051" s="21" t="s">
        <v>933</v>
      </c>
      <c r="G3051" s="21" t="s">
        <v>934</v>
      </c>
      <c r="H3051" s="21" t="s">
        <v>949</v>
      </c>
      <c r="I3051" s="21" t="s">
        <v>950</v>
      </c>
      <c r="J3051" s="21" t="s">
        <v>1883</v>
      </c>
      <c r="K3051" s="21" t="s">
        <v>1914</v>
      </c>
      <c r="L3051" s="21" t="s">
        <v>1951</v>
      </c>
      <c r="M3051" s="21" t="s">
        <v>12</v>
      </c>
      <c r="N3051" s="54">
        <v>25000</v>
      </c>
      <c r="O3051" s="54">
        <v>41236.54</v>
      </c>
      <c r="P3051" s="54">
        <v>0</v>
      </c>
      <c r="Q3051" s="54">
        <v>66236.539999999994</v>
      </c>
      <c r="R3051" s="54">
        <v>0</v>
      </c>
      <c r="S3051" s="54">
        <v>28236.54</v>
      </c>
      <c r="T3051" s="54">
        <v>28236.54</v>
      </c>
      <c r="U3051" s="54">
        <v>38000</v>
      </c>
      <c r="V3051" s="54">
        <v>38000</v>
      </c>
      <c r="W3051" s="54">
        <v>38000</v>
      </c>
    </row>
    <row r="3052" spans="1:23" outlineLevel="2" x14ac:dyDescent="0.2">
      <c r="A3052" s="21" t="s">
        <v>1882</v>
      </c>
      <c r="B3052" s="21" t="s">
        <v>31</v>
      </c>
      <c r="C3052" s="21" t="s">
        <v>32</v>
      </c>
      <c r="D3052" s="21" t="s">
        <v>33</v>
      </c>
      <c r="E3052" s="21" t="s">
        <v>34</v>
      </c>
      <c r="F3052" s="21" t="s">
        <v>933</v>
      </c>
      <c r="G3052" s="21" t="s">
        <v>934</v>
      </c>
      <c r="H3052" s="21" t="s">
        <v>949</v>
      </c>
      <c r="I3052" s="21" t="s">
        <v>950</v>
      </c>
      <c r="J3052" s="21" t="s">
        <v>1883</v>
      </c>
      <c r="K3052" s="21" t="s">
        <v>1952</v>
      </c>
      <c r="L3052" s="21" t="s">
        <v>1953</v>
      </c>
      <c r="M3052" s="21" t="s">
        <v>12</v>
      </c>
      <c r="N3052" s="54">
        <v>20000</v>
      </c>
      <c r="O3052" s="54">
        <v>-13224</v>
      </c>
      <c r="P3052" s="54">
        <v>0</v>
      </c>
      <c r="Q3052" s="54">
        <v>6776</v>
      </c>
      <c r="R3052" s="54">
        <v>0</v>
      </c>
      <c r="S3052" s="54">
        <v>0</v>
      </c>
      <c r="T3052" s="54">
        <v>0</v>
      </c>
      <c r="U3052" s="54">
        <v>6776</v>
      </c>
      <c r="V3052" s="54">
        <v>6776</v>
      </c>
      <c r="W3052" s="54">
        <v>6776</v>
      </c>
    </row>
    <row r="3053" spans="1:23" outlineLevel="2" x14ac:dyDescent="0.2">
      <c r="A3053" s="21" t="s">
        <v>1882</v>
      </c>
      <c r="B3053" s="21" t="s">
        <v>31</v>
      </c>
      <c r="C3053" s="21" t="s">
        <v>32</v>
      </c>
      <c r="D3053" s="21" t="s">
        <v>75</v>
      </c>
      <c r="E3053" s="21" t="s">
        <v>76</v>
      </c>
      <c r="F3053" s="21" t="s">
        <v>933</v>
      </c>
      <c r="G3053" s="21" t="s">
        <v>934</v>
      </c>
      <c r="H3053" s="21" t="s">
        <v>949</v>
      </c>
      <c r="I3053" s="21" t="s">
        <v>950</v>
      </c>
      <c r="J3053" s="21" t="s">
        <v>1883</v>
      </c>
      <c r="K3053" s="21" t="s">
        <v>1952</v>
      </c>
      <c r="L3053" s="21" t="s">
        <v>1953</v>
      </c>
      <c r="M3053" s="21" t="s">
        <v>12</v>
      </c>
      <c r="N3053" s="54">
        <v>2550</v>
      </c>
      <c r="O3053" s="54">
        <v>38176.959999999999</v>
      </c>
      <c r="P3053" s="54">
        <v>0</v>
      </c>
      <c r="Q3053" s="54">
        <v>40726.959999999999</v>
      </c>
      <c r="R3053" s="54">
        <v>0</v>
      </c>
      <c r="S3053" s="54">
        <v>0</v>
      </c>
      <c r="T3053" s="54">
        <v>0</v>
      </c>
      <c r="U3053" s="54">
        <v>40726.959999999999</v>
      </c>
      <c r="V3053" s="54">
        <v>40726.959999999999</v>
      </c>
      <c r="W3053" s="54">
        <v>40726.959999999999</v>
      </c>
    </row>
    <row r="3054" spans="1:23" outlineLevel="2" x14ac:dyDescent="0.2">
      <c r="A3054" s="21" t="s">
        <v>1882</v>
      </c>
      <c r="B3054" s="21" t="s">
        <v>31</v>
      </c>
      <c r="C3054" s="21" t="s">
        <v>32</v>
      </c>
      <c r="D3054" s="21" t="s">
        <v>75</v>
      </c>
      <c r="E3054" s="21" t="s">
        <v>76</v>
      </c>
      <c r="F3054" s="21" t="s">
        <v>933</v>
      </c>
      <c r="G3054" s="21" t="s">
        <v>934</v>
      </c>
      <c r="H3054" s="21" t="s">
        <v>963</v>
      </c>
      <c r="I3054" s="21" t="s">
        <v>964</v>
      </c>
      <c r="J3054" s="21" t="s">
        <v>1883</v>
      </c>
      <c r="K3054" s="21" t="s">
        <v>1891</v>
      </c>
      <c r="L3054" s="21" t="s">
        <v>1946</v>
      </c>
      <c r="M3054" s="21" t="s">
        <v>12</v>
      </c>
      <c r="N3054" s="54">
        <v>6000</v>
      </c>
      <c r="O3054" s="54">
        <v>12000</v>
      </c>
      <c r="P3054" s="54">
        <v>0</v>
      </c>
      <c r="Q3054" s="54">
        <v>18000</v>
      </c>
      <c r="R3054" s="54">
        <v>0</v>
      </c>
      <c r="S3054" s="54">
        <v>0</v>
      </c>
      <c r="T3054" s="54">
        <v>0</v>
      </c>
      <c r="U3054" s="54">
        <v>18000</v>
      </c>
      <c r="V3054" s="54">
        <v>18000</v>
      </c>
      <c r="W3054" s="54">
        <v>18000</v>
      </c>
    </row>
    <row r="3055" spans="1:23" outlineLevel="2" x14ac:dyDescent="0.2">
      <c r="A3055" s="21" t="s">
        <v>1882</v>
      </c>
      <c r="B3055" s="21" t="s">
        <v>31</v>
      </c>
      <c r="C3055" s="21" t="s">
        <v>32</v>
      </c>
      <c r="D3055" s="21" t="s">
        <v>75</v>
      </c>
      <c r="E3055" s="21" t="s">
        <v>76</v>
      </c>
      <c r="F3055" s="21" t="s">
        <v>933</v>
      </c>
      <c r="G3055" s="21" t="s">
        <v>934</v>
      </c>
      <c r="H3055" s="21" t="s">
        <v>963</v>
      </c>
      <c r="I3055" s="21" t="s">
        <v>964</v>
      </c>
      <c r="J3055" s="21" t="s">
        <v>1883</v>
      </c>
      <c r="K3055" s="21" t="s">
        <v>1884</v>
      </c>
      <c r="L3055" s="21" t="s">
        <v>1947</v>
      </c>
      <c r="M3055" s="21" t="s">
        <v>12</v>
      </c>
      <c r="N3055" s="54">
        <v>19000</v>
      </c>
      <c r="O3055" s="54">
        <v>-5000</v>
      </c>
      <c r="P3055" s="54">
        <v>0</v>
      </c>
      <c r="Q3055" s="54">
        <v>14000</v>
      </c>
      <c r="R3055" s="54">
        <v>0</v>
      </c>
      <c r="S3055" s="54">
        <v>0</v>
      </c>
      <c r="T3055" s="54">
        <v>0</v>
      </c>
      <c r="U3055" s="54">
        <v>14000</v>
      </c>
      <c r="V3055" s="54">
        <v>14000</v>
      </c>
      <c r="W3055" s="54">
        <v>14000</v>
      </c>
    </row>
    <row r="3056" spans="1:23" outlineLevel="2" x14ac:dyDescent="0.2">
      <c r="A3056" s="21" t="s">
        <v>1882</v>
      </c>
      <c r="B3056" s="21" t="s">
        <v>31</v>
      </c>
      <c r="C3056" s="21" t="s">
        <v>32</v>
      </c>
      <c r="D3056" s="21" t="s">
        <v>75</v>
      </c>
      <c r="E3056" s="21" t="s">
        <v>76</v>
      </c>
      <c r="F3056" s="21" t="s">
        <v>933</v>
      </c>
      <c r="G3056" s="21" t="s">
        <v>934</v>
      </c>
      <c r="H3056" s="21" t="s">
        <v>963</v>
      </c>
      <c r="I3056" s="21" t="s">
        <v>964</v>
      </c>
      <c r="J3056" s="21" t="s">
        <v>1883</v>
      </c>
      <c r="K3056" s="21" t="s">
        <v>1886</v>
      </c>
      <c r="L3056" s="21" t="s">
        <v>1941</v>
      </c>
      <c r="M3056" s="21" t="s">
        <v>12</v>
      </c>
      <c r="N3056" s="54">
        <v>50000</v>
      </c>
      <c r="O3056" s="54">
        <v>-8478.44</v>
      </c>
      <c r="P3056" s="54">
        <v>0</v>
      </c>
      <c r="Q3056" s="54">
        <v>41521.56</v>
      </c>
      <c r="R3056" s="54">
        <v>0</v>
      </c>
      <c r="S3056" s="54">
        <v>0</v>
      </c>
      <c r="T3056" s="54">
        <v>0</v>
      </c>
      <c r="U3056" s="54">
        <v>41521.56</v>
      </c>
      <c r="V3056" s="54">
        <v>41521.56</v>
      </c>
      <c r="W3056" s="54">
        <v>41521.56</v>
      </c>
    </row>
    <row r="3057" spans="1:23" outlineLevel="2" x14ac:dyDescent="0.2">
      <c r="A3057" s="21" t="s">
        <v>1882</v>
      </c>
      <c r="B3057" s="21" t="s">
        <v>31</v>
      </c>
      <c r="C3057" s="21" t="s">
        <v>32</v>
      </c>
      <c r="D3057" s="21" t="s">
        <v>123</v>
      </c>
      <c r="E3057" s="21" t="s">
        <v>124</v>
      </c>
      <c r="F3057" s="21" t="s">
        <v>933</v>
      </c>
      <c r="G3057" s="21" t="s">
        <v>934</v>
      </c>
      <c r="H3057" s="21" t="s">
        <v>965</v>
      </c>
      <c r="I3057" s="21" t="s">
        <v>966</v>
      </c>
      <c r="J3057" s="21" t="s">
        <v>1883</v>
      </c>
      <c r="K3057" s="21" t="s">
        <v>1891</v>
      </c>
      <c r="L3057" s="21" t="s">
        <v>1946</v>
      </c>
      <c r="M3057" s="21" t="s">
        <v>12</v>
      </c>
      <c r="N3057" s="54">
        <v>4000</v>
      </c>
      <c r="O3057" s="54">
        <v>-4000</v>
      </c>
      <c r="P3057" s="54">
        <v>0</v>
      </c>
      <c r="Q3057" s="54">
        <v>0</v>
      </c>
      <c r="R3057" s="54">
        <v>0</v>
      </c>
      <c r="S3057" s="54">
        <v>0</v>
      </c>
      <c r="T3057" s="54">
        <v>0</v>
      </c>
      <c r="U3057" s="54">
        <v>0</v>
      </c>
      <c r="V3057" s="54">
        <v>0</v>
      </c>
      <c r="W3057" s="54">
        <v>0</v>
      </c>
    </row>
    <row r="3058" spans="1:23" outlineLevel="2" x14ac:dyDescent="0.2">
      <c r="A3058" s="21" t="s">
        <v>1882</v>
      </c>
      <c r="B3058" s="21" t="s">
        <v>31</v>
      </c>
      <c r="C3058" s="21" t="s">
        <v>32</v>
      </c>
      <c r="D3058" s="21" t="s">
        <v>123</v>
      </c>
      <c r="E3058" s="21" t="s">
        <v>124</v>
      </c>
      <c r="F3058" s="21" t="s">
        <v>933</v>
      </c>
      <c r="G3058" s="21" t="s">
        <v>934</v>
      </c>
      <c r="H3058" s="21" t="s">
        <v>965</v>
      </c>
      <c r="I3058" s="21" t="s">
        <v>966</v>
      </c>
      <c r="J3058" s="21" t="s">
        <v>1883</v>
      </c>
      <c r="K3058" s="21" t="s">
        <v>1884</v>
      </c>
      <c r="L3058" s="21" t="s">
        <v>1947</v>
      </c>
      <c r="M3058" s="21" t="s">
        <v>12</v>
      </c>
      <c r="N3058" s="54">
        <v>84000</v>
      </c>
      <c r="O3058" s="54">
        <v>-84000</v>
      </c>
      <c r="P3058" s="54">
        <v>0</v>
      </c>
      <c r="Q3058" s="54">
        <v>0</v>
      </c>
      <c r="R3058" s="54">
        <v>0</v>
      </c>
      <c r="S3058" s="54">
        <v>0</v>
      </c>
      <c r="T3058" s="54">
        <v>0</v>
      </c>
      <c r="U3058" s="54">
        <v>0</v>
      </c>
      <c r="V3058" s="54">
        <v>0</v>
      </c>
      <c r="W3058" s="54">
        <v>0</v>
      </c>
    </row>
    <row r="3059" spans="1:23" outlineLevel="2" x14ac:dyDescent="0.2">
      <c r="A3059" s="21" t="s">
        <v>1882</v>
      </c>
      <c r="B3059" s="21" t="s">
        <v>31</v>
      </c>
      <c r="C3059" s="21" t="s">
        <v>32</v>
      </c>
      <c r="D3059" s="21" t="s">
        <v>123</v>
      </c>
      <c r="E3059" s="21" t="s">
        <v>124</v>
      </c>
      <c r="F3059" s="21" t="s">
        <v>933</v>
      </c>
      <c r="G3059" s="21" t="s">
        <v>934</v>
      </c>
      <c r="H3059" s="21" t="s">
        <v>965</v>
      </c>
      <c r="I3059" s="21" t="s">
        <v>966</v>
      </c>
      <c r="J3059" s="21" t="s">
        <v>1883</v>
      </c>
      <c r="K3059" s="21" t="s">
        <v>1886</v>
      </c>
      <c r="L3059" s="21" t="s">
        <v>1941</v>
      </c>
      <c r="M3059" s="21" t="s">
        <v>12</v>
      </c>
      <c r="N3059" s="54">
        <v>22000</v>
      </c>
      <c r="O3059" s="54">
        <v>-15000</v>
      </c>
      <c r="P3059" s="54">
        <v>0</v>
      </c>
      <c r="Q3059" s="54">
        <v>7000</v>
      </c>
      <c r="R3059" s="54">
        <v>0</v>
      </c>
      <c r="S3059" s="54">
        <v>0</v>
      </c>
      <c r="T3059" s="54">
        <v>0</v>
      </c>
      <c r="U3059" s="54">
        <v>7000</v>
      </c>
      <c r="V3059" s="54">
        <v>7000</v>
      </c>
      <c r="W3059" s="54">
        <v>7000</v>
      </c>
    </row>
    <row r="3060" spans="1:23" outlineLevel="2" x14ac:dyDescent="0.2">
      <c r="A3060" s="21" t="s">
        <v>1882</v>
      </c>
      <c r="B3060" s="21" t="s">
        <v>39</v>
      </c>
      <c r="C3060" s="21" t="s">
        <v>70</v>
      </c>
      <c r="D3060" s="21" t="s">
        <v>89</v>
      </c>
      <c r="E3060" s="21" t="s">
        <v>90</v>
      </c>
      <c r="F3060" s="21" t="s">
        <v>1618</v>
      </c>
      <c r="G3060" s="21" t="s">
        <v>1619</v>
      </c>
      <c r="H3060" s="21" t="s">
        <v>1620</v>
      </c>
      <c r="I3060" s="21" t="s">
        <v>1621</v>
      </c>
      <c r="J3060" s="21" t="s">
        <v>1883</v>
      </c>
      <c r="K3060" s="21" t="s">
        <v>1886</v>
      </c>
      <c r="L3060" s="21" t="s">
        <v>1954</v>
      </c>
      <c r="M3060" s="21" t="s">
        <v>12</v>
      </c>
      <c r="N3060" s="54">
        <v>150000</v>
      </c>
      <c r="O3060" s="54">
        <v>0</v>
      </c>
      <c r="P3060" s="54">
        <v>0</v>
      </c>
      <c r="Q3060" s="54">
        <v>150000</v>
      </c>
      <c r="R3060" s="54">
        <v>37899.99</v>
      </c>
      <c r="S3060" s="54">
        <v>0</v>
      </c>
      <c r="T3060" s="54">
        <v>0</v>
      </c>
      <c r="U3060" s="54">
        <v>150000</v>
      </c>
      <c r="V3060" s="54">
        <v>150000</v>
      </c>
      <c r="W3060" s="54">
        <v>112100.01</v>
      </c>
    </row>
    <row r="3061" spans="1:23" outlineLevel="2" x14ac:dyDescent="0.2">
      <c r="A3061" s="21" t="s">
        <v>1882</v>
      </c>
      <c r="B3061" s="21" t="s">
        <v>39</v>
      </c>
      <c r="C3061" s="21" t="s">
        <v>70</v>
      </c>
      <c r="D3061" s="21" t="s">
        <v>71</v>
      </c>
      <c r="E3061" s="21" t="s">
        <v>72</v>
      </c>
      <c r="F3061" s="21" t="s">
        <v>1618</v>
      </c>
      <c r="G3061" s="21" t="s">
        <v>1619</v>
      </c>
      <c r="H3061" s="21" t="s">
        <v>1625</v>
      </c>
      <c r="I3061" s="21" t="s">
        <v>1626</v>
      </c>
      <c r="J3061" s="21" t="s">
        <v>1883</v>
      </c>
      <c r="K3061" s="21" t="s">
        <v>1886</v>
      </c>
      <c r="L3061" s="21" t="s">
        <v>1954</v>
      </c>
      <c r="M3061" s="21" t="s">
        <v>12</v>
      </c>
      <c r="N3061" s="54">
        <v>65600</v>
      </c>
      <c r="O3061" s="54">
        <v>0</v>
      </c>
      <c r="P3061" s="54">
        <v>0</v>
      </c>
      <c r="Q3061" s="54">
        <v>65600</v>
      </c>
      <c r="R3061" s="54">
        <v>0</v>
      </c>
      <c r="S3061" s="54">
        <v>0</v>
      </c>
      <c r="T3061" s="54">
        <v>0</v>
      </c>
      <c r="U3061" s="54">
        <v>65600</v>
      </c>
      <c r="V3061" s="54">
        <v>65600</v>
      </c>
      <c r="W3061" s="54">
        <v>65600</v>
      </c>
    </row>
    <row r="3062" spans="1:23" outlineLevel="2" x14ac:dyDescent="0.2">
      <c r="A3062" s="21" t="s">
        <v>1882</v>
      </c>
      <c r="B3062" s="21" t="s">
        <v>39</v>
      </c>
      <c r="C3062" s="21" t="s">
        <v>70</v>
      </c>
      <c r="D3062" s="21" t="s">
        <v>89</v>
      </c>
      <c r="E3062" s="21" t="s">
        <v>90</v>
      </c>
      <c r="F3062" s="21" t="s">
        <v>1618</v>
      </c>
      <c r="G3062" s="21" t="s">
        <v>1619</v>
      </c>
      <c r="H3062" s="21" t="s">
        <v>1643</v>
      </c>
      <c r="I3062" s="21" t="s">
        <v>1644</v>
      </c>
      <c r="J3062" s="21" t="s">
        <v>1883</v>
      </c>
      <c r="K3062" s="21" t="s">
        <v>1884</v>
      </c>
      <c r="L3062" s="21" t="s">
        <v>1955</v>
      </c>
      <c r="M3062" s="21" t="s">
        <v>15</v>
      </c>
      <c r="N3062" s="54">
        <v>67920</v>
      </c>
      <c r="O3062" s="54">
        <v>0</v>
      </c>
      <c r="P3062" s="54">
        <v>0</v>
      </c>
      <c r="Q3062" s="54">
        <v>67920</v>
      </c>
      <c r="R3062" s="54">
        <v>0</v>
      </c>
      <c r="S3062" s="54">
        <v>0</v>
      </c>
      <c r="T3062" s="54">
        <v>0</v>
      </c>
      <c r="U3062" s="54">
        <v>67920</v>
      </c>
      <c r="V3062" s="54">
        <v>67920</v>
      </c>
      <c r="W3062" s="54">
        <v>67920</v>
      </c>
    </row>
    <row r="3063" spans="1:23" outlineLevel="2" x14ac:dyDescent="0.2">
      <c r="A3063" s="21" t="s">
        <v>1882</v>
      </c>
      <c r="B3063" s="21" t="s">
        <v>39</v>
      </c>
      <c r="C3063" s="21" t="s">
        <v>70</v>
      </c>
      <c r="D3063" s="21" t="s">
        <v>89</v>
      </c>
      <c r="E3063" s="21" t="s">
        <v>90</v>
      </c>
      <c r="F3063" s="21" t="s">
        <v>1618</v>
      </c>
      <c r="G3063" s="21" t="s">
        <v>1619</v>
      </c>
      <c r="H3063" s="21" t="s">
        <v>1643</v>
      </c>
      <c r="I3063" s="21" t="s">
        <v>1644</v>
      </c>
      <c r="J3063" s="21" t="s">
        <v>1883</v>
      </c>
      <c r="K3063" s="21" t="s">
        <v>1884</v>
      </c>
      <c r="L3063" s="21" t="s">
        <v>1955</v>
      </c>
      <c r="M3063" s="21" t="s">
        <v>12</v>
      </c>
      <c r="N3063" s="54">
        <v>381700</v>
      </c>
      <c r="O3063" s="54">
        <v>0</v>
      </c>
      <c r="P3063" s="54">
        <v>0</v>
      </c>
      <c r="Q3063" s="54">
        <v>381700</v>
      </c>
      <c r="R3063" s="54">
        <v>0</v>
      </c>
      <c r="S3063" s="54">
        <v>1310.4000000000001</v>
      </c>
      <c r="T3063" s="54">
        <v>1310.4000000000001</v>
      </c>
      <c r="U3063" s="54">
        <v>380389.6</v>
      </c>
      <c r="V3063" s="54">
        <v>380389.6</v>
      </c>
      <c r="W3063" s="54">
        <v>380389.6</v>
      </c>
    </row>
    <row r="3064" spans="1:23" outlineLevel="2" x14ac:dyDescent="0.2">
      <c r="A3064" s="21" t="s">
        <v>1882</v>
      </c>
      <c r="B3064" s="21" t="s">
        <v>39</v>
      </c>
      <c r="C3064" s="21" t="s">
        <v>70</v>
      </c>
      <c r="D3064" s="21" t="s">
        <v>89</v>
      </c>
      <c r="E3064" s="21" t="s">
        <v>90</v>
      </c>
      <c r="F3064" s="21" t="s">
        <v>1618</v>
      </c>
      <c r="G3064" s="21" t="s">
        <v>1619</v>
      </c>
      <c r="H3064" s="21" t="s">
        <v>1643</v>
      </c>
      <c r="I3064" s="21" t="s">
        <v>1644</v>
      </c>
      <c r="J3064" s="21" t="s">
        <v>1883</v>
      </c>
      <c r="K3064" s="21" t="s">
        <v>1886</v>
      </c>
      <c r="L3064" s="21" t="s">
        <v>1954</v>
      </c>
      <c r="M3064" s="21" t="s">
        <v>12</v>
      </c>
      <c r="N3064" s="54">
        <v>50000</v>
      </c>
      <c r="O3064" s="54">
        <v>0</v>
      </c>
      <c r="P3064" s="54">
        <v>0</v>
      </c>
      <c r="Q3064" s="54">
        <v>50000</v>
      </c>
      <c r="R3064" s="54">
        <v>0</v>
      </c>
      <c r="S3064" s="54">
        <v>0</v>
      </c>
      <c r="T3064" s="54">
        <v>0</v>
      </c>
      <c r="U3064" s="54">
        <v>50000</v>
      </c>
      <c r="V3064" s="54">
        <v>50000</v>
      </c>
      <c r="W3064" s="54">
        <v>50000</v>
      </c>
    </row>
    <row r="3065" spans="1:23" outlineLevel="2" x14ac:dyDescent="0.2">
      <c r="A3065" s="21" t="s">
        <v>1882</v>
      </c>
      <c r="B3065" s="21" t="s">
        <v>39</v>
      </c>
      <c r="C3065" s="21" t="s">
        <v>58</v>
      </c>
      <c r="D3065" s="21" t="s">
        <v>137</v>
      </c>
      <c r="E3065" s="21" t="s">
        <v>138</v>
      </c>
      <c r="F3065" s="21" t="s">
        <v>1618</v>
      </c>
      <c r="G3065" s="21" t="s">
        <v>1619</v>
      </c>
      <c r="H3065" s="21" t="s">
        <v>1643</v>
      </c>
      <c r="I3065" s="21" t="s">
        <v>1644</v>
      </c>
      <c r="J3065" s="21" t="s">
        <v>1883</v>
      </c>
      <c r="K3065" s="21" t="s">
        <v>1886</v>
      </c>
      <c r="L3065" s="21" t="s">
        <v>1956</v>
      </c>
      <c r="M3065" s="21" t="s">
        <v>12</v>
      </c>
      <c r="N3065" s="54">
        <v>1000</v>
      </c>
      <c r="O3065" s="54">
        <v>0</v>
      </c>
      <c r="P3065" s="54">
        <v>0</v>
      </c>
      <c r="Q3065" s="54">
        <v>1000</v>
      </c>
      <c r="R3065" s="54">
        <v>0</v>
      </c>
      <c r="S3065" s="54">
        <v>0</v>
      </c>
      <c r="T3065" s="54">
        <v>0</v>
      </c>
      <c r="U3065" s="54">
        <v>1000</v>
      </c>
      <c r="V3065" s="54">
        <v>1000</v>
      </c>
      <c r="W3065" s="54">
        <v>1000</v>
      </c>
    </row>
    <row r="3066" spans="1:23" outlineLevel="2" x14ac:dyDescent="0.2">
      <c r="A3066" s="21" t="s">
        <v>1882</v>
      </c>
      <c r="B3066" s="21" t="s">
        <v>39</v>
      </c>
      <c r="C3066" s="21" t="s">
        <v>70</v>
      </c>
      <c r="D3066" s="21" t="s">
        <v>89</v>
      </c>
      <c r="E3066" s="21" t="s">
        <v>90</v>
      </c>
      <c r="F3066" s="21" t="s">
        <v>1618</v>
      </c>
      <c r="G3066" s="21" t="s">
        <v>1619</v>
      </c>
      <c r="H3066" s="21" t="s">
        <v>1643</v>
      </c>
      <c r="I3066" s="21" t="s">
        <v>1644</v>
      </c>
      <c r="J3066" s="21" t="s">
        <v>1883</v>
      </c>
      <c r="K3066" s="21" t="s">
        <v>1957</v>
      </c>
      <c r="L3066" s="21" t="s">
        <v>1958</v>
      </c>
      <c r="M3066" s="21" t="s">
        <v>12</v>
      </c>
      <c r="N3066" s="54">
        <v>150000</v>
      </c>
      <c r="O3066" s="54">
        <v>0</v>
      </c>
      <c r="P3066" s="54">
        <v>0</v>
      </c>
      <c r="Q3066" s="54">
        <v>150000</v>
      </c>
      <c r="R3066" s="54">
        <v>0</v>
      </c>
      <c r="S3066" s="54">
        <v>0</v>
      </c>
      <c r="T3066" s="54">
        <v>0</v>
      </c>
      <c r="U3066" s="54">
        <v>150000</v>
      </c>
      <c r="V3066" s="54">
        <v>150000</v>
      </c>
      <c r="W3066" s="54">
        <v>150000</v>
      </c>
    </row>
    <row r="3067" spans="1:23" outlineLevel="2" x14ac:dyDescent="0.2">
      <c r="A3067" s="21" t="s">
        <v>1882</v>
      </c>
      <c r="B3067" s="21" t="s">
        <v>39</v>
      </c>
      <c r="C3067" s="21" t="s">
        <v>58</v>
      </c>
      <c r="D3067" s="21" t="s">
        <v>139</v>
      </c>
      <c r="E3067" s="21" t="s">
        <v>140</v>
      </c>
      <c r="F3067" s="21" t="s">
        <v>1673</v>
      </c>
      <c r="G3067" s="21" t="s">
        <v>1674</v>
      </c>
      <c r="H3067" s="21" t="s">
        <v>1678</v>
      </c>
      <c r="I3067" s="21" t="s">
        <v>1679</v>
      </c>
      <c r="J3067" s="21" t="s">
        <v>1883</v>
      </c>
      <c r="K3067" s="21" t="s">
        <v>1891</v>
      </c>
      <c r="L3067" s="21" t="s">
        <v>1960</v>
      </c>
      <c r="M3067" s="21" t="s">
        <v>12</v>
      </c>
      <c r="N3067" s="54">
        <v>5500</v>
      </c>
      <c r="O3067" s="54">
        <v>0</v>
      </c>
      <c r="P3067" s="54">
        <v>0</v>
      </c>
      <c r="Q3067" s="54">
        <v>5500</v>
      </c>
      <c r="R3067" s="54">
        <v>0</v>
      </c>
      <c r="S3067" s="54">
        <v>0</v>
      </c>
      <c r="T3067" s="54">
        <v>0</v>
      </c>
      <c r="U3067" s="54">
        <v>5500</v>
      </c>
      <c r="V3067" s="54">
        <v>5500</v>
      </c>
      <c r="W3067" s="54">
        <v>5500</v>
      </c>
    </row>
    <row r="3068" spans="1:23" outlineLevel="2" x14ac:dyDescent="0.2">
      <c r="A3068" s="21" t="s">
        <v>1882</v>
      </c>
      <c r="B3068" s="21" t="s">
        <v>39</v>
      </c>
      <c r="C3068" s="21" t="s">
        <v>58</v>
      </c>
      <c r="D3068" s="21" t="s">
        <v>137</v>
      </c>
      <c r="E3068" s="21" t="s">
        <v>138</v>
      </c>
      <c r="F3068" s="21" t="s">
        <v>1673</v>
      </c>
      <c r="G3068" s="21" t="s">
        <v>1674</v>
      </c>
      <c r="H3068" s="21" t="s">
        <v>1678</v>
      </c>
      <c r="I3068" s="21" t="s">
        <v>1679</v>
      </c>
      <c r="J3068" s="21" t="s">
        <v>1883</v>
      </c>
      <c r="K3068" s="21" t="s">
        <v>1891</v>
      </c>
      <c r="L3068" s="21" t="s">
        <v>1960</v>
      </c>
      <c r="M3068" s="21" t="s">
        <v>12</v>
      </c>
      <c r="N3068" s="54">
        <v>4500</v>
      </c>
      <c r="O3068" s="54">
        <v>0</v>
      </c>
      <c r="P3068" s="54">
        <v>0</v>
      </c>
      <c r="Q3068" s="54">
        <v>4500</v>
      </c>
      <c r="R3068" s="54">
        <v>0</v>
      </c>
      <c r="S3068" s="54">
        <v>0</v>
      </c>
      <c r="T3068" s="54">
        <v>0</v>
      </c>
      <c r="U3068" s="54">
        <v>4500</v>
      </c>
      <c r="V3068" s="54">
        <v>4500</v>
      </c>
      <c r="W3068" s="54">
        <v>4500</v>
      </c>
    </row>
    <row r="3069" spans="1:23" outlineLevel="2" x14ac:dyDescent="0.2">
      <c r="A3069" s="21" t="s">
        <v>1882</v>
      </c>
      <c r="B3069" s="21" t="s">
        <v>39</v>
      </c>
      <c r="C3069" s="21" t="s">
        <v>58</v>
      </c>
      <c r="D3069" s="21" t="s">
        <v>147</v>
      </c>
      <c r="E3069" s="21" t="s">
        <v>148</v>
      </c>
      <c r="F3069" s="21" t="s">
        <v>1673</v>
      </c>
      <c r="G3069" s="21" t="s">
        <v>1674</v>
      </c>
      <c r="H3069" s="21" t="s">
        <v>1678</v>
      </c>
      <c r="I3069" s="21" t="s">
        <v>1679</v>
      </c>
      <c r="J3069" s="21" t="s">
        <v>1883</v>
      </c>
      <c r="K3069" s="21" t="s">
        <v>1884</v>
      </c>
      <c r="L3069" s="21" t="s">
        <v>1961</v>
      </c>
      <c r="M3069" s="21" t="s">
        <v>12</v>
      </c>
      <c r="N3069" s="54">
        <v>4000</v>
      </c>
      <c r="O3069" s="54">
        <v>0</v>
      </c>
      <c r="P3069" s="54">
        <v>0</v>
      </c>
      <c r="Q3069" s="54">
        <v>4000</v>
      </c>
      <c r="R3069" s="54">
        <v>0</v>
      </c>
      <c r="S3069" s="54">
        <v>0</v>
      </c>
      <c r="T3069" s="54">
        <v>0</v>
      </c>
      <c r="U3069" s="54">
        <v>4000</v>
      </c>
      <c r="V3069" s="54">
        <v>4000</v>
      </c>
      <c r="W3069" s="54">
        <v>4000</v>
      </c>
    </row>
    <row r="3070" spans="1:23" outlineLevel="2" x14ac:dyDescent="0.2">
      <c r="A3070" s="21" t="s">
        <v>1882</v>
      </c>
      <c r="B3070" s="21" t="s">
        <v>39</v>
      </c>
      <c r="C3070" s="21" t="s">
        <v>58</v>
      </c>
      <c r="D3070" s="21" t="s">
        <v>143</v>
      </c>
      <c r="E3070" s="21" t="s">
        <v>144</v>
      </c>
      <c r="F3070" s="21" t="s">
        <v>1673</v>
      </c>
      <c r="G3070" s="21" t="s">
        <v>1674</v>
      </c>
      <c r="H3070" s="21" t="s">
        <v>1678</v>
      </c>
      <c r="I3070" s="21" t="s">
        <v>1679</v>
      </c>
      <c r="J3070" s="21" t="s">
        <v>1883</v>
      </c>
      <c r="K3070" s="21" t="s">
        <v>1884</v>
      </c>
      <c r="L3070" s="21" t="s">
        <v>1961</v>
      </c>
      <c r="M3070" s="21" t="s">
        <v>12</v>
      </c>
      <c r="N3070" s="54">
        <v>15500</v>
      </c>
      <c r="O3070" s="54">
        <v>0</v>
      </c>
      <c r="P3070" s="54">
        <v>0</v>
      </c>
      <c r="Q3070" s="54">
        <v>15500</v>
      </c>
      <c r="R3070" s="54">
        <v>0</v>
      </c>
      <c r="S3070" s="54">
        <v>0</v>
      </c>
      <c r="T3070" s="54">
        <v>0</v>
      </c>
      <c r="U3070" s="54">
        <v>15500</v>
      </c>
      <c r="V3070" s="54">
        <v>15500</v>
      </c>
      <c r="W3070" s="54">
        <v>15500</v>
      </c>
    </row>
    <row r="3071" spans="1:23" outlineLevel="2" x14ac:dyDescent="0.2">
      <c r="A3071" s="21" t="s">
        <v>1882</v>
      </c>
      <c r="B3071" s="21" t="s">
        <v>39</v>
      </c>
      <c r="C3071" s="21" t="s">
        <v>58</v>
      </c>
      <c r="D3071" s="21" t="s">
        <v>135</v>
      </c>
      <c r="E3071" s="21" t="s">
        <v>136</v>
      </c>
      <c r="F3071" s="21" t="s">
        <v>1673</v>
      </c>
      <c r="G3071" s="21" t="s">
        <v>1674</v>
      </c>
      <c r="H3071" s="21" t="s">
        <v>1678</v>
      </c>
      <c r="I3071" s="21" t="s">
        <v>1679</v>
      </c>
      <c r="J3071" s="21" t="s">
        <v>1883</v>
      </c>
      <c r="K3071" s="21" t="s">
        <v>1884</v>
      </c>
      <c r="L3071" s="21" t="s">
        <v>1961</v>
      </c>
      <c r="M3071" s="21" t="s">
        <v>12</v>
      </c>
      <c r="N3071" s="54">
        <v>9500</v>
      </c>
      <c r="O3071" s="54">
        <v>0</v>
      </c>
      <c r="P3071" s="54">
        <v>0</v>
      </c>
      <c r="Q3071" s="54">
        <v>9500</v>
      </c>
      <c r="R3071" s="54">
        <v>231.29</v>
      </c>
      <c r="S3071" s="54">
        <v>9268.69</v>
      </c>
      <c r="T3071" s="54">
        <v>9268.69</v>
      </c>
      <c r="U3071" s="54">
        <v>231.31</v>
      </c>
      <c r="V3071" s="54">
        <v>231.31</v>
      </c>
      <c r="W3071" s="54">
        <v>0.02</v>
      </c>
    </row>
    <row r="3072" spans="1:23" outlineLevel="2" x14ac:dyDescent="0.2">
      <c r="A3072" s="21" t="s">
        <v>1882</v>
      </c>
      <c r="B3072" s="21" t="s">
        <v>39</v>
      </c>
      <c r="C3072" s="21" t="s">
        <v>58</v>
      </c>
      <c r="D3072" s="21" t="s">
        <v>59</v>
      </c>
      <c r="E3072" s="21" t="s">
        <v>60</v>
      </c>
      <c r="F3072" s="21" t="s">
        <v>1673</v>
      </c>
      <c r="G3072" s="21" t="s">
        <v>1674</v>
      </c>
      <c r="H3072" s="21" t="s">
        <v>1678</v>
      </c>
      <c r="I3072" s="21" t="s">
        <v>1679</v>
      </c>
      <c r="J3072" s="21" t="s">
        <v>1883</v>
      </c>
      <c r="K3072" s="21" t="s">
        <v>1884</v>
      </c>
      <c r="L3072" s="21" t="s">
        <v>1961</v>
      </c>
      <c r="M3072" s="21" t="s">
        <v>12</v>
      </c>
      <c r="N3072" s="54">
        <v>1700</v>
      </c>
      <c r="O3072" s="54">
        <v>0</v>
      </c>
      <c r="P3072" s="54">
        <v>0</v>
      </c>
      <c r="Q3072" s="54">
        <v>1700</v>
      </c>
      <c r="R3072" s="54">
        <v>0</v>
      </c>
      <c r="S3072" s="54">
        <v>0</v>
      </c>
      <c r="T3072" s="54">
        <v>0</v>
      </c>
      <c r="U3072" s="54">
        <v>1700</v>
      </c>
      <c r="V3072" s="54">
        <v>1700</v>
      </c>
      <c r="W3072" s="54">
        <v>1700</v>
      </c>
    </row>
    <row r="3073" spans="1:23" outlineLevel="2" x14ac:dyDescent="0.2">
      <c r="A3073" s="21" t="s">
        <v>1882</v>
      </c>
      <c r="B3073" s="21" t="s">
        <v>39</v>
      </c>
      <c r="C3073" s="21" t="s">
        <v>58</v>
      </c>
      <c r="D3073" s="21" t="s">
        <v>139</v>
      </c>
      <c r="E3073" s="21" t="s">
        <v>140</v>
      </c>
      <c r="F3073" s="21" t="s">
        <v>1673</v>
      </c>
      <c r="G3073" s="21" t="s">
        <v>1674</v>
      </c>
      <c r="H3073" s="21" t="s">
        <v>1678</v>
      </c>
      <c r="I3073" s="21" t="s">
        <v>1679</v>
      </c>
      <c r="J3073" s="21" t="s">
        <v>1883</v>
      </c>
      <c r="K3073" s="21" t="s">
        <v>1884</v>
      </c>
      <c r="L3073" s="21" t="s">
        <v>1961</v>
      </c>
      <c r="M3073" s="21" t="s">
        <v>12</v>
      </c>
      <c r="N3073" s="54">
        <v>11000</v>
      </c>
      <c r="O3073" s="54">
        <v>0</v>
      </c>
      <c r="P3073" s="54">
        <v>0</v>
      </c>
      <c r="Q3073" s="54">
        <v>11000</v>
      </c>
      <c r="R3073" s="54">
        <v>0</v>
      </c>
      <c r="S3073" s="54">
        <v>0</v>
      </c>
      <c r="T3073" s="54">
        <v>0</v>
      </c>
      <c r="U3073" s="54">
        <v>11000</v>
      </c>
      <c r="V3073" s="54">
        <v>11000</v>
      </c>
      <c r="W3073" s="54">
        <v>11000</v>
      </c>
    </row>
    <row r="3074" spans="1:23" outlineLevel="2" x14ac:dyDescent="0.2">
      <c r="A3074" s="21" t="s">
        <v>1882</v>
      </c>
      <c r="B3074" s="21" t="s">
        <v>39</v>
      </c>
      <c r="C3074" s="21" t="s">
        <v>58</v>
      </c>
      <c r="D3074" s="21" t="s">
        <v>143</v>
      </c>
      <c r="E3074" s="21" t="s">
        <v>144</v>
      </c>
      <c r="F3074" s="21" t="s">
        <v>1673</v>
      </c>
      <c r="G3074" s="21" t="s">
        <v>1674</v>
      </c>
      <c r="H3074" s="21" t="s">
        <v>1678</v>
      </c>
      <c r="I3074" s="21" t="s">
        <v>1679</v>
      </c>
      <c r="J3074" s="21" t="s">
        <v>1883</v>
      </c>
      <c r="K3074" s="21" t="s">
        <v>1886</v>
      </c>
      <c r="L3074" s="21" t="s">
        <v>1962</v>
      </c>
      <c r="M3074" s="21" t="s">
        <v>12</v>
      </c>
      <c r="N3074" s="54">
        <v>6000</v>
      </c>
      <c r="O3074" s="54">
        <v>0</v>
      </c>
      <c r="P3074" s="54">
        <v>0</v>
      </c>
      <c r="Q3074" s="54">
        <v>6000</v>
      </c>
      <c r="R3074" s="54">
        <v>90.44</v>
      </c>
      <c r="S3074" s="54">
        <v>5800.48</v>
      </c>
      <c r="T3074" s="54">
        <v>5800.48</v>
      </c>
      <c r="U3074" s="54">
        <v>199.52</v>
      </c>
      <c r="V3074" s="54">
        <v>199.52</v>
      </c>
      <c r="W3074" s="54">
        <v>109.08</v>
      </c>
    </row>
    <row r="3075" spans="1:23" outlineLevel="2" x14ac:dyDescent="0.2">
      <c r="A3075" s="21" t="s">
        <v>1882</v>
      </c>
      <c r="B3075" s="21" t="s">
        <v>39</v>
      </c>
      <c r="C3075" s="21" t="s">
        <v>58</v>
      </c>
      <c r="D3075" s="21" t="s">
        <v>135</v>
      </c>
      <c r="E3075" s="21" t="s">
        <v>136</v>
      </c>
      <c r="F3075" s="21" t="s">
        <v>1673</v>
      </c>
      <c r="G3075" s="21" t="s">
        <v>1674</v>
      </c>
      <c r="H3075" s="21" t="s">
        <v>1692</v>
      </c>
      <c r="I3075" s="21" t="s">
        <v>1693</v>
      </c>
      <c r="J3075" s="21" t="s">
        <v>1883</v>
      </c>
      <c r="K3075" s="21" t="s">
        <v>1891</v>
      </c>
      <c r="L3075" s="21" t="s">
        <v>1960</v>
      </c>
      <c r="M3075" s="21" t="s">
        <v>12</v>
      </c>
      <c r="N3075" s="54">
        <v>0</v>
      </c>
      <c r="O3075" s="54">
        <v>6498.08</v>
      </c>
      <c r="P3075" s="54">
        <v>0</v>
      </c>
      <c r="Q3075" s="54">
        <v>6498.08</v>
      </c>
      <c r="R3075" s="54">
        <v>6498.08</v>
      </c>
      <c r="S3075" s="54">
        <v>0</v>
      </c>
      <c r="T3075" s="54">
        <v>0</v>
      </c>
      <c r="U3075" s="54">
        <v>6498.08</v>
      </c>
      <c r="V3075" s="54">
        <v>6498.08</v>
      </c>
      <c r="W3075" s="54">
        <v>0</v>
      </c>
    </row>
    <row r="3076" spans="1:23" outlineLevel="2" x14ac:dyDescent="0.2">
      <c r="A3076" s="21" t="s">
        <v>1882</v>
      </c>
      <c r="B3076" s="21" t="s">
        <v>39</v>
      </c>
      <c r="C3076" s="21" t="s">
        <v>58</v>
      </c>
      <c r="D3076" s="21" t="s">
        <v>129</v>
      </c>
      <c r="E3076" s="21" t="s">
        <v>130</v>
      </c>
      <c r="F3076" s="21" t="s">
        <v>1673</v>
      </c>
      <c r="G3076" s="21" t="s">
        <v>1674</v>
      </c>
      <c r="H3076" s="21" t="s">
        <v>1692</v>
      </c>
      <c r="I3076" s="21" t="s">
        <v>1693</v>
      </c>
      <c r="J3076" s="21" t="s">
        <v>1883</v>
      </c>
      <c r="K3076" s="21" t="s">
        <v>1891</v>
      </c>
      <c r="L3076" s="21" t="s">
        <v>1960</v>
      </c>
      <c r="M3076" s="21" t="s">
        <v>12</v>
      </c>
      <c r="N3076" s="54">
        <v>1000</v>
      </c>
      <c r="O3076" s="54">
        <v>0</v>
      </c>
      <c r="P3076" s="54">
        <v>0</v>
      </c>
      <c r="Q3076" s="54">
        <v>1000</v>
      </c>
      <c r="R3076" s="54">
        <v>0</v>
      </c>
      <c r="S3076" s="54">
        <v>0</v>
      </c>
      <c r="T3076" s="54">
        <v>0</v>
      </c>
      <c r="U3076" s="54">
        <v>1000</v>
      </c>
      <c r="V3076" s="54">
        <v>1000</v>
      </c>
      <c r="W3076" s="54">
        <v>1000</v>
      </c>
    </row>
    <row r="3077" spans="1:23" outlineLevel="2" x14ac:dyDescent="0.2">
      <c r="A3077" s="21" t="s">
        <v>1882</v>
      </c>
      <c r="B3077" s="21" t="s">
        <v>39</v>
      </c>
      <c r="C3077" s="21" t="s">
        <v>58</v>
      </c>
      <c r="D3077" s="21" t="s">
        <v>145</v>
      </c>
      <c r="E3077" s="21" t="s">
        <v>146</v>
      </c>
      <c r="F3077" s="21" t="s">
        <v>1673</v>
      </c>
      <c r="G3077" s="21" t="s">
        <v>1674</v>
      </c>
      <c r="H3077" s="21" t="s">
        <v>1692</v>
      </c>
      <c r="I3077" s="21" t="s">
        <v>1693</v>
      </c>
      <c r="J3077" s="21" t="s">
        <v>1883</v>
      </c>
      <c r="K3077" s="21" t="s">
        <v>1891</v>
      </c>
      <c r="L3077" s="21" t="s">
        <v>1960</v>
      </c>
      <c r="M3077" s="21" t="s">
        <v>12</v>
      </c>
      <c r="N3077" s="54">
        <v>5000</v>
      </c>
      <c r="O3077" s="54">
        <v>0</v>
      </c>
      <c r="P3077" s="54">
        <v>0</v>
      </c>
      <c r="Q3077" s="54">
        <v>5000</v>
      </c>
      <c r="R3077" s="54">
        <v>0</v>
      </c>
      <c r="S3077" s="54">
        <v>0</v>
      </c>
      <c r="T3077" s="54">
        <v>0</v>
      </c>
      <c r="U3077" s="54">
        <v>5000</v>
      </c>
      <c r="V3077" s="54">
        <v>5000</v>
      </c>
      <c r="W3077" s="54">
        <v>5000</v>
      </c>
    </row>
    <row r="3078" spans="1:23" outlineLevel="2" x14ac:dyDescent="0.2">
      <c r="A3078" s="21" t="s">
        <v>1882</v>
      </c>
      <c r="B3078" s="21" t="s">
        <v>39</v>
      </c>
      <c r="C3078" s="21" t="s">
        <v>58</v>
      </c>
      <c r="D3078" s="21" t="s">
        <v>139</v>
      </c>
      <c r="E3078" s="21" t="s">
        <v>140</v>
      </c>
      <c r="F3078" s="21" t="s">
        <v>1673</v>
      </c>
      <c r="G3078" s="21" t="s">
        <v>1674</v>
      </c>
      <c r="H3078" s="21" t="s">
        <v>1692</v>
      </c>
      <c r="I3078" s="21" t="s">
        <v>1693</v>
      </c>
      <c r="J3078" s="21" t="s">
        <v>1883</v>
      </c>
      <c r="K3078" s="21" t="s">
        <v>1884</v>
      </c>
      <c r="L3078" s="21" t="s">
        <v>1961</v>
      </c>
      <c r="M3078" s="21" t="s">
        <v>12</v>
      </c>
      <c r="N3078" s="54">
        <v>5000</v>
      </c>
      <c r="O3078" s="54">
        <v>0</v>
      </c>
      <c r="P3078" s="54">
        <v>0</v>
      </c>
      <c r="Q3078" s="54">
        <v>5000</v>
      </c>
      <c r="R3078" s="54">
        <v>0</v>
      </c>
      <c r="S3078" s="54">
        <v>0</v>
      </c>
      <c r="T3078" s="54">
        <v>0</v>
      </c>
      <c r="U3078" s="54">
        <v>5000</v>
      </c>
      <c r="V3078" s="54">
        <v>5000</v>
      </c>
      <c r="W3078" s="54">
        <v>5000</v>
      </c>
    </row>
    <row r="3079" spans="1:23" outlineLevel="2" x14ac:dyDescent="0.2">
      <c r="A3079" s="21" t="s">
        <v>1882</v>
      </c>
      <c r="B3079" s="21" t="s">
        <v>39</v>
      </c>
      <c r="C3079" s="21" t="s">
        <v>70</v>
      </c>
      <c r="D3079" s="21" t="s">
        <v>89</v>
      </c>
      <c r="E3079" s="21" t="s">
        <v>90</v>
      </c>
      <c r="F3079" s="21" t="s">
        <v>1673</v>
      </c>
      <c r="G3079" s="21" t="s">
        <v>1674</v>
      </c>
      <c r="H3079" s="21" t="s">
        <v>1692</v>
      </c>
      <c r="I3079" s="21" t="s">
        <v>1693</v>
      </c>
      <c r="J3079" s="21" t="s">
        <v>1883</v>
      </c>
      <c r="K3079" s="21" t="s">
        <v>1884</v>
      </c>
      <c r="L3079" s="21" t="s">
        <v>1963</v>
      </c>
      <c r="M3079" s="21" t="s">
        <v>12</v>
      </c>
      <c r="N3079" s="54">
        <v>50000</v>
      </c>
      <c r="O3079" s="54">
        <v>0</v>
      </c>
      <c r="P3079" s="54">
        <v>0</v>
      </c>
      <c r="Q3079" s="54">
        <v>50000</v>
      </c>
      <c r="R3079" s="54">
        <v>41941</v>
      </c>
      <c r="S3079" s="54">
        <v>0</v>
      </c>
      <c r="T3079" s="54">
        <v>0</v>
      </c>
      <c r="U3079" s="54">
        <v>50000</v>
      </c>
      <c r="V3079" s="54">
        <v>50000</v>
      </c>
      <c r="W3079" s="54">
        <v>8059</v>
      </c>
    </row>
    <row r="3080" spans="1:23" outlineLevel="2" x14ac:dyDescent="0.2">
      <c r="A3080" s="21" t="s">
        <v>1882</v>
      </c>
      <c r="B3080" s="21" t="s">
        <v>39</v>
      </c>
      <c r="C3080" s="21" t="s">
        <v>58</v>
      </c>
      <c r="D3080" s="21" t="s">
        <v>59</v>
      </c>
      <c r="E3080" s="21" t="s">
        <v>60</v>
      </c>
      <c r="F3080" s="21" t="s">
        <v>1673</v>
      </c>
      <c r="G3080" s="21" t="s">
        <v>1674</v>
      </c>
      <c r="H3080" s="21" t="s">
        <v>1692</v>
      </c>
      <c r="I3080" s="21" t="s">
        <v>1693</v>
      </c>
      <c r="J3080" s="21" t="s">
        <v>1883</v>
      </c>
      <c r="K3080" s="21" t="s">
        <v>1884</v>
      </c>
      <c r="L3080" s="21" t="s">
        <v>1961</v>
      </c>
      <c r="M3080" s="21" t="s">
        <v>12</v>
      </c>
      <c r="N3080" s="54">
        <v>2500</v>
      </c>
      <c r="O3080" s="54">
        <v>0</v>
      </c>
      <c r="P3080" s="54">
        <v>0</v>
      </c>
      <c r="Q3080" s="54">
        <v>2500</v>
      </c>
      <c r="R3080" s="54">
        <v>0</v>
      </c>
      <c r="S3080" s="54">
        <v>0</v>
      </c>
      <c r="T3080" s="54">
        <v>0</v>
      </c>
      <c r="U3080" s="54">
        <v>2500</v>
      </c>
      <c r="V3080" s="54">
        <v>2500</v>
      </c>
      <c r="W3080" s="54">
        <v>2500</v>
      </c>
    </row>
    <row r="3081" spans="1:23" outlineLevel="2" x14ac:dyDescent="0.2">
      <c r="A3081" s="21" t="s">
        <v>1882</v>
      </c>
      <c r="B3081" s="21" t="s">
        <v>39</v>
      </c>
      <c r="C3081" s="21" t="s">
        <v>58</v>
      </c>
      <c r="D3081" s="21" t="s">
        <v>129</v>
      </c>
      <c r="E3081" s="21" t="s">
        <v>130</v>
      </c>
      <c r="F3081" s="21" t="s">
        <v>1673</v>
      </c>
      <c r="G3081" s="21" t="s">
        <v>1674</v>
      </c>
      <c r="H3081" s="21" t="s">
        <v>1692</v>
      </c>
      <c r="I3081" s="21" t="s">
        <v>1693</v>
      </c>
      <c r="J3081" s="21" t="s">
        <v>1883</v>
      </c>
      <c r="K3081" s="21" t="s">
        <v>1884</v>
      </c>
      <c r="L3081" s="21" t="s">
        <v>1961</v>
      </c>
      <c r="M3081" s="21" t="s">
        <v>12</v>
      </c>
      <c r="N3081" s="54">
        <v>2600</v>
      </c>
      <c r="O3081" s="54">
        <v>0</v>
      </c>
      <c r="P3081" s="54">
        <v>0</v>
      </c>
      <c r="Q3081" s="54">
        <v>2600</v>
      </c>
      <c r="R3081" s="54">
        <v>0</v>
      </c>
      <c r="S3081" s="54">
        <v>0</v>
      </c>
      <c r="T3081" s="54">
        <v>0</v>
      </c>
      <c r="U3081" s="54">
        <v>2600</v>
      </c>
      <c r="V3081" s="54">
        <v>2600</v>
      </c>
      <c r="W3081" s="54">
        <v>2600</v>
      </c>
    </row>
    <row r="3082" spans="1:23" outlineLevel="2" x14ac:dyDescent="0.2">
      <c r="A3082" s="21" t="s">
        <v>1882</v>
      </c>
      <c r="B3082" s="21" t="s">
        <v>39</v>
      </c>
      <c r="C3082" s="21" t="s">
        <v>58</v>
      </c>
      <c r="D3082" s="21" t="s">
        <v>149</v>
      </c>
      <c r="E3082" s="21" t="s">
        <v>150</v>
      </c>
      <c r="F3082" s="21" t="s">
        <v>1673</v>
      </c>
      <c r="G3082" s="21" t="s">
        <v>1674</v>
      </c>
      <c r="H3082" s="21" t="s">
        <v>1692</v>
      </c>
      <c r="I3082" s="21" t="s">
        <v>1693</v>
      </c>
      <c r="J3082" s="21" t="s">
        <v>1883</v>
      </c>
      <c r="K3082" s="21" t="s">
        <v>1884</v>
      </c>
      <c r="L3082" s="21" t="s">
        <v>1961</v>
      </c>
      <c r="M3082" s="21" t="s">
        <v>12</v>
      </c>
      <c r="N3082" s="54">
        <v>2000</v>
      </c>
      <c r="O3082" s="54">
        <v>3200</v>
      </c>
      <c r="P3082" s="54">
        <v>0</v>
      </c>
      <c r="Q3082" s="54">
        <v>5200</v>
      </c>
      <c r="R3082" s="54">
        <v>0</v>
      </c>
      <c r="S3082" s="54">
        <v>0</v>
      </c>
      <c r="T3082" s="54">
        <v>0</v>
      </c>
      <c r="U3082" s="54">
        <v>5200</v>
      </c>
      <c r="V3082" s="54">
        <v>5200</v>
      </c>
      <c r="W3082" s="54">
        <v>5200</v>
      </c>
    </row>
    <row r="3083" spans="1:23" outlineLevel="2" x14ac:dyDescent="0.2">
      <c r="A3083" s="21" t="s">
        <v>1882</v>
      </c>
      <c r="B3083" s="21" t="s">
        <v>39</v>
      </c>
      <c r="C3083" s="21" t="s">
        <v>70</v>
      </c>
      <c r="D3083" s="21" t="s">
        <v>89</v>
      </c>
      <c r="E3083" s="21" t="s">
        <v>90</v>
      </c>
      <c r="F3083" s="21" t="s">
        <v>1673</v>
      </c>
      <c r="G3083" s="21" t="s">
        <v>1674</v>
      </c>
      <c r="H3083" s="21" t="s">
        <v>1692</v>
      </c>
      <c r="I3083" s="21" t="s">
        <v>1693</v>
      </c>
      <c r="J3083" s="21" t="s">
        <v>1883</v>
      </c>
      <c r="K3083" s="21" t="s">
        <v>1893</v>
      </c>
      <c r="L3083" s="21" t="s">
        <v>1964</v>
      </c>
      <c r="M3083" s="21" t="s">
        <v>12</v>
      </c>
      <c r="N3083" s="54">
        <v>50000</v>
      </c>
      <c r="O3083" s="54">
        <v>0</v>
      </c>
      <c r="P3083" s="54">
        <v>0</v>
      </c>
      <c r="Q3083" s="54">
        <v>50000</v>
      </c>
      <c r="R3083" s="54">
        <v>0</v>
      </c>
      <c r="S3083" s="54">
        <v>0</v>
      </c>
      <c r="T3083" s="54">
        <v>0</v>
      </c>
      <c r="U3083" s="54">
        <v>50000</v>
      </c>
      <c r="V3083" s="54">
        <v>50000</v>
      </c>
      <c r="W3083" s="54">
        <v>50000</v>
      </c>
    </row>
    <row r="3084" spans="1:23" outlineLevel="2" x14ac:dyDescent="0.2">
      <c r="A3084" s="21" t="s">
        <v>1882</v>
      </c>
      <c r="B3084" s="21" t="s">
        <v>39</v>
      </c>
      <c r="C3084" s="21" t="s">
        <v>58</v>
      </c>
      <c r="D3084" s="21" t="s">
        <v>147</v>
      </c>
      <c r="E3084" s="21" t="s">
        <v>148</v>
      </c>
      <c r="F3084" s="21" t="s">
        <v>1673</v>
      </c>
      <c r="G3084" s="21" t="s">
        <v>1674</v>
      </c>
      <c r="H3084" s="21" t="s">
        <v>1692</v>
      </c>
      <c r="I3084" s="21" t="s">
        <v>1693</v>
      </c>
      <c r="J3084" s="21" t="s">
        <v>1883</v>
      </c>
      <c r="K3084" s="21" t="s">
        <v>1886</v>
      </c>
      <c r="L3084" s="21" t="s">
        <v>1962</v>
      </c>
      <c r="M3084" s="21" t="s">
        <v>12</v>
      </c>
      <c r="N3084" s="54">
        <v>4500</v>
      </c>
      <c r="O3084" s="54">
        <v>0</v>
      </c>
      <c r="P3084" s="54">
        <v>0</v>
      </c>
      <c r="Q3084" s="54">
        <v>4500</v>
      </c>
      <c r="R3084" s="54">
        <v>0</v>
      </c>
      <c r="S3084" s="54">
        <v>0</v>
      </c>
      <c r="T3084" s="54">
        <v>0</v>
      </c>
      <c r="U3084" s="54">
        <v>4500</v>
      </c>
      <c r="V3084" s="54">
        <v>4500</v>
      </c>
      <c r="W3084" s="54">
        <v>4500</v>
      </c>
    </row>
    <row r="3085" spans="1:23" outlineLevel="2" x14ac:dyDescent="0.2">
      <c r="A3085" s="21" t="s">
        <v>1882</v>
      </c>
      <c r="B3085" s="21" t="s">
        <v>39</v>
      </c>
      <c r="C3085" s="21" t="s">
        <v>66</v>
      </c>
      <c r="D3085" s="21" t="s">
        <v>67</v>
      </c>
      <c r="E3085" s="21" t="s">
        <v>68</v>
      </c>
      <c r="F3085" s="21" t="s">
        <v>967</v>
      </c>
      <c r="G3085" s="21" t="s">
        <v>968</v>
      </c>
      <c r="H3085" s="21" t="s">
        <v>1706</v>
      </c>
      <c r="I3085" s="21" t="s">
        <v>1707</v>
      </c>
      <c r="J3085" s="21" t="s">
        <v>1883</v>
      </c>
      <c r="K3085" s="21" t="s">
        <v>1891</v>
      </c>
      <c r="L3085" s="21" t="s">
        <v>1965</v>
      </c>
      <c r="M3085" s="21" t="s">
        <v>12</v>
      </c>
      <c r="N3085" s="54">
        <v>0</v>
      </c>
      <c r="O3085" s="54">
        <v>33600</v>
      </c>
      <c r="P3085" s="54">
        <v>0</v>
      </c>
      <c r="Q3085" s="54">
        <v>33600</v>
      </c>
      <c r="R3085" s="54">
        <v>0</v>
      </c>
      <c r="S3085" s="54">
        <v>0</v>
      </c>
      <c r="T3085" s="54">
        <v>0</v>
      </c>
      <c r="U3085" s="54">
        <v>33600</v>
      </c>
      <c r="V3085" s="54">
        <v>33600</v>
      </c>
      <c r="W3085" s="54">
        <v>33600</v>
      </c>
    </row>
    <row r="3086" spans="1:23" outlineLevel="2" x14ac:dyDescent="0.2">
      <c r="A3086" s="21" t="s">
        <v>1882</v>
      </c>
      <c r="B3086" s="21" t="s">
        <v>39</v>
      </c>
      <c r="C3086" s="21" t="s">
        <v>66</v>
      </c>
      <c r="D3086" s="21" t="s">
        <v>67</v>
      </c>
      <c r="E3086" s="21" t="s">
        <v>68</v>
      </c>
      <c r="F3086" s="21" t="s">
        <v>967</v>
      </c>
      <c r="G3086" s="21" t="s">
        <v>968</v>
      </c>
      <c r="H3086" s="21" t="s">
        <v>1714</v>
      </c>
      <c r="I3086" s="21" t="s">
        <v>1715</v>
      </c>
      <c r="J3086" s="21" t="s">
        <v>1883</v>
      </c>
      <c r="K3086" s="21" t="s">
        <v>1891</v>
      </c>
      <c r="L3086" s="21" t="s">
        <v>1965</v>
      </c>
      <c r="M3086" s="21" t="s">
        <v>12</v>
      </c>
      <c r="N3086" s="54">
        <v>70000</v>
      </c>
      <c r="O3086" s="54">
        <v>0</v>
      </c>
      <c r="P3086" s="54">
        <v>0</v>
      </c>
      <c r="Q3086" s="54">
        <v>70000</v>
      </c>
      <c r="R3086" s="54">
        <v>0</v>
      </c>
      <c r="S3086" s="54">
        <v>0</v>
      </c>
      <c r="T3086" s="54">
        <v>0</v>
      </c>
      <c r="U3086" s="54">
        <v>70000</v>
      </c>
      <c r="V3086" s="54">
        <v>70000</v>
      </c>
      <c r="W3086" s="54">
        <v>70000</v>
      </c>
    </row>
    <row r="3087" spans="1:23" outlineLevel="2" x14ac:dyDescent="0.2">
      <c r="A3087" s="21" t="s">
        <v>1882</v>
      </c>
      <c r="B3087" s="21" t="s">
        <v>39</v>
      </c>
      <c r="C3087" s="21" t="s">
        <v>66</v>
      </c>
      <c r="D3087" s="21" t="s">
        <v>121</v>
      </c>
      <c r="E3087" s="21" t="s">
        <v>122</v>
      </c>
      <c r="F3087" s="21" t="s">
        <v>980</v>
      </c>
      <c r="G3087" s="21" t="s">
        <v>981</v>
      </c>
      <c r="H3087" s="21" t="s">
        <v>982</v>
      </c>
      <c r="I3087" s="21" t="s">
        <v>983</v>
      </c>
      <c r="J3087" s="21" t="s">
        <v>1883</v>
      </c>
      <c r="K3087" s="21" t="s">
        <v>1886</v>
      </c>
      <c r="L3087" s="21" t="s">
        <v>1966</v>
      </c>
      <c r="M3087" s="21" t="s">
        <v>12</v>
      </c>
      <c r="N3087" s="54">
        <v>40000</v>
      </c>
      <c r="O3087" s="54">
        <v>0</v>
      </c>
      <c r="P3087" s="54">
        <v>0</v>
      </c>
      <c r="Q3087" s="54">
        <v>40000</v>
      </c>
      <c r="R3087" s="54">
        <v>0</v>
      </c>
      <c r="S3087" s="54">
        <v>0</v>
      </c>
      <c r="T3087" s="54">
        <v>0</v>
      </c>
      <c r="U3087" s="54">
        <v>40000</v>
      </c>
      <c r="V3087" s="54">
        <v>40000</v>
      </c>
      <c r="W3087" s="54">
        <v>40000</v>
      </c>
    </row>
    <row r="3088" spans="1:23" outlineLevel="2" x14ac:dyDescent="0.2">
      <c r="A3088" s="21" t="s">
        <v>1882</v>
      </c>
      <c r="B3088" s="21" t="s">
        <v>39</v>
      </c>
      <c r="C3088" s="21" t="s">
        <v>58</v>
      </c>
      <c r="D3088" s="21" t="s">
        <v>119</v>
      </c>
      <c r="E3088" s="21" t="s">
        <v>120</v>
      </c>
      <c r="F3088" s="21" t="s">
        <v>980</v>
      </c>
      <c r="G3088" s="21" t="s">
        <v>981</v>
      </c>
      <c r="H3088" s="21" t="s">
        <v>991</v>
      </c>
      <c r="I3088" s="21" t="s">
        <v>992</v>
      </c>
      <c r="J3088" s="21" t="s">
        <v>1883</v>
      </c>
      <c r="K3088" s="21" t="s">
        <v>1884</v>
      </c>
      <c r="L3088" s="21" t="s">
        <v>1967</v>
      </c>
      <c r="M3088" s="21" t="s">
        <v>12</v>
      </c>
      <c r="N3088" s="54">
        <v>20000</v>
      </c>
      <c r="O3088" s="54">
        <v>0</v>
      </c>
      <c r="P3088" s="54">
        <v>0</v>
      </c>
      <c r="Q3088" s="54">
        <v>20000</v>
      </c>
      <c r="R3088" s="54">
        <v>0</v>
      </c>
      <c r="S3088" s="54">
        <v>0</v>
      </c>
      <c r="T3088" s="54">
        <v>0</v>
      </c>
      <c r="U3088" s="54">
        <v>20000</v>
      </c>
      <c r="V3088" s="54">
        <v>20000</v>
      </c>
      <c r="W3088" s="54">
        <v>20000</v>
      </c>
    </row>
    <row r="3089" spans="1:23" outlineLevel="2" x14ac:dyDescent="0.2">
      <c r="A3089" s="21" t="s">
        <v>1882</v>
      </c>
      <c r="B3089" s="21" t="s">
        <v>39</v>
      </c>
      <c r="C3089" s="21" t="s">
        <v>58</v>
      </c>
      <c r="D3089" s="21" t="s">
        <v>119</v>
      </c>
      <c r="E3089" s="21" t="s">
        <v>120</v>
      </c>
      <c r="F3089" s="21" t="s">
        <v>980</v>
      </c>
      <c r="G3089" s="21" t="s">
        <v>981</v>
      </c>
      <c r="H3089" s="21" t="s">
        <v>991</v>
      </c>
      <c r="I3089" s="21" t="s">
        <v>992</v>
      </c>
      <c r="J3089" s="21" t="s">
        <v>1883</v>
      </c>
      <c r="K3089" s="21" t="s">
        <v>1886</v>
      </c>
      <c r="L3089" s="21" t="s">
        <v>1968</v>
      </c>
      <c r="M3089" s="21" t="s">
        <v>12</v>
      </c>
      <c r="N3089" s="54">
        <v>13500</v>
      </c>
      <c r="O3089" s="54">
        <v>0</v>
      </c>
      <c r="P3089" s="54">
        <v>0</v>
      </c>
      <c r="Q3089" s="54">
        <v>13500</v>
      </c>
      <c r="R3089" s="54">
        <v>0</v>
      </c>
      <c r="S3089" s="54">
        <v>0</v>
      </c>
      <c r="T3089" s="54">
        <v>0</v>
      </c>
      <c r="U3089" s="54">
        <v>13500</v>
      </c>
      <c r="V3089" s="54">
        <v>13500</v>
      </c>
      <c r="W3089" s="54">
        <v>13500</v>
      </c>
    </row>
    <row r="3090" spans="1:23" outlineLevel="2" x14ac:dyDescent="0.2">
      <c r="A3090" s="21" t="s">
        <v>1969</v>
      </c>
      <c r="B3090" s="21" t="s">
        <v>1</v>
      </c>
      <c r="C3090" s="21" t="s">
        <v>2</v>
      </c>
      <c r="D3090" s="21" t="s">
        <v>474</v>
      </c>
      <c r="E3090" s="21" t="s">
        <v>475</v>
      </c>
      <c r="F3090" s="21" t="s">
        <v>911</v>
      </c>
      <c r="G3090" s="21" t="s">
        <v>912</v>
      </c>
      <c r="H3090" s="21" t="s">
        <v>1438</v>
      </c>
      <c r="I3090" s="21" t="s">
        <v>1439</v>
      </c>
      <c r="J3090" s="21" t="s">
        <v>1970</v>
      </c>
      <c r="K3090" s="21" t="s">
        <v>1971</v>
      </c>
      <c r="L3090" s="21" t="s">
        <v>1972</v>
      </c>
      <c r="M3090" s="21" t="s">
        <v>15</v>
      </c>
      <c r="N3090" s="54">
        <v>16309720.710000001</v>
      </c>
      <c r="O3090" s="54">
        <v>0</v>
      </c>
      <c r="P3090" s="54">
        <v>0</v>
      </c>
      <c r="Q3090" s="54">
        <v>16309720.710000001</v>
      </c>
      <c r="R3090" s="54">
        <v>0</v>
      </c>
      <c r="S3090" s="54">
        <v>15274751.029999999</v>
      </c>
      <c r="T3090" s="54">
        <v>15274751.029999999</v>
      </c>
      <c r="U3090" s="54">
        <v>1034969.68</v>
      </c>
      <c r="V3090" s="54">
        <v>1034969.68</v>
      </c>
      <c r="W3090" s="54">
        <v>1034969.68</v>
      </c>
    </row>
    <row r="3091" spans="1:23" outlineLevel="2" x14ac:dyDescent="0.2">
      <c r="A3091" s="21" t="s">
        <v>1969</v>
      </c>
      <c r="B3091" s="21" t="s">
        <v>1</v>
      </c>
      <c r="C3091" s="21" t="s">
        <v>2</v>
      </c>
      <c r="D3091" s="21" t="s">
        <v>474</v>
      </c>
      <c r="E3091" s="21" t="s">
        <v>475</v>
      </c>
      <c r="F3091" s="21" t="s">
        <v>911</v>
      </c>
      <c r="G3091" s="21" t="s">
        <v>912</v>
      </c>
      <c r="H3091" s="21" t="s">
        <v>1438</v>
      </c>
      <c r="I3091" s="21" t="s">
        <v>1439</v>
      </c>
      <c r="J3091" s="21" t="s">
        <v>1970</v>
      </c>
      <c r="K3091" s="21" t="s">
        <v>1973</v>
      </c>
      <c r="L3091" s="21" t="s">
        <v>1974</v>
      </c>
      <c r="M3091" s="21" t="s">
        <v>15</v>
      </c>
      <c r="N3091" s="54">
        <v>28795415.219999999</v>
      </c>
      <c r="O3091" s="54">
        <v>-5310720</v>
      </c>
      <c r="P3091" s="54">
        <v>0</v>
      </c>
      <c r="Q3091" s="54">
        <v>23484695.219999999</v>
      </c>
      <c r="R3091" s="54">
        <v>0</v>
      </c>
      <c r="S3091" s="54">
        <v>18412440.18</v>
      </c>
      <c r="T3091" s="54">
        <v>18412440.18</v>
      </c>
      <c r="U3091" s="54">
        <v>5072255.04</v>
      </c>
      <c r="V3091" s="54">
        <v>5072255.04</v>
      </c>
      <c r="W3091" s="54">
        <v>5072255.04</v>
      </c>
    </row>
    <row r="3092" spans="1:23" outlineLevel="2" x14ac:dyDescent="0.2">
      <c r="A3092" s="21" t="s">
        <v>1969</v>
      </c>
      <c r="B3092" s="21" t="s">
        <v>1</v>
      </c>
      <c r="C3092" s="21" t="s">
        <v>2</v>
      </c>
      <c r="D3092" s="21" t="s">
        <v>474</v>
      </c>
      <c r="E3092" s="21" t="s">
        <v>475</v>
      </c>
      <c r="F3092" s="21" t="s">
        <v>911</v>
      </c>
      <c r="G3092" s="21" t="s">
        <v>912</v>
      </c>
      <c r="H3092" s="21" t="s">
        <v>1438</v>
      </c>
      <c r="I3092" s="21" t="s">
        <v>1439</v>
      </c>
      <c r="J3092" s="21" t="s">
        <v>1970</v>
      </c>
      <c r="K3092" s="21" t="s">
        <v>1975</v>
      </c>
      <c r="L3092" s="21" t="s">
        <v>1976</v>
      </c>
      <c r="M3092" s="21" t="s">
        <v>15</v>
      </c>
      <c r="N3092" s="54">
        <v>0</v>
      </c>
      <c r="O3092" s="54">
        <v>5310720</v>
      </c>
      <c r="P3092" s="54">
        <v>0</v>
      </c>
      <c r="Q3092" s="54">
        <v>5310720</v>
      </c>
      <c r="R3092" s="54">
        <v>0</v>
      </c>
      <c r="S3092" s="54">
        <v>5310720</v>
      </c>
      <c r="T3092" s="54">
        <v>5310720</v>
      </c>
      <c r="U3092" s="54">
        <v>0</v>
      </c>
      <c r="V3092" s="54">
        <v>0</v>
      </c>
      <c r="W3092" s="54">
        <v>0</v>
      </c>
    </row>
    <row r="3093" spans="1:23" outlineLevel="2" x14ac:dyDescent="0.2">
      <c r="A3093" s="21" t="s">
        <v>1977</v>
      </c>
      <c r="B3093" s="21" t="s">
        <v>1</v>
      </c>
      <c r="C3093" s="21" t="s">
        <v>2</v>
      </c>
      <c r="D3093" s="21" t="s">
        <v>474</v>
      </c>
      <c r="E3093" s="21" t="s">
        <v>475</v>
      </c>
      <c r="F3093" s="21" t="s">
        <v>5</v>
      </c>
      <c r="G3093" s="21" t="s">
        <v>6</v>
      </c>
      <c r="H3093" s="21" t="s">
        <v>7</v>
      </c>
      <c r="I3093" s="21" t="s">
        <v>8</v>
      </c>
      <c r="J3093" s="21" t="s">
        <v>1978</v>
      </c>
      <c r="K3093" s="21" t="s">
        <v>1979</v>
      </c>
      <c r="L3093" s="21" t="s">
        <v>1980</v>
      </c>
      <c r="M3093" s="21" t="s">
        <v>15</v>
      </c>
      <c r="N3093" s="54">
        <v>400000</v>
      </c>
      <c r="O3093" s="54">
        <v>0</v>
      </c>
      <c r="P3093" s="54">
        <v>0</v>
      </c>
      <c r="Q3093" s="54">
        <v>400000</v>
      </c>
      <c r="R3093" s="54">
        <v>0</v>
      </c>
      <c r="S3093" s="54">
        <v>0</v>
      </c>
      <c r="T3093" s="54">
        <v>0</v>
      </c>
      <c r="U3093" s="54">
        <v>400000</v>
      </c>
      <c r="V3093" s="54">
        <v>400000</v>
      </c>
      <c r="W3093" s="54">
        <v>400000</v>
      </c>
    </row>
    <row r="3094" spans="1:23" outlineLevel="2" x14ac:dyDescent="0.2">
      <c r="A3094" s="21" t="s">
        <v>1977</v>
      </c>
      <c r="B3094" s="21" t="s">
        <v>1</v>
      </c>
      <c r="C3094" s="21" t="s">
        <v>2</v>
      </c>
      <c r="D3094" s="21" t="s">
        <v>3</v>
      </c>
      <c r="E3094" s="21" t="s">
        <v>4</v>
      </c>
      <c r="F3094" s="21" t="s">
        <v>5</v>
      </c>
      <c r="G3094" s="21" t="s">
        <v>6</v>
      </c>
      <c r="H3094" s="21" t="s">
        <v>35</v>
      </c>
      <c r="I3094" s="21" t="s">
        <v>36</v>
      </c>
      <c r="J3094" s="21" t="s">
        <v>1978</v>
      </c>
      <c r="K3094" s="21" t="s">
        <v>1981</v>
      </c>
      <c r="L3094" s="21" t="s">
        <v>1982</v>
      </c>
      <c r="M3094" s="21" t="s">
        <v>15</v>
      </c>
      <c r="N3094" s="54">
        <v>0</v>
      </c>
      <c r="O3094" s="54">
        <v>15000</v>
      </c>
      <c r="P3094" s="54">
        <v>0</v>
      </c>
      <c r="Q3094" s="54">
        <v>15000</v>
      </c>
      <c r="R3094" s="54">
        <v>0</v>
      </c>
      <c r="S3094" s="54">
        <v>0</v>
      </c>
      <c r="T3094" s="54">
        <v>0</v>
      </c>
      <c r="U3094" s="54">
        <v>15000</v>
      </c>
      <c r="V3094" s="54">
        <v>15000</v>
      </c>
      <c r="W3094" s="54">
        <v>15000</v>
      </c>
    </row>
    <row r="3095" spans="1:23" outlineLevel="2" x14ac:dyDescent="0.2">
      <c r="A3095" s="21" t="s">
        <v>1977</v>
      </c>
      <c r="B3095" s="21" t="s">
        <v>1</v>
      </c>
      <c r="C3095" s="21" t="s">
        <v>91</v>
      </c>
      <c r="D3095" s="21" t="s">
        <v>92</v>
      </c>
      <c r="E3095" s="21" t="s">
        <v>93</v>
      </c>
      <c r="F3095" s="21" t="s">
        <v>5</v>
      </c>
      <c r="G3095" s="21" t="s">
        <v>6</v>
      </c>
      <c r="H3095" s="21" t="s">
        <v>35</v>
      </c>
      <c r="I3095" s="21" t="s">
        <v>36</v>
      </c>
      <c r="J3095" s="21" t="s">
        <v>1978</v>
      </c>
      <c r="K3095" s="21" t="s">
        <v>1981</v>
      </c>
      <c r="L3095" s="21" t="s">
        <v>1983</v>
      </c>
      <c r="M3095" s="21" t="s">
        <v>15</v>
      </c>
      <c r="N3095" s="54">
        <v>0</v>
      </c>
      <c r="O3095" s="54">
        <v>50000</v>
      </c>
      <c r="P3095" s="54">
        <v>0</v>
      </c>
      <c r="Q3095" s="54">
        <v>50000</v>
      </c>
      <c r="R3095" s="54">
        <v>0</v>
      </c>
      <c r="S3095" s="54">
        <v>19236.400000000001</v>
      </c>
      <c r="T3095" s="54">
        <v>16768.29</v>
      </c>
      <c r="U3095" s="54">
        <v>30763.599999999999</v>
      </c>
      <c r="V3095" s="54">
        <v>33231.71</v>
      </c>
      <c r="W3095" s="54">
        <v>30763.599999999999</v>
      </c>
    </row>
    <row r="3096" spans="1:23" outlineLevel="2" x14ac:dyDescent="0.2">
      <c r="A3096" s="21" t="s">
        <v>1977</v>
      </c>
      <c r="B3096" s="21" t="s">
        <v>1</v>
      </c>
      <c r="C3096" s="21" t="s">
        <v>2</v>
      </c>
      <c r="D3096" s="21" t="s">
        <v>20</v>
      </c>
      <c r="E3096" s="21" t="s">
        <v>21</v>
      </c>
      <c r="F3096" s="21" t="s">
        <v>5</v>
      </c>
      <c r="G3096" s="21" t="s">
        <v>6</v>
      </c>
      <c r="H3096" s="21" t="s">
        <v>35</v>
      </c>
      <c r="I3096" s="21" t="s">
        <v>36</v>
      </c>
      <c r="J3096" s="21" t="s">
        <v>1978</v>
      </c>
      <c r="K3096" s="21" t="s">
        <v>1981</v>
      </c>
      <c r="L3096" s="21" t="s">
        <v>1982</v>
      </c>
      <c r="M3096" s="21" t="s">
        <v>15</v>
      </c>
      <c r="N3096" s="54">
        <v>1025101.75</v>
      </c>
      <c r="O3096" s="54">
        <v>-113299.89</v>
      </c>
      <c r="P3096" s="54">
        <v>0</v>
      </c>
      <c r="Q3096" s="54">
        <v>911801.86</v>
      </c>
      <c r="R3096" s="54">
        <v>0</v>
      </c>
      <c r="S3096" s="54">
        <v>439825.62</v>
      </c>
      <c r="T3096" s="54">
        <v>434756.7</v>
      </c>
      <c r="U3096" s="54">
        <v>471976.24</v>
      </c>
      <c r="V3096" s="54">
        <v>477045.16</v>
      </c>
      <c r="W3096" s="54">
        <v>471976.24</v>
      </c>
    </row>
    <row r="3097" spans="1:23" outlineLevel="2" x14ac:dyDescent="0.2">
      <c r="A3097" s="21" t="s">
        <v>1977</v>
      </c>
      <c r="B3097" s="21" t="s">
        <v>39</v>
      </c>
      <c r="C3097" s="21" t="s">
        <v>58</v>
      </c>
      <c r="D3097" s="21" t="s">
        <v>129</v>
      </c>
      <c r="E3097" s="21" t="s">
        <v>130</v>
      </c>
      <c r="F3097" s="21" t="s">
        <v>837</v>
      </c>
      <c r="G3097" s="21" t="s">
        <v>838</v>
      </c>
      <c r="H3097" s="21" t="s">
        <v>852</v>
      </c>
      <c r="I3097" s="21" t="s">
        <v>853</v>
      </c>
      <c r="J3097" s="21" t="s">
        <v>1978</v>
      </c>
      <c r="K3097" s="21" t="s">
        <v>1981</v>
      </c>
      <c r="L3097" s="21" t="s">
        <v>1984</v>
      </c>
      <c r="M3097" s="21" t="s">
        <v>12</v>
      </c>
      <c r="N3097" s="54">
        <v>0</v>
      </c>
      <c r="O3097" s="54">
        <v>2086.54</v>
      </c>
      <c r="P3097" s="54">
        <v>0</v>
      </c>
      <c r="Q3097" s="54">
        <v>2086.54</v>
      </c>
      <c r="R3097" s="54">
        <v>0</v>
      </c>
      <c r="S3097" s="54">
        <v>2086.54</v>
      </c>
      <c r="T3097" s="54">
        <v>2086.5300000000002</v>
      </c>
      <c r="U3097" s="54">
        <v>0</v>
      </c>
      <c r="V3097" s="54">
        <v>0.01</v>
      </c>
      <c r="W3097" s="54">
        <v>0</v>
      </c>
    </row>
    <row r="3098" spans="1:23" outlineLevel="2" x14ac:dyDescent="0.2">
      <c r="A3098" s="21" t="s">
        <v>1977</v>
      </c>
      <c r="B3098" s="21" t="s">
        <v>39</v>
      </c>
      <c r="C3098" s="21" t="s">
        <v>58</v>
      </c>
      <c r="D3098" s="21" t="s">
        <v>137</v>
      </c>
      <c r="E3098" s="21" t="s">
        <v>138</v>
      </c>
      <c r="F3098" s="21" t="s">
        <v>837</v>
      </c>
      <c r="G3098" s="21" t="s">
        <v>838</v>
      </c>
      <c r="H3098" s="21" t="s">
        <v>852</v>
      </c>
      <c r="I3098" s="21" t="s">
        <v>853</v>
      </c>
      <c r="J3098" s="21" t="s">
        <v>1978</v>
      </c>
      <c r="K3098" s="21" t="s">
        <v>1981</v>
      </c>
      <c r="L3098" s="21" t="s">
        <v>1984</v>
      </c>
      <c r="M3098" s="21" t="s">
        <v>15</v>
      </c>
      <c r="N3098" s="54">
        <v>0</v>
      </c>
      <c r="O3098" s="54">
        <v>1980.52</v>
      </c>
      <c r="P3098" s="54">
        <v>0</v>
      </c>
      <c r="Q3098" s="54">
        <v>1980.52</v>
      </c>
      <c r="R3098" s="54">
        <v>0</v>
      </c>
      <c r="S3098" s="54">
        <v>0</v>
      </c>
      <c r="T3098" s="54">
        <v>0</v>
      </c>
      <c r="U3098" s="54">
        <v>1980.52</v>
      </c>
      <c r="V3098" s="54">
        <v>1980.52</v>
      </c>
      <c r="W3098" s="54">
        <v>1980.52</v>
      </c>
    </row>
    <row r="3103" spans="1:23" x14ac:dyDescent="0.2">
      <c r="C3103" s="3" t="s">
        <v>2052</v>
      </c>
      <c r="D3103" t="s">
        <v>2053</v>
      </c>
      <c r="E3103"/>
    </row>
    <row r="3104" spans="1:23" x14ac:dyDescent="0.2">
      <c r="C3104" s="4" t="s">
        <v>39</v>
      </c>
      <c r="D3104" s="7">
        <v>181328612.95000002</v>
      </c>
      <c r="E3104"/>
    </row>
    <row r="3105" spans="3:5" x14ac:dyDescent="0.2">
      <c r="C3105" s="5" t="s">
        <v>95</v>
      </c>
      <c r="D3105" s="7">
        <v>4986746.92</v>
      </c>
      <c r="E3105"/>
    </row>
    <row r="3106" spans="3:5" x14ac:dyDescent="0.2">
      <c r="C3106" s="6" t="s">
        <v>1792</v>
      </c>
      <c r="D3106" s="7">
        <v>3729663.47</v>
      </c>
      <c r="E3106"/>
    </row>
    <row r="3107" spans="3:5" x14ac:dyDescent="0.2">
      <c r="C3107" s="6" t="s">
        <v>97</v>
      </c>
      <c r="D3107" s="7">
        <v>1257083.4500000002</v>
      </c>
      <c r="E3107"/>
    </row>
    <row r="3108" spans="3:5" x14ac:dyDescent="0.2">
      <c r="C3108" s="5" t="s">
        <v>58</v>
      </c>
      <c r="D3108" s="7">
        <v>24442528.98</v>
      </c>
      <c r="E3108"/>
    </row>
    <row r="3109" spans="3:5" x14ac:dyDescent="0.2">
      <c r="C3109" s="6" t="s">
        <v>144</v>
      </c>
      <c r="D3109" s="7">
        <v>2689500.1900000013</v>
      </c>
      <c r="E3109"/>
    </row>
    <row r="3110" spans="3:5" x14ac:dyDescent="0.2">
      <c r="C3110" s="6" t="s">
        <v>150</v>
      </c>
      <c r="D3110" s="7">
        <v>4173818.6900000004</v>
      </c>
      <c r="E3110"/>
    </row>
    <row r="3111" spans="3:5" x14ac:dyDescent="0.2">
      <c r="C3111" s="6" t="s">
        <v>60</v>
      </c>
      <c r="D3111" s="7">
        <v>2049271.6099999996</v>
      </c>
      <c r="E3111"/>
    </row>
    <row r="3112" spans="3:5" x14ac:dyDescent="0.2">
      <c r="C3112" s="6" t="s">
        <v>148</v>
      </c>
      <c r="D3112" s="7">
        <v>3375547.1099999994</v>
      </c>
      <c r="E3112"/>
    </row>
    <row r="3113" spans="3:5" x14ac:dyDescent="0.2">
      <c r="C3113" s="6" t="s">
        <v>140</v>
      </c>
      <c r="D3113" s="7">
        <v>3293377.55</v>
      </c>
      <c r="E3113"/>
    </row>
    <row r="3114" spans="3:5" x14ac:dyDescent="0.2">
      <c r="C3114" s="6" t="s">
        <v>146</v>
      </c>
      <c r="D3114" s="7">
        <v>3140562.7300000004</v>
      </c>
      <c r="E3114"/>
    </row>
    <row r="3115" spans="3:5" x14ac:dyDescent="0.2">
      <c r="C3115" s="6" t="s">
        <v>138</v>
      </c>
      <c r="D3115" s="7">
        <v>2076257.36</v>
      </c>
      <c r="E3115"/>
    </row>
    <row r="3116" spans="3:5" x14ac:dyDescent="0.2">
      <c r="C3116" s="6" t="s">
        <v>136</v>
      </c>
      <c r="D3116" s="7">
        <v>1936717.6899999995</v>
      </c>
      <c r="E3116"/>
    </row>
    <row r="3117" spans="3:5" x14ac:dyDescent="0.2">
      <c r="C3117" s="6" t="s">
        <v>106</v>
      </c>
      <c r="D3117" s="7">
        <v>592352.66999999993</v>
      </c>
      <c r="E3117"/>
    </row>
    <row r="3118" spans="3:5" x14ac:dyDescent="0.2">
      <c r="C3118" s="6" t="s">
        <v>120</v>
      </c>
      <c r="D3118" s="7">
        <v>536558.29</v>
      </c>
      <c r="E3118"/>
    </row>
    <row r="3119" spans="3:5" x14ac:dyDescent="0.2">
      <c r="C3119" s="6" t="s">
        <v>130</v>
      </c>
      <c r="D3119" s="7">
        <v>578565.09</v>
      </c>
      <c r="E3119"/>
    </row>
    <row r="3120" spans="3:5" x14ac:dyDescent="0.2">
      <c r="C3120" s="5" t="s">
        <v>40</v>
      </c>
      <c r="D3120" s="7">
        <v>115752860.37000002</v>
      </c>
      <c r="E3120"/>
    </row>
    <row r="3121" spans="3:4" x14ac:dyDescent="0.2">
      <c r="C3121" s="6" t="s">
        <v>78</v>
      </c>
      <c r="D3121" s="7">
        <v>37150321.44000002</v>
      </c>
    </row>
    <row r="3122" spans="3:4" x14ac:dyDescent="0.2">
      <c r="C3122" s="6" t="s">
        <v>1833</v>
      </c>
      <c r="D3122" s="7">
        <v>6331989.9199999999</v>
      </c>
    </row>
    <row r="3123" spans="3:4" x14ac:dyDescent="0.2">
      <c r="C3123" s="6" t="s">
        <v>1824</v>
      </c>
      <c r="D3123" s="7">
        <v>45065698.589999996</v>
      </c>
    </row>
    <row r="3124" spans="3:4" x14ac:dyDescent="0.2">
      <c r="C3124" s="6" t="s">
        <v>1829</v>
      </c>
      <c r="D3124" s="7">
        <v>25404195.149999999</v>
      </c>
    </row>
    <row r="3125" spans="3:4" x14ac:dyDescent="0.2">
      <c r="C3125" s="6" t="s">
        <v>42</v>
      </c>
      <c r="D3125" s="7">
        <v>1800655.2700000003</v>
      </c>
    </row>
    <row r="3126" spans="3:4" x14ac:dyDescent="0.2">
      <c r="C3126" s="5" t="s">
        <v>70</v>
      </c>
      <c r="D3126" s="7">
        <v>21319964.23</v>
      </c>
    </row>
    <row r="3127" spans="3:4" x14ac:dyDescent="0.2">
      <c r="C3127" s="6" t="s">
        <v>90</v>
      </c>
      <c r="D3127" s="7">
        <v>16896415.640000001</v>
      </c>
    </row>
    <row r="3128" spans="3:4" x14ac:dyDescent="0.2">
      <c r="C3128" s="6" t="s">
        <v>72</v>
      </c>
      <c r="D3128" s="7">
        <v>4423548.5900000008</v>
      </c>
    </row>
    <row r="3129" spans="3:4" x14ac:dyDescent="0.2">
      <c r="C3129" s="5" t="s">
        <v>66</v>
      </c>
      <c r="D3129" s="7">
        <v>14826512.450000001</v>
      </c>
    </row>
    <row r="3130" spans="3:4" x14ac:dyDescent="0.2">
      <c r="C3130" s="6" t="s">
        <v>1844</v>
      </c>
      <c r="D3130" s="7">
        <v>3249999.99</v>
      </c>
    </row>
    <row r="3131" spans="3:4" x14ac:dyDescent="0.2">
      <c r="C3131" s="6" t="s">
        <v>827</v>
      </c>
      <c r="D3131" s="7">
        <v>1166666.67</v>
      </c>
    </row>
    <row r="3132" spans="3:4" x14ac:dyDescent="0.2">
      <c r="C3132" s="6" t="s">
        <v>68</v>
      </c>
      <c r="D3132" s="7">
        <v>8690172.1400000006</v>
      </c>
    </row>
    <row r="3133" spans="3:4" x14ac:dyDescent="0.2">
      <c r="C3133" s="6" t="s">
        <v>122</v>
      </c>
      <c r="D3133" s="7">
        <v>1719673.6500000001</v>
      </c>
    </row>
    <row r="3134" spans="3:4" x14ac:dyDescent="0.2">
      <c r="C3134" s="4" t="s">
        <v>53</v>
      </c>
      <c r="D3134" s="7">
        <v>4822244.95</v>
      </c>
    </row>
    <row r="3135" spans="3:4" x14ac:dyDescent="0.2">
      <c r="C3135" s="5" t="s">
        <v>54</v>
      </c>
      <c r="D3135" s="7">
        <v>1963805.6199999999</v>
      </c>
    </row>
    <row r="3136" spans="3:4" x14ac:dyDescent="0.2">
      <c r="C3136" s="6" t="s">
        <v>56</v>
      </c>
      <c r="D3136" s="7">
        <v>1820472.2999999998</v>
      </c>
    </row>
    <row r="3137" spans="3:4" x14ac:dyDescent="0.2">
      <c r="C3137" s="6" t="s">
        <v>1785</v>
      </c>
      <c r="D3137" s="7">
        <v>143333.32</v>
      </c>
    </row>
    <row r="3138" spans="3:4" x14ac:dyDescent="0.2">
      <c r="C3138" s="5" t="s">
        <v>85</v>
      </c>
      <c r="D3138" s="7">
        <v>2858439.33</v>
      </c>
    </row>
    <row r="3139" spans="3:4" x14ac:dyDescent="0.2">
      <c r="C3139" s="6" t="s">
        <v>1807</v>
      </c>
      <c r="D3139" s="7">
        <v>684552.5</v>
      </c>
    </row>
    <row r="3140" spans="3:4" x14ac:dyDescent="0.2">
      <c r="C3140" s="6" t="s">
        <v>1812</v>
      </c>
      <c r="D3140" s="7">
        <v>1171505.33</v>
      </c>
    </row>
    <row r="3141" spans="3:4" x14ac:dyDescent="0.2">
      <c r="C3141" s="6" t="s">
        <v>832</v>
      </c>
      <c r="D3141" s="7">
        <v>584922.82999999996</v>
      </c>
    </row>
    <row r="3142" spans="3:4" x14ac:dyDescent="0.2">
      <c r="C3142" s="6" t="s">
        <v>87</v>
      </c>
      <c r="D3142" s="7">
        <v>417458.66999999993</v>
      </c>
    </row>
    <row r="3143" spans="3:4" x14ac:dyDescent="0.2">
      <c r="C3143" s="4" t="s">
        <v>1</v>
      </c>
      <c r="D3143" s="7">
        <v>116609882.88</v>
      </c>
    </row>
    <row r="3144" spans="3:4" x14ac:dyDescent="0.2">
      <c r="C3144" s="5" t="s">
        <v>2</v>
      </c>
      <c r="D3144" s="7">
        <v>97896269.699999988</v>
      </c>
    </row>
    <row r="3145" spans="3:4" x14ac:dyDescent="0.2">
      <c r="C3145" s="6" t="s">
        <v>21</v>
      </c>
      <c r="D3145" s="7">
        <v>10260887.649999997</v>
      </c>
    </row>
    <row r="3146" spans="3:4" x14ac:dyDescent="0.2">
      <c r="C3146" s="6" t="s">
        <v>411</v>
      </c>
      <c r="D3146" s="7">
        <v>7274655.040000001</v>
      </c>
    </row>
    <row r="3147" spans="3:4" x14ac:dyDescent="0.2">
      <c r="C3147" s="6" t="s">
        <v>464</v>
      </c>
      <c r="D3147" s="7">
        <v>569218.59</v>
      </c>
    </row>
    <row r="3148" spans="3:4" x14ac:dyDescent="0.2">
      <c r="C3148" s="6" t="s">
        <v>590</v>
      </c>
      <c r="D3148" s="7">
        <v>326199.95</v>
      </c>
    </row>
    <row r="3149" spans="3:4" x14ac:dyDescent="0.2">
      <c r="C3149" s="6" t="s">
        <v>506</v>
      </c>
      <c r="D3149" s="7">
        <v>224</v>
      </c>
    </row>
    <row r="3150" spans="3:4" x14ac:dyDescent="0.2">
      <c r="C3150" s="6" t="s">
        <v>1534</v>
      </c>
      <c r="D3150" s="7">
        <v>1358336.3299999998</v>
      </c>
    </row>
    <row r="3151" spans="3:4" x14ac:dyDescent="0.2">
      <c r="C3151" s="6" t="s">
        <v>26</v>
      </c>
      <c r="D3151" s="7">
        <v>7932244.2199999997</v>
      </c>
    </row>
    <row r="3152" spans="3:4" x14ac:dyDescent="0.2">
      <c r="C3152" s="6" t="s">
        <v>14</v>
      </c>
      <c r="D3152" s="7">
        <v>14296.960000000001</v>
      </c>
    </row>
    <row r="3153" spans="3:4" x14ac:dyDescent="0.2">
      <c r="C3153" s="6" t="s">
        <v>475</v>
      </c>
      <c r="D3153" s="7">
        <v>66012663.339999996</v>
      </c>
    </row>
    <row r="3154" spans="3:4" x14ac:dyDescent="0.2">
      <c r="C3154" s="6" t="s">
        <v>631</v>
      </c>
      <c r="D3154" s="7">
        <v>0</v>
      </c>
    </row>
    <row r="3155" spans="3:4" x14ac:dyDescent="0.2">
      <c r="C3155" s="6" t="s">
        <v>4</v>
      </c>
      <c r="D3155" s="7">
        <v>4147543.62</v>
      </c>
    </row>
    <row r="3156" spans="3:4" x14ac:dyDescent="0.2">
      <c r="C3156" s="5" t="s">
        <v>91</v>
      </c>
      <c r="D3156" s="7">
        <v>6663883.2900000019</v>
      </c>
    </row>
    <row r="3157" spans="3:4" x14ac:dyDescent="0.2">
      <c r="C3157" s="6" t="s">
        <v>93</v>
      </c>
      <c r="D3157" s="7">
        <v>6663883.2900000019</v>
      </c>
    </row>
    <row r="3158" spans="3:4" x14ac:dyDescent="0.2">
      <c r="C3158" s="5" t="s">
        <v>99</v>
      </c>
      <c r="D3158" s="7">
        <v>3029094.6300000004</v>
      </c>
    </row>
    <row r="3159" spans="3:4" x14ac:dyDescent="0.2">
      <c r="C3159" s="6" t="s">
        <v>101</v>
      </c>
      <c r="D3159" s="7">
        <v>3029094.6300000004</v>
      </c>
    </row>
    <row r="3160" spans="3:4" x14ac:dyDescent="0.2">
      <c r="C3160" s="5" t="s">
        <v>16</v>
      </c>
      <c r="D3160" s="7">
        <v>8066572.4900000012</v>
      </c>
    </row>
    <row r="3161" spans="3:4" x14ac:dyDescent="0.2">
      <c r="C3161" s="6" t="s">
        <v>104</v>
      </c>
      <c r="D3161" s="7">
        <v>2583194.7000000002</v>
      </c>
    </row>
    <row r="3162" spans="3:4" x14ac:dyDescent="0.2">
      <c r="C3162" s="6" t="s">
        <v>18</v>
      </c>
      <c r="D3162" s="7">
        <v>3900331.4000000004</v>
      </c>
    </row>
    <row r="3163" spans="3:4" x14ac:dyDescent="0.2">
      <c r="C3163" s="6" t="s">
        <v>63</v>
      </c>
      <c r="D3163" s="7">
        <v>201817.43999999994</v>
      </c>
    </row>
    <row r="3164" spans="3:4" x14ac:dyDescent="0.2">
      <c r="C3164" s="6" t="s">
        <v>65</v>
      </c>
      <c r="D3164" s="7">
        <v>323229.19</v>
      </c>
    </row>
    <row r="3165" spans="3:4" x14ac:dyDescent="0.2">
      <c r="C3165" s="6" t="s">
        <v>798</v>
      </c>
      <c r="D3165" s="7">
        <v>0</v>
      </c>
    </row>
    <row r="3166" spans="3:4" x14ac:dyDescent="0.2">
      <c r="C3166" s="6" t="s">
        <v>819</v>
      </c>
      <c r="D3166" s="7">
        <v>1057999.76</v>
      </c>
    </row>
    <row r="3167" spans="3:4" x14ac:dyDescent="0.2">
      <c r="C3167" s="5" t="s">
        <v>44</v>
      </c>
      <c r="D3167" s="7">
        <v>954062.7699999999</v>
      </c>
    </row>
    <row r="3168" spans="3:4" x14ac:dyDescent="0.2">
      <c r="C3168" s="6" t="s">
        <v>1837</v>
      </c>
      <c r="D3168" s="7">
        <v>0</v>
      </c>
    </row>
    <row r="3169" spans="3:4" x14ac:dyDescent="0.2">
      <c r="C3169" s="6" t="s">
        <v>1482</v>
      </c>
      <c r="D3169" s="7">
        <v>4050</v>
      </c>
    </row>
    <row r="3170" spans="3:4" x14ac:dyDescent="0.2">
      <c r="C3170" s="6" t="s">
        <v>46</v>
      </c>
      <c r="D3170" s="7">
        <v>950012.7699999999</v>
      </c>
    </row>
    <row r="3171" spans="3:4" x14ac:dyDescent="0.2">
      <c r="C3171" s="4" t="s">
        <v>31</v>
      </c>
      <c r="D3171" s="7">
        <v>56381381.000000007</v>
      </c>
    </row>
    <row r="3172" spans="3:4" x14ac:dyDescent="0.2">
      <c r="C3172" s="5" t="s">
        <v>107</v>
      </c>
      <c r="D3172" s="7">
        <v>9135587.1600000001</v>
      </c>
    </row>
    <row r="3173" spans="3:4" x14ac:dyDescent="0.2">
      <c r="C3173" s="6" t="s">
        <v>1165</v>
      </c>
      <c r="D3173" s="7">
        <v>0</v>
      </c>
    </row>
    <row r="3174" spans="3:4" x14ac:dyDescent="0.2">
      <c r="C3174" s="6" t="s">
        <v>1169</v>
      </c>
      <c r="D3174" s="7">
        <v>0</v>
      </c>
    </row>
    <row r="3175" spans="3:4" x14ac:dyDescent="0.2">
      <c r="C3175" s="6" t="s">
        <v>1797</v>
      </c>
      <c r="D3175" s="7">
        <v>1900000</v>
      </c>
    </row>
    <row r="3176" spans="3:4" x14ac:dyDescent="0.2">
      <c r="C3176" s="6" t="s">
        <v>1803</v>
      </c>
      <c r="D3176" s="7">
        <v>2610533.36</v>
      </c>
    </row>
    <row r="3177" spans="3:4" x14ac:dyDescent="0.2">
      <c r="C3177" s="6" t="s">
        <v>109</v>
      </c>
      <c r="D3177" s="7">
        <v>4625053.8000000007</v>
      </c>
    </row>
    <row r="3178" spans="3:4" x14ac:dyDescent="0.2">
      <c r="C3178" s="5" t="s">
        <v>79</v>
      </c>
      <c r="D3178" s="7">
        <v>18212231.079999998</v>
      </c>
    </row>
    <row r="3179" spans="3:4" x14ac:dyDescent="0.2">
      <c r="C3179" s="6" t="s">
        <v>81</v>
      </c>
      <c r="D3179" s="7">
        <v>1284309.1299999999</v>
      </c>
    </row>
    <row r="3180" spans="3:4" x14ac:dyDescent="0.2">
      <c r="C3180" s="6" t="s">
        <v>134</v>
      </c>
      <c r="D3180" s="7">
        <v>1403054.4899999995</v>
      </c>
    </row>
    <row r="3181" spans="3:4" x14ac:dyDescent="0.2">
      <c r="C3181" s="6" t="s">
        <v>84</v>
      </c>
      <c r="D3181" s="7">
        <v>5508490.5900000008</v>
      </c>
    </row>
    <row r="3182" spans="3:4" x14ac:dyDescent="0.2">
      <c r="C3182" s="6" t="s">
        <v>132</v>
      </c>
      <c r="D3182" s="7">
        <v>2062335.13</v>
      </c>
    </row>
    <row r="3183" spans="3:4" x14ac:dyDescent="0.2">
      <c r="C3183" s="6" t="s">
        <v>112</v>
      </c>
      <c r="D3183" s="7">
        <v>1021368.99</v>
      </c>
    </row>
    <row r="3184" spans="3:4" x14ac:dyDescent="0.2">
      <c r="C3184" s="6" t="s">
        <v>114</v>
      </c>
      <c r="D3184" s="7">
        <v>1363185.25</v>
      </c>
    </row>
    <row r="3185" spans="3:4" x14ac:dyDescent="0.2">
      <c r="C3185" s="6" t="s">
        <v>116</v>
      </c>
      <c r="D3185" s="7">
        <v>868792.77999999991</v>
      </c>
    </row>
    <row r="3186" spans="3:4" x14ac:dyDescent="0.2">
      <c r="C3186" s="6" t="s">
        <v>128</v>
      </c>
      <c r="D3186" s="7">
        <v>1319937.5999999999</v>
      </c>
    </row>
    <row r="3187" spans="3:4" x14ac:dyDescent="0.2">
      <c r="C3187" s="6" t="s">
        <v>126</v>
      </c>
      <c r="D3187" s="7">
        <v>1030301.9500000001</v>
      </c>
    </row>
    <row r="3188" spans="3:4" x14ac:dyDescent="0.2">
      <c r="C3188" s="6" t="s">
        <v>118</v>
      </c>
      <c r="D3188" s="7">
        <v>2350455.1699999995</v>
      </c>
    </row>
    <row r="3189" spans="3:4" x14ac:dyDescent="0.2">
      <c r="C3189" s="5" t="s">
        <v>49</v>
      </c>
      <c r="D3189" s="7">
        <v>14095204.57</v>
      </c>
    </row>
    <row r="3190" spans="3:4" x14ac:dyDescent="0.2">
      <c r="C3190" s="6" t="s">
        <v>1849</v>
      </c>
      <c r="D3190" s="7">
        <v>526000</v>
      </c>
    </row>
    <row r="3191" spans="3:4" x14ac:dyDescent="0.2">
      <c r="C3191" s="6" t="s">
        <v>51</v>
      </c>
      <c r="D3191" s="7">
        <v>1073311.6400000001</v>
      </c>
    </row>
    <row r="3192" spans="3:4" x14ac:dyDescent="0.2">
      <c r="C3192" s="6" t="s">
        <v>1817</v>
      </c>
      <c r="D3192" s="7">
        <v>12495892.93</v>
      </c>
    </row>
    <row r="3193" spans="3:4" x14ac:dyDescent="0.2">
      <c r="C3193" s="5" t="s">
        <v>32</v>
      </c>
      <c r="D3193" s="7">
        <v>14938358.190000001</v>
      </c>
    </row>
    <row r="3194" spans="3:4" x14ac:dyDescent="0.2">
      <c r="C3194" s="6" t="s">
        <v>142</v>
      </c>
      <c r="D3194" s="7">
        <v>1887375.8400000003</v>
      </c>
    </row>
    <row r="3195" spans="3:4" x14ac:dyDescent="0.2">
      <c r="C3195" s="6" t="s">
        <v>124</v>
      </c>
      <c r="D3195" s="7">
        <v>2534516.8500000006</v>
      </c>
    </row>
    <row r="3196" spans="3:4" x14ac:dyDescent="0.2">
      <c r="C3196" s="6" t="s">
        <v>76</v>
      </c>
      <c r="D3196" s="7">
        <v>3441124</v>
      </c>
    </row>
    <row r="3197" spans="3:4" x14ac:dyDescent="0.2">
      <c r="C3197" s="6" t="s">
        <v>34</v>
      </c>
      <c r="D3197" s="7">
        <v>7075341.5000000009</v>
      </c>
    </row>
    <row r="3198" spans="3:4" x14ac:dyDescent="0.2">
      <c r="C3198" s="4" t="s">
        <v>2008</v>
      </c>
      <c r="D3198" s="7">
        <v>359142121.77999997</v>
      </c>
    </row>
  </sheetData>
  <autoFilter ref="A1:W3098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0"/>
  <sheetViews>
    <sheetView workbookViewId="0">
      <selection sqref="A1:J1"/>
    </sheetView>
  </sheetViews>
  <sheetFormatPr baseColWidth="10" defaultColWidth="9.140625" defaultRowHeight="12.75" outlineLevelRow="2" x14ac:dyDescent="0.2"/>
  <cols>
    <col min="1" max="1" width="7" style="21" bestFit="1" customWidth="1"/>
    <col min="2" max="2" width="12" style="21" bestFit="1" customWidth="1"/>
    <col min="3" max="3" width="27.5703125" style="21" customWidth="1"/>
    <col min="4" max="4" width="20.140625" style="21" bestFit="1" customWidth="1"/>
    <col min="5" max="5" width="42" style="21" bestFit="1" customWidth="1"/>
    <col min="6" max="6" width="10" style="21" bestFit="1" customWidth="1"/>
    <col min="7" max="7" width="52" style="21" bestFit="1" customWidth="1"/>
    <col min="8" max="8" width="16" style="21" bestFit="1" customWidth="1"/>
    <col min="9" max="9" width="57" style="21" bestFit="1" customWidth="1"/>
    <col min="10" max="10" width="47" style="21" bestFit="1" customWidth="1"/>
    <col min="11" max="11" width="52" style="21" bestFit="1" customWidth="1"/>
    <col min="12" max="12" width="25" style="21" bestFit="1" customWidth="1"/>
    <col min="13" max="13" width="7" style="21" bestFit="1" customWidth="1"/>
    <col min="14" max="14" width="20" style="21" bestFit="1" customWidth="1"/>
    <col min="15" max="15" width="14" style="21" bestFit="1" customWidth="1"/>
    <col min="16" max="16" width="10" style="21" bestFit="1" customWidth="1"/>
    <col min="17" max="17" width="15" style="21" bestFit="1" customWidth="1"/>
    <col min="18" max="18" width="13" style="21" bestFit="1" customWidth="1"/>
    <col min="19" max="20" width="14" style="21" bestFit="1" customWidth="1"/>
    <col min="21" max="21" width="23" style="21" bestFit="1" customWidth="1"/>
    <col min="22" max="22" width="20" style="21" bestFit="1" customWidth="1"/>
    <col min="23" max="23" width="14" style="21" bestFit="1" customWidth="1"/>
    <col min="24" max="16384" width="9.140625" style="21"/>
  </cols>
  <sheetData>
    <row r="1" spans="1:23" x14ac:dyDescent="0.2">
      <c r="A1" s="53" t="s">
        <v>1985</v>
      </c>
      <c r="B1" s="53" t="s">
        <v>1986</v>
      </c>
      <c r="C1" s="53" t="s">
        <v>1987</v>
      </c>
      <c r="D1" s="53" t="s">
        <v>1988</v>
      </c>
      <c r="E1" s="53" t="s">
        <v>1989</v>
      </c>
      <c r="F1" s="53" t="s">
        <v>1990</v>
      </c>
      <c r="G1" s="53" t="s">
        <v>1991</v>
      </c>
      <c r="H1" s="53" t="s">
        <v>1992</v>
      </c>
      <c r="I1" s="53" t="s">
        <v>1993</v>
      </c>
      <c r="J1" s="53" t="s">
        <v>1994</v>
      </c>
      <c r="K1" s="53" t="s">
        <v>1995</v>
      </c>
      <c r="L1" s="53" t="s">
        <v>1996</v>
      </c>
      <c r="M1" s="53" t="s">
        <v>1997</v>
      </c>
      <c r="N1" s="53" t="s">
        <v>1998</v>
      </c>
      <c r="O1" s="53" t="s">
        <v>1999</v>
      </c>
      <c r="P1" s="53" t="s">
        <v>2000</v>
      </c>
      <c r="Q1" s="53" t="s">
        <v>2001</v>
      </c>
      <c r="R1" s="53" t="s">
        <v>2002</v>
      </c>
      <c r="S1" s="53" t="s">
        <v>2003</v>
      </c>
      <c r="T1" s="53" t="s">
        <v>2004</v>
      </c>
      <c r="U1" s="53" t="s">
        <v>2005</v>
      </c>
      <c r="V1" s="53" t="s">
        <v>2006</v>
      </c>
      <c r="W1" s="53" t="s">
        <v>2007</v>
      </c>
    </row>
    <row r="2" spans="1:23" s="58" customFormat="1" outlineLevel="2" x14ac:dyDescent="0.2">
      <c r="A2" s="58" t="s">
        <v>999</v>
      </c>
      <c r="B2" s="58" t="s">
        <v>39</v>
      </c>
      <c r="C2" s="58" t="s">
        <v>40</v>
      </c>
      <c r="D2" s="58" t="s">
        <v>41</v>
      </c>
      <c r="E2" s="58" t="s">
        <v>42</v>
      </c>
      <c r="F2" s="58" t="s">
        <v>1422</v>
      </c>
      <c r="G2" s="58" t="s">
        <v>1423</v>
      </c>
      <c r="H2" s="58" t="s">
        <v>1430</v>
      </c>
      <c r="I2" s="58" t="s">
        <v>1431</v>
      </c>
      <c r="J2" s="58" t="s">
        <v>1000</v>
      </c>
      <c r="K2" s="58" t="s">
        <v>1013</v>
      </c>
      <c r="L2" s="58" t="s">
        <v>1427</v>
      </c>
      <c r="M2" s="58" t="s">
        <v>12</v>
      </c>
      <c r="N2" s="59">
        <v>3331491.39</v>
      </c>
      <c r="O2" s="59">
        <v>287076.19</v>
      </c>
      <c r="P2" s="59">
        <v>0</v>
      </c>
      <c r="Q2" s="59">
        <v>3618567.58</v>
      </c>
      <c r="R2" s="59">
        <v>687636.19</v>
      </c>
      <c r="S2" s="59">
        <v>1846775.71</v>
      </c>
      <c r="T2" s="59">
        <v>1627028.23</v>
      </c>
      <c r="U2" s="59">
        <v>1771791.87</v>
      </c>
      <c r="V2" s="59">
        <v>1991539.35</v>
      </c>
      <c r="W2" s="59">
        <v>1084155.68</v>
      </c>
    </row>
    <row r="3" spans="1:23" s="58" customFormat="1" outlineLevel="2" x14ac:dyDescent="0.2">
      <c r="A3" s="58" t="s">
        <v>999</v>
      </c>
      <c r="B3" s="58" t="s">
        <v>39</v>
      </c>
      <c r="C3" s="58" t="s">
        <v>40</v>
      </c>
      <c r="D3" s="58" t="s">
        <v>41</v>
      </c>
      <c r="E3" s="58" t="s">
        <v>42</v>
      </c>
      <c r="F3" s="58" t="s">
        <v>1422</v>
      </c>
      <c r="G3" s="58" t="s">
        <v>1423</v>
      </c>
      <c r="H3" s="58" t="s">
        <v>1430</v>
      </c>
      <c r="I3" s="58" t="s">
        <v>1431</v>
      </c>
      <c r="J3" s="58" t="s">
        <v>1000</v>
      </c>
      <c r="K3" s="58" t="s">
        <v>1013</v>
      </c>
      <c r="L3" s="58" t="s">
        <v>1427</v>
      </c>
      <c r="M3" s="58" t="s">
        <v>1432</v>
      </c>
      <c r="N3" s="59">
        <v>22669197.949999999</v>
      </c>
      <c r="O3" s="59">
        <v>2392301.5699999998</v>
      </c>
      <c r="P3" s="59">
        <v>0</v>
      </c>
      <c r="Q3" s="59">
        <v>25061499.52</v>
      </c>
      <c r="R3" s="59">
        <v>5730301.5700000003</v>
      </c>
      <c r="S3" s="59">
        <v>10296567.27</v>
      </c>
      <c r="T3" s="59">
        <v>8465338.3699999992</v>
      </c>
      <c r="U3" s="59">
        <v>14764932.25</v>
      </c>
      <c r="V3" s="59">
        <v>16596161.15</v>
      </c>
      <c r="W3" s="59">
        <v>9034630.6799999997</v>
      </c>
    </row>
    <row r="4" spans="1:23" s="58" customFormat="1" outlineLevel="2" x14ac:dyDescent="0.2">
      <c r="A4" s="58" t="s">
        <v>999</v>
      </c>
      <c r="B4" s="58" t="s">
        <v>39</v>
      </c>
      <c r="C4" s="58" t="s">
        <v>40</v>
      </c>
      <c r="D4" s="58" t="s">
        <v>41</v>
      </c>
      <c r="E4" s="58" t="s">
        <v>42</v>
      </c>
      <c r="F4" s="58" t="s">
        <v>1422</v>
      </c>
      <c r="G4" s="58" t="s">
        <v>1423</v>
      </c>
      <c r="H4" s="58" t="s">
        <v>1430</v>
      </c>
      <c r="I4" s="58" t="s">
        <v>1431</v>
      </c>
      <c r="J4" s="58" t="s">
        <v>1000</v>
      </c>
      <c r="K4" s="58" t="s">
        <v>1013</v>
      </c>
      <c r="L4" s="58" t="s">
        <v>1427</v>
      </c>
      <c r="M4" s="58" t="s">
        <v>15</v>
      </c>
      <c r="N4" s="59">
        <v>1593254.87</v>
      </c>
      <c r="O4" s="59">
        <v>0</v>
      </c>
      <c r="P4" s="59">
        <v>0</v>
      </c>
      <c r="Q4" s="59">
        <v>1593254.87</v>
      </c>
      <c r="R4" s="59">
        <v>0</v>
      </c>
      <c r="S4" s="59">
        <v>1593254.87</v>
      </c>
      <c r="T4" s="59">
        <v>1593254.84</v>
      </c>
      <c r="U4" s="59">
        <v>0</v>
      </c>
      <c r="V4" s="59">
        <v>0.03</v>
      </c>
      <c r="W4" s="59">
        <v>0</v>
      </c>
    </row>
    <row r="5" spans="1:23" s="58" customFormat="1" outlineLevel="2" x14ac:dyDescent="0.2">
      <c r="A5" s="58" t="s">
        <v>1742</v>
      </c>
      <c r="B5" s="58" t="s">
        <v>39</v>
      </c>
      <c r="C5" s="58" t="s">
        <v>40</v>
      </c>
      <c r="D5" s="58" t="s">
        <v>41</v>
      </c>
      <c r="E5" s="58" t="s">
        <v>42</v>
      </c>
      <c r="F5" s="58" t="s">
        <v>1422</v>
      </c>
      <c r="G5" s="58" t="s">
        <v>1423</v>
      </c>
      <c r="H5" s="58" t="s">
        <v>1430</v>
      </c>
      <c r="I5" s="58" t="s">
        <v>1431</v>
      </c>
      <c r="J5" s="58" t="s">
        <v>1743</v>
      </c>
      <c r="K5" s="58" t="s">
        <v>1748</v>
      </c>
      <c r="L5" s="58" t="s">
        <v>1763</v>
      </c>
      <c r="M5" s="58" t="s">
        <v>12</v>
      </c>
      <c r="N5" s="59">
        <v>52044283.729999997</v>
      </c>
      <c r="O5" s="59">
        <v>-287076.19</v>
      </c>
      <c r="P5" s="59">
        <v>0</v>
      </c>
      <c r="Q5" s="59">
        <v>51757207.539999999</v>
      </c>
      <c r="R5" s="59">
        <v>0</v>
      </c>
      <c r="S5" s="59">
        <v>41191405.710000001</v>
      </c>
      <c r="T5" s="59">
        <v>7926540.9400000004</v>
      </c>
      <c r="U5" s="59">
        <v>10565801.83</v>
      </c>
      <c r="V5" s="59">
        <v>43830666.600000001</v>
      </c>
      <c r="W5" s="59">
        <v>10565801.83</v>
      </c>
    </row>
    <row r="6" spans="1:23" s="58" customFormat="1" outlineLevel="2" x14ac:dyDescent="0.2">
      <c r="A6" s="58" t="s">
        <v>1742</v>
      </c>
      <c r="B6" s="58" t="s">
        <v>39</v>
      </c>
      <c r="C6" s="58" t="s">
        <v>40</v>
      </c>
      <c r="D6" s="58" t="s">
        <v>41</v>
      </c>
      <c r="E6" s="58" t="s">
        <v>42</v>
      </c>
      <c r="F6" s="58" t="s">
        <v>1422</v>
      </c>
      <c r="G6" s="58" t="s">
        <v>1423</v>
      </c>
      <c r="H6" s="58" t="s">
        <v>1430</v>
      </c>
      <c r="I6" s="58" t="s">
        <v>1431</v>
      </c>
      <c r="J6" s="58" t="s">
        <v>1743</v>
      </c>
      <c r="K6" s="58" t="s">
        <v>1748</v>
      </c>
      <c r="L6" s="58" t="s">
        <v>1763</v>
      </c>
      <c r="M6" s="58" t="s">
        <v>1432</v>
      </c>
      <c r="N6" s="59">
        <v>203865868.09999999</v>
      </c>
      <c r="O6" s="59">
        <v>-2392301.5699999998</v>
      </c>
      <c r="P6" s="59">
        <v>0</v>
      </c>
      <c r="Q6" s="59">
        <v>201473566.53</v>
      </c>
      <c r="R6" s="59">
        <v>0</v>
      </c>
      <c r="S6" s="59">
        <v>115470637.04000001</v>
      </c>
      <c r="T6" s="59">
        <v>74288050.5</v>
      </c>
      <c r="U6" s="59">
        <v>86002929.489999995</v>
      </c>
      <c r="V6" s="59">
        <v>127185516.03</v>
      </c>
      <c r="W6" s="59">
        <v>86002929.489999995</v>
      </c>
    </row>
    <row r="7" spans="1:23" s="58" customFormat="1" outlineLevel="2" x14ac:dyDescent="0.2">
      <c r="A7" s="58" t="s">
        <v>1882</v>
      </c>
      <c r="B7" s="58" t="s">
        <v>39</v>
      </c>
      <c r="C7" s="58" t="s">
        <v>40</v>
      </c>
      <c r="D7" s="58" t="s">
        <v>41</v>
      </c>
      <c r="E7" s="58" t="s">
        <v>42</v>
      </c>
      <c r="F7" s="58" t="s">
        <v>1422</v>
      </c>
      <c r="G7" s="58" t="s">
        <v>1423</v>
      </c>
      <c r="H7" s="58" t="s">
        <v>1430</v>
      </c>
      <c r="I7" s="58" t="s">
        <v>1431</v>
      </c>
      <c r="J7" s="58" t="s">
        <v>1883</v>
      </c>
      <c r="K7" s="58" t="s">
        <v>1925</v>
      </c>
      <c r="L7" s="58" t="s">
        <v>1926</v>
      </c>
      <c r="M7" s="58" t="s">
        <v>12</v>
      </c>
      <c r="N7" s="59">
        <v>1101557.99</v>
      </c>
      <c r="O7" s="59">
        <v>0</v>
      </c>
      <c r="P7" s="59">
        <v>0</v>
      </c>
      <c r="Q7" s="59">
        <v>1101557.99</v>
      </c>
      <c r="R7" s="59">
        <v>0</v>
      </c>
      <c r="S7" s="59">
        <v>0</v>
      </c>
      <c r="T7" s="59">
        <v>0</v>
      </c>
      <c r="U7" s="59">
        <v>1101557.99</v>
      </c>
      <c r="V7" s="59">
        <v>1101557.99</v>
      </c>
      <c r="W7" s="59">
        <v>1101557.99</v>
      </c>
    </row>
    <row r="8" spans="1:23" s="58" customFormat="1" outlineLevel="2" x14ac:dyDescent="0.2">
      <c r="A8" s="58" t="s">
        <v>1882</v>
      </c>
      <c r="B8" s="58" t="s">
        <v>39</v>
      </c>
      <c r="C8" s="58" t="s">
        <v>40</v>
      </c>
      <c r="D8" s="58" t="s">
        <v>41</v>
      </c>
      <c r="E8" s="58" t="s">
        <v>42</v>
      </c>
      <c r="F8" s="58" t="s">
        <v>1422</v>
      </c>
      <c r="G8" s="58" t="s">
        <v>1423</v>
      </c>
      <c r="H8" s="58" t="s">
        <v>1430</v>
      </c>
      <c r="I8" s="58" t="s">
        <v>1431</v>
      </c>
      <c r="J8" s="58" t="s">
        <v>1883</v>
      </c>
      <c r="K8" s="58" t="s">
        <v>1925</v>
      </c>
      <c r="L8" s="58" t="s">
        <v>1926</v>
      </c>
      <c r="M8" s="58" t="s">
        <v>1432</v>
      </c>
      <c r="N8" s="59">
        <v>34618258.969999999</v>
      </c>
      <c r="O8" s="59">
        <v>0</v>
      </c>
      <c r="P8" s="59">
        <v>0</v>
      </c>
      <c r="Q8" s="59">
        <v>34618258.969999999</v>
      </c>
      <c r="R8" s="59">
        <v>0</v>
      </c>
      <c r="S8" s="59">
        <v>0</v>
      </c>
      <c r="T8" s="59">
        <v>0</v>
      </c>
      <c r="U8" s="59">
        <v>34618258.969999999</v>
      </c>
      <c r="V8" s="59">
        <v>34618258.969999999</v>
      </c>
      <c r="W8" s="59">
        <v>34618258.969999999</v>
      </c>
    </row>
    <row r="9" spans="1:23" s="58" customFormat="1" outlineLevel="2" x14ac:dyDescent="0.2">
      <c r="A9" s="58" t="s">
        <v>1882</v>
      </c>
      <c r="B9" s="58" t="s">
        <v>39</v>
      </c>
      <c r="C9" s="58" t="s">
        <v>40</v>
      </c>
      <c r="D9" s="58" t="s">
        <v>41</v>
      </c>
      <c r="E9" s="58" t="s">
        <v>42</v>
      </c>
      <c r="F9" s="58" t="s">
        <v>1422</v>
      </c>
      <c r="G9" s="58" t="s">
        <v>1423</v>
      </c>
      <c r="H9" s="58" t="s">
        <v>1430</v>
      </c>
      <c r="I9" s="58" t="s">
        <v>1431</v>
      </c>
      <c r="J9" s="58" t="s">
        <v>1883</v>
      </c>
      <c r="K9" s="58" t="s">
        <v>1927</v>
      </c>
      <c r="L9" s="58" t="s">
        <v>1928</v>
      </c>
      <c r="M9" s="58" t="s">
        <v>1432</v>
      </c>
      <c r="N9" s="59">
        <v>1150000</v>
      </c>
      <c r="O9" s="59">
        <v>0</v>
      </c>
      <c r="P9" s="59">
        <v>0</v>
      </c>
      <c r="Q9" s="59">
        <v>1150000</v>
      </c>
      <c r="R9" s="59">
        <v>0</v>
      </c>
      <c r="S9" s="59">
        <v>0</v>
      </c>
      <c r="T9" s="59">
        <v>0</v>
      </c>
      <c r="U9" s="59">
        <v>1150000</v>
      </c>
      <c r="V9" s="59">
        <v>1150000</v>
      </c>
      <c r="W9" s="59">
        <v>1150000</v>
      </c>
    </row>
    <row r="13" spans="1:23" x14ac:dyDescent="0.2">
      <c r="C13" s="3" t="s">
        <v>2052</v>
      </c>
      <c r="D13" t="s">
        <v>2053</v>
      </c>
      <c r="E13"/>
    </row>
    <row r="14" spans="1:23" x14ac:dyDescent="0.2">
      <c r="C14" s="4" t="s">
        <v>39</v>
      </c>
      <c r="D14" s="7">
        <v>93900212.879999995</v>
      </c>
      <c r="E14"/>
    </row>
    <row r="15" spans="1:23" x14ac:dyDescent="0.2">
      <c r="C15" s="5" t="s">
        <v>40</v>
      </c>
      <c r="D15" s="7">
        <v>93900212.879999995</v>
      </c>
      <c r="E15"/>
    </row>
    <row r="16" spans="1:23" x14ac:dyDescent="0.2">
      <c r="C16" s="6" t="s">
        <v>42</v>
      </c>
      <c r="D16" s="7">
        <v>93900212.879999995</v>
      </c>
      <c r="E16"/>
    </row>
    <row r="17" spans="3:5" x14ac:dyDescent="0.2">
      <c r="C17" s="4" t="s">
        <v>2008</v>
      </c>
      <c r="D17" s="7">
        <v>93900212.879999995</v>
      </c>
      <c r="E17"/>
    </row>
    <row r="18" spans="3:5" x14ac:dyDescent="0.2">
      <c r="C18"/>
      <c r="D18"/>
      <c r="E18"/>
    </row>
    <row r="19" spans="3:5" x14ac:dyDescent="0.2">
      <c r="C19"/>
      <c r="D19"/>
      <c r="E19"/>
    </row>
    <row r="20" spans="3:5" x14ac:dyDescent="0.2">
      <c r="C20"/>
      <c r="D20"/>
      <c r="E20"/>
    </row>
    <row r="21" spans="3:5" x14ac:dyDescent="0.2">
      <c r="C21"/>
      <c r="D21"/>
      <c r="E21"/>
    </row>
    <row r="22" spans="3:5" x14ac:dyDescent="0.2">
      <c r="C22"/>
      <c r="D22"/>
      <c r="E22"/>
    </row>
    <row r="23" spans="3:5" x14ac:dyDescent="0.2">
      <c r="C23"/>
      <c r="D23"/>
      <c r="E23"/>
    </row>
    <row r="24" spans="3:5" x14ac:dyDescent="0.2">
      <c r="C24"/>
      <c r="D24"/>
      <c r="E24"/>
    </row>
    <row r="25" spans="3:5" x14ac:dyDescent="0.2">
      <c r="C25"/>
      <c r="D25"/>
      <c r="E25"/>
    </row>
    <row r="26" spans="3:5" x14ac:dyDescent="0.2">
      <c r="C26"/>
      <c r="D26"/>
      <c r="E26"/>
    </row>
    <row r="27" spans="3:5" x14ac:dyDescent="0.2">
      <c r="C27"/>
      <c r="D27"/>
      <c r="E27"/>
    </row>
    <row r="28" spans="3:5" x14ac:dyDescent="0.2">
      <c r="C28"/>
      <c r="D28"/>
      <c r="E28"/>
    </row>
    <row r="29" spans="3:5" x14ac:dyDescent="0.2">
      <c r="C29"/>
      <c r="D29"/>
      <c r="E29"/>
    </row>
    <row r="30" spans="3:5" x14ac:dyDescent="0.2">
      <c r="C30"/>
      <c r="D30"/>
      <c r="E30"/>
    </row>
  </sheetData>
  <autoFilter ref="A1:W9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7"/>
  <sheetViews>
    <sheetView workbookViewId="0">
      <selection sqref="A1:J1"/>
    </sheetView>
  </sheetViews>
  <sheetFormatPr baseColWidth="10" defaultRowHeight="12.75" x14ac:dyDescent="0.2"/>
  <cols>
    <col min="1" max="1" width="11.42578125" style="21"/>
    <col min="2" max="2" width="36.42578125" style="21" customWidth="1"/>
    <col min="3" max="3" width="13" style="21" bestFit="1" customWidth="1"/>
    <col min="4" max="5" width="11.42578125" style="21"/>
    <col min="6" max="6" width="14.28515625" style="21" bestFit="1" customWidth="1"/>
    <col min="7" max="16384" width="11.42578125" style="21"/>
  </cols>
  <sheetData>
    <row r="1" spans="1:6" x14ac:dyDescent="0.2">
      <c r="A1" s="71" t="s">
        <v>2029</v>
      </c>
      <c r="B1" s="72"/>
      <c r="C1" s="72"/>
      <c r="D1" s="73"/>
      <c r="F1" s="22"/>
    </row>
    <row r="2" spans="1:6" x14ac:dyDescent="0.2">
      <c r="A2" s="74" t="s">
        <v>2030</v>
      </c>
      <c r="B2" s="75"/>
      <c r="C2" s="75"/>
      <c r="D2" s="76"/>
      <c r="F2" s="22"/>
    </row>
    <row r="3" spans="1:6" x14ac:dyDescent="0.2">
      <c r="A3" s="74" t="s">
        <v>2031</v>
      </c>
      <c r="B3" s="75"/>
      <c r="C3" s="75"/>
      <c r="D3" s="76"/>
      <c r="F3" s="22"/>
    </row>
    <row r="4" spans="1:6" ht="13.5" thickBot="1" x14ac:dyDescent="0.25">
      <c r="A4" s="77" t="s">
        <v>2032</v>
      </c>
      <c r="B4" s="78"/>
      <c r="C4" s="78"/>
      <c r="D4" s="79"/>
      <c r="F4" s="22"/>
    </row>
    <row r="5" spans="1:6" ht="15.75" thickBot="1" x14ac:dyDescent="0.25">
      <c r="A5" s="92"/>
      <c r="B5" s="92"/>
      <c r="C5" s="23"/>
      <c r="D5" s="23"/>
      <c r="F5" s="24"/>
    </row>
    <row r="6" spans="1:6" ht="13.5" thickBot="1" x14ac:dyDescent="0.25">
      <c r="A6" s="93" t="s">
        <v>2013</v>
      </c>
      <c r="B6" s="94"/>
      <c r="C6" s="25" t="s">
        <v>2012</v>
      </c>
      <c r="D6" s="25" t="s">
        <v>2014</v>
      </c>
    </row>
    <row r="7" spans="1:6" x14ac:dyDescent="0.2">
      <c r="A7" s="91" t="s">
        <v>39</v>
      </c>
      <c r="B7" s="91"/>
      <c r="C7" s="26">
        <f>+C8+C11+C23+C29+C32</f>
        <v>206503125.70000002</v>
      </c>
      <c r="D7" s="27">
        <f t="shared" ref="D7:D70" si="0">+C7/$C$114</f>
        <v>0.28745698419195131</v>
      </c>
    </row>
    <row r="8" spans="1:6" x14ac:dyDescent="0.2">
      <c r="A8" s="85" t="s">
        <v>95</v>
      </c>
      <c r="B8" s="85"/>
      <c r="C8" s="28">
        <f>SUM(C9:C10)</f>
        <v>4485343.08</v>
      </c>
      <c r="D8" s="29">
        <f t="shared" si="0"/>
        <v>6.2436982029809452E-3</v>
      </c>
    </row>
    <row r="9" spans="1:6" x14ac:dyDescent="0.2">
      <c r="A9" s="83" t="s">
        <v>1792</v>
      </c>
      <c r="B9" s="83"/>
      <c r="C9" s="30">
        <f>+[1]COMPARATIVO!F9</f>
        <v>2700000</v>
      </c>
      <c r="D9" s="31">
        <f t="shared" si="0"/>
        <v>3.7584605786829916E-3</v>
      </c>
    </row>
    <row r="10" spans="1:6" x14ac:dyDescent="0.2">
      <c r="A10" s="83" t="s">
        <v>2015</v>
      </c>
      <c r="B10" s="83"/>
      <c r="C10" s="30">
        <f>+[1]COMPARATIVO!F10</f>
        <v>1785343.08</v>
      </c>
      <c r="D10" s="31">
        <f t="shared" si="0"/>
        <v>2.4852376242979536E-3</v>
      </c>
    </row>
    <row r="11" spans="1:6" x14ac:dyDescent="0.2">
      <c r="A11" s="86" t="s">
        <v>58</v>
      </c>
      <c r="B11" s="86"/>
      <c r="C11" s="32">
        <f>SUM(C12:C22)</f>
        <v>47352585.280000009</v>
      </c>
      <c r="D11" s="33">
        <f t="shared" si="0"/>
        <v>6.5915861138372056E-2</v>
      </c>
    </row>
    <row r="12" spans="1:6" x14ac:dyDescent="0.2">
      <c r="A12" s="83" t="s">
        <v>144</v>
      </c>
      <c r="B12" s="83"/>
      <c r="C12" s="30">
        <f>+[1]COMPARATIVO!F12</f>
        <v>6235158.8300000001</v>
      </c>
      <c r="D12" s="31">
        <f t="shared" si="0"/>
        <v>8.6794809868082096E-3</v>
      </c>
    </row>
    <row r="13" spans="1:6" x14ac:dyDescent="0.2">
      <c r="A13" s="83" t="s">
        <v>150</v>
      </c>
      <c r="B13" s="83"/>
      <c r="C13" s="30">
        <f>+[1]COMPARATIVO!F13</f>
        <v>6793542.9900000002</v>
      </c>
      <c r="D13" s="31">
        <f t="shared" si="0"/>
        <v>9.4567642657419192E-3</v>
      </c>
    </row>
    <row r="14" spans="1:6" x14ac:dyDescent="0.2">
      <c r="A14" s="83" t="s">
        <v>60</v>
      </c>
      <c r="B14" s="83"/>
      <c r="C14" s="30">
        <f>+[1]COMPARATIVO!F14</f>
        <v>4585865.32</v>
      </c>
      <c r="D14" s="31">
        <f t="shared" si="0"/>
        <v>6.3836274164331347E-3</v>
      </c>
    </row>
    <row r="15" spans="1:6" x14ac:dyDescent="0.2">
      <c r="A15" s="83" t="s">
        <v>148</v>
      </c>
      <c r="B15" s="83"/>
      <c r="C15" s="30">
        <f>+[1]COMPARATIVO!F15</f>
        <v>6126520.6600000001</v>
      </c>
      <c r="D15" s="31">
        <f t="shared" si="0"/>
        <v>8.5282542167025577E-3</v>
      </c>
    </row>
    <row r="16" spans="1:6" x14ac:dyDescent="0.2">
      <c r="A16" s="83" t="s">
        <v>140</v>
      </c>
      <c r="B16" s="83"/>
      <c r="C16" s="30">
        <f>+[1]COMPARATIVO!F16</f>
        <v>5577270.04</v>
      </c>
      <c r="D16" s="31">
        <f t="shared" si="0"/>
        <v>7.7636850303739674E-3</v>
      </c>
    </row>
    <row r="17" spans="1:4" x14ac:dyDescent="0.2">
      <c r="A17" s="83" t="s">
        <v>146</v>
      </c>
      <c r="B17" s="83"/>
      <c r="C17" s="30">
        <f>+[1]COMPARATIVO!F17</f>
        <v>5123838.04</v>
      </c>
      <c r="D17" s="31">
        <f t="shared" si="0"/>
        <v>7.1324975129245646E-3</v>
      </c>
    </row>
    <row r="18" spans="1:4" x14ac:dyDescent="0.2">
      <c r="A18" s="83" t="s">
        <v>138</v>
      </c>
      <c r="B18" s="83"/>
      <c r="C18" s="30">
        <f>+[1]COMPARATIVO!F18</f>
        <v>4203137.45</v>
      </c>
      <c r="D18" s="31">
        <f t="shared" si="0"/>
        <v>5.8508616343004279E-3</v>
      </c>
    </row>
    <row r="19" spans="1:4" x14ac:dyDescent="0.2">
      <c r="A19" s="83" t="s">
        <v>136</v>
      </c>
      <c r="B19" s="83"/>
      <c r="C19" s="30">
        <f>+[1]COMPARATIVO!F19</f>
        <v>4398709.24</v>
      </c>
      <c r="D19" s="31">
        <f t="shared" si="0"/>
        <v>6.1231019539365267E-3</v>
      </c>
    </row>
    <row r="20" spans="1:4" x14ac:dyDescent="0.2">
      <c r="A20" s="83" t="s">
        <v>106</v>
      </c>
      <c r="B20" s="83"/>
      <c r="C20" s="30">
        <f>+[1]COMPARATIVO!F20</f>
        <v>2235872.58</v>
      </c>
      <c r="D20" s="31">
        <f t="shared" si="0"/>
        <v>3.1123847966252715E-3</v>
      </c>
    </row>
    <row r="21" spans="1:4" x14ac:dyDescent="0.2">
      <c r="A21" s="83" t="s">
        <v>120</v>
      </c>
      <c r="B21" s="83"/>
      <c r="C21" s="30">
        <f>+[1]COMPARATIVO!F21</f>
        <v>1173868.82</v>
      </c>
      <c r="D21" s="31">
        <f t="shared" si="0"/>
        <v>1.6340517350056003E-3</v>
      </c>
    </row>
    <row r="22" spans="1:4" x14ac:dyDescent="0.2">
      <c r="A22" s="83" t="s">
        <v>130</v>
      </c>
      <c r="B22" s="83"/>
      <c r="C22" s="30">
        <f>+[1]COMPARATIVO!F22</f>
        <v>898801.31</v>
      </c>
      <c r="D22" s="31">
        <f t="shared" si="0"/>
        <v>1.2511515895198633E-3</v>
      </c>
    </row>
    <row r="23" spans="1:4" x14ac:dyDescent="0.2">
      <c r="A23" s="86" t="s">
        <v>40</v>
      </c>
      <c r="B23" s="86"/>
      <c r="C23" s="32">
        <f>SUM(C24:C28)</f>
        <v>114272036.03</v>
      </c>
      <c r="D23" s="33">
        <f t="shared" si="0"/>
        <v>0.15906923802392497</v>
      </c>
    </row>
    <row r="24" spans="1:4" x14ac:dyDescent="0.2">
      <c r="A24" s="83" t="s">
        <v>78</v>
      </c>
      <c r="B24" s="83"/>
      <c r="C24" s="30">
        <f>+[1]COMPARATIVO!F24</f>
        <v>53669436.789999999</v>
      </c>
      <c r="D24" s="31">
        <f t="shared" si="0"/>
        <v>7.470906016864208E-2</v>
      </c>
    </row>
    <row r="25" spans="1:4" x14ac:dyDescent="0.2">
      <c r="A25" s="83" t="s">
        <v>1833</v>
      </c>
      <c r="B25" s="83"/>
      <c r="C25" s="30">
        <f>+[1]COMPARATIVO!F25</f>
        <v>12000000</v>
      </c>
      <c r="D25" s="31">
        <f t="shared" si="0"/>
        <v>1.6704269238591075E-2</v>
      </c>
    </row>
    <row r="26" spans="1:4" x14ac:dyDescent="0.2">
      <c r="A26" s="83" t="s">
        <v>1824</v>
      </c>
      <c r="B26" s="83"/>
      <c r="C26" s="30">
        <f>+[1]COMPARATIVO!F26</f>
        <v>26475897.309999999</v>
      </c>
      <c r="D26" s="31">
        <f t="shared" si="0"/>
        <v>3.6855043083294091E-2</v>
      </c>
    </row>
    <row r="27" spans="1:4" x14ac:dyDescent="0.2">
      <c r="A27" s="83" t="s">
        <v>1829</v>
      </c>
      <c r="B27" s="83"/>
      <c r="C27" s="30">
        <f>+[1]COMPARATIVO!F27</f>
        <v>20000000</v>
      </c>
      <c r="D27" s="31">
        <f t="shared" si="0"/>
        <v>2.7840448730985123E-2</v>
      </c>
    </row>
    <row r="28" spans="1:4" x14ac:dyDescent="0.2">
      <c r="A28" s="90" t="s">
        <v>42</v>
      </c>
      <c r="B28" s="90"/>
      <c r="C28" s="30">
        <f>+[1]COMPARATIVO!F28</f>
        <v>2126701.9299999997</v>
      </c>
      <c r="D28" s="34">
        <f t="shared" si="0"/>
        <v>2.9604168024126051E-3</v>
      </c>
    </row>
    <row r="29" spans="1:4" x14ac:dyDescent="0.2">
      <c r="A29" s="88" t="s">
        <v>70</v>
      </c>
      <c r="B29" s="88"/>
      <c r="C29" s="35">
        <f>SUM(C30:C31)</f>
        <v>28566507.800000004</v>
      </c>
      <c r="D29" s="36">
        <f t="shared" si="0"/>
        <v>3.976521979145934E-2</v>
      </c>
    </row>
    <row r="30" spans="1:4" x14ac:dyDescent="0.2">
      <c r="A30" s="83" t="s">
        <v>90</v>
      </c>
      <c r="B30" s="83"/>
      <c r="C30" s="30">
        <f>+[1]COMPARATIVO!F30</f>
        <v>23137551.670000002</v>
      </c>
      <c r="D30" s="31">
        <f t="shared" si="0"/>
        <v>3.2207991051457711E-2</v>
      </c>
    </row>
    <row r="31" spans="1:4" x14ac:dyDescent="0.2">
      <c r="A31" s="83" t="s">
        <v>72</v>
      </c>
      <c r="B31" s="83"/>
      <c r="C31" s="30">
        <f>+[1]COMPARATIVO!F31</f>
        <v>5428956.1300000008</v>
      </c>
      <c r="D31" s="31">
        <f t="shared" si="0"/>
        <v>7.5572287400016216E-3</v>
      </c>
    </row>
    <row r="32" spans="1:4" x14ac:dyDescent="0.2">
      <c r="A32" s="86" t="s">
        <v>66</v>
      </c>
      <c r="B32" s="86"/>
      <c r="C32" s="32">
        <f>SUM(C33:C36)</f>
        <v>11826653.51</v>
      </c>
      <c r="D32" s="33">
        <f t="shared" si="0"/>
        <v>1.6462967035214011E-2</v>
      </c>
    </row>
    <row r="33" spans="1:6" x14ac:dyDescent="0.2">
      <c r="A33" s="83" t="s">
        <v>1844</v>
      </c>
      <c r="B33" s="83"/>
      <c r="C33" s="30">
        <f>+[1]COMPARATIVO!F33</f>
        <v>0</v>
      </c>
      <c r="D33" s="31">
        <f t="shared" si="0"/>
        <v>0</v>
      </c>
    </row>
    <row r="34" spans="1:6" x14ac:dyDescent="0.2">
      <c r="A34" s="83" t="s">
        <v>827</v>
      </c>
      <c r="B34" s="83"/>
      <c r="C34" s="30">
        <f>+[1]COMPARATIVO!F34</f>
        <v>0</v>
      </c>
      <c r="D34" s="31">
        <f t="shared" si="0"/>
        <v>0</v>
      </c>
    </row>
    <row r="35" spans="1:6" x14ac:dyDescent="0.2">
      <c r="A35" s="83" t="s">
        <v>68</v>
      </c>
      <c r="B35" s="83"/>
      <c r="C35" s="30">
        <f>+[1]COMPARATIVO!F35</f>
        <v>9560980.4100000001</v>
      </c>
      <c r="D35" s="31">
        <f t="shared" si="0"/>
        <v>1.3309099246127906E-2</v>
      </c>
    </row>
    <row r="36" spans="1:6" x14ac:dyDescent="0.2">
      <c r="A36" s="83" t="s">
        <v>122</v>
      </c>
      <c r="B36" s="83"/>
      <c r="C36" s="30">
        <f>+[1]COMPARATIVO!F36</f>
        <v>2265673.0999999996</v>
      </c>
      <c r="D36" s="31">
        <f t="shared" si="0"/>
        <v>3.1538677890861058E-3</v>
      </c>
    </row>
    <row r="37" spans="1:6" x14ac:dyDescent="0.2">
      <c r="A37" s="89" t="s">
        <v>53</v>
      </c>
      <c r="B37" s="89"/>
      <c r="C37" s="37">
        <f>+C38+C41</f>
        <v>12100430.140000001</v>
      </c>
      <c r="D37" s="38">
        <f t="shared" si="0"/>
        <v>1.6844070246776859E-2</v>
      </c>
    </row>
    <row r="38" spans="1:6" x14ac:dyDescent="0.2">
      <c r="A38" s="86" t="s">
        <v>54</v>
      </c>
      <c r="B38" s="86"/>
      <c r="C38" s="32">
        <f>SUM(C39:C40)</f>
        <v>4851369.72</v>
      </c>
      <c r="D38" s="33">
        <f t="shared" si="0"/>
        <v>6.7532154982356818E-3</v>
      </c>
    </row>
    <row r="39" spans="1:6" x14ac:dyDescent="0.2">
      <c r="A39" s="83" t="s">
        <v>56</v>
      </c>
      <c r="B39" s="83"/>
      <c r="C39" s="30">
        <f>+[1]COMPARATIVO!F39</f>
        <v>4851369.72</v>
      </c>
      <c r="D39" s="31">
        <f t="shared" si="0"/>
        <v>6.7532154982356818E-3</v>
      </c>
    </row>
    <row r="40" spans="1:6" x14ac:dyDescent="0.2">
      <c r="A40" s="83" t="s">
        <v>1785</v>
      </c>
      <c r="B40" s="83"/>
      <c r="C40" s="30">
        <f>+[1]COMPARATIVO!F40</f>
        <v>0</v>
      </c>
      <c r="D40" s="31">
        <f t="shared" si="0"/>
        <v>0</v>
      </c>
    </row>
    <row r="41" spans="1:6" x14ac:dyDescent="0.2">
      <c r="A41" s="86" t="s">
        <v>85</v>
      </c>
      <c r="B41" s="86"/>
      <c r="C41" s="32">
        <f>SUM(C42:C45)</f>
        <v>7249060.4199999999</v>
      </c>
      <c r="D41" s="33">
        <f t="shared" si="0"/>
        <v>1.0090854748541173E-2</v>
      </c>
    </row>
    <row r="42" spans="1:6" x14ac:dyDescent="0.2">
      <c r="A42" s="83" t="s">
        <v>1807</v>
      </c>
      <c r="B42" s="83"/>
      <c r="C42" s="30">
        <f>+[1]COMPARATIVO!F42</f>
        <v>1500000</v>
      </c>
      <c r="D42" s="31">
        <f t="shared" si="0"/>
        <v>2.0880336548238843E-3</v>
      </c>
    </row>
    <row r="43" spans="1:6" x14ac:dyDescent="0.2">
      <c r="A43" s="83" t="s">
        <v>1812</v>
      </c>
      <c r="B43" s="83"/>
      <c r="C43" s="30">
        <f>+[1]COMPARATIVO!F43</f>
        <v>1000000</v>
      </c>
      <c r="D43" s="31">
        <f t="shared" si="0"/>
        <v>1.3920224365492561E-3</v>
      </c>
    </row>
    <row r="44" spans="1:6" x14ac:dyDescent="0.2">
      <c r="A44" s="83" t="s">
        <v>832</v>
      </c>
      <c r="B44" s="83"/>
      <c r="C44" s="30">
        <f>+[1]COMPARATIVO!F44</f>
        <v>3500000</v>
      </c>
      <c r="D44" s="31">
        <f t="shared" si="0"/>
        <v>4.8720785279223961E-3</v>
      </c>
    </row>
    <row r="45" spans="1:6" x14ac:dyDescent="0.2">
      <c r="A45" s="83" t="s">
        <v>87</v>
      </c>
      <c r="B45" s="83"/>
      <c r="C45" s="30">
        <f>+[1]COMPARATIVO!F45</f>
        <v>1249060.42</v>
      </c>
      <c r="D45" s="31">
        <f t="shared" si="0"/>
        <v>1.7387201292456372E-3</v>
      </c>
    </row>
    <row r="46" spans="1:6" x14ac:dyDescent="0.2">
      <c r="A46" s="89" t="s">
        <v>1</v>
      </c>
      <c r="B46" s="89"/>
      <c r="C46" s="37">
        <f>+C47+C59+C61+C63+C70</f>
        <v>174474005.41</v>
      </c>
      <c r="D46" s="38">
        <f t="shared" si="0"/>
        <v>0.2428717301253363</v>
      </c>
    </row>
    <row r="47" spans="1:6" x14ac:dyDescent="0.2">
      <c r="A47" s="86" t="s">
        <v>2</v>
      </c>
      <c r="B47" s="86"/>
      <c r="C47" s="32">
        <f>SUM(C48:C58)</f>
        <v>150120565.94999999</v>
      </c>
      <c r="D47" s="33">
        <f t="shared" si="0"/>
        <v>0.20897119598987227</v>
      </c>
      <c r="F47" s="21">
        <v>2126701.9300000002</v>
      </c>
    </row>
    <row r="48" spans="1:6" x14ac:dyDescent="0.2">
      <c r="A48" s="83" t="s">
        <v>21</v>
      </c>
      <c r="B48" s="83"/>
      <c r="C48" s="30">
        <f>+[1]COMPARATIVO!F48</f>
        <v>12652446.43</v>
      </c>
      <c r="D48" s="31">
        <f t="shared" si="0"/>
        <v>1.7612489307797536E-2</v>
      </c>
    </row>
    <row r="49" spans="1:4" x14ac:dyDescent="0.2">
      <c r="A49" s="83" t="s">
        <v>411</v>
      </c>
      <c r="B49" s="83"/>
      <c r="C49" s="30">
        <f>+[1]COMPARATIVO!F49</f>
        <v>10011823.16</v>
      </c>
      <c r="D49" s="31">
        <f t="shared" si="0"/>
        <v>1.3936682469483474E-2</v>
      </c>
    </row>
    <row r="50" spans="1:4" x14ac:dyDescent="0.2">
      <c r="A50" s="83" t="s">
        <v>2016</v>
      </c>
      <c r="B50" s="83"/>
      <c r="C50" s="30">
        <f>+[1]COMPARATIVO!F50</f>
        <v>26000</v>
      </c>
      <c r="D50" s="31">
        <f t="shared" si="0"/>
        <v>3.619258335028066E-5</v>
      </c>
    </row>
    <row r="51" spans="1:4" x14ac:dyDescent="0.2">
      <c r="A51" s="83" t="s">
        <v>2017</v>
      </c>
      <c r="B51" s="83"/>
      <c r="C51" s="30">
        <f>+[1]COMPARATIVO!F51</f>
        <v>1080000</v>
      </c>
      <c r="D51" s="31">
        <f t="shared" si="0"/>
        <v>1.5033842314731967E-3</v>
      </c>
    </row>
    <row r="52" spans="1:4" x14ac:dyDescent="0.2">
      <c r="A52" s="83" t="s">
        <v>2018</v>
      </c>
      <c r="B52" s="83"/>
      <c r="C52" s="30">
        <f>+[1]COMPARATIVO!F52</f>
        <v>10000</v>
      </c>
      <c r="D52" s="31">
        <f t="shared" si="0"/>
        <v>1.3920224365492562E-5</v>
      </c>
    </row>
    <row r="53" spans="1:4" x14ac:dyDescent="0.2">
      <c r="A53" s="83" t="s">
        <v>1534</v>
      </c>
      <c r="B53" s="83"/>
      <c r="C53" s="30">
        <f>+[1]COMPARATIVO!F53</f>
        <v>3777755.0900000003</v>
      </c>
      <c r="D53" s="31">
        <f t="shared" si="0"/>
        <v>5.2587198450681546E-3</v>
      </c>
    </row>
    <row r="54" spans="1:4" x14ac:dyDescent="0.2">
      <c r="A54" s="83" t="s">
        <v>26</v>
      </c>
      <c r="B54" s="83"/>
      <c r="C54" s="30">
        <f>+[1]COMPARATIVO!F54</f>
        <v>9223000</v>
      </c>
      <c r="D54" s="31">
        <f t="shared" si="0"/>
        <v>1.283862293229379E-2</v>
      </c>
    </row>
    <row r="55" spans="1:4" x14ac:dyDescent="0.2">
      <c r="A55" s="83" t="s">
        <v>2019</v>
      </c>
      <c r="B55" s="83"/>
      <c r="C55" s="30">
        <f>+[1]COMPARATIVO!F55</f>
        <v>94000</v>
      </c>
      <c r="D55" s="31">
        <f t="shared" si="0"/>
        <v>1.3085010903563009E-4</v>
      </c>
    </row>
    <row r="56" spans="1:4" x14ac:dyDescent="0.2">
      <c r="A56" s="83" t="s">
        <v>475</v>
      </c>
      <c r="B56" s="83"/>
      <c r="C56" s="30">
        <f>+[1]COMPARATIVO!F56</f>
        <v>107908407.98999999</v>
      </c>
      <c r="D56" s="31">
        <f t="shared" si="0"/>
        <v>0.15021092501439101</v>
      </c>
    </row>
    <row r="57" spans="1:4" x14ac:dyDescent="0.2">
      <c r="A57" s="83" t="s">
        <v>2020</v>
      </c>
      <c r="B57" s="83"/>
      <c r="C57" s="30">
        <f>+[1]COMPARATIVO!F57</f>
        <v>500</v>
      </c>
      <c r="D57" s="31">
        <f t="shared" si="0"/>
        <v>6.9601121827462811E-7</v>
      </c>
    </row>
    <row r="58" spans="1:4" x14ac:dyDescent="0.2">
      <c r="A58" s="83" t="s">
        <v>4</v>
      </c>
      <c r="B58" s="83"/>
      <c r="C58" s="30">
        <f>+[1]COMPARATIVO!F58</f>
        <v>5336633.2799999993</v>
      </c>
      <c r="D58" s="31">
        <f t="shared" si="0"/>
        <v>7.4287132613954478E-3</v>
      </c>
    </row>
    <row r="59" spans="1:4" x14ac:dyDescent="0.2">
      <c r="A59" s="88" t="s">
        <v>91</v>
      </c>
      <c r="B59" s="88"/>
      <c r="C59" s="35">
        <f>SUM(C60)</f>
        <v>8541821.4900000002</v>
      </c>
      <c r="D59" s="36">
        <f t="shared" si="0"/>
        <v>1.1890407163078598E-2</v>
      </c>
    </row>
    <row r="60" spans="1:4" x14ac:dyDescent="0.2">
      <c r="A60" s="83" t="s">
        <v>93</v>
      </c>
      <c r="B60" s="83"/>
      <c r="C60" s="30">
        <f>+[1]COMPARATIVO!F60</f>
        <v>8541821.4900000002</v>
      </c>
      <c r="D60" s="31">
        <f t="shared" si="0"/>
        <v>1.1890407163078598E-2</v>
      </c>
    </row>
    <row r="61" spans="1:4" x14ac:dyDescent="0.2">
      <c r="A61" s="86" t="s">
        <v>99</v>
      </c>
      <c r="B61" s="86"/>
      <c r="C61" s="32">
        <f>SUM(C62)</f>
        <v>4226096.66</v>
      </c>
      <c r="D61" s="33">
        <f t="shared" si="0"/>
        <v>5.8828213697458736E-3</v>
      </c>
    </row>
    <row r="62" spans="1:4" s="24" customFormat="1" x14ac:dyDescent="0.2">
      <c r="A62" s="83" t="s">
        <v>101</v>
      </c>
      <c r="B62" s="83"/>
      <c r="C62" s="30">
        <f>+[1]COMPARATIVO!F62</f>
        <v>4226096.66</v>
      </c>
      <c r="D62" s="31">
        <f t="shared" si="0"/>
        <v>5.8828213697458736E-3</v>
      </c>
    </row>
    <row r="63" spans="1:4" x14ac:dyDescent="0.2">
      <c r="A63" s="85" t="s">
        <v>16</v>
      </c>
      <c r="B63" s="85"/>
      <c r="C63" s="28">
        <f>SUM(C64:C69)</f>
        <v>10164217.130000001</v>
      </c>
      <c r="D63" s="29">
        <f t="shared" si="0"/>
        <v>1.4148818294918288E-2</v>
      </c>
    </row>
    <row r="64" spans="1:4" x14ac:dyDescent="0.2">
      <c r="A64" s="83" t="s">
        <v>104</v>
      </c>
      <c r="B64" s="83"/>
      <c r="C64" s="30">
        <f>+[1]COMPARATIVO!F64</f>
        <v>4046478.91</v>
      </c>
      <c r="D64" s="31">
        <f t="shared" si="0"/>
        <v>5.6327894317433781E-3</v>
      </c>
    </row>
    <row r="65" spans="1:4" x14ac:dyDescent="0.2">
      <c r="A65" s="83" t="s">
        <v>18</v>
      </c>
      <c r="B65" s="83"/>
      <c r="C65" s="30">
        <f>+[1]COMPARATIVO!F65</f>
        <v>4624015.83</v>
      </c>
      <c r="D65" s="31">
        <f t="shared" si="0"/>
        <v>6.436733782318931E-3</v>
      </c>
    </row>
    <row r="66" spans="1:4" x14ac:dyDescent="0.2">
      <c r="A66" s="83" t="s">
        <v>63</v>
      </c>
      <c r="B66" s="83"/>
      <c r="C66" s="30">
        <f>+[1]COMPARATIVO!F66</f>
        <v>323667.14</v>
      </c>
      <c r="D66" s="31">
        <f t="shared" si="0"/>
        <v>4.505519208537292E-4</v>
      </c>
    </row>
    <row r="67" spans="1:4" x14ac:dyDescent="0.2">
      <c r="A67" s="83" t="s">
        <v>65</v>
      </c>
      <c r="B67" s="83"/>
      <c r="C67" s="30">
        <f>+[1]COMPARATIVO!F67</f>
        <v>366055.25</v>
      </c>
      <c r="D67" s="31">
        <f t="shared" si="0"/>
        <v>5.0955712101664712E-4</v>
      </c>
    </row>
    <row r="68" spans="1:4" x14ac:dyDescent="0.2">
      <c r="A68" s="83" t="s">
        <v>2021</v>
      </c>
      <c r="B68" s="83"/>
      <c r="C68" s="30">
        <f>+[1]COMPARATIVO!F68</f>
        <v>4000</v>
      </c>
      <c r="D68" s="31">
        <f t="shared" si="0"/>
        <v>5.5680897461970249E-6</v>
      </c>
    </row>
    <row r="69" spans="1:4" x14ac:dyDescent="0.2">
      <c r="A69" s="83" t="s">
        <v>819</v>
      </c>
      <c r="B69" s="83"/>
      <c r="C69" s="30">
        <f>+[1]COMPARATIVO!F69</f>
        <v>800000</v>
      </c>
      <c r="D69" s="31">
        <f t="shared" si="0"/>
        <v>1.1136179492394049E-3</v>
      </c>
    </row>
    <row r="70" spans="1:4" x14ac:dyDescent="0.2">
      <c r="A70" s="86" t="s">
        <v>44</v>
      </c>
      <c r="B70" s="86"/>
      <c r="C70" s="32">
        <f>SUM(C71:C73)</f>
        <v>1421304.1799999997</v>
      </c>
      <c r="D70" s="33">
        <f t="shared" si="0"/>
        <v>1.9784873077212423E-3</v>
      </c>
    </row>
    <row r="71" spans="1:4" x14ac:dyDescent="0.2">
      <c r="A71" s="83" t="s">
        <v>2022</v>
      </c>
      <c r="B71" s="83"/>
      <c r="C71" s="30">
        <f>+[1]COMPARATIVO!F71</f>
        <v>180000</v>
      </c>
      <c r="D71" s="31">
        <f t="shared" ref="D71:D101" si="1">+C71/$C$114</f>
        <v>2.5056403857886612E-4</v>
      </c>
    </row>
    <row r="72" spans="1:4" x14ac:dyDescent="0.2">
      <c r="A72" s="83" t="s">
        <v>2023</v>
      </c>
      <c r="B72" s="83"/>
      <c r="C72" s="30">
        <f>+[1]COMPARATIVO!F72</f>
        <v>0</v>
      </c>
      <c r="D72" s="31">
        <f t="shared" si="1"/>
        <v>0</v>
      </c>
    </row>
    <row r="73" spans="1:4" x14ac:dyDescent="0.2">
      <c r="A73" s="83" t="s">
        <v>46</v>
      </c>
      <c r="B73" s="83"/>
      <c r="C73" s="30">
        <f>+[1]COMPARATIVO!F73</f>
        <v>1241304.1799999997</v>
      </c>
      <c r="D73" s="31">
        <f t="shared" si="1"/>
        <v>1.7279232691423761E-3</v>
      </c>
    </row>
    <row r="74" spans="1:4" x14ac:dyDescent="0.2">
      <c r="A74" s="87" t="s">
        <v>31</v>
      </c>
      <c r="B74" s="87"/>
      <c r="C74" s="39">
        <f>+C75+C81+C92+C96</f>
        <v>94526077.770000011</v>
      </c>
      <c r="D74" s="40">
        <f t="shared" si="1"/>
        <v>0.13158242109483989</v>
      </c>
    </row>
    <row r="75" spans="1:4" x14ac:dyDescent="0.2">
      <c r="A75" s="88" t="s">
        <v>107</v>
      </c>
      <c r="B75" s="88"/>
      <c r="C75" s="35">
        <f>SUM(C76:C80)</f>
        <v>11624778.99</v>
      </c>
      <c r="D75" s="36">
        <f t="shared" si="1"/>
        <v>1.6181953174006402E-2</v>
      </c>
    </row>
    <row r="76" spans="1:4" x14ac:dyDescent="0.2">
      <c r="A76" s="83" t="s">
        <v>1165</v>
      </c>
      <c r="B76" s="83"/>
      <c r="C76" s="30">
        <f>+[1]COMPARATIVO!F76</f>
        <v>0</v>
      </c>
      <c r="D76" s="31">
        <f t="shared" si="1"/>
        <v>0</v>
      </c>
    </row>
    <row r="77" spans="1:4" x14ac:dyDescent="0.2">
      <c r="A77" s="83" t="s">
        <v>1169</v>
      </c>
      <c r="B77" s="83"/>
      <c r="C77" s="30">
        <f>+[1]COMPARATIVO!F77</f>
        <v>0</v>
      </c>
      <c r="D77" s="31">
        <f t="shared" si="1"/>
        <v>0</v>
      </c>
    </row>
    <row r="78" spans="1:4" x14ac:dyDescent="0.2">
      <c r="A78" s="83" t="s">
        <v>1797</v>
      </c>
      <c r="B78" s="83"/>
      <c r="C78" s="30">
        <f>+[1]COMPARATIVO!F78</f>
        <v>2600000</v>
      </c>
      <c r="D78" s="31">
        <f t="shared" si="1"/>
        <v>3.6192583350280658E-3</v>
      </c>
    </row>
    <row r="79" spans="1:4" x14ac:dyDescent="0.2">
      <c r="A79" s="83" t="s">
        <v>1803</v>
      </c>
      <c r="B79" s="83"/>
      <c r="C79" s="30">
        <f>+[1]COMPARATIVO!F79</f>
        <v>2400000</v>
      </c>
      <c r="D79" s="31">
        <f t="shared" si="1"/>
        <v>3.3408538477182146E-3</v>
      </c>
    </row>
    <row r="80" spans="1:4" x14ac:dyDescent="0.2">
      <c r="A80" s="83" t="s">
        <v>109</v>
      </c>
      <c r="B80" s="83"/>
      <c r="C80" s="30">
        <f>+[1]COMPARATIVO!F80</f>
        <v>6624778.9900000002</v>
      </c>
      <c r="D80" s="31">
        <f t="shared" si="1"/>
        <v>9.2218409912601211E-3</v>
      </c>
    </row>
    <row r="81" spans="1:4" x14ac:dyDescent="0.2">
      <c r="A81" s="86" t="s">
        <v>79</v>
      </c>
      <c r="B81" s="86"/>
      <c r="C81" s="32">
        <f>SUM(C82:C91)</f>
        <v>35867256.820000008</v>
      </c>
      <c r="D81" s="33">
        <f t="shared" si="1"/>
        <v>4.9928026230914337E-2</v>
      </c>
    </row>
    <row r="82" spans="1:4" x14ac:dyDescent="0.2">
      <c r="A82" s="83" t="s">
        <v>81</v>
      </c>
      <c r="B82" s="83"/>
      <c r="C82" s="30">
        <f>+[1]COMPARATIVO!F82</f>
        <v>1887367.0000000002</v>
      </c>
      <c r="D82" s="31">
        <f t="shared" si="1"/>
        <v>2.6272572100026603E-3</v>
      </c>
    </row>
    <row r="83" spans="1:4" x14ac:dyDescent="0.2">
      <c r="A83" s="83" t="s">
        <v>134</v>
      </c>
      <c r="B83" s="83"/>
      <c r="C83" s="30">
        <f>+[1]COMPARATIVO!F83</f>
        <v>1960321.6199999999</v>
      </c>
      <c r="D83" s="31">
        <f t="shared" si="1"/>
        <v>2.7288116778925848E-3</v>
      </c>
    </row>
    <row r="84" spans="1:4" x14ac:dyDescent="0.2">
      <c r="A84" s="83" t="s">
        <v>84</v>
      </c>
      <c r="B84" s="83"/>
      <c r="C84" s="30">
        <f>+[1]COMPARATIVO!F84</f>
        <v>17898253.030000001</v>
      </c>
      <c r="D84" s="31">
        <f t="shared" si="1"/>
        <v>2.4914769792795707E-2</v>
      </c>
    </row>
    <row r="85" spans="1:4" x14ac:dyDescent="0.2">
      <c r="A85" s="83" t="s">
        <v>132</v>
      </c>
      <c r="B85" s="83"/>
      <c r="C85" s="30">
        <f>+[1]COMPARATIVO!F85</f>
        <v>2866425.6</v>
      </c>
      <c r="D85" s="31">
        <f t="shared" si="1"/>
        <v>3.9901287478991635E-3</v>
      </c>
    </row>
    <row r="86" spans="1:4" x14ac:dyDescent="0.2">
      <c r="A86" s="83" t="s">
        <v>112</v>
      </c>
      <c r="B86" s="83"/>
      <c r="C86" s="30">
        <f>+[1]COMPARATIVO!F86</f>
        <v>1327639.22</v>
      </c>
      <c r="D86" s="31">
        <f t="shared" si="1"/>
        <v>1.8481035818827538E-3</v>
      </c>
    </row>
    <row r="87" spans="1:4" x14ac:dyDescent="0.2">
      <c r="A87" s="83" t="s">
        <v>114</v>
      </c>
      <c r="B87" s="83"/>
      <c r="C87" s="30">
        <f>+[1]COMPARATIVO!F87</f>
        <v>1986722.4200000002</v>
      </c>
      <c r="D87" s="31">
        <f t="shared" si="1"/>
        <v>2.7655621838354348E-3</v>
      </c>
    </row>
    <row r="88" spans="1:4" x14ac:dyDescent="0.2">
      <c r="A88" s="83" t="s">
        <v>116</v>
      </c>
      <c r="B88" s="83"/>
      <c r="C88" s="30">
        <f>+[1]COMPARATIVO!F88</f>
        <v>1302820.6299999999</v>
      </c>
      <c r="D88" s="31">
        <f t="shared" si="1"/>
        <v>1.8135555477592367E-3</v>
      </c>
    </row>
    <row r="89" spans="1:4" x14ac:dyDescent="0.2">
      <c r="A89" s="83" t="s">
        <v>128</v>
      </c>
      <c r="B89" s="83"/>
      <c r="C89" s="30">
        <f>+[1]COMPARATIVO!F89</f>
        <v>1918523.1999999995</v>
      </c>
      <c r="D89" s="31">
        <f t="shared" si="1"/>
        <v>2.670627339440275E-3</v>
      </c>
    </row>
    <row r="90" spans="1:4" x14ac:dyDescent="0.2">
      <c r="A90" s="83" t="s">
        <v>126</v>
      </c>
      <c r="B90" s="83"/>
      <c r="C90" s="30">
        <f>+[1]COMPARATIVO!F90</f>
        <v>1486158.3499999999</v>
      </c>
      <c r="D90" s="31">
        <f t="shared" si="1"/>
        <v>2.0687657674650218E-3</v>
      </c>
    </row>
    <row r="91" spans="1:4" s="24" customFormat="1" x14ac:dyDescent="0.2">
      <c r="A91" s="83" t="s">
        <v>118</v>
      </c>
      <c r="B91" s="83"/>
      <c r="C91" s="30">
        <f>+[1]COMPARATIVO!F91</f>
        <v>3233025.75</v>
      </c>
      <c r="D91" s="31">
        <f t="shared" si="1"/>
        <v>4.5004443819414864E-3</v>
      </c>
    </row>
    <row r="92" spans="1:4" x14ac:dyDescent="0.2">
      <c r="A92" s="85" t="s">
        <v>49</v>
      </c>
      <c r="B92" s="85"/>
      <c r="C92" s="28">
        <f>SUM(C93:C95)</f>
        <v>14385646.220000001</v>
      </c>
      <c r="D92" s="29">
        <f t="shared" si="1"/>
        <v>2.0025142302499997E-2</v>
      </c>
    </row>
    <row r="93" spans="1:4" x14ac:dyDescent="0.2">
      <c r="A93" s="83" t="s">
        <v>1849</v>
      </c>
      <c r="B93" s="83"/>
      <c r="C93" s="30">
        <f>+[1]COMPARATIVO!F93</f>
        <v>750000</v>
      </c>
      <c r="D93" s="31">
        <f t="shared" si="1"/>
        <v>1.0440168274119422E-3</v>
      </c>
    </row>
    <row r="94" spans="1:4" x14ac:dyDescent="0.2">
      <c r="A94" s="83" t="s">
        <v>51</v>
      </c>
      <c r="B94" s="83"/>
      <c r="C94" s="30">
        <f>+[1]COMPARATIVO!F94</f>
        <v>1842457.1400000001</v>
      </c>
      <c r="D94" s="31">
        <f t="shared" si="1"/>
        <v>2.5647416772603742E-3</v>
      </c>
    </row>
    <row r="95" spans="1:4" x14ac:dyDescent="0.2">
      <c r="A95" s="83" t="s">
        <v>1817</v>
      </c>
      <c r="B95" s="83"/>
      <c r="C95" s="30">
        <f>+[1]COMPARATIVO!F95</f>
        <v>11793189.08</v>
      </c>
      <c r="D95" s="31">
        <f t="shared" si="1"/>
        <v>1.6416383797827682E-2</v>
      </c>
    </row>
    <row r="96" spans="1:4" x14ac:dyDescent="0.2">
      <c r="A96" s="86" t="s">
        <v>32</v>
      </c>
      <c r="B96" s="86"/>
      <c r="C96" s="32">
        <f>SUM(C97:C100)</f>
        <v>32648395.740000002</v>
      </c>
      <c r="D96" s="33">
        <f t="shared" si="1"/>
        <v>4.5447299387419156E-2</v>
      </c>
    </row>
    <row r="97" spans="1:6" x14ac:dyDescent="0.2">
      <c r="A97" s="83" t="s">
        <v>142</v>
      </c>
      <c r="B97" s="83"/>
      <c r="C97" s="30">
        <f>+[1]COMPARATIVO!F97</f>
        <v>7332347.4900000002</v>
      </c>
      <c r="D97" s="31">
        <f t="shared" si="1"/>
        <v>1.0206792218655622E-2</v>
      </c>
    </row>
    <row r="98" spans="1:6" x14ac:dyDescent="0.2">
      <c r="A98" s="83" t="s">
        <v>124</v>
      </c>
      <c r="B98" s="83"/>
      <c r="C98" s="30">
        <f>+[1]COMPARATIVO!F98</f>
        <v>4241434.7799999993</v>
      </c>
      <c r="D98" s="31">
        <f t="shared" si="1"/>
        <v>5.904172376920357E-3</v>
      </c>
    </row>
    <row r="99" spans="1:6" x14ac:dyDescent="0.2">
      <c r="A99" s="83" t="s">
        <v>76</v>
      </c>
      <c r="B99" s="83"/>
      <c r="C99" s="30">
        <f>+[1]COMPARATIVO!F99</f>
        <v>6629692.7200000007</v>
      </c>
      <c r="D99" s="31">
        <f t="shared" si="1"/>
        <v>9.228681013667266E-3</v>
      </c>
    </row>
    <row r="100" spans="1:6" ht="13.5" thickBot="1" x14ac:dyDescent="0.25">
      <c r="A100" s="67" t="s">
        <v>34</v>
      </c>
      <c r="B100" s="67"/>
      <c r="C100" s="30">
        <f>+[1]COMPARATIVO!F100</f>
        <v>14444920.750000002</v>
      </c>
      <c r="D100" s="34">
        <f t="shared" si="1"/>
        <v>2.0107653778175912E-2</v>
      </c>
    </row>
    <row r="101" spans="1:6" ht="13.5" thickBot="1" x14ac:dyDescent="0.25">
      <c r="A101" s="68" t="s">
        <v>2024</v>
      </c>
      <c r="B101" s="68"/>
      <c r="C101" s="41">
        <f>+C7+C37+C46+C74</f>
        <v>487603639.01999998</v>
      </c>
      <c r="D101" s="42">
        <f t="shared" si="1"/>
        <v>0.67875520565890435</v>
      </c>
      <c r="F101" s="43"/>
    </row>
    <row r="102" spans="1:6" ht="15.75" thickTop="1" x14ac:dyDescent="0.2">
      <c r="A102" s="84"/>
      <c r="B102" s="84"/>
      <c r="C102" s="23"/>
      <c r="D102" s="23"/>
    </row>
    <row r="103" spans="1:6" ht="15.75" thickBot="1" x14ac:dyDescent="0.25">
      <c r="A103" s="70"/>
      <c r="B103" s="70"/>
      <c r="C103" s="23"/>
      <c r="D103" s="23"/>
    </row>
    <row r="104" spans="1:6" x14ac:dyDescent="0.2">
      <c r="A104" s="71" t="s">
        <v>2033</v>
      </c>
      <c r="B104" s="72"/>
      <c r="C104" s="72"/>
      <c r="D104" s="73"/>
    </row>
    <row r="105" spans="1:6" x14ac:dyDescent="0.2">
      <c r="A105" s="74" t="s">
        <v>2031</v>
      </c>
      <c r="B105" s="75"/>
      <c r="C105" s="75"/>
      <c r="D105" s="76"/>
    </row>
    <row r="106" spans="1:6" ht="13.5" thickBot="1" x14ac:dyDescent="0.25">
      <c r="A106" s="77" t="s">
        <v>2034</v>
      </c>
      <c r="B106" s="78"/>
      <c r="C106" s="78"/>
      <c r="D106" s="79"/>
    </row>
    <row r="107" spans="1:6" ht="15.75" thickBot="1" x14ac:dyDescent="0.25">
      <c r="A107" s="80"/>
      <c r="B107" s="80"/>
      <c r="C107" s="23"/>
      <c r="D107" s="23"/>
    </row>
    <row r="108" spans="1:6" ht="13.5" thickBot="1" x14ac:dyDescent="0.25">
      <c r="A108" s="81" t="s">
        <v>2013</v>
      </c>
      <c r="B108" s="82"/>
      <c r="C108" s="44" t="s">
        <v>2012</v>
      </c>
      <c r="D108" s="45" t="s">
        <v>2014</v>
      </c>
    </row>
    <row r="109" spans="1:6" x14ac:dyDescent="0.2">
      <c r="A109" s="65" t="s">
        <v>39</v>
      </c>
      <c r="B109" s="65"/>
      <c r="C109" s="39">
        <f>+C110</f>
        <v>230775586.59</v>
      </c>
      <c r="D109" s="40">
        <f t="shared" ref="D109:D112" si="2">+C109/$C$114</f>
        <v>0.32124479434109565</v>
      </c>
    </row>
    <row r="110" spans="1:6" x14ac:dyDescent="0.2">
      <c r="A110" s="66" t="s">
        <v>40</v>
      </c>
      <c r="B110" s="66"/>
      <c r="C110" s="46">
        <f>+C111</f>
        <v>230775586.59</v>
      </c>
      <c r="D110" s="47">
        <f t="shared" si="2"/>
        <v>0.32124479434109565</v>
      </c>
    </row>
    <row r="111" spans="1:6" ht="13.5" thickBot="1" x14ac:dyDescent="0.25">
      <c r="A111" s="67" t="s">
        <v>42</v>
      </c>
      <c r="B111" s="67"/>
      <c r="C111" s="48">
        <f>+[1]COMPARATIVO!F111</f>
        <v>230775586.59</v>
      </c>
      <c r="D111" s="34">
        <f t="shared" si="2"/>
        <v>0.32124479434109565</v>
      </c>
    </row>
    <row r="112" spans="1:6" ht="13.5" thickBot="1" x14ac:dyDescent="0.25">
      <c r="A112" s="68" t="s">
        <v>2035</v>
      </c>
      <c r="B112" s="68"/>
      <c r="C112" s="41">
        <f>+C109</f>
        <v>230775586.59</v>
      </c>
      <c r="D112" s="42">
        <f t="shared" si="2"/>
        <v>0.32124479434109565</v>
      </c>
    </row>
    <row r="113" spans="1:4" ht="16.5" thickTop="1" thickBot="1" x14ac:dyDescent="0.25">
      <c r="A113" s="69"/>
      <c r="B113" s="69"/>
      <c r="C113" s="23"/>
      <c r="D113" s="23"/>
    </row>
    <row r="114" spans="1:4" ht="13.5" thickBot="1" x14ac:dyDescent="0.25">
      <c r="A114" s="68" t="s">
        <v>2036</v>
      </c>
      <c r="B114" s="68"/>
      <c r="C114" s="41">
        <f>+C101+C112</f>
        <v>718379225.61000001</v>
      </c>
      <c r="D114" s="49" t="s">
        <v>2037</v>
      </c>
    </row>
    <row r="115" spans="1:4" ht="13.5" thickTop="1" x14ac:dyDescent="0.2">
      <c r="A115" s="50"/>
      <c r="B115" s="63"/>
      <c r="C115" s="63"/>
      <c r="D115" s="63"/>
    </row>
    <row r="116" spans="1:4" x14ac:dyDescent="0.2">
      <c r="A116" s="50" t="s">
        <v>2038</v>
      </c>
      <c r="B116" s="64"/>
      <c r="C116" s="64"/>
      <c r="D116" s="64"/>
    </row>
    <row r="117" spans="1:4" ht="15" x14ac:dyDescent="0.2">
      <c r="A117" s="50" t="s">
        <v>2039</v>
      </c>
      <c r="B117" s="51"/>
      <c r="C117" s="51"/>
      <c r="D117" s="51"/>
    </row>
  </sheetData>
  <mergeCells count="115">
    <mergeCell ref="A1:D1"/>
    <mergeCell ref="A2:D2"/>
    <mergeCell ref="A3:D3"/>
    <mergeCell ref="A4:D4"/>
    <mergeCell ref="A5:B5"/>
    <mergeCell ref="A6:B6"/>
    <mergeCell ref="A13:B13"/>
    <mergeCell ref="A14:B14"/>
    <mergeCell ref="A15:B15"/>
    <mergeCell ref="A16:B16"/>
    <mergeCell ref="A17:B17"/>
    <mergeCell ref="A18:B18"/>
    <mergeCell ref="A7:B7"/>
    <mergeCell ref="A8:B8"/>
    <mergeCell ref="A9:B9"/>
    <mergeCell ref="A10:B10"/>
    <mergeCell ref="A11:B11"/>
    <mergeCell ref="A12:B12"/>
    <mergeCell ref="A25:B25"/>
    <mergeCell ref="A26:B26"/>
    <mergeCell ref="A27:B27"/>
    <mergeCell ref="A28:B28"/>
    <mergeCell ref="A29:B29"/>
    <mergeCell ref="A30:B30"/>
    <mergeCell ref="A19:B19"/>
    <mergeCell ref="A20:B20"/>
    <mergeCell ref="A21:B21"/>
    <mergeCell ref="A22:B22"/>
    <mergeCell ref="A23:B23"/>
    <mergeCell ref="A24:B24"/>
    <mergeCell ref="A37:B37"/>
    <mergeCell ref="A38:B38"/>
    <mergeCell ref="A39:B39"/>
    <mergeCell ref="A40:B40"/>
    <mergeCell ref="A41:B41"/>
    <mergeCell ref="A42:B42"/>
    <mergeCell ref="A31:B31"/>
    <mergeCell ref="A32:B32"/>
    <mergeCell ref="A33:B33"/>
    <mergeCell ref="A34:B34"/>
    <mergeCell ref="A35:B35"/>
    <mergeCell ref="A36:B36"/>
    <mergeCell ref="A49:B49"/>
    <mergeCell ref="A50:B50"/>
    <mergeCell ref="A51:B51"/>
    <mergeCell ref="A52:B52"/>
    <mergeCell ref="A53:B53"/>
    <mergeCell ref="A54:B54"/>
    <mergeCell ref="A43:B43"/>
    <mergeCell ref="A44:B44"/>
    <mergeCell ref="A45:B45"/>
    <mergeCell ref="A46:B46"/>
    <mergeCell ref="A47:B47"/>
    <mergeCell ref="A48:B48"/>
    <mergeCell ref="A61:B61"/>
    <mergeCell ref="A62:B62"/>
    <mergeCell ref="A63:B63"/>
    <mergeCell ref="A64:B64"/>
    <mergeCell ref="A65:B65"/>
    <mergeCell ref="A66:B66"/>
    <mergeCell ref="A55:B55"/>
    <mergeCell ref="A56:B56"/>
    <mergeCell ref="A57:B57"/>
    <mergeCell ref="A58:B58"/>
    <mergeCell ref="A59:B59"/>
    <mergeCell ref="A60:B60"/>
    <mergeCell ref="A73:B73"/>
    <mergeCell ref="A74:B74"/>
    <mergeCell ref="A75:B75"/>
    <mergeCell ref="A76:B76"/>
    <mergeCell ref="A77:B77"/>
    <mergeCell ref="A78:B78"/>
    <mergeCell ref="A67:B67"/>
    <mergeCell ref="A68:B68"/>
    <mergeCell ref="A69:B69"/>
    <mergeCell ref="A70:B70"/>
    <mergeCell ref="A71:B71"/>
    <mergeCell ref="A72:B72"/>
    <mergeCell ref="A85:B85"/>
    <mergeCell ref="A86:B86"/>
    <mergeCell ref="A87:B87"/>
    <mergeCell ref="A88:B88"/>
    <mergeCell ref="A89:B89"/>
    <mergeCell ref="A90:B90"/>
    <mergeCell ref="A79:B79"/>
    <mergeCell ref="A80:B80"/>
    <mergeCell ref="A81:B81"/>
    <mergeCell ref="A82:B82"/>
    <mergeCell ref="A83:B83"/>
    <mergeCell ref="A84:B84"/>
    <mergeCell ref="A97:B97"/>
    <mergeCell ref="A98:B98"/>
    <mergeCell ref="A99:B99"/>
    <mergeCell ref="A100:B100"/>
    <mergeCell ref="A101:B101"/>
    <mergeCell ref="A102:B102"/>
    <mergeCell ref="A91:B91"/>
    <mergeCell ref="A92:B92"/>
    <mergeCell ref="A93:B93"/>
    <mergeCell ref="A94:B94"/>
    <mergeCell ref="A95:B95"/>
    <mergeCell ref="A96:B96"/>
    <mergeCell ref="B115:D116"/>
    <mergeCell ref="A109:B109"/>
    <mergeCell ref="A110:B110"/>
    <mergeCell ref="A111:B111"/>
    <mergeCell ref="A112:B112"/>
    <mergeCell ref="A113:B113"/>
    <mergeCell ref="A114:B114"/>
    <mergeCell ref="A103:B103"/>
    <mergeCell ref="A104:D104"/>
    <mergeCell ref="A105:D105"/>
    <mergeCell ref="A106:D106"/>
    <mergeCell ref="A107:B107"/>
    <mergeCell ref="A108:B108"/>
  </mergeCells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showGridLines="0" workbookViewId="0">
      <selection sqref="A1:J1"/>
    </sheetView>
  </sheetViews>
  <sheetFormatPr baseColWidth="10" defaultRowHeight="12.75" x14ac:dyDescent="0.2"/>
  <cols>
    <col min="1" max="1" width="48" customWidth="1"/>
    <col min="2" max="2" width="16.5703125" style="7" customWidth="1"/>
    <col min="3" max="3" width="15.28515625" style="7" customWidth="1"/>
    <col min="4" max="4" width="14.28515625" style="7" customWidth="1"/>
    <col min="5" max="5" width="13.7109375" style="7" customWidth="1"/>
    <col min="6" max="6" width="15.28515625" customWidth="1"/>
    <col min="7" max="7" width="14.28515625" bestFit="1" customWidth="1"/>
    <col min="8" max="8" width="10.85546875" customWidth="1"/>
    <col min="9" max="9" width="14.28515625" bestFit="1" customWidth="1"/>
    <col min="10" max="10" width="9.7109375" customWidth="1"/>
    <col min="11" max="93" width="6.5703125" customWidth="1"/>
    <col min="94" max="461" width="7.5703125" customWidth="1"/>
    <col min="462" max="919" width="8.5703125" customWidth="1"/>
    <col min="920" max="1231" width="9.5703125" customWidth="1"/>
    <col min="1232" max="1332" width="10.5703125" customWidth="1"/>
    <col min="1333" max="1348" width="11.5703125" bestFit="1" customWidth="1"/>
    <col min="1349" max="1349" width="12.5703125" bestFit="1" customWidth="1"/>
    <col min="1350" max="1350" width="13.140625" bestFit="1" customWidth="1"/>
  </cols>
  <sheetData>
    <row r="1" spans="1:10" x14ac:dyDescent="0.2">
      <c r="A1" s="95" t="s">
        <v>2040</v>
      </c>
      <c r="B1" s="95"/>
      <c r="C1" s="95"/>
      <c r="D1" s="95"/>
      <c r="E1" s="95"/>
      <c r="F1" s="95"/>
      <c r="G1" s="95"/>
      <c r="H1" s="95"/>
      <c r="I1" s="95"/>
      <c r="J1" s="95"/>
    </row>
    <row r="2" spans="1:10" x14ac:dyDescent="0.2">
      <c r="A2" s="95" t="s">
        <v>2030</v>
      </c>
      <c r="B2" s="95"/>
      <c r="C2" s="95"/>
      <c r="D2" s="95"/>
      <c r="E2" s="95"/>
      <c r="F2" s="95"/>
      <c r="G2" s="95"/>
      <c r="H2" s="95"/>
      <c r="I2" s="95"/>
      <c r="J2" s="95"/>
    </row>
    <row r="3" spans="1:10" x14ac:dyDescent="0.2">
      <c r="A3" s="95" t="s">
        <v>2041</v>
      </c>
      <c r="B3" s="95"/>
      <c r="C3" s="95"/>
      <c r="D3" s="95"/>
      <c r="E3" s="95"/>
      <c r="F3" s="95"/>
      <c r="G3" s="95"/>
      <c r="H3" s="95"/>
      <c r="I3" s="95"/>
      <c r="J3" s="95"/>
    </row>
    <row r="6" spans="1:10" ht="51" x14ac:dyDescent="0.2">
      <c r="A6" s="3" t="s">
        <v>2028</v>
      </c>
      <c r="B6" s="8" t="s">
        <v>2009</v>
      </c>
      <c r="C6" s="8" t="s">
        <v>2010</v>
      </c>
      <c r="D6" s="8" t="s">
        <v>2011</v>
      </c>
      <c r="E6" s="8" t="s">
        <v>2042</v>
      </c>
      <c r="F6" s="9" t="s">
        <v>2012</v>
      </c>
      <c r="G6" s="9" t="s">
        <v>2025</v>
      </c>
      <c r="H6" s="9" t="s">
        <v>2027</v>
      </c>
      <c r="I6" s="9" t="s">
        <v>2026</v>
      </c>
      <c r="J6" s="9" t="s">
        <v>2027</v>
      </c>
    </row>
    <row r="7" spans="1:10" x14ac:dyDescent="0.2">
      <c r="A7" s="4" t="s">
        <v>39</v>
      </c>
      <c r="B7" s="7">
        <v>395795114.80000001</v>
      </c>
      <c r="C7" s="7">
        <v>318542596.68000001</v>
      </c>
      <c r="D7" s="7">
        <v>-77047020.890000001</v>
      </c>
      <c r="E7" s="7">
        <v>203509881.98999998</v>
      </c>
      <c r="F7" s="15">
        <f>+F8+F11+F23+F29+F32</f>
        <v>206503125.70000002</v>
      </c>
      <c r="G7" s="15">
        <f>+F7-GETPIVOTDATA("Asignación inicial 2020",$A$6,"Area","COMUNALES")</f>
        <v>-189291989.09999999</v>
      </c>
      <c r="H7" s="16">
        <f>+G7/GETPIVOTDATA("Asignación inicial 2020",$A$6,"Area","COMUNALES")</f>
        <v>-0.47825751764432839</v>
      </c>
      <c r="I7" s="15">
        <f>+F7-GETPIVOTDATA("Codificado 2020",$A$6,"Area","COMUNALES")</f>
        <v>-112039470.97999999</v>
      </c>
      <c r="J7" s="16">
        <f>+I7/GETPIVOTDATA("Codificado 2020",$A$6,"Area","COMUNALES")</f>
        <v>-0.35172523909746384</v>
      </c>
    </row>
    <row r="8" spans="1:10" x14ac:dyDescent="0.2">
      <c r="A8" s="5" t="s">
        <v>95</v>
      </c>
      <c r="B8" s="7">
        <v>8878882</v>
      </c>
      <c r="C8" s="7">
        <v>8285138.9399999995</v>
      </c>
      <c r="D8" s="7">
        <v>-2799065.46</v>
      </c>
      <c r="E8" s="7">
        <v>6016191.1299999999</v>
      </c>
      <c r="F8" s="12">
        <v>4485343.08</v>
      </c>
      <c r="G8" s="13">
        <f>+F8-GETPIVOTDATA("Asignación inicial 2020",$A$6,"Area","COMUNALES","Sector Texto","AMBIENTE")</f>
        <v>-4393538.92</v>
      </c>
      <c r="H8" s="17">
        <f>+G8/GETPIVOTDATA("Asignación inicial 2020",$A$6,"Area","COMUNALES","Sector Texto","AMBIENTE")</f>
        <v>-0.49483019596386119</v>
      </c>
      <c r="I8" s="13">
        <f>+F8-GETPIVOTDATA("Codificado 2020",$A$6,"Area","COMUNALES","Sector Texto","AMBIENTE")</f>
        <v>-3799795.8599999994</v>
      </c>
      <c r="J8" s="17">
        <f>+I8/GETPIVOTDATA("Codificado 2020",$A$6,"Area","COMUNALES","Sector Texto","AMBIENTE")</f>
        <v>-0.45862789839949258</v>
      </c>
    </row>
    <row r="9" spans="1:10" x14ac:dyDescent="0.2">
      <c r="A9" s="6" t="s">
        <v>1792</v>
      </c>
      <c r="B9" s="7">
        <v>6000000</v>
      </c>
      <c r="C9" s="7">
        <v>6000000</v>
      </c>
      <c r="D9" s="7">
        <v>-2204769.41</v>
      </c>
      <c r="E9" s="7">
        <v>4637798.08</v>
      </c>
      <c r="F9" s="13">
        <v>2700000</v>
      </c>
      <c r="G9" s="13">
        <f>+F9-GETPIVOTDATA("Asignación inicial 2020",$A$6,"Area","COMUNALES","Sector Texto","AMBIENTE","Des.Centro Gestor","EPM GESTION INTEGRAL DE RESIDUOS SOLIDOS")</f>
        <v>-3300000</v>
      </c>
      <c r="H9" s="17">
        <f>+G9/GETPIVOTDATA("Asignación inicial 2020",$A$6,"Area","COMUNALES","Sector Texto","AMBIENTE","Des.Centro Gestor","EPM GESTION INTEGRAL DE RESIDUOS SOLIDOS")</f>
        <v>-0.55000000000000004</v>
      </c>
      <c r="I9" s="13">
        <f>+F9-GETPIVOTDATA("Codificado 2020",$A$6,"Area","COMUNALES","Sector Texto","AMBIENTE","Des.Centro Gestor","EPM GESTION INTEGRAL DE RESIDUOS SOLIDOS")</f>
        <v>-3300000</v>
      </c>
      <c r="J9" s="17">
        <f>+I9/GETPIVOTDATA("Codificado 2020",$A$6,"Area","COMUNALES","Sector Texto","AMBIENTE","Des.Centro Gestor","EPM GESTION INTEGRAL DE RESIDUOS SOLIDOS")</f>
        <v>-0.55000000000000004</v>
      </c>
    </row>
    <row r="10" spans="1:10" x14ac:dyDescent="0.2">
      <c r="A10" s="6" t="s">
        <v>97</v>
      </c>
      <c r="B10" s="7">
        <v>2878882</v>
      </c>
      <c r="C10" s="7">
        <v>2285138.94</v>
      </c>
      <c r="D10" s="7">
        <v>-594296.05000000005</v>
      </c>
      <c r="E10" s="7">
        <v>1378393.05</v>
      </c>
      <c r="F10" s="13">
        <v>1785343.08</v>
      </c>
      <c r="G10" s="13">
        <f>+F10-GETPIVOTDATA("Asignación inicial 2020",$A$6,"Area","COMUNALES","Sector Texto","AMBIENTE","Des.Centro Gestor","Secretaría De Ambiente")</f>
        <v>-1093538.92</v>
      </c>
      <c r="H10" s="17">
        <f>+G10/GETPIVOTDATA("Asignación inicial 2020",$A$6,"Area","COMUNALES","Sector Texto","AMBIENTE","Des.Centro Gestor","Secretaría De Ambiente")</f>
        <v>-0.37984846895426766</v>
      </c>
      <c r="I10" s="13">
        <f>+F10-GETPIVOTDATA("Codificado 2020",$A$6,"Area","COMUNALES","Sector Texto","AMBIENTE","Des.Centro Gestor","Secretaría De Ambiente")</f>
        <v>-499795.85999999987</v>
      </c>
      <c r="J10" s="17">
        <f>+I10/GETPIVOTDATA("Codificado 2020",$A$6,"Area","COMUNALES","Sector Texto","AMBIENTE","Des.Centro Gestor","Secretaría De Ambiente")</f>
        <v>-0.21871574250973111</v>
      </c>
    </row>
    <row r="11" spans="1:10" x14ac:dyDescent="0.2">
      <c r="A11" s="5" t="s">
        <v>58</v>
      </c>
      <c r="B11" s="7">
        <v>74874852.790000007</v>
      </c>
      <c r="C11" s="7">
        <v>60347972.559999995</v>
      </c>
      <c r="D11" s="7">
        <v>-14682761.010000002</v>
      </c>
      <c r="E11" s="7">
        <v>33842676.400000006</v>
      </c>
      <c r="F11" s="14">
        <v>47352585.280000009</v>
      </c>
      <c r="G11" s="14">
        <f>+F11-GETPIVOTDATA("Asignación inicial 2020",$A$6,"Area","COMUNALES","Sector Texto","COORDINACION TERRITORIAL Y PARTICIPACION CIUDADANA")</f>
        <v>-27522267.509999998</v>
      </c>
      <c r="H11" s="18">
        <f>+G11/GETPIVOTDATA("Asignación inicial 2020",$A$6,"Area","COMUNALES","Sector Texto","COORDINACION TERRITORIAL Y PARTICIPACION CIUDADANA")</f>
        <v>-0.36757691647409507</v>
      </c>
      <c r="I11" s="14">
        <f>+F11-GETPIVOTDATA("Codificado 2020",$A$6,"Area","COMUNALES","Sector Texto","COORDINACION TERRITORIAL Y PARTICIPACION CIUDADANA")</f>
        <v>-12995387.279999986</v>
      </c>
      <c r="J11" s="18">
        <f>+I11/GETPIVOTDATA("Codificado 2020",$A$6,"Area","COMUNALES","Sector Texto","COORDINACION TERRITORIAL Y PARTICIPACION CIUDADANA")</f>
        <v>-0.21534090920916246</v>
      </c>
    </row>
    <row r="12" spans="1:10" x14ac:dyDescent="0.2">
      <c r="A12" s="6" t="s">
        <v>144</v>
      </c>
      <c r="B12" s="7">
        <v>8463184.5100000016</v>
      </c>
      <c r="C12" s="7">
        <v>5932157.0099999998</v>
      </c>
      <c r="D12" s="7">
        <v>-2130176.98</v>
      </c>
      <c r="E12" s="7">
        <v>3639932.8400000017</v>
      </c>
      <c r="F12" s="13">
        <v>6235158.8300000001</v>
      </c>
      <c r="G12" s="13">
        <f>+F12-GETPIVOTDATA("Asignación inicial 2020",$A$6,"Area","COMUNALES","Sector Texto","COORDINACION TERRITORIAL Y PARTICIPACION CIUDADANA","Des.Centro Gestor","Adm Zonal Equinoccia - La Delicia")</f>
        <v>-2228025.6800000016</v>
      </c>
      <c r="H12" s="17">
        <f>+G12/GETPIVOTDATA("Asignación inicial 2020",$A$6,"Area","COMUNALES","Sector Texto","COORDINACION TERRITORIAL Y PARTICIPACION CIUDADANA","Des.Centro Gestor","Adm Zonal Equinoccia - La Delicia")</f>
        <v>-0.26326091288301606</v>
      </c>
      <c r="I12" s="13">
        <f>+F12-GETPIVOTDATA("Codificado 2020",$A$6,"Area","COMUNALES","Sector Texto","COORDINACION TERRITORIAL Y PARTICIPACION CIUDADANA","Des.Centro Gestor","Adm Zonal Equinoccia - La Delicia")</f>
        <v>303001.8200000003</v>
      </c>
      <c r="J12" s="17">
        <f>+I12/GETPIVOTDATA("Codificado 2020",$A$6,"Area","COMUNALES","Sector Texto","COORDINACION TERRITORIAL Y PARTICIPACION CIUDADANA","Des.Centro Gestor","Adm Zonal Equinoccia - La Delicia")</f>
        <v>5.1077848999819431E-2</v>
      </c>
    </row>
    <row r="13" spans="1:10" x14ac:dyDescent="0.2">
      <c r="A13" s="6" t="s">
        <v>150</v>
      </c>
      <c r="B13" s="7">
        <v>11759854.449999999</v>
      </c>
      <c r="C13" s="7">
        <v>10418420.190000001</v>
      </c>
      <c r="D13" s="7">
        <v>-2060624.6400000001</v>
      </c>
      <c r="E13" s="7">
        <v>6375064.7800000003</v>
      </c>
      <c r="F13" s="13">
        <v>6793542.9900000002</v>
      </c>
      <c r="G13" s="13">
        <f>+F13-GETPIVOTDATA("Asignación inicial 2020",$A$6,"Area","COMUNALES","Sector Texto","COORDINACION TERRITORIAL Y PARTICIPACION CIUDADANA","Des.Centro Gestor","Administración Z Eugenio Espejo (Norte)")</f>
        <v>-4966311.459999999</v>
      </c>
      <c r="H13" s="17">
        <f>+G13/GETPIVOTDATA("Asignación inicial 2020",$A$6,"Area","COMUNALES","Sector Texto","COORDINACION TERRITORIAL Y PARTICIPACION CIUDADANA","Des.Centro Gestor","Administración Z Eugenio Espejo (Norte)")</f>
        <v>-0.42231062307067918</v>
      </c>
      <c r="I13" s="13">
        <f>+F13-GETPIVOTDATA("Codificado 2020",$A$6,"Area","COMUNALES","Sector Texto","COORDINACION TERRITORIAL Y PARTICIPACION CIUDADANA","Des.Centro Gestor","Administración Z Eugenio Espejo (Norte)")</f>
        <v>-3624877.2000000011</v>
      </c>
      <c r="J13" s="17">
        <f>+I13/GETPIVOTDATA("Codificado 2020",$A$6,"Area","COMUNALES","Sector Texto","COORDINACION TERRITORIAL Y PARTICIPACION CIUDADANA","Des.Centro Gestor","Administración Z Eugenio Espejo (Norte)")</f>
        <v>-0.34792964133653365</v>
      </c>
    </row>
    <row r="14" spans="1:10" x14ac:dyDescent="0.2">
      <c r="A14" s="6" t="s">
        <v>60</v>
      </c>
      <c r="B14" s="7">
        <v>8495545.0500000026</v>
      </c>
      <c r="C14" s="7">
        <v>7318188.6899999985</v>
      </c>
      <c r="D14" s="7">
        <v>-1282854.83</v>
      </c>
      <c r="E14" s="7">
        <v>2907637.02</v>
      </c>
      <c r="F14" s="13">
        <v>4585865.32</v>
      </c>
      <c r="G14" s="13">
        <f>+F14-GETPIVOTDATA("Asignación inicial 2020",$A$6,"Area","COMUNALES","Sector Texto","COORDINACION TERRITORIAL Y PARTICIPACION CIUDADANA","Des.Centro Gestor","Administración Zonal Calderón")</f>
        <v>-3909679.7300000023</v>
      </c>
      <c r="H14" s="17">
        <f>+G14/GETPIVOTDATA("Asignación inicial 2020",$A$6,"Area","COMUNALES","Sector Texto","COORDINACION TERRITORIAL Y PARTICIPACION CIUDADANA","Des.Centro Gestor","Administración Zonal Calderón")</f>
        <v>-0.46020351925507136</v>
      </c>
      <c r="I14" s="13">
        <f>+F14-GETPIVOTDATA("Codificado 2020",$A$6,"Area","COMUNALES","Sector Texto","COORDINACION TERRITORIAL Y PARTICIPACION CIUDADANA","Des.Centro Gestor","Administración Zonal Calderón")</f>
        <v>-2732323.3699999982</v>
      </c>
      <c r="J14" s="17">
        <f>+I14/GETPIVOTDATA("Codificado 2020",$A$6,"Area","COMUNALES","Sector Texto","COORDINACION TERRITORIAL Y PARTICIPACION CIUDADANA","Des.Centro Gestor","Administración Zonal Calderón")</f>
        <v>-0.37336060680337541</v>
      </c>
    </row>
    <row r="15" spans="1:10" x14ac:dyDescent="0.2">
      <c r="A15" s="6" t="s">
        <v>148</v>
      </c>
      <c r="B15" s="7">
        <v>9296739.4400000013</v>
      </c>
      <c r="C15" s="7">
        <v>7797686.2300000004</v>
      </c>
      <c r="D15" s="7">
        <v>-1504103.21</v>
      </c>
      <c r="E15" s="7">
        <v>4085004.1500000013</v>
      </c>
      <c r="F15" s="13">
        <v>6126520.6600000001</v>
      </c>
      <c r="G15" s="13">
        <f>+F15-GETPIVOTDATA("Asignación inicial 2020",$A$6,"Area","COMUNALES","Sector Texto","COORDINACION TERRITORIAL Y PARTICIPACION CIUDADANA","Des.Centro Gestor","Administración Zonal Eloy Alfaro (Sur)")</f>
        <v>-3170218.7800000012</v>
      </c>
      <c r="H15" s="17">
        <f>+G15/GETPIVOTDATA("Asignación inicial 2020",$A$6,"Area","COMUNALES","Sector Texto","COORDINACION TERRITORIAL Y PARTICIPACION CIUDADANA","Des.Centro Gestor","Administración Zonal Eloy Alfaro (Sur)")</f>
        <v>-0.34100329480676517</v>
      </c>
      <c r="I15" s="13">
        <f>+F15-GETPIVOTDATA("Codificado 2020",$A$6,"Area","COMUNALES","Sector Texto","COORDINACION TERRITORIAL Y PARTICIPACION CIUDADANA","Des.Centro Gestor","Administración Zonal Eloy Alfaro (Sur)")</f>
        <v>-1671165.5700000003</v>
      </c>
      <c r="J15" s="17">
        <f>+I15/GETPIVOTDATA("Codificado 2020",$A$6,"Area","COMUNALES","Sector Texto","COORDINACION TERRITORIAL Y PARTICIPACION CIUDADANA","Des.Centro Gestor","Administración Zonal Eloy Alfaro (Sur)")</f>
        <v>-0.21431557012008678</v>
      </c>
    </row>
    <row r="16" spans="1:10" x14ac:dyDescent="0.2">
      <c r="A16" s="6" t="s">
        <v>140</v>
      </c>
      <c r="B16" s="7">
        <v>8007219.2100000009</v>
      </c>
      <c r="C16" s="7">
        <v>6097368.9299999997</v>
      </c>
      <c r="D16" s="7">
        <v>-1918902.78</v>
      </c>
      <c r="E16" s="7">
        <v>3558235.7500000009</v>
      </c>
      <c r="F16" s="13">
        <v>5577270.04</v>
      </c>
      <c r="G16" s="13">
        <f>+F16-GETPIVOTDATA("Asignación inicial 2020",$A$6,"Area","COMUNALES","Sector Texto","COORDINACION TERRITORIAL Y PARTICIPACION CIUDADANA","Des.Centro Gestor","Administración Zonal Manuela Sáenz")</f>
        <v>-2429949.1700000009</v>
      </c>
      <c r="H16" s="17">
        <f>+G16/GETPIVOTDATA("Asignación inicial 2020",$A$6,"Area","COMUNALES","Sector Texto","COORDINACION TERRITORIAL Y PARTICIPACION CIUDADANA","Des.Centro Gestor","Administración Zonal Manuela Sáenz")</f>
        <v>-0.30346979472790037</v>
      </c>
      <c r="I16" s="13">
        <f>+F16-GETPIVOTDATA("Codificado 2020",$A$6,"Area","COMUNALES","Sector Texto","COORDINACION TERRITORIAL Y PARTICIPACION CIUDADANA","Des.Centro Gestor","Administración Zonal Manuela Sáenz")</f>
        <v>-520098.88999999966</v>
      </c>
      <c r="J16" s="17">
        <f>+I16/GETPIVOTDATA("Codificado 2020",$A$6,"Area","COMUNALES","Sector Texto","COORDINACION TERRITORIAL Y PARTICIPACION CIUDADANA","Des.Centro Gestor","Administración Zonal Manuela Sáenz")</f>
        <v>-8.5298904489940333E-2</v>
      </c>
    </row>
    <row r="17" spans="1:10" x14ac:dyDescent="0.2">
      <c r="A17" s="6" t="s">
        <v>146</v>
      </c>
      <c r="B17" s="7">
        <v>10265907.07</v>
      </c>
      <c r="C17" s="7">
        <v>8284295.3599999985</v>
      </c>
      <c r="D17" s="7">
        <v>-1925392.41</v>
      </c>
      <c r="E17" s="7">
        <v>5409896.4499999993</v>
      </c>
      <c r="F17" s="13">
        <v>5123838.04</v>
      </c>
      <c r="G17" s="13">
        <f>+F17-GETPIVOTDATA("Asignación inicial 2020",$A$6,"Area","COMUNALES","Sector Texto","COORDINACION TERRITORIAL Y PARTICIPACION CIUDADANA","Des.Centro Gestor","Administración Zonal Quitumbe")</f>
        <v>-5142069.03</v>
      </c>
      <c r="H17" s="17">
        <f>+G17/GETPIVOTDATA("Asignación inicial 2020",$A$6,"Area","COMUNALES","Sector Texto","COORDINACION TERRITORIAL Y PARTICIPACION CIUDADANA","Des.Centro Gestor","Administración Zonal Quitumbe")</f>
        <v>-0.50088793858524572</v>
      </c>
      <c r="I17" s="13">
        <f>+F17-GETPIVOTDATA("Codificado 2020",$A$6,"Area","COMUNALES","Sector Texto","COORDINACION TERRITORIAL Y PARTICIPACION CIUDADANA","Des.Centro Gestor","Administración Zonal Quitumbe")</f>
        <v>-3160457.3199999984</v>
      </c>
      <c r="J17" s="17">
        <f>+I17/GETPIVOTDATA("Codificado 2020",$A$6,"Area","COMUNALES","Sector Texto","COORDINACION TERRITORIAL Y PARTICIPACION CIUDADANA","Des.Centro Gestor","Administración Zonal Quitumbe")</f>
        <v>-0.38149983585326913</v>
      </c>
    </row>
    <row r="18" spans="1:10" x14ac:dyDescent="0.2">
      <c r="A18" s="6" t="s">
        <v>138</v>
      </c>
      <c r="B18" s="7">
        <v>7312823.3000000017</v>
      </c>
      <c r="C18" s="7">
        <v>5822357.21</v>
      </c>
      <c r="D18" s="7">
        <v>-1221284.3999999997</v>
      </c>
      <c r="E18" s="7">
        <v>3050188.93</v>
      </c>
      <c r="F18" s="13">
        <v>4203137.45</v>
      </c>
      <c r="G18" s="13">
        <f>+F18-GETPIVOTDATA("Asignación inicial 2020",$A$6,"Area","COMUNALES","Sector Texto","COORDINACION TERRITORIAL Y PARTICIPACION CIUDADANA","Des.Centro Gestor","Administración Zonal Valle de Tumbaco")</f>
        <v>-3109685.8500000015</v>
      </c>
      <c r="H18" s="17">
        <f>+G18/GETPIVOTDATA("Asignación inicial 2020",$A$6,"Area","COMUNALES","Sector Texto","COORDINACION TERRITORIAL Y PARTICIPACION CIUDADANA","Des.Centro Gestor","Administración Zonal Valle de Tumbaco")</f>
        <v>-0.42523738403469979</v>
      </c>
      <c r="I18" s="13">
        <f>+F18-GETPIVOTDATA("Codificado 2020",$A$6,"Area","COMUNALES","Sector Texto","COORDINACION TERRITORIAL Y PARTICIPACION CIUDADANA","Des.Centro Gestor","Administración Zonal Valle de Tumbaco")</f>
        <v>-1619219.7599999998</v>
      </c>
      <c r="J18" s="17">
        <f>+I18/GETPIVOTDATA("Codificado 2020",$A$6,"Area","COMUNALES","Sector Texto","COORDINACION TERRITORIAL Y PARTICIPACION CIUDADANA","Des.Centro Gestor","Administración Zonal Valle de Tumbaco")</f>
        <v>-0.27810381630638559</v>
      </c>
    </row>
    <row r="19" spans="1:10" x14ac:dyDescent="0.2">
      <c r="A19" s="6" t="s">
        <v>136</v>
      </c>
      <c r="B19" s="7">
        <v>5934169.0900000008</v>
      </c>
      <c r="C19" s="7">
        <v>4926178.82</v>
      </c>
      <c r="D19" s="7">
        <v>-1018675.1399999998</v>
      </c>
      <c r="E19" s="7">
        <v>2882466.15</v>
      </c>
      <c r="F19" s="13">
        <v>4398709.24</v>
      </c>
      <c r="G19" s="13">
        <f>+F19-GETPIVOTDATA("Asignación inicial 2020",$A$6,"Area","COMUNALES","Sector Texto","COORDINACION TERRITORIAL Y PARTICIPACION CIUDADANA","Des.Centro Gestor","Administración Zonal Valle los Chillos")</f>
        <v>-1535459.8500000006</v>
      </c>
      <c r="H19" s="17">
        <f>+G19/GETPIVOTDATA("Asignación inicial 2020",$A$6,"Area","COMUNALES","Sector Texto","COORDINACION TERRITORIAL Y PARTICIPACION CIUDADANA","Des.Centro Gestor","Administración Zonal Valle los Chillos")</f>
        <v>-0.25874892115687931</v>
      </c>
      <c r="I19" s="13">
        <f>+F19-GETPIVOTDATA("Codificado 2020",$A$6,"Area","COMUNALES","Sector Texto","COORDINACION TERRITORIAL Y PARTICIPACION CIUDADANA","Des.Centro Gestor","Administración Zonal Valle los Chillos")</f>
        <v>-527469.58000000007</v>
      </c>
      <c r="J19" s="17">
        <f>+I19/GETPIVOTDATA("Codificado 2020",$A$6,"Area","COMUNALES","Sector Texto","COORDINACION TERRITORIAL Y PARTICIPACION CIUDADANA","Des.Centro Gestor","Administración Zonal Valle los Chillos")</f>
        <v>-0.10707479352119825</v>
      </c>
    </row>
    <row r="20" spans="1:10" x14ac:dyDescent="0.2">
      <c r="A20" s="6" t="s">
        <v>106</v>
      </c>
      <c r="B20" s="7">
        <v>2497586.9000000004</v>
      </c>
      <c r="C20" s="7">
        <v>1959394.2799999998</v>
      </c>
      <c r="D20" s="7">
        <v>-559074.46</v>
      </c>
      <c r="E20" s="7">
        <v>661221.45999999985</v>
      </c>
      <c r="F20" s="13">
        <v>2235872.58</v>
      </c>
      <c r="G20" s="13">
        <f>+F20-GETPIVOTDATA("Asignación inicial 2020",$A$6,"Area","COMUNALES","Sector Texto","COORDINACION TERRITORIAL Y PARTICIPACION CIUDADANA","Des.Centro Gestor","Secretaría General Coordinac Territorial")</f>
        <v>-261714.3200000003</v>
      </c>
      <c r="H20" s="17">
        <f>+G20/GETPIVOTDATA("Asignación inicial 2020",$A$6,"Area","COMUNALES","Sector Texto","COORDINACION TERRITORIAL Y PARTICIPACION CIUDADANA","Des.Centro Gestor","Secretaría General Coordinac Territorial")</f>
        <v>-0.10478687248079346</v>
      </c>
      <c r="I20" s="13">
        <f>+F20-GETPIVOTDATA("Codificado 2020",$A$6,"Area","COMUNALES","Sector Texto","COORDINACION TERRITORIAL Y PARTICIPACION CIUDADANA","Des.Centro Gestor","Secretaría General Coordinac Territorial")</f>
        <v>276478.30000000028</v>
      </c>
      <c r="J20" s="17">
        <f>+I20/GETPIVOTDATA("Codificado 2020",$A$6,"Area","COMUNALES","Sector Texto","COORDINACION TERRITORIAL Y PARTICIPACION CIUDADANA","Des.Centro Gestor","Secretaría General Coordinac Territorial")</f>
        <v>0.14110396402708714</v>
      </c>
    </row>
    <row r="21" spans="1:10" x14ac:dyDescent="0.2">
      <c r="A21" s="6" t="s">
        <v>120</v>
      </c>
      <c r="B21" s="7">
        <v>1648137.6099999999</v>
      </c>
      <c r="C21" s="7">
        <v>909293.16</v>
      </c>
      <c r="D21" s="7">
        <v>-735562.61</v>
      </c>
      <c r="E21" s="7">
        <v>614231.7799999998</v>
      </c>
      <c r="F21" s="13">
        <v>1173868.82</v>
      </c>
      <c r="G21" s="13">
        <f>+F21-GETPIVOTDATA("Asignación inicial 2020",$A$6,"Area","COMUNALES","Sector Texto","COORDINACION TERRITORIAL Y PARTICIPACION CIUDADANA","Des.Centro Gestor","Unidad Especial Regula Tu Barrio")</f>
        <v>-474268.7899999998</v>
      </c>
      <c r="H21" s="17">
        <f>+G21/GETPIVOTDATA("Asignación inicial 2020",$A$6,"Area","COMUNALES","Sector Texto","COORDINACION TERRITORIAL Y PARTICIPACION CIUDADANA","Des.Centro Gestor","Unidad Especial Regula Tu Barrio")</f>
        <v>-0.28776043160619325</v>
      </c>
      <c r="I21" s="13">
        <f>+F21-GETPIVOTDATA("Codificado 2020",$A$6,"Area","COMUNALES","Sector Texto","COORDINACION TERRITORIAL Y PARTICIPACION CIUDADANA","Des.Centro Gestor","Unidad Especial Regula Tu Barrio")</f>
        <v>264575.66000000003</v>
      </c>
      <c r="J21" s="17">
        <f>+I21/GETPIVOTDATA("Codificado 2020",$A$6,"Area","COMUNALES","Sector Texto","COORDINACION TERRITORIAL Y PARTICIPACION CIUDADANA","Des.Centro Gestor","Unidad Especial Regula Tu Barrio")</f>
        <v>0.29096849249366402</v>
      </c>
    </row>
    <row r="22" spans="1:10" x14ac:dyDescent="0.2">
      <c r="A22" s="6" t="s">
        <v>130</v>
      </c>
      <c r="B22" s="7">
        <v>1193686.1600000001</v>
      </c>
      <c r="C22" s="7">
        <v>882632.68</v>
      </c>
      <c r="D22" s="7">
        <v>-326109.55</v>
      </c>
      <c r="E22" s="7">
        <v>658797.09</v>
      </c>
      <c r="F22" s="13">
        <v>898801.31</v>
      </c>
      <c r="G22" s="13">
        <f>+F22-GETPIVOTDATA("Asignación inicial 2020",$A$6,"Area","COMUNALES","Sector Texto","COORDINACION TERRITORIAL Y PARTICIPACION CIUDADANA","Des.Centro Gestor","Unidad Especial Turística La Mariscal")</f>
        <v>-294884.85000000009</v>
      </c>
      <c r="H22" s="17">
        <f>+G22/GETPIVOTDATA("Asignación inicial 2020",$A$6,"Area","COMUNALES","Sector Texto","COORDINACION TERRITORIAL Y PARTICIPACION CIUDADANA","Des.Centro Gestor","Unidad Especial Turística La Mariscal")</f>
        <v>-0.24703716930084876</v>
      </c>
      <c r="I22" s="13">
        <f>+F22-GETPIVOTDATA("Codificado 2020",$A$6,"Area","COMUNALES","Sector Texto","COORDINACION TERRITORIAL Y PARTICIPACION CIUDADANA","Des.Centro Gestor","Unidad Especial Turística La Mariscal")</f>
        <v>16168.630000000005</v>
      </c>
      <c r="J22" s="17">
        <f>+I22/GETPIVOTDATA("Codificado 2020",$A$6,"Area","COMUNALES","Sector Texto","COORDINACION TERRITORIAL Y PARTICIPACION CIUDADANA","Des.Centro Gestor","Unidad Especial Turística La Mariscal")</f>
        <v>1.8318639640671364E-2</v>
      </c>
    </row>
    <row r="23" spans="1:10" x14ac:dyDescent="0.2">
      <c r="A23" s="5" t="s">
        <v>40</v>
      </c>
      <c r="B23" s="7">
        <v>231665781.70000002</v>
      </c>
      <c r="C23" s="7">
        <v>194715151.20999998</v>
      </c>
      <c r="D23" s="7">
        <v>-34747041.079999998</v>
      </c>
      <c r="E23" s="7">
        <v>123809305.20999999</v>
      </c>
      <c r="F23" s="12">
        <f>+SUM(F24:F28)</f>
        <v>114272036.03</v>
      </c>
      <c r="G23" s="14">
        <f>+F23-GETPIVOTDATA("Asignación inicial 2020",$A$6,"Area","COMUNALES","Sector Texto","MOVILIDAD")</f>
        <v>-117393745.67000002</v>
      </c>
      <c r="H23" s="18">
        <f>+G23/GETPIVOTDATA("Asignación inicial 2020",$A$6,"Area","COMUNALES","Sector Texto","MOVILIDAD")</f>
        <v>-0.50673752855750298</v>
      </c>
      <c r="I23" s="14">
        <f>+F23-GETPIVOTDATA("Codificado 2020",$A$6,"Area","COMUNALES","Sector Texto","MOVILIDAD")</f>
        <v>-80443115.179999977</v>
      </c>
      <c r="J23" s="18">
        <f>+I23/GETPIVOTDATA("Codificado 2020",$A$6,"Area","COMUNALES","Sector Texto","MOVILIDAD")</f>
        <v>-0.41313228416027165</v>
      </c>
    </row>
    <row r="24" spans="1:10" x14ac:dyDescent="0.2">
      <c r="A24" s="6" t="s">
        <v>78</v>
      </c>
      <c r="B24" s="7">
        <v>65513016.560000017</v>
      </c>
      <c r="C24" s="7">
        <v>54736225.80999998</v>
      </c>
      <c r="D24" s="7">
        <v>-10776790.75</v>
      </c>
      <c r="E24" s="7">
        <v>40619935.649999999</v>
      </c>
      <c r="F24" s="13">
        <v>53669436.789999999</v>
      </c>
      <c r="G24" s="13">
        <f>+F24-GETPIVOTDATA("Asignación inicial 2020",$A$6,"Area","COMUNALES","Sector Texto","MOVILIDAD","Des.Centro Gestor","Agencia Metrop Control Transito Seg vial")</f>
        <v>-11843579.770000018</v>
      </c>
      <c r="H24" s="17">
        <f>+G24/GETPIVOTDATA("Asignación inicial 2020",$A$6,"Area","COMUNALES","Sector Texto","MOVILIDAD","Des.Centro Gestor","Agencia Metrop Control Transito Seg vial")</f>
        <v>-0.18078208563565518</v>
      </c>
      <c r="I24" s="13">
        <f>+F24-GETPIVOTDATA("Codificado 2020",$A$6,"Area","COMUNALES","Sector Texto","MOVILIDAD","Des.Centro Gestor","Agencia Metrop Control Transito Seg vial")</f>
        <v>-1066789.0199999809</v>
      </c>
      <c r="J24" s="17">
        <f>+I24/GETPIVOTDATA("Codificado 2020",$A$6,"Area","COMUNALES","Sector Texto","MOVILIDAD","Des.Centro Gestor","Agencia Metrop Control Transito Seg vial")</f>
        <v>-1.9489634226937967E-2</v>
      </c>
    </row>
    <row r="25" spans="1:10" x14ac:dyDescent="0.2">
      <c r="A25" s="6" t="s">
        <v>1833</v>
      </c>
      <c r="B25" s="7">
        <v>26681305</v>
      </c>
      <c r="C25" s="7">
        <v>9159648.5600000005</v>
      </c>
      <c r="D25" s="7">
        <v>-16521656.439999999</v>
      </c>
      <c r="E25" s="7">
        <v>7745819.2400000002</v>
      </c>
      <c r="F25" s="13">
        <v>12000000</v>
      </c>
      <c r="G25" s="13">
        <f>+F25-GETPIVOTDATA("Asignación inicial 2020",$A$6,"Area","COMUNALES","Sector Texto","MOVILIDAD","Des.Centro Gestor","EPM METRO QUITO")</f>
        <v>-14681305</v>
      </c>
      <c r="H25" s="17">
        <f>+G25/GETPIVOTDATA("Asignación inicial 2020",$A$6,"Area","COMUNALES","Sector Texto","MOVILIDAD","Des.Centro Gestor","EPM METRO QUITO")</f>
        <v>-0.55024688634982433</v>
      </c>
      <c r="I25" s="13">
        <f>+F25-GETPIVOTDATA("Codificado 2020",$A$6,"Area","COMUNALES","Sector Texto","MOVILIDAD","Des.Centro Gestor","EPM METRO QUITO")</f>
        <v>2840351.4399999995</v>
      </c>
      <c r="J25" s="17">
        <f>+I25/GETPIVOTDATA("Codificado 2020",$A$6,"Area","COMUNALES","Sector Texto","MOVILIDAD","Des.Centro Gestor","EPM METRO QUITO")</f>
        <v>0.31009393225016912</v>
      </c>
    </row>
    <row r="26" spans="1:10" x14ac:dyDescent="0.2">
      <c r="A26" s="6" t="s">
        <v>1824</v>
      </c>
      <c r="B26" s="7">
        <v>90835265.430000007</v>
      </c>
      <c r="C26" s="7">
        <v>89630496.020000011</v>
      </c>
      <c r="D26" s="7">
        <v>0</v>
      </c>
      <c r="E26" s="7">
        <v>45065698.589999996</v>
      </c>
      <c r="F26" s="13">
        <v>26475897.309999999</v>
      </c>
      <c r="G26" s="13">
        <f>+F26-GETPIVOTDATA("Asignación inicial 2020",$A$6,"Area","COMUNALES","Sector Texto","MOVILIDAD","Des.Centro Gestor","EPM MOVILIDAD Y OBRAS PUBLICAS")</f>
        <v>-64359368.120000005</v>
      </c>
      <c r="H26" s="17">
        <f>+G26/GETPIVOTDATA("Asignación inicial 2020",$A$6,"Area","COMUNALES","Sector Texto","MOVILIDAD","Des.Centro Gestor","EPM MOVILIDAD Y OBRAS PUBLICAS")</f>
        <v>-0.70852843127977638</v>
      </c>
      <c r="I26" s="13">
        <f>+F26-GETPIVOTDATA("Codificado 2020",$A$6,"Area","COMUNALES","Sector Texto","MOVILIDAD","Des.Centro Gestor","EPM MOVILIDAD Y OBRAS PUBLICAS")</f>
        <v>-63154598.710000008</v>
      </c>
      <c r="J26" s="17">
        <f>+I26/GETPIVOTDATA("Codificado 2020",$A$6,"Area","COMUNALES","Sector Texto","MOVILIDAD","Des.Centro Gestor","EPM MOVILIDAD Y OBRAS PUBLICAS")</f>
        <v>-0.70461061261903302</v>
      </c>
    </row>
    <row r="27" spans="1:10" x14ac:dyDescent="0.2">
      <c r="A27" s="6" t="s">
        <v>1829</v>
      </c>
      <c r="B27" s="7">
        <v>41000000</v>
      </c>
      <c r="C27" s="7">
        <v>37054233.100000001</v>
      </c>
      <c r="D27" s="7">
        <v>-3945766.9</v>
      </c>
      <c r="E27" s="7">
        <v>28316704.640000001</v>
      </c>
      <c r="F27" s="13">
        <v>20000000</v>
      </c>
      <c r="G27" s="13">
        <f>+F27-GETPIVOTDATA("Asignación inicial 2020",$A$6,"Area","COMUNALES","Sector Texto","MOVILIDAD","Des.Centro Gestor","EPM TRANSPORTE DE PASAJEROS")</f>
        <v>-21000000</v>
      </c>
      <c r="H27" s="17">
        <f>+G27/GETPIVOTDATA("Asignación inicial 2020",$A$6,"Area","COMUNALES","Sector Texto","MOVILIDAD","Des.Centro Gestor","EPM TRANSPORTE DE PASAJEROS")</f>
        <v>-0.51219512195121952</v>
      </c>
      <c r="I27" s="13">
        <f>+F27-GETPIVOTDATA("Codificado 2020",$A$6,"Area","COMUNALES","Sector Texto","MOVILIDAD","Des.Centro Gestor","EPM TRANSPORTE DE PASAJEROS")</f>
        <v>-17054233.100000001</v>
      </c>
      <c r="J27" s="17">
        <f>+I27/GETPIVOTDATA("Codificado 2020",$A$6,"Area","COMUNALES","Sector Texto","MOVILIDAD","Des.Centro Gestor","EPM TRANSPORTE DE PASAJEROS")</f>
        <v>-0.46025060224495651</v>
      </c>
    </row>
    <row r="28" spans="1:10" x14ac:dyDescent="0.2">
      <c r="A28" s="6" t="s">
        <v>42</v>
      </c>
      <c r="B28" s="7">
        <v>7636194.71</v>
      </c>
      <c r="C28" s="7">
        <v>4134547.72</v>
      </c>
      <c r="D28" s="7">
        <v>-3502826.99</v>
      </c>
      <c r="E28" s="7">
        <v>2061147.0899999994</v>
      </c>
      <c r="F28" s="13">
        <v>2126701.9300000002</v>
      </c>
      <c r="G28" s="13">
        <f>+F28-GETPIVOTDATA("Asignación inicial 2020",$A$6,"Area","COMUNALES","Sector Texto","MOVILIDAD","Des.Centro Gestor","Secretaría De Movilidad")</f>
        <v>-5509492.7799999993</v>
      </c>
      <c r="H28" s="17">
        <f>+G28/GETPIVOTDATA("Asignación inicial 2020",$A$6,"Area","COMUNALES","Sector Texto","MOVILIDAD","Des.Centro Gestor","Secretaría De Movilidad")</f>
        <v>-0.72149715784290147</v>
      </c>
      <c r="I28" s="13">
        <f>+F28-GETPIVOTDATA("Codificado 2020",$A$6,"Area","COMUNALES","Sector Texto","MOVILIDAD","Des.Centro Gestor","Secretaría De Movilidad")</f>
        <v>-2007845.79</v>
      </c>
      <c r="J28" s="17">
        <f>+I28/GETPIVOTDATA("Codificado 2020",$A$6,"Area","COMUNALES","Sector Texto","MOVILIDAD","Des.Centro Gestor","Secretaría De Movilidad")</f>
        <v>-0.48562646412023996</v>
      </c>
    </row>
    <row r="29" spans="1:10" x14ac:dyDescent="0.2">
      <c r="A29" s="5" t="s">
        <v>70</v>
      </c>
      <c r="B29" s="7">
        <v>33703279.339999996</v>
      </c>
      <c r="C29" s="7">
        <v>30121655.489999995</v>
      </c>
      <c r="D29" s="7">
        <v>-3214435.46</v>
      </c>
      <c r="E29" s="7">
        <v>23179463.93</v>
      </c>
      <c r="F29" s="14">
        <v>28566507.800000004</v>
      </c>
      <c r="G29" s="14">
        <f>+F29-GETPIVOTDATA("Asignación inicial 2020",$A$6,"Area","COMUNALES","Sector Texto","SEGURIDAD Y GOBERNABILIDAD")</f>
        <v>-5136771.5399999917</v>
      </c>
      <c r="H29" s="18">
        <f>+G29/GETPIVOTDATA("Asignación inicial 2020",$A$6,"Area","COMUNALES","Sector Texto","SEGURIDAD Y GOBERNABILIDAD")</f>
        <v>-0.15241162404940006</v>
      </c>
      <c r="I29" s="14">
        <f>+F29-GETPIVOTDATA("Codificado 2020",$A$6,"Area","COMUNALES","Sector Texto","SEGURIDAD Y GOBERNABILIDAD")</f>
        <v>-1555147.6899999902</v>
      </c>
      <c r="J29" s="18">
        <f>+I29/GETPIVOTDATA("Codificado 2020",$A$6,"Area","COMUNALES","Sector Texto","SEGURIDAD Y GOBERNABILIDAD")</f>
        <v>-5.1628891729283581E-2</v>
      </c>
    </row>
    <row r="30" spans="1:10" x14ac:dyDescent="0.2">
      <c r="A30" s="6" t="s">
        <v>90</v>
      </c>
      <c r="B30" s="7">
        <v>26408034.029999997</v>
      </c>
      <c r="C30" s="7">
        <v>24357139.209999997</v>
      </c>
      <c r="D30" s="7">
        <v>-2050944.82</v>
      </c>
      <c r="E30" s="7">
        <v>18522314.34</v>
      </c>
      <c r="F30" s="13">
        <v>23137551.670000002</v>
      </c>
      <c r="G30" s="13">
        <f>+F30-GETPIVOTDATA("Asignación inicial 2020",$A$6,"Area","COMUNALES","Sector Texto","SEGURIDAD Y GOBERNABILIDAD","Des.Centro Gestor","Cuerpo de Agentes de Control")</f>
        <v>-3270482.3599999957</v>
      </c>
      <c r="H30" s="17">
        <f>+G30/GETPIVOTDATA("Asignación inicial 2020",$A$6,"Area","COMUNALES","Sector Texto","SEGURIDAD Y GOBERNABILIDAD","Des.Centro Gestor","Cuerpo de Agentes de Control")</f>
        <v>-0.12384421938735271</v>
      </c>
      <c r="I30" s="13">
        <f>+F30-GETPIVOTDATA("Codificado 2020",$A$6,"Area","COMUNALES","Sector Texto","SEGURIDAD Y GOBERNABILIDAD","Des.Centro Gestor","Cuerpo de Agentes de Control")</f>
        <v>-1219587.5399999954</v>
      </c>
      <c r="J30" s="17">
        <f>+I30/GETPIVOTDATA("Codificado 2020",$A$6,"Area","COMUNALES","Sector Texto","SEGURIDAD Y GOBERNABILIDAD","Des.Centro Gestor","Cuerpo de Agentes de Control")</f>
        <v>-5.0071050195389329E-2</v>
      </c>
    </row>
    <row r="31" spans="1:10" x14ac:dyDescent="0.2">
      <c r="A31" s="6" t="s">
        <v>72</v>
      </c>
      <c r="B31" s="7">
        <v>7295245.3100000015</v>
      </c>
      <c r="C31" s="7">
        <v>5764516.2799999993</v>
      </c>
      <c r="D31" s="7">
        <v>-1163490.6400000001</v>
      </c>
      <c r="E31" s="7">
        <v>4657149.59</v>
      </c>
      <c r="F31" s="13">
        <v>5428956.1300000008</v>
      </c>
      <c r="G31" s="13">
        <f>+F31-GETPIVOTDATA("Asignación inicial 2020",$A$6,"Area","COMUNALES","Sector Texto","SEGURIDAD Y GOBERNABILIDAD","Des.Centro Gestor","Secretaría General Seguridad Gobernabili")</f>
        <v>-1866289.1800000006</v>
      </c>
      <c r="H31" s="17">
        <f>+G31/GETPIVOTDATA("Asignación inicial 2020",$A$6,"Area","COMUNALES","Sector Texto","SEGURIDAD Y GOBERNABILIDAD","Des.Centro Gestor","Secretaría General Seguridad Gobernabili")</f>
        <v>-0.25582267637275657</v>
      </c>
      <c r="I31" s="13">
        <f>+F31-GETPIVOTDATA("Codificado 2020",$A$6,"Area","COMUNALES","Sector Texto","SEGURIDAD Y GOBERNABILIDAD","Des.Centro Gestor","Secretaría General Seguridad Gobernabili")</f>
        <v>-335560.14999999851</v>
      </c>
      <c r="J31" s="17">
        <f>+I31/GETPIVOTDATA("Codificado 2020",$A$6,"Area","COMUNALES","Sector Texto","SEGURIDAD Y GOBERNABILIDAD","Des.Centro Gestor","Secretaría General Seguridad Gobernabili")</f>
        <v>-5.8211328357979507E-2</v>
      </c>
    </row>
    <row r="32" spans="1:10" x14ac:dyDescent="0.2">
      <c r="A32" s="5" t="s">
        <v>66</v>
      </c>
      <c r="B32" s="7">
        <v>46672318.969999999</v>
      </c>
      <c r="C32" s="7">
        <v>25072678.480000004</v>
      </c>
      <c r="D32" s="7">
        <v>-21603717.879999999</v>
      </c>
      <c r="E32" s="7">
        <v>16662245.32</v>
      </c>
      <c r="F32" s="14">
        <v>11826653.51</v>
      </c>
      <c r="G32" s="14">
        <f>+F32-GETPIVOTDATA("Asignación inicial 2020",$A$6,"Area","COMUNALES","Sector Texto","TERRITORIO HABITAT Y VIVIENDA")</f>
        <v>-34845665.460000001</v>
      </c>
      <c r="H32" s="18">
        <f>+G32/GETPIVOTDATA("Asignación inicial 2020",$A$6,"Area","COMUNALES","Sector Texto","TERRITORIO HABITAT Y VIVIENDA")</f>
        <v>-0.74660240221614171</v>
      </c>
      <c r="I32" s="14">
        <f>+F32-GETPIVOTDATA("Codificado 2020",$A$6,"Area","COMUNALES","Sector Texto","TERRITORIO HABITAT Y VIVIENDA")</f>
        <v>-13246024.970000004</v>
      </c>
      <c r="J32" s="18">
        <f>+I32/GETPIVOTDATA("Codificado 2020",$A$6,"Area","COMUNALES","Sector Texto","TERRITORIO HABITAT Y VIVIENDA")</f>
        <v>-0.52830514221151537</v>
      </c>
    </row>
    <row r="33" spans="1:10" x14ac:dyDescent="0.2">
      <c r="A33" s="6" t="s">
        <v>1844</v>
      </c>
      <c r="B33" s="7">
        <v>13000000</v>
      </c>
      <c r="C33" s="7">
        <v>3250000</v>
      </c>
      <c r="D33" s="7">
        <v>-9750000</v>
      </c>
      <c r="E33" s="7">
        <v>3249999.99</v>
      </c>
      <c r="F33" s="13">
        <v>0</v>
      </c>
      <c r="G33" s="13">
        <f>+F33-GETPIVOTDATA("Asignación inicial 2020",$A$6,"Area","COMUNALES","Sector Texto","TERRITORIO HABITAT Y VIVIENDA","Des.Centro Gestor","EPM AGUA POTABLE")</f>
        <v>-13000000</v>
      </c>
      <c r="H33" s="17">
        <f>+G33/GETPIVOTDATA("Asignación inicial 2020",$A$6,"Area","COMUNALES","Sector Texto","TERRITORIO HABITAT Y VIVIENDA","Des.Centro Gestor","EPM AGUA POTABLE")</f>
        <v>-1</v>
      </c>
      <c r="I33" s="13">
        <f>+F33-GETPIVOTDATA("Codificado 2020",$A$6,"Area","COMUNALES","Sector Texto","TERRITORIO HABITAT Y VIVIENDA","Des.Centro Gestor","EPM AGUA POTABLE")</f>
        <v>-3250000</v>
      </c>
      <c r="J33" s="17">
        <f>+I33/GETPIVOTDATA("Codificado 2020",$A$6,"Area","COMUNALES","Sector Texto","TERRITORIO HABITAT Y VIVIENDA","Des.Centro Gestor","EPM AGUA POTABLE")</f>
        <v>-1</v>
      </c>
    </row>
    <row r="34" spans="1:10" x14ac:dyDescent="0.2">
      <c r="A34" s="6" t="s">
        <v>827</v>
      </c>
      <c r="B34" s="7">
        <v>3500000</v>
      </c>
      <c r="C34" s="7">
        <v>2166666.67</v>
      </c>
      <c r="D34" s="7">
        <v>-1333333.33</v>
      </c>
      <c r="E34" s="7">
        <v>1166666.67</v>
      </c>
      <c r="F34" s="13">
        <v>0</v>
      </c>
      <c r="G34" s="13">
        <f>+F34-GETPIVOTDATA("Asignación inicial 2020",$A$6,"Area","COMUNALES","Sector Texto","TERRITORIO HABITAT Y VIVIENDA","Des.Centro Gestor","EPM HABITAT Y VIVENDA")</f>
        <v>-3500000</v>
      </c>
      <c r="H34" s="17">
        <f>+G34/GETPIVOTDATA("Asignación inicial 2020",$A$6,"Area","COMUNALES","Sector Texto","TERRITORIO HABITAT Y VIVIENDA","Des.Centro Gestor","EPM HABITAT Y VIVENDA")</f>
        <v>-1</v>
      </c>
      <c r="I34" s="13">
        <f>+F34-GETPIVOTDATA("Codificado 2020",$A$6,"Area","COMUNALES","Sector Texto","TERRITORIO HABITAT Y VIVIENDA","Des.Centro Gestor","EPM HABITAT Y VIVENDA")</f>
        <v>-2166666.67</v>
      </c>
      <c r="J34" s="17">
        <f>+I34/GETPIVOTDATA("Codificado 2020",$A$6,"Area","COMUNALES","Sector Texto","TERRITORIO HABITAT Y VIVIENDA","Des.Centro Gestor","EPM HABITAT Y VIVENDA")</f>
        <v>-1</v>
      </c>
    </row>
    <row r="35" spans="1:10" x14ac:dyDescent="0.2">
      <c r="A35" s="6" t="s">
        <v>68</v>
      </c>
      <c r="B35" s="7">
        <v>27474689.530000001</v>
      </c>
      <c r="C35" s="7">
        <v>17325694.890000001</v>
      </c>
      <c r="D35" s="7">
        <v>-10148994.639999999</v>
      </c>
      <c r="E35" s="7">
        <v>10343964.17</v>
      </c>
      <c r="F35" s="13">
        <v>9560980.4100000001</v>
      </c>
      <c r="G35" s="13">
        <f>+F35-GETPIVOTDATA("Asignación inicial 2020",$A$6,"Area","COMUNALES","Sector Texto","TERRITORIO HABITAT Y VIVIENDA","Des.Centro Gestor","Instituto Metropolitano de Patrimonio")</f>
        <v>-17913709.120000001</v>
      </c>
      <c r="H35" s="17">
        <f>+G35/GETPIVOTDATA("Asignación inicial 2020",$A$6,"Area","COMUNALES","Sector Texto","TERRITORIO HABITAT Y VIVIENDA","Des.Centro Gestor","Instituto Metropolitano de Patrimonio")</f>
        <v>-0.65200769968445937</v>
      </c>
      <c r="I35" s="13">
        <f>+F35-GETPIVOTDATA("Codificado 2020",$A$6,"Area","COMUNALES","Sector Texto","TERRITORIO HABITAT Y VIVIENDA","Des.Centro Gestor","Instituto Metropolitano de Patrimonio")</f>
        <v>-7764714.4800000004</v>
      </c>
      <c r="J35" s="17">
        <f>+I35/GETPIVOTDATA("Codificado 2020",$A$6,"Area","COMUNALES","Sector Texto","TERRITORIO HABITAT Y VIVIENDA","Des.Centro Gestor","Instituto Metropolitano de Patrimonio")</f>
        <v>-0.44816179260328648</v>
      </c>
    </row>
    <row r="36" spans="1:10" x14ac:dyDescent="0.2">
      <c r="A36" s="6" t="s">
        <v>122</v>
      </c>
      <c r="B36" s="7">
        <v>2697629.4399999995</v>
      </c>
      <c r="C36" s="7">
        <v>2330316.92</v>
      </c>
      <c r="D36" s="7">
        <v>-371389.91000000003</v>
      </c>
      <c r="E36" s="7">
        <v>1901614.49</v>
      </c>
      <c r="F36" s="13">
        <v>2265673.0999999996</v>
      </c>
      <c r="G36" s="13">
        <f>+F36-GETPIVOTDATA("Asignación inicial 2020",$A$6,"Area","COMUNALES","Sector Texto","TERRITORIO HABITAT Y VIVIENDA","Des.Centro Gestor","Secretaría Territorio, Hábitat  Vivienda")</f>
        <v>-431956.33999999985</v>
      </c>
      <c r="H36" s="17">
        <f>+G36/GETPIVOTDATA("Asignación inicial 2020",$A$6,"Area","COMUNALES","Sector Texto","TERRITORIO HABITAT Y VIVIENDA","Des.Centro Gestor","Secretaría Territorio, Hábitat  Vivienda")</f>
        <v>-0.16012441649509873</v>
      </c>
      <c r="I36" s="13">
        <f>+F36-GETPIVOTDATA("Codificado 2020",$A$6,"Area","COMUNALES","Sector Texto","TERRITORIO HABITAT Y VIVIENDA","Des.Centro Gestor","Secretaría Territorio, Hábitat  Vivienda")</f>
        <v>-64643.820000000298</v>
      </c>
      <c r="J36" s="17">
        <f>+I36/GETPIVOTDATA("Codificado 2020",$A$6,"Area","COMUNALES","Sector Texto","TERRITORIO HABITAT Y VIVIENDA","Des.Centro Gestor","Secretaría Territorio, Hábitat  Vivienda")</f>
        <v>-2.7740355590775308E-2</v>
      </c>
    </row>
    <row r="37" spans="1:10" x14ac:dyDescent="0.2">
      <c r="A37" s="4" t="s">
        <v>53</v>
      </c>
      <c r="B37" s="7">
        <v>13746781.57</v>
      </c>
      <c r="C37" s="7">
        <v>11587453.43</v>
      </c>
      <c r="D37" s="7">
        <v>-2150659.4900000002</v>
      </c>
      <c r="E37" s="7">
        <v>9337291.8699999992</v>
      </c>
      <c r="F37" s="10">
        <v>12100430.140000001</v>
      </c>
      <c r="G37" s="10">
        <f>+F37-GETPIVOTDATA("Asignación inicial 2020",$A$6,"Area","ECONÓMICOS")</f>
        <v>-1646351.4299999997</v>
      </c>
      <c r="H37" s="19">
        <f>+G37/GETPIVOTDATA("Asignación inicial 2020",$A$6,"Area","ECONÓMICOS")</f>
        <v>-0.11976268202245099</v>
      </c>
      <c r="I37" s="10">
        <f>+F37-GETPIVOTDATA("Codificado 2020",$A$6,"Area","ECONÓMICOS")</f>
        <v>512976.71000000089</v>
      </c>
      <c r="J37" s="19">
        <f>+I37/GETPIVOTDATA("Codificado 2020",$A$6,"Area","ECONÓMICOS")</f>
        <v>4.4270012656266691E-2</v>
      </c>
    </row>
    <row r="38" spans="1:10" x14ac:dyDescent="0.2">
      <c r="A38" s="5" t="s">
        <v>54</v>
      </c>
      <c r="B38" s="7">
        <v>8531767.129999999</v>
      </c>
      <c r="C38" s="7">
        <v>3617915.1500000004</v>
      </c>
      <c r="D38" s="7">
        <v>-4403757.55</v>
      </c>
      <c r="E38" s="7">
        <v>2143573.7299999995</v>
      </c>
      <c r="F38" s="14">
        <v>4851369.72</v>
      </c>
      <c r="G38" s="14">
        <f>+F38-GETPIVOTDATA("Asignación inicial 2020",$A$6,"Area","ECONÓMICOS","Sector Texto","AGENCIA DE COORDINACIÓN DISTRITAL DE COMERCIO")</f>
        <v>-3680397.4099999992</v>
      </c>
      <c r="H38" s="18">
        <f>+G38/GETPIVOTDATA("Asignación inicial 2020",$A$6,"Area","ECONÓMICOS","Sector Texto","AGENCIA DE COORDINACIÓN DISTRITAL DE COMERCIO")</f>
        <v>-0.43137574595287853</v>
      </c>
      <c r="I38" s="14">
        <f>+F38-GETPIVOTDATA("Codificado 2020",$A$6,"Area","ECONÓMICOS","Sector Texto","AGENCIA DE COORDINACIÓN DISTRITAL DE COMERCIO")</f>
        <v>1233454.5699999994</v>
      </c>
      <c r="J38" s="18">
        <f>+I38/GETPIVOTDATA("Codificado 2020",$A$6,"Area","ECONÓMICOS","Sector Texto","AGENCIA DE COORDINACIÓN DISTRITAL DE COMERCIO")</f>
        <v>0.34092965668362873</v>
      </c>
    </row>
    <row r="39" spans="1:10" x14ac:dyDescent="0.2">
      <c r="A39" s="6" t="s">
        <v>56</v>
      </c>
      <c r="B39" s="7">
        <v>8101767.1299999999</v>
      </c>
      <c r="C39" s="7">
        <v>3438748.2800000003</v>
      </c>
      <c r="D39" s="7">
        <v>-4152924.42</v>
      </c>
      <c r="E39" s="7">
        <v>1977844.4399999997</v>
      </c>
      <c r="F39" s="13">
        <v>4851369.72</v>
      </c>
      <c r="G39" s="13">
        <f>+F39-GETPIVOTDATA("Asignación inicial 2020",$A$6,"Area","ECONÓMICOS","Sector Texto","AGENCIA DE COORDINACIÓN DISTRITAL DE COMERCIO","Des.Centro Gestor","Agencia de Coord. Distrital del Comercio")</f>
        <v>-3250397.41</v>
      </c>
      <c r="H39" s="17">
        <f>+G39/GETPIVOTDATA("Asignación inicial 2020",$A$6,"Area","ECONÓMICOS","Sector Texto","AGENCIA DE COORDINACIÓN DISTRITAL DE COMERCIO","Des.Centro Gestor","Agencia de Coord. Distrital del Comercio")</f>
        <v>-0.40119610423806396</v>
      </c>
      <c r="I39" s="13">
        <f>+F39-GETPIVOTDATA("Codificado 2020",$A$6,"Area","ECONÓMICOS","Sector Texto","AGENCIA DE COORDINACIÓN DISTRITAL DE COMERCIO","Des.Centro Gestor","Agencia de Coord. Distrital del Comercio")</f>
        <v>1412621.4399999995</v>
      </c>
      <c r="J39" s="17">
        <f>+I39/GETPIVOTDATA("Codificado 2020",$A$6,"Area","ECONÓMICOS","Sector Texto","AGENCIA DE COORDINACIÓN DISTRITAL DE COMERCIO","Des.Centro Gestor","Agencia de Coord. Distrital del Comercio")</f>
        <v>0.41079524436723219</v>
      </c>
    </row>
    <row r="40" spans="1:10" x14ac:dyDescent="0.2">
      <c r="A40" s="6" t="s">
        <v>1785</v>
      </c>
      <c r="B40" s="7">
        <v>430000</v>
      </c>
      <c r="C40" s="7">
        <v>179166.87</v>
      </c>
      <c r="D40" s="7">
        <v>-250833.13</v>
      </c>
      <c r="E40" s="7">
        <v>165729.29</v>
      </c>
      <c r="F40" s="13">
        <v>0</v>
      </c>
      <c r="G40" s="13">
        <f>+F40-GETPIVOTDATA("Asignación inicial 2020",$A$6,"Area","ECONÓMICOS","Sector Texto","AGENCIA DE COORDINACIÓN DISTRITAL DE COMERCIO","Des.Centro Gestor","EPM MERCADO MAYORISTA")</f>
        <v>-430000</v>
      </c>
      <c r="H40" s="17">
        <f>+G40/GETPIVOTDATA("Asignación inicial 2020",$A$6,"Area","ECONÓMICOS","Sector Texto","AGENCIA DE COORDINACIÓN DISTRITAL DE COMERCIO","Des.Centro Gestor","EPM MERCADO MAYORISTA")</f>
        <v>-1</v>
      </c>
      <c r="I40" s="13">
        <f>+F40-GETPIVOTDATA("Codificado 2020",$A$6,"Area","ECONÓMICOS","Sector Texto","AGENCIA DE COORDINACIÓN DISTRITAL DE COMERCIO","Des.Centro Gestor","EPM MERCADO MAYORISTA")</f>
        <v>-179166.87</v>
      </c>
      <c r="J40" s="17">
        <f>+I40/GETPIVOTDATA("Codificado 2020",$A$6,"Area","ECONÓMICOS","Sector Texto","AGENCIA DE COORDINACIÓN DISTRITAL DE COMERCIO","Des.Centro Gestor","EPM MERCADO MAYORISTA")</f>
        <v>-1</v>
      </c>
    </row>
    <row r="41" spans="1:10" x14ac:dyDescent="0.2">
      <c r="A41" s="5" t="s">
        <v>85</v>
      </c>
      <c r="B41" s="7">
        <v>5215014.4400000004</v>
      </c>
      <c r="C41" s="7">
        <v>7969538.2799999993</v>
      </c>
      <c r="D41" s="7">
        <v>2253098.0599999996</v>
      </c>
      <c r="E41" s="7">
        <v>7193718.1399999997</v>
      </c>
      <c r="F41" s="13">
        <v>7249060.4199999999</v>
      </c>
      <c r="G41" s="13">
        <f>+F41-GETPIVOTDATA("Asignación inicial 2020",$A$6,"Area","ECONÓMICOS","Sector Texto","DESARROLLO PRODUCTIVO Y COMPETITIVIDAD")</f>
        <v>2034045.9799999995</v>
      </c>
      <c r="H41" s="17">
        <f>+G41/GETPIVOTDATA("Asignación inicial 2020",$A$6,"Area","ECONÓMICOS","Sector Texto","DESARROLLO PRODUCTIVO Y COMPETITIVIDAD")</f>
        <v>0.39003650007151264</v>
      </c>
      <c r="I41" s="13">
        <f>+F41-GETPIVOTDATA("Codificado 2020",$A$6,"Area","ECONÓMICOS","Sector Texto","DESARROLLO PRODUCTIVO Y COMPETITIVIDAD")</f>
        <v>-720477.8599999994</v>
      </c>
      <c r="J41" s="17">
        <f>+I41/GETPIVOTDATA("Codificado 2020",$A$6,"Area","ECONÓMICOS","Sector Texto","DESARROLLO PRODUCTIVO Y COMPETITIVIDAD")</f>
        <v>-9.0403965033718295E-2</v>
      </c>
    </row>
    <row r="42" spans="1:10" x14ac:dyDescent="0.2">
      <c r="A42" s="6" t="s">
        <v>1807</v>
      </c>
      <c r="B42" s="7">
        <v>1642926</v>
      </c>
      <c r="C42" s="7">
        <v>1437597</v>
      </c>
      <c r="D42" s="7">
        <v>-205329</v>
      </c>
      <c r="E42" s="7">
        <v>1114863.6399999999</v>
      </c>
      <c r="F42" s="13">
        <v>1500000</v>
      </c>
      <c r="G42" s="13">
        <f>+F42-GETPIVOTDATA("Asignación inicial 2020",$A$6,"Area","ECONÓMICOS","Sector Texto","DESARROLLO PRODUCTIVO Y COMPETITIVIDAD","Des.Centro Gestor","CONQUITO")</f>
        <v>-142926</v>
      </c>
      <c r="H42" s="17">
        <f>+G42/GETPIVOTDATA("Asignación inicial 2020",$A$6,"Area","ECONÓMICOS","Sector Texto","DESARROLLO PRODUCTIVO Y COMPETITIVIDAD","Des.Centro Gestor","CONQUITO")</f>
        <v>-8.6994788566253131E-2</v>
      </c>
      <c r="I42" s="13">
        <f>+F42-GETPIVOTDATA("Codificado 2020",$A$6,"Area","ECONÓMICOS","Sector Texto","DESARROLLO PRODUCTIVO Y COMPETITIVIDAD","Des.Centro Gestor","CONQUITO")</f>
        <v>62403</v>
      </c>
      <c r="J42" s="17">
        <f>+I42/GETPIVOTDATA("Codificado 2020",$A$6,"Area","ECONÓMICOS","Sector Texto","DESARROLLO PRODUCTIVO Y COMPETITIVIDAD","Des.Centro Gestor","CONQUITO")</f>
        <v>4.3407853522231893E-2</v>
      </c>
    </row>
    <row r="43" spans="1:10" x14ac:dyDescent="0.2">
      <c r="A43" s="6" t="s">
        <v>1812</v>
      </c>
      <c r="B43" s="7">
        <v>2635898.96</v>
      </c>
      <c r="C43" s="7">
        <v>1581526.59</v>
      </c>
      <c r="D43" s="7">
        <v>-1054372.3700000001</v>
      </c>
      <c r="E43" s="7">
        <v>1253509.58</v>
      </c>
      <c r="F43" s="13">
        <v>1000000</v>
      </c>
      <c r="G43" s="13">
        <f>+F43-GETPIVOTDATA("Asignación inicial 2020",$A$6,"Area","ECONÓMICOS","Sector Texto","DESARROLLO PRODUCTIVO Y COMPETITIVIDAD","Des.Centro Gestor","EPM GESTION DE DESTINO TURISTICO")</f>
        <v>-1635898.96</v>
      </c>
      <c r="H43" s="17">
        <f>+G43/GETPIVOTDATA("Asignación inicial 2020",$A$6,"Area","ECONÓMICOS","Sector Texto","DESARROLLO PRODUCTIVO Y COMPETITIVIDAD","Des.Centro Gestor","EPM GESTION DE DESTINO TURISTICO")</f>
        <v>-0.6206227874531276</v>
      </c>
      <c r="I43" s="13">
        <f>+F43-GETPIVOTDATA("Codificado 2020",$A$6,"Area","ECONÓMICOS","Sector Texto","DESARROLLO PRODUCTIVO Y COMPETITIVIDAD","Des.Centro Gestor","EPM GESTION DE DESTINO TURISTICO")</f>
        <v>-581526.59000000008</v>
      </c>
      <c r="J43" s="17">
        <f>+I43/GETPIVOTDATA("Codificado 2020",$A$6,"Area","ECONÓMICOS","Sector Texto","DESARROLLO PRODUCTIVO Y COMPETITIVIDAD","Des.Centro Gestor","EPM GESTION DE DESTINO TURISTICO")</f>
        <v>-0.36769953390413757</v>
      </c>
    </row>
    <row r="44" spans="1:10" x14ac:dyDescent="0.2">
      <c r="A44" s="6" t="s">
        <v>832</v>
      </c>
      <c r="B44" s="7">
        <v>0</v>
      </c>
      <c r="C44" s="7">
        <v>4369774.92</v>
      </c>
      <c r="D44" s="7">
        <v>3784852.09</v>
      </c>
      <c r="E44" s="7">
        <v>4369774.92</v>
      </c>
      <c r="F44" s="13">
        <v>3500000</v>
      </c>
      <c r="G44" s="13">
        <f>+F44-GETPIVOTDATA("Asignación inicial 2020",$A$6,"Area","ECONÓMICOS","Sector Texto","DESARROLLO PRODUCTIVO Y COMPETITIVIDAD","Des.Centro Gestor","EPM SERVICIOS AEROPORTUARIOS Y GESTION D")</f>
        <v>3500000</v>
      </c>
      <c r="H44" s="17" t="e">
        <f>+G44/GETPIVOTDATA("Asignación inicial 2020",$A$6,"Area","ECONÓMICOS","Sector Texto","DESARROLLO PRODUCTIVO Y COMPETITIVIDAD","Des.Centro Gestor","EPM SERVICIOS AEROPORTUARIOS Y GESTION D")</f>
        <v>#DIV/0!</v>
      </c>
      <c r="I44" s="13">
        <f>+F44-GETPIVOTDATA("Codificado 2020",$A$6,"Area","ECONÓMICOS","Sector Texto","DESARROLLO PRODUCTIVO Y COMPETITIVIDAD","Des.Centro Gestor","EPM SERVICIOS AEROPORTUARIOS Y GESTION D")</f>
        <v>-869774.91999999993</v>
      </c>
      <c r="J44" s="17">
        <f>+I44/GETPIVOTDATA("Codificado 2020",$A$6,"Area","ECONÓMICOS","Sector Texto","DESARROLLO PRODUCTIVO Y COMPETITIVIDAD","Des.Centro Gestor","EPM SERVICIOS AEROPORTUARIOS Y GESTION D")</f>
        <v>-0.19904341434592698</v>
      </c>
    </row>
    <row r="45" spans="1:10" x14ac:dyDescent="0.2">
      <c r="A45" s="6" t="s">
        <v>87</v>
      </c>
      <c r="B45" s="7">
        <v>936189.4800000001</v>
      </c>
      <c r="C45" s="7">
        <v>580639.7699999999</v>
      </c>
      <c r="D45" s="7">
        <v>-272052.66000000003</v>
      </c>
      <c r="E45" s="7">
        <v>455569.99999999988</v>
      </c>
      <c r="F45" s="13">
        <v>1249060.42</v>
      </c>
      <c r="G45" s="13">
        <f>+F45-GETPIVOTDATA("Asignación inicial 2020",$A$6,"Area","ECONÓMICOS","Sector Texto","DESARROLLO PRODUCTIVO Y COMPETITIVIDAD","Des.Centro Gestor","Secretaría Desarrollo Productivo Competi")</f>
        <v>312870.93999999983</v>
      </c>
      <c r="H45" s="17">
        <f>+G45/GETPIVOTDATA("Asignación inicial 2020",$A$6,"Area","ECONÓMICOS","Sector Texto","DESARROLLO PRODUCTIVO Y COMPETITIVIDAD","Des.Centro Gestor","Secretaría Desarrollo Productivo Competi")</f>
        <v>0.33419617148443048</v>
      </c>
      <c r="I45" s="13">
        <f>+F45-GETPIVOTDATA("Codificado 2020",$A$6,"Area","ECONÓMICOS","Sector Texto","DESARROLLO PRODUCTIVO Y COMPETITIVIDAD","Des.Centro Gestor","Secretaría Desarrollo Productivo Competi")</f>
        <v>668420.65</v>
      </c>
      <c r="J45" s="17">
        <f>+I45/GETPIVOTDATA("Codificado 2020",$A$6,"Area","ECONÓMICOS","Sector Texto","DESARROLLO PRODUCTIVO Y COMPETITIVIDAD","Des.Centro Gestor","Secretaría Desarrollo Productivo Competi")</f>
        <v>1.1511795859246778</v>
      </c>
    </row>
    <row r="46" spans="1:10" x14ac:dyDescent="0.2">
      <c r="A46" s="4" t="s">
        <v>1</v>
      </c>
      <c r="B46" s="7">
        <v>205096989.03999993</v>
      </c>
      <c r="C46" s="7">
        <v>177603989.28</v>
      </c>
      <c r="D46" s="7">
        <v>-27407200.360000007</v>
      </c>
      <c r="E46" s="7">
        <v>123145742.03</v>
      </c>
      <c r="F46" s="10">
        <v>174474005.41</v>
      </c>
      <c r="G46" s="10">
        <f>+F46-GETPIVOTDATA("Asignación inicial 2020",$A$6,"Area","GENERALES")</f>
        <v>-30622983.629999936</v>
      </c>
      <c r="H46" s="19">
        <f>+G46/GETPIVOTDATA("Asignación inicial 2020",$A$6,"Area","GENERALES")</f>
        <v>-0.14930976692216361</v>
      </c>
      <c r="I46" s="10">
        <f>+F46-GETPIVOTDATA("Codificado 2020",$A$6,"Area","GENERALES")</f>
        <v>-3129983.8700000048</v>
      </c>
      <c r="J46" s="19">
        <f>+I46/GETPIVOTDATA("Codificado 2020",$A$6,"Area","GENERALES")</f>
        <v>-1.7623387192420865E-2</v>
      </c>
    </row>
    <row r="47" spans="1:10" x14ac:dyDescent="0.2">
      <c r="A47" s="5" t="s">
        <v>2</v>
      </c>
      <c r="B47" s="7">
        <v>174376077.52999997</v>
      </c>
      <c r="C47" s="7">
        <v>149496529.46000001</v>
      </c>
      <c r="D47" s="7">
        <v>-24535661.710000001</v>
      </c>
      <c r="E47" s="7">
        <v>102785263.73</v>
      </c>
      <c r="F47" s="14">
        <v>150120565.94999999</v>
      </c>
      <c r="G47" s="14">
        <f>+F47-GETPIVOTDATA("Asignación inicial 2020",$A$6,"Area","GENERALES","Sector Texto","ADMINISTRACION GENERAL")</f>
        <v>-24255511.579999983</v>
      </c>
      <c r="H47" s="18">
        <f>+G47/GETPIVOTDATA("Asignación inicial 2020",$A$6,"Area","GENERALES","Sector Texto","ADMINISTRACION GENERAL")</f>
        <v>-0.13909884844053233</v>
      </c>
      <c r="I47" s="14">
        <f>+F47-GETPIVOTDATA("Codificado 2020",$A$6,"Area","GENERALES","Sector Texto","ADMINISTRACION GENERAL")</f>
        <v>624036.48999997973</v>
      </c>
      <c r="J47" s="18">
        <f>+I47/GETPIVOTDATA("Codificado 2020",$A$6,"Area","GENERALES","Sector Texto","ADMINISTRACION GENERAL")</f>
        <v>4.1742540261909553E-3</v>
      </c>
    </row>
    <row r="48" spans="1:10" x14ac:dyDescent="0.2">
      <c r="A48" s="6" t="s">
        <v>21</v>
      </c>
      <c r="B48" s="7">
        <v>16203767.469999999</v>
      </c>
      <c r="C48" s="7">
        <v>14106542.420000002</v>
      </c>
      <c r="D48" s="7">
        <v>-1873268.5799999996</v>
      </c>
      <c r="E48" s="7">
        <v>11227279.360000001</v>
      </c>
      <c r="F48" s="13">
        <v>12652446.43</v>
      </c>
      <c r="G48" s="13">
        <f>+F48-GETPIVOTDATA("Asignación inicial 2020",$A$6,"Area","GENERALES","Sector Texto","ADMINISTRACION GENERAL","Des.Centro Gestor","Administración General")</f>
        <v>-3551321.0399999991</v>
      </c>
      <c r="H48" s="17">
        <f>+G48/GETPIVOTDATA("Asignación inicial 2020",$A$6,"Area","GENERALES","Sector Texto","ADMINISTRACION GENERAL","Des.Centro Gestor","Administración General")</f>
        <v>-0.21916637884214216</v>
      </c>
      <c r="I48" s="13">
        <f>+F48-GETPIVOTDATA("Codificado 2020",$A$6,"Area","GENERALES","Sector Texto","ADMINISTRACION GENERAL","Des.Centro Gestor","Administración General")</f>
        <v>-1454095.9900000021</v>
      </c>
      <c r="J48" s="17">
        <f>+I48/GETPIVOTDATA("Codificado 2020",$A$6,"Area","GENERALES","Sector Texto","ADMINISTRACION GENERAL","Des.Centro Gestor","Administración General")</f>
        <v>-0.10307954612169251</v>
      </c>
    </row>
    <row r="49" spans="1:10" x14ac:dyDescent="0.2">
      <c r="A49" s="6" t="s">
        <v>411</v>
      </c>
      <c r="B49" s="7">
        <v>14117000</v>
      </c>
      <c r="C49" s="7">
        <v>10572373.450000001</v>
      </c>
      <c r="D49" s="7">
        <v>-3544626.5500000003</v>
      </c>
      <c r="E49" s="7">
        <v>7777113.7000000002</v>
      </c>
      <c r="F49" s="13">
        <v>10011823.16</v>
      </c>
      <c r="G49" s="13">
        <f>+F49-GETPIVOTDATA("Asignación inicial 2020",$A$6,"Area","GENERALES","Sector Texto","ADMINISTRACION GENERAL","Des.Centro Gestor","DM Administrativa")</f>
        <v>-4105176.84</v>
      </c>
      <c r="H49" s="17">
        <f>+G49/GETPIVOTDATA("Asignación inicial 2020",$A$6,"Area","GENERALES","Sector Texto","ADMINISTRACION GENERAL","Des.Centro Gestor","DM Administrativa")</f>
        <v>-0.29079668768151873</v>
      </c>
      <c r="I49" s="13">
        <f>+F49-GETPIVOTDATA("Codificado 2020",$A$6,"Area","GENERALES","Sector Texto","ADMINISTRACION GENERAL","Des.Centro Gestor","DM Administrativa")</f>
        <v>-560550.29000000097</v>
      </c>
      <c r="J49" s="17">
        <f>+I49/GETPIVOTDATA("Codificado 2020",$A$6,"Area","GENERALES","Sector Texto","ADMINISTRACION GENERAL","Des.Centro Gestor","DM Administrativa")</f>
        <v>-5.3020288457555471E-2</v>
      </c>
    </row>
    <row r="50" spans="1:10" x14ac:dyDescent="0.2">
      <c r="A50" s="6" t="s">
        <v>464</v>
      </c>
      <c r="B50" s="7">
        <v>1737463.3599999999</v>
      </c>
      <c r="C50" s="7">
        <v>1404275.77</v>
      </c>
      <c r="D50" s="7">
        <v>-1265183.56</v>
      </c>
      <c r="E50" s="7">
        <v>569218.59</v>
      </c>
      <c r="F50" s="13">
        <v>26000</v>
      </c>
      <c r="G50" s="13">
        <f>+F50-GETPIVOTDATA("Asignación inicial 2020",$A$6,"Area","GENERALES","Sector Texto","ADMINISTRACION GENERAL","Des.Centro Gestor","DM de Catastro")</f>
        <v>-1711463.3599999999</v>
      </c>
      <c r="H50" s="17">
        <f>+G50/GETPIVOTDATA("Asignación inicial 2020",$A$6,"Area","GENERALES","Sector Texto","ADMINISTRACION GENERAL","Des.Centro Gestor","DM de Catastro")</f>
        <v>-0.98503565565837314</v>
      </c>
      <c r="I50" s="13">
        <f>+F50-GETPIVOTDATA("Codificado 2020",$A$6,"Area","GENERALES","Sector Texto","ADMINISTRACION GENERAL","Des.Centro Gestor","DM de Catastro")</f>
        <v>-1378275.77</v>
      </c>
      <c r="J50" s="17">
        <f>+I50/GETPIVOTDATA("Codificado 2020",$A$6,"Area","GENERALES","Sector Texto","ADMINISTRACION GENERAL","Des.Centro Gestor","DM de Catastro")</f>
        <v>-0.9814851181260501</v>
      </c>
    </row>
    <row r="51" spans="1:10" x14ac:dyDescent="0.2">
      <c r="A51" s="6" t="s">
        <v>590</v>
      </c>
      <c r="B51" s="7">
        <v>6590608.71</v>
      </c>
      <c r="C51" s="7">
        <v>3881635.91</v>
      </c>
      <c r="D51" s="7">
        <v>-1776976.8300000005</v>
      </c>
      <c r="E51" s="7">
        <v>329431.64</v>
      </c>
      <c r="F51" s="13">
        <v>1080000</v>
      </c>
      <c r="G51" s="13">
        <f>+F51-GETPIVOTDATA("Asignación inicial 2020",$A$6,"Area","GENERALES","Sector Texto","ADMINISTRACION GENERAL","Des.Centro Gestor","DM de Gestión de Bienes Inmuebles")</f>
        <v>-5510608.71</v>
      </c>
      <c r="H51" s="17">
        <f>+G51/GETPIVOTDATA("Asignación inicial 2020",$A$6,"Area","GENERALES","Sector Texto","ADMINISTRACION GENERAL","Des.Centro Gestor","DM de Gestión de Bienes Inmuebles")</f>
        <v>-0.83613046267466851</v>
      </c>
      <c r="I51" s="13">
        <f>+F51-GETPIVOTDATA("Codificado 2020",$A$6,"Area","GENERALES","Sector Texto","ADMINISTRACION GENERAL","Des.Centro Gestor","DM de Gestión de Bienes Inmuebles")</f>
        <v>-2801635.91</v>
      </c>
      <c r="J51" s="17">
        <f>+I51/GETPIVOTDATA("Codificado 2020",$A$6,"Area","GENERALES","Sector Texto","ADMINISTRACION GENERAL","Des.Centro Gestor","DM de Gestión de Bienes Inmuebles")</f>
        <v>-0.72176679496970131</v>
      </c>
    </row>
    <row r="52" spans="1:10" x14ac:dyDescent="0.2">
      <c r="A52" s="6" t="s">
        <v>506</v>
      </c>
      <c r="B52" s="7">
        <v>516317</v>
      </c>
      <c r="C52" s="7">
        <v>166582.56</v>
      </c>
      <c r="D52" s="7">
        <v>-349734.44000000006</v>
      </c>
      <c r="E52" s="7">
        <v>224</v>
      </c>
      <c r="F52" s="13">
        <v>10000</v>
      </c>
      <c r="G52" s="13">
        <f>+F52-GETPIVOTDATA("Asignación inicial 2020",$A$6,"Area","GENERALES","Sector Texto","ADMINISTRACION GENERAL","Des.Centro Gestor","DM de Gestión documental y Archivo")</f>
        <v>-506317</v>
      </c>
      <c r="H52" s="17">
        <f>+G52/GETPIVOTDATA("Asignación inicial 2020",$A$6,"Area","GENERALES","Sector Texto","ADMINISTRACION GENERAL","Des.Centro Gestor","DM de Gestión documental y Archivo")</f>
        <v>-0.98063205356399263</v>
      </c>
      <c r="I52" s="13">
        <f>+F52-GETPIVOTDATA("Codificado 2020",$A$6,"Area","GENERALES","Sector Texto","ADMINISTRACION GENERAL","Des.Centro Gestor","DM de Gestión documental y Archivo")</f>
        <v>-156582.56</v>
      </c>
      <c r="J52" s="17">
        <f>+I52/GETPIVOTDATA("Codificado 2020",$A$6,"Area","GENERALES","Sector Texto","ADMINISTRACION GENERAL","Des.Centro Gestor","DM de Gestión documental y Archivo")</f>
        <v>-0.93996970631259358</v>
      </c>
    </row>
    <row r="53" spans="1:10" x14ac:dyDescent="0.2">
      <c r="A53" s="6" t="s">
        <v>1534</v>
      </c>
      <c r="B53" s="7">
        <v>7453200</v>
      </c>
      <c r="C53" s="7">
        <v>4379879.8400000008</v>
      </c>
      <c r="D53" s="7">
        <v>-3073320.16</v>
      </c>
      <c r="E53" s="7">
        <v>1558677.68</v>
      </c>
      <c r="F53" s="13">
        <v>3777755.0900000003</v>
      </c>
      <c r="G53" s="13">
        <f>+F53-GETPIVOTDATA("Asignación inicial 2020",$A$6,"Area","GENERALES","Sector Texto","ADMINISTRACION GENERAL","Des.Centro Gestor","DM de Informática")</f>
        <v>-3675444.9099999997</v>
      </c>
      <c r="H53" s="17">
        <f>+G53/GETPIVOTDATA("Asignación inicial 2020",$A$6,"Area","GENERALES","Sector Texto","ADMINISTRACION GENERAL","Des.Centro Gestor","DM de Informática")</f>
        <v>-0.4931364930499651</v>
      </c>
      <c r="I53" s="13">
        <f>+F53-GETPIVOTDATA("Codificado 2020",$A$6,"Area","GENERALES","Sector Texto","ADMINISTRACION GENERAL","Des.Centro Gestor","DM de Informática")</f>
        <v>-602124.75000000047</v>
      </c>
      <c r="J53" s="17">
        <f>+I53/GETPIVOTDATA("Codificado 2020",$A$6,"Area","GENERALES","Sector Texto","ADMINISTRACION GENERAL","Des.Centro Gestor","DM de Informática")</f>
        <v>-0.13747517557467978</v>
      </c>
    </row>
    <row r="54" spans="1:10" x14ac:dyDescent="0.2">
      <c r="A54" s="6" t="s">
        <v>26</v>
      </c>
      <c r="B54" s="7">
        <v>12853000</v>
      </c>
      <c r="C54" s="7">
        <v>12610400</v>
      </c>
      <c r="D54" s="7">
        <v>-242600</v>
      </c>
      <c r="E54" s="7">
        <v>9153869.3100000005</v>
      </c>
      <c r="F54" s="13">
        <v>9223000</v>
      </c>
      <c r="G54" s="13">
        <f>+F54-GETPIVOTDATA("Asignación inicial 2020",$A$6,"Area","GENERALES","Sector Texto","ADMINISTRACION GENERAL","Des.Centro Gestor","DM de Recursos Humanos")</f>
        <v>-3630000</v>
      </c>
      <c r="H54" s="17">
        <f>+G54/GETPIVOTDATA("Asignación inicial 2020",$A$6,"Area","GENERALES","Sector Texto","ADMINISTRACION GENERAL","Des.Centro Gestor","DM de Recursos Humanos")</f>
        <v>-0.28242433673072437</v>
      </c>
      <c r="I54" s="13">
        <f>+F54-GETPIVOTDATA("Codificado 2020",$A$6,"Area","GENERALES","Sector Texto","ADMINISTRACION GENERAL","Des.Centro Gestor","DM de Recursos Humanos")</f>
        <v>-3387400</v>
      </c>
      <c r="J54" s="17">
        <f>+I54/GETPIVOTDATA("Codificado 2020",$A$6,"Area","GENERALES","Sector Texto","ADMINISTRACION GENERAL","Des.Centro Gestor","DM de Recursos Humanos")</f>
        <v>-0.26861955211571403</v>
      </c>
    </row>
    <row r="55" spans="1:10" x14ac:dyDescent="0.2">
      <c r="A55" s="6" t="s">
        <v>14</v>
      </c>
      <c r="B55" s="7">
        <v>606092.28</v>
      </c>
      <c r="C55" s="7">
        <v>171845.83000000002</v>
      </c>
      <c r="D55" s="7">
        <v>-434246.44999999995</v>
      </c>
      <c r="E55" s="7">
        <v>14432.27</v>
      </c>
      <c r="F55" s="13">
        <v>94000</v>
      </c>
      <c r="G55" s="13">
        <f>+F55-GETPIVOTDATA("Asignación inicial 2020",$A$6,"Area","GENERALES","Sector Texto","ADMINISTRACION GENERAL","Des.Centro Gestor","DM de Servicios Ciudadanos")</f>
        <v>-512092.28</v>
      </c>
      <c r="H55" s="17">
        <f>+G55/GETPIVOTDATA("Asignación inicial 2020",$A$6,"Area","GENERALES","Sector Texto","ADMINISTRACION GENERAL","Des.Centro Gestor","DM de Servicios Ciudadanos")</f>
        <v>-0.84490810541259498</v>
      </c>
      <c r="I55" s="13">
        <f>+F55-GETPIVOTDATA("Codificado 2020",$A$6,"Area","GENERALES","Sector Texto","ADMINISTRACION GENERAL","Des.Centro Gestor","DM de Servicios Ciudadanos")</f>
        <v>-77845.830000000016</v>
      </c>
      <c r="J55" s="17">
        <f>+I55/GETPIVOTDATA("Codificado 2020",$A$6,"Area","GENERALES","Sector Texto","ADMINISTRACION GENERAL","Des.Centro Gestor","DM de Servicios Ciudadanos")</f>
        <v>-0.45299807391311159</v>
      </c>
    </row>
    <row r="56" spans="1:10" x14ac:dyDescent="0.2">
      <c r="A56" s="6" t="s">
        <v>475</v>
      </c>
      <c r="B56" s="7">
        <v>107482271.31999999</v>
      </c>
      <c r="C56" s="7">
        <v>96526781.270000011</v>
      </c>
      <c r="D56" s="7">
        <v>-10849094.750000002</v>
      </c>
      <c r="E56" s="7">
        <v>67610662.900000006</v>
      </c>
      <c r="F56" s="13">
        <v>107908407.98999999</v>
      </c>
      <c r="G56" s="13">
        <f>+F56-GETPIVOTDATA("Asignación inicial 2020",$A$6,"Area","GENERALES","Sector Texto","ADMINISTRACION GENERAL","Des.Centro Gestor","DM Financiera")</f>
        <v>426136.67000000179</v>
      </c>
      <c r="H56" s="17">
        <f>+G56/GETPIVOTDATA("Asignación inicial 2020",$A$6,"Area","GENERALES","Sector Texto","ADMINISTRACION GENERAL","Des.Centro Gestor","DM Financiera")</f>
        <v>3.9647158993439272E-3</v>
      </c>
      <c r="I56" s="13">
        <f>+F56-GETPIVOTDATA("Codificado 2020",$A$6,"Area","GENERALES","Sector Texto","ADMINISTRACION GENERAL","Des.Centro Gestor","DM Financiera")</f>
        <v>11381626.719999984</v>
      </c>
      <c r="J56" s="17">
        <f>+I56/GETPIVOTDATA("Codificado 2020",$A$6,"Area","GENERALES","Sector Texto","ADMINISTRACION GENERAL","Des.Centro Gestor","DM Financiera")</f>
        <v>0.11791159479527089</v>
      </c>
    </row>
    <row r="57" spans="1:10" x14ac:dyDescent="0.2">
      <c r="A57" s="6" t="s">
        <v>631</v>
      </c>
      <c r="B57" s="7">
        <v>166000</v>
      </c>
      <c r="C57" s="7">
        <v>85000</v>
      </c>
      <c r="D57" s="7">
        <v>-81000</v>
      </c>
      <c r="E57" s="7">
        <v>0</v>
      </c>
      <c r="F57" s="13">
        <v>500</v>
      </c>
      <c r="G57" s="13">
        <f>+F57-GETPIVOTDATA("Asignación inicial 2020",$A$6,"Area","GENERALES","Sector Texto","ADMINISTRACION GENERAL","Des.Centro Gestor","DM Tributaria")</f>
        <v>-165500</v>
      </c>
      <c r="H57" s="17">
        <f>+G57/GETPIVOTDATA("Asignación inicial 2020",$A$6,"Area","GENERALES","Sector Texto","ADMINISTRACION GENERAL","Des.Centro Gestor","DM Tributaria")</f>
        <v>-0.99698795180722888</v>
      </c>
      <c r="I57" s="13">
        <f>+F57-GETPIVOTDATA("Codificado 2020",$A$6,"Area","GENERALES","Sector Texto","ADMINISTRACION GENERAL","Des.Centro Gestor","DM Tributaria")</f>
        <v>-84500</v>
      </c>
      <c r="J57" s="17">
        <f>+I57/GETPIVOTDATA("Codificado 2020",$A$6,"Area","GENERALES","Sector Texto","ADMINISTRACION GENERAL","Des.Centro Gestor","DM Tributaria")</f>
        <v>-0.99411764705882355</v>
      </c>
    </row>
    <row r="58" spans="1:10" x14ac:dyDescent="0.2">
      <c r="A58" s="6" t="s">
        <v>4</v>
      </c>
      <c r="B58" s="7">
        <v>6650357.3899999997</v>
      </c>
      <c r="C58" s="7">
        <v>5591212.4099999992</v>
      </c>
      <c r="D58" s="7">
        <v>-1045610.39</v>
      </c>
      <c r="E58" s="7">
        <v>4544354.2799999993</v>
      </c>
      <c r="F58" s="13">
        <v>5336633.2799999993</v>
      </c>
      <c r="G58" s="13">
        <f>+F58-GETPIVOTDATA("Asignación inicial 2020",$A$6,"Area","GENERALES","Sector Texto","ADMINISTRACION GENERAL","Des.Centro Gestor","Registro de la Propiedad")</f>
        <v>-1313724.1100000003</v>
      </c>
      <c r="H58" s="17">
        <f>+G58/GETPIVOTDATA("Asignación inicial 2020",$A$6,"Area","GENERALES","Sector Texto","ADMINISTRACION GENERAL","Des.Centro Gestor","Registro de la Propiedad")</f>
        <v>-0.19754188127925565</v>
      </c>
      <c r="I58" s="13">
        <f>+F58-GETPIVOTDATA("Codificado 2020",$A$6,"Area","GENERALES","Sector Texto","ADMINISTRACION GENERAL","Des.Centro Gestor","Registro de la Propiedad")</f>
        <v>-254579.12999999989</v>
      </c>
      <c r="J58" s="17">
        <f>+I58/GETPIVOTDATA("Codificado 2020",$A$6,"Area","GENERALES","Sector Texto","ADMINISTRACION GENERAL","Des.Centro Gestor","Registro de la Propiedad")</f>
        <v>-4.5532008325185398E-2</v>
      </c>
    </row>
    <row r="59" spans="1:10" x14ac:dyDescent="0.2">
      <c r="A59" s="5" t="s">
        <v>91</v>
      </c>
      <c r="B59" s="7">
        <v>10733659.409999998</v>
      </c>
      <c r="C59" s="7">
        <v>10095093.780000003</v>
      </c>
      <c r="D59" s="7">
        <v>-638565.62999999989</v>
      </c>
      <c r="E59" s="7">
        <v>7362447.4500000039</v>
      </c>
      <c r="F59" s="14">
        <v>8541821.4900000002</v>
      </c>
      <c r="G59" s="14">
        <f>+F59-GETPIVOTDATA("Asignación inicial 2020",$A$6,"Area","GENERALES","Sector Texto","AGENCIA METROPOLITANA DE CONTROL")</f>
        <v>-2191837.9199999981</v>
      </c>
      <c r="H59" s="18">
        <f>+G59/GETPIVOTDATA("Asignación inicial 2020",$A$6,"Area","GENERALES","Sector Texto","AGENCIA METROPOLITANA DE CONTROL")</f>
        <v>-0.20420229823558361</v>
      </c>
      <c r="I59" s="14">
        <f>+F59-GETPIVOTDATA("Codificado 2020",$A$6,"Area","GENERALES","Sector Texto","AGENCIA METROPOLITANA DE CONTROL")</f>
        <v>-1553272.2900000028</v>
      </c>
      <c r="J59" s="18">
        <f>+I59/GETPIVOTDATA("Codificado 2020",$A$6,"Area","GENERALES","Sector Texto","AGENCIA METROPOLITANA DE CONTROL")</f>
        <v>-0.15386407732806642</v>
      </c>
    </row>
    <row r="60" spans="1:10" x14ac:dyDescent="0.2">
      <c r="A60" s="6" t="s">
        <v>93</v>
      </c>
      <c r="B60" s="7">
        <v>10733659.409999998</v>
      </c>
      <c r="C60" s="7">
        <v>10095093.780000003</v>
      </c>
      <c r="D60" s="7">
        <v>-638565.62999999989</v>
      </c>
      <c r="E60" s="7">
        <v>7362447.4500000039</v>
      </c>
      <c r="F60" s="13">
        <v>8541821.4900000002</v>
      </c>
      <c r="G60" s="13">
        <f>+F60-GETPIVOTDATA("Asignación inicial 2020",$A$6,"Area","GENERALES","Sector Texto","AGENCIA METROPOLITANA DE CONTROL","Des.Centro Gestor","Agencia Metropolitana de Control")</f>
        <v>-2191837.9199999981</v>
      </c>
      <c r="H60" s="17">
        <f>+G60/GETPIVOTDATA("Asignación inicial 2020",$A$6,"Area","GENERALES","Sector Texto","AGENCIA METROPOLITANA DE CONTROL","Des.Centro Gestor","Agencia Metropolitana de Control")</f>
        <v>-0.20420229823558361</v>
      </c>
      <c r="I60" s="13">
        <f>+F60-GETPIVOTDATA("Codificado 2020",$A$6,"Area","GENERALES","Sector Texto","AGENCIA METROPOLITANA DE CONTROL","Des.Centro Gestor","Agencia Metropolitana de Control")</f>
        <v>-1553272.2900000028</v>
      </c>
      <c r="J60" s="17">
        <f>+I60/GETPIVOTDATA("Codificado 2020",$A$6,"Area","GENERALES","Sector Texto","AGENCIA METROPOLITANA DE CONTROL","Des.Centro Gestor","Agencia Metropolitana de Control")</f>
        <v>-0.15386407732806642</v>
      </c>
    </row>
    <row r="61" spans="1:10" x14ac:dyDescent="0.2">
      <c r="A61" s="5" t="s">
        <v>99</v>
      </c>
      <c r="B61" s="7">
        <v>5801417.5999999996</v>
      </c>
      <c r="C61" s="7">
        <v>5468209.2999999998</v>
      </c>
      <c r="D61" s="7">
        <v>-334102.92</v>
      </c>
      <c r="E61" s="7">
        <v>3184473.3499999996</v>
      </c>
      <c r="F61" s="14">
        <v>4226096.66</v>
      </c>
      <c r="G61" s="14">
        <f>+F61-GETPIVOTDATA("Asignación inicial 2020",$A$6,"Area","GENERALES","Sector Texto","COMUNICACION")</f>
        <v>-1575320.9399999995</v>
      </c>
      <c r="H61" s="18">
        <f>+G61/GETPIVOTDATA("Asignación inicial 2020",$A$6,"Area","GENERALES","Sector Texto","COMUNICACION")</f>
        <v>-0.27154069033058398</v>
      </c>
      <c r="I61" s="14">
        <f>+F61-GETPIVOTDATA("Codificado 2020",$A$6,"Area","GENERALES","Sector Texto","COMUNICACION")</f>
        <v>-1242112.6399999997</v>
      </c>
      <c r="J61" s="18">
        <f>+I61/GETPIVOTDATA("Codificado 2020",$A$6,"Area","GENERALES","Sector Texto","COMUNICACION")</f>
        <v>-0.22715162713321885</v>
      </c>
    </row>
    <row r="62" spans="1:10" x14ac:dyDescent="0.2">
      <c r="A62" s="6" t="s">
        <v>101</v>
      </c>
      <c r="B62" s="7">
        <v>5801417.5999999996</v>
      </c>
      <c r="C62" s="7">
        <v>5468209.2999999998</v>
      </c>
      <c r="D62" s="7">
        <v>-334102.92</v>
      </c>
      <c r="E62" s="7">
        <v>3184473.3499999996</v>
      </c>
      <c r="F62" s="13">
        <v>4226096.66</v>
      </c>
      <c r="G62" s="13">
        <f>+F62-GETPIVOTDATA("Asignación inicial 2020",$A$6,"Area","GENERALES","Sector Texto","COMUNICACION","Des.Centro Gestor","Secretaría De Comunicación")</f>
        <v>-1575320.9399999995</v>
      </c>
      <c r="H62" s="17">
        <f>+G62/GETPIVOTDATA("Asignación inicial 2020",$A$6,"Area","GENERALES","Sector Texto","COMUNICACION","Des.Centro Gestor","Secretaría De Comunicación")</f>
        <v>-0.27154069033058398</v>
      </c>
      <c r="I62" s="13">
        <f>+F62-GETPIVOTDATA("Codificado 2020",$A$6,"Area","GENERALES","Sector Texto","COMUNICACION","Des.Centro Gestor","Secretaría De Comunicación")</f>
        <v>-1242112.6399999997</v>
      </c>
      <c r="J62" s="17">
        <f>+I62/GETPIVOTDATA("Codificado 2020",$A$6,"Area","GENERALES","Sector Texto","COMUNICACION","Des.Centro Gestor","Secretaría De Comunicación")</f>
        <v>-0.22715162713321885</v>
      </c>
    </row>
    <row r="63" spans="1:10" x14ac:dyDescent="0.2">
      <c r="A63" s="5" t="s">
        <v>16</v>
      </c>
      <c r="B63" s="7">
        <v>12373789.800000001</v>
      </c>
      <c r="C63" s="7">
        <v>11081231.569999998</v>
      </c>
      <c r="D63" s="7">
        <v>-1383799.3</v>
      </c>
      <c r="E63" s="7">
        <v>8765468.9299999997</v>
      </c>
      <c r="F63" s="14">
        <v>10164217.130000001</v>
      </c>
      <c r="G63" s="14">
        <f>+F63-GETPIVOTDATA("Asignación inicial 2020",$A$6,"Area","GENERALES","Sector Texto","COORDINACION DE ALCALDIA Y SECRETARIA DEL CONCEJO")</f>
        <v>-2209572.67</v>
      </c>
      <c r="H63" s="18">
        <f>+G63/GETPIVOTDATA("Asignación inicial 2020",$A$6,"Area","GENERALES","Sector Texto","COORDINACION DE ALCALDIA Y SECRETARIA DEL CONCEJO")</f>
        <v>-0.17856878981409557</v>
      </c>
      <c r="I63" s="14">
        <f>+F63-GETPIVOTDATA("Codificado 2020",$A$6,"Area","GENERALES","Sector Texto","COORDINACION DE ALCALDIA Y SECRETARIA DEL CONCEJO")</f>
        <v>-917014.43999999762</v>
      </c>
      <c r="J63" s="18">
        <f>+I63/GETPIVOTDATA("Codificado 2020",$A$6,"Area","GENERALES","Sector Texto","COORDINACION DE ALCALDIA Y SECRETARIA DEL CONCEJO")</f>
        <v>-8.275383780288581E-2</v>
      </c>
    </row>
    <row r="64" spans="1:10" x14ac:dyDescent="0.2">
      <c r="A64" s="6" t="s">
        <v>104</v>
      </c>
      <c r="B64" s="7">
        <v>4188423.17</v>
      </c>
      <c r="C64" s="7">
        <v>3851064</v>
      </c>
      <c r="D64" s="7">
        <v>-354043.28000000009</v>
      </c>
      <c r="E64" s="7">
        <v>2847132.1099999989</v>
      </c>
      <c r="F64" s="13">
        <v>4046478.91</v>
      </c>
      <c r="G64" s="13">
        <f>+F64-GETPIVOTDATA("Asignación inicial 2020",$A$6,"Area","GENERALES","Sector Texto","COORDINACION DE ALCALDIA Y SECRETARIA DEL CONCEJO","Des.Centro Gestor","Alcaldía Metropolitana")</f>
        <v>-141944.25999999978</v>
      </c>
      <c r="H64" s="17">
        <f>+G64/GETPIVOTDATA("Asignación inicial 2020",$A$6,"Area","GENERALES","Sector Texto","COORDINACION DE ALCALDIA Y SECRETARIA DEL CONCEJO","Des.Centro Gestor","Alcaldía Metropolitana")</f>
        <v>-3.3889665451354044E-2</v>
      </c>
      <c r="I64" s="13">
        <f>+F64-GETPIVOTDATA("Codificado 2020",$A$6,"Area","GENERALES","Sector Texto","COORDINACION DE ALCALDIA Y SECRETARIA DEL CONCEJO","Des.Centro Gestor","Alcaldía Metropolitana")</f>
        <v>195414.91000000015</v>
      </c>
      <c r="J64" s="17">
        <f>+I64/GETPIVOTDATA("Codificado 2020",$A$6,"Area","GENERALES","Sector Texto","COORDINACION DE ALCALDIA Y SECRETARIA DEL CONCEJO","Des.Centro Gestor","Alcaldía Metropolitana")</f>
        <v>5.0743095934006846E-2</v>
      </c>
    </row>
    <row r="65" spans="1:10" x14ac:dyDescent="0.2">
      <c r="A65" s="6" t="s">
        <v>18</v>
      </c>
      <c r="B65" s="7">
        <v>5515967.080000001</v>
      </c>
      <c r="C65" s="7">
        <v>5203294.6899999995</v>
      </c>
      <c r="D65" s="7">
        <v>-313684.34999999998</v>
      </c>
      <c r="E65" s="7">
        <v>4289347.24</v>
      </c>
      <c r="F65" s="13">
        <v>4624015.83</v>
      </c>
      <c r="G65" s="13">
        <f>+F65-GETPIVOTDATA("Asignación inicial 2020",$A$6,"Area","GENERALES","Sector Texto","COORDINACION DE ALCALDIA Y SECRETARIA DEL CONCEJO","Des.Centro Gestor","Concejo Metropolitano")</f>
        <v>-891951.25000000093</v>
      </c>
      <c r="H65" s="17">
        <f>+G65/GETPIVOTDATA("Asignación inicial 2020",$A$6,"Area","GENERALES","Sector Texto","COORDINACION DE ALCALDIA Y SECRETARIA DEL CONCEJO","Des.Centro Gestor","Concejo Metropolitano")</f>
        <v>-0.16170351219717591</v>
      </c>
      <c r="I65" s="13">
        <f>+F65-GETPIVOTDATA("Codificado 2020",$A$6,"Area","GENERALES","Sector Texto","COORDINACION DE ALCALDIA Y SECRETARIA DEL CONCEJO","Des.Centro Gestor","Concejo Metropolitano")</f>
        <v>-579278.8599999994</v>
      </c>
      <c r="J65" s="17">
        <f>+I65/GETPIVOTDATA("Codificado 2020",$A$6,"Area","GENERALES","Sector Texto","COORDINACION DE ALCALDIA Y SECRETARIA DEL CONCEJO","Des.Centro Gestor","Concejo Metropolitano")</f>
        <v>-0.11132924320302133</v>
      </c>
    </row>
    <row r="66" spans="1:10" x14ac:dyDescent="0.2">
      <c r="A66" s="6" t="s">
        <v>63</v>
      </c>
      <c r="B66" s="7">
        <v>553692.25</v>
      </c>
      <c r="C66" s="7">
        <v>363557.82</v>
      </c>
      <c r="D66" s="7">
        <v>-229779.43</v>
      </c>
      <c r="E66" s="7">
        <v>217955.25999999995</v>
      </c>
      <c r="F66" s="13">
        <v>323667.14</v>
      </c>
      <c r="G66" s="13">
        <f>+F66-GETPIVOTDATA("Asignación inicial 2020",$A$6,"Area","GENERALES","Sector Texto","COORDINACION DE ALCALDIA Y SECRETARIA DEL CONCEJO","Des.Centro Gestor","DM Relaciones Internacionales")</f>
        <v>-230025.11</v>
      </c>
      <c r="H66" s="17">
        <f>+G66/GETPIVOTDATA("Asignación inicial 2020",$A$6,"Area","GENERALES","Sector Texto","COORDINACION DE ALCALDIA Y SECRETARIA DEL CONCEJO","Des.Centro Gestor","DM Relaciones Internacionales")</f>
        <v>-0.41543855815211428</v>
      </c>
      <c r="I66" s="13">
        <f>+F66-GETPIVOTDATA("Codificado 2020",$A$6,"Area","GENERALES","Sector Texto","COORDINACION DE ALCALDIA Y SECRETARIA DEL CONCEJO","Des.Centro Gestor","DM Relaciones Internacionales")</f>
        <v>-39890.679999999993</v>
      </c>
      <c r="J66" s="17">
        <f>+I66/GETPIVOTDATA("Codificado 2020",$A$6,"Area","GENERALES","Sector Texto","COORDINACION DE ALCALDIA Y SECRETARIA DEL CONCEJO","Des.Centro Gestor","DM Relaciones Internacionales")</f>
        <v>-0.10972306963442567</v>
      </c>
    </row>
    <row r="67" spans="1:10" x14ac:dyDescent="0.2">
      <c r="A67" s="6" t="s">
        <v>65</v>
      </c>
      <c r="B67" s="7">
        <v>697456.57</v>
      </c>
      <c r="C67" s="7">
        <v>424628.10999999993</v>
      </c>
      <c r="D67" s="7">
        <v>-306728.45999999996</v>
      </c>
      <c r="E67" s="7">
        <v>353034.56</v>
      </c>
      <c r="F67" s="13">
        <v>366055.25</v>
      </c>
      <c r="G67" s="13">
        <f>+F67-GETPIVOTDATA("Asignación inicial 2020",$A$6,"Area","GENERALES","Sector Texto","COORDINACION DE ALCALDIA Y SECRETARIA DEL CONCEJO","Des.Centro Gestor","IMPU")</f>
        <v>-331401.31999999995</v>
      </c>
      <c r="H67" s="17">
        <f>+G67/GETPIVOTDATA("Asignación inicial 2020",$A$6,"Area","GENERALES","Sector Texto","COORDINACION DE ALCALDIA Y SECRETARIA DEL CONCEJO","Des.Centro Gestor","IMPU")</f>
        <v>-0.4751569262585052</v>
      </c>
      <c r="I67" s="13">
        <f>+F67-GETPIVOTDATA("Codificado 2020",$A$6,"Area","GENERALES","Sector Texto","COORDINACION DE ALCALDIA Y SECRETARIA DEL CONCEJO","Des.Centro Gestor","IMPU")</f>
        <v>-58572.859999999928</v>
      </c>
      <c r="J67" s="17">
        <f>+I67/GETPIVOTDATA("Codificado 2020",$A$6,"Area","GENERALES","Sector Texto","COORDINACION DE ALCALDIA Y SECRETARIA DEL CONCEJO","Des.Centro Gestor","IMPU")</f>
        <v>-0.13793919578239872</v>
      </c>
    </row>
    <row r="68" spans="1:10" x14ac:dyDescent="0.2">
      <c r="A68" s="6" t="s">
        <v>798</v>
      </c>
      <c r="B68" s="7">
        <v>5000</v>
      </c>
      <c r="C68" s="7">
        <v>5000</v>
      </c>
      <c r="D68" s="7">
        <v>0</v>
      </c>
      <c r="E68" s="7">
        <v>0</v>
      </c>
      <c r="F68" s="13">
        <v>4000</v>
      </c>
      <c r="G68" s="13">
        <f>+F68-GETPIVOTDATA("Asignación inicial 2020",$A$6,"Area","GENERALES","Sector Texto","COORDINACION DE ALCALDIA Y SECRETARIA DEL CONCEJO","Des.Centro Gestor","Procuraduría Metropolitana")</f>
        <v>-1000</v>
      </c>
      <c r="H68" s="17">
        <f>+G68/GETPIVOTDATA("Asignación inicial 2020",$A$6,"Area","GENERALES","Sector Texto","COORDINACION DE ALCALDIA Y SECRETARIA DEL CONCEJO","Des.Centro Gestor","Procuraduría Metropolitana")</f>
        <v>-0.2</v>
      </c>
      <c r="I68" s="13">
        <f>+F68-GETPIVOTDATA("Codificado 2020",$A$6,"Area","GENERALES","Sector Texto","COORDINACION DE ALCALDIA Y SECRETARIA DEL CONCEJO","Des.Centro Gestor","Procuraduría Metropolitana")</f>
        <v>-1000</v>
      </c>
      <c r="J68" s="17">
        <f>+I68/GETPIVOTDATA("Codificado 2020",$A$6,"Area","GENERALES","Sector Texto","COORDINACION DE ALCALDIA Y SECRETARIA DEL CONCEJO","Des.Centro Gestor","Procuraduría Metropolitana")</f>
        <v>-0.2</v>
      </c>
    </row>
    <row r="69" spans="1:10" x14ac:dyDescent="0.2">
      <c r="A69" s="6" t="s">
        <v>819</v>
      </c>
      <c r="B69" s="7">
        <v>1413250.73</v>
      </c>
      <c r="C69" s="7">
        <v>1233686.95</v>
      </c>
      <c r="D69" s="7">
        <v>-179563.78</v>
      </c>
      <c r="E69" s="7">
        <v>1057999.76</v>
      </c>
      <c r="F69" s="13">
        <v>800000</v>
      </c>
      <c r="G69" s="13">
        <f>+F69-GETPIVOTDATA("Asignación inicial 2020",$A$6,"Area","GENERALES","Sector Texto","COORDINACION DE ALCALDIA Y SECRETARIA DEL CONCEJO","Des.Centro Gestor","QUITO HONESTO")</f>
        <v>-613250.73</v>
      </c>
      <c r="H69" s="17">
        <f>+G69/GETPIVOTDATA("Asignación inicial 2020",$A$6,"Area","GENERALES","Sector Texto","COORDINACION DE ALCALDIA Y SECRETARIA DEL CONCEJO","Des.Centro Gestor","QUITO HONESTO")</f>
        <v>-0.43392917971462858</v>
      </c>
      <c r="I69" s="13">
        <f>+F69-GETPIVOTDATA("Codificado 2020",$A$6,"Area","GENERALES","Sector Texto","COORDINACION DE ALCALDIA Y SECRETARIA DEL CONCEJO","Des.Centro Gestor","QUITO HONESTO")</f>
        <v>-433686.94999999995</v>
      </c>
      <c r="J69" s="17">
        <f>+I69/GETPIVOTDATA("Codificado 2020",$A$6,"Area","GENERALES","Sector Texto","COORDINACION DE ALCALDIA Y SECRETARIA DEL CONCEJO","Des.Centro Gestor","QUITO HONESTO")</f>
        <v>-0.3515372761298966</v>
      </c>
    </row>
    <row r="70" spans="1:10" x14ac:dyDescent="0.2">
      <c r="A70" s="5" t="s">
        <v>44</v>
      </c>
      <c r="B70" s="7">
        <v>1812044.7</v>
      </c>
      <c r="C70" s="7">
        <v>1462925.1700000004</v>
      </c>
      <c r="D70" s="7">
        <v>-515070.80000000005</v>
      </c>
      <c r="E70" s="7">
        <v>1048088.5699999998</v>
      </c>
      <c r="F70" s="14">
        <v>1421304.1799999997</v>
      </c>
      <c r="G70" s="14">
        <f>+F70-GETPIVOTDATA("Asignación inicial 2020",$A$6,"Area","GENERALES","Sector Texto","PLANIFICACION")</f>
        <v>-390740.52000000025</v>
      </c>
      <c r="H70" s="18">
        <f>+G70/GETPIVOTDATA("Asignación inicial 2020",$A$6,"Area","GENERALES","Sector Texto","PLANIFICACION")</f>
        <v>-0.21563514409992218</v>
      </c>
      <c r="I70" s="14">
        <f>+F70-GETPIVOTDATA("Codificado 2020",$A$6,"Area","GENERALES","Sector Texto","PLANIFICACION")</f>
        <v>-41620.990000000689</v>
      </c>
      <c r="J70" s="18">
        <f>+I70/GETPIVOTDATA("Codificado 2020",$A$6,"Area","GENERALES","Sector Texto","PLANIFICACION")</f>
        <v>-2.8450525600021412E-2</v>
      </c>
    </row>
    <row r="71" spans="1:10" x14ac:dyDescent="0.2">
      <c r="A71" s="6" t="s">
        <v>1837</v>
      </c>
      <c r="B71" s="7">
        <v>300000</v>
      </c>
      <c r="C71" s="7">
        <v>180000</v>
      </c>
      <c r="D71" s="7">
        <v>-120000</v>
      </c>
      <c r="E71" s="7">
        <v>0</v>
      </c>
      <c r="F71" s="13">
        <v>180000</v>
      </c>
      <c r="G71" s="13">
        <f>+F71-GETPIVOTDATA("Asignación inicial 2020",$A$6,"Area","GENERALES","Sector Texto","PLANIFICACION","Des.Centro Gestor","INSTITUTO DE LA CIUDAD")</f>
        <v>-120000</v>
      </c>
      <c r="H71" s="17">
        <f>+G71/GETPIVOTDATA("Asignación inicial 2020",$A$6,"Area","GENERALES","Sector Texto","PLANIFICACION","Des.Centro Gestor","INSTITUTO DE LA CIUDAD")</f>
        <v>-0.4</v>
      </c>
      <c r="I71" s="13">
        <f>+F71-GETPIVOTDATA("Codificado 2020",$A$6,"Area","GENERALES","Sector Texto","PLANIFICACION","Des.Centro Gestor","INSTITUTO DE LA CIUDAD")</f>
        <v>0</v>
      </c>
      <c r="J71" s="17">
        <f>+I71/GETPIVOTDATA("Codificado 2020",$A$6,"Area","GENERALES","Sector Texto","PLANIFICACION","Des.Centro Gestor","INSTITUTO DE LA CIUDAD")</f>
        <v>0</v>
      </c>
    </row>
    <row r="72" spans="1:10" x14ac:dyDescent="0.2">
      <c r="A72" s="6" t="s">
        <v>1482</v>
      </c>
      <c r="B72" s="7">
        <v>210528.03</v>
      </c>
      <c r="C72" s="7">
        <v>4050</v>
      </c>
      <c r="D72" s="7">
        <v>-206478.03</v>
      </c>
      <c r="E72" s="7">
        <v>4050</v>
      </c>
      <c r="F72" s="13">
        <v>0</v>
      </c>
      <c r="G72" s="13">
        <f>+F72-GETPIVOTDATA("Asignación inicial 2020",$A$6,"Area","GENERALES","Sector Texto","PLANIFICACION","Des.Centro Gestor","Instituto Metropolitano de Capacitación")</f>
        <v>-210528.03</v>
      </c>
      <c r="H72" s="17">
        <f>+G72/GETPIVOTDATA("Asignación inicial 2020",$A$6,"Area","GENERALES","Sector Texto","PLANIFICACION","Des.Centro Gestor","Instituto Metropolitano de Capacitación")</f>
        <v>-1</v>
      </c>
      <c r="I72" s="13">
        <f>+F72-GETPIVOTDATA("Codificado 2020",$A$6,"Area","GENERALES","Sector Texto","PLANIFICACION","Des.Centro Gestor","Instituto Metropolitano de Capacitación")</f>
        <v>-4050</v>
      </c>
      <c r="J72" s="17">
        <f>+I72/GETPIVOTDATA("Codificado 2020",$A$6,"Area","GENERALES","Sector Texto","PLANIFICACION","Des.Centro Gestor","Instituto Metropolitano de Capacitación")</f>
        <v>-1</v>
      </c>
    </row>
    <row r="73" spans="1:10" x14ac:dyDescent="0.2">
      <c r="A73" s="6" t="s">
        <v>46</v>
      </c>
      <c r="B73" s="7">
        <v>1301516.67</v>
      </c>
      <c r="C73" s="7">
        <v>1278875.1700000004</v>
      </c>
      <c r="D73" s="7">
        <v>-188592.77000000002</v>
      </c>
      <c r="E73" s="7">
        <v>1044038.5699999998</v>
      </c>
      <c r="F73" s="13">
        <v>1241304.1799999997</v>
      </c>
      <c r="G73" s="13">
        <f>+F73-GETPIVOTDATA("Asignación inicial 2020",$A$6,"Area","GENERALES","Sector Texto","PLANIFICACION","Des.Centro Gestor","Secretaría General de Planificación")</f>
        <v>-60212.490000000224</v>
      </c>
      <c r="H73" s="17">
        <f>+G73/GETPIVOTDATA("Asignación inicial 2020",$A$6,"Area","GENERALES","Sector Texto","PLANIFICACION","Des.Centro Gestor","Secretaría General de Planificación")</f>
        <v>-4.6263326001041716E-2</v>
      </c>
      <c r="I73" s="13">
        <f>+F73-GETPIVOTDATA("Codificado 2020",$A$6,"Area","GENERALES","Sector Texto","PLANIFICACION","Des.Centro Gestor","Secretaría General de Planificación")</f>
        <v>-37570.990000000689</v>
      </c>
      <c r="J73" s="17">
        <f>+I73/GETPIVOTDATA("Codificado 2020",$A$6,"Area","GENERALES","Sector Texto","PLANIFICACION","Des.Centro Gestor","Secretaría General de Planificación")</f>
        <v>-2.9378152677716526E-2</v>
      </c>
    </row>
    <row r="74" spans="1:10" x14ac:dyDescent="0.2">
      <c r="A74" s="4" t="s">
        <v>31</v>
      </c>
      <c r="B74" s="7">
        <v>142691802.46000001</v>
      </c>
      <c r="C74" s="7">
        <v>103393738.03999999</v>
      </c>
      <c r="D74" s="7">
        <v>-39598029.699999996</v>
      </c>
      <c r="E74" s="7">
        <v>66030235.61999999</v>
      </c>
      <c r="F74" s="10">
        <v>94526077.770000011</v>
      </c>
      <c r="G74" s="10">
        <f>+F74-GETPIVOTDATA("Asignación inicial 2020",$A$6,"Area","SOCIALES")</f>
        <v>-48165724.689999998</v>
      </c>
      <c r="H74" s="19">
        <f>+G74/GETPIVOTDATA("Asignación inicial 2020",$A$6,"Area","SOCIALES")</f>
        <v>-0.33755074825340459</v>
      </c>
      <c r="I74" s="10">
        <f>+F74-GETPIVOTDATA("Codificado 2020",$A$6,"Area","SOCIALES")</f>
        <v>-8867660.2699999809</v>
      </c>
      <c r="J74" s="19">
        <f>+I74/GETPIVOTDATA("Codificado 2020",$A$6,"Area","SOCIALES")</f>
        <v>-8.5765931652160066E-2</v>
      </c>
    </row>
    <row r="75" spans="1:10" x14ac:dyDescent="0.2">
      <c r="A75" s="5" t="s">
        <v>107</v>
      </c>
      <c r="B75" s="7">
        <v>21130469.130000003</v>
      </c>
      <c r="C75" s="7">
        <v>14952911.960000001</v>
      </c>
      <c r="D75" s="7">
        <v>-3197020.7800000003</v>
      </c>
      <c r="E75" s="7">
        <v>10795901.460000001</v>
      </c>
      <c r="F75" s="14">
        <v>11624778.99</v>
      </c>
      <c r="G75" s="14">
        <f>+F75-GETPIVOTDATA("Asignación inicial 2020",$A$6,"Area","SOCIALES","Sector Texto","CULTURA")</f>
        <v>-9505690.1400000025</v>
      </c>
      <c r="H75" s="18">
        <f>+G75/GETPIVOTDATA("Asignación inicial 2020",$A$6,"Area","SOCIALES","Sector Texto","CULTURA")</f>
        <v>-0.44985703258733095</v>
      </c>
      <c r="I75" s="14">
        <f>+F75-GETPIVOTDATA("Codificado 2020",$A$6,"Area","SOCIALES","Sector Texto","CULTURA")</f>
        <v>-3328132.9700000007</v>
      </c>
      <c r="J75" s="18">
        <f>+I75/GETPIVOTDATA("Codificado 2020",$A$6,"Area","SOCIALES","Sector Texto","CULTURA")</f>
        <v>-0.22257423697156581</v>
      </c>
    </row>
    <row r="76" spans="1:10" x14ac:dyDescent="0.2">
      <c r="A76" s="6" t="s">
        <v>1165</v>
      </c>
      <c r="B76" s="7">
        <v>130000</v>
      </c>
      <c r="C76" s="7">
        <v>0</v>
      </c>
      <c r="D76" s="7">
        <v>-120000</v>
      </c>
      <c r="E76" s="7">
        <v>0</v>
      </c>
      <c r="F76" s="13">
        <v>0</v>
      </c>
      <c r="G76" s="13">
        <f>+F76-GETPIVOTDATA("Asignación inicial 2020",$A$6,"Area","SOCIALES","Sector Texto","CULTURA","Des.Centro Gestor","Centro Cultural Benjamín Carrión")</f>
        <v>-130000</v>
      </c>
      <c r="H76" s="17">
        <f>+G76/GETPIVOTDATA("Asignación inicial 2020",$A$6,"Area","SOCIALES","Sector Texto","CULTURA","Des.Centro Gestor","Centro Cultural Benjamín Carrión")</f>
        <v>-1</v>
      </c>
      <c r="I76" s="13">
        <f>+F76-GETPIVOTDATA("Codificado 2020",$A$6,"Area","SOCIALES","Sector Texto","CULTURA","Des.Centro Gestor","Centro Cultural Benjamín Carrión")</f>
        <v>0</v>
      </c>
      <c r="J76" s="17" t="e">
        <f>+I76/GETPIVOTDATA("Codificado 2020",$A$6,"Area","SOCIALES","Sector Texto","CULTURA","Des.Centro Gestor","Centro Cultural Benjamín Carrión")</f>
        <v>#DIV/0!</v>
      </c>
    </row>
    <row r="77" spans="1:10" x14ac:dyDescent="0.2">
      <c r="A77" s="6" t="s">
        <v>1169</v>
      </c>
      <c r="B77" s="7">
        <v>430000</v>
      </c>
      <c r="C77" s="7">
        <v>8580</v>
      </c>
      <c r="D77" s="7">
        <v>-330920</v>
      </c>
      <c r="E77" s="7">
        <v>3500</v>
      </c>
      <c r="F77" s="13">
        <v>0</v>
      </c>
      <c r="G77" s="13">
        <f>+F77-GETPIVOTDATA("Asignación inicial 2020",$A$6,"Area","SOCIALES","Sector Texto","CULTURA","Des.Centro Gestor","Centro Cultural Metropolitano")</f>
        <v>-430000</v>
      </c>
      <c r="H77" s="17">
        <f>+G77/GETPIVOTDATA("Asignación inicial 2020",$A$6,"Area","SOCIALES","Sector Texto","CULTURA","Des.Centro Gestor","Centro Cultural Metropolitano")</f>
        <v>-1</v>
      </c>
      <c r="I77" s="13">
        <f>+F77-GETPIVOTDATA("Codificado 2020",$A$6,"Area","SOCIALES","Sector Texto","CULTURA","Des.Centro Gestor","Centro Cultural Metropolitano")</f>
        <v>-8580</v>
      </c>
      <c r="J77" s="17">
        <f>+I77/GETPIVOTDATA("Codificado 2020",$A$6,"Area","SOCIALES","Sector Texto","CULTURA","Des.Centro Gestor","Centro Cultural Metropolitano")</f>
        <v>-1</v>
      </c>
    </row>
    <row r="78" spans="1:10" x14ac:dyDescent="0.2">
      <c r="A78" s="6" t="s">
        <v>1797</v>
      </c>
      <c r="B78" s="7">
        <v>5839596</v>
      </c>
      <c r="C78" s="7">
        <v>4539596</v>
      </c>
      <c r="D78" s="7">
        <v>-1300000</v>
      </c>
      <c r="E78" s="7">
        <v>3219798</v>
      </c>
      <c r="F78" s="13">
        <v>2600000</v>
      </c>
      <c r="G78" s="13">
        <f>+F78-GETPIVOTDATA("Asignación inicial 2020",$A$6,"Area","SOCIALES","Sector Texto","CULTURA","Des.Centro Gestor","FUNDACION MUSEOS DE LA CIUDAD")</f>
        <v>-3239596</v>
      </c>
      <c r="H78" s="17">
        <f>+G78/GETPIVOTDATA("Asignación inicial 2020",$A$6,"Area","SOCIALES","Sector Texto","CULTURA","Des.Centro Gestor","FUNDACION MUSEOS DE LA CIUDAD")</f>
        <v>-0.55476371995596951</v>
      </c>
      <c r="I78" s="13">
        <f>+F78-GETPIVOTDATA("Codificado 2020",$A$6,"Area","SOCIALES","Sector Texto","CULTURA","Des.Centro Gestor","FUNDACION MUSEOS DE LA CIUDAD")</f>
        <v>-1939596</v>
      </c>
      <c r="J78" s="17">
        <f>+I78/GETPIVOTDATA("Codificado 2020",$A$6,"Area","SOCIALES","Sector Texto","CULTURA","Des.Centro Gestor","FUNDACION MUSEOS DE LA CIUDAD")</f>
        <v>-0.42726180920064255</v>
      </c>
    </row>
    <row r="79" spans="1:10" x14ac:dyDescent="0.2">
      <c r="A79" s="6" t="s">
        <v>1803</v>
      </c>
      <c r="B79" s="7">
        <v>4035016.69</v>
      </c>
      <c r="C79" s="7">
        <v>3735016.69</v>
      </c>
      <c r="D79" s="7">
        <v>-300000</v>
      </c>
      <c r="E79" s="7">
        <v>2610533.36</v>
      </c>
      <c r="F79" s="13">
        <v>2400000</v>
      </c>
      <c r="G79" s="13">
        <f>+F79-GETPIVOTDATA("Asignación inicial 2020",$A$6,"Area","SOCIALES","Sector Texto","CULTURA","Des.Centro Gestor","FUNDACION TEATRO NACIONAL SUCRE")</f>
        <v>-1635016.69</v>
      </c>
      <c r="H79" s="17">
        <f>+G79/GETPIVOTDATA("Asignación inicial 2020",$A$6,"Area","SOCIALES","Sector Texto","CULTURA","Des.Centro Gestor","FUNDACION TEATRO NACIONAL SUCRE")</f>
        <v>-0.4052069212135031</v>
      </c>
      <c r="I79" s="13">
        <f>+F79-GETPIVOTDATA("Codificado 2020",$A$6,"Area","SOCIALES","Sector Texto","CULTURA","Des.Centro Gestor","FUNDACION TEATRO NACIONAL SUCRE")</f>
        <v>-1335016.69</v>
      </c>
      <c r="J79" s="17">
        <f>+I79/GETPIVOTDATA("Codificado 2020",$A$6,"Area","SOCIALES","Sector Texto","CULTURA","Des.Centro Gestor","FUNDACION TEATRO NACIONAL SUCRE")</f>
        <v>-0.35743259021420865</v>
      </c>
    </row>
    <row r="80" spans="1:10" x14ac:dyDescent="0.2">
      <c r="A80" s="6" t="s">
        <v>109</v>
      </c>
      <c r="B80" s="7">
        <v>10695856.440000001</v>
      </c>
      <c r="C80" s="7">
        <v>6669719.2700000014</v>
      </c>
      <c r="D80" s="7">
        <v>-1146100.7800000003</v>
      </c>
      <c r="E80" s="7">
        <v>4962070.1000000006</v>
      </c>
      <c r="F80" s="13">
        <v>6624778.9900000002</v>
      </c>
      <c r="G80" s="13">
        <f>+F80-GETPIVOTDATA("Asignación inicial 2020",$A$6,"Area","SOCIALES","Sector Texto","CULTURA","Des.Centro Gestor","Secretaría De Cultura")</f>
        <v>-4071077.4500000011</v>
      </c>
      <c r="H80" s="17">
        <f>+G80/GETPIVOTDATA("Asignación inicial 2020",$A$6,"Area","SOCIALES","Sector Texto","CULTURA","Des.Centro Gestor","Secretaría De Cultura")</f>
        <v>-0.38062192334361589</v>
      </c>
      <c r="I80" s="13">
        <f>+F80-GETPIVOTDATA("Codificado 2020",$A$6,"Area","SOCIALES","Sector Texto","CULTURA","Des.Centro Gestor","Secretaría De Cultura")</f>
        <v>-44940.280000001192</v>
      </c>
      <c r="J80" s="17">
        <f>+I80/GETPIVOTDATA("Codificado 2020",$A$6,"Area","SOCIALES","Sector Texto","CULTURA","Des.Centro Gestor","Secretaría De Cultura")</f>
        <v>-6.737956753613287E-3</v>
      </c>
    </row>
    <row r="81" spans="1:10" x14ac:dyDescent="0.2">
      <c r="A81" s="5" t="s">
        <v>79</v>
      </c>
      <c r="B81" s="7">
        <v>60260922.370000005</v>
      </c>
      <c r="C81" s="7">
        <v>31076055.75</v>
      </c>
      <c r="D81" s="7">
        <v>-19284787.98</v>
      </c>
      <c r="E81" s="7">
        <v>20062185.789999999</v>
      </c>
      <c r="F81" s="14">
        <v>35867256.820000008</v>
      </c>
      <c r="G81" s="14">
        <f>+F81-GETPIVOTDATA("Asignación inicial 2020",$A$6,"Area","SOCIALES","Sector Texto","EDUCACION, RECREACION Y DEPORTE")</f>
        <v>-24393665.549999997</v>
      </c>
      <c r="H81" s="18">
        <f>+G81/GETPIVOTDATA("Asignación inicial 2020",$A$6,"Area","SOCIALES","Sector Texto","EDUCACION, RECREACION Y DEPORTE")</f>
        <v>-0.4048007330558886</v>
      </c>
      <c r="I81" s="14">
        <f>+F81-GETPIVOTDATA("Codificado 2020",$A$6,"Area","SOCIALES","Sector Texto","EDUCACION, RECREACION Y DEPORTE")</f>
        <v>4791201.0700000077</v>
      </c>
      <c r="J81" s="18">
        <f>+I81/GETPIVOTDATA("Codificado 2020",$A$6,"Area","SOCIALES","Sector Texto","EDUCACION, RECREACION Y DEPORTE")</f>
        <v>0.15417661457889512</v>
      </c>
    </row>
    <row r="82" spans="1:10" x14ac:dyDescent="0.2">
      <c r="A82" s="6" t="s">
        <v>81</v>
      </c>
      <c r="B82" s="7">
        <v>2173382.06</v>
      </c>
      <c r="C82" s="7">
        <v>1955828.6599999997</v>
      </c>
      <c r="D82" s="7">
        <v>-231529.36</v>
      </c>
      <c r="E82" s="7">
        <v>1461203.6599999997</v>
      </c>
      <c r="F82" s="13">
        <v>1887367.0000000002</v>
      </c>
      <c r="G82" s="13">
        <f>+F82-GETPIVOTDATA("Asignación inicial 2020",$A$6,"Area","SOCIALES","Sector Texto","EDUCACION, RECREACION Y DEPORTE","Des.Centro Gestor","COLEGIO BENALCAZAR")</f>
        <v>-286015.05999999982</v>
      </c>
      <c r="H82" s="17">
        <f>+G82/GETPIVOTDATA("Asignación inicial 2020",$A$6,"Area","SOCIALES","Sector Texto","EDUCACION, RECREACION Y DEPORTE","Des.Centro Gestor","COLEGIO BENALCAZAR")</f>
        <v>-0.13159907098892673</v>
      </c>
      <c r="I82" s="13">
        <f>+F82-GETPIVOTDATA("Codificado 2020",$A$6,"Area","SOCIALES","Sector Texto","EDUCACION, RECREACION Y DEPORTE","Des.Centro Gestor","COLEGIO BENALCAZAR")</f>
        <v>-68461.659999999451</v>
      </c>
      <c r="J82" s="17">
        <f>+I82/GETPIVOTDATA("Codificado 2020",$A$6,"Area","SOCIALES","Sector Texto","EDUCACION, RECREACION Y DEPORTE","Des.Centro Gestor","COLEGIO BENALCAZAR")</f>
        <v>-3.5003914913487082E-2</v>
      </c>
    </row>
    <row r="83" spans="1:10" x14ac:dyDescent="0.2">
      <c r="A83" s="6" t="s">
        <v>134</v>
      </c>
      <c r="B83" s="7">
        <v>2030703.67</v>
      </c>
      <c r="C83" s="7">
        <v>1965725.83</v>
      </c>
      <c r="D83" s="7">
        <v>-65809.429999999993</v>
      </c>
      <c r="E83" s="7">
        <v>1535346.6499999997</v>
      </c>
      <c r="F83" s="13">
        <v>1960321.6199999999</v>
      </c>
      <c r="G83" s="13">
        <f>+F83-GETPIVOTDATA("Asignación inicial 2020",$A$6,"Area","SOCIALES","Sector Texto","EDUCACION, RECREACION Y DEPORTE","Des.Centro Gestor","Colegio Fernández Madrid")</f>
        <v>-70382.050000000047</v>
      </c>
      <c r="H83" s="17">
        <f>+G83/GETPIVOTDATA("Asignación inicial 2020",$A$6,"Area","SOCIALES","Sector Texto","EDUCACION, RECREACION Y DEPORTE","Des.Centro Gestor","Colegio Fernández Madrid")</f>
        <v>-3.4658946570968699E-2</v>
      </c>
      <c r="I83" s="13">
        <f>+F83-GETPIVOTDATA("Codificado 2020",$A$6,"Area","SOCIALES","Sector Texto","EDUCACION, RECREACION Y DEPORTE","Des.Centro Gestor","Colegio Fernández Madrid")</f>
        <v>-5404.2100000001956</v>
      </c>
      <c r="J83" s="17">
        <f>+I83/GETPIVOTDATA("Codificado 2020",$A$6,"Area","SOCIALES","Sector Texto","EDUCACION, RECREACION Y DEPORTE","Des.Centro Gestor","Colegio Fernández Madrid")</f>
        <v>-2.749218592706896E-3</v>
      </c>
    </row>
    <row r="84" spans="1:10" x14ac:dyDescent="0.2">
      <c r="A84" s="6" t="s">
        <v>84</v>
      </c>
      <c r="B84" s="7">
        <v>40895850.490000002</v>
      </c>
      <c r="C84" s="7">
        <v>13119332.180000002</v>
      </c>
      <c r="D84" s="7">
        <v>-17792595.969999999</v>
      </c>
      <c r="E84" s="7">
        <v>6042119.0099999988</v>
      </c>
      <c r="F84" s="13">
        <v>17898253.030000001</v>
      </c>
      <c r="G84" s="13">
        <f>+F84-GETPIVOTDATA("Asignación inicial 2020",$A$6,"Area","SOCIALES","Sector Texto","EDUCACION, RECREACION Y DEPORTE","Des.Centro Gestor","Secretaría Educación, Recreación Deporte")</f>
        <v>-22997597.460000001</v>
      </c>
      <c r="H84" s="17">
        <f>+G84/GETPIVOTDATA("Asignación inicial 2020",$A$6,"Area","SOCIALES","Sector Texto","EDUCACION, RECREACION Y DEPORTE","Des.Centro Gestor","Secretaría Educación, Recreación Deporte")</f>
        <v>-0.56234549922426613</v>
      </c>
      <c r="I84" s="13">
        <f>+F84-GETPIVOTDATA("Codificado 2020",$A$6,"Area","SOCIALES","Sector Texto","EDUCACION, RECREACION Y DEPORTE","Des.Centro Gestor","Secretaría Educación, Recreación Deporte")</f>
        <v>4778920.8499999996</v>
      </c>
      <c r="J84" s="17">
        <f>+I84/GETPIVOTDATA("Codificado 2020",$A$6,"Area","SOCIALES","Sector Texto","EDUCACION, RECREACION Y DEPORTE","Des.Centro Gestor","Secretaría Educación, Recreación Deporte")</f>
        <v>0.3642655574561417</v>
      </c>
    </row>
    <row r="85" spans="1:10" x14ac:dyDescent="0.2">
      <c r="A85" s="6" t="s">
        <v>132</v>
      </c>
      <c r="B85" s="7">
        <v>2936802.2500000005</v>
      </c>
      <c r="C85" s="7">
        <v>2846074.46</v>
      </c>
      <c r="D85" s="7">
        <v>-105207.58000000003</v>
      </c>
      <c r="E85" s="7">
        <v>2267616.02</v>
      </c>
      <c r="F85" s="13">
        <v>2866425.6</v>
      </c>
      <c r="G85" s="13">
        <f>+F85-GETPIVOTDATA("Asignación inicial 2020",$A$6,"Area","SOCIALES","Sector Texto","EDUCACION, RECREACION Y DEPORTE","Des.Centro Gestor","Unidad Educativa Espejo")</f>
        <v>-70376.650000000373</v>
      </c>
      <c r="H85" s="17">
        <f>+G85/GETPIVOTDATA("Asignación inicial 2020",$A$6,"Area","SOCIALES","Sector Texto","EDUCACION, RECREACION Y DEPORTE","Des.Centro Gestor","Unidad Educativa Espejo")</f>
        <v>-2.3963700654342786E-2</v>
      </c>
      <c r="I85" s="13">
        <f>+F85-GETPIVOTDATA("Codificado 2020",$A$6,"Area","SOCIALES","Sector Texto","EDUCACION, RECREACION Y DEPORTE","Des.Centro Gestor","Unidad Educativa Espejo")</f>
        <v>20351.14000000013</v>
      </c>
      <c r="J85" s="17">
        <f>+I85/GETPIVOTDATA("Codificado 2020",$A$6,"Area","SOCIALES","Sector Texto","EDUCACION, RECREACION Y DEPORTE","Des.Centro Gestor","Unidad Educativa Espejo")</f>
        <v>7.1505999881676082E-3</v>
      </c>
    </row>
    <row r="86" spans="1:10" x14ac:dyDescent="0.2">
      <c r="A86" s="6" t="s">
        <v>112</v>
      </c>
      <c r="B86" s="7">
        <v>1327070.02</v>
      </c>
      <c r="C86" s="7">
        <v>1430245.66</v>
      </c>
      <c r="D86" s="7">
        <v>90087.430000000037</v>
      </c>
      <c r="E86" s="7">
        <v>1122538.23</v>
      </c>
      <c r="F86" s="13">
        <v>1327639.22</v>
      </c>
      <c r="G86" s="13">
        <f>+F86-GETPIVOTDATA("Asignación inicial 2020",$A$6,"Area","SOCIALES","Sector Texto","EDUCACION, RECREACION Y DEPORTE","Des.Centro Gestor","Unidad Educativa Julio E.Moreno")</f>
        <v>569.19999999995343</v>
      </c>
      <c r="H86" s="17">
        <f>+G86/GETPIVOTDATA("Asignación inicial 2020",$A$6,"Area","SOCIALES","Sector Texto","EDUCACION, RECREACION Y DEPORTE","Des.Centro Gestor","Unidad Educativa Julio E.Moreno")</f>
        <v>4.2891482093759711E-4</v>
      </c>
      <c r="I86" s="13">
        <f>+F86-GETPIVOTDATA("Codificado 2020",$A$6,"Area","SOCIALES","Sector Texto","EDUCACION, RECREACION Y DEPORTE","Des.Centro Gestor","Unidad Educativa Julio E.Moreno")</f>
        <v>-102606.43999999994</v>
      </c>
      <c r="J86" s="17">
        <f>+I86/GETPIVOTDATA("Codificado 2020",$A$6,"Area","SOCIALES","Sector Texto","EDUCACION, RECREACION Y DEPORTE","Des.Centro Gestor","Unidad Educativa Julio E.Moreno")</f>
        <v>-7.1740430941073408E-2</v>
      </c>
    </row>
    <row r="87" spans="1:10" x14ac:dyDescent="0.2">
      <c r="A87" s="6" t="s">
        <v>114</v>
      </c>
      <c r="B87" s="7">
        <v>1936464.2100000002</v>
      </c>
      <c r="C87" s="7">
        <v>1916980.47</v>
      </c>
      <c r="D87" s="7">
        <v>-36724.690000000024</v>
      </c>
      <c r="E87" s="7">
        <v>1504730.0299999998</v>
      </c>
      <c r="F87" s="13">
        <v>1986722.4200000002</v>
      </c>
      <c r="G87" s="13">
        <f>+F87-GETPIVOTDATA("Asignación inicial 2020",$A$6,"Area","SOCIALES","Sector Texto","EDUCACION, RECREACION Y DEPORTE","Des.Centro Gestor","Unidad Educativa Milenio Bicentenario")</f>
        <v>50258.209999999963</v>
      </c>
      <c r="H87" s="17">
        <f>+G87/GETPIVOTDATA("Asignación inicial 2020",$A$6,"Area","SOCIALES","Sector Texto","EDUCACION, RECREACION Y DEPORTE","Des.Centro Gestor","Unidad Educativa Milenio Bicentenario")</f>
        <v>2.5953596116294841E-2</v>
      </c>
      <c r="I87" s="13">
        <f>+F87-GETPIVOTDATA("Codificado 2020",$A$6,"Area","SOCIALES","Sector Texto","EDUCACION, RECREACION Y DEPORTE","Des.Centro Gestor","Unidad Educativa Milenio Bicentenario")</f>
        <v>69741.950000000186</v>
      </c>
      <c r="J87" s="17">
        <f>+I87/GETPIVOTDATA("Codificado 2020",$A$6,"Area","SOCIALES","Sector Texto","EDUCACION, RECREACION Y DEPORTE","Des.Centro Gestor","Unidad Educativa Milenio Bicentenario")</f>
        <v>3.6381147899748917E-2</v>
      </c>
    </row>
    <row r="88" spans="1:10" x14ac:dyDescent="0.2">
      <c r="A88" s="6" t="s">
        <v>116</v>
      </c>
      <c r="B88" s="7">
        <v>1310763.5200000003</v>
      </c>
      <c r="C88" s="7">
        <v>1287378.47</v>
      </c>
      <c r="D88" s="7">
        <v>-43052.17</v>
      </c>
      <c r="E88" s="7">
        <v>954743.32999999973</v>
      </c>
      <c r="F88" s="13">
        <v>1302820.6299999999</v>
      </c>
      <c r="G88" s="13">
        <f>+F88-GETPIVOTDATA("Asignación inicial 2020",$A$6,"Area","SOCIALES","Sector Texto","EDUCACION, RECREACION Y DEPORTE","Des.Centro Gestor","Unidad Educativa Oswaldo Lombeyda")</f>
        <v>-7942.8900000003632</v>
      </c>
      <c r="H88" s="17">
        <f>+G88/GETPIVOTDATA("Asignación inicial 2020",$A$6,"Area","SOCIALES","Sector Texto","EDUCACION, RECREACION Y DEPORTE","Des.Centro Gestor","Unidad Educativa Oswaldo Lombeyda")</f>
        <v>-6.0597429504296559E-3</v>
      </c>
      <c r="I88" s="13">
        <f>+F88-GETPIVOTDATA("Codificado 2020",$A$6,"Area","SOCIALES","Sector Texto","EDUCACION, RECREACION Y DEPORTE","Des.Centro Gestor","Unidad Educativa Oswaldo Lombeyda")</f>
        <v>15442.159999999916</v>
      </c>
      <c r="J88" s="17">
        <f>+I88/GETPIVOTDATA("Codificado 2020",$A$6,"Area","SOCIALES","Sector Texto","EDUCACION, RECREACION Y DEPORTE","Des.Centro Gestor","Unidad Educativa Oswaldo Lombeyda")</f>
        <v>1.1995042918497709E-2</v>
      </c>
    </row>
    <row r="89" spans="1:10" x14ac:dyDescent="0.2">
      <c r="A89" s="6" t="s">
        <v>128</v>
      </c>
      <c r="B89" s="7">
        <v>2008183.7399999995</v>
      </c>
      <c r="C89" s="7">
        <v>1906213.3399999999</v>
      </c>
      <c r="D89" s="7">
        <v>-102510.48000000001</v>
      </c>
      <c r="E89" s="7">
        <v>1454994.8</v>
      </c>
      <c r="F89" s="13">
        <v>1918523.1999999995</v>
      </c>
      <c r="G89" s="13">
        <f>+F89-GETPIVOTDATA("Asignación inicial 2020",$A$6,"Area","SOCIALES","Sector Texto","EDUCACION, RECREACION Y DEPORTE","Des.Centro Gestor","Unidad Educativa Quitumbe")</f>
        <v>-89660.540000000037</v>
      </c>
      <c r="H89" s="17">
        <f>+G89/GETPIVOTDATA("Asignación inicial 2020",$A$6,"Area","SOCIALES","Sector Texto","EDUCACION, RECREACION Y DEPORTE","Des.Centro Gestor","Unidad Educativa Quitumbe")</f>
        <v>-4.4647577915355521E-2</v>
      </c>
      <c r="I89" s="13">
        <f>+F89-GETPIVOTDATA("Codificado 2020",$A$6,"Area","SOCIALES","Sector Texto","EDUCACION, RECREACION Y DEPORTE","Des.Centro Gestor","Unidad Educativa Quitumbe")</f>
        <v>12309.859999999637</v>
      </c>
      <c r="J89" s="17">
        <f>+I89/GETPIVOTDATA("Codificado 2020",$A$6,"Area","SOCIALES","Sector Texto","EDUCACION, RECREACION Y DEPORTE","Des.Centro Gestor","Unidad Educativa Quitumbe")</f>
        <v>6.4577556675789695E-3</v>
      </c>
    </row>
    <row r="90" spans="1:10" x14ac:dyDescent="0.2">
      <c r="A90" s="6" t="s">
        <v>126</v>
      </c>
      <c r="B90" s="7">
        <v>2182834.2899999996</v>
      </c>
      <c r="C90" s="7">
        <v>1367419.4000000004</v>
      </c>
      <c r="D90" s="7">
        <v>-817964.89</v>
      </c>
      <c r="E90" s="7">
        <v>1131702.1200000001</v>
      </c>
      <c r="F90" s="13">
        <v>1486158.3499999999</v>
      </c>
      <c r="G90" s="13">
        <f>+F90-GETPIVOTDATA("Asignación inicial 2020",$A$6,"Area","SOCIALES","Sector Texto","EDUCACION, RECREACION Y DEPORTE","Des.Centro Gestor","Unidad Educativa San Francisco de Quito")</f>
        <v>-696675.93999999971</v>
      </c>
      <c r="H90" s="17">
        <f>+G90/GETPIVOTDATA("Asignación inicial 2020",$A$6,"Area","SOCIALES","Sector Texto","EDUCACION, RECREACION Y DEPORTE","Des.Centro Gestor","Unidad Educativa San Francisco de Quito")</f>
        <v>-0.31916116729135668</v>
      </c>
      <c r="I90" s="13">
        <f>+F90-GETPIVOTDATA("Codificado 2020",$A$6,"Area","SOCIALES","Sector Texto","EDUCACION, RECREACION Y DEPORTE","Des.Centro Gestor","Unidad Educativa San Francisco de Quito")</f>
        <v>118738.94999999949</v>
      </c>
      <c r="J90" s="17">
        <f>+I90/GETPIVOTDATA("Codificado 2020",$A$6,"Area","SOCIALES","Sector Texto","EDUCACION, RECREACION Y DEPORTE","Des.Centro Gestor","Unidad Educativa San Francisco de Quito")</f>
        <v>8.6834331880913385E-2</v>
      </c>
    </row>
    <row r="91" spans="1:10" x14ac:dyDescent="0.2">
      <c r="A91" s="6" t="s">
        <v>118</v>
      </c>
      <c r="B91" s="7">
        <v>3458868.1199999992</v>
      </c>
      <c r="C91" s="7">
        <v>3280857.2800000007</v>
      </c>
      <c r="D91" s="7">
        <v>-179480.83999999997</v>
      </c>
      <c r="E91" s="7">
        <v>2587191.9399999995</v>
      </c>
      <c r="F91" s="13">
        <v>3233025.75</v>
      </c>
      <c r="G91" s="13">
        <f>+F91-GETPIVOTDATA("Asignación inicial 2020",$A$6,"Area","SOCIALES","Sector Texto","EDUCACION, RECREACION Y DEPORTE","Des.Centro Gestor","Unidad Educativa Sucre")</f>
        <v>-225842.36999999918</v>
      </c>
      <c r="H91" s="17">
        <f>+G91/GETPIVOTDATA("Asignación inicial 2020",$A$6,"Area","SOCIALES","Sector Texto","EDUCACION, RECREACION Y DEPORTE","Des.Centro Gestor","Unidad Educativa Sucre")</f>
        <v>-6.5293720999110905E-2</v>
      </c>
      <c r="I91" s="13">
        <f>+F91-GETPIVOTDATA("Codificado 2020",$A$6,"Area","SOCIALES","Sector Texto","EDUCACION, RECREACION Y DEPORTE","Des.Centro Gestor","Unidad Educativa Sucre")</f>
        <v>-47831.530000000726</v>
      </c>
      <c r="J91" s="17">
        <f>+I91/GETPIVOTDATA("Codificado 2020",$A$6,"Area","SOCIALES","Sector Texto","EDUCACION, RECREACION Y DEPORTE","Des.Centro Gestor","Unidad Educativa Sucre")</f>
        <v>-1.4578973090838233E-2</v>
      </c>
    </row>
    <row r="92" spans="1:10" x14ac:dyDescent="0.2">
      <c r="A92" s="5" t="s">
        <v>49</v>
      </c>
      <c r="B92" s="7">
        <v>34413202.310000002</v>
      </c>
      <c r="C92" s="7">
        <v>21541303.240000002</v>
      </c>
      <c r="D92" s="7">
        <v>-12565955</v>
      </c>
      <c r="E92" s="7">
        <v>17822699.66</v>
      </c>
      <c r="F92" s="14">
        <v>14385646.220000001</v>
      </c>
      <c r="G92" s="14">
        <f>+F92-GETPIVOTDATA("Asignación inicial 2020",$A$6,"Area","SOCIALES","Sector Texto","INCLUSION SOCIAL")</f>
        <v>-20027556.090000004</v>
      </c>
      <c r="H92" s="18">
        <f>+G92/GETPIVOTDATA("Asignación inicial 2020",$A$6,"Area","SOCIALES","Sector Texto","INCLUSION SOCIAL")</f>
        <v>-0.58197304364727109</v>
      </c>
      <c r="I92" s="14">
        <f>+F92-GETPIVOTDATA("Codificado 2020",$A$6,"Area","SOCIALES","Sector Texto","INCLUSION SOCIAL")</f>
        <v>-7155657.0200000014</v>
      </c>
      <c r="J92" s="18">
        <f>+I92/GETPIVOTDATA("Codificado 2020",$A$6,"Area","SOCIALES","Sector Texto","INCLUSION SOCIAL")</f>
        <v>-0.33218310611368568</v>
      </c>
    </row>
    <row r="93" spans="1:10" x14ac:dyDescent="0.2">
      <c r="A93" s="6" t="s">
        <v>1849</v>
      </c>
      <c r="B93" s="7">
        <v>750000</v>
      </c>
      <c r="C93" s="7">
        <v>750000</v>
      </c>
      <c r="D93" s="7">
        <v>0</v>
      </c>
      <c r="E93" s="7">
        <v>638000</v>
      </c>
      <c r="F93" s="13">
        <v>750000</v>
      </c>
      <c r="G93" s="13">
        <f>+F93-GETPIVOTDATA("Asignación inicial 2020",$A$6,"Area","SOCIALES","Sector Texto","INCLUSION SOCIAL","Des.Centro Gestor","COMPINA")</f>
        <v>0</v>
      </c>
      <c r="H93" s="17">
        <f>+G93/GETPIVOTDATA("Asignación inicial 2020",$A$6,"Area","SOCIALES","Sector Texto","INCLUSION SOCIAL","Des.Centro Gestor","COMPINA")</f>
        <v>0</v>
      </c>
      <c r="I93" s="13">
        <f>+F93-GETPIVOTDATA("Codificado 2020",$A$6,"Area","SOCIALES","Sector Texto","INCLUSION SOCIAL","Des.Centro Gestor","COMPINA")</f>
        <v>0</v>
      </c>
      <c r="J93" s="17">
        <f>+I93/GETPIVOTDATA("Codificado 2020",$A$6,"Area","SOCIALES","Sector Texto","INCLUSION SOCIAL","Des.Centro Gestor","COMPINA")</f>
        <v>0</v>
      </c>
    </row>
    <row r="94" spans="1:10" x14ac:dyDescent="0.2">
      <c r="A94" s="6" t="s">
        <v>51</v>
      </c>
      <c r="B94" s="7">
        <v>3406296.25</v>
      </c>
      <c r="C94" s="7">
        <v>2575966.3000000003</v>
      </c>
      <c r="D94" s="7">
        <v>-524385.87999999989</v>
      </c>
      <c r="E94" s="7">
        <v>1257140.3199999998</v>
      </c>
      <c r="F94" s="13">
        <v>1842457.1400000001</v>
      </c>
      <c r="G94" s="13">
        <f>+F94-GETPIVOTDATA("Asignación inicial 2020",$A$6,"Area","SOCIALES","Sector Texto","INCLUSION SOCIAL","Des.Centro Gestor","Secretaría De Inclusión Social")</f>
        <v>-1563839.1099999999</v>
      </c>
      <c r="H94" s="17">
        <f>+G94/GETPIVOTDATA("Asignación inicial 2020",$A$6,"Area","SOCIALES","Sector Texto","INCLUSION SOCIAL","Des.Centro Gestor","Secretaría De Inclusión Social")</f>
        <v>-0.45910249585601953</v>
      </c>
      <c r="I94" s="13">
        <f>+F94-GETPIVOTDATA("Codificado 2020",$A$6,"Area","SOCIALES","Sector Texto","INCLUSION SOCIAL","Des.Centro Gestor","Secretaría De Inclusión Social")</f>
        <v>-733509.16000000015</v>
      </c>
      <c r="J94" s="17">
        <f>+I94/GETPIVOTDATA("Codificado 2020",$A$6,"Area","SOCIALES","Sector Texto","INCLUSION SOCIAL","Des.Centro Gestor","Secretaría De Inclusión Social")</f>
        <v>-0.28475106991888832</v>
      </c>
    </row>
    <row r="95" spans="1:10" x14ac:dyDescent="0.2">
      <c r="A95" s="6" t="s">
        <v>1817</v>
      </c>
      <c r="B95" s="7">
        <v>30256906.059999999</v>
      </c>
      <c r="C95" s="7">
        <v>18215336.940000001</v>
      </c>
      <c r="D95" s="7">
        <v>-12041569.119999999</v>
      </c>
      <c r="E95" s="7">
        <v>15927559.34</v>
      </c>
      <c r="F95" s="13">
        <v>11793189.08</v>
      </c>
      <c r="G95" s="13">
        <f>+F95-GETPIVOTDATA("Asignación inicial 2020",$A$6,"Area","SOCIALES","Sector Texto","INCLUSION SOCIAL","Des.Centro Gestor","UNIDAD PATRONATO MUNICIPAL SAN JOSE")</f>
        <v>-18463716.979999997</v>
      </c>
      <c r="H95" s="17">
        <f>+G95/GETPIVOTDATA("Asignación inicial 2020",$A$6,"Area","SOCIALES","Sector Texto","INCLUSION SOCIAL","Des.Centro Gestor","UNIDAD PATRONATO MUNICIPAL SAN JOSE")</f>
        <v>-0.61023149370877872</v>
      </c>
      <c r="I95" s="13">
        <f>+F95-GETPIVOTDATA("Codificado 2020",$A$6,"Area","SOCIALES","Sector Texto","INCLUSION SOCIAL","Des.Centro Gestor","UNIDAD PATRONATO MUNICIPAL SAN JOSE")</f>
        <v>-6422147.8600000013</v>
      </c>
      <c r="J95" s="17">
        <f>+I95/GETPIVOTDATA("Codificado 2020",$A$6,"Area","SOCIALES","Sector Texto","INCLUSION SOCIAL","Des.Centro Gestor","UNIDAD PATRONATO MUNICIPAL SAN JOSE")</f>
        <v>-0.35256816171746319</v>
      </c>
    </row>
    <row r="96" spans="1:10" x14ac:dyDescent="0.2">
      <c r="A96" s="5" t="s">
        <v>32</v>
      </c>
      <c r="B96" s="7">
        <v>26887208.649999999</v>
      </c>
      <c r="C96" s="7">
        <v>35823467.090000004</v>
      </c>
      <c r="D96" s="7">
        <v>-4550265.9399999995</v>
      </c>
      <c r="E96" s="7">
        <v>17349448.709999997</v>
      </c>
      <c r="F96" s="14">
        <v>32648395.740000002</v>
      </c>
      <c r="G96" s="14">
        <f>+F96-GETPIVOTDATA("Asignación inicial 2020",$A$6,"Area","SOCIALES","Sector Texto","SALUD")</f>
        <v>5761187.0900000036</v>
      </c>
      <c r="H96" s="18">
        <f>+G96/GETPIVOTDATA("Asignación inicial 2020",$A$6,"Area","SOCIALES","Sector Texto","SALUD")</f>
        <v>0.2142724135106529</v>
      </c>
      <c r="I96" s="14">
        <f>+F96-GETPIVOTDATA("Codificado 2020",$A$6,"Area","SOCIALES","Sector Texto","SALUD")</f>
        <v>-3175071.3500000015</v>
      </c>
      <c r="J96" s="18">
        <f>+I96/GETPIVOTDATA("Codificado 2020",$A$6,"Area","SOCIALES","Sector Texto","SALUD")</f>
        <v>-8.863104573388185E-2</v>
      </c>
    </row>
    <row r="97" spans="1:10" x14ac:dyDescent="0.2">
      <c r="A97" s="6" t="s">
        <v>142</v>
      </c>
      <c r="B97" s="7">
        <v>5495390.1199999992</v>
      </c>
      <c r="C97" s="7">
        <v>11804553.000000002</v>
      </c>
      <c r="D97" s="7">
        <v>-1261819.53</v>
      </c>
      <c r="E97" s="7">
        <v>2532897.7199999988</v>
      </c>
      <c r="F97" s="13">
        <v>7332347.4900000002</v>
      </c>
      <c r="G97" s="13">
        <f>+F97-GETPIVOTDATA("Asignación inicial 2020",$A$6,"Area","SOCIALES","Sector Texto","SALUD","Des.Centro Gestor","Secretaría De Salud")</f>
        <v>1836957.370000001</v>
      </c>
      <c r="H97" s="17">
        <f>+G97/GETPIVOTDATA("Asignación inicial 2020",$A$6,"Area","SOCIALES","Sector Texto","SALUD","Des.Centro Gestor","Secretaría De Salud")</f>
        <v>0.33427242286485775</v>
      </c>
      <c r="I97" s="13">
        <f>+F97-GETPIVOTDATA("Codificado 2020",$A$6,"Area","SOCIALES","Sector Texto","SALUD","Des.Centro Gestor","Secretaría De Salud")</f>
        <v>-4472205.5100000016</v>
      </c>
      <c r="J97" s="17">
        <f>+I97/GETPIVOTDATA("Codificado 2020",$A$6,"Area","SOCIALES","Sector Texto","SALUD","Des.Centro Gestor","Secretaría De Salud")</f>
        <v>-0.37885428698570806</v>
      </c>
    </row>
    <row r="98" spans="1:10" x14ac:dyDescent="0.2">
      <c r="A98" s="6" t="s">
        <v>124</v>
      </c>
      <c r="B98" s="7">
        <v>6117112.4199999999</v>
      </c>
      <c r="C98" s="7">
        <v>3947313.53</v>
      </c>
      <c r="D98" s="7">
        <v>-361412.43999999994</v>
      </c>
      <c r="E98" s="7">
        <v>2792129.7300000004</v>
      </c>
      <c r="F98" s="13">
        <v>4241434.7799999993</v>
      </c>
      <c r="G98" s="13">
        <f>+F98-GETPIVOTDATA("Asignación inicial 2020",$A$6,"Area","SOCIALES","Sector Texto","SALUD","Des.Centro Gestor","Unidad de Salud Centro")</f>
        <v>-1875677.6400000006</v>
      </c>
      <c r="H98" s="17">
        <f>+G98/GETPIVOTDATA("Asignación inicial 2020",$A$6,"Area","SOCIALES","Sector Texto","SALUD","Des.Centro Gestor","Unidad de Salud Centro")</f>
        <v>-0.30662794979334396</v>
      </c>
      <c r="I98" s="13">
        <f>+F98-GETPIVOTDATA("Codificado 2020",$A$6,"Area","SOCIALES","Sector Texto","SALUD","Des.Centro Gestor","Unidad de Salud Centro")</f>
        <v>294121.24999999953</v>
      </c>
      <c r="J98" s="17">
        <f>+I98/GETPIVOTDATA("Codificado 2020",$A$6,"Area","SOCIALES","Sector Texto","SALUD","Des.Centro Gestor","Unidad de Salud Centro")</f>
        <v>7.4511752807231282E-2</v>
      </c>
    </row>
    <row r="99" spans="1:10" x14ac:dyDescent="0.2">
      <c r="A99" s="6" t="s">
        <v>76</v>
      </c>
      <c r="B99" s="7">
        <v>6645500.4300000006</v>
      </c>
      <c r="C99" s="7">
        <v>6191144.5199999986</v>
      </c>
      <c r="D99" s="7">
        <v>-1361861.75</v>
      </c>
      <c r="E99" s="7">
        <v>3849041.5899999994</v>
      </c>
      <c r="F99" s="13">
        <v>6629692.7200000007</v>
      </c>
      <c r="G99" s="13">
        <f>+F99-GETPIVOTDATA("Asignación inicial 2020",$A$6,"Area","SOCIALES","Sector Texto","SALUD","Des.Centro Gestor","Unidad de Salud Norte")</f>
        <v>-15807.709999999963</v>
      </c>
      <c r="H99" s="17">
        <f>+G99/GETPIVOTDATA("Asignación inicial 2020",$A$6,"Area","SOCIALES","Sector Texto","SALUD","Des.Centro Gestor","Unidad de Salud Norte")</f>
        <v>-2.3787087468445114E-3</v>
      </c>
      <c r="I99" s="13">
        <f>+F99-GETPIVOTDATA("Codificado 2020",$A$6,"Area","SOCIALES","Sector Texto","SALUD","Des.Centro Gestor","Unidad de Salud Norte")</f>
        <v>438548.20000000205</v>
      </c>
      <c r="J99" s="17">
        <f>+I99/GETPIVOTDATA("Codificado 2020",$A$6,"Area","SOCIALES","Sector Texto","SALUD","Des.Centro Gestor","Unidad de Salud Norte")</f>
        <v>7.0834754153017598E-2</v>
      </c>
    </row>
    <row r="100" spans="1:10" x14ac:dyDescent="0.2">
      <c r="A100" s="6" t="s">
        <v>34</v>
      </c>
      <c r="B100" s="7">
        <v>8629205.6799999997</v>
      </c>
      <c r="C100" s="7">
        <v>13880456.039999999</v>
      </c>
      <c r="D100" s="7">
        <v>-1565172.22</v>
      </c>
      <c r="E100" s="7">
        <v>8175379.6699999981</v>
      </c>
      <c r="F100" s="13">
        <v>14444920.750000002</v>
      </c>
      <c r="G100" s="13">
        <f>+F100-GETPIVOTDATA("Asignación inicial 2020",$A$6,"Area","SOCIALES","Sector Texto","SALUD","Des.Centro Gestor","Unidad de Salud Sur")</f>
        <v>5815715.0700000022</v>
      </c>
      <c r="H100" s="17">
        <f>+G100/GETPIVOTDATA("Asignación inicial 2020",$A$6,"Area","SOCIALES","Sector Texto","SALUD","Des.Centro Gestor","Unidad de Salud Sur")</f>
        <v>0.67395717354137774</v>
      </c>
      <c r="I100" s="13">
        <f>+F100-GETPIVOTDATA("Codificado 2020",$A$6,"Area","SOCIALES","Sector Texto","SALUD","Des.Centro Gestor","Unidad de Salud Sur")</f>
        <v>564464.71000000276</v>
      </c>
      <c r="J100" s="17">
        <f>+I100/GETPIVOTDATA("Codificado 2020",$A$6,"Area","SOCIALES","Sector Texto","SALUD","Des.Centro Gestor","Unidad de Salud Sur")</f>
        <v>4.0666150187959015E-2</v>
      </c>
    </row>
    <row r="101" spans="1:10" x14ac:dyDescent="0.2">
      <c r="A101" s="4" t="s">
        <v>2008</v>
      </c>
      <c r="B101" s="7">
        <v>757330687.86999977</v>
      </c>
      <c r="C101" s="7">
        <v>611127777.42999995</v>
      </c>
      <c r="D101" s="7">
        <v>-146202910.43999997</v>
      </c>
      <c r="E101" s="7">
        <v>402023151.50999987</v>
      </c>
      <c r="F101" s="11">
        <f>+F7+F37+F46+F74</f>
        <v>487603639.01999998</v>
      </c>
      <c r="G101" s="11">
        <f>+F101-GETPIVOTDATA("Asignación inicial 2020",$A$6)</f>
        <v>-269727048.84999979</v>
      </c>
      <c r="H101" s="20">
        <f>+G101/GETPIVOTDATA("Asignación inicial 2020",$A$6)</f>
        <v>-0.35615491775278491</v>
      </c>
      <c r="I101" s="11">
        <f>+F101-GETPIVOTDATA("Codificado 2020",$A$6)</f>
        <v>-123524138.40999997</v>
      </c>
      <c r="J101" s="20">
        <f>+I101/GETPIVOTDATA("Codificado 2020",$A$6)</f>
        <v>-0.20212489592513855</v>
      </c>
    </row>
    <row r="103" spans="1:10" x14ac:dyDescent="0.2">
      <c r="F103" s="7"/>
    </row>
    <row r="108" spans="1:10" x14ac:dyDescent="0.2">
      <c r="A108" s="95" t="s">
        <v>2040</v>
      </c>
      <c r="B108" s="95"/>
      <c r="C108" s="95"/>
      <c r="D108" s="95"/>
      <c r="E108" s="95"/>
      <c r="F108" s="95"/>
      <c r="G108" s="95"/>
      <c r="H108" s="95"/>
      <c r="I108" s="95"/>
      <c r="J108" s="95"/>
    </row>
    <row r="109" spans="1:10" x14ac:dyDescent="0.2">
      <c r="A109" s="95" t="s">
        <v>2034</v>
      </c>
      <c r="B109" s="95"/>
      <c r="C109" s="95"/>
      <c r="D109" s="95"/>
      <c r="E109" s="95"/>
      <c r="F109" s="95"/>
      <c r="G109" s="95"/>
      <c r="H109" s="95"/>
      <c r="I109" s="95"/>
      <c r="J109" s="95"/>
    </row>
    <row r="110" spans="1:10" x14ac:dyDescent="0.2">
      <c r="A110" s="95" t="s">
        <v>2041</v>
      </c>
      <c r="B110" s="95"/>
      <c r="C110" s="95"/>
      <c r="D110" s="95"/>
      <c r="E110" s="95"/>
      <c r="F110" s="95"/>
      <c r="G110" s="95"/>
      <c r="H110" s="95"/>
      <c r="I110" s="95"/>
      <c r="J110" s="95"/>
    </row>
    <row r="112" spans="1:10" ht="51" x14ac:dyDescent="0.2">
      <c r="A112" s="3" t="s">
        <v>2052</v>
      </c>
      <c r="B112" s="60" t="s">
        <v>2009</v>
      </c>
      <c r="C112" s="60" t="s">
        <v>2010</v>
      </c>
      <c r="D112" s="60" t="s">
        <v>2054</v>
      </c>
      <c r="E112" s="60" t="s">
        <v>2042</v>
      </c>
      <c r="F112" s="9" t="s">
        <v>2012</v>
      </c>
      <c r="G112" s="9" t="s">
        <v>2025</v>
      </c>
      <c r="H112" s="9" t="s">
        <v>2027</v>
      </c>
      <c r="I112" s="9" t="s">
        <v>2026</v>
      </c>
      <c r="J112" s="9" t="s">
        <v>2027</v>
      </c>
    </row>
    <row r="113" spans="1:10" x14ac:dyDescent="0.2">
      <c r="A113" s="4" t="s">
        <v>39</v>
      </c>
      <c r="B113" s="7">
        <v>320373913</v>
      </c>
      <c r="C113" s="7">
        <v>218456845.81000003</v>
      </c>
      <c r="D113" s="7">
        <v>-101917067.19</v>
      </c>
      <c r="E113" s="7">
        <v>104602021.66000001</v>
      </c>
      <c r="F113" s="10">
        <f>+F114</f>
        <v>230775586.59</v>
      </c>
      <c r="G113" s="10">
        <f>+F113-GETPIVOTDATA("Asignación inicial 2020",$A$112,"Area","COMUNALES")</f>
        <v>-89598326.409999996</v>
      </c>
      <c r="H113" s="19">
        <f>+G113/GETPIVOTDATA("Asignación inicial 2020",$A$112,"Area","COMUNALES")</f>
        <v>-0.27966798410955512</v>
      </c>
      <c r="I113" s="10">
        <f>+F113-GETPIVOTDATA("Codificado 2020",$A$112,"Area","COMUNALES")</f>
        <v>12318740.779999971</v>
      </c>
      <c r="J113" s="19">
        <f>+I113/GETPIVOTDATA("Codificado 2020",$A$112,"Area","COMUNALES")</f>
        <v>5.6389813440380965E-2</v>
      </c>
    </row>
    <row r="114" spans="1:10" x14ac:dyDescent="0.2">
      <c r="A114" s="5" t="s">
        <v>40</v>
      </c>
      <c r="B114" s="7">
        <v>320373913</v>
      </c>
      <c r="C114" s="7">
        <v>218456845.81000003</v>
      </c>
      <c r="D114" s="7">
        <v>-101917067.19</v>
      </c>
      <c r="E114" s="7">
        <v>104602021.66000001</v>
      </c>
      <c r="F114" s="52">
        <f>+F115</f>
        <v>230775586.59</v>
      </c>
      <c r="G114" s="52">
        <f>+F114-GETPIVOTDATA("Asignación inicial 2020",$A$112,"Area","COMUNALES","Sector Texto","MOVILIDAD")</f>
        <v>-89598326.409999996</v>
      </c>
      <c r="H114" s="61">
        <f>+G114/GETPIVOTDATA("Asignación inicial 2020",$A$112,"Area","COMUNALES","Sector Texto","MOVILIDAD")</f>
        <v>-0.27966798410955512</v>
      </c>
      <c r="I114" s="52">
        <f>+F114-GETPIVOTDATA("Codificado 2020",$A$112,"Area","COMUNALES","Sector Texto","MOVILIDAD")</f>
        <v>12318740.779999971</v>
      </c>
      <c r="J114" s="61">
        <f>+I114/GETPIVOTDATA("Codificado 2020",$A$112,"Area","COMUNALES","Sector Texto","MOVILIDAD")</f>
        <v>5.6389813440380965E-2</v>
      </c>
    </row>
    <row r="115" spans="1:10" x14ac:dyDescent="0.2">
      <c r="A115" s="6" t="s">
        <v>42</v>
      </c>
      <c r="B115" s="7">
        <v>320373913</v>
      </c>
      <c r="C115" s="7">
        <v>218456845.81000003</v>
      </c>
      <c r="D115" s="7">
        <v>-101917067.19</v>
      </c>
      <c r="E115" s="7">
        <v>104602021.66000001</v>
      </c>
      <c r="F115" s="7">
        <v>230775586.59</v>
      </c>
      <c r="G115" s="7">
        <f>+F115-GETPIVOTDATA("Asignación inicial 2020",$A$112,"Area","COMUNALES","Sector Texto","MOVILIDAD","Des.Centro Gestor","Secretaría De Movilidad")</f>
        <v>-89598326.409999996</v>
      </c>
      <c r="H115" s="62">
        <f>+G115/GETPIVOTDATA("Asignación inicial 2020",$A$112,"Area","COMUNALES","Sector Texto","MOVILIDAD","Des.Centro Gestor","Secretaría De Movilidad")</f>
        <v>-0.27966798410955512</v>
      </c>
      <c r="I115" s="7">
        <f>+F115-GETPIVOTDATA("Codificado 2020",$A$112,"Area","COMUNALES","Sector Texto","MOVILIDAD","Des.Centro Gestor","Secretaría De Movilidad")</f>
        <v>12318740.779999971</v>
      </c>
      <c r="J115" s="62">
        <f>+I115/GETPIVOTDATA("Codificado 2020",$A$112,"Area","COMUNALES","Sector Texto","MOVILIDAD","Des.Centro Gestor","Secretaría De Movilidad")</f>
        <v>5.6389813440380965E-2</v>
      </c>
    </row>
    <row r="116" spans="1:10" x14ac:dyDescent="0.2">
      <c r="A116" s="4" t="s">
        <v>2008</v>
      </c>
      <c r="B116" s="7">
        <v>320373913</v>
      </c>
      <c r="C116" s="7">
        <v>218456845.81000003</v>
      </c>
      <c r="D116" s="7">
        <v>-101917067.19</v>
      </c>
      <c r="E116" s="7">
        <v>104602021.66000001</v>
      </c>
      <c r="F116" s="11">
        <f>+F113</f>
        <v>230775586.59</v>
      </c>
      <c r="G116" s="11">
        <f>+F116-GETPIVOTDATA("Asignación inicial 2020",$A$112)</f>
        <v>-89598326.409999996</v>
      </c>
      <c r="H116" s="20">
        <f>+G116/GETPIVOTDATA("Asignación inicial 2020",$A$112)</f>
        <v>-0.27966798410955512</v>
      </c>
      <c r="I116" s="11">
        <f>+F116-GETPIVOTDATA("Codificado 2020",$A$112)</f>
        <v>12318740.779999971</v>
      </c>
      <c r="J116" s="20">
        <f>+I116/GETPIVOTDATA("Codificado 2020",$A$112)</f>
        <v>5.6389813440380965E-2</v>
      </c>
    </row>
    <row r="117" spans="1:10" x14ac:dyDescent="0.2">
      <c r="B117"/>
      <c r="C117"/>
    </row>
    <row r="118" spans="1:10" x14ac:dyDescent="0.2">
      <c r="B118"/>
      <c r="C118"/>
    </row>
    <row r="119" spans="1:10" x14ac:dyDescent="0.2">
      <c r="A119" s="55" t="s">
        <v>2008</v>
      </c>
      <c r="B119" s="11">
        <f>+GETPIVOTDATA("Asignación inicial 2020",$A$6)+GETPIVOTDATA("Asignación inicial 2020",$A$112)</f>
        <v>1077704600.8699999</v>
      </c>
      <c r="C119" s="11">
        <f>+GETPIVOTDATA("Codificado 2020",$A$6)+GETPIVOTDATA("Codificado 2020",$A$112)</f>
        <v>829584623.24000001</v>
      </c>
      <c r="D119" s="11">
        <f>+GETPIVOTDATA("Reformas 2020",$A$6)+GETPIVOTDATA("Reforma 2020",$A$112)</f>
        <v>-248119977.62999997</v>
      </c>
      <c r="E119" s="11">
        <f>+GETPIVOTDATA("Devengado 1/12/2020",$A$6)+GETPIVOTDATA("Devengado 1/12/2020",$A$112)</f>
        <v>506625173.1699999</v>
      </c>
      <c r="F119" s="11">
        <f>+F101+F116</f>
        <v>718379225.61000001</v>
      </c>
      <c r="G119" s="11">
        <f>+G101+G116</f>
        <v>-359325375.25999975</v>
      </c>
      <c r="H119" s="20">
        <f>+G119/B119</f>
        <v>-0.33341731581170453</v>
      </c>
      <c r="I119" s="11">
        <f>+I101+I116</f>
        <v>-111205397.63</v>
      </c>
      <c r="J119" s="20">
        <f>+I119/C119</f>
        <v>-0.13404949237810079</v>
      </c>
    </row>
    <row r="120" spans="1:10" x14ac:dyDescent="0.2">
      <c r="B120"/>
      <c r="C120"/>
    </row>
    <row r="121" spans="1:10" x14ac:dyDescent="0.2">
      <c r="B121"/>
      <c r="C121"/>
    </row>
    <row r="122" spans="1:10" x14ac:dyDescent="0.2">
      <c r="B122"/>
      <c r="C122"/>
    </row>
    <row r="123" spans="1:10" x14ac:dyDescent="0.2">
      <c r="B123"/>
      <c r="C123"/>
    </row>
    <row r="124" spans="1:10" x14ac:dyDescent="0.2">
      <c r="B124"/>
      <c r="C124"/>
    </row>
    <row r="125" spans="1:10" x14ac:dyDescent="0.2">
      <c r="B125"/>
      <c r="C125"/>
    </row>
    <row r="126" spans="1:10" x14ac:dyDescent="0.2">
      <c r="B126"/>
      <c r="C126"/>
    </row>
    <row r="127" spans="1:10" x14ac:dyDescent="0.2">
      <c r="B127"/>
      <c r="C127"/>
    </row>
    <row r="128" spans="1:10" x14ac:dyDescent="0.2">
      <c r="B128"/>
      <c r="C128"/>
    </row>
    <row r="129" spans="2:3" x14ac:dyDescent="0.2">
      <c r="B129"/>
      <c r="C129"/>
    </row>
  </sheetData>
  <mergeCells count="6">
    <mergeCell ref="A110:J110"/>
    <mergeCell ref="A1:J1"/>
    <mergeCell ref="A3:J3"/>
    <mergeCell ref="A2:J2"/>
    <mergeCell ref="A108:J108"/>
    <mergeCell ref="A109:J109"/>
  </mergeCells>
  <pageMargins left="0.7" right="0.7" top="0.75" bottom="0.75" header="0.3" footer="0.3"/>
  <pageSetup scale="70" orientation="landscape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0"/>
  <sheetViews>
    <sheetView showGridLines="0" topLeftCell="A97" zoomScaleNormal="100" workbookViewId="0">
      <selection activeCell="A113" sqref="A113:D117"/>
    </sheetView>
  </sheetViews>
  <sheetFormatPr baseColWidth="10" defaultRowHeight="12.75" x14ac:dyDescent="0.2"/>
  <cols>
    <col min="1" max="1" width="34.5703125" customWidth="1"/>
    <col min="2" max="2" width="18.7109375" style="7" customWidth="1"/>
    <col min="3" max="3" width="15.28515625" style="7" customWidth="1"/>
    <col min="4" max="4" width="16" style="7" customWidth="1"/>
    <col min="5" max="5" width="19.5703125" style="7" customWidth="1"/>
    <col min="6" max="6" width="15.28515625" customWidth="1"/>
    <col min="7" max="7" width="14.28515625" customWidth="1"/>
    <col min="8" max="8" width="10.28515625" customWidth="1"/>
    <col min="9" max="9" width="18" bestFit="1" customWidth="1"/>
    <col min="10" max="10" width="9.7109375" customWidth="1"/>
    <col min="11" max="86" width="6.5703125" customWidth="1"/>
    <col min="87" max="454" width="7.5703125" customWidth="1"/>
    <col min="455" max="912" width="8.5703125" customWidth="1"/>
    <col min="913" max="1224" width="9.5703125" customWidth="1"/>
    <col min="1225" max="1325" width="10.5703125" customWidth="1"/>
    <col min="1326" max="1341" width="11.5703125" bestFit="1" customWidth="1"/>
    <col min="1342" max="1342" width="12.5703125" bestFit="1" customWidth="1"/>
    <col min="1343" max="1343" width="13.140625" bestFit="1" customWidth="1"/>
  </cols>
  <sheetData>
    <row r="1" spans="1:10" x14ac:dyDescent="0.2">
      <c r="A1" s="95" t="s">
        <v>2040</v>
      </c>
      <c r="B1" s="95"/>
      <c r="C1" s="95"/>
      <c r="D1" s="95"/>
      <c r="E1" s="95"/>
      <c r="F1" s="95"/>
      <c r="G1" s="95"/>
      <c r="H1" s="95"/>
      <c r="I1" s="95"/>
      <c r="J1" s="95"/>
    </row>
    <row r="2" spans="1:10" x14ac:dyDescent="0.2">
      <c r="A2" s="95" t="s">
        <v>2041</v>
      </c>
      <c r="B2" s="95"/>
      <c r="C2" s="95"/>
      <c r="D2" s="95"/>
      <c r="E2" s="95"/>
      <c r="F2" s="95"/>
      <c r="G2" s="95"/>
      <c r="H2" s="95"/>
      <c r="I2" s="95"/>
      <c r="J2" s="95"/>
    </row>
    <row r="5" spans="1:10" ht="51" x14ac:dyDescent="0.2">
      <c r="A5" s="101" t="s">
        <v>2028</v>
      </c>
      <c r="B5" s="8" t="s">
        <v>2009</v>
      </c>
      <c r="C5" s="8" t="s">
        <v>2010</v>
      </c>
      <c r="D5" s="8" t="s">
        <v>2011</v>
      </c>
      <c r="E5" s="100" t="s">
        <v>2043</v>
      </c>
      <c r="F5" s="100" t="s">
        <v>2012</v>
      </c>
      <c r="G5" s="100" t="s">
        <v>2025</v>
      </c>
      <c r="H5" s="100" t="s">
        <v>2027</v>
      </c>
      <c r="I5" s="100" t="s">
        <v>2026</v>
      </c>
      <c r="J5" s="100" t="s">
        <v>2027</v>
      </c>
    </row>
    <row r="6" spans="1:10" x14ac:dyDescent="0.2">
      <c r="A6" s="4" t="s">
        <v>39</v>
      </c>
      <c r="B6" s="7">
        <v>395795114.80000001</v>
      </c>
      <c r="C6" s="7">
        <v>318542596.68000001</v>
      </c>
      <c r="D6" s="7">
        <v>-77047020.890000001</v>
      </c>
      <c r="E6" s="102">
        <v>181328612.95000002</v>
      </c>
      <c r="F6" s="98">
        <f>+F7+F10+F22+F28+F31</f>
        <v>206503125.70000002</v>
      </c>
      <c r="G6" s="98">
        <f>+F6-GETPIVOTDATA("Asignación inicial 2020",$A$5,"Area","COMUNALES")</f>
        <v>-189291989.09999999</v>
      </c>
      <c r="H6" s="106">
        <f>+G6/GETPIVOTDATA("Asignación inicial 2020",$A$5,"Area","COMUNALES")</f>
        <v>-0.47825751764432839</v>
      </c>
      <c r="I6" s="102">
        <f>+F6-GETPIVOTDATA("Codificado 2020",$A$5,"Area","COMUNALES")</f>
        <v>-112039470.97999999</v>
      </c>
      <c r="J6" s="106">
        <f>+I6/GETPIVOTDATA("Codificado 2020",$A$5,"Area","COMUNALES")</f>
        <v>-0.35172523909746384</v>
      </c>
    </row>
    <row r="7" spans="1:10" x14ac:dyDescent="0.2">
      <c r="A7" s="5" t="s">
        <v>95</v>
      </c>
      <c r="B7" s="7">
        <v>8878882</v>
      </c>
      <c r="C7" s="7">
        <v>8285138.9399999995</v>
      </c>
      <c r="D7" s="7">
        <v>-2799065.46</v>
      </c>
      <c r="E7" s="103">
        <v>4986746.92</v>
      </c>
      <c r="F7" s="97">
        <v>4485343.08</v>
      </c>
      <c r="G7" s="97">
        <f>+F7-GETPIVOTDATA("Asignación inicial 2020",$A$5,"Area","COMUNALES","Sector Texto","AMBIENTE")</f>
        <v>-4393538.92</v>
      </c>
      <c r="H7" s="107">
        <f>+G7/GETPIVOTDATA("Asignación inicial 2020",$A$5,"Area","COMUNALES","Sector Texto","AMBIENTE")</f>
        <v>-0.49483019596386119</v>
      </c>
      <c r="I7" s="103">
        <f>+F7-GETPIVOTDATA("Codificado 2020",$A$5,"Area","COMUNALES","Sector Texto","AMBIENTE")</f>
        <v>-3799795.8599999994</v>
      </c>
      <c r="J7" s="107">
        <f>+I7/GETPIVOTDATA("Codificado 2020",$A$5,"Area","COMUNALES","Sector Texto","AMBIENTE")</f>
        <v>-0.45862789839949258</v>
      </c>
    </row>
    <row r="8" spans="1:10" x14ac:dyDescent="0.2">
      <c r="A8" s="6" t="s">
        <v>1792</v>
      </c>
      <c r="B8" s="7">
        <v>6000000</v>
      </c>
      <c r="C8" s="7">
        <v>6000000</v>
      </c>
      <c r="D8" s="7">
        <v>-2204769.41</v>
      </c>
      <c r="E8" s="104">
        <v>3729663.47</v>
      </c>
      <c r="F8" s="96">
        <v>2700000</v>
      </c>
      <c r="G8" s="96">
        <f>+F8-GETPIVOTDATA("Asignación inicial 2020",$A$5,"Area","COMUNALES","Sector Texto","AMBIENTE","Des.Centro Gestor","EPM GESTION INTEGRAL DE RESIDUOS SOLIDOS")</f>
        <v>-3300000</v>
      </c>
      <c r="H8" s="108">
        <f>+G8/GETPIVOTDATA("Asignación inicial 2020",$A$5,"Area","COMUNALES","Sector Texto","AMBIENTE","Des.Centro Gestor","EPM GESTION INTEGRAL DE RESIDUOS SOLIDOS")</f>
        <v>-0.55000000000000004</v>
      </c>
      <c r="I8" s="104">
        <f>+F8-GETPIVOTDATA("Codificado 2020",$A$5,"Area","COMUNALES","Sector Texto","AMBIENTE","Des.Centro Gestor","EPM GESTION INTEGRAL DE RESIDUOS SOLIDOS")</f>
        <v>-3300000</v>
      </c>
      <c r="J8" s="108">
        <f>+I8/GETPIVOTDATA("Codificado 2020",$A$5,"Area","COMUNALES","Sector Texto","AMBIENTE","Des.Centro Gestor","EPM GESTION INTEGRAL DE RESIDUOS SOLIDOS")</f>
        <v>-0.55000000000000004</v>
      </c>
    </row>
    <row r="9" spans="1:10" x14ac:dyDescent="0.2">
      <c r="A9" s="6" t="s">
        <v>97</v>
      </c>
      <c r="B9" s="7">
        <v>2878882</v>
      </c>
      <c r="C9" s="7">
        <v>2285138.94</v>
      </c>
      <c r="D9" s="7">
        <v>-594296.05000000005</v>
      </c>
      <c r="E9" s="104">
        <v>1257083.4500000002</v>
      </c>
      <c r="F9" s="96">
        <v>1785343.08</v>
      </c>
      <c r="G9" s="96">
        <f>+F9-GETPIVOTDATA("Asignación inicial 2020",$A$5,"Area","COMUNALES","Sector Texto","AMBIENTE","Des.Centro Gestor","Secretaría De Ambiente")</f>
        <v>-1093538.92</v>
      </c>
      <c r="H9" s="108">
        <f>+G9/GETPIVOTDATA("Asignación inicial 2020",$A$5,"Area","COMUNALES","Sector Texto","AMBIENTE","Des.Centro Gestor","Secretaría De Ambiente")</f>
        <v>-0.37984846895426766</v>
      </c>
      <c r="I9" s="104">
        <f>+F9-GETPIVOTDATA("Codificado 2020",$A$5,"Area","COMUNALES","Sector Texto","AMBIENTE","Des.Centro Gestor","Secretaría De Ambiente")</f>
        <v>-499795.85999999987</v>
      </c>
      <c r="J9" s="108">
        <f>+I9/GETPIVOTDATA("Codificado 2020",$A$5,"Area","COMUNALES","Sector Texto","AMBIENTE","Des.Centro Gestor","Secretaría De Ambiente")</f>
        <v>-0.21871574250973111</v>
      </c>
    </row>
    <row r="10" spans="1:10" x14ac:dyDescent="0.2">
      <c r="A10" s="5" t="s">
        <v>58</v>
      </c>
      <c r="B10" s="7">
        <v>74874852.790000007</v>
      </c>
      <c r="C10" s="7">
        <v>60347972.559999995</v>
      </c>
      <c r="D10" s="7">
        <v>-14682761.010000002</v>
      </c>
      <c r="E10" s="103">
        <v>24442528.98</v>
      </c>
      <c r="F10" s="97">
        <v>47352585.280000009</v>
      </c>
      <c r="G10" s="97">
        <f>+F10-GETPIVOTDATA("Asignación inicial 2020",$A$5,"Area","COMUNALES","Sector Texto","COORDINACION TERRITORIAL Y PARTICIPACION CIUDADANA")</f>
        <v>-27522267.509999998</v>
      </c>
      <c r="H10" s="107">
        <f>+G10/GETPIVOTDATA("Asignación inicial 2020",$A$5,"Area","COMUNALES","Sector Texto","COORDINACION TERRITORIAL Y PARTICIPACION CIUDADANA")</f>
        <v>-0.36757691647409507</v>
      </c>
      <c r="I10" s="103">
        <f>+F10-GETPIVOTDATA("Codificado 2020",$A$5,"Area","COMUNALES","Sector Texto","COORDINACION TERRITORIAL Y PARTICIPACION CIUDADANA")</f>
        <v>-12995387.279999986</v>
      </c>
      <c r="J10" s="107">
        <f>+I10/GETPIVOTDATA("Codificado 2020",$A$5,"Area","COMUNALES","Sector Texto","COORDINACION TERRITORIAL Y PARTICIPACION CIUDADANA")</f>
        <v>-0.21534090920916246</v>
      </c>
    </row>
    <row r="11" spans="1:10" x14ac:dyDescent="0.2">
      <c r="A11" s="6" t="s">
        <v>144</v>
      </c>
      <c r="B11" s="7">
        <v>8463184.5100000016</v>
      </c>
      <c r="C11" s="7">
        <v>5932157.0099999998</v>
      </c>
      <c r="D11" s="7">
        <v>-2130176.98</v>
      </c>
      <c r="E11" s="104">
        <v>2689500.1900000013</v>
      </c>
      <c r="F11" s="96">
        <v>6235158.8300000001</v>
      </c>
      <c r="G11" s="96">
        <f>+F11-GETPIVOTDATA("Asignación inicial 2020",$A$5,"Area","COMUNALES","Sector Texto","COORDINACION TERRITORIAL Y PARTICIPACION CIUDADANA","Des.Centro Gestor","Adm Zonal Equinoccia - La Delicia")</f>
        <v>-2228025.6800000016</v>
      </c>
      <c r="H11" s="108">
        <f>+G11/GETPIVOTDATA("Asignación inicial 2020",$A$5,"Area","COMUNALES","Sector Texto","COORDINACION TERRITORIAL Y PARTICIPACION CIUDADANA","Des.Centro Gestor","Adm Zonal Equinoccia - La Delicia")</f>
        <v>-0.26326091288301606</v>
      </c>
      <c r="I11" s="104">
        <f>+F11-GETPIVOTDATA("Codificado 2020",$A$5,"Area","COMUNALES","Sector Texto","COORDINACION TERRITORIAL Y PARTICIPACION CIUDADANA","Des.Centro Gestor","Adm Zonal Equinoccia - La Delicia")</f>
        <v>303001.8200000003</v>
      </c>
      <c r="J11" s="108">
        <f>+I11/GETPIVOTDATA("Codificado 2020",$A$5,"Area","COMUNALES","Sector Texto","COORDINACION TERRITORIAL Y PARTICIPACION CIUDADANA","Des.Centro Gestor","Adm Zonal Equinoccia - La Delicia")</f>
        <v>5.1077848999819431E-2</v>
      </c>
    </row>
    <row r="12" spans="1:10" x14ac:dyDescent="0.2">
      <c r="A12" s="6" t="s">
        <v>150</v>
      </c>
      <c r="B12" s="7">
        <v>11759854.449999999</v>
      </c>
      <c r="C12" s="7">
        <v>10418420.190000001</v>
      </c>
      <c r="D12" s="7">
        <v>-2060624.6400000001</v>
      </c>
      <c r="E12" s="104">
        <v>4173818.6900000004</v>
      </c>
      <c r="F12" s="96">
        <v>6793542.9900000002</v>
      </c>
      <c r="G12" s="96">
        <f>+F12-GETPIVOTDATA("Asignación inicial 2020",$A$5,"Area","COMUNALES","Sector Texto","COORDINACION TERRITORIAL Y PARTICIPACION CIUDADANA","Des.Centro Gestor","Administración Z Eugenio Espejo (Norte)")</f>
        <v>-4966311.459999999</v>
      </c>
      <c r="H12" s="108">
        <f>+G12/GETPIVOTDATA("Asignación inicial 2020",$A$5,"Area","COMUNALES","Sector Texto","COORDINACION TERRITORIAL Y PARTICIPACION CIUDADANA","Des.Centro Gestor","Administración Z Eugenio Espejo (Norte)")</f>
        <v>-0.42231062307067918</v>
      </c>
      <c r="I12" s="104">
        <f>+F12-GETPIVOTDATA("Codificado 2020",$A$5,"Area","COMUNALES","Sector Texto","COORDINACION TERRITORIAL Y PARTICIPACION CIUDADANA","Des.Centro Gestor","Administración Z Eugenio Espejo (Norte)")</f>
        <v>-3624877.2000000011</v>
      </c>
      <c r="J12" s="108">
        <f>+I12/GETPIVOTDATA("Codificado 2020",$A$5,"Area","COMUNALES","Sector Texto","COORDINACION TERRITORIAL Y PARTICIPACION CIUDADANA","Des.Centro Gestor","Administración Z Eugenio Espejo (Norte)")</f>
        <v>-0.34792964133653365</v>
      </c>
    </row>
    <row r="13" spans="1:10" x14ac:dyDescent="0.2">
      <c r="A13" s="6" t="s">
        <v>60</v>
      </c>
      <c r="B13" s="7">
        <v>8495545.0500000026</v>
      </c>
      <c r="C13" s="7">
        <v>7318188.6899999985</v>
      </c>
      <c r="D13" s="7">
        <v>-1282854.83</v>
      </c>
      <c r="E13" s="104">
        <v>2049271.6099999996</v>
      </c>
      <c r="F13" s="96">
        <v>4585865.32</v>
      </c>
      <c r="G13" s="96">
        <f>+F13-GETPIVOTDATA("Asignación inicial 2020",$A$5,"Area","COMUNALES","Sector Texto","COORDINACION TERRITORIAL Y PARTICIPACION CIUDADANA","Des.Centro Gestor","Administración Zonal Calderón")</f>
        <v>-3909679.7300000023</v>
      </c>
      <c r="H13" s="108">
        <f>+G13/GETPIVOTDATA("Asignación inicial 2020",$A$5,"Area","COMUNALES","Sector Texto","COORDINACION TERRITORIAL Y PARTICIPACION CIUDADANA","Des.Centro Gestor","Administración Zonal Calderón")</f>
        <v>-0.46020351925507136</v>
      </c>
      <c r="I13" s="104">
        <f>+F13-GETPIVOTDATA("Codificado 2020",$A$5,"Area","COMUNALES","Sector Texto","COORDINACION TERRITORIAL Y PARTICIPACION CIUDADANA","Des.Centro Gestor","Administración Zonal Calderón")</f>
        <v>-2732323.3699999982</v>
      </c>
      <c r="J13" s="108">
        <f>+I13/GETPIVOTDATA("Codificado 2020",$A$5,"Area","COMUNALES","Sector Texto","COORDINACION TERRITORIAL Y PARTICIPACION CIUDADANA","Des.Centro Gestor","Administración Zonal Calderón")</f>
        <v>-0.37336060680337541</v>
      </c>
    </row>
    <row r="14" spans="1:10" x14ac:dyDescent="0.2">
      <c r="A14" s="6" t="s">
        <v>148</v>
      </c>
      <c r="B14" s="7">
        <v>9296739.4400000013</v>
      </c>
      <c r="C14" s="7">
        <v>7797686.2300000004</v>
      </c>
      <c r="D14" s="7">
        <v>-1504103.21</v>
      </c>
      <c r="E14" s="104">
        <v>3375547.1099999994</v>
      </c>
      <c r="F14" s="96">
        <v>6126520.6600000001</v>
      </c>
      <c r="G14" s="96">
        <f>+F14-GETPIVOTDATA("Asignación inicial 2020",$A$5,"Area","COMUNALES","Sector Texto","COORDINACION TERRITORIAL Y PARTICIPACION CIUDADANA","Des.Centro Gestor","Administración Zonal Eloy Alfaro (Sur)")</f>
        <v>-3170218.7800000012</v>
      </c>
      <c r="H14" s="108">
        <f>+G14/GETPIVOTDATA("Asignación inicial 2020",$A$5,"Area","COMUNALES","Sector Texto","COORDINACION TERRITORIAL Y PARTICIPACION CIUDADANA","Des.Centro Gestor","Administración Zonal Eloy Alfaro (Sur)")</f>
        <v>-0.34100329480676517</v>
      </c>
      <c r="I14" s="104">
        <f>+F14-GETPIVOTDATA("Codificado 2020",$A$5,"Area","COMUNALES","Sector Texto","COORDINACION TERRITORIAL Y PARTICIPACION CIUDADANA","Des.Centro Gestor","Administración Zonal Eloy Alfaro (Sur)")</f>
        <v>-1671165.5700000003</v>
      </c>
      <c r="J14" s="108">
        <f>+I14/GETPIVOTDATA("Codificado 2020",$A$5,"Area","COMUNALES","Sector Texto","COORDINACION TERRITORIAL Y PARTICIPACION CIUDADANA","Des.Centro Gestor","Administración Zonal Eloy Alfaro (Sur)")</f>
        <v>-0.21431557012008678</v>
      </c>
    </row>
    <row r="15" spans="1:10" x14ac:dyDescent="0.2">
      <c r="A15" s="6" t="s">
        <v>140</v>
      </c>
      <c r="B15" s="7">
        <v>8007219.2100000009</v>
      </c>
      <c r="C15" s="7">
        <v>6097368.9299999997</v>
      </c>
      <c r="D15" s="7">
        <v>-1918902.78</v>
      </c>
      <c r="E15" s="104">
        <v>3293377.55</v>
      </c>
      <c r="F15" s="96">
        <v>5577270.04</v>
      </c>
      <c r="G15" s="96">
        <f>+F15-GETPIVOTDATA("Asignación inicial 2020",$A$5,"Area","COMUNALES","Sector Texto","COORDINACION TERRITORIAL Y PARTICIPACION CIUDADANA","Des.Centro Gestor","Administración Zonal Manuela Sáenz")</f>
        <v>-2429949.1700000009</v>
      </c>
      <c r="H15" s="108">
        <f>+G15/GETPIVOTDATA("Asignación inicial 2020",$A$5,"Area","COMUNALES","Sector Texto","COORDINACION TERRITORIAL Y PARTICIPACION CIUDADANA","Des.Centro Gestor","Administración Zonal Manuela Sáenz")</f>
        <v>-0.30346979472790037</v>
      </c>
      <c r="I15" s="104">
        <f>+F15-GETPIVOTDATA("Codificado 2020",$A$5,"Area","COMUNALES","Sector Texto","COORDINACION TERRITORIAL Y PARTICIPACION CIUDADANA","Des.Centro Gestor","Administración Zonal Manuela Sáenz")</f>
        <v>-520098.88999999966</v>
      </c>
      <c r="J15" s="108">
        <f>+I15/GETPIVOTDATA("Codificado 2020",$A$5,"Area","COMUNALES","Sector Texto","COORDINACION TERRITORIAL Y PARTICIPACION CIUDADANA","Des.Centro Gestor","Administración Zonal Manuela Sáenz")</f>
        <v>-8.5298904489940333E-2</v>
      </c>
    </row>
    <row r="16" spans="1:10" x14ac:dyDescent="0.2">
      <c r="A16" s="6" t="s">
        <v>146</v>
      </c>
      <c r="B16" s="7">
        <v>10265907.07</v>
      </c>
      <c r="C16" s="7">
        <v>8284295.3599999985</v>
      </c>
      <c r="D16" s="7">
        <v>-1925392.41</v>
      </c>
      <c r="E16" s="104">
        <v>3140562.7300000004</v>
      </c>
      <c r="F16" s="96">
        <v>5123838.04</v>
      </c>
      <c r="G16" s="96">
        <f>+F16-GETPIVOTDATA("Asignación inicial 2020",$A$5,"Area","COMUNALES","Sector Texto","COORDINACION TERRITORIAL Y PARTICIPACION CIUDADANA","Des.Centro Gestor","Administración Zonal Quitumbe")</f>
        <v>-5142069.03</v>
      </c>
      <c r="H16" s="108">
        <f>+G16/GETPIVOTDATA("Asignación inicial 2020",$A$5,"Area","COMUNALES","Sector Texto","COORDINACION TERRITORIAL Y PARTICIPACION CIUDADANA","Des.Centro Gestor","Administración Zonal Quitumbe")</f>
        <v>-0.50088793858524572</v>
      </c>
      <c r="I16" s="104">
        <f>+F16-GETPIVOTDATA("Codificado 2020",$A$5,"Area","COMUNALES","Sector Texto","COORDINACION TERRITORIAL Y PARTICIPACION CIUDADANA","Des.Centro Gestor","Administración Zonal Quitumbe")</f>
        <v>-3160457.3199999984</v>
      </c>
      <c r="J16" s="108">
        <f>+I16/GETPIVOTDATA("Codificado 2020",$A$5,"Area","COMUNALES","Sector Texto","COORDINACION TERRITORIAL Y PARTICIPACION CIUDADANA","Des.Centro Gestor","Administración Zonal Quitumbe")</f>
        <v>-0.38149983585326913</v>
      </c>
    </row>
    <row r="17" spans="1:10" x14ac:dyDescent="0.2">
      <c r="A17" s="6" t="s">
        <v>138</v>
      </c>
      <c r="B17" s="7">
        <v>7312823.3000000017</v>
      </c>
      <c r="C17" s="7">
        <v>5822357.21</v>
      </c>
      <c r="D17" s="7">
        <v>-1221284.3999999997</v>
      </c>
      <c r="E17" s="104">
        <v>2076257.36</v>
      </c>
      <c r="F17" s="96">
        <v>4203137.45</v>
      </c>
      <c r="G17" s="96">
        <f>+F17-GETPIVOTDATA("Asignación inicial 2020",$A$5,"Area","COMUNALES","Sector Texto","COORDINACION TERRITORIAL Y PARTICIPACION CIUDADANA","Des.Centro Gestor","Administración Zonal Valle de Tumbaco")</f>
        <v>-3109685.8500000015</v>
      </c>
      <c r="H17" s="108">
        <f>+G17/GETPIVOTDATA("Asignación inicial 2020",$A$5,"Area","COMUNALES","Sector Texto","COORDINACION TERRITORIAL Y PARTICIPACION CIUDADANA","Des.Centro Gestor","Administración Zonal Valle de Tumbaco")</f>
        <v>-0.42523738403469979</v>
      </c>
      <c r="I17" s="104">
        <f>+F17-GETPIVOTDATA("Codificado 2020",$A$5,"Area","COMUNALES","Sector Texto","COORDINACION TERRITORIAL Y PARTICIPACION CIUDADANA","Des.Centro Gestor","Administración Zonal Valle de Tumbaco")</f>
        <v>-1619219.7599999998</v>
      </c>
      <c r="J17" s="108">
        <f>+I17/GETPIVOTDATA("Codificado 2020",$A$5,"Area","COMUNALES","Sector Texto","COORDINACION TERRITORIAL Y PARTICIPACION CIUDADANA","Des.Centro Gestor","Administración Zonal Valle de Tumbaco")</f>
        <v>-0.27810381630638559</v>
      </c>
    </row>
    <row r="18" spans="1:10" x14ac:dyDescent="0.2">
      <c r="A18" s="6" t="s">
        <v>136</v>
      </c>
      <c r="B18" s="7">
        <v>5934169.0900000008</v>
      </c>
      <c r="C18" s="7">
        <v>4926178.82</v>
      </c>
      <c r="D18" s="7">
        <v>-1018675.1399999998</v>
      </c>
      <c r="E18" s="104">
        <v>1936717.6899999995</v>
      </c>
      <c r="F18" s="96">
        <v>4398709.24</v>
      </c>
      <c r="G18" s="96">
        <f>+F18-GETPIVOTDATA("Asignación inicial 2020",$A$5,"Area","COMUNALES","Sector Texto","COORDINACION TERRITORIAL Y PARTICIPACION CIUDADANA","Des.Centro Gestor","Administración Zonal Valle los Chillos")</f>
        <v>-1535459.8500000006</v>
      </c>
      <c r="H18" s="108">
        <f>+G18/GETPIVOTDATA("Asignación inicial 2020",$A$5,"Area","COMUNALES","Sector Texto","COORDINACION TERRITORIAL Y PARTICIPACION CIUDADANA","Des.Centro Gestor","Administración Zonal Valle los Chillos")</f>
        <v>-0.25874892115687931</v>
      </c>
      <c r="I18" s="104">
        <f>+F18-GETPIVOTDATA("Codificado 2020",$A$5,"Area","COMUNALES","Sector Texto","COORDINACION TERRITORIAL Y PARTICIPACION CIUDADANA","Des.Centro Gestor","Administración Zonal Valle los Chillos")</f>
        <v>-527469.58000000007</v>
      </c>
      <c r="J18" s="108">
        <f>+I18/GETPIVOTDATA("Codificado 2020",$A$5,"Area","COMUNALES","Sector Texto","COORDINACION TERRITORIAL Y PARTICIPACION CIUDADANA","Des.Centro Gestor","Administración Zonal Valle los Chillos")</f>
        <v>-0.10707479352119825</v>
      </c>
    </row>
    <row r="19" spans="1:10" x14ac:dyDescent="0.2">
      <c r="A19" s="6" t="s">
        <v>106</v>
      </c>
      <c r="B19" s="7">
        <v>2497586.9000000004</v>
      </c>
      <c r="C19" s="7">
        <v>1959394.2799999998</v>
      </c>
      <c r="D19" s="7">
        <v>-559074.46</v>
      </c>
      <c r="E19" s="104">
        <v>592352.66999999993</v>
      </c>
      <c r="F19" s="96">
        <v>2235872.58</v>
      </c>
      <c r="G19" s="96">
        <f>+F19-GETPIVOTDATA("Asignación inicial 2020",$A$5,"Area","COMUNALES","Sector Texto","COORDINACION TERRITORIAL Y PARTICIPACION CIUDADANA","Des.Centro Gestor","Secretaría General Coordinac Territorial")</f>
        <v>-261714.3200000003</v>
      </c>
      <c r="H19" s="108">
        <f>+G19/GETPIVOTDATA("Asignación inicial 2020",$A$5,"Area","COMUNALES","Sector Texto","COORDINACION TERRITORIAL Y PARTICIPACION CIUDADANA","Des.Centro Gestor","Secretaría General Coordinac Territorial")</f>
        <v>-0.10478687248079346</v>
      </c>
      <c r="I19" s="104">
        <f>+F19-GETPIVOTDATA("Codificado 2020",$A$5,"Area","COMUNALES","Sector Texto","COORDINACION TERRITORIAL Y PARTICIPACION CIUDADANA","Des.Centro Gestor","Secretaría General Coordinac Territorial")</f>
        <v>276478.30000000028</v>
      </c>
      <c r="J19" s="108">
        <f>+I19/GETPIVOTDATA("Codificado 2020",$A$5,"Area","COMUNALES","Sector Texto","COORDINACION TERRITORIAL Y PARTICIPACION CIUDADANA","Des.Centro Gestor","Secretaría General Coordinac Territorial")</f>
        <v>0.14110396402708714</v>
      </c>
    </row>
    <row r="20" spans="1:10" x14ac:dyDescent="0.2">
      <c r="A20" s="6" t="s">
        <v>120</v>
      </c>
      <c r="B20" s="7">
        <v>1648137.6099999999</v>
      </c>
      <c r="C20" s="7">
        <v>909293.16</v>
      </c>
      <c r="D20" s="7">
        <v>-735562.61</v>
      </c>
      <c r="E20" s="104">
        <v>536558.29</v>
      </c>
      <c r="F20" s="96">
        <v>1173868.82</v>
      </c>
      <c r="G20" s="96">
        <f>+F20-GETPIVOTDATA("Asignación inicial 2020",$A$5,"Area","COMUNALES","Sector Texto","COORDINACION TERRITORIAL Y PARTICIPACION CIUDADANA","Des.Centro Gestor","Unidad Especial Regula Tu Barrio")</f>
        <v>-474268.7899999998</v>
      </c>
      <c r="H20" s="108">
        <f>+G20/GETPIVOTDATA("Asignación inicial 2020",$A$5,"Area","COMUNALES","Sector Texto","COORDINACION TERRITORIAL Y PARTICIPACION CIUDADANA","Des.Centro Gestor","Unidad Especial Regula Tu Barrio")</f>
        <v>-0.28776043160619325</v>
      </c>
      <c r="I20" s="104">
        <f>+F20-GETPIVOTDATA("Codificado 2020",$A$5,"Area","COMUNALES","Sector Texto","COORDINACION TERRITORIAL Y PARTICIPACION CIUDADANA","Des.Centro Gestor","Unidad Especial Regula Tu Barrio")</f>
        <v>264575.66000000003</v>
      </c>
      <c r="J20" s="108">
        <f>+I20/GETPIVOTDATA("Codificado 2020",$A$5,"Area","COMUNALES","Sector Texto","COORDINACION TERRITORIAL Y PARTICIPACION CIUDADANA","Des.Centro Gestor","Unidad Especial Regula Tu Barrio")</f>
        <v>0.29096849249366402</v>
      </c>
    </row>
    <row r="21" spans="1:10" x14ac:dyDescent="0.2">
      <c r="A21" s="6" t="s">
        <v>130</v>
      </c>
      <c r="B21" s="7">
        <v>1193686.1600000001</v>
      </c>
      <c r="C21" s="7">
        <v>882632.68</v>
      </c>
      <c r="D21" s="7">
        <v>-326109.55</v>
      </c>
      <c r="E21" s="104">
        <v>578565.09</v>
      </c>
      <c r="F21" s="96">
        <v>898801.31</v>
      </c>
      <c r="G21" s="96">
        <f>+F21-GETPIVOTDATA("Asignación inicial 2020",$A$5,"Area","COMUNALES","Sector Texto","COORDINACION TERRITORIAL Y PARTICIPACION CIUDADANA","Des.Centro Gestor","Unidad Especial Turística La Mariscal")</f>
        <v>-294884.85000000009</v>
      </c>
      <c r="H21" s="108">
        <f>+G21/GETPIVOTDATA("Asignación inicial 2020",$A$5,"Area","COMUNALES","Sector Texto","COORDINACION TERRITORIAL Y PARTICIPACION CIUDADANA","Des.Centro Gestor","Unidad Especial Turística La Mariscal")</f>
        <v>-0.24703716930084876</v>
      </c>
      <c r="I21" s="104">
        <f>+F21-GETPIVOTDATA("Codificado 2020",$A$5,"Area","COMUNALES","Sector Texto","COORDINACION TERRITORIAL Y PARTICIPACION CIUDADANA","Des.Centro Gestor","Unidad Especial Turística La Mariscal")</f>
        <v>16168.630000000005</v>
      </c>
      <c r="J21" s="108">
        <f>+I21/GETPIVOTDATA("Codificado 2020",$A$5,"Area","COMUNALES","Sector Texto","COORDINACION TERRITORIAL Y PARTICIPACION CIUDADANA","Des.Centro Gestor","Unidad Especial Turística La Mariscal")</f>
        <v>1.8318639640671364E-2</v>
      </c>
    </row>
    <row r="22" spans="1:10" x14ac:dyDescent="0.2">
      <c r="A22" s="5" t="s">
        <v>40</v>
      </c>
      <c r="B22" s="7">
        <v>231665781.70000002</v>
      </c>
      <c r="C22" s="7">
        <v>194715151.20999998</v>
      </c>
      <c r="D22" s="7">
        <v>-34747041.079999998</v>
      </c>
      <c r="E22" s="103">
        <v>115752860.37000002</v>
      </c>
      <c r="F22" s="97">
        <f>+SUM(F23:F27)</f>
        <v>114272036.03</v>
      </c>
      <c r="G22" s="97">
        <f>+F22-GETPIVOTDATA("Asignación inicial 2020",$A$5,"Area","COMUNALES","Sector Texto","MOVILIDAD")</f>
        <v>-117393745.67000002</v>
      </c>
      <c r="H22" s="107">
        <f>+G22/GETPIVOTDATA("Asignación inicial 2020",$A$5,"Area","COMUNALES","Sector Texto","MOVILIDAD")</f>
        <v>-0.50673752855750298</v>
      </c>
      <c r="I22" s="103">
        <f>+F22-GETPIVOTDATA("Codificado 2020",$A$5,"Area","COMUNALES","Sector Texto","MOVILIDAD")</f>
        <v>-80443115.179999977</v>
      </c>
      <c r="J22" s="107">
        <f>+I22/GETPIVOTDATA("Codificado 2020",$A$5,"Area","COMUNALES","Sector Texto","MOVILIDAD")</f>
        <v>-0.41313228416027165</v>
      </c>
    </row>
    <row r="23" spans="1:10" x14ac:dyDescent="0.2">
      <c r="A23" s="6" t="s">
        <v>78</v>
      </c>
      <c r="B23" s="7">
        <v>65513016.560000017</v>
      </c>
      <c r="C23" s="7">
        <v>54736225.80999998</v>
      </c>
      <c r="D23" s="7">
        <v>-10776790.75</v>
      </c>
      <c r="E23" s="104">
        <v>37150321.44000002</v>
      </c>
      <c r="F23" s="96">
        <v>53669436.789999999</v>
      </c>
      <c r="G23" s="96">
        <f>+F23-GETPIVOTDATA("Asignación inicial 2020",$A$5,"Area","COMUNALES","Sector Texto","MOVILIDAD","Des.Centro Gestor","Agencia Metrop Control Transito Seg vial")</f>
        <v>-11843579.770000018</v>
      </c>
      <c r="H23" s="108">
        <f>+G23/GETPIVOTDATA("Asignación inicial 2020",$A$5,"Area","COMUNALES","Sector Texto","MOVILIDAD","Des.Centro Gestor","Agencia Metrop Control Transito Seg vial")</f>
        <v>-0.18078208563565518</v>
      </c>
      <c r="I23" s="104">
        <f>+F23-GETPIVOTDATA("Codificado 2020",$A$5,"Area","COMUNALES","Sector Texto","MOVILIDAD","Des.Centro Gestor","Agencia Metrop Control Transito Seg vial")</f>
        <v>-1066789.0199999809</v>
      </c>
      <c r="J23" s="108">
        <f>+I23/GETPIVOTDATA("Codificado 2020",$A$5,"Area","COMUNALES","Sector Texto","MOVILIDAD","Des.Centro Gestor","Agencia Metrop Control Transito Seg vial")</f>
        <v>-1.9489634226937967E-2</v>
      </c>
    </row>
    <row r="24" spans="1:10" x14ac:dyDescent="0.2">
      <c r="A24" s="6" t="s">
        <v>1833</v>
      </c>
      <c r="B24" s="7">
        <v>26681305</v>
      </c>
      <c r="C24" s="7">
        <v>9159648.5600000005</v>
      </c>
      <c r="D24" s="7">
        <v>-16521656.439999999</v>
      </c>
      <c r="E24" s="104">
        <v>6331989.9199999999</v>
      </c>
      <c r="F24" s="96">
        <v>12000000</v>
      </c>
      <c r="G24" s="96">
        <f>+F24-GETPIVOTDATA("Asignación inicial 2020",$A$5,"Area","COMUNALES","Sector Texto","MOVILIDAD","Des.Centro Gestor","EPM METRO QUITO")</f>
        <v>-14681305</v>
      </c>
      <c r="H24" s="108">
        <f>+G24/GETPIVOTDATA("Asignación inicial 2020",$A$5,"Area","COMUNALES","Sector Texto","MOVILIDAD","Des.Centro Gestor","EPM METRO QUITO")</f>
        <v>-0.55024688634982433</v>
      </c>
      <c r="I24" s="104">
        <f>+F24-GETPIVOTDATA("Codificado 2020",$A$5,"Area","COMUNALES","Sector Texto","MOVILIDAD","Des.Centro Gestor","EPM METRO QUITO")</f>
        <v>2840351.4399999995</v>
      </c>
      <c r="J24" s="108">
        <f>+I24/GETPIVOTDATA("Codificado 2020",$A$5,"Area","COMUNALES","Sector Texto","MOVILIDAD","Des.Centro Gestor","EPM METRO QUITO")</f>
        <v>0.31009393225016912</v>
      </c>
    </row>
    <row r="25" spans="1:10" x14ac:dyDescent="0.2">
      <c r="A25" s="6" t="s">
        <v>1824</v>
      </c>
      <c r="B25" s="7">
        <v>90835265.430000007</v>
      </c>
      <c r="C25" s="7">
        <v>89630496.020000011</v>
      </c>
      <c r="D25" s="7">
        <v>0</v>
      </c>
      <c r="E25" s="104">
        <v>45065698.589999996</v>
      </c>
      <c r="F25" s="96">
        <v>26475897.309999999</v>
      </c>
      <c r="G25" s="96">
        <f>+F25-GETPIVOTDATA("Asignación inicial 2020",$A$5,"Area","COMUNALES","Sector Texto","MOVILIDAD","Des.Centro Gestor","EPM MOVILIDAD Y OBRAS PUBLICAS")</f>
        <v>-64359368.120000005</v>
      </c>
      <c r="H25" s="108">
        <f>+G25/GETPIVOTDATA("Asignación inicial 2020",$A$5,"Area","COMUNALES","Sector Texto","MOVILIDAD","Des.Centro Gestor","EPM MOVILIDAD Y OBRAS PUBLICAS")</f>
        <v>-0.70852843127977638</v>
      </c>
      <c r="I25" s="104">
        <f>+F25-GETPIVOTDATA("Codificado 2020",$A$5,"Area","COMUNALES","Sector Texto","MOVILIDAD","Des.Centro Gestor","EPM MOVILIDAD Y OBRAS PUBLICAS")</f>
        <v>-63154598.710000008</v>
      </c>
      <c r="J25" s="108">
        <f>+I25/GETPIVOTDATA("Codificado 2020",$A$5,"Area","COMUNALES","Sector Texto","MOVILIDAD","Des.Centro Gestor","EPM MOVILIDAD Y OBRAS PUBLICAS")</f>
        <v>-0.70461061261903302</v>
      </c>
    </row>
    <row r="26" spans="1:10" x14ac:dyDescent="0.2">
      <c r="A26" s="6" t="s">
        <v>1829</v>
      </c>
      <c r="B26" s="7">
        <v>41000000</v>
      </c>
      <c r="C26" s="7">
        <v>37054233.100000001</v>
      </c>
      <c r="D26" s="7">
        <v>-3945766.9</v>
      </c>
      <c r="E26" s="104">
        <v>25404195.149999999</v>
      </c>
      <c r="F26" s="96">
        <v>20000000</v>
      </c>
      <c r="G26" s="96">
        <f>+F26-GETPIVOTDATA("Asignación inicial 2020",$A$5,"Area","COMUNALES","Sector Texto","MOVILIDAD","Des.Centro Gestor","EPM TRANSPORTE DE PASAJEROS")</f>
        <v>-21000000</v>
      </c>
      <c r="H26" s="108">
        <f>+G26/GETPIVOTDATA("Asignación inicial 2020",$A$5,"Area","COMUNALES","Sector Texto","MOVILIDAD","Des.Centro Gestor","EPM TRANSPORTE DE PASAJEROS")</f>
        <v>-0.51219512195121952</v>
      </c>
      <c r="I26" s="104">
        <f>+F26-GETPIVOTDATA("Codificado 2020",$A$5,"Area","COMUNALES","Sector Texto","MOVILIDAD","Des.Centro Gestor","EPM TRANSPORTE DE PASAJEROS")</f>
        <v>-17054233.100000001</v>
      </c>
      <c r="J26" s="108">
        <f>+I26/GETPIVOTDATA("Codificado 2020",$A$5,"Area","COMUNALES","Sector Texto","MOVILIDAD","Des.Centro Gestor","EPM TRANSPORTE DE PASAJEROS")</f>
        <v>-0.46025060224495651</v>
      </c>
    </row>
    <row r="27" spans="1:10" x14ac:dyDescent="0.2">
      <c r="A27" s="6" t="s">
        <v>42</v>
      </c>
      <c r="B27" s="7">
        <v>7636194.71</v>
      </c>
      <c r="C27" s="7">
        <v>4134547.72</v>
      </c>
      <c r="D27" s="7">
        <v>-3502826.99</v>
      </c>
      <c r="E27" s="104">
        <v>1800655.2700000003</v>
      </c>
      <c r="F27" s="96">
        <v>2126701.9300000002</v>
      </c>
      <c r="G27" s="96">
        <f>+F27-GETPIVOTDATA("Asignación inicial 2020",$A$5,"Area","COMUNALES","Sector Texto","MOVILIDAD","Des.Centro Gestor","Secretaría De Movilidad")</f>
        <v>-5509492.7799999993</v>
      </c>
      <c r="H27" s="108">
        <f>+G27/GETPIVOTDATA("Asignación inicial 2020",$A$5,"Area","COMUNALES","Sector Texto","MOVILIDAD","Des.Centro Gestor","Secretaría De Movilidad")</f>
        <v>-0.72149715784290147</v>
      </c>
      <c r="I27" s="104">
        <f>+F27-GETPIVOTDATA("Codificado 2020",$A$5,"Area","COMUNALES","Sector Texto","MOVILIDAD","Des.Centro Gestor","Secretaría De Movilidad")</f>
        <v>-2007845.79</v>
      </c>
      <c r="J27" s="108">
        <f>+I27/GETPIVOTDATA("Codificado 2020",$A$5,"Area","COMUNALES","Sector Texto","MOVILIDAD","Des.Centro Gestor","Secretaría De Movilidad")</f>
        <v>-0.48562646412023996</v>
      </c>
    </row>
    <row r="28" spans="1:10" x14ac:dyDescent="0.2">
      <c r="A28" s="5" t="s">
        <v>70</v>
      </c>
      <c r="B28" s="7">
        <v>33703279.339999996</v>
      </c>
      <c r="C28" s="7">
        <v>30121655.489999995</v>
      </c>
      <c r="D28" s="7">
        <v>-3214435.46</v>
      </c>
      <c r="E28" s="103">
        <v>21319964.23</v>
      </c>
      <c r="F28" s="97">
        <v>28566507.800000004</v>
      </c>
      <c r="G28" s="97">
        <f>+F28-GETPIVOTDATA("Asignación inicial 2020",$A$5,"Area","COMUNALES","Sector Texto","SEGURIDAD Y GOBERNABILIDAD")</f>
        <v>-5136771.5399999917</v>
      </c>
      <c r="H28" s="107">
        <f>+G28/GETPIVOTDATA("Asignación inicial 2020",$A$5,"Area","COMUNALES","Sector Texto","SEGURIDAD Y GOBERNABILIDAD")</f>
        <v>-0.15241162404940006</v>
      </c>
      <c r="I28" s="103">
        <f>+F28-GETPIVOTDATA("Codificado 2020",$A$5,"Area","COMUNALES","Sector Texto","SEGURIDAD Y GOBERNABILIDAD")</f>
        <v>-1555147.6899999902</v>
      </c>
      <c r="J28" s="107">
        <f>+I28/GETPIVOTDATA("Codificado 2020",$A$5,"Area","COMUNALES","Sector Texto","SEGURIDAD Y GOBERNABILIDAD")</f>
        <v>-5.1628891729283581E-2</v>
      </c>
    </row>
    <row r="29" spans="1:10" x14ac:dyDescent="0.2">
      <c r="A29" s="6" t="s">
        <v>90</v>
      </c>
      <c r="B29" s="7">
        <v>26408034.029999997</v>
      </c>
      <c r="C29" s="7">
        <v>24357139.209999997</v>
      </c>
      <c r="D29" s="7">
        <v>-2050944.82</v>
      </c>
      <c r="E29" s="104">
        <v>16896415.640000001</v>
      </c>
      <c r="F29" s="96">
        <v>23137551.670000002</v>
      </c>
      <c r="G29" s="96">
        <f>+F29-GETPIVOTDATA("Asignación inicial 2020",$A$5,"Area","COMUNALES","Sector Texto","SEGURIDAD Y GOBERNABILIDAD","Des.Centro Gestor","Cuerpo de Agentes de Control")</f>
        <v>-3270482.3599999957</v>
      </c>
      <c r="H29" s="108">
        <f>+G29/GETPIVOTDATA("Asignación inicial 2020",$A$5,"Area","COMUNALES","Sector Texto","SEGURIDAD Y GOBERNABILIDAD","Des.Centro Gestor","Cuerpo de Agentes de Control")</f>
        <v>-0.12384421938735271</v>
      </c>
      <c r="I29" s="104">
        <f>+F29-GETPIVOTDATA("Codificado 2020",$A$5,"Area","COMUNALES","Sector Texto","SEGURIDAD Y GOBERNABILIDAD","Des.Centro Gestor","Cuerpo de Agentes de Control")</f>
        <v>-1219587.5399999954</v>
      </c>
      <c r="J29" s="108">
        <f>+I29/GETPIVOTDATA("Codificado 2020",$A$5,"Area","COMUNALES","Sector Texto","SEGURIDAD Y GOBERNABILIDAD","Des.Centro Gestor","Cuerpo de Agentes de Control")</f>
        <v>-5.0071050195389329E-2</v>
      </c>
    </row>
    <row r="30" spans="1:10" x14ac:dyDescent="0.2">
      <c r="A30" s="6" t="s">
        <v>72</v>
      </c>
      <c r="B30" s="7">
        <v>7295245.3100000015</v>
      </c>
      <c r="C30" s="7">
        <v>5764516.2799999993</v>
      </c>
      <c r="D30" s="7">
        <v>-1163490.6400000001</v>
      </c>
      <c r="E30" s="104">
        <v>4423548.5900000008</v>
      </c>
      <c r="F30" s="96">
        <v>5428956.1300000008</v>
      </c>
      <c r="G30" s="96">
        <f>+F30-GETPIVOTDATA("Asignación inicial 2020",$A$5,"Area","COMUNALES","Sector Texto","SEGURIDAD Y GOBERNABILIDAD","Des.Centro Gestor","Secretaría General Seguridad Gobernabili")</f>
        <v>-1866289.1800000006</v>
      </c>
      <c r="H30" s="108">
        <f>+G30/GETPIVOTDATA("Asignación inicial 2020",$A$5,"Area","COMUNALES","Sector Texto","SEGURIDAD Y GOBERNABILIDAD","Des.Centro Gestor","Secretaría General Seguridad Gobernabili")</f>
        <v>-0.25582267637275657</v>
      </c>
      <c r="I30" s="104">
        <f>+F30-GETPIVOTDATA("Codificado 2020",$A$5,"Area","COMUNALES","Sector Texto","SEGURIDAD Y GOBERNABILIDAD","Des.Centro Gestor","Secretaría General Seguridad Gobernabili")</f>
        <v>-335560.14999999851</v>
      </c>
      <c r="J30" s="108">
        <f>+I30/GETPIVOTDATA("Codificado 2020",$A$5,"Area","COMUNALES","Sector Texto","SEGURIDAD Y GOBERNABILIDAD","Des.Centro Gestor","Secretaría General Seguridad Gobernabili")</f>
        <v>-5.8211328357979507E-2</v>
      </c>
    </row>
    <row r="31" spans="1:10" x14ac:dyDescent="0.2">
      <c r="A31" s="5" t="s">
        <v>66</v>
      </c>
      <c r="B31" s="7">
        <v>46672318.969999999</v>
      </c>
      <c r="C31" s="7">
        <v>25072678.480000004</v>
      </c>
      <c r="D31" s="7">
        <v>-21603717.879999999</v>
      </c>
      <c r="E31" s="103">
        <v>14826512.450000001</v>
      </c>
      <c r="F31" s="97">
        <v>11826653.51</v>
      </c>
      <c r="G31" s="97">
        <f>+F31-GETPIVOTDATA("Asignación inicial 2020",$A$5,"Area","COMUNALES","Sector Texto","TERRITORIO HABITAT Y VIVIENDA")</f>
        <v>-34845665.460000001</v>
      </c>
      <c r="H31" s="107">
        <f>+G31/GETPIVOTDATA("Asignación inicial 2020",$A$5,"Area","COMUNALES","Sector Texto","TERRITORIO HABITAT Y VIVIENDA")</f>
        <v>-0.74660240221614171</v>
      </c>
      <c r="I31" s="103">
        <f>+F31-GETPIVOTDATA("Codificado 2020",$A$5,"Area","COMUNALES","Sector Texto","TERRITORIO HABITAT Y VIVIENDA")</f>
        <v>-13246024.970000004</v>
      </c>
      <c r="J31" s="107">
        <f>+I31/GETPIVOTDATA("Codificado 2020",$A$5,"Area","COMUNALES","Sector Texto","TERRITORIO HABITAT Y VIVIENDA")</f>
        <v>-0.52830514221151537</v>
      </c>
    </row>
    <row r="32" spans="1:10" x14ac:dyDescent="0.2">
      <c r="A32" s="6" t="s">
        <v>1844</v>
      </c>
      <c r="B32" s="7">
        <v>13000000</v>
      </c>
      <c r="C32" s="7">
        <v>3250000</v>
      </c>
      <c r="D32" s="7">
        <v>-9750000</v>
      </c>
      <c r="E32" s="104">
        <v>3249999.99</v>
      </c>
      <c r="F32" s="96">
        <v>0</v>
      </c>
      <c r="G32" s="96">
        <f>+F32-GETPIVOTDATA("Asignación inicial 2020",$A$5,"Area","COMUNALES","Sector Texto","TERRITORIO HABITAT Y VIVIENDA","Des.Centro Gestor","EPM AGUA POTABLE")</f>
        <v>-13000000</v>
      </c>
      <c r="H32" s="108">
        <f>+G32/GETPIVOTDATA("Asignación inicial 2020",$A$5,"Area","COMUNALES","Sector Texto","TERRITORIO HABITAT Y VIVIENDA","Des.Centro Gestor","EPM AGUA POTABLE")</f>
        <v>-1</v>
      </c>
      <c r="I32" s="104">
        <f>+F32-GETPIVOTDATA("Codificado 2020",$A$5,"Area","COMUNALES","Sector Texto","TERRITORIO HABITAT Y VIVIENDA","Des.Centro Gestor","EPM AGUA POTABLE")</f>
        <v>-3250000</v>
      </c>
      <c r="J32" s="108">
        <f>+I32/GETPIVOTDATA("Codificado 2020",$A$5,"Area","COMUNALES","Sector Texto","TERRITORIO HABITAT Y VIVIENDA","Des.Centro Gestor","EPM AGUA POTABLE")</f>
        <v>-1</v>
      </c>
    </row>
    <row r="33" spans="1:10" x14ac:dyDescent="0.2">
      <c r="A33" s="6" t="s">
        <v>827</v>
      </c>
      <c r="B33" s="7">
        <v>3500000</v>
      </c>
      <c r="C33" s="7">
        <v>2166666.67</v>
      </c>
      <c r="D33" s="7">
        <v>-1333333.33</v>
      </c>
      <c r="E33" s="104">
        <v>1166666.67</v>
      </c>
      <c r="F33" s="96">
        <v>0</v>
      </c>
      <c r="G33" s="96">
        <f>+F33-GETPIVOTDATA("Asignación inicial 2020",$A$5,"Area","COMUNALES","Sector Texto","TERRITORIO HABITAT Y VIVIENDA","Des.Centro Gestor","EPM HABITAT Y VIVENDA")</f>
        <v>-3500000</v>
      </c>
      <c r="H33" s="108">
        <f>+G33/GETPIVOTDATA("Asignación inicial 2020",$A$5,"Area","COMUNALES","Sector Texto","TERRITORIO HABITAT Y VIVIENDA","Des.Centro Gestor","EPM HABITAT Y VIVENDA")</f>
        <v>-1</v>
      </c>
      <c r="I33" s="104">
        <f>+F33-GETPIVOTDATA("Codificado 2020",$A$5,"Area","COMUNALES","Sector Texto","TERRITORIO HABITAT Y VIVIENDA","Des.Centro Gestor","EPM HABITAT Y VIVENDA")</f>
        <v>-2166666.67</v>
      </c>
      <c r="J33" s="108">
        <f>+I33/GETPIVOTDATA("Codificado 2020",$A$5,"Area","COMUNALES","Sector Texto","TERRITORIO HABITAT Y VIVIENDA","Des.Centro Gestor","EPM HABITAT Y VIVENDA")</f>
        <v>-1</v>
      </c>
    </row>
    <row r="34" spans="1:10" x14ac:dyDescent="0.2">
      <c r="A34" s="6" t="s">
        <v>68</v>
      </c>
      <c r="B34" s="7">
        <v>27474689.530000001</v>
      </c>
      <c r="C34" s="7">
        <v>17325694.890000001</v>
      </c>
      <c r="D34" s="7">
        <v>-10148994.639999999</v>
      </c>
      <c r="E34" s="104">
        <v>8690172.1400000006</v>
      </c>
      <c r="F34" s="96">
        <v>9560980.4100000001</v>
      </c>
      <c r="G34" s="96">
        <f>+F34-GETPIVOTDATA("Asignación inicial 2020",$A$5,"Area","COMUNALES","Sector Texto","TERRITORIO HABITAT Y VIVIENDA","Des.Centro Gestor","Instituto Metropolitano de Patrimonio")</f>
        <v>-17913709.120000001</v>
      </c>
      <c r="H34" s="108">
        <f>+G34/GETPIVOTDATA("Asignación inicial 2020",$A$5,"Area","COMUNALES","Sector Texto","TERRITORIO HABITAT Y VIVIENDA","Des.Centro Gestor","Instituto Metropolitano de Patrimonio")</f>
        <v>-0.65200769968445937</v>
      </c>
      <c r="I34" s="104">
        <f>+F34-GETPIVOTDATA("Codificado 2020",$A$5,"Area","COMUNALES","Sector Texto","TERRITORIO HABITAT Y VIVIENDA","Des.Centro Gestor","Instituto Metropolitano de Patrimonio")</f>
        <v>-7764714.4800000004</v>
      </c>
      <c r="J34" s="108">
        <f>+I34/GETPIVOTDATA("Codificado 2020",$A$5,"Area","COMUNALES","Sector Texto","TERRITORIO HABITAT Y VIVIENDA","Des.Centro Gestor","Instituto Metropolitano de Patrimonio")</f>
        <v>-0.44816179260328648</v>
      </c>
    </row>
    <row r="35" spans="1:10" x14ac:dyDescent="0.2">
      <c r="A35" s="6" t="s">
        <v>122</v>
      </c>
      <c r="B35" s="7">
        <v>2697629.4399999995</v>
      </c>
      <c r="C35" s="7">
        <v>2330316.92</v>
      </c>
      <c r="D35" s="7">
        <v>-371389.91000000003</v>
      </c>
      <c r="E35" s="104">
        <v>1719673.6500000001</v>
      </c>
      <c r="F35" s="96">
        <v>2265673.0999999996</v>
      </c>
      <c r="G35" s="96">
        <f>+F35-GETPIVOTDATA("Asignación inicial 2020",$A$5,"Area","COMUNALES","Sector Texto","TERRITORIO HABITAT Y VIVIENDA","Des.Centro Gestor","Secretaría Territorio, Hábitat  Vivienda")</f>
        <v>-431956.33999999985</v>
      </c>
      <c r="H35" s="108">
        <f>+G35/GETPIVOTDATA("Asignación inicial 2020",$A$5,"Area","COMUNALES","Sector Texto","TERRITORIO HABITAT Y VIVIENDA","Des.Centro Gestor","Secretaría Territorio, Hábitat  Vivienda")</f>
        <v>-0.16012441649509873</v>
      </c>
      <c r="I35" s="104">
        <f>+F35-GETPIVOTDATA("Codificado 2020",$A$5,"Area","COMUNALES","Sector Texto","TERRITORIO HABITAT Y VIVIENDA","Des.Centro Gestor","Secretaría Territorio, Hábitat  Vivienda")</f>
        <v>-64643.820000000298</v>
      </c>
      <c r="J35" s="108">
        <f>+I35/GETPIVOTDATA("Codificado 2020",$A$5,"Area","COMUNALES","Sector Texto","TERRITORIO HABITAT Y VIVIENDA","Des.Centro Gestor","Secretaría Territorio, Hábitat  Vivienda")</f>
        <v>-2.7740355590775308E-2</v>
      </c>
    </row>
    <row r="36" spans="1:10" x14ac:dyDescent="0.2">
      <c r="A36" s="4" t="s">
        <v>53</v>
      </c>
      <c r="B36" s="7">
        <v>13746781.57</v>
      </c>
      <c r="C36" s="7">
        <v>11587453.43</v>
      </c>
      <c r="D36" s="7">
        <v>-2150659.4900000002</v>
      </c>
      <c r="E36" s="102">
        <v>4822244.95</v>
      </c>
      <c r="F36" s="98">
        <v>12100430.140000001</v>
      </c>
      <c r="G36" s="98">
        <f>+F36-GETPIVOTDATA("Asignación inicial 2020",$A$5,"Area","ECONÓMICOS")</f>
        <v>-1646351.4299999997</v>
      </c>
      <c r="H36" s="106">
        <f>+G36/GETPIVOTDATA("Asignación inicial 2020",$A$5,"Area","ECONÓMICOS")</f>
        <v>-0.11976268202245099</v>
      </c>
      <c r="I36" s="102">
        <f>+F36-GETPIVOTDATA("Codificado 2020",$A$5,"Area","ECONÓMICOS")</f>
        <v>512976.71000000089</v>
      </c>
      <c r="J36" s="106">
        <f>+I36/GETPIVOTDATA("Codificado 2020",$A$5,"Area","ECONÓMICOS")</f>
        <v>4.4270012656266691E-2</v>
      </c>
    </row>
    <row r="37" spans="1:10" x14ac:dyDescent="0.2">
      <c r="A37" s="5" t="s">
        <v>54</v>
      </c>
      <c r="B37" s="7">
        <v>8531767.129999999</v>
      </c>
      <c r="C37" s="7">
        <v>3617915.1500000004</v>
      </c>
      <c r="D37" s="7">
        <v>-4403757.55</v>
      </c>
      <c r="E37" s="103">
        <v>1963805.6199999999</v>
      </c>
      <c r="F37" s="97">
        <v>4851369.72</v>
      </c>
      <c r="G37" s="97">
        <f>+F37-GETPIVOTDATA("Asignación inicial 2020",$A$5,"Area","ECONÓMICOS","Sector Texto","AGENCIA DE COORDINACIÓN DISTRITAL DE COMERCIO")</f>
        <v>-3680397.4099999992</v>
      </c>
      <c r="H37" s="107">
        <f>+G37/GETPIVOTDATA("Asignación inicial 2020",$A$5,"Area","ECONÓMICOS","Sector Texto","AGENCIA DE COORDINACIÓN DISTRITAL DE COMERCIO")</f>
        <v>-0.43137574595287853</v>
      </c>
      <c r="I37" s="103">
        <f>+F37-GETPIVOTDATA("Codificado 2020",$A$5,"Area","ECONÓMICOS","Sector Texto","AGENCIA DE COORDINACIÓN DISTRITAL DE COMERCIO")</f>
        <v>1233454.5699999994</v>
      </c>
      <c r="J37" s="107">
        <f>+I37/GETPIVOTDATA("Codificado 2020",$A$5,"Area","ECONÓMICOS","Sector Texto","AGENCIA DE COORDINACIÓN DISTRITAL DE COMERCIO")</f>
        <v>0.34092965668362873</v>
      </c>
    </row>
    <row r="38" spans="1:10" x14ac:dyDescent="0.2">
      <c r="A38" s="6" t="s">
        <v>56</v>
      </c>
      <c r="B38" s="7">
        <v>8101767.1299999999</v>
      </c>
      <c r="C38" s="7">
        <v>3438748.2800000003</v>
      </c>
      <c r="D38" s="7">
        <v>-4152924.42</v>
      </c>
      <c r="E38" s="104">
        <v>1820472.2999999998</v>
      </c>
      <c r="F38" s="96">
        <v>4851369.72</v>
      </c>
      <c r="G38" s="96">
        <f>+F38-GETPIVOTDATA("Asignación inicial 2020",$A$5,"Area","ECONÓMICOS","Sector Texto","AGENCIA DE COORDINACIÓN DISTRITAL DE COMERCIO","Des.Centro Gestor","Agencia de Coord. Distrital del Comercio")</f>
        <v>-3250397.41</v>
      </c>
      <c r="H38" s="108">
        <f>+G38/GETPIVOTDATA("Asignación inicial 2020",$A$5,"Area","ECONÓMICOS","Sector Texto","AGENCIA DE COORDINACIÓN DISTRITAL DE COMERCIO","Des.Centro Gestor","Agencia de Coord. Distrital del Comercio")</f>
        <v>-0.40119610423806396</v>
      </c>
      <c r="I38" s="104">
        <f>+F38-GETPIVOTDATA("Codificado 2020",$A$5,"Area","ECONÓMICOS","Sector Texto","AGENCIA DE COORDINACIÓN DISTRITAL DE COMERCIO","Des.Centro Gestor","Agencia de Coord. Distrital del Comercio")</f>
        <v>1412621.4399999995</v>
      </c>
      <c r="J38" s="108">
        <f>+I38/GETPIVOTDATA("Codificado 2020",$A$5,"Area","ECONÓMICOS","Sector Texto","AGENCIA DE COORDINACIÓN DISTRITAL DE COMERCIO","Des.Centro Gestor","Agencia de Coord. Distrital del Comercio")</f>
        <v>0.41079524436723219</v>
      </c>
    </row>
    <row r="39" spans="1:10" x14ac:dyDescent="0.2">
      <c r="A39" s="6" t="s">
        <v>1785</v>
      </c>
      <c r="B39" s="7">
        <v>430000</v>
      </c>
      <c r="C39" s="7">
        <v>179166.87</v>
      </c>
      <c r="D39" s="7">
        <v>-250833.13</v>
      </c>
      <c r="E39" s="104">
        <v>143333.32</v>
      </c>
      <c r="F39" s="96">
        <v>0</v>
      </c>
      <c r="G39" s="96">
        <f>+F39-GETPIVOTDATA("Asignación inicial 2020",$A$5,"Area","ECONÓMICOS","Sector Texto","AGENCIA DE COORDINACIÓN DISTRITAL DE COMERCIO","Des.Centro Gestor","EPM MERCADO MAYORISTA")</f>
        <v>-430000</v>
      </c>
      <c r="H39" s="108">
        <f>+G39/GETPIVOTDATA("Asignación inicial 2020",$A$5,"Area","ECONÓMICOS","Sector Texto","AGENCIA DE COORDINACIÓN DISTRITAL DE COMERCIO","Des.Centro Gestor","EPM MERCADO MAYORISTA")</f>
        <v>-1</v>
      </c>
      <c r="I39" s="104">
        <f>+F39-GETPIVOTDATA("Codificado 2020",$A$5,"Area","ECONÓMICOS","Sector Texto","AGENCIA DE COORDINACIÓN DISTRITAL DE COMERCIO","Des.Centro Gestor","EPM MERCADO MAYORISTA")</f>
        <v>-179166.87</v>
      </c>
      <c r="J39" s="108">
        <f>+I39/GETPIVOTDATA("Codificado 2020",$A$5,"Area","ECONÓMICOS","Sector Texto","AGENCIA DE COORDINACIÓN DISTRITAL DE COMERCIO","Des.Centro Gestor","EPM MERCADO MAYORISTA")</f>
        <v>-1</v>
      </c>
    </row>
    <row r="40" spans="1:10" x14ac:dyDescent="0.2">
      <c r="A40" s="5" t="s">
        <v>85</v>
      </c>
      <c r="B40" s="7">
        <v>5215014.4400000004</v>
      </c>
      <c r="C40" s="7">
        <v>7969538.2799999993</v>
      </c>
      <c r="D40" s="7">
        <v>2253098.0599999996</v>
      </c>
      <c r="E40" s="103">
        <v>2858439.33</v>
      </c>
      <c r="F40" s="97">
        <v>7249060.4199999999</v>
      </c>
      <c r="G40" s="97">
        <f>+F40-GETPIVOTDATA("Asignación inicial 2020",$A$5,"Area","ECONÓMICOS","Sector Texto","DESARROLLO PRODUCTIVO Y COMPETITIVIDAD")</f>
        <v>2034045.9799999995</v>
      </c>
      <c r="H40" s="107">
        <f>+G40/GETPIVOTDATA("Asignación inicial 2020",$A$5,"Area","ECONÓMICOS","Sector Texto","DESARROLLO PRODUCTIVO Y COMPETITIVIDAD")</f>
        <v>0.39003650007151264</v>
      </c>
      <c r="I40" s="103">
        <f>+F40-GETPIVOTDATA("Codificado 2020",$A$5,"Area","ECONÓMICOS","Sector Texto","DESARROLLO PRODUCTIVO Y COMPETITIVIDAD")</f>
        <v>-720477.8599999994</v>
      </c>
      <c r="J40" s="107">
        <f>+I40/GETPIVOTDATA("Codificado 2020",$A$5,"Area","ECONÓMICOS","Sector Texto","DESARROLLO PRODUCTIVO Y COMPETITIVIDAD")</f>
        <v>-9.0403965033718295E-2</v>
      </c>
    </row>
    <row r="41" spans="1:10" x14ac:dyDescent="0.2">
      <c r="A41" s="6" t="s">
        <v>1807</v>
      </c>
      <c r="B41" s="7">
        <v>1642926</v>
      </c>
      <c r="C41" s="7">
        <v>1437597</v>
      </c>
      <c r="D41" s="7">
        <v>-205329</v>
      </c>
      <c r="E41" s="104">
        <v>684552.5</v>
      </c>
      <c r="F41" s="96">
        <v>1500000</v>
      </c>
      <c r="G41" s="96">
        <f>+F41-GETPIVOTDATA("Asignación inicial 2020",$A$5,"Area","ECONÓMICOS","Sector Texto","DESARROLLO PRODUCTIVO Y COMPETITIVIDAD","Des.Centro Gestor","CONQUITO")</f>
        <v>-142926</v>
      </c>
      <c r="H41" s="108">
        <f>+G41/GETPIVOTDATA("Asignación inicial 2020",$A$5,"Area","ECONÓMICOS","Sector Texto","DESARROLLO PRODUCTIVO Y COMPETITIVIDAD","Des.Centro Gestor","CONQUITO")</f>
        <v>-8.6994788566253131E-2</v>
      </c>
      <c r="I41" s="104">
        <f>+F41-GETPIVOTDATA("Codificado 2020",$A$5,"Area","ECONÓMICOS","Sector Texto","DESARROLLO PRODUCTIVO Y COMPETITIVIDAD","Des.Centro Gestor","CONQUITO")</f>
        <v>62403</v>
      </c>
      <c r="J41" s="108">
        <f>+I41/GETPIVOTDATA("Codificado 2020",$A$5,"Area","ECONÓMICOS","Sector Texto","DESARROLLO PRODUCTIVO Y COMPETITIVIDAD","Des.Centro Gestor","CONQUITO")</f>
        <v>4.3407853522231893E-2</v>
      </c>
    </row>
    <row r="42" spans="1:10" x14ac:dyDescent="0.2">
      <c r="A42" s="6" t="s">
        <v>1812</v>
      </c>
      <c r="B42" s="7">
        <v>2635898.96</v>
      </c>
      <c r="C42" s="7">
        <v>1581526.59</v>
      </c>
      <c r="D42" s="7">
        <v>-1054372.3700000001</v>
      </c>
      <c r="E42" s="104">
        <v>1171505.33</v>
      </c>
      <c r="F42" s="96">
        <v>1000000</v>
      </c>
      <c r="G42" s="96">
        <f>+F42-GETPIVOTDATA("Asignación inicial 2020",$A$5,"Area","ECONÓMICOS","Sector Texto","DESARROLLO PRODUCTIVO Y COMPETITIVIDAD","Des.Centro Gestor","EPM GESTION DE DESTINO TURISTICO")</f>
        <v>-1635898.96</v>
      </c>
      <c r="H42" s="108">
        <f>+G42/GETPIVOTDATA("Asignación inicial 2020",$A$5,"Area","ECONÓMICOS","Sector Texto","DESARROLLO PRODUCTIVO Y COMPETITIVIDAD","Des.Centro Gestor","EPM GESTION DE DESTINO TURISTICO")</f>
        <v>-0.6206227874531276</v>
      </c>
      <c r="I42" s="104">
        <f>+F42-GETPIVOTDATA("Codificado 2020",$A$5,"Area","ECONÓMICOS","Sector Texto","DESARROLLO PRODUCTIVO Y COMPETITIVIDAD","Des.Centro Gestor","EPM GESTION DE DESTINO TURISTICO")</f>
        <v>-581526.59000000008</v>
      </c>
      <c r="J42" s="108">
        <f>+I42/GETPIVOTDATA("Codificado 2020",$A$5,"Area","ECONÓMICOS","Sector Texto","DESARROLLO PRODUCTIVO Y COMPETITIVIDAD","Des.Centro Gestor","EPM GESTION DE DESTINO TURISTICO")</f>
        <v>-0.36769953390413757</v>
      </c>
    </row>
    <row r="43" spans="1:10" x14ac:dyDescent="0.2">
      <c r="A43" s="6" t="s">
        <v>832</v>
      </c>
      <c r="B43" s="7">
        <v>0</v>
      </c>
      <c r="C43" s="7">
        <v>4369774.92</v>
      </c>
      <c r="D43" s="7">
        <v>3784852.09</v>
      </c>
      <c r="E43" s="104">
        <v>584922.82999999996</v>
      </c>
      <c r="F43" s="96">
        <v>3500000</v>
      </c>
      <c r="G43" s="96">
        <f>+F43-GETPIVOTDATA("Asignación inicial 2020",$A$5,"Area","ECONÓMICOS","Sector Texto","DESARROLLO PRODUCTIVO Y COMPETITIVIDAD","Des.Centro Gestor","EPM SERVICIOS AEROPORTUARIOS Y GESTION D")</f>
        <v>3500000</v>
      </c>
      <c r="H43" s="108" t="e">
        <f>+G43/GETPIVOTDATA("Asignación inicial 2020",$A$5,"Area","ECONÓMICOS","Sector Texto","DESARROLLO PRODUCTIVO Y COMPETITIVIDAD","Des.Centro Gestor","EPM SERVICIOS AEROPORTUARIOS Y GESTION D")</f>
        <v>#DIV/0!</v>
      </c>
      <c r="I43" s="104">
        <f>+F43-GETPIVOTDATA("Codificado 2020",$A$5,"Area","ECONÓMICOS","Sector Texto","DESARROLLO PRODUCTIVO Y COMPETITIVIDAD","Des.Centro Gestor","EPM SERVICIOS AEROPORTUARIOS Y GESTION D")</f>
        <v>-869774.91999999993</v>
      </c>
      <c r="J43" s="108">
        <f>+I43/GETPIVOTDATA("Codificado 2020",$A$5,"Area","ECONÓMICOS","Sector Texto","DESARROLLO PRODUCTIVO Y COMPETITIVIDAD","Des.Centro Gestor","EPM SERVICIOS AEROPORTUARIOS Y GESTION D")</f>
        <v>-0.19904341434592698</v>
      </c>
    </row>
    <row r="44" spans="1:10" x14ac:dyDescent="0.2">
      <c r="A44" s="6" t="s">
        <v>87</v>
      </c>
      <c r="B44" s="7">
        <v>936189.4800000001</v>
      </c>
      <c r="C44" s="7">
        <v>580639.7699999999</v>
      </c>
      <c r="D44" s="7">
        <v>-272052.66000000003</v>
      </c>
      <c r="E44" s="104">
        <v>417458.66999999993</v>
      </c>
      <c r="F44" s="96">
        <v>1249060.42</v>
      </c>
      <c r="G44" s="96">
        <f>+F44-GETPIVOTDATA("Asignación inicial 2020",$A$5,"Area","ECONÓMICOS","Sector Texto","DESARROLLO PRODUCTIVO Y COMPETITIVIDAD","Des.Centro Gestor","Secretaría Desarrollo Productivo Competi")</f>
        <v>312870.93999999983</v>
      </c>
      <c r="H44" s="108">
        <f>+G44/GETPIVOTDATA("Asignación inicial 2020",$A$5,"Area","ECONÓMICOS","Sector Texto","DESARROLLO PRODUCTIVO Y COMPETITIVIDAD","Des.Centro Gestor","Secretaría Desarrollo Productivo Competi")</f>
        <v>0.33419617148443048</v>
      </c>
      <c r="I44" s="104">
        <f>+F44-GETPIVOTDATA("Codificado 2020",$A$5,"Area","ECONÓMICOS","Sector Texto","DESARROLLO PRODUCTIVO Y COMPETITIVIDAD","Des.Centro Gestor","Secretaría Desarrollo Productivo Competi")</f>
        <v>668420.65</v>
      </c>
      <c r="J44" s="108">
        <f>+I44/GETPIVOTDATA("Codificado 2020",$A$5,"Area","ECONÓMICOS","Sector Texto","DESARROLLO PRODUCTIVO Y COMPETITIVIDAD","Des.Centro Gestor","Secretaría Desarrollo Productivo Competi")</f>
        <v>1.1511795859246778</v>
      </c>
    </row>
    <row r="45" spans="1:10" x14ac:dyDescent="0.2">
      <c r="A45" s="4" t="s">
        <v>1</v>
      </c>
      <c r="B45" s="7">
        <v>205096989.03999993</v>
      </c>
      <c r="C45" s="7">
        <v>177603989.28</v>
      </c>
      <c r="D45" s="7">
        <v>-27407200.360000007</v>
      </c>
      <c r="E45" s="102">
        <v>116609882.88</v>
      </c>
      <c r="F45" s="98">
        <v>174474005.41</v>
      </c>
      <c r="G45" s="98">
        <f>+F45-GETPIVOTDATA("Asignación inicial 2020",$A$5,"Area","GENERALES")</f>
        <v>-30622983.629999936</v>
      </c>
      <c r="H45" s="106">
        <f>+G45/GETPIVOTDATA("Asignación inicial 2020",$A$5,"Area","GENERALES")</f>
        <v>-0.14930976692216361</v>
      </c>
      <c r="I45" s="102">
        <f>+F45-GETPIVOTDATA("Codificado 2020",$A$5,"Area","GENERALES")</f>
        <v>-3129983.8700000048</v>
      </c>
      <c r="J45" s="106">
        <f>+I45/GETPIVOTDATA("Codificado 2020",$A$5,"Area","GENERALES")</f>
        <v>-1.7623387192420865E-2</v>
      </c>
    </row>
    <row r="46" spans="1:10" x14ac:dyDescent="0.2">
      <c r="A46" s="5" t="s">
        <v>2</v>
      </c>
      <c r="B46" s="7">
        <v>174376077.52999997</v>
      </c>
      <c r="C46" s="7">
        <v>149496529.46000001</v>
      </c>
      <c r="D46" s="7">
        <v>-24535661.710000001</v>
      </c>
      <c r="E46" s="103">
        <v>97896269.699999988</v>
      </c>
      <c r="F46" s="97">
        <v>150120565.94999999</v>
      </c>
      <c r="G46" s="97">
        <f>+F46-GETPIVOTDATA("Asignación inicial 2020",$A$5,"Area","GENERALES","Sector Texto","ADMINISTRACION GENERAL")</f>
        <v>-24255511.579999983</v>
      </c>
      <c r="H46" s="107">
        <f>+G46/GETPIVOTDATA("Asignación inicial 2020",$A$5,"Area","GENERALES","Sector Texto","ADMINISTRACION GENERAL")</f>
        <v>-0.13909884844053233</v>
      </c>
      <c r="I46" s="103">
        <f>+F46-GETPIVOTDATA("Codificado 2020",$A$5,"Area","GENERALES","Sector Texto","ADMINISTRACION GENERAL")</f>
        <v>624036.48999997973</v>
      </c>
      <c r="J46" s="107">
        <f>+I46/GETPIVOTDATA("Codificado 2020",$A$5,"Area","GENERALES","Sector Texto","ADMINISTRACION GENERAL")</f>
        <v>4.1742540261909553E-3</v>
      </c>
    </row>
    <row r="47" spans="1:10" x14ac:dyDescent="0.2">
      <c r="A47" s="6" t="s">
        <v>21</v>
      </c>
      <c r="B47" s="7">
        <v>16203767.469999999</v>
      </c>
      <c r="C47" s="7">
        <v>14106542.420000002</v>
      </c>
      <c r="D47" s="7">
        <v>-1873268.5799999996</v>
      </c>
      <c r="E47" s="104">
        <v>10260887.649999997</v>
      </c>
      <c r="F47" s="96">
        <v>12652446.43</v>
      </c>
      <c r="G47" s="96">
        <f>+F47-GETPIVOTDATA("Asignación inicial 2020",$A$5,"Area","GENERALES","Sector Texto","ADMINISTRACION GENERAL","Des.Centro Gestor","Administración General")</f>
        <v>-3551321.0399999991</v>
      </c>
      <c r="H47" s="108">
        <f>+G47/GETPIVOTDATA("Asignación inicial 2020",$A$5,"Area","GENERALES","Sector Texto","ADMINISTRACION GENERAL","Des.Centro Gestor","Administración General")</f>
        <v>-0.21916637884214216</v>
      </c>
      <c r="I47" s="104">
        <f>+F47-GETPIVOTDATA("Codificado 2020",$A$5,"Area","GENERALES","Sector Texto","ADMINISTRACION GENERAL","Des.Centro Gestor","Administración General")</f>
        <v>-1454095.9900000021</v>
      </c>
      <c r="J47" s="108">
        <f>+I47/GETPIVOTDATA("Codificado 2020",$A$5,"Area","GENERALES","Sector Texto","ADMINISTRACION GENERAL","Des.Centro Gestor","Administración General")</f>
        <v>-0.10307954612169251</v>
      </c>
    </row>
    <row r="48" spans="1:10" x14ac:dyDescent="0.2">
      <c r="A48" s="6" t="s">
        <v>411</v>
      </c>
      <c r="B48" s="7">
        <v>14117000</v>
      </c>
      <c r="C48" s="7">
        <v>10572373.450000001</v>
      </c>
      <c r="D48" s="7">
        <v>-3544626.5500000003</v>
      </c>
      <c r="E48" s="104">
        <v>7274655.040000001</v>
      </c>
      <c r="F48" s="96">
        <v>10011823.16</v>
      </c>
      <c r="G48" s="96">
        <f>+F48-GETPIVOTDATA("Asignación inicial 2020",$A$5,"Area","GENERALES","Sector Texto","ADMINISTRACION GENERAL","Des.Centro Gestor","DM Administrativa")</f>
        <v>-4105176.84</v>
      </c>
      <c r="H48" s="108">
        <f>+G48/GETPIVOTDATA("Asignación inicial 2020",$A$5,"Area","GENERALES","Sector Texto","ADMINISTRACION GENERAL","Des.Centro Gestor","DM Administrativa")</f>
        <v>-0.29079668768151873</v>
      </c>
      <c r="I48" s="104">
        <f>+F48-GETPIVOTDATA("Codificado 2020",$A$5,"Area","GENERALES","Sector Texto","ADMINISTRACION GENERAL","Des.Centro Gestor","DM Administrativa")</f>
        <v>-560550.29000000097</v>
      </c>
      <c r="J48" s="108">
        <f>+I48/GETPIVOTDATA("Codificado 2020",$A$5,"Area","GENERALES","Sector Texto","ADMINISTRACION GENERAL","Des.Centro Gestor","DM Administrativa")</f>
        <v>-5.3020288457555471E-2</v>
      </c>
    </row>
    <row r="49" spans="1:10" x14ac:dyDescent="0.2">
      <c r="A49" s="6" t="s">
        <v>464</v>
      </c>
      <c r="B49" s="7">
        <v>1737463.3599999999</v>
      </c>
      <c r="C49" s="7">
        <v>1404275.77</v>
      </c>
      <c r="D49" s="7">
        <v>-1265183.56</v>
      </c>
      <c r="E49" s="104">
        <v>569218.59</v>
      </c>
      <c r="F49" s="96">
        <v>26000</v>
      </c>
      <c r="G49" s="96">
        <f>+F49-GETPIVOTDATA("Asignación inicial 2020",$A$5,"Area","GENERALES","Sector Texto","ADMINISTRACION GENERAL","Des.Centro Gestor","DM de Catastro")</f>
        <v>-1711463.3599999999</v>
      </c>
      <c r="H49" s="108">
        <f>+G49/GETPIVOTDATA("Asignación inicial 2020",$A$5,"Area","GENERALES","Sector Texto","ADMINISTRACION GENERAL","Des.Centro Gestor","DM de Catastro")</f>
        <v>-0.98503565565837314</v>
      </c>
      <c r="I49" s="104">
        <f>+F49-GETPIVOTDATA("Codificado 2020",$A$5,"Area","GENERALES","Sector Texto","ADMINISTRACION GENERAL","Des.Centro Gestor","DM de Catastro")</f>
        <v>-1378275.77</v>
      </c>
      <c r="J49" s="108">
        <f>+I49/GETPIVOTDATA("Codificado 2020",$A$5,"Area","GENERALES","Sector Texto","ADMINISTRACION GENERAL","Des.Centro Gestor","DM de Catastro")</f>
        <v>-0.9814851181260501</v>
      </c>
    </row>
    <row r="50" spans="1:10" x14ac:dyDescent="0.2">
      <c r="A50" s="6" t="s">
        <v>590</v>
      </c>
      <c r="B50" s="7">
        <v>6590608.71</v>
      </c>
      <c r="C50" s="7">
        <v>3881635.91</v>
      </c>
      <c r="D50" s="7">
        <v>-1776976.8300000005</v>
      </c>
      <c r="E50" s="104">
        <v>326199.95</v>
      </c>
      <c r="F50" s="96">
        <v>1080000</v>
      </c>
      <c r="G50" s="96">
        <f>+F50-GETPIVOTDATA("Asignación inicial 2020",$A$5,"Area","GENERALES","Sector Texto","ADMINISTRACION GENERAL","Des.Centro Gestor","DM de Gestión de Bienes Inmuebles")</f>
        <v>-5510608.71</v>
      </c>
      <c r="H50" s="108">
        <f>+G50/GETPIVOTDATA("Asignación inicial 2020",$A$5,"Area","GENERALES","Sector Texto","ADMINISTRACION GENERAL","Des.Centro Gestor","DM de Gestión de Bienes Inmuebles")</f>
        <v>-0.83613046267466851</v>
      </c>
      <c r="I50" s="104">
        <f>+F50-GETPIVOTDATA("Codificado 2020",$A$5,"Area","GENERALES","Sector Texto","ADMINISTRACION GENERAL","Des.Centro Gestor","DM de Gestión de Bienes Inmuebles")</f>
        <v>-2801635.91</v>
      </c>
      <c r="J50" s="108">
        <f>+I50/GETPIVOTDATA("Codificado 2020",$A$5,"Area","GENERALES","Sector Texto","ADMINISTRACION GENERAL","Des.Centro Gestor","DM de Gestión de Bienes Inmuebles")</f>
        <v>-0.72176679496970131</v>
      </c>
    </row>
    <row r="51" spans="1:10" x14ac:dyDescent="0.2">
      <c r="A51" s="6" t="s">
        <v>506</v>
      </c>
      <c r="B51" s="7">
        <v>516317</v>
      </c>
      <c r="C51" s="7">
        <v>166582.56</v>
      </c>
      <c r="D51" s="7">
        <v>-349734.44000000006</v>
      </c>
      <c r="E51" s="104">
        <v>224</v>
      </c>
      <c r="F51" s="96">
        <v>10000</v>
      </c>
      <c r="G51" s="96">
        <f>+F51-GETPIVOTDATA("Asignación inicial 2020",$A$5,"Area","GENERALES","Sector Texto","ADMINISTRACION GENERAL","Des.Centro Gestor","DM de Gestión documental y Archivo")</f>
        <v>-506317</v>
      </c>
      <c r="H51" s="108">
        <f>+G51/GETPIVOTDATA("Asignación inicial 2020",$A$5,"Area","GENERALES","Sector Texto","ADMINISTRACION GENERAL","Des.Centro Gestor","DM de Gestión documental y Archivo")</f>
        <v>-0.98063205356399263</v>
      </c>
      <c r="I51" s="104">
        <f>+F51-GETPIVOTDATA("Codificado 2020",$A$5,"Area","GENERALES","Sector Texto","ADMINISTRACION GENERAL","Des.Centro Gestor","DM de Gestión documental y Archivo")</f>
        <v>-156582.56</v>
      </c>
      <c r="J51" s="108">
        <f>+I51/GETPIVOTDATA("Codificado 2020",$A$5,"Area","GENERALES","Sector Texto","ADMINISTRACION GENERAL","Des.Centro Gestor","DM de Gestión documental y Archivo")</f>
        <v>-0.93996970631259358</v>
      </c>
    </row>
    <row r="52" spans="1:10" x14ac:dyDescent="0.2">
      <c r="A52" s="6" t="s">
        <v>1534</v>
      </c>
      <c r="B52" s="7">
        <v>7453200</v>
      </c>
      <c r="C52" s="7">
        <v>4379879.8400000008</v>
      </c>
      <c r="D52" s="7">
        <v>-3073320.16</v>
      </c>
      <c r="E52" s="104">
        <v>1358336.3299999998</v>
      </c>
      <c r="F52" s="96">
        <v>3777755.0900000003</v>
      </c>
      <c r="G52" s="96">
        <f>+F52-GETPIVOTDATA("Asignación inicial 2020",$A$5,"Area","GENERALES","Sector Texto","ADMINISTRACION GENERAL","Des.Centro Gestor","DM de Informática")</f>
        <v>-3675444.9099999997</v>
      </c>
      <c r="H52" s="108">
        <f>+G52/GETPIVOTDATA("Asignación inicial 2020",$A$5,"Area","GENERALES","Sector Texto","ADMINISTRACION GENERAL","Des.Centro Gestor","DM de Informática")</f>
        <v>-0.4931364930499651</v>
      </c>
      <c r="I52" s="104">
        <f>+F52-GETPIVOTDATA("Codificado 2020",$A$5,"Area","GENERALES","Sector Texto","ADMINISTRACION GENERAL","Des.Centro Gestor","DM de Informática")</f>
        <v>-602124.75000000047</v>
      </c>
      <c r="J52" s="108">
        <f>+I52/GETPIVOTDATA("Codificado 2020",$A$5,"Area","GENERALES","Sector Texto","ADMINISTRACION GENERAL","Des.Centro Gestor","DM de Informática")</f>
        <v>-0.13747517557467978</v>
      </c>
    </row>
    <row r="53" spans="1:10" x14ac:dyDescent="0.2">
      <c r="A53" s="6" t="s">
        <v>26</v>
      </c>
      <c r="B53" s="7">
        <v>12853000</v>
      </c>
      <c r="C53" s="7">
        <v>12610400</v>
      </c>
      <c r="D53" s="7">
        <v>-242600</v>
      </c>
      <c r="E53" s="104">
        <v>7932244.2199999997</v>
      </c>
      <c r="F53" s="96">
        <v>9223000</v>
      </c>
      <c r="G53" s="96">
        <f>+F53-GETPIVOTDATA("Asignación inicial 2020",$A$5,"Area","GENERALES","Sector Texto","ADMINISTRACION GENERAL","Des.Centro Gestor","DM de Recursos Humanos")</f>
        <v>-3630000</v>
      </c>
      <c r="H53" s="108">
        <f>+G53/GETPIVOTDATA("Asignación inicial 2020",$A$5,"Area","GENERALES","Sector Texto","ADMINISTRACION GENERAL","Des.Centro Gestor","DM de Recursos Humanos")</f>
        <v>-0.28242433673072437</v>
      </c>
      <c r="I53" s="104">
        <f>+F53-GETPIVOTDATA("Codificado 2020",$A$5,"Area","GENERALES","Sector Texto","ADMINISTRACION GENERAL","Des.Centro Gestor","DM de Recursos Humanos")</f>
        <v>-3387400</v>
      </c>
      <c r="J53" s="108">
        <f>+I53/GETPIVOTDATA("Codificado 2020",$A$5,"Area","GENERALES","Sector Texto","ADMINISTRACION GENERAL","Des.Centro Gestor","DM de Recursos Humanos")</f>
        <v>-0.26861955211571403</v>
      </c>
    </row>
    <row r="54" spans="1:10" x14ac:dyDescent="0.2">
      <c r="A54" s="6" t="s">
        <v>14</v>
      </c>
      <c r="B54" s="7">
        <v>606092.28</v>
      </c>
      <c r="C54" s="7">
        <v>171845.83000000002</v>
      </c>
      <c r="D54" s="7">
        <v>-434246.44999999995</v>
      </c>
      <c r="E54" s="104">
        <v>14296.960000000001</v>
      </c>
      <c r="F54" s="96">
        <v>94000</v>
      </c>
      <c r="G54" s="96">
        <f>+F54-GETPIVOTDATA("Asignación inicial 2020",$A$5,"Area","GENERALES","Sector Texto","ADMINISTRACION GENERAL","Des.Centro Gestor","DM de Servicios Ciudadanos")</f>
        <v>-512092.28</v>
      </c>
      <c r="H54" s="108">
        <f>+G54/GETPIVOTDATA("Asignación inicial 2020",$A$5,"Area","GENERALES","Sector Texto","ADMINISTRACION GENERAL","Des.Centro Gestor","DM de Servicios Ciudadanos")</f>
        <v>-0.84490810541259498</v>
      </c>
      <c r="I54" s="104">
        <f>+F54-GETPIVOTDATA("Codificado 2020",$A$5,"Area","GENERALES","Sector Texto","ADMINISTRACION GENERAL","Des.Centro Gestor","DM de Servicios Ciudadanos")</f>
        <v>-77845.830000000016</v>
      </c>
      <c r="J54" s="108">
        <f>+I54/GETPIVOTDATA("Codificado 2020",$A$5,"Area","GENERALES","Sector Texto","ADMINISTRACION GENERAL","Des.Centro Gestor","DM de Servicios Ciudadanos")</f>
        <v>-0.45299807391311159</v>
      </c>
    </row>
    <row r="55" spans="1:10" x14ac:dyDescent="0.2">
      <c r="A55" s="6" t="s">
        <v>475</v>
      </c>
      <c r="B55" s="7">
        <v>107482271.31999999</v>
      </c>
      <c r="C55" s="7">
        <v>96526781.270000011</v>
      </c>
      <c r="D55" s="7">
        <v>-10849094.750000002</v>
      </c>
      <c r="E55" s="104">
        <v>66012663.339999996</v>
      </c>
      <c r="F55" s="96">
        <v>107908407.98999999</v>
      </c>
      <c r="G55" s="96">
        <f>+F55-GETPIVOTDATA("Asignación inicial 2020",$A$5,"Area","GENERALES","Sector Texto","ADMINISTRACION GENERAL","Des.Centro Gestor","DM Financiera")</f>
        <v>426136.67000000179</v>
      </c>
      <c r="H55" s="108">
        <f>+G55/GETPIVOTDATA("Asignación inicial 2020",$A$5,"Area","GENERALES","Sector Texto","ADMINISTRACION GENERAL","Des.Centro Gestor","DM Financiera")</f>
        <v>3.9647158993439272E-3</v>
      </c>
      <c r="I55" s="104">
        <f>+F55-GETPIVOTDATA("Codificado 2020",$A$5,"Area","GENERALES","Sector Texto","ADMINISTRACION GENERAL","Des.Centro Gestor","DM Financiera")</f>
        <v>11381626.719999984</v>
      </c>
      <c r="J55" s="108">
        <f>+I55/GETPIVOTDATA("Codificado 2020",$A$5,"Area","GENERALES","Sector Texto","ADMINISTRACION GENERAL","Des.Centro Gestor","DM Financiera")</f>
        <v>0.11791159479527089</v>
      </c>
    </row>
    <row r="56" spans="1:10" x14ac:dyDescent="0.2">
      <c r="A56" s="6" t="s">
        <v>631</v>
      </c>
      <c r="B56" s="7">
        <v>166000</v>
      </c>
      <c r="C56" s="7">
        <v>85000</v>
      </c>
      <c r="D56" s="7">
        <v>-81000</v>
      </c>
      <c r="E56" s="104">
        <v>0</v>
      </c>
      <c r="F56" s="96">
        <v>500</v>
      </c>
      <c r="G56" s="96">
        <f>+F56-GETPIVOTDATA("Asignación inicial 2020",$A$5,"Area","GENERALES","Sector Texto","ADMINISTRACION GENERAL","Des.Centro Gestor","DM Tributaria")</f>
        <v>-165500</v>
      </c>
      <c r="H56" s="108">
        <f>+G56/GETPIVOTDATA("Asignación inicial 2020",$A$5,"Area","GENERALES","Sector Texto","ADMINISTRACION GENERAL","Des.Centro Gestor","DM Tributaria")</f>
        <v>-0.99698795180722888</v>
      </c>
      <c r="I56" s="104">
        <f>+F56-GETPIVOTDATA("Codificado 2020",$A$5,"Area","GENERALES","Sector Texto","ADMINISTRACION GENERAL","Des.Centro Gestor","DM Tributaria")</f>
        <v>-84500</v>
      </c>
      <c r="J56" s="108">
        <f>+I56/GETPIVOTDATA("Codificado 2020",$A$5,"Area","GENERALES","Sector Texto","ADMINISTRACION GENERAL","Des.Centro Gestor","DM Tributaria")</f>
        <v>-0.99411764705882355</v>
      </c>
    </row>
    <row r="57" spans="1:10" x14ac:dyDescent="0.2">
      <c r="A57" s="6" t="s">
        <v>4</v>
      </c>
      <c r="B57" s="7">
        <v>6650357.3899999997</v>
      </c>
      <c r="C57" s="7">
        <v>5591212.4099999992</v>
      </c>
      <c r="D57" s="7">
        <v>-1045610.39</v>
      </c>
      <c r="E57" s="104">
        <v>4147543.62</v>
      </c>
      <c r="F57" s="96">
        <v>5336633.2799999993</v>
      </c>
      <c r="G57" s="96">
        <f>+F57-GETPIVOTDATA("Asignación inicial 2020",$A$5,"Area","GENERALES","Sector Texto","ADMINISTRACION GENERAL","Des.Centro Gestor","Registro de la Propiedad")</f>
        <v>-1313724.1100000003</v>
      </c>
      <c r="H57" s="108">
        <f>+G57/GETPIVOTDATA("Asignación inicial 2020",$A$5,"Area","GENERALES","Sector Texto","ADMINISTRACION GENERAL","Des.Centro Gestor","Registro de la Propiedad")</f>
        <v>-0.19754188127925565</v>
      </c>
      <c r="I57" s="104">
        <f>+F57-GETPIVOTDATA("Codificado 2020",$A$5,"Area","GENERALES","Sector Texto","ADMINISTRACION GENERAL","Des.Centro Gestor","Registro de la Propiedad")</f>
        <v>-254579.12999999989</v>
      </c>
      <c r="J57" s="108">
        <f>+I57/GETPIVOTDATA("Codificado 2020",$A$5,"Area","GENERALES","Sector Texto","ADMINISTRACION GENERAL","Des.Centro Gestor","Registro de la Propiedad")</f>
        <v>-4.5532008325185398E-2</v>
      </c>
    </row>
    <row r="58" spans="1:10" x14ac:dyDescent="0.2">
      <c r="A58" s="5" t="s">
        <v>91</v>
      </c>
      <c r="B58" s="7">
        <v>10733659.409999998</v>
      </c>
      <c r="C58" s="7">
        <v>10095093.780000003</v>
      </c>
      <c r="D58" s="7">
        <v>-638565.62999999989</v>
      </c>
      <c r="E58" s="103">
        <v>6663883.2900000019</v>
      </c>
      <c r="F58" s="97">
        <v>8541821.4900000002</v>
      </c>
      <c r="G58" s="97">
        <f>+F58-GETPIVOTDATA("Asignación inicial 2020",$A$5,"Area","GENERALES","Sector Texto","AGENCIA METROPOLITANA DE CONTROL")</f>
        <v>-2191837.9199999981</v>
      </c>
      <c r="H58" s="107">
        <f>+G58/GETPIVOTDATA("Asignación inicial 2020",$A$5,"Area","GENERALES","Sector Texto","AGENCIA METROPOLITANA DE CONTROL")</f>
        <v>-0.20420229823558361</v>
      </c>
      <c r="I58" s="103">
        <f>+F58-GETPIVOTDATA("Codificado 2020",$A$5,"Area","GENERALES","Sector Texto","AGENCIA METROPOLITANA DE CONTROL")</f>
        <v>-1553272.2900000028</v>
      </c>
      <c r="J58" s="107">
        <f>+I58/GETPIVOTDATA("Codificado 2020",$A$5,"Area","GENERALES","Sector Texto","AGENCIA METROPOLITANA DE CONTROL")</f>
        <v>-0.15386407732806642</v>
      </c>
    </row>
    <row r="59" spans="1:10" x14ac:dyDescent="0.2">
      <c r="A59" s="6" t="s">
        <v>93</v>
      </c>
      <c r="B59" s="7">
        <v>10733659.409999998</v>
      </c>
      <c r="C59" s="7">
        <v>10095093.780000003</v>
      </c>
      <c r="D59" s="7">
        <v>-638565.62999999989</v>
      </c>
      <c r="E59" s="104">
        <v>6663883.2900000019</v>
      </c>
      <c r="F59" s="96">
        <v>8541821.4900000002</v>
      </c>
      <c r="G59" s="96">
        <f>+F59-GETPIVOTDATA("Asignación inicial 2020",$A$5,"Area","GENERALES","Sector Texto","AGENCIA METROPOLITANA DE CONTROL","Des.Centro Gestor","Agencia Metropolitana de Control")</f>
        <v>-2191837.9199999981</v>
      </c>
      <c r="H59" s="108">
        <f>+G59/GETPIVOTDATA("Asignación inicial 2020",$A$5,"Area","GENERALES","Sector Texto","AGENCIA METROPOLITANA DE CONTROL","Des.Centro Gestor","Agencia Metropolitana de Control")</f>
        <v>-0.20420229823558361</v>
      </c>
      <c r="I59" s="104">
        <f>+F59-GETPIVOTDATA("Codificado 2020",$A$5,"Area","GENERALES","Sector Texto","AGENCIA METROPOLITANA DE CONTROL","Des.Centro Gestor","Agencia Metropolitana de Control")</f>
        <v>-1553272.2900000028</v>
      </c>
      <c r="J59" s="108">
        <f>+I59/GETPIVOTDATA("Codificado 2020",$A$5,"Area","GENERALES","Sector Texto","AGENCIA METROPOLITANA DE CONTROL","Des.Centro Gestor","Agencia Metropolitana de Control")</f>
        <v>-0.15386407732806642</v>
      </c>
    </row>
    <row r="60" spans="1:10" x14ac:dyDescent="0.2">
      <c r="A60" s="5" t="s">
        <v>99</v>
      </c>
      <c r="B60" s="7">
        <v>5801417.5999999996</v>
      </c>
      <c r="C60" s="7">
        <v>5468209.2999999998</v>
      </c>
      <c r="D60" s="7">
        <v>-334102.92</v>
      </c>
      <c r="E60" s="103">
        <v>3029094.6300000004</v>
      </c>
      <c r="F60" s="97">
        <v>4226096.66</v>
      </c>
      <c r="G60" s="97">
        <f>+F60-GETPIVOTDATA("Asignación inicial 2020",$A$5,"Area","GENERALES","Sector Texto","COMUNICACION")</f>
        <v>-1575320.9399999995</v>
      </c>
      <c r="H60" s="107">
        <f>+G60/GETPIVOTDATA("Asignación inicial 2020",$A$5,"Area","GENERALES","Sector Texto","COMUNICACION")</f>
        <v>-0.27154069033058398</v>
      </c>
      <c r="I60" s="103">
        <f>+F60-GETPIVOTDATA("Codificado 2020",$A$5,"Area","GENERALES","Sector Texto","COMUNICACION")</f>
        <v>-1242112.6399999997</v>
      </c>
      <c r="J60" s="107">
        <f>+I60/GETPIVOTDATA("Codificado 2020",$A$5,"Area","GENERALES","Sector Texto","COMUNICACION")</f>
        <v>-0.22715162713321885</v>
      </c>
    </row>
    <row r="61" spans="1:10" x14ac:dyDescent="0.2">
      <c r="A61" s="6" t="s">
        <v>101</v>
      </c>
      <c r="B61" s="7">
        <v>5801417.5999999996</v>
      </c>
      <c r="C61" s="7">
        <v>5468209.2999999998</v>
      </c>
      <c r="D61" s="7">
        <v>-334102.92</v>
      </c>
      <c r="E61" s="104">
        <v>3029094.6300000004</v>
      </c>
      <c r="F61" s="96">
        <v>4226096.66</v>
      </c>
      <c r="G61" s="96">
        <f>+F61-GETPIVOTDATA("Asignación inicial 2020",$A$5,"Area","GENERALES","Sector Texto","COMUNICACION","Des.Centro Gestor","Secretaría De Comunicación")</f>
        <v>-1575320.9399999995</v>
      </c>
      <c r="H61" s="108">
        <f>+G61/GETPIVOTDATA("Asignación inicial 2020",$A$5,"Area","GENERALES","Sector Texto","COMUNICACION","Des.Centro Gestor","Secretaría De Comunicación")</f>
        <v>-0.27154069033058398</v>
      </c>
      <c r="I61" s="104">
        <f>+F61-GETPIVOTDATA("Codificado 2020",$A$5,"Area","GENERALES","Sector Texto","COMUNICACION","Des.Centro Gestor","Secretaría De Comunicación")</f>
        <v>-1242112.6399999997</v>
      </c>
      <c r="J61" s="108">
        <f>+I61/GETPIVOTDATA("Codificado 2020",$A$5,"Area","GENERALES","Sector Texto","COMUNICACION","Des.Centro Gestor","Secretaría De Comunicación")</f>
        <v>-0.22715162713321885</v>
      </c>
    </row>
    <row r="62" spans="1:10" x14ac:dyDescent="0.2">
      <c r="A62" s="5" t="s">
        <v>16</v>
      </c>
      <c r="B62" s="7">
        <v>12373789.800000001</v>
      </c>
      <c r="C62" s="7">
        <v>11081231.569999998</v>
      </c>
      <c r="D62" s="7">
        <v>-1383799.3</v>
      </c>
      <c r="E62" s="103">
        <v>8066572.4900000012</v>
      </c>
      <c r="F62" s="97">
        <v>10164217.130000001</v>
      </c>
      <c r="G62" s="97">
        <f>+F62-GETPIVOTDATA("Asignación inicial 2020",$A$5,"Area","GENERALES","Sector Texto","COORDINACION DE ALCALDIA Y SECRETARIA DEL CONCEJO")</f>
        <v>-2209572.67</v>
      </c>
      <c r="H62" s="107">
        <f>+G62/GETPIVOTDATA("Asignación inicial 2020",$A$5,"Area","GENERALES","Sector Texto","COORDINACION DE ALCALDIA Y SECRETARIA DEL CONCEJO")</f>
        <v>-0.17856878981409557</v>
      </c>
      <c r="I62" s="103">
        <f>+F62-GETPIVOTDATA("Codificado 2020",$A$5,"Area","GENERALES","Sector Texto","COORDINACION DE ALCALDIA Y SECRETARIA DEL CONCEJO")</f>
        <v>-917014.43999999762</v>
      </c>
      <c r="J62" s="107">
        <f>+I62/GETPIVOTDATA("Codificado 2020",$A$5,"Area","GENERALES","Sector Texto","COORDINACION DE ALCALDIA Y SECRETARIA DEL CONCEJO")</f>
        <v>-8.275383780288581E-2</v>
      </c>
    </row>
    <row r="63" spans="1:10" x14ac:dyDescent="0.2">
      <c r="A63" s="6" t="s">
        <v>104</v>
      </c>
      <c r="B63" s="7">
        <v>4188423.17</v>
      </c>
      <c r="C63" s="7">
        <v>3851064</v>
      </c>
      <c r="D63" s="7">
        <v>-354043.28000000009</v>
      </c>
      <c r="E63" s="104">
        <v>2583194.7000000002</v>
      </c>
      <c r="F63" s="96">
        <v>4046478.91</v>
      </c>
      <c r="G63" s="96">
        <f>+F63-GETPIVOTDATA("Asignación inicial 2020",$A$5,"Area","GENERALES","Sector Texto","COORDINACION DE ALCALDIA Y SECRETARIA DEL CONCEJO","Des.Centro Gestor","Alcaldía Metropolitana")</f>
        <v>-141944.25999999978</v>
      </c>
      <c r="H63" s="108">
        <f>+G63/GETPIVOTDATA("Asignación inicial 2020",$A$5,"Area","GENERALES","Sector Texto","COORDINACION DE ALCALDIA Y SECRETARIA DEL CONCEJO","Des.Centro Gestor","Alcaldía Metropolitana")</f>
        <v>-3.3889665451354044E-2</v>
      </c>
      <c r="I63" s="104">
        <f>+F63-GETPIVOTDATA("Codificado 2020",$A$5,"Area","GENERALES","Sector Texto","COORDINACION DE ALCALDIA Y SECRETARIA DEL CONCEJO","Des.Centro Gestor","Alcaldía Metropolitana")</f>
        <v>195414.91000000015</v>
      </c>
      <c r="J63" s="108">
        <f>+I63/GETPIVOTDATA("Codificado 2020",$A$5,"Area","GENERALES","Sector Texto","COORDINACION DE ALCALDIA Y SECRETARIA DEL CONCEJO","Des.Centro Gestor","Alcaldía Metropolitana")</f>
        <v>5.0743095934006846E-2</v>
      </c>
    </row>
    <row r="64" spans="1:10" x14ac:dyDescent="0.2">
      <c r="A64" s="6" t="s">
        <v>18</v>
      </c>
      <c r="B64" s="7">
        <v>5515967.080000001</v>
      </c>
      <c r="C64" s="7">
        <v>5203294.6899999995</v>
      </c>
      <c r="D64" s="7">
        <v>-313684.34999999998</v>
      </c>
      <c r="E64" s="104">
        <v>3900331.4000000004</v>
      </c>
      <c r="F64" s="96">
        <v>4624015.83</v>
      </c>
      <c r="G64" s="96">
        <f>+F64-GETPIVOTDATA("Asignación inicial 2020",$A$5,"Area","GENERALES","Sector Texto","COORDINACION DE ALCALDIA Y SECRETARIA DEL CONCEJO","Des.Centro Gestor","Concejo Metropolitano")</f>
        <v>-891951.25000000093</v>
      </c>
      <c r="H64" s="108">
        <f>+G64/GETPIVOTDATA("Asignación inicial 2020",$A$5,"Area","GENERALES","Sector Texto","COORDINACION DE ALCALDIA Y SECRETARIA DEL CONCEJO","Des.Centro Gestor","Concejo Metropolitano")</f>
        <v>-0.16170351219717591</v>
      </c>
      <c r="I64" s="104">
        <f>+F64-GETPIVOTDATA("Codificado 2020",$A$5,"Area","GENERALES","Sector Texto","COORDINACION DE ALCALDIA Y SECRETARIA DEL CONCEJO","Des.Centro Gestor","Concejo Metropolitano")</f>
        <v>-579278.8599999994</v>
      </c>
      <c r="J64" s="108">
        <f>+I64/GETPIVOTDATA("Codificado 2020",$A$5,"Area","GENERALES","Sector Texto","COORDINACION DE ALCALDIA Y SECRETARIA DEL CONCEJO","Des.Centro Gestor","Concejo Metropolitano")</f>
        <v>-0.11132924320302133</v>
      </c>
    </row>
    <row r="65" spans="1:10" x14ac:dyDescent="0.2">
      <c r="A65" s="6" t="s">
        <v>63</v>
      </c>
      <c r="B65" s="7">
        <v>553692.25</v>
      </c>
      <c r="C65" s="7">
        <v>363557.82</v>
      </c>
      <c r="D65" s="7">
        <v>-229779.43</v>
      </c>
      <c r="E65" s="104">
        <v>201817.43999999994</v>
      </c>
      <c r="F65" s="96">
        <v>323667.14</v>
      </c>
      <c r="G65" s="96">
        <f>+F65-GETPIVOTDATA("Asignación inicial 2020",$A$5,"Area","GENERALES","Sector Texto","COORDINACION DE ALCALDIA Y SECRETARIA DEL CONCEJO","Des.Centro Gestor","DM Relaciones Internacionales")</f>
        <v>-230025.11</v>
      </c>
      <c r="H65" s="108">
        <f>+G65/GETPIVOTDATA("Asignación inicial 2020",$A$5,"Area","GENERALES","Sector Texto","COORDINACION DE ALCALDIA Y SECRETARIA DEL CONCEJO","Des.Centro Gestor","DM Relaciones Internacionales")</f>
        <v>-0.41543855815211428</v>
      </c>
      <c r="I65" s="104">
        <f>+F65-GETPIVOTDATA("Codificado 2020",$A$5,"Area","GENERALES","Sector Texto","COORDINACION DE ALCALDIA Y SECRETARIA DEL CONCEJO","Des.Centro Gestor","DM Relaciones Internacionales")</f>
        <v>-39890.679999999993</v>
      </c>
      <c r="J65" s="108">
        <f>+I65/GETPIVOTDATA("Codificado 2020",$A$5,"Area","GENERALES","Sector Texto","COORDINACION DE ALCALDIA Y SECRETARIA DEL CONCEJO","Des.Centro Gestor","DM Relaciones Internacionales")</f>
        <v>-0.10972306963442567</v>
      </c>
    </row>
    <row r="66" spans="1:10" x14ac:dyDescent="0.2">
      <c r="A66" s="6" t="s">
        <v>65</v>
      </c>
      <c r="B66" s="7">
        <v>697456.57</v>
      </c>
      <c r="C66" s="7">
        <v>424628.10999999993</v>
      </c>
      <c r="D66" s="7">
        <v>-306728.45999999996</v>
      </c>
      <c r="E66" s="104">
        <v>323229.19</v>
      </c>
      <c r="F66" s="96">
        <v>366055.25</v>
      </c>
      <c r="G66" s="96">
        <f>+F66-GETPIVOTDATA("Asignación inicial 2020",$A$5,"Area","GENERALES","Sector Texto","COORDINACION DE ALCALDIA Y SECRETARIA DEL CONCEJO","Des.Centro Gestor","IMPU")</f>
        <v>-331401.31999999995</v>
      </c>
      <c r="H66" s="108">
        <f>+G66/GETPIVOTDATA("Asignación inicial 2020",$A$5,"Area","GENERALES","Sector Texto","COORDINACION DE ALCALDIA Y SECRETARIA DEL CONCEJO","Des.Centro Gestor","IMPU")</f>
        <v>-0.4751569262585052</v>
      </c>
      <c r="I66" s="104">
        <f>+F66-GETPIVOTDATA("Codificado 2020",$A$5,"Area","GENERALES","Sector Texto","COORDINACION DE ALCALDIA Y SECRETARIA DEL CONCEJO","Des.Centro Gestor","IMPU")</f>
        <v>-58572.859999999928</v>
      </c>
      <c r="J66" s="108">
        <f>+I66/GETPIVOTDATA("Codificado 2020",$A$5,"Area","GENERALES","Sector Texto","COORDINACION DE ALCALDIA Y SECRETARIA DEL CONCEJO","Des.Centro Gestor","IMPU")</f>
        <v>-0.13793919578239872</v>
      </c>
    </row>
    <row r="67" spans="1:10" x14ac:dyDescent="0.2">
      <c r="A67" s="6" t="s">
        <v>798</v>
      </c>
      <c r="B67" s="7">
        <v>5000</v>
      </c>
      <c r="C67" s="7">
        <v>5000</v>
      </c>
      <c r="D67" s="7">
        <v>0</v>
      </c>
      <c r="E67" s="104">
        <v>0</v>
      </c>
      <c r="F67" s="96">
        <v>4000</v>
      </c>
      <c r="G67" s="96">
        <f>+F67-GETPIVOTDATA("Asignación inicial 2020",$A$5,"Area","GENERALES","Sector Texto","COORDINACION DE ALCALDIA Y SECRETARIA DEL CONCEJO","Des.Centro Gestor","Procuraduría Metropolitana")</f>
        <v>-1000</v>
      </c>
      <c r="H67" s="108">
        <f>+G67/GETPIVOTDATA("Asignación inicial 2020",$A$5,"Area","GENERALES","Sector Texto","COORDINACION DE ALCALDIA Y SECRETARIA DEL CONCEJO","Des.Centro Gestor","Procuraduría Metropolitana")</f>
        <v>-0.2</v>
      </c>
      <c r="I67" s="104">
        <f>+F67-GETPIVOTDATA("Codificado 2020",$A$5,"Area","GENERALES","Sector Texto","COORDINACION DE ALCALDIA Y SECRETARIA DEL CONCEJO","Des.Centro Gestor","Procuraduría Metropolitana")</f>
        <v>-1000</v>
      </c>
      <c r="J67" s="108">
        <f>+I67/GETPIVOTDATA("Codificado 2020",$A$5,"Area","GENERALES","Sector Texto","COORDINACION DE ALCALDIA Y SECRETARIA DEL CONCEJO","Des.Centro Gestor","Procuraduría Metropolitana")</f>
        <v>-0.2</v>
      </c>
    </row>
    <row r="68" spans="1:10" x14ac:dyDescent="0.2">
      <c r="A68" s="6" t="s">
        <v>819</v>
      </c>
      <c r="B68" s="7">
        <v>1413250.73</v>
      </c>
      <c r="C68" s="7">
        <v>1233686.95</v>
      </c>
      <c r="D68" s="7">
        <v>-179563.78</v>
      </c>
      <c r="E68" s="104">
        <v>1057999.76</v>
      </c>
      <c r="F68" s="96">
        <v>800000</v>
      </c>
      <c r="G68" s="96">
        <f>+F68-GETPIVOTDATA("Asignación inicial 2020",$A$5,"Area","GENERALES","Sector Texto","COORDINACION DE ALCALDIA Y SECRETARIA DEL CONCEJO","Des.Centro Gestor","QUITO HONESTO")</f>
        <v>-613250.73</v>
      </c>
      <c r="H68" s="108">
        <f>+G68/GETPIVOTDATA("Asignación inicial 2020",$A$5,"Area","GENERALES","Sector Texto","COORDINACION DE ALCALDIA Y SECRETARIA DEL CONCEJO","Des.Centro Gestor","QUITO HONESTO")</f>
        <v>-0.43392917971462858</v>
      </c>
      <c r="I68" s="104">
        <f>+F68-GETPIVOTDATA("Codificado 2020",$A$5,"Area","GENERALES","Sector Texto","COORDINACION DE ALCALDIA Y SECRETARIA DEL CONCEJO","Des.Centro Gestor","QUITO HONESTO")</f>
        <v>-433686.94999999995</v>
      </c>
      <c r="J68" s="108">
        <f>+I68/GETPIVOTDATA("Codificado 2020",$A$5,"Area","GENERALES","Sector Texto","COORDINACION DE ALCALDIA Y SECRETARIA DEL CONCEJO","Des.Centro Gestor","QUITO HONESTO")</f>
        <v>-0.3515372761298966</v>
      </c>
    </row>
    <row r="69" spans="1:10" x14ac:dyDescent="0.2">
      <c r="A69" s="5" t="s">
        <v>44</v>
      </c>
      <c r="B69" s="7">
        <v>1812044.7</v>
      </c>
      <c r="C69" s="7">
        <v>1462925.1700000004</v>
      </c>
      <c r="D69" s="7">
        <v>-515070.80000000005</v>
      </c>
      <c r="E69" s="103">
        <v>954062.7699999999</v>
      </c>
      <c r="F69" s="97">
        <v>1421304.1799999997</v>
      </c>
      <c r="G69" s="97">
        <f>+F69-GETPIVOTDATA("Asignación inicial 2020",$A$5,"Area","GENERALES","Sector Texto","PLANIFICACION")</f>
        <v>-390740.52000000025</v>
      </c>
      <c r="H69" s="107">
        <f>+G69/GETPIVOTDATA("Asignación inicial 2020",$A$5,"Area","GENERALES","Sector Texto","PLANIFICACION")</f>
        <v>-0.21563514409992218</v>
      </c>
      <c r="I69" s="103">
        <f>+F69-GETPIVOTDATA("Codificado 2020",$A$5,"Area","GENERALES","Sector Texto","PLANIFICACION")</f>
        <v>-41620.990000000689</v>
      </c>
      <c r="J69" s="107">
        <f>+I69/GETPIVOTDATA("Codificado 2020",$A$5,"Area","GENERALES","Sector Texto","PLANIFICACION")</f>
        <v>-2.8450525600021412E-2</v>
      </c>
    </row>
    <row r="70" spans="1:10" x14ac:dyDescent="0.2">
      <c r="A70" s="6" t="s">
        <v>1837</v>
      </c>
      <c r="B70" s="7">
        <v>300000</v>
      </c>
      <c r="C70" s="7">
        <v>180000</v>
      </c>
      <c r="D70" s="7">
        <v>-120000</v>
      </c>
      <c r="E70" s="104">
        <v>0</v>
      </c>
      <c r="F70" s="96">
        <v>180000</v>
      </c>
      <c r="G70" s="96">
        <f>+F70-GETPIVOTDATA("Asignación inicial 2020",$A$5,"Area","GENERALES","Sector Texto","PLANIFICACION","Des.Centro Gestor","INSTITUTO DE LA CIUDAD")</f>
        <v>-120000</v>
      </c>
      <c r="H70" s="108">
        <f>+G70/GETPIVOTDATA("Asignación inicial 2020",$A$5,"Area","GENERALES","Sector Texto","PLANIFICACION","Des.Centro Gestor","INSTITUTO DE LA CIUDAD")</f>
        <v>-0.4</v>
      </c>
      <c r="I70" s="104">
        <f>+F70-GETPIVOTDATA("Codificado 2020",$A$5,"Area","GENERALES","Sector Texto","PLANIFICACION","Des.Centro Gestor","INSTITUTO DE LA CIUDAD")</f>
        <v>0</v>
      </c>
      <c r="J70" s="108">
        <f>+I70/GETPIVOTDATA("Codificado 2020",$A$5,"Area","GENERALES","Sector Texto","PLANIFICACION","Des.Centro Gestor","INSTITUTO DE LA CIUDAD")</f>
        <v>0</v>
      </c>
    </row>
    <row r="71" spans="1:10" x14ac:dyDescent="0.2">
      <c r="A71" s="6" t="s">
        <v>1482</v>
      </c>
      <c r="B71" s="7">
        <v>210528.03</v>
      </c>
      <c r="C71" s="7">
        <v>4050</v>
      </c>
      <c r="D71" s="7">
        <v>-206478.03</v>
      </c>
      <c r="E71" s="104">
        <v>4050</v>
      </c>
      <c r="F71" s="96">
        <v>0</v>
      </c>
      <c r="G71" s="96">
        <f>+F71-GETPIVOTDATA("Asignación inicial 2020",$A$5,"Area","GENERALES","Sector Texto","PLANIFICACION","Des.Centro Gestor","Instituto Metropolitano de Capacitación")</f>
        <v>-210528.03</v>
      </c>
      <c r="H71" s="108">
        <f>+G71/GETPIVOTDATA("Asignación inicial 2020",$A$5,"Area","GENERALES","Sector Texto","PLANIFICACION","Des.Centro Gestor","Instituto Metropolitano de Capacitación")</f>
        <v>-1</v>
      </c>
      <c r="I71" s="104">
        <f>+F71-GETPIVOTDATA("Codificado 2020",$A$5,"Area","GENERALES","Sector Texto","PLANIFICACION","Des.Centro Gestor","Instituto Metropolitano de Capacitación")</f>
        <v>-4050</v>
      </c>
      <c r="J71" s="108">
        <f>+I71/GETPIVOTDATA("Codificado 2020",$A$5,"Area","GENERALES","Sector Texto","PLANIFICACION","Des.Centro Gestor","Instituto Metropolitano de Capacitación")</f>
        <v>-1</v>
      </c>
    </row>
    <row r="72" spans="1:10" x14ac:dyDescent="0.2">
      <c r="A72" s="6" t="s">
        <v>46</v>
      </c>
      <c r="B72" s="7">
        <v>1301516.67</v>
      </c>
      <c r="C72" s="7">
        <v>1278875.1700000004</v>
      </c>
      <c r="D72" s="7">
        <v>-188592.77000000002</v>
      </c>
      <c r="E72" s="104">
        <v>950012.7699999999</v>
      </c>
      <c r="F72" s="96">
        <v>1241304.1799999997</v>
      </c>
      <c r="G72" s="96">
        <f>+F72-GETPIVOTDATA("Asignación inicial 2020",$A$5,"Area","GENERALES","Sector Texto","PLANIFICACION","Des.Centro Gestor","Secretaría General de Planificación")</f>
        <v>-60212.490000000224</v>
      </c>
      <c r="H72" s="108">
        <f>+G72/GETPIVOTDATA("Asignación inicial 2020",$A$5,"Area","GENERALES","Sector Texto","PLANIFICACION","Des.Centro Gestor","Secretaría General de Planificación")</f>
        <v>-4.6263326001041716E-2</v>
      </c>
      <c r="I72" s="104">
        <f>+F72-GETPIVOTDATA("Codificado 2020",$A$5,"Area","GENERALES","Sector Texto","PLANIFICACION","Des.Centro Gestor","Secretaría General de Planificación")</f>
        <v>-37570.990000000689</v>
      </c>
      <c r="J72" s="108">
        <f>+I72/GETPIVOTDATA("Codificado 2020",$A$5,"Area","GENERALES","Sector Texto","PLANIFICACION","Des.Centro Gestor","Secretaría General de Planificación")</f>
        <v>-2.9378152677716526E-2</v>
      </c>
    </row>
    <row r="73" spans="1:10" x14ac:dyDescent="0.2">
      <c r="A73" s="4" t="s">
        <v>31</v>
      </c>
      <c r="B73" s="7">
        <v>142691802.46000001</v>
      </c>
      <c r="C73" s="7">
        <v>103393738.03999999</v>
      </c>
      <c r="D73" s="7">
        <v>-39598029.699999996</v>
      </c>
      <c r="E73" s="102">
        <v>56381381.000000007</v>
      </c>
      <c r="F73" s="98">
        <v>94526077.770000011</v>
      </c>
      <c r="G73" s="98">
        <f>+F73-GETPIVOTDATA("Asignación inicial 2020",$A$5,"Area","SOCIALES")</f>
        <v>-48165724.689999998</v>
      </c>
      <c r="H73" s="106">
        <f>+G73/GETPIVOTDATA("Asignación inicial 2020",$A$5,"Area","SOCIALES")</f>
        <v>-0.33755074825340459</v>
      </c>
      <c r="I73" s="102">
        <f>+F73-GETPIVOTDATA("Codificado 2020",$A$5,"Area","SOCIALES")</f>
        <v>-8867660.2699999809</v>
      </c>
      <c r="J73" s="106">
        <f>+I73/GETPIVOTDATA("Codificado 2020",$A$5,"Area","SOCIALES")</f>
        <v>-8.5765931652160066E-2</v>
      </c>
    </row>
    <row r="74" spans="1:10" x14ac:dyDescent="0.2">
      <c r="A74" s="5" t="s">
        <v>107</v>
      </c>
      <c r="B74" s="7">
        <v>21130469.130000003</v>
      </c>
      <c r="C74" s="7">
        <v>14952911.960000001</v>
      </c>
      <c r="D74" s="7">
        <v>-3197020.7800000003</v>
      </c>
      <c r="E74" s="103">
        <v>9135587.1600000001</v>
      </c>
      <c r="F74" s="97">
        <v>11624778.99</v>
      </c>
      <c r="G74" s="97">
        <f>+F74-GETPIVOTDATA("Asignación inicial 2020",$A$5,"Area","SOCIALES","Sector Texto","CULTURA")</f>
        <v>-9505690.1400000025</v>
      </c>
      <c r="H74" s="107">
        <f>+G74/GETPIVOTDATA("Asignación inicial 2020",$A$5,"Area","SOCIALES","Sector Texto","CULTURA")</f>
        <v>-0.44985703258733095</v>
      </c>
      <c r="I74" s="103">
        <f>+F74-GETPIVOTDATA("Codificado 2020",$A$5,"Area","SOCIALES","Sector Texto","CULTURA")</f>
        <v>-3328132.9700000007</v>
      </c>
      <c r="J74" s="107">
        <f>+I74/GETPIVOTDATA("Codificado 2020",$A$5,"Area","SOCIALES","Sector Texto","CULTURA")</f>
        <v>-0.22257423697156581</v>
      </c>
    </row>
    <row r="75" spans="1:10" x14ac:dyDescent="0.2">
      <c r="A75" s="6" t="s">
        <v>1165</v>
      </c>
      <c r="B75" s="7">
        <v>130000</v>
      </c>
      <c r="C75" s="7">
        <v>0</v>
      </c>
      <c r="D75" s="7">
        <v>-120000</v>
      </c>
      <c r="E75" s="104">
        <v>0</v>
      </c>
      <c r="F75" s="96">
        <v>0</v>
      </c>
      <c r="G75" s="96">
        <f>+F75-GETPIVOTDATA("Asignación inicial 2020",$A$5,"Area","SOCIALES","Sector Texto","CULTURA","Des.Centro Gestor","Centro Cultural Benjamín Carrión")</f>
        <v>-130000</v>
      </c>
      <c r="H75" s="108">
        <f>+G75/GETPIVOTDATA("Asignación inicial 2020",$A$5,"Area","SOCIALES","Sector Texto","CULTURA","Des.Centro Gestor","Centro Cultural Benjamín Carrión")</f>
        <v>-1</v>
      </c>
      <c r="I75" s="104">
        <f>+F75-GETPIVOTDATA("Codificado 2020",$A$5,"Area","SOCIALES","Sector Texto","CULTURA","Des.Centro Gestor","Centro Cultural Benjamín Carrión")</f>
        <v>0</v>
      </c>
      <c r="J75" s="108" t="e">
        <f>+I75/GETPIVOTDATA("Codificado 2020",$A$5,"Area","SOCIALES","Sector Texto","CULTURA","Des.Centro Gestor","Centro Cultural Benjamín Carrión")</f>
        <v>#DIV/0!</v>
      </c>
    </row>
    <row r="76" spans="1:10" x14ac:dyDescent="0.2">
      <c r="A76" s="6" t="s">
        <v>1169</v>
      </c>
      <c r="B76" s="7">
        <v>430000</v>
      </c>
      <c r="C76" s="7">
        <v>8580</v>
      </c>
      <c r="D76" s="7">
        <v>-330920</v>
      </c>
      <c r="E76" s="104">
        <v>0</v>
      </c>
      <c r="F76" s="96">
        <v>0</v>
      </c>
      <c r="G76" s="96">
        <f>+F76-GETPIVOTDATA("Asignación inicial 2020",$A$5,"Area","SOCIALES","Sector Texto","CULTURA","Des.Centro Gestor","Centro Cultural Metropolitano")</f>
        <v>-430000</v>
      </c>
      <c r="H76" s="108">
        <f>+G76/GETPIVOTDATA("Asignación inicial 2020",$A$5,"Area","SOCIALES","Sector Texto","CULTURA","Des.Centro Gestor","Centro Cultural Metropolitano")</f>
        <v>-1</v>
      </c>
      <c r="I76" s="104">
        <f>+F76-GETPIVOTDATA("Codificado 2020",$A$5,"Area","SOCIALES","Sector Texto","CULTURA","Des.Centro Gestor","Centro Cultural Metropolitano")</f>
        <v>-8580</v>
      </c>
      <c r="J76" s="108">
        <f>+I76/GETPIVOTDATA("Codificado 2020",$A$5,"Area","SOCIALES","Sector Texto","CULTURA","Des.Centro Gestor","Centro Cultural Metropolitano")</f>
        <v>-1</v>
      </c>
    </row>
    <row r="77" spans="1:10" x14ac:dyDescent="0.2">
      <c r="A77" s="6" t="s">
        <v>1797</v>
      </c>
      <c r="B77" s="7">
        <v>5839596</v>
      </c>
      <c r="C77" s="7">
        <v>4539596</v>
      </c>
      <c r="D77" s="7">
        <v>-1300000</v>
      </c>
      <c r="E77" s="104">
        <v>1900000</v>
      </c>
      <c r="F77" s="96">
        <v>2600000</v>
      </c>
      <c r="G77" s="96">
        <f>+F77-GETPIVOTDATA("Asignación inicial 2020",$A$5,"Area","SOCIALES","Sector Texto","CULTURA","Des.Centro Gestor","FUNDACION MUSEOS DE LA CIUDAD")</f>
        <v>-3239596</v>
      </c>
      <c r="H77" s="108">
        <f>+G77/GETPIVOTDATA("Asignación inicial 2020",$A$5,"Area","SOCIALES","Sector Texto","CULTURA","Des.Centro Gestor","FUNDACION MUSEOS DE LA CIUDAD")</f>
        <v>-0.55476371995596951</v>
      </c>
      <c r="I77" s="104">
        <f>+F77-GETPIVOTDATA("Codificado 2020",$A$5,"Area","SOCIALES","Sector Texto","CULTURA","Des.Centro Gestor","FUNDACION MUSEOS DE LA CIUDAD")</f>
        <v>-1939596</v>
      </c>
      <c r="J77" s="108">
        <f>+I77/GETPIVOTDATA("Codificado 2020",$A$5,"Area","SOCIALES","Sector Texto","CULTURA","Des.Centro Gestor","FUNDACION MUSEOS DE LA CIUDAD")</f>
        <v>-0.42726180920064255</v>
      </c>
    </row>
    <row r="78" spans="1:10" x14ac:dyDescent="0.2">
      <c r="A78" s="6" t="s">
        <v>1803</v>
      </c>
      <c r="B78" s="7">
        <v>4035016.69</v>
      </c>
      <c r="C78" s="7">
        <v>3735016.69</v>
      </c>
      <c r="D78" s="7">
        <v>-300000</v>
      </c>
      <c r="E78" s="104">
        <v>2610533.36</v>
      </c>
      <c r="F78" s="96">
        <v>2400000</v>
      </c>
      <c r="G78" s="96">
        <f>+F78-GETPIVOTDATA("Asignación inicial 2020",$A$5,"Area","SOCIALES","Sector Texto","CULTURA","Des.Centro Gestor","FUNDACION TEATRO NACIONAL SUCRE")</f>
        <v>-1635016.69</v>
      </c>
      <c r="H78" s="108">
        <f>+G78/GETPIVOTDATA("Asignación inicial 2020",$A$5,"Area","SOCIALES","Sector Texto","CULTURA","Des.Centro Gestor","FUNDACION TEATRO NACIONAL SUCRE")</f>
        <v>-0.4052069212135031</v>
      </c>
      <c r="I78" s="104">
        <f>+F78-GETPIVOTDATA("Codificado 2020",$A$5,"Area","SOCIALES","Sector Texto","CULTURA","Des.Centro Gestor","FUNDACION TEATRO NACIONAL SUCRE")</f>
        <v>-1335016.69</v>
      </c>
      <c r="J78" s="108">
        <f>+I78/GETPIVOTDATA("Codificado 2020",$A$5,"Area","SOCIALES","Sector Texto","CULTURA","Des.Centro Gestor","FUNDACION TEATRO NACIONAL SUCRE")</f>
        <v>-0.35743259021420865</v>
      </c>
    </row>
    <row r="79" spans="1:10" x14ac:dyDescent="0.2">
      <c r="A79" s="6" t="s">
        <v>109</v>
      </c>
      <c r="B79" s="7">
        <v>10695856.440000001</v>
      </c>
      <c r="C79" s="7">
        <v>6669719.2700000014</v>
      </c>
      <c r="D79" s="7">
        <v>-1146100.7800000003</v>
      </c>
      <c r="E79" s="104">
        <v>4625053.8000000007</v>
      </c>
      <c r="F79" s="96">
        <v>6624778.9900000002</v>
      </c>
      <c r="G79" s="96">
        <f>+F79-GETPIVOTDATA("Asignación inicial 2020",$A$5,"Area","SOCIALES","Sector Texto","CULTURA","Des.Centro Gestor","Secretaría De Cultura")</f>
        <v>-4071077.4500000011</v>
      </c>
      <c r="H79" s="108">
        <f>+G79/GETPIVOTDATA("Asignación inicial 2020",$A$5,"Area","SOCIALES","Sector Texto","CULTURA","Des.Centro Gestor","Secretaría De Cultura")</f>
        <v>-0.38062192334361589</v>
      </c>
      <c r="I79" s="104">
        <f>+F79-GETPIVOTDATA("Codificado 2020",$A$5,"Area","SOCIALES","Sector Texto","CULTURA","Des.Centro Gestor","Secretaría De Cultura")</f>
        <v>-44940.280000001192</v>
      </c>
      <c r="J79" s="108">
        <f>+I79/GETPIVOTDATA("Codificado 2020",$A$5,"Area","SOCIALES","Sector Texto","CULTURA","Des.Centro Gestor","Secretaría De Cultura")</f>
        <v>-6.737956753613287E-3</v>
      </c>
    </row>
    <row r="80" spans="1:10" x14ac:dyDescent="0.2">
      <c r="A80" s="5" t="s">
        <v>79</v>
      </c>
      <c r="B80" s="7">
        <v>60260922.370000005</v>
      </c>
      <c r="C80" s="7">
        <v>31076055.75</v>
      </c>
      <c r="D80" s="7">
        <v>-19284787.98</v>
      </c>
      <c r="E80" s="103">
        <v>18212231.079999998</v>
      </c>
      <c r="F80" s="97">
        <v>35867256.820000008</v>
      </c>
      <c r="G80" s="97">
        <f>+F80-GETPIVOTDATA("Asignación inicial 2020",$A$5,"Area","SOCIALES","Sector Texto","EDUCACION, RECREACION Y DEPORTE")</f>
        <v>-24393665.549999997</v>
      </c>
      <c r="H80" s="107">
        <f>+G80/GETPIVOTDATA("Asignación inicial 2020",$A$5,"Area","SOCIALES","Sector Texto","EDUCACION, RECREACION Y DEPORTE")</f>
        <v>-0.4048007330558886</v>
      </c>
      <c r="I80" s="103">
        <f>+F80-GETPIVOTDATA("Codificado 2020",$A$5,"Area","SOCIALES","Sector Texto","EDUCACION, RECREACION Y DEPORTE")</f>
        <v>4791201.0700000077</v>
      </c>
      <c r="J80" s="107">
        <f>+I80/GETPIVOTDATA("Codificado 2020",$A$5,"Area","SOCIALES","Sector Texto","EDUCACION, RECREACION Y DEPORTE")</f>
        <v>0.15417661457889512</v>
      </c>
    </row>
    <row r="81" spans="1:10" x14ac:dyDescent="0.2">
      <c r="A81" s="6" t="s">
        <v>81</v>
      </c>
      <c r="B81" s="7">
        <v>2173382.06</v>
      </c>
      <c r="C81" s="7">
        <v>1955828.6599999997</v>
      </c>
      <c r="D81" s="7">
        <v>-231529.36</v>
      </c>
      <c r="E81" s="104">
        <v>1284309.1299999999</v>
      </c>
      <c r="F81" s="96">
        <v>1887367.0000000002</v>
      </c>
      <c r="G81" s="96">
        <f>+F81-GETPIVOTDATA("Asignación inicial 2020",$A$5,"Area","SOCIALES","Sector Texto","EDUCACION, RECREACION Y DEPORTE","Des.Centro Gestor","COLEGIO BENALCAZAR")</f>
        <v>-286015.05999999982</v>
      </c>
      <c r="H81" s="108">
        <f>+G81/GETPIVOTDATA("Asignación inicial 2020",$A$5,"Area","SOCIALES","Sector Texto","EDUCACION, RECREACION Y DEPORTE","Des.Centro Gestor","COLEGIO BENALCAZAR")</f>
        <v>-0.13159907098892673</v>
      </c>
      <c r="I81" s="104">
        <f>+F81-GETPIVOTDATA("Codificado 2020",$A$5,"Area","SOCIALES","Sector Texto","EDUCACION, RECREACION Y DEPORTE","Des.Centro Gestor","COLEGIO BENALCAZAR")</f>
        <v>-68461.659999999451</v>
      </c>
      <c r="J81" s="108">
        <f>+I81/GETPIVOTDATA("Codificado 2020",$A$5,"Area","SOCIALES","Sector Texto","EDUCACION, RECREACION Y DEPORTE","Des.Centro Gestor","COLEGIO BENALCAZAR")</f>
        <v>-3.5003914913487082E-2</v>
      </c>
    </row>
    <row r="82" spans="1:10" x14ac:dyDescent="0.2">
      <c r="A82" s="6" t="s">
        <v>134</v>
      </c>
      <c r="B82" s="7">
        <v>2030703.67</v>
      </c>
      <c r="C82" s="7">
        <v>1965725.83</v>
      </c>
      <c r="D82" s="7">
        <v>-65809.429999999993</v>
      </c>
      <c r="E82" s="104">
        <v>1403054.4899999995</v>
      </c>
      <c r="F82" s="96">
        <v>1960321.6199999999</v>
      </c>
      <c r="G82" s="96">
        <f>+F82-GETPIVOTDATA("Asignación inicial 2020",$A$5,"Area","SOCIALES","Sector Texto","EDUCACION, RECREACION Y DEPORTE","Des.Centro Gestor","Colegio Fernández Madrid")</f>
        <v>-70382.050000000047</v>
      </c>
      <c r="H82" s="108">
        <f>+G82/GETPIVOTDATA("Asignación inicial 2020",$A$5,"Area","SOCIALES","Sector Texto","EDUCACION, RECREACION Y DEPORTE","Des.Centro Gestor","Colegio Fernández Madrid")</f>
        <v>-3.4658946570968699E-2</v>
      </c>
      <c r="I82" s="104">
        <f>+F82-GETPIVOTDATA("Codificado 2020",$A$5,"Area","SOCIALES","Sector Texto","EDUCACION, RECREACION Y DEPORTE","Des.Centro Gestor","Colegio Fernández Madrid")</f>
        <v>-5404.2100000001956</v>
      </c>
      <c r="J82" s="108">
        <f>+I82/GETPIVOTDATA("Codificado 2020",$A$5,"Area","SOCIALES","Sector Texto","EDUCACION, RECREACION Y DEPORTE","Des.Centro Gestor","Colegio Fernández Madrid")</f>
        <v>-2.749218592706896E-3</v>
      </c>
    </row>
    <row r="83" spans="1:10" x14ac:dyDescent="0.2">
      <c r="A83" s="6" t="s">
        <v>84</v>
      </c>
      <c r="B83" s="7">
        <v>40895850.490000002</v>
      </c>
      <c r="C83" s="7">
        <v>13119332.180000002</v>
      </c>
      <c r="D83" s="7">
        <v>-17792595.969999999</v>
      </c>
      <c r="E83" s="104">
        <v>5508490.5900000008</v>
      </c>
      <c r="F83" s="96">
        <v>17898253.030000001</v>
      </c>
      <c r="G83" s="96">
        <f>+F83-GETPIVOTDATA("Asignación inicial 2020",$A$5,"Area","SOCIALES","Sector Texto","EDUCACION, RECREACION Y DEPORTE","Des.Centro Gestor","Secretaría Educación, Recreación Deporte")</f>
        <v>-22997597.460000001</v>
      </c>
      <c r="H83" s="108">
        <f>+G83/GETPIVOTDATA("Asignación inicial 2020",$A$5,"Area","SOCIALES","Sector Texto","EDUCACION, RECREACION Y DEPORTE","Des.Centro Gestor","Secretaría Educación, Recreación Deporte")</f>
        <v>-0.56234549922426613</v>
      </c>
      <c r="I83" s="104">
        <f>+F83-GETPIVOTDATA("Codificado 2020",$A$5,"Area","SOCIALES","Sector Texto","EDUCACION, RECREACION Y DEPORTE","Des.Centro Gestor","Secretaría Educación, Recreación Deporte")</f>
        <v>4778920.8499999996</v>
      </c>
      <c r="J83" s="108">
        <f>+I83/GETPIVOTDATA("Codificado 2020",$A$5,"Area","SOCIALES","Sector Texto","EDUCACION, RECREACION Y DEPORTE","Des.Centro Gestor","Secretaría Educación, Recreación Deporte")</f>
        <v>0.3642655574561417</v>
      </c>
    </row>
    <row r="84" spans="1:10" x14ac:dyDescent="0.2">
      <c r="A84" s="6" t="s">
        <v>132</v>
      </c>
      <c r="B84" s="7">
        <v>2936802.2500000005</v>
      </c>
      <c r="C84" s="7">
        <v>2846074.46</v>
      </c>
      <c r="D84" s="7">
        <v>-105207.58000000003</v>
      </c>
      <c r="E84" s="104">
        <v>2062335.13</v>
      </c>
      <c r="F84" s="96">
        <v>2866425.6</v>
      </c>
      <c r="G84" s="96">
        <f>+F84-GETPIVOTDATA("Asignación inicial 2020",$A$5,"Area","SOCIALES","Sector Texto","EDUCACION, RECREACION Y DEPORTE","Des.Centro Gestor","Unidad Educativa Espejo")</f>
        <v>-70376.650000000373</v>
      </c>
      <c r="H84" s="108">
        <f>+G84/GETPIVOTDATA("Asignación inicial 2020",$A$5,"Area","SOCIALES","Sector Texto","EDUCACION, RECREACION Y DEPORTE","Des.Centro Gestor","Unidad Educativa Espejo")</f>
        <v>-2.3963700654342786E-2</v>
      </c>
      <c r="I84" s="104">
        <f>+F84-GETPIVOTDATA("Codificado 2020",$A$5,"Area","SOCIALES","Sector Texto","EDUCACION, RECREACION Y DEPORTE","Des.Centro Gestor","Unidad Educativa Espejo")</f>
        <v>20351.14000000013</v>
      </c>
      <c r="J84" s="108">
        <f>+I84/GETPIVOTDATA("Codificado 2020",$A$5,"Area","SOCIALES","Sector Texto","EDUCACION, RECREACION Y DEPORTE","Des.Centro Gestor","Unidad Educativa Espejo")</f>
        <v>7.1505999881676082E-3</v>
      </c>
    </row>
    <row r="85" spans="1:10" x14ac:dyDescent="0.2">
      <c r="A85" s="6" t="s">
        <v>112</v>
      </c>
      <c r="B85" s="7">
        <v>1327070.02</v>
      </c>
      <c r="C85" s="7">
        <v>1430245.66</v>
      </c>
      <c r="D85" s="7">
        <v>90087.430000000037</v>
      </c>
      <c r="E85" s="104">
        <v>1021368.99</v>
      </c>
      <c r="F85" s="96">
        <v>1327639.22</v>
      </c>
      <c r="G85" s="96">
        <f>+F85-GETPIVOTDATA("Asignación inicial 2020",$A$5,"Area","SOCIALES","Sector Texto","EDUCACION, RECREACION Y DEPORTE","Des.Centro Gestor","Unidad Educativa Julio E.Moreno")</f>
        <v>569.19999999995343</v>
      </c>
      <c r="H85" s="108">
        <f>+G85/GETPIVOTDATA("Asignación inicial 2020",$A$5,"Area","SOCIALES","Sector Texto","EDUCACION, RECREACION Y DEPORTE","Des.Centro Gestor","Unidad Educativa Julio E.Moreno")</f>
        <v>4.2891482093759711E-4</v>
      </c>
      <c r="I85" s="104">
        <f>+F85-GETPIVOTDATA("Codificado 2020",$A$5,"Area","SOCIALES","Sector Texto","EDUCACION, RECREACION Y DEPORTE","Des.Centro Gestor","Unidad Educativa Julio E.Moreno")</f>
        <v>-102606.43999999994</v>
      </c>
      <c r="J85" s="108">
        <f>+I85/GETPIVOTDATA("Codificado 2020",$A$5,"Area","SOCIALES","Sector Texto","EDUCACION, RECREACION Y DEPORTE","Des.Centro Gestor","Unidad Educativa Julio E.Moreno")</f>
        <v>-7.1740430941073408E-2</v>
      </c>
    </row>
    <row r="86" spans="1:10" x14ac:dyDescent="0.2">
      <c r="A86" s="6" t="s">
        <v>114</v>
      </c>
      <c r="B86" s="7">
        <v>1936464.2100000002</v>
      </c>
      <c r="C86" s="7">
        <v>1916980.47</v>
      </c>
      <c r="D86" s="7">
        <v>-36724.690000000024</v>
      </c>
      <c r="E86" s="104">
        <v>1363185.25</v>
      </c>
      <c r="F86" s="96">
        <v>1986722.4200000002</v>
      </c>
      <c r="G86" s="96">
        <f>+F86-GETPIVOTDATA("Asignación inicial 2020",$A$5,"Area","SOCIALES","Sector Texto","EDUCACION, RECREACION Y DEPORTE","Des.Centro Gestor","Unidad Educativa Milenio Bicentenario")</f>
        <v>50258.209999999963</v>
      </c>
      <c r="H86" s="108">
        <f>+G86/GETPIVOTDATA("Asignación inicial 2020",$A$5,"Area","SOCIALES","Sector Texto","EDUCACION, RECREACION Y DEPORTE","Des.Centro Gestor","Unidad Educativa Milenio Bicentenario")</f>
        <v>2.5953596116294841E-2</v>
      </c>
      <c r="I86" s="104">
        <f>+F86-GETPIVOTDATA("Codificado 2020",$A$5,"Area","SOCIALES","Sector Texto","EDUCACION, RECREACION Y DEPORTE","Des.Centro Gestor","Unidad Educativa Milenio Bicentenario")</f>
        <v>69741.950000000186</v>
      </c>
      <c r="J86" s="108">
        <f>+I86/GETPIVOTDATA("Codificado 2020",$A$5,"Area","SOCIALES","Sector Texto","EDUCACION, RECREACION Y DEPORTE","Des.Centro Gestor","Unidad Educativa Milenio Bicentenario")</f>
        <v>3.6381147899748917E-2</v>
      </c>
    </row>
    <row r="87" spans="1:10" x14ac:dyDescent="0.2">
      <c r="A87" s="6" t="s">
        <v>116</v>
      </c>
      <c r="B87" s="7">
        <v>1310763.5200000003</v>
      </c>
      <c r="C87" s="7">
        <v>1287378.47</v>
      </c>
      <c r="D87" s="7">
        <v>-43052.17</v>
      </c>
      <c r="E87" s="104">
        <v>868792.77999999991</v>
      </c>
      <c r="F87" s="96">
        <v>1302820.6299999999</v>
      </c>
      <c r="G87" s="96">
        <f>+F87-GETPIVOTDATA("Asignación inicial 2020",$A$5,"Area","SOCIALES","Sector Texto","EDUCACION, RECREACION Y DEPORTE","Des.Centro Gestor","Unidad Educativa Oswaldo Lombeyda")</f>
        <v>-7942.8900000003632</v>
      </c>
      <c r="H87" s="108">
        <f>+G87/GETPIVOTDATA("Asignación inicial 2020",$A$5,"Area","SOCIALES","Sector Texto","EDUCACION, RECREACION Y DEPORTE","Des.Centro Gestor","Unidad Educativa Oswaldo Lombeyda")</f>
        <v>-6.0597429504296559E-3</v>
      </c>
      <c r="I87" s="104">
        <f>+F87-GETPIVOTDATA("Codificado 2020",$A$5,"Area","SOCIALES","Sector Texto","EDUCACION, RECREACION Y DEPORTE","Des.Centro Gestor","Unidad Educativa Oswaldo Lombeyda")</f>
        <v>15442.159999999916</v>
      </c>
      <c r="J87" s="108">
        <f>+I87/GETPIVOTDATA("Codificado 2020",$A$5,"Area","SOCIALES","Sector Texto","EDUCACION, RECREACION Y DEPORTE","Des.Centro Gestor","Unidad Educativa Oswaldo Lombeyda")</f>
        <v>1.1995042918497709E-2</v>
      </c>
    </row>
    <row r="88" spans="1:10" x14ac:dyDescent="0.2">
      <c r="A88" s="6" t="s">
        <v>128</v>
      </c>
      <c r="B88" s="7">
        <v>2008183.7399999995</v>
      </c>
      <c r="C88" s="7">
        <v>1906213.3399999999</v>
      </c>
      <c r="D88" s="7">
        <v>-102510.48000000001</v>
      </c>
      <c r="E88" s="104">
        <v>1319937.5999999999</v>
      </c>
      <c r="F88" s="96">
        <v>1918523.1999999995</v>
      </c>
      <c r="G88" s="96">
        <f>+F88-GETPIVOTDATA("Asignación inicial 2020",$A$5,"Area","SOCIALES","Sector Texto","EDUCACION, RECREACION Y DEPORTE","Des.Centro Gestor","Unidad Educativa Quitumbe")</f>
        <v>-89660.540000000037</v>
      </c>
      <c r="H88" s="108">
        <f>+G88/GETPIVOTDATA("Asignación inicial 2020",$A$5,"Area","SOCIALES","Sector Texto","EDUCACION, RECREACION Y DEPORTE","Des.Centro Gestor","Unidad Educativa Quitumbe")</f>
        <v>-4.4647577915355521E-2</v>
      </c>
      <c r="I88" s="104">
        <f>+F88-GETPIVOTDATA("Codificado 2020",$A$5,"Area","SOCIALES","Sector Texto","EDUCACION, RECREACION Y DEPORTE","Des.Centro Gestor","Unidad Educativa Quitumbe")</f>
        <v>12309.859999999637</v>
      </c>
      <c r="J88" s="108">
        <f>+I88/GETPIVOTDATA("Codificado 2020",$A$5,"Area","SOCIALES","Sector Texto","EDUCACION, RECREACION Y DEPORTE","Des.Centro Gestor","Unidad Educativa Quitumbe")</f>
        <v>6.4577556675789695E-3</v>
      </c>
    </row>
    <row r="89" spans="1:10" x14ac:dyDescent="0.2">
      <c r="A89" s="6" t="s">
        <v>126</v>
      </c>
      <c r="B89" s="7">
        <v>2182834.2899999996</v>
      </c>
      <c r="C89" s="7">
        <v>1367419.4000000004</v>
      </c>
      <c r="D89" s="7">
        <v>-817964.89</v>
      </c>
      <c r="E89" s="104">
        <v>1030301.9500000001</v>
      </c>
      <c r="F89" s="96">
        <v>1486158.3499999999</v>
      </c>
      <c r="G89" s="96">
        <f>+F89-GETPIVOTDATA("Asignación inicial 2020",$A$5,"Area","SOCIALES","Sector Texto","EDUCACION, RECREACION Y DEPORTE","Des.Centro Gestor","Unidad Educativa San Francisco de Quito")</f>
        <v>-696675.93999999971</v>
      </c>
      <c r="H89" s="108">
        <f>+G89/GETPIVOTDATA("Asignación inicial 2020",$A$5,"Area","SOCIALES","Sector Texto","EDUCACION, RECREACION Y DEPORTE","Des.Centro Gestor","Unidad Educativa San Francisco de Quito")</f>
        <v>-0.31916116729135668</v>
      </c>
      <c r="I89" s="104">
        <f>+F89-GETPIVOTDATA("Codificado 2020",$A$5,"Area","SOCIALES","Sector Texto","EDUCACION, RECREACION Y DEPORTE","Des.Centro Gestor","Unidad Educativa San Francisco de Quito")</f>
        <v>118738.94999999949</v>
      </c>
      <c r="J89" s="108">
        <f>+I89/GETPIVOTDATA("Codificado 2020",$A$5,"Area","SOCIALES","Sector Texto","EDUCACION, RECREACION Y DEPORTE","Des.Centro Gestor","Unidad Educativa San Francisco de Quito")</f>
        <v>8.6834331880913385E-2</v>
      </c>
    </row>
    <row r="90" spans="1:10" x14ac:dyDescent="0.2">
      <c r="A90" s="6" t="s">
        <v>118</v>
      </c>
      <c r="B90" s="7">
        <v>3458868.1199999992</v>
      </c>
      <c r="C90" s="7">
        <v>3280857.2800000007</v>
      </c>
      <c r="D90" s="7">
        <v>-179480.83999999997</v>
      </c>
      <c r="E90" s="104">
        <v>2350455.1699999995</v>
      </c>
      <c r="F90" s="96">
        <v>3233025.75</v>
      </c>
      <c r="G90" s="96">
        <f>+F90-GETPIVOTDATA("Asignación inicial 2020",$A$5,"Area","SOCIALES","Sector Texto","EDUCACION, RECREACION Y DEPORTE","Des.Centro Gestor","Unidad Educativa Sucre")</f>
        <v>-225842.36999999918</v>
      </c>
      <c r="H90" s="108">
        <f>+G90/GETPIVOTDATA("Asignación inicial 2020",$A$5,"Area","SOCIALES","Sector Texto","EDUCACION, RECREACION Y DEPORTE","Des.Centro Gestor","Unidad Educativa Sucre")</f>
        <v>-6.5293720999110905E-2</v>
      </c>
      <c r="I90" s="104">
        <f>+F90-GETPIVOTDATA("Codificado 2020",$A$5,"Area","SOCIALES","Sector Texto","EDUCACION, RECREACION Y DEPORTE","Des.Centro Gestor","Unidad Educativa Sucre")</f>
        <v>-47831.530000000726</v>
      </c>
      <c r="J90" s="108">
        <f>+I90/GETPIVOTDATA("Codificado 2020",$A$5,"Area","SOCIALES","Sector Texto","EDUCACION, RECREACION Y DEPORTE","Des.Centro Gestor","Unidad Educativa Sucre")</f>
        <v>-1.4578973090838233E-2</v>
      </c>
    </row>
    <row r="91" spans="1:10" x14ac:dyDescent="0.2">
      <c r="A91" s="5" t="s">
        <v>49</v>
      </c>
      <c r="B91" s="7">
        <v>34413202.310000002</v>
      </c>
      <c r="C91" s="7">
        <v>21541303.240000002</v>
      </c>
      <c r="D91" s="7">
        <v>-12565955</v>
      </c>
      <c r="E91" s="103">
        <v>14095204.57</v>
      </c>
      <c r="F91" s="97">
        <v>14385646.220000001</v>
      </c>
      <c r="G91" s="97">
        <f>+F91-GETPIVOTDATA("Asignación inicial 2020",$A$5,"Area","SOCIALES","Sector Texto","INCLUSION SOCIAL")</f>
        <v>-20027556.090000004</v>
      </c>
      <c r="H91" s="107">
        <f>+G91/GETPIVOTDATA("Asignación inicial 2020",$A$5,"Area","SOCIALES","Sector Texto","INCLUSION SOCIAL")</f>
        <v>-0.58197304364727109</v>
      </c>
      <c r="I91" s="103">
        <f>+F91-GETPIVOTDATA("Codificado 2020",$A$5,"Area","SOCIALES","Sector Texto","INCLUSION SOCIAL")</f>
        <v>-7155657.0200000014</v>
      </c>
      <c r="J91" s="107">
        <f>+I91/GETPIVOTDATA("Codificado 2020",$A$5,"Area","SOCIALES","Sector Texto","INCLUSION SOCIAL")</f>
        <v>-0.33218310611368568</v>
      </c>
    </row>
    <row r="92" spans="1:10" x14ac:dyDescent="0.2">
      <c r="A92" s="6" t="s">
        <v>1849</v>
      </c>
      <c r="B92" s="7">
        <v>750000</v>
      </c>
      <c r="C92" s="7">
        <v>750000</v>
      </c>
      <c r="D92" s="7">
        <v>0</v>
      </c>
      <c r="E92" s="104">
        <v>526000</v>
      </c>
      <c r="F92" s="96">
        <v>750000</v>
      </c>
      <c r="G92" s="96">
        <f>+F92-GETPIVOTDATA("Asignación inicial 2020",$A$5,"Area","SOCIALES","Sector Texto","INCLUSION SOCIAL","Des.Centro Gestor","COMPINA")</f>
        <v>0</v>
      </c>
      <c r="H92" s="108">
        <f>+G92/GETPIVOTDATA("Asignación inicial 2020",$A$5,"Area","SOCIALES","Sector Texto","INCLUSION SOCIAL","Des.Centro Gestor","COMPINA")</f>
        <v>0</v>
      </c>
      <c r="I92" s="104">
        <f>+F92-GETPIVOTDATA("Codificado 2020",$A$5,"Area","SOCIALES","Sector Texto","INCLUSION SOCIAL","Des.Centro Gestor","COMPINA")</f>
        <v>0</v>
      </c>
      <c r="J92" s="108">
        <f>+I92/GETPIVOTDATA("Codificado 2020",$A$5,"Area","SOCIALES","Sector Texto","INCLUSION SOCIAL","Des.Centro Gestor","COMPINA")</f>
        <v>0</v>
      </c>
    </row>
    <row r="93" spans="1:10" x14ac:dyDescent="0.2">
      <c r="A93" s="6" t="s">
        <v>51</v>
      </c>
      <c r="B93" s="7">
        <v>3406296.25</v>
      </c>
      <c r="C93" s="7">
        <v>2575966.3000000003</v>
      </c>
      <c r="D93" s="7">
        <v>-524385.87999999989</v>
      </c>
      <c r="E93" s="104">
        <v>1073311.6400000001</v>
      </c>
      <c r="F93" s="96">
        <v>1842457.1400000001</v>
      </c>
      <c r="G93" s="96">
        <f>+F93-GETPIVOTDATA("Asignación inicial 2020",$A$5,"Area","SOCIALES","Sector Texto","INCLUSION SOCIAL","Des.Centro Gestor","Secretaría De Inclusión Social")</f>
        <v>-1563839.1099999999</v>
      </c>
      <c r="H93" s="108">
        <f>+G93/GETPIVOTDATA("Asignación inicial 2020",$A$5,"Area","SOCIALES","Sector Texto","INCLUSION SOCIAL","Des.Centro Gestor","Secretaría De Inclusión Social")</f>
        <v>-0.45910249585601953</v>
      </c>
      <c r="I93" s="104">
        <f>+F93-GETPIVOTDATA("Codificado 2020",$A$5,"Area","SOCIALES","Sector Texto","INCLUSION SOCIAL","Des.Centro Gestor","Secretaría De Inclusión Social")</f>
        <v>-733509.16000000015</v>
      </c>
      <c r="J93" s="108">
        <f>+I93/GETPIVOTDATA("Codificado 2020",$A$5,"Area","SOCIALES","Sector Texto","INCLUSION SOCIAL","Des.Centro Gestor","Secretaría De Inclusión Social")</f>
        <v>-0.28475106991888832</v>
      </c>
    </row>
    <row r="94" spans="1:10" x14ac:dyDescent="0.2">
      <c r="A94" s="6" t="s">
        <v>1817</v>
      </c>
      <c r="B94" s="7">
        <v>30256906.059999999</v>
      </c>
      <c r="C94" s="7">
        <v>18215336.940000001</v>
      </c>
      <c r="D94" s="7">
        <v>-12041569.119999999</v>
      </c>
      <c r="E94" s="104">
        <v>12495892.93</v>
      </c>
      <c r="F94" s="96">
        <v>11793189.08</v>
      </c>
      <c r="G94" s="96">
        <f>+F94-GETPIVOTDATA("Asignación inicial 2020",$A$5,"Area","SOCIALES","Sector Texto","INCLUSION SOCIAL","Des.Centro Gestor","UNIDAD PATRONATO MUNICIPAL SAN JOSE")</f>
        <v>-18463716.979999997</v>
      </c>
      <c r="H94" s="108">
        <f>+G94/GETPIVOTDATA("Asignación inicial 2020",$A$5,"Area","SOCIALES","Sector Texto","INCLUSION SOCIAL","Des.Centro Gestor","UNIDAD PATRONATO MUNICIPAL SAN JOSE")</f>
        <v>-0.61023149370877872</v>
      </c>
      <c r="I94" s="104">
        <f>+F94-GETPIVOTDATA("Codificado 2020",$A$5,"Area","SOCIALES","Sector Texto","INCLUSION SOCIAL","Des.Centro Gestor","UNIDAD PATRONATO MUNICIPAL SAN JOSE")</f>
        <v>-6422147.8600000013</v>
      </c>
      <c r="J94" s="108">
        <f>+I94/GETPIVOTDATA("Codificado 2020",$A$5,"Area","SOCIALES","Sector Texto","INCLUSION SOCIAL","Des.Centro Gestor","UNIDAD PATRONATO MUNICIPAL SAN JOSE")</f>
        <v>-0.35256816171746319</v>
      </c>
    </row>
    <row r="95" spans="1:10" x14ac:dyDescent="0.2">
      <c r="A95" s="5" t="s">
        <v>32</v>
      </c>
      <c r="B95" s="7">
        <v>26887208.649999999</v>
      </c>
      <c r="C95" s="7">
        <v>35823467.090000004</v>
      </c>
      <c r="D95" s="7">
        <v>-4550265.9399999995</v>
      </c>
      <c r="E95" s="103">
        <v>14938358.190000001</v>
      </c>
      <c r="F95" s="97">
        <v>32648395.740000002</v>
      </c>
      <c r="G95" s="97">
        <f>+F95-GETPIVOTDATA("Asignación inicial 2020",$A$5,"Area","SOCIALES","Sector Texto","SALUD")</f>
        <v>5761187.0900000036</v>
      </c>
      <c r="H95" s="107">
        <f>+G95/GETPIVOTDATA("Asignación inicial 2020",$A$5,"Area","SOCIALES","Sector Texto","SALUD")</f>
        <v>0.2142724135106529</v>
      </c>
      <c r="I95" s="103">
        <f>+F95-GETPIVOTDATA("Codificado 2020",$A$5,"Area","SOCIALES","Sector Texto","SALUD")</f>
        <v>-3175071.3500000015</v>
      </c>
      <c r="J95" s="107">
        <f>+I95/GETPIVOTDATA("Codificado 2020",$A$5,"Area","SOCIALES","Sector Texto","SALUD")</f>
        <v>-8.863104573388185E-2</v>
      </c>
    </row>
    <row r="96" spans="1:10" x14ac:dyDescent="0.2">
      <c r="A96" s="6" t="s">
        <v>142</v>
      </c>
      <c r="B96" s="7">
        <v>5495390.1199999992</v>
      </c>
      <c r="C96" s="7">
        <v>11804553.000000002</v>
      </c>
      <c r="D96" s="7">
        <v>-1261819.53</v>
      </c>
      <c r="E96" s="104">
        <v>1887375.8400000003</v>
      </c>
      <c r="F96" s="96">
        <v>7332347.4900000002</v>
      </c>
      <c r="G96" s="96">
        <f>+F96-GETPIVOTDATA("Asignación inicial 2020",$A$5,"Area","SOCIALES","Sector Texto","SALUD","Des.Centro Gestor","Secretaría De Salud")</f>
        <v>1836957.370000001</v>
      </c>
      <c r="H96" s="108">
        <f>+G96/GETPIVOTDATA("Asignación inicial 2020",$A$5,"Area","SOCIALES","Sector Texto","SALUD","Des.Centro Gestor","Secretaría De Salud")</f>
        <v>0.33427242286485775</v>
      </c>
      <c r="I96" s="104">
        <f>+F96-GETPIVOTDATA("Codificado 2020",$A$5,"Area","SOCIALES","Sector Texto","SALUD","Des.Centro Gestor","Secretaría De Salud")</f>
        <v>-4472205.5100000016</v>
      </c>
      <c r="J96" s="108">
        <f>+I96/GETPIVOTDATA("Codificado 2020",$A$5,"Area","SOCIALES","Sector Texto","SALUD","Des.Centro Gestor","Secretaría De Salud")</f>
        <v>-0.37885428698570806</v>
      </c>
    </row>
    <row r="97" spans="1:10" x14ac:dyDescent="0.2">
      <c r="A97" s="6" t="s">
        <v>124</v>
      </c>
      <c r="B97" s="7">
        <v>6117112.4199999999</v>
      </c>
      <c r="C97" s="7">
        <v>3947313.53</v>
      </c>
      <c r="D97" s="7">
        <v>-361412.43999999994</v>
      </c>
      <c r="E97" s="104">
        <v>2534516.8500000006</v>
      </c>
      <c r="F97" s="96">
        <v>4241434.7799999993</v>
      </c>
      <c r="G97" s="96">
        <f>+F97-GETPIVOTDATA("Asignación inicial 2020",$A$5,"Area","SOCIALES","Sector Texto","SALUD","Des.Centro Gestor","Unidad de Salud Centro")</f>
        <v>-1875677.6400000006</v>
      </c>
      <c r="H97" s="108">
        <f>+G97/GETPIVOTDATA("Asignación inicial 2020",$A$5,"Area","SOCIALES","Sector Texto","SALUD","Des.Centro Gestor","Unidad de Salud Centro")</f>
        <v>-0.30662794979334396</v>
      </c>
      <c r="I97" s="104">
        <f>+F97-GETPIVOTDATA("Codificado 2020",$A$5,"Area","SOCIALES","Sector Texto","SALUD","Des.Centro Gestor","Unidad de Salud Centro")</f>
        <v>294121.24999999953</v>
      </c>
      <c r="J97" s="108">
        <f>+I97/GETPIVOTDATA("Codificado 2020",$A$5,"Area","SOCIALES","Sector Texto","SALUD","Des.Centro Gestor","Unidad de Salud Centro")</f>
        <v>7.4511752807231282E-2</v>
      </c>
    </row>
    <row r="98" spans="1:10" x14ac:dyDescent="0.2">
      <c r="A98" s="6" t="s">
        <v>76</v>
      </c>
      <c r="B98" s="7">
        <v>6645500.4300000006</v>
      </c>
      <c r="C98" s="7">
        <v>6191144.5199999986</v>
      </c>
      <c r="D98" s="7">
        <v>-1361861.75</v>
      </c>
      <c r="E98" s="104">
        <v>3441124</v>
      </c>
      <c r="F98" s="96">
        <v>6629692.7200000007</v>
      </c>
      <c r="G98" s="96">
        <f>+F98-GETPIVOTDATA("Asignación inicial 2020",$A$5,"Area","SOCIALES","Sector Texto","SALUD","Des.Centro Gestor","Unidad de Salud Norte")</f>
        <v>-15807.709999999963</v>
      </c>
      <c r="H98" s="108">
        <f>+G98/GETPIVOTDATA("Asignación inicial 2020",$A$5,"Area","SOCIALES","Sector Texto","SALUD","Des.Centro Gestor","Unidad de Salud Norte")</f>
        <v>-2.3787087468445114E-3</v>
      </c>
      <c r="I98" s="104">
        <f>+F98-GETPIVOTDATA("Codificado 2020",$A$5,"Area","SOCIALES","Sector Texto","SALUD","Des.Centro Gestor","Unidad de Salud Norte")</f>
        <v>438548.20000000205</v>
      </c>
      <c r="J98" s="108">
        <f>+I98/GETPIVOTDATA("Codificado 2020",$A$5,"Area","SOCIALES","Sector Texto","SALUD","Des.Centro Gestor","Unidad de Salud Norte")</f>
        <v>7.0834754153017598E-2</v>
      </c>
    </row>
    <row r="99" spans="1:10" ht="13.5" thickBot="1" x14ac:dyDescent="0.25">
      <c r="A99" s="6" t="s">
        <v>34</v>
      </c>
      <c r="B99" s="7">
        <v>8629205.6799999997</v>
      </c>
      <c r="C99" s="7">
        <v>13880456.039999999</v>
      </c>
      <c r="D99" s="7">
        <v>-1565172.22</v>
      </c>
      <c r="E99" s="104">
        <v>7075341.5000000009</v>
      </c>
      <c r="F99" s="96">
        <v>14444920.750000002</v>
      </c>
      <c r="G99" s="96">
        <f>+F99-GETPIVOTDATA("Asignación inicial 2020",$A$5,"Area","SOCIALES","Sector Texto","SALUD","Des.Centro Gestor","Unidad de Salud Sur")</f>
        <v>5815715.0700000022</v>
      </c>
      <c r="H99" s="108">
        <f>+G99/GETPIVOTDATA("Asignación inicial 2020",$A$5,"Area","SOCIALES","Sector Texto","SALUD","Des.Centro Gestor","Unidad de Salud Sur")</f>
        <v>0.67395717354137774</v>
      </c>
      <c r="I99" s="104">
        <f>+F99-GETPIVOTDATA("Codificado 2020",$A$5,"Area","SOCIALES","Sector Texto","SALUD","Des.Centro Gestor","Unidad de Salud Sur")</f>
        <v>564464.71000000276</v>
      </c>
      <c r="J99" s="108">
        <f>+I99/GETPIVOTDATA("Codificado 2020",$A$5,"Area","SOCIALES","Sector Texto","SALUD","Des.Centro Gestor","Unidad de Salud Sur")</f>
        <v>4.0666150187959015E-2</v>
      </c>
    </row>
    <row r="100" spans="1:10" ht="13.5" thickTop="1" x14ac:dyDescent="0.2">
      <c r="A100" s="4" t="s">
        <v>2008</v>
      </c>
      <c r="B100" s="7">
        <v>757330687.86999977</v>
      </c>
      <c r="C100" s="7">
        <v>611127777.42999995</v>
      </c>
      <c r="D100" s="7">
        <v>-146202910.43999997</v>
      </c>
      <c r="E100" s="105">
        <v>359142121.77999997</v>
      </c>
      <c r="F100" s="99">
        <f>+F6+F36+F45+F73</f>
        <v>487603639.01999998</v>
      </c>
      <c r="G100" s="99">
        <f>+F100-GETPIVOTDATA("Asignación inicial 2020",$A$5)</f>
        <v>-269727048.84999979</v>
      </c>
      <c r="H100" s="109">
        <f>+G100/GETPIVOTDATA("Asignación inicial 2020",$A$5)</f>
        <v>-0.35615491775278491</v>
      </c>
      <c r="I100" s="105">
        <f>+F100-GETPIVOTDATA("Codificado 2020",$A$5)</f>
        <v>-123524138.40999997</v>
      </c>
      <c r="J100" s="109">
        <f>+I100/GETPIVOTDATA("Codificado 2020",$A$5)</f>
        <v>-0.20212489592513855</v>
      </c>
    </row>
    <row r="102" spans="1:10" x14ac:dyDescent="0.2">
      <c r="F102" s="7"/>
    </row>
    <row r="109" spans="1:10" x14ac:dyDescent="0.2">
      <c r="A109" s="95" t="s">
        <v>2040</v>
      </c>
      <c r="B109" s="95"/>
      <c r="C109" s="95"/>
      <c r="D109" s="95"/>
      <c r="E109" s="95"/>
      <c r="F109" s="95"/>
      <c r="G109" s="95"/>
      <c r="H109" s="95"/>
      <c r="I109" s="95"/>
      <c r="J109" s="95"/>
    </row>
    <row r="110" spans="1:10" x14ac:dyDescent="0.2">
      <c r="A110" s="95" t="s">
        <v>2034</v>
      </c>
      <c r="B110" s="95"/>
      <c r="C110" s="95"/>
      <c r="D110" s="95"/>
      <c r="E110" s="95"/>
      <c r="F110" s="95"/>
      <c r="G110" s="95"/>
      <c r="H110" s="95"/>
      <c r="I110" s="95"/>
      <c r="J110" s="95"/>
    </row>
    <row r="111" spans="1:10" x14ac:dyDescent="0.2">
      <c r="A111" s="95" t="s">
        <v>2041</v>
      </c>
      <c r="B111" s="95"/>
      <c r="C111" s="95"/>
      <c r="D111" s="95"/>
      <c r="E111" s="95"/>
      <c r="F111" s="95"/>
      <c r="G111" s="95"/>
      <c r="H111" s="95"/>
      <c r="I111" s="95"/>
      <c r="J111" s="95"/>
    </row>
    <row r="113" spans="1:10" ht="51" x14ac:dyDescent="0.2">
      <c r="A113" s="113" t="s">
        <v>2125</v>
      </c>
      <c r="B113" s="8" t="s">
        <v>2009</v>
      </c>
      <c r="C113" s="8" t="s">
        <v>2010</v>
      </c>
      <c r="D113" s="8" t="s">
        <v>2054</v>
      </c>
      <c r="E113" s="100" t="s">
        <v>2043</v>
      </c>
      <c r="F113" s="100" t="s">
        <v>2012</v>
      </c>
      <c r="G113" s="100" t="s">
        <v>2025</v>
      </c>
      <c r="H113" s="100" t="s">
        <v>2027</v>
      </c>
      <c r="I113" s="100" t="s">
        <v>2026</v>
      </c>
      <c r="J113" s="100" t="s">
        <v>2027</v>
      </c>
    </row>
    <row r="114" spans="1:10" x14ac:dyDescent="0.2">
      <c r="A114" s="4" t="s">
        <v>39</v>
      </c>
      <c r="B114" s="7">
        <v>320373913</v>
      </c>
      <c r="C114" s="7">
        <v>218456845.81000003</v>
      </c>
      <c r="D114" s="7">
        <v>-101917067.19</v>
      </c>
      <c r="E114" s="10">
        <v>93900212.879999995</v>
      </c>
      <c r="F114" s="10">
        <f>+F115</f>
        <v>230775586.59</v>
      </c>
      <c r="G114" s="10">
        <f>+F114-GETPIVOTDATA("Asignación inicial 2020",$A$113,"Area","COMUNALES")</f>
        <v>-89598326.409999996</v>
      </c>
      <c r="H114" s="19">
        <f>+G114/GETPIVOTDATA("Asignación inicial 2020",$A$113,"Area","COMUNALES")</f>
        <v>-0.27966798410955512</v>
      </c>
      <c r="I114" s="10">
        <f>+F114-GETPIVOTDATA("Codificado 2020",$A$113,"Area","COMUNALES")</f>
        <v>12318740.779999971</v>
      </c>
      <c r="J114" s="19">
        <f>+I114/GETPIVOTDATA("Codificado 2020",$A$113,"Area","COMUNALES")</f>
        <v>5.6389813440380965E-2</v>
      </c>
    </row>
    <row r="115" spans="1:10" x14ac:dyDescent="0.2">
      <c r="A115" s="5" t="s">
        <v>40</v>
      </c>
      <c r="B115" s="7">
        <v>320373913</v>
      </c>
      <c r="C115" s="7">
        <v>218456845.81000003</v>
      </c>
      <c r="D115" s="7">
        <v>-101917067.19</v>
      </c>
      <c r="E115" s="52">
        <v>93900212.879999995</v>
      </c>
      <c r="F115" s="52">
        <f>+F116</f>
        <v>230775586.59</v>
      </c>
      <c r="G115" s="52">
        <f>+F115-GETPIVOTDATA("Asignación inicial 2020",$A$113,"Area","COMUNALES","Sector Texto","MOVILIDAD")</f>
        <v>-89598326.409999996</v>
      </c>
      <c r="H115" s="61">
        <f>+G115/GETPIVOTDATA("Asignación inicial 2020",$A$113,"Area","COMUNALES","Sector Texto","MOVILIDAD")</f>
        <v>-0.27966798410955512</v>
      </c>
      <c r="I115" s="52">
        <f>+F115-GETPIVOTDATA("Codificado 2020",$A$113,"Area","COMUNALES","Sector Texto","MOVILIDAD")</f>
        <v>12318740.779999971</v>
      </c>
      <c r="J115" s="61">
        <f>+I115/GETPIVOTDATA("Codificado 2020",$A$113,"Area","COMUNALES","Sector Texto","MOVILIDAD")</f>
        <v>5.6389813440380965E-2</v>
      </c>
    </row>
    <row r="116" spans="1:10" x14ac:dyDescent="0.2">
      <c r="A116" s="6" t="s">
        <v>42</v>
      </c>
      <c r="B116" s="7">
        <v>320373913</v>
      </c>
      <c r="C116" s="7">
        <v>218456845.81000003</v>
      </c>
      <c r="D116" s="7">
        <v>-101917067.19</v>
      </c>
      <c r="E116" s="7">
        <v>93900212.879999995</v>
      </c>
      <c r="F116" s="7">
        <v>230775586.59</v>
      </c>
      <c r="G116" s="7">
        <f>+F116-GETPIVOTDATA("Asignación inicial 2020",$A$113,"Area","COMUNALES","Sector Texto","MOVILIDAD","Des.Centro Gestor","Secretaría De Movilidad")</f>
        <v>-89598326.409999996</v>
      </c>
      <c r="H116" s="62">
        <f>+G116/GETPIVOTDATA("Asignación inicial 2020",$A$113,"Area","COMUNALES","Sector Texto","MOVILIDAD","Des.Centro Gestor","Secretaría De Movilidad")</f>
        <v>-0.27966798410955512</v>
      </c>
      <c r="I116" s="7">
        <f>+F116-GETPIVOTDATA("Codificado 2020",$A$113,"Area","COMUNALES","Sector Texto","MOVILIDAD","Des.Centro Gestor","Secretaría De Movilidad")</f>
        <v>12318740.779999971</v>
      </c>
      <c r="J116" s="62">
        <f>+I116/GETPIVOTDATA("Codificado 2020",$A$113,"Area","COMUNALES","Sector Texto","MOVILIDAD","Des.Centro Gestor","Secretaría De Movilidad")</f>
        <v>5.6389813440380965E-2</v>
      </c>
    </row>
    <row r="117" spans="1:10" x14ac:dyDescent="0.2">
      <c r="A117" s="4" t="s">
        <v>2008</v>
      </c>
      <c r="B117" s="7">
        <v>320373913</v>
      </c>
      <c r="C117" s="7">
        <v>218456845.81000003</v>
      </c>
      <c r="D117" s="7">
        <v>-101917067.19</v>
      </c>
      <c r="E117" s="11">
        <v>93900212.879999995</v>
      </c>
      <c r="F117" s="11">
        <f>+F114</f>
        <v>230775586.59</v>
      </c>
      <c r="G117" s="11">
        <f>+F117-GETPIVOTDATA("Asignación inicial 2020",$A$113)</f>
        <v>-89598326.409999996</v>
      </c>
      <c r="H117" s="20">
        <f>+G117/GETPIVOTDATA("Asignación inicial 2020",$A$113)</f>
        <v>-0.27966798410955512</v>
      </c>
      <c r="I117" s="11">
        <f>+F117-GETPIVOTDATA("Codificado 2020",$A$113)</f>
        <v>12318740.779999971</v>
      </c>
      <c r="J117" s="20">
        <f>+I117/GETPIVOTDATA("Codificado 2020",$A$113)</f>
        <v>5.6389813440380965E-2</v>
      </c>
    </row>
    <row r="120" spans="1:10" x14ac:dyDescent="0.2">
      <c r="A120" s="114" t="s">
        <v>2008</v>
      </c>
      <c r="B120" s="115">
        <f>+GETPIVOTDATA("Asignación inicial 2020",$A$5)+GETPIVOTDATA("Asignación inicial 2020",$A$113)</f>
        <v>1077704600.8699999</v>
      </c>
      <c r="C120" s="115">
        <f>+GETPIVOTDATA("Codificado 2020",$A$5)+GETPIVOTDATA("Codificado 2020",$A$113)</f>
        <v>829584623.24000001</v>
      </c>
      <c r="D120" s="115">
        <f>+GETPIVOTDATA("Reformas 2020",$A$5)+GETPIVOTDATA("Reforma 2020",$A$113)</f>
        <v>-248119977.62999997</v>
      </c>
      <c r="E120" s="115">
        <f>+E100+E117</f>
        <v>453042334.65999997</v>
      </c>
      <c r="F120" s="115">
        <f>+F100+F117</f>
        <v>718379225.61000001</v>
      </c>
      <c r="G120" s="115">
        <f>+G100+G117</f>
        <v>-359325375.25999975</v>
      </c>
      <c r="H120" s="116">
        <f>+G120/B120</f>
        <v>-0.33341731581170453</v>
      </c>
      <c r="I120" s="115">
        <f>+I100+I117</f>
        <v>-111205397.63</v>
      </c>
      <c r="J120" s="116">
        <f>+I120/C120</f>
        <v>-0.13404949237810079</v>
      </c>
    </row>
  </sheetData>
  <mergeCells count="5">
    <mergeCell ref="A1:J1"/>
    <mergeCell ref="A2:J2"/>
    <mergeCell ref="A109:J109"/>
    <mergeCell ref="A110:J110"/>
    <mergeCell ref="A111:J111"/>
  </mergeCells>
  <pageMargins left="0.7" right="0.7" top="0.75" bottom="0.75" header="0.3" footer="0.3"/>
  <pageSetup scale="75" orientation="landscape"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86"/>
  <sheetViews>
    <sheetView tabSelected="1" workbookViewId="0">
      <selection activeCell="D64" sqref="D64"/>
    </sheetView>
  </sheetViews>
  <sheetFormatPr baseColWidth="10" defaultRowHeight="12.75" x14ac:dyDescent="0.2"/>
  <cols>
    <col min="1" max="1" width="47.42578125" style="112" bestFit="1" customWidth="1"/>
    <col min="2" max="2" width="18.42578125" style="148" bestFit="1" customWidth="1"/>
    <col min="3" max="4" width="15.42578125" style="149" bestFit="1" customWidth="1"/>
    <col min="5" max="5" width="17.42578125" style="149" customWidth="1"/>
    <col min="6" max="6" width="14.85546875" style="149" bestFit="1" customWidth="1"/>
    <col min="7" max="7" width="17.5703125" style="149" customWidth="1"/>
    <col min="8" max="8" width="19.7109375" style="151" customWidth="1"/>
    <col min="9" max="9" width="15.42578125" style="149" bestFit="1" customWidth="1"/>
    <col min="10" max="10" width="16.85546875" style="151" customWidth="1"/>
    <col min="11" max="16384" width="11.42578125" style="112"/>
  </cols>
  <sheetData>
    <row r="1" spans="1:10" x14ac:dyDescent="0.2">
      <c r="A1" s="143"/>
      <c r="B1" s="144"/>
      <c r="C1" s="145"/>
      <c r="D1" s="145"/>
      <c r="E1" s="145"/>
      <c r="F1" s="145"/>
      <c r="G1" s="145"/>
      <c r="H1" s="146"/>
      <c r="I1" s="145"/>
      <c r="J1" s="146"/>
    </row>
    <row r="2" spans="1:10" x14ac:dyDescent="0.2">
      <c r="A2" s="143"/>
      <c r="B2" s="144"/>
      <c r="C2" s="145"/>
      <c r="D2" s="145"/>
      <c r="E2" s="145"/>
      <c r="F2" s="145"/>
      <c r="G2" s="145"/>
      <c r="H2" s="146"/>
      <c r="I2" s="145"/>
      <c r="J2" s="146"/>
    </row>
    <row r="3" spans="1:10" x14ac:dyDescent="0.2">
      <c r="A3" s="110" t="s">
        <v>2127</v>
      </c>
      <c r="B3" s="110"/>
      <c r="C3" s="110"/>
      <c r="D3" s="110"/>
      <c r="E3" s="110"/>
      <c r="F3" s="110"/>
      <c r="G3" s="110"/>
      <c r="H3" s="110"/>
      <c r="I3" s="110"/>
      <c r="J3" s="110"/>
    </row>
    <row r="4" spans="1:10" x14ac:dyDescent="0.2">
      <c r="A4" s="110" t="s">
        <v>2041</v>
      </c>
      <c r="B4" s="110"/>
      <c r="C4" s="110"/>
      <c r="D4" s="110"/>
      <c r="E4" s="110"/>
      <c r="F4" s="110"/>
      <c r="G4" s="110"/>
      <c r="H4" s="110"/>
      <c r="I4" s="110"/>
      <c r="J4" s="110"/>
    </row>
    <row r="5" spans="1:10" x14ac:dyDescent="0.2">
      <c r="A5" s="143"/>
      <c r="B5" s="144"/>
      <c r="C5" s="145"/>
      <c r="D5" s="145"/>
      <c r="E5" s="145"/>
      <c r="F5" s="145"/>
      <c r="G5" s="145"/>
      <c r="H5" s="146"/>
      <c r="I5" s="145"/>
      <c r="J5" s="146"/>
    </row>
    <row r="6" spans="1:10" s="153" customFormat="1" ht="51" x14ac:dyDescent="0.2">
      <c r="A6" s="152" t="s">
        <v>2055</v>
      </c>
      <c r="B6" s="152" t="s">
        <v>2056</v>
      </c>
      <c r="C6" s="152" t="s">
        <v>2058</v>
      </c>
      <c r="D6" s="154" t="s">
        <v>2057</v>
      </c>
      <c r="E6" s="152" t="s">
        <v>2059</v>
      </c>
      <c r="F6" s="152" t="s">
        <v>2060</v>
      </c>
      <c r="G6" s="154" t="s">
        <v>2061</v>
      </c>
      <c r="H6" s="152" t="s">
        <v>2062</v>
      </c>
      <c r="I6" s="152" t="s">
        <v>2063</v>
      </c>
      <c r="J6" s="152" t="s">
        <v>2064</v>
      </c>
    </row>
    <row r="7" spans="1:10" x14ac:dyDescent="0.2">
      <c r="A7" s="147" t="s">
        <v>2065</v>
      </c>
      <c r="B7" s="148">
        <v>28000000</v>
      </c>
      <c r="C7" s="149">
        <v>13413032.189999999</v>
      </c>
      <c r="D7" s="150">
        <v>-14586967.810000001</v>
      </c>
      <c r="E7" s="149">
        <v>10257345.949999999</v>
      </c>
      <c r="F7" s="149">
        <v>12000000</v>
      </c>
      <c r="G7" s="150">
        <f>+F7-B7</f>
        <v>-16000000</v>
      </c>
      <c r="H7" s="151">
        <f>+G7/B7</f>
        <v>-0.5714285714285714</v>
      </c>
      <c r="I7" s="150">
        <f>+F7-C7</f>
        <v>-1413032.1899999995</v>
      </c>
      <c r="J7" s="151">
        <f>+I7/C7</f>
        <v>-0.1053477073628047</v>
      </c>
    </row>
    <row r="8" spans="1:10" x14ac:dyDescent="0.2">
      <c r="A8" s="147" t="s">
        <v>2066</v>
      </c>
      <c r="B8" s="148">
        <v>75000000</v>
      </c>
      <c r="C8" s="149">
        <v>68485303.75</v>
      </c>
      <c r="D8" s="150">
        <v>-6514696.25</v>
      </c>
      <c r="E8" s="149">
        <v>52462649.479999997</v>
      </c>
      <c r="F8" s="149">
        <v>53079994.140000001</v>
      </c>
      <c r="G8" s="150">
        <f>+F8-B8</f>
        <v>-21920005.859999999</v>
      </c>
      <c r="H8" s="151">
        <f>+G8/B8</f>
        <v>-0.29226674479999998</v>
      </c>
      <c r="I8" s="150">
        <f>+F8-C8</f>
        <v>-15405309.609999999</v>
      </c>
      <c r="J8" s="151">
        <f>+I8/C8</f>
        <v>-0.22494329099036814</v>
      </c>
    </row>
    <row r="9" spans="1:10" x14ac:dyDescent="0.2">
      <c r="A9" s="147" t="s">
        <v>2067</v>
      </c>
      <c r="B9" s="148">
        <v>3000000</v>
      </c>
      <c r="C9" s="149">
        <v>3012267.81</v>
      </c>
      <c r="D9" s="150">
        <v>12267.81</v>
      </c>
      <c r="E9" s="149">
        <v>2524490.39</v>
      </c>
      <c r="F9" s="149">
        <v>2500000</v>
      </c>
      <c r="G9" s="150">
        <f>+F9-B9</f>
        <v>-500000</v>
      </c>
      <c r="H9" s="151">
        <f>+G9/B9</f>
        <v>-0.16666666666666666</v>
      </c>
      <c r="I9" s="150">
        <f>+F9-C9</f>
        <v>-512267.81000000006</v>
      </c>
      <c r="J9" s="151">
        <f>+I9/C9</f>
        <v>-0.17006051331139779</v>
      </c>
    </row>
    <row r="10" spans="1:10" x14ac:dyDescent="0.2">
      <c r="A10" s="147" t="s">
        <v>2068</v>
      </c>
      <c r="B10" s="148">
        <v>0</v>
      </c>
      <c r="C10" s="149">
        <v>6.8</v>
      </c>
      <c r="D10" s="150">
        <v>6.8</v>
      </c>
      <c r="E10" s="149">
        <v>6.18</v>
      </c>
      <c r="G10" s="150">
        <f>+F10-B10</f>
        <v>0</v>
      </c>
      <c r="H10" s="151" t="e">
        <f>+G10/B10</f>
        <v>#DIV/0!</v>
      </c>
      <c r="I10" s="150">
        <f>+F10-C10</f>
        <v>-6.8</v>
      </c>
      <c r="J10" s="151">
        <f>+I10/C10</f>
        <v>-1</v>
      </c>
    </row>
    <row r="11" spans="1:10" x14ac:dyDescent="0.2">
      <c r="A11" s="147" t="s">
        <v>2069</v>
      </c>
      <c r="B11" s="148">
        <v>6600000</v>
      </c>
      <c r="C11" s="149">
        <v>3889594.15</v>
      </c>
      <c r="D11" s="150">
        <v>-2710405.85</v>
      </c>
      <c r="E11" s="149">
        <v>3017960</v>
      </c>
      <c r="F11" s="149">
        <v>3000000</v>
      </c>
      <c r="G11" s="150">
        <f>+F11-B11</f>
        <v>-3600000</v>
      </c>
      <c r="H11" s="151">
        <f>+G11/B11</f>
        <v>-0.54545454545454541</v>
      </c>
      <c r="I11" s="150">
        <f>+F11-C11</f>
        <v>-889594.14999999991</v>
      </c>
      <c r="J11" s="151">
        <f>+I11/C11</f>
        <v>-0.22871130398013376</v>
      </c>
    </row>
    <row r="12" spans="1:10" x14ac:dyDescent="0.2">
      <c r="A12" s="147" t="s">
        <v>2070</v>
      </c>
      <c r="B12" s="148">
        <v>23000000</v>
      </c>
      <c r="C12" s="149">
        <v>8195609.04</v>
      </c>
      <c r="D12" s="150">
        <v>-14804390.960000001</v>
      </c>
      <c r="E12" s="149">
        <v>9411566.1999999993</v>
      </c>
      <c r="F12" s="149">
        <v>10000000</v>
      </c>
      <c r="G12" s="150">
        <f>+F12-B12</f>
        <v>-13000000</v>
      </c>
      <c r="H12" s="151">
        <f>+G12/B12</f>
        <v>-0.56521739130434778</v>
      </c>
      <c r="I12" s="150">
        <f>+F12-C12</f>
        <v>1804390.96</v>
      </c>
      <c r="J12" s="151">
        <f>+I12/C12</f>
        <v>0.22016557295417302</v>
      </c>
    </row>
    <row r="13" spans="1:10" x14ac:dyDescent="0.2">
      <c r="A13" s="147" t="s">
        <v>2071</v>
      </c>
      <c r="B13" s="148">
        <v>31000000</v>
      </c>
      <c r="C13" s="149">
        <v>32022735.460000001</v>
      </c>
      <c r="D13" s="150">
        <v>1022735.46</v>
      </c>
      <c r="E13" s="149">
        <v>29720091.16</v>
      </c>
      <c r="F13" s="149">
        <v>27521775.23</v>
      </c>
      <c r="G13" s="150">
        <f>+F13-B13</f>
        <v>-3478224.7699999996</v>
      </c>
      <c r="H13" s="151">
        <f>+G13/B13</f>
        <v>-0.11220079903225805</v>
      </c>
      <c r="I13" s="150">
        <f>+F13-C13</f>
        <v>-4500960.2300000004</v>
      </c>
      <c r="J13" s="151">
        <f>+I13/C13</f>
        <v>-0.14055514512875411</v>
      </c>
    </row>
    <row r="14" spans="1:10" x14ac:dyDescent="0.2">
      <c r="A14" s="147" t="s">
        <v>2072</v>
      </c>
      <c r="B14" s="148">
        <v>3000000</v>
      </c>
      <c r="C14" s="149">
        <v>1105634.03</v>
      </c>
      <c r="D14" s="150">
        <v>-1894365.97</v>
      </c>
      <c r="E14" s="149">
        <v>711768.98</v>
      </c>
      <c r="F14" s="149">
        <v>1000000</v>
      </c>
      <c r="G14" s="150">
        <f>+F14-B14</f>
        <v>-2000000</v>
      </c>
      <c r="H14" s="151">
        <f>+G14/B14</f>
        <v>-0.66666666666666663</v>
      </c>
      <c r="I14" s="150">
        <f>+F14-C14</f>
        <v>-105634.03000000003</v>
      </c>
      <c r="J14" s="151">
        <f>+I14/C14</f>
        <v>-9.5541587119926136E-2</v>
      </c>
    </row>
    <row r="15" spans="1:10" x14ac:dyDescent="0.2">
      <c r="A15" s="147" t="s">
        <v>2073</v>
      </c>
      <c r="B15" s="148">
        <v>40000000</v>
      </c>
      <c r="C15" s="149">
        <v>38033784.609999999</v>
      </c>
      <c r="D15" s="150">
        <v>-1966215.39</v>
      </c>
      <c r="E15" s="149">
        <v>36915193.170000002</v>
      </c>
      <c r="F15" s="149">
        <v>31700000</v>
      </c>
      <c r="G15" s="150">
        <f>+F15-B15</f>
        <v>-8300000</v>
      </c>
      <c r="H15" s="151">
        <f>+G15/B15</f>
        <v>-0.20749999999999999</v>
      </c>
      <c r="I15" s="150">
        <f>+F15-C15</f>
        <v>-6333784.6099999994</v>
      </c>
      <c r="J15" s="151">
        <f>+I15/C15</f>
        <v>-0.16653048532894868</v>
      </c>
    </row>
    <row r="16" spans="1:10" x14ac:dyDescent="0.2">
      <c r="A16" s="147" t="s">
        <v>2074</v>
      </c>
      <c r="B16" s="148">
        <v>8000</v>
      </c>
      <c r="C16" s="149">
        <v>21287</v>
      </c>
      <c r="D16" s="150">
        <v>13287</v>
      </c>
      <c r="E16" s="149">
        <v>21286.799999999999</v>
      </c>
      <c r="F16" s="149">
        <v>12000</v>
      </c>
      <c r="G16" s="150">
        <f>+F16-B16</f>
        <v>4000</v>
      </c>
      <c r="H16" s="151">
        <f>+G16/B16</f>
        <v>0.5</v>
      </c>
      <c r="I16" s="150">
        <f>+F16-C16</f>
        <v>-9287</v>
      </c>
      <c r="J16" s="151">
        <f>+I16/C16</f>
        <v>-0.43627566120167238</v>
      </c>
    </row>
    <row r="17" spans="1:10" x14ac:dyDescent="0.2">
      <c r="A17" s="147" t="s">
        <v>2075</v>
      </c>
      <c r="B17" s="148">
        <v>570000</v>
      </c>
      <c r="C17" s="149">
        <v>234419.02</v>
      </c>
      <c r="D17" s="150">
        <v>-335580.98</v>
      </c>
      <c r="E17" s="149">
        <v>125526.13</v>
      </c>
      <c r="F17" s="149">
        <v>165000</v>
      </c>
      <c r="G17" s="150">
        <f>+F17-B17</f>
        <v>-405000</v>
      </c>
      <c r="H17" s="151">
        <f>+G17/B17</f>
        <v>-0.71052631578947367</v>
      </c>
      <c r="I17" s="150">
        <f>+F17-C17</f>
        <v>-69419.01999999999</v>
      </c>
      <c r="J17" s="151">
        <f>+I17/C17</f>
        <v>-0.29613219951179726</v>
      </c>
    </row>
    <row r="18" spans="1:10" x14ac:dyDescent="0.2">
      <c r="A18" s="147" t="s">
        <v>2076</v>
      </c>
      <c r="B18" s="148">
        <v>1100000</v>
      </c>
      <c r="C18" s="149">
        <v>1008882.36</v>
      </c>
      <c r="D18" s="150">
        <v>-91117.640000000014</v>
      </c>
      <c r="E18" s="149">
        <v>1165619.4400000002</v>
      </c>
      <c r="F18" s="149">
        <v>1100000</v>
      </c>
      <c r="G18" s="150">
        <f>+F18-B18</f>
        <v>0</v>
      </c>
      <c r="H18" s="151">
        <f>+G18/B18</f>
        <v>0</v>
      </c>
      <c r="I18" s="150">
        <f>+F18-C18</f>
        <v>91117.640000000014</v>
      </c>
      <c r="J18" s="151">
        <f>+I18/C18</f>
        <v>9.0315425873835301E-2</v>
      </c>
    </row>
    <row r="19" spans="1:10" x14ac:dyDescent="0.2">
      <c r="A19" s="147" t="s">
        <v>2077</v>
      </c>
      <c r="B19" s="148">
        <v>5000</v>
      </c>
      <c r="C19" s="149">
        <v>1500</v>
      </c>
      <c r="D19" s="150">
        <v>-3500</v>
      </c>
      <c r="E19" s="149">
        <v>3504.63</v>
      </c>
      <c r="F19" s="149">
        <v>4000</v>
      </c>
      <c r="G19" s="150">
        <f>+F19-B19</f>
        <v>-1000</v>
      </c>
      <c r="H19" s="151">
        <f>+G19/B19</f>
        <v>-0.2</v>
      </c>
      <c r="I19" s="150">
        <f>+F19-C19</f>
        <v>2500</v>
      </c>
      <c r="J19" s="151">
        <f>+I19/C19</f>
        <v>1.6666666666666667</v>
      </c>
    </row>
    <row r="20" spans="1:10" x14ac:dyDescent="0.2">
      <c r="A20" s="147" t="s">
        <v>2078</v>
      </c>
      <c r="B20" s="148">
        <v>14500000</v>
      </c>
      <c r="C20" s="149">
        <v>7421341.2599999998</v>
      </c>
      <c r="D20" s="150">
        <v>-7078658.7400000002</v>
      </c>
      <c r="E20" s="149">
        <v>4536996.75</v>
      </c>
      <c r="F20" s="149">
        <v>6530000</v>
      </c>
      <c r="G20" s="150">
        <f>+F20-B20</f>
        <v>-7970000</v>
      </c>
      <c r="H20" s="151">
        <f>+G20/B20</f>
        <v>-0.54965517241379314</v>
      </c>
      <c r="I20" s="150">
        <f>+F20-C20</f>
        <v>-891341.25999999978</v>
      </c>
      <c r="J20" s="151">
        <f>+I20/C20</f>
        <v>-0.12010514390494419</v>
      </c>
    </row>
    <row r="21" spans="1:10" x14ac:dyDescent="0.2">
      <c r="A21" s="147" t="s">
        <v>2079</v>
      </c>
      <c r="B21" s="148">
        <v>0</v>
      </c>
      <c r="C21" s="149">
        <v>348.08</v>
      </c>
      <c r="D21" s="150">
        <v>348.08</v>
      </c>
      <c r="E21" s="149">
        <v>71.13</v>
      </c>
      <c r="F21" s="149">
        <v>10</v>
      </c>
      <c r="G21" s="150">
        <f>+F21-B21</f>
        <v>10</v>
      </c>
      <c r="H21" s="151" t="e">
        <f>+G21/B21</f>
        <v>#DIV/0!</v>
      </c>
      <c r="I21" s="150">
        <f>+F21-C21</f>
        <v>-338.08</v>
      </c>
      <c r="J21" s="151">
        <f>+I21/C21</f>
        <v>-0.97127097219030112</v>
      </c>
    </row>
    <row r="22" spans="1:10" x14ac:dyDescent="0.2">
      <c r="A22" s="147" t="s">
        <v>2080</v>
      </c>
      <c r="B22" s="148">
        <v>1500000</v>
      </c>
      <c r="C22" s="149">
        <v>400000</v>
      </c>
      <c r="D22" s="150">
        <v>-1100000</v>
      </c>
      <c r="E22" s="149">
        <v>472657</v>
      </c>
      <c r="F22" s="149">
        <v>600000</v>
      </c>
      <c r="G22" s="150">
        <f>+F22-B22</f>
        <v>-900000</v>
      </c>
      <c r="H22" s="151">
        <f>+G22/B22</f>
        <v>-0.6</v>
      </c>
      <c r="I22" s="150">
        <f>+F22-C22</f>
        <v>200000</v>
      </c>
      <c r="J22" s="151">
        <f>+I22/C22</f>
        <v>0.5</v>
      </c>
    </row>
    <row r="23" spans="1:10" x14ac:dyDescent="0.2">
      <c r="A23" s="147" t="s">
        <v>2081</v>
      </c>
      <c r="B23" s="148">
        <v>700000</v>
      </c>
      <c r="C23" s="149">
        <v>200445</v>
      </c>
      <c r="D23" s="150">
        <v>-499555</v>
      </c>
      <c r="E23" s="149">
        <v>136677.79999999999</v>
      </c>
      <c r="F23" s="149">
        <v>100000</v>
      </c>
      <c r="G23" s="150">
        <f>+F23-B23</f>
        <v>-600000</v>
      </c>
      <c r="H23" s="151">
        <f>+G23/B23</f>
        <v>-0.8571428571428571</v>
      </c>
      <c r="I23" s="150">
        <f>+F23-C23</f>
        <v>-100445</v>
      </c>
      <c r="J23" s="151">
        <f>+I23/C23</f>
        <v>-0.50111003018284317</v>
      </c>
    </row>
    <row r="24" spans="1:10" x14ac:dyDescent="0.2">
      <c r="A24" s="147" t="s">
        <v>2082</v>
      </c>
      <c r="B24" s="148">
        <v>0</v>
      </c>
      <c r="C24" s="149">
        <v>4434.5600000000004</v>
      </c>
      <c r="D24" s="150">
        <v>4434.5600000000004</v>
      </c>
      <c r="E24" s="149">
        <v>908.42</v>
      </c>
      <c r="F24" s="149">
        <v>1000</v>
      </c>
      <c r="G24" s="150">
        <f>+F24-B24</f>
        <v>1000</v>
      </c>
      <c r="H24" s="151" t="e">
        <f>+G24/B24</f>
        <v>#DIV/0!</v>
      </c>
      <c r="I24" s="150">
        <f>+F24-C24</f>
        <v>-3434.5600000000004</v>
      </c>
      <c r="J24" s="151">
        <f>+I24/C24</f>
        <v>-0.77449848462981674</v>
      </c>
    </row>
    <row r="25" spans="1:10" x14ac:dyDescent="0.2">
      <c r="A25" s="147" t="s">
        <v>2083</v>
      </c>
      <c r="B25" s="148">
        <v>1400000</v>
      </c>
      <c r="C25" s="149">
        <v>556156.35</v>
      </c>
      <c r="D25" s="150">
        <v>-843843.65</v>
      </c>
      <c r="E25" s="149">
        <v>794547.05</v>
      </c>
      <c r="F25" s="149">
        <v>1150000</v>
      </c>
      <c r="G25" s="150">
        <f>+F25-B25</f>
        <v>-250000</v>
      </c>
      <c r="H25" s="151">
        <f>+G25/B25</f>
        <v>-0.17857142857142858</v>
      </c>
      <c r="I25" s="150">
        <f>+F25-C25</f>
        <v>593843.65</v>
      </c>
      <c r="J25" s="151">
        <f>+I25/C25</f>
        <v>1.0677638581309017</v>
      </c>
    </row>
    <row r="26" spans="1:10" x14ac:dyDescent="0.2">
      <c r="A26" s="147" t="s">
        <v>2084</v>
      </c>
      <c r="B26" s="148">
        <v>20000</v>
      </c>
      <c r="C26" s="149">
        <v>21980</v>
      </c>
      <c r="D26" s="150">
        <v>1980</v>
      </c>
      <c r="E26" s="149">
        <v>28099.599999999999</v>
      </c>
      <c r="F26" s="149">
        <v>45000</v>
      </c>
      <c r="G26" s="150">
        <f>+F26-B26</f>
        <v>25000</v>
      </c>
      <c r="H26" s="151">
        <f>+G26/B26</f>
        <v>1.25</v>
      </c>
      <c r="I26" s="150">
        <f>+F26-C26</f>
        <v>23020</v>
      </c>
      <c r="J26" s="151">
        <f>+I26/C26</f>
        <v>1.0473157415832575</v>
      </c>
    </row>
    <row r="27" spans="1:10" x14ac:dyDescent="0.2">
      <c r="A27" s="147" t="s">
        <v>2085</v>
      </c>
      <c r="B27" s="148">
        <v>15500000</v>
      </c>
      <c r="C27" s="149">
        <v>15556940.970000001</v>
      </c>
      <c r="D27" s="150">
        <v>56940.97</v>
      </c>
      <c r="E27" s="149">
        <v>14330404.699999999</v>
      </c>
      <c r="F27" s="149">
        <v>19500000</v>
      </c>
      <c r="G27" s="150">
        <f>+F27-B27</f>
        <v>4000000</v>
      </c>
      <c r="H27" s="151">
        <f>+G27/B27</f>
        <v>0.25806451612903225</v>
      </c>
      <c r="I27" s="150">
        <f>+F27-C27</f>
        <v>3943059.0299999993</v>
      </c>
      <c r="J27" s="151">
        <f>+I27/C27</f>
        <v>0.25345979248772577</v>
      </c>
    </row>
    <row r="28" spans="1:10" x14ac:dyDescent="0.2">
      <c r="A28" s="147" t="s">
        <v>2086</v>
      </c>
      <c r="B28" s="148">
        <v>5000</v>
      </c>
      <c r="C28" s="149">
        <v>11829.6</v>
      </c>
      <c r="D28" s="150">
        <v>6829.6</v>
      </c>
      <c r="E28" s="149">
        <v>14000</v>
      </c>
      <c r="F28" s="149">
        <v>10000</v>
      </c>
      <c r="G28" s="150">
        <f>+F28-B28</f>
        <v>5000</v>
      </c>
      <c r="H28" s="151">
        <f>+G28/B28</f>
        <v>1</v>
      </c>
      <c r="I28" s="150">
        <f>+F28-C28</f>
        <v>-1829.6000000000004</v>
      </c>
      <c r="J28" s="151">
        <f>+I28/C28</f>
        <v>-0.15466287955636709</v>
      </c>
    </row>
    <row r="29" spans="1:10" x14ac:dyDescent="0.2">
      <c r="A29" s="147" t="s">
        <v>2087</v>
      </c>
      <c r="B29" s="148">
        <v>250000</v>
      </c>
      <c r="C29" s="149">
        <v>303373.90999999997</v>
      </c>
      <c r="D29" s="150">
        <v>53373.91</v>
      </c>
      <c r="E29" s="149">
        <v>409417.07</v>
      </c>
      <c r="F29" s="149">
        <v>520000</v>
      </c>
      <c r="G29" s="150">
        <f>+F29-B29</f>
        <v>270000</v>
      </c>
      <c r="H29" s="151">
        <f>+G29/B29</f>
        <v>1.08</v>
      </c>
      <c r="I29" s="150">
        <f>+F29-C29</f>
        <v>216626.09000000003</v>
      </c>
      <c r="J29" s="151">
        <f>+I29/C29</f>
        <v>0.71405642627607646</v>
      </c>
    </row>
    <row r="30" spans="1:10" x14ac:dyDescent="0.2">
      <c r="A30" s="147" t="s">
        <v>2088</v>
      </c>
      <c r="B30" s="148">
        <v>0</v>
      </c>
      <c r="C30" s="149">
        <v>600000</v>
      </c>
      <c r="D30" s="150">
        <v>600000</v>
      </c>
      <c r="E30" s="149">
        <v>579715.49</v>
      </c>
      <c r="F30" s="149">
        <v>800000</v>
      </c>
      <c r="G30" s="150">
        <f>+F30-B30</f>
        <v>800000</v>
      </c>
      <c r="H30" s="151" t="e">
        <f>+G30/B30</f>
        <v>#DIV/0!</v>
      </c>
      <c r="I30" s="150">
        <f>+F30-C30</f>
        <v>200000</v>
      </c>
      <c r="J30" s="151">
        <f>+I30/C30</f>
        <v>0.33333333333333331</v>
      </c>
    </row>
    <row r="31" spans="1:10" x14ac:dyDescent="0.2">
      <c r="A31" s="147" t="s">
        <v>2089</v>
      </c>
      <c r="B31" s="148">
        <v>0</v>
      </c>
      <c r="C31" s="149">
        <v>771.53</v>
      </c>
      <c r="D31" s="150">
        <v>771.53</v>
      </c>
      <c r="E31" s="149">
        <v>1378.98</v>
      </c>
      <c r="F31" s="149">
        <v>800</v>
      </c>
      <c r="G31" s="150">
        <f>+F31-B31</f>
        <v>800</v>
      </c>
      <c r="H31" s="151" t="e">
        <f>+G31/B31</f>
        <v>#DIV/0!</v>
      </c>
      <c r="I31" s="150">
        <f>+F31-C31</f>
        <v>28.470000000000027</v>
      </c>
      <c r="J31" s="151">
        <f>+I31/C31</f>
        <v>3.6900703796352741E-2</v>
      </c>
    </row>
    <row r="32" spans="1:10" x14ac:dyDescent="0.2">
      <c r="A32" s="147" t="s">
        <v>2090</v>
      </c>
      <c r="B32" s="148">
        <v>0</v>
      </c>
      <c r="C32" s="149">
        <v>210.07</v>
      </c>
      <c r="D32" s="150">
        <v>210.07</v>
      </c>
      <c r="E32" s="149">
        <v>200.43</v>
      </c>
      <c r="F32" s="149">
        <v>300</v>
      </c>
      <c r="G32" s="150">
        <f>+F32-B32</f>
        <v>300</v>
      </c>
      <c r="H32" s="151" t="e">
        <f>+G32/B32</f>
        <v>#DIV/0!</v>
      </c>
      <c r="I32" s="150">
        <f>+F32-C32</f>
        <v>89.93</v>
      </c>
      <c r="J32" s="151">
        <f>+I32/C32</f>
        <v>0.42809539677250447</v>
      </c>
    </row>
    <row r="33" spans="1:10" x14ac:dyDescent="0.2">
      <c r="A33" s="147" t="s">
        <v>2091</v>
      </c>
      <c r="B33" s="148">
        <v>0</v>
      </c>
      <c r="C33" s="149">
        <v>12620.05</v>
      </c>
      <c r="D33" s="150">
        <v>12620.05</v>
      </c>
      <c r="E33" s="149">
        <v>2366.0300000000002</v>
      </c>
      <c r="F33" s="149">
        <v>2000</v>
      </c>
      <c r="G33" s="150">
        <f>+F33-B33</f>
        <v>2000</v>
      </c>
      <c r="H33" s="151" t="e">
        <f>+G33/B33</f>
        <v>#DIV/0!</v>
      </c>
      <c r="I33" s="150">
        <f>+F33-C33</f>
        <v>-10620.05</v>
      </c>
      <c r="J33" s="151">
        <f>+I33/C33</f>
        <v>-0.84152202249594887</v>
      </c>
    </row>
    <row r="34" spans="1:10" x14ac:dyDescent="0.2">
      <c r="A34" s="147" t="s">
        <v>2092</v>
      </c>
      <c r="B34" s="148">
        <v>31000000</v>
      </c>
      <c r="C34" s="149">
        <v>27219945.52</v>
      </c>
      <c r="D34" s="150">
        <v>-3780054.48</v>
      </c>
      <c r="E34" s="149">
        <v>22584833.27</v>
      </c>
      <c r="F34" s="149">
        <v>20000000</v>
      </c>
      <c r="G34" s="150">
        <f>+F34-B34</f>
        <v>-11000000</v>
      </c>
      <c r="H34" s="151">
        <f>+G34/B34</f>
        <v>-0.35483870967741937</v>
      </c>
      <c r="I34" s="150">
        <f>+F34-C34</f>
        <v>-7219945.5199999996</v>
      </c>
      <c r="J34" s="151">
        <f>+I34/C34</f>
        <v>-0.26524467195186363</v>
      </c>
    </row>
    <row r="35" spans="1:10" x14ac:dyDescent="0.2">
      <c r="A35" s="147" t="s">
        <v>2093</v>
      </c>
      <c r="B35" s="148">
        <v>1800000</v>
      </c>
      <c r="C35" s="149">
        <v>1003446.15</v>
      </c>
      <c r="D35" s="150">
        <v>-796553.85</v>
      </c>
      <c r="E35" s="149">
        <v>773316.12</v>
      </c>
      <c r="F35" s="149">
        <v>1000000</v>
      </c>
      <c r="G35" s="150">
        <f>+F35-B35</f>
        <v>-800000</v>
      </c>
      <c r="H35" s="151">
        <f>+G35/B35</f>
        <v>-0.44444444444444442</v>
      </c>
      <c r="I35" s="150">
        <f>+F35-C35</f>
        <v>-3446.1500000000233</v>
      </c>
      <c r="J35" s="151">
        <f>+I35/C35</f>
        <v>-3.4343148359281895E-3</v>
      </c>
    </row>
    <row r="36" spans="1:10" x14ac:dyDescent="0.2">
      <c r="A36" s="147" t="s">
        <v>2094</v>
      </c>
      <c r="B36" s="148">
        <v>0</v>
      </c>
      <c r="C36" s="149">
        <v>2</v>
      </c>
      <c r="D36" s="150">
        <v>2</v>
      </c>
      <c r="E36" s="149">
        <v>1.5</v>
      </c>
      <c r="G36" s="150">
        <f>+F36-B36</f>
        <v>0</v>
      </c>
      <c r="H36" s="151" t="e">
        <f>+G36/B36</f>
        <v>#DIV/0!</v>
      </c>
      <c r="I36" s="150">
        <f>+F36-C36</f>
        <v>-2</v>
      </c>
      <c r="J36" s="151">
        <f>+I36/C36</f>
        <v>-1</v>
      </c>
    </row>
    <row r="37" spans="1:10" x14ac:dyDescent="0.2">
      <c r="A37" s="147" t="s">
        <v>2095</v>
      </c>
      <c r="B37" s="148">
        <v>300000</v>
      </c>
      <c r="C37" s="149">
        <v>300000</v>
      </c>
      <c r="D37" s="150">
        <v>0</v>
      </c>
      <c r="G37" s="150">
        <f>+F37-B37</f>
        <v>-300000</v>
      </c>
      <c r="H37" s="151">
        <f>+G37/B37</f>
        <v>-1</v>
      </c>
      <c r="I37" s="150">
        <f>+F37-C37</f>
        <v>-300000</v>
      </c>
      <c r="J37" s="151">
        <f>+I37/C37</f>
        <v>-1</v>
      </c>
    </row>
    <row r="38" spans="1:10" x14ac:dyDescent="0.2">
      <c r="A38" s="147" t="s">
        <v>2096</v>
      </c>
      <c r="B38" s="148">
        <v>200</v>
      </c>
      <c r="C38" s="149">
        <v>2906.72</v>
      </c>
      <c r="D38" s="150">
        <v>2706.72</v>
      </c>
      <c r="E38" s="149">
        <v>180.57</v>
      </c>
      <c r="F38" s="149">
        <v>500</v>
      </c>
      <c r="G38" s="150">
        <f>+F38-B38</f>
        <v>300</v>
      </c>
      <c r="H38" s="151">
        <f>+G38/B38</f>
        <v>1.5</v>
      </c>
      <c r="I38" s="150">
        <f>+F38-C38</f>
        <v>-2406.7199999999998</v>
      </c>
      <c r="J38" s="151">
        <f>+I38/C38</f>
        <v>-0.82798480761820881</v>
      </c>
    </row>
    <row r="39" spans="1:10" x14ac:dyDescent="0.2">
      <c r="A39" s="147" t="s">
        <v>2097</v>
      </c>
      <c r="B39" s="148">
        <v>92000</v>
      </c>
      <c r="C39" s="149">
        <v>57496.72</v>
      </c>
      <c r="D39" s="150">
        <v>-34503.279999999999</v>
      </c>
      <c r="E39" s="149">
        <v>59796.32</v>
      </c>
      <c r="F39" s="149">
        <v>40000</v>
      </c>
      <c r="G39" s="150">
        <f>+F39-B39</f>
        <v>-52000</v>
      </c>
      <c r="H39" s="151">
        <f>+G39/B39</f>
        <v>-0.56521739130434778</v>
      </c>
      <c r="I39" s="150">
        <f>+F39-C39</f>
        <v>-17496.72</v>
      </c>
      <c r="J39" s="151">
        <f>+I39/C39</f>
        <v>-0.30430814140354445</v>
      </c>
    </row>
    <row r="40" spans="1:10" x14ac:dyDescent="0.2">
      <c r="A40" s="147" t="s">
        <v>2098</v>
      </c>
      <c r="B40" s="148">
        <v>480000</v>
      </c>
      <c r="C40" s="149">
        <v>5631593.4000000004</v>
      </c>
      <c r="D40" s="150">
        <v>5151593.4000000004</v>
      </c>
      <c r="E40" s="149">
        <v>3737566.99</v>
      </c>
      <c r="F40" s="149">
        <v>3000000</v>
      </c>
      <c r="G40" s="150">
        <f>+F40-B40</f>
        <v>2520000</v>
      </c>
      <c r="H40" s="151">
        <f>+G40/B40</f>
        <v>5.25</v>
      </c>
      <c r="I40" s="150">
        <f>+F40-C40</f>
        <v>-2631593.4000000004</v>
      </c>
      <c r="J40" s="151">
        <f>+I40/C40</f>
        <v>-0.467291086746426</v>
      </c>
    </row>
    <row r="41" spans="1:10" x14ac:dyDescent="0.2">
      <c r="A41" s="147" t="s">
        <v>2099</v>
      </c>
      <c r="B41" s="148">
        <v>1900000</v>
      </c>
      <c r="C41" s="149">
        <v>5937914.9900000002</v>
      </c>
      <c r="D41" s="150">
        <v>4037914.99</v>
      </c>
      <c r="E41" s="149">
        <v>4262107.38</v>
      </c>
      <c r="F41" s="149">
        <v>3000000</v>
      </c>
      <c r="G41" s="150">
        <f>+F41-B41</f>
        <v>1100000</v>
      </c>
      <c r="H41" s="151">
        <f>+G41/B41</f>
        <v>0.57894736842105265</v>
      </c>
      <c r="I41" s="150">
        <f>+F41-C41</f>
        <v>-2937914.99</v>
      </c>
      <c r="J41" s="151">
        <f>+I41/C41</f>
        <v>-0.49477215402169306</v>
      </c>
    </row>
    <row r="42" spans="1:10" x14ac:dyDescent="0.2">
      <c r="A42" s="147" t="s">
        <v>2100</v>
      </c>
      <c r="B42" s="148">
        <v>1100000</v>
      </c>
      <c r="C42" s="149">
        <v>1235084.17</v>
      </c>
      <c r="D42" s="150">
        <v>135084.17000000001</v>
      </c>
      <c r="E42" s="149">
        <v>912100.33</v>
      </c>
      <c r="F42" s="149">
        <v>300000</v>
      </c>
      <c r="G42" s="150">
        <f>+F42-B42</f>
        <v>-800000</v>
      </c>
      <c r="H42" s="151">
        <f>+G42/B42</f>
        <v>-0.72727272727272729</v>
      </c>
      <c r="I42" s="150">
        <f>+F42-C42</f>
        <v>-935084.16999999993</v>
      </c>
      <c r="J42" s="151">
        <f>+I42/C42</f>
        <v>-0.75710157470482353</v>
      </c>
    </row>
    <row r="43" spans="1:10" x14ac:dyDescent="0.2">
      <c r="A43" s="147" t="s">
        <v>2101</v>
      </c>
      <c r="B43" s="148">
        <v>102000</v>
      </c>
      <c r="C43" s="149">
        <v>37000</v>
      </c>
      <c r="D43" s="150">
        <v>-65000</v>
      </c>
      <c r="E43" s="149">
        <v>35053.32</v>
      </c>
      <c r="G43" s="150">
        <f>+F43-B43</f>
        <v>-102000</v>
      </c>
      <c r="H43" s="151">
        <f>+G43/B43</f>
        <v>-1</v>
      </c>
      <c r="I43" s="150">
        <f>+F43-C43</f>
        <v>-37000</v>
      </c>
      <c r="J43" s="151">
        <f>+I43/C43</f>
        <v>-1</v>
      </c>
    </row>
    <row r="44" spans="1:10" x14ac:dyDescent="0.2">
      <c r="A44" s="147" t="s">
        <v>2102</v>
      </c>
      <c r="B44" s="148">
        <v>40000000</v>
      </c>
      <c r="C44" s="149">
        <v>20010893.039999999</v>
      </c>
      <c r="D44" s="150">
        <v>-19989106.960000001</v>
      </c>
      <c r="E44" s="149">
        <v>20364238.32</v>
      </c>
      <c r="F44" s="149">
        <v>24500000</v>
      </c>
      <c r="G44" s="150">
        <f>+F44-B44</f>
        <v>-15500000</v>
      </c>
      <c r="H44" s="151">
        <f>+G44/B44</f>
        <v>-0.38750000000000001</v>
      </c>
      <c r="I44" s="150">
        <f>+F44-C44</f>
        <v>4489106.9600000009</v>
      </c>
      <c r="J44" s="151">
        <f>+I44/C44</f>
        <v>0.22433316449329246</v>
      </c>
    </row>
    <row r="45" spans="1:10" x14ac:dyDescent="0.2">
      <c r="A45" s="147" t="s">
        <v>2103</v>
      </c>
      <c r="B45" s="148">
        <v>5500000</v>
      </c>
      <c r="C45" s="149">
        <v>3314068.18</v>
      </c>
      <c r="D45" s="150">
        <v>-2185931.8200000003</v>
      </c>
      <c r="E45" s="149">
        <v>2342618.38</v>
      </c>
      <c r="F45" s="149">
        <v>2000000</v>
      </c>
      <c r="G45" s="150">
        <f>+F45-B45</f>
        <v>-3500000</v>
      </c>
      <c r="H45" s="151">
        <f>+G45/B45</f>
        <v>-0.63636363636363635</v>
      </c>
      <c r="I45" s="150">
        <f>+F45-C45</f>
        <v>-1314068.1800000002</v>
      </c>
      <c r="J45" s="151">
        <f>+I45/C45</f>
        <v>-0.39651211400243436</v>
      </c>
    </row>
    <row r="46" spans="1:10" x14ac:dyDescent="0.2">
      <c r="A46" s="147" t="s">
        <v>2104</v>
      </c>
      <c r="B46" s="148">
        <v>100000</v>
      </c>
      <c r="C46" s="149">
        <v>100082.5</v>
      </c>
      <c r="D46" s="150">
        <v>82.5</v>
      </c>
      <c r="E46" s="149">
        <v>95768.86</v>
      </c>
      <c r="F46" s="149">
        <v>100000</v>
      </c>
      <c r="G46" s="150">
        <f>+F46-B46</f>
        <v>0</v>
      </c>
      <c r="H46" s="151">
        <f>+G46/B46</f>
        <v>0</v>
      </c>
      <c r="I46" s="150">
        <f>+F46-C46</f>
        <v>-82.5</v>
      </c>
      <c r="J46" s="151">
        <f>+I46/C46</f>
        <v>-8.2431993605275647E-4</v>
      </c>
    </row>
    <row r="47" spans="1:10" x14ac:dyDescent="0.2">
      <c r="A47" s="147" t="s">
        <v>2105</v>
      </c>
      <c r="B47" s="148">
        <v>75000</v>
      </c>
      <c r="C47" s="149">
        <v>22400</v>
      </c>
      <c r="D47" s="150">
        <v>-52600</v>
      </c>
      <c r="E47" s="149">
        <v>76006.78</v>
      </c>
      <c r="F47" s="149">
        <v>60000</v>
      </c>
      <c r="G47" s="150">
        <f>+F47-B47</f>
        <v>-15000</v>
      </c>
      <c r="H47" s="151">
        <f>+G47/B47</f>
        <v>-0.2</v>
      </c>
      <c r="I47" s="150">
        <f>+F47-C47</f>
        <v>37600</v>
      </c>
      <c r="J47" s="151">
        <f>+I47/C47</f>
        <v>1.6785714285714286</v>
      </c>
    </row>
    <row r="48" spans="1:10" x14ac:dyDescent="0.2">
      <c r="A48" s="147" t="s">
        <v>2106</v>
      </c>
      <c r="B48" s="148">
        <v>180000</v>
      </c>
      <c r="C48" s="149">
        <v>215511.67999999999</v>
      </c>
      <c r="D48" s="150">
        <v>35511.68</v>
      </c>
      <c r="E48" s="149">
        <v>173271.82</v>
      </c>
      <c r="F48" s="149">
        <v>300000</v>
      </c>
      <c r="G48" s="150">
        <f>+F48-B48</f>
        <v>120000</v>
      </c>
      <c r="H48" s="151">
        <f>+G48/B48</f>
        <v>0.66666666666666663</v>
      </c>
      <c r="I48" s="150">
        <f>+F48-C48</f>
        <v>84488.320000000007</v>
      </c>
      <c r="J48" s="151">
        <f>+I48/C48</f>
        <v>0.39203592120853964</v>
      </c>
    </row>
    <row r="49" spans="1:10" x14ac:dyDescent="0.2">
      <c r="A49" s="147" t="s">
        <v>2107</v>
      </c>
      <c r="B49" s="148">
        <v>284000</v>
      </c>
      <c r="C49" s="149">
        <v>329000</v>
      </c>
      <c r="D49" s="150">
        <v>45000</v>
      </c>
      <c r="E49" s="149">
        <v>340559.54</v>
      </c>
      <c r="F49" s="149">
        <v>300000</v>
      </c>
      <c r="G49" s="150">
        <f>+F49-B49</f>
        <v>16000</v>
      </c>
      <c r="H49" s="151">
        <f>+G49/B49</f>
        <v>5.6338028169014086E-2</v>
      </c>
      <c r="I49" s="150">
        <f>+F49-C49</f>
        <v>-29000</v>
      </c>
      <c r="J49" s="151">
        <f>+I49/C49</f>
        <v>-8.8145896656534953E-2</v>
      </c>
    </row>
    <row r="50" spans="1:10" x14ac:dyDescent="0.2">
      <c r="A50" s="147" t="s">
        <v>2108</v>
      </c>
      <c r="B50" s="148">
        <v>100000</v>
      </c>
      <c r="C50" s="149">
        <v>50000</v>
      </c>
      <c r="D50" s="150">
        <v>-50000</v>
      </c>
      <c r="F50" s="149">
        <v>100000</v>
      </c>
      <c r="G50" s="150">
        <f>+F50-B50</f>
        <v>0</v>
      </c>
      <c r="H50" s="151">
        <f>+G50/B50</f>
        <v>0</v>
      </c>
      <c r="I50" s="150">
        <f>+F50-C50</f>
        <v>50000</v>
      </c>
      <c r="J50" s="151">
        <f>+I50/C50</f>
        <v>1</v>
      </c>
    </row>
    <row r="51" spans="1:10" x14ac:dyDescent="0.2">
      <c r="A51" s="147" t="s">
        <v>2109</v>
      </c>
      <c r="B51" s="148">
        <v>2000000</v>
      </c>
      <c r="C51" s="149">
        <v>338514.53</v>
      </c>
      <c r="D51" s="150">
        <v>-1661485.47</v>
      </c>
      <c r="E51" s="149">
        <v>1651140.5599999996</v>
      </c>
      <c r="F51" s="149">
        <v>1400000</v>
      </c>
      <c r="G51" s="150">
        <f>+F51-B51</f>
        <v>-600000</v>
      </c>
      <c r="H51" s="151">
        <f>+G51/B51</f>
        <v>-0.3</v>
      </c>
      <c r="I51" s="150">
        <f>+F51-C51</f>
        <v>1061485.47</v>
      </c>
      <c r="J51" s="151">
        <f>+I51/C51</f>
        <v>3.1357161242089071</v>
      </c>
    </row>
    <row r="52" spans="1:10" x14ac:dyDescent="0.2">
      <c r="A52" s="147" t="s">
        <v>2110</v>
      </c>
      <c r="B52" s="148">
        <v>0</v>
      </c>
      <c r="C52" s="149">
        <v>3543</v>
      </c>
      <c r="D52" s="150">
        <v>3543</v>
      </c>
      <c r="E52" s="149">
        <v>3542.14</v>
      </c>
      <c r="G52" s="150">
        <f>+F52-B52</f>
        <v>0</v>
      </c>
      <c r="H52" s="151" t="e">
        <f>+G52/B52</f>
        <v>#DIV/0!</v>
      </c>
      <c r="I52" s="150">
        <f>+F52-C52</f>
        <v>-3543</v>
      </c>
      <c r="J52" s="151">
        <f>+I52/C52</f>
        <v>-1</v>
      </c>
    </row>
    <row r="53" spans="1:10" x14ac:dyDescent="0.2">
      <c r="A53" s="147" t="s">
        <v>2111</v>
      </c>
      <c r="B53" s="148">
        <v>0</v>
      </c>
      <c r="C53" s="149">
        <v>106649.19</v>
      </c>
      <c r="D53" s="150">
        <v>106649.19</v>
      </c>
      <c r="E53" s="149">
        <v>75730.720000000001</v>
      </c>
      <c r="F53" s="149">
        <v>8112753.7999999998</v>
      </c>
      <c r="G53" s="150">
        <f>+F53-B53</f>
        <v>8112753.7999999998</v>
      </c>
      <c r="H53" s="151" t="e">
        <f>+G53/B53</f>
        <v>#DIV/0!</v>
      </c>
      <c r="I53" s="150">
        <f>+F53-C53</f>
        <v>8006104.6099999994</v>
      </c>
      <c r="J53" s="151">
        <f>+I53/C53</f>
        <v>75.069530392120171</v>
      </c>
    </row>
    <row r="54" spans="1:10" x14ac:dyDescent="0.2">
      <c r="A54" s="147" t="s">
        <v>2112</v>
      </c>
      <c r="B54" s="148">
        <v>0</v>
      </c>
      <c r="C54" s="149">
        <v>182120.83</v>
      </c>
      <c r="D54" s="150">
        <v>182120.83</v>
      </c>
      <c r="E54" s="149">
        <v>82050.929999999993</v>
      </c>
      <c r="G54" s="150">
        <f>+F54-B54</f>
        <v>0</v>
      </c>
      <c r="H54" s="151" t="e">
        <f>+G54/B54</f>
        <v>#DIV/0!</v>
      </c>
      <c r="I54" s="150">
        <f>+F54-C54</f>
        <v>-182120.83</v>
      </c>
      <c r="J54" s="151">
        <f>+I54/C54</f>
        <v>-1</v>
      </c>
    </row>
    <row r="55" spans="1:10" x14ac:dyDescent="0.2">
      <c r="A55" s="147" t="s">
        <v>2113</v>
      </c>
      <c r="B55" s="148">
        <v>347000000</v>
      </c>
      <c r="C55" s="149">
        <v>311060447.56999999</v>
      </c>
      <c r="D55" s="150">
        <v>-35939552.43</v>
      </c>
      <c r="E55" s="149">
        <v>226224163.25999999</v>
      </c>
      <c r="F55" s="149">
        <v>286678500.00999999</v>
      </c>
      <c r="G55" s="150">
        <f>+F55-B55</f>
        <v>-60321499.99000001</v>
      </c>
      <c r="H55" s="151">
        <f>+G55/B55</f>
        <v>-0.17383717576368879</v>
      </c>
      <c r="I55" s="150">
        <f>+F55-C55</f>
        <v>-24381947.560000002</v>
      </c>
      <c r="J55" s="151">
        <f>+I55/C55</f>
        <v>-7.8383310223049715E-2</v>
      </c>
    </row>
    <row r="56" spans="1:10" x14ac:dyDescent="0.2">
      <c r="A56" s="147" t="s">
        <v>2114</v>
      </c>
      <c r="B56" s="148">
        <v>0</v>
      </c>
      <c r="C56" s="149">
        <v>813752.13</v>
      </c>
      <c r="D56" s="150">
        <v>813752.13</v>
      </c>
      <c r="G56" s="150">
        <f>+F56-B56</f>
        <v>0</v>
      </c>
      <c r="H56" s="151" t="e">
        <f>+G56/B56</f>
        <v>#DIV/0!</v>
      </c>
      <c r="I56" s="150">
        <f>+F56-C56</f>
        <v>-813752.13</v>
      </c>
      <c r="J56" s="151">
        <f>+I56/C56</f>
        <v>-1</v>
      </c>
    </row>
    <row r="57" spans="1:10" x14ac:dyDescent="0.2">
      <c r="A57" s="147" t="s">
        <v>2115</v>
      </c>
      <c r="B57" s="148">
        <v>8000000.0000000037</v>
      </c>
      <c r="C57" s="149">
        <v>6000000</v>
      </c>
      <c r="D57" s="150">
        <v>-2000000</v>
      </c>
      <c r="E57" s="149">
        <v>12567085.530000001</v>
      </c>
      <c r="F57" s="149">
        <v>4356828.0599999996</v>
      </c>
      <c r="G57" s="150">
        <f>+F57-B57</f>
        <v>-3643171.9400000041</v>
      </c>
      <c r="H57" s="151">
        <f>+G57/B57</f>
        <v>-0.45539649250000031</v>
      </c>
      <c r="I57" s="150">
        <f>+F57-C57</f>
        <v>-1643171.9400000004</v>
      </c>
      <c r="J57" s="151">
        <f>+I57/C57</f>
        <v>-0.27386199000000006</v>
      </c>
    </row>
    <row r="58" spans="1:10" x14ac:dyDescent="0.2">
      <c r="A58" s="147" t="s">
        <v>2116</v>
      </c>
      <c r="B58" s="148">
        <v>0</v>
      </c>
      <c r="C58" s="149">
        <v>0</v>
      </c>
      <c r="D58" s="150">
        <v>0</v>
      </c>
      <c r="E58" s="149">
        <v>15000000</v>
      </c>
      <c r="G58" s="150">
        <f>+F58-B58</f>
        <v>0</v>
      </c>
      <c r="H58" s="151" t="e">
        <f>+G58/B58</f>
        <v>#DIV/0!</v>
      </c>
      <c r="I58" s="150">
        <f>+F58-C58</f>
        <v>0</v>
      </c>
      <c r="J58" s="151" t="e">
        <f>+I58/C58</f>
        <v>#DIV/0!</v>
      </c>
    </row>
    <row r="59" spans="1:10" x14ac:dyDescent="0.2">
      <c r="A59" s="147" t="s">
        <v>2117</v>
      </c>
      <c r="B59" s="148">
        <v>15000000</v>
      </c>
      <c r="C59" s="149">
        <v>15000000</v>
      </c>
      <c r="D59" s="150">
        <v>0</v>
      </c>
      <c r="G59" s="150">
        <f>+F59-B59</f>
        <v>-15000000</v>
      </c>
      <c r="H59" s="151">
        <f>+G59/B59</f>
        <v>-1</v>
      </c>
      <c r="I59" s="150">
        <f>+F59-C59</f>
        <v>-15000000</v>
      </c>
      <c r="J59" s="151">
        <f>+I59/C59</f>
        <v>-1</v>
      </c>
    </row>
    <row r="60" spans="1:10" x14ac:dyDescent="0.2">
      <c r="A60" s="147" t="s">
        <v>2118</v>
      </c>
      <c r="B60" s="148">
        <v>0</v>
      </c>
      <c r="C60" s="149">
        <v>0</v>
      </c>
      <c r="D60" s="150">
        <v>0</v>
      </c>
      <c r="G60" s="150">
        <f>+F60-B60</f>
        <v>0</v>
      </c>
      <c r="H60" s="151" t="e">
        <f>+G60/B60</f>
        <v>#DIV/0!</v>
      </c>
      <c r="I60" s="150">
        <f>+F60-C60</f>
        <v>0</v>
      </c>
      <c r="J60" s="151" t="e">
        <f>+I60/C60</f>
        <v>#DIV/0!</v>
      </c>
    </row>
    <row r="61" spans="1:10" x14ac:dyDescent="0.2">
      <c r="A61" s="147" t="s">
        <v>2119</v>
      </c>
      <c r="B61" s="148">
        <v>54593254.869999997</v>
      </c>
      <c r="C61" s="149">
        <v>14992618.539999999</v>
      </c>
      <c r="D61" s="150">
        <v>-39600636.329999998</v>
      </c>
      <c r="F61" s="149">
        <v>6213177.7799999993</v>
      </c>
      <c r="G61" s="150">
        <f>+F61-B61</f>
        <v>-48380077.089999996</v>
      </c>
      <c r="H61" s="151">
        <f>+G61/B61</f>
        <v>-0.88619147558072675</v>
      </c>
      <c r="I61" s="150">
        <f>+F61-C61</f>
        <v>-8779440.7599999998</v>
      </c>
      <c r="J61" s="151">
        <f>+I61/C61</f>
        <v>-0.58558421509735814</v>
      </c>
    </row>
    <row r="62" spans="1:10" x14ac:dyDescent="0.2">
      <c r="A62" s="147" t="s">
        <v>2120</v>
      </c>
      <c r="B62" s="148">
        <v>435247.72</v>
      </c>
      <c r="C62" s="149">
        <v>341322.14999999997</v>
      </c>
      <c r="D62" s="150">
        <v>-93925.57</v>
      </c>
      <c r="G62" s="150">
        <f>+F62-B62</f>
        <v>-435247.72</v>
      </c>
      <c r="H62" s="151">
        <f>+G62/B62</f>
        <v>-1</v>
      </c>
      <c r="I62" s="150">
        <f>+F62-C62</f>
        <v>-341322.14999999997</v>
      </c>
      <c r="J62" s="151">
        <f>+I62/C62</f>
        <v>-1</v>
      </c>
    </row>
    <row r="63" spans="1:10" x14ac:dyDescent="0.2">
      <c r="A63" s="147" t="s">
        <v>2121</v>
      </c>
      <c r="B63" s="148">
        <v>3724240.15</v>
      </c>
      <c r="C63" s="149">
        <v>3900211.69</v>
      </c>
      <c r="D63" s="150">
        <v>175971.54</v>
      </c>
      <c r="G63" s="150">
        <f>+F63-B63</f>
        <v>-3724240.15</v>
      </c>
      <c r="H63" s="151">
        <f>+G63/B63</f>
        <v>-1</v>
      </c>
      <c r="I63" s="150">
        <f>+F63-C63</f>
        <v>-3900211.69</v>
      </c>
      <c r="J63" s="151">
        <f>+I63/C63</f>
        <v>-1</v>
      </c>
    </row>
    <row r="64" spans="1:10" x14ac:dyDescent="0.2">
      <c r="A64" s="117" t="s">
        <v>2008</v>
      </c>
      <c r="B64" s="118">
        <v>758923942.74000001</v>
      </c>
      <c r="C64" s="119">
        <v>612721032.30000007</v>
      </c>
      <c r="D64" s="122">
        <v>-146202910.44000003</v>
      </c>
      <c r="E64" s="119">
        <v>479005581.5999999</v>
      </c>
      <c r="F64" s="119">
        <v>532803639.01999998</v>
      </c>
      <c r="G64" s="122">
        <f>+F64-B64</f>
        <v>-226120303.72000003</v>
      </c>
      <c r="H64" s="120">
        <f>+G64/B64</f>
        <v>-0.29794857031868166</v>
      </c>
      <c r="I64" s="122">
        <f>+F64-C64</f>
        <v>-79917393.280000091</v>
      </c>
      <c r="J64" s="120">
        <f>+I64/C64</f>
        <v>-0.13043030852068252</v>
      </c>
    </row>
    <row r="65" spans="1:10" x14ac:dyDescent="0.2">
      <c r="A65" s="111" t="s">
        <v>2122</v>
      </c>
      <c r="B65" s="144"/>
      <c r="C65" s="145"/>
      <c r="D65" s="145"/>
      <c r="E65" s="145"/>
      <c r="F65" s="145"/>
      <c r="G65" s="145"/>
      <c r="H65" s="146"/>
      <c r="I65" s="145"/>
      <c r="J65" s="146"/>
    </row>
    <row r="66" spans="1:10" x14ac:dyDescent="0.2">
      <c r="A66" s="143"/>
      <c r="B66" s="144"/>
      <c r="C66" s="145"/>
      <c r="D66" s="145"/>
      <c r="E66" s="145"/>
      <c r="F66" s="145"/>
      <c r="G66" s="145"/>
      <c r="H66" s="146"/>
      <c r="I66" s="145"/>
      <c r="J66" s="146"/>
    </row>
    <row r="67" spans="1:10" x14ac:dyDescent="0.2">
      <c r="A67" s="143"/>
      <c r="B67" s="144"/>
      <c r="C67" s="145"/>
      <c r="D67" s="145"/>
      <c r="E67" s="145"/>
      <c r="F67" s="145"/>
      <c r="G67" s="145"/>
      <c r="H67" s="146"/>
      <c r="I67" s="145"/>
      <c r="J67" s="146"/>
    </row>
    <row r="68" spans="1:10" x14ac:dyDescent="0.2">
      <c r="A68" s="143"/>
      <c r="B68" s="144"/>
      <c r="C68" s="145"/>
      <c r="D68" s="145"/>
      <c r="E68" s="145"/>
      <c r="F68" s="145"/>
      <c r="G68" s="145"/>
      <c r="H68" s="146"/>
      <c r="I68" s="145"/>
      <c r="J68" s="146"/>
    </row>
    <row r="69" spans="1:10" x14ac:dyDescent="0.2">
      <c r="A69" s="143"/>
      <c r="B69" s="144"/>
      <c r="C69" s="145"/>
      <c r="D69" s="145"/>
      <c r="E69" s="145"/>
      <c r="F69" s="145"/>
      <c r="G69" s="145"/>
      <c r="H69" s="146"/>
      <c r="I69" s="145"/>
      <c r="J69" s="146"/>
    </row>
    <row r="70" spans="1:10" x14ac:dyDescent="0.2">
      <c r="A70" s="110" t="s">
        <v>2123</v>
      </c>
      <c r="B70" s="110"/>
      <c r="C70" s="110"/>
      <c r="D70" s="110"/>
      <c r="E70" s="110"/>
      <c r="F70" s="110"/>
      <c r="G70" s="110"/>
      <c r="H70" s="110"/>
      <c r="I70" s="110"/>
      <c r="J70" s="110"/>
    </row>
    <row r="71" spans="1:10" x14ac:dyDescent="0.2">
      <c r="A71" s="110" t="s">
        <v>2041</v>
      </c>
      <c r="B71" s="110"/>
      <c r="C71" s="110"/>
      <c r="D71" s="110"/>
      <c r="E71" s="110"/>
      <c r="F71" s="110"/>
      <c r="G71" s="110"/>
      <c r="H71" s="110"/>
      <c r="I71" s="110"/>
      <c r="J71" s="110"/>
    </row>
    <row r="72" spans="1:10" x14ac:dyDescent="0.2">
      <c r="A72" s="143"/>
      <c r="B72" s="144"/>
      <c r="C72" s="145"/>
      <c r="D72" s="145"/>
      <c r="E72" s="145"/>
      <c r="F72" s="145"/>
      <c r="G72" s="145"/>
      <c r="H72" s="146"/>
      <c r="I72" s="145"/>
      <c r="J72" s="146"/>
    </row>
    <row r="73" spans="1:10" s="153" customFormat="1" ht="51" x14ac:dyDescent="0.2">
      <c r="A73" s="152" t="s">
        <v>2055</v>
      </c>
      <c r="B73" s="152" t="s">
        <v>2056</v>
      </c>
      <c r="C73" s="152" t="s">
        <v>2058</v>
      </c>
      <c r="D73" s="152" t="s">
        <v>2057</v>
      </c>
      <c r="E73" s="152" t="s">
        <v>2059</v>
      </c>
      <c r="F73" s="152" t="s">
        <v>2060</v>
      </c>
      <c r="G73" s="152" t="s">
        <v>2061</v>
      </c>
      <c r="H73" s="152" t="s">
        <v>2062</v>
      </c>
      <c r="I73" s="152" t="s">
        <v>2063</v>
      </c>
      <c r="J73" s="152" t="s">
        <v>2064</v>
      </c>
    </row>
    <row r="74" spans="1:10" x14ac:dyDescent="0.2">
      <c r="A74" s="147" t="s">
        <v>2124</v>
      </c>
      <c r="B74" s="148">
        <v>31476996.879999999</v>
      </c>
      <c r="C74" s="149">
        <v>19421800.399999999</v>
      </c>
      <c r="D74" s="150">
        <v>-12055196.48</v>
      </c>
      <c r="E74" s="149">
        <v>3089414.01</v>
      </c>
      <c r="F74" s="149">
        <v>9182255.6899999995</v>
      </c>
      <c r="G74" s="150">
        <f>+F74-B74</f>
        <v>-22294741.189999998</v>
      </c>
      <c r="H74" s="151">
        <f>+G74/B74</f>
        <v>-0.70828679352717205</v>
      </c>
      <c r="I74" s="150">
        <f>+F74-C74</f>
        <v>-10239544.709999999</v>
      </c>
      <c r="J74" s="151">
        <f>+I74/C74</f>
        <v>-0.52721913000403398</v>
      </c>
    </row>
    <row r="75" spans="1:10" x14ac:dyDescent="0.2">
      <c r="A75" s="147" t="s">
        <v>2116</v>
      </c>
      <c r="B75" s="148">
        <v>145549191.55000001</v>
      </c>
      <c r="C75" s="149">
        <v>56555046.579999998</v>
      </c>
      <c r="D75" s="150">
        <v>-88994144.969999999</v>
      </c>
      <c r="E75" s="149">
        <v>32863776</v>
      </c>
      <c r="F75" s="149">
        <v>76143777.180000007</v>
      </c>
      <c r="G75" s="150">
        <f>+F75-B75</f>
        <v>-69405414.370000005</v>
      </c>
      <c r="H75" s="151">
        <f>+G75/B75</f>
        <v>-0.47685194009585002</v>
      </c>
      <c r="I75" s="150">
        <f>+F75-C75</f>
        <v>19588730.600000009</v>
      </c>
      <c r="J75" s="151">
        <f>+I75/C75</f>
        <v>0.3463657407175989</v>
      </c>
    </row>
    <row r="76" spans="1:10" x14ac:dyDescent="0.2">
      <c r="A76" s="147" t="s">
        <v>2118</v>
      </c>
      <c r="B76" s="148">
        <v>318747.76</v>
      </c>
      <c r="C76" s="149">
        <v>1119484.67</v>
      </c>
      <c r="D76" s="150">
        <v>800736.91</v>
      </c>
      <c r="G76" s="150">
        <f>+F76-B76</f>
        <v>-318747.76</v>
      </c>
      <c r="H76" s="151">
        <f>+G76/B76</f>
        <v>-1</v>
      </c>
      <c r="I76" s="150">
        <f>+F76-C76</f>
        <v>-1119484.67</v>
      </c>
      <c r="J76" s="151">
        <f>+I76/C76</f>
        <v>-1</v>
      </c>
    </row>
    <row r="77" spans="1:10" x14ac:dyDescent="0.2">
      <c r="A77" s="147" t="s">
        <v>2118</v>
      </c>
      <c r="B77" s="148">
        <v>98639463.060000002</v>
      </c>
      <c r="C77" s="149">
        <v>96675724.430000007</v>
      </c>
      <c r="D77" s="150">
        <v>-1963738.63</v>
      </c>
      <c r="F77" s="149">
        <v>19140646.75</v>
      </c>
      <c r="G77" s="150">
        <f>+F77-B77</f>
        <v>-79498816.310000002</v>
      </c>
      <c r="H77" s="151">
        <f>+G77/B77</f>
        <v>-0.80595345760999115</v>
      </c>
      <c r="I77" s="150">
        <f>+F77-C77</f>
        <v>-77535077.680000007</v>
      </c>
      <c r="J77" s="151">
        <f>+I77/C77</f>
        <v>-0.80201186116935519</v>
      </c>
    </row>
    <row r="78" spans="1:10" x14ac:dyDescent="0.2">
      <c r="A78" s="147" t="s">
        <v>2119</v>
      </c>
      <c r="B78" s="148">
        <v>0</v>
      </c>
      <c r="D78" s="150">
        <v>0</v>
      </c>
      <c r="G78" s="150">
        <f>+F78-B78</f>
        <v>0</v>
      </c>
      <c r="H78" s="151" t="e">
        <f>+G78/B78</f>
        <v>#DIV/0!</v>
      </c>
      <c r="I78" s="150">
        <f>+F78-C78</f>
        <v>0</v>
      </c>
      <c r="J78" s="151" t="e">
        <f>+I78/C78</f>
        <v>#DIV/0!</v>
      </c>
    </row>
    <row r="79" spans="1:10" x14ac:dyDescent="0.2">
      <c r="A79" s="147" t="s">
        <v>2120</v>
      </c>
      <c r="B79" s="148">
        <v>7560953.7599999998</v>
      </c>
      <c r="C79" s="149">
        <v>7560953.7599999998</v>
      </c>
      <c r="D79" s="150">
        <v>0</v>
      </c>
      <c r="F79" s="149">
        <v>6207707.8499999996</v>
      </c>
      <c r="G79" s="150">
        <f>+F79-B79</f>
        <v>-1353245.9100000001</v>
      </c>
      <c r="H79" s="151">
        <f>+G79/B79</f>
        <v>-0.17897820208333085</v>
      </c>
      <c r="I79" s="150">
        <f>+F79-C79</f>
        <v>-1353245.9100000001</v>
      </c>
      <c r="J79" s="151">
        <f>+I79/C79</f>
        <v>-0.17897820208333085</v>
      </c>
    </row>
    <row r="80" spans="1:10" x14ac:dyDescent="0.2">
      <c r="A80" s="147" t="s">
        <v>2120</v>
      </c>
      <c r="B80" s="148">
        <v>56249.61</v>
      </c>
      <c r="C80" s="149">
        <v>56249.61</v>
      </c>
      <c r="D80" s="150">
        <v>0</v>
      </c>
      <c r="G80" s="150">
        <f>+F80-B80</f>
        <v>-56249.61</v>
      </c>
      <c r="H80" s="151">
        <f>+G80/B80</f>
        <v>-1</v>
      </c>
      <c r="I80" s="150">
        <f>+F80-C80</f>
        <v>-56249.61</v>
      </c>
      <c r="J80" s="151">
        <f>+I80/C80</f>
        <v>-1</v>
      </c>
    </row>
    <row r="81" spans="1:10" x14ac:dyDescent="0.2">
      <c r="A81" s="147" t="s">
        <v>2121</v>
      </c>
      <c r="B81" s="148">
        <v>10553716.65</v>
      </c>
      <c r="C81" s="149">
        <v>10642299.449999999</v>
      </c>
      <c r="D81" s="150">
        <v>88582.8</v>
      </c>
      <c r="F81" s="149">
        <v>22470359.739999998</v>
      </c>
      <c r="G81" s="150">
        <f>+F81-B81</f>
        <v>11916643.089999998</v>
      </c>
      <c r="H81" s="151">
        <f>+G81/B81</f>
        <v>1.1291418450200668</v>
      </c>
      <c r="I81" s="150">
        <f>+F81-C81</f>
        <v>11828060.289999999</v>
      </c>
      <c r="J81" s="151">
        <f>+I81/C81</f>
        <v>1.1114196086636146</v>
      </c>
    </row>
    <row r="82" spans="1:10" x14ac:dyDescent="0.2">
      <c r="A82" s="147" t="s">
        <v>2121</v>
      </c>
      <c r="B82" s="148">
        <v>24625338.859999999</v>
      </c>
      <c r="C82" s="149">
        <v>24832032.039999999</v>
      </c>
      <c r="D82" s="150">
        <v>206693.18</v>
      </c>
      <c r="F82" s="149">
        <v>52430839.380000003</v>
      </c>
      <c r="G82" s="150">
        <f>+F82-B82</f>
        <v>27805500.520000003</v>
      </c>
      <c r="H82" s="151">
        <f>+G82/B82</f>
        <v>1.129141843614005</v>
      </c>
      <c r="I82" s="150">
        <f>+F82-C82</f>
        <v>27598807.340000004</v>
      </c>
      <c r="J82" s="151">
        <f>+I82/C82</f>
        <v>1.1114196089769544</v>
      </c>
    </row>
    <row r="83" spans="1:10" x14ac:dyDescent="0.2">
      <c r="A83" s="117" t="s">
        <v>2008</v>
      </c>
      <c r="B83" s="118">
        <f>SUM(B74:B82)</f>
        <v>318780658.13</v>
      </c>
      <c r="C83" s="118">
        <f t="shared" ref="C83:F83" si="0">SUM(C74:C82)</f>
        <v>216863590.93999997</v>
      </c>
      <c r="D83" s="121">
        <f>SUM(D74:D82)</f>
        <v>-101917067.19</v>
      </c>
      <c r="E83" s="118">
        <f t="shared" si="0"/>
        <v>35953190.009999998</v>
      </c>
      <c r="F83" s="118">
        <f t="shared" si="0"/>
        <v>185575586.59</v>
      </c>
      <c r="G83" s="122">
        <f>+F83-B83</f>
        <v>-133205071.53999999</v>
      </c>
      <c r="H83" s="120">
        <f>+G83/B83</f>
        <v>-0.4178580730756834</v>
      </c>
      <c r="I83" s="122">
        <f>+F83-C83</f>
        <v>-31288004.349999964</v>
      </c>
      <c r="J83" s="120">
        <f>+I83/C83</f>
        <v>-0.14427504503813401</v>
      </c>
    </row>
    <row r="84" spans="1:10" x14ac:dyDescent="0.2">
      <c r="A84" s="111" t="s">
        <v>2122</v>
      </c>
      <c r="I84" s="150"/>
    </row>
    <row r="85" spans="1:10" x14ac:dyDescent="0.2">
      <c r="I85" s="150"/>
    </row>
    <row r="86" spans="1:10" x14ac:dyDescent="0.2">
      <c r="A86" s="117" t="s">
        <v>2008</v>
      </c>
      <c r="B86" s="118">
        <f>+B64+B83</f>
        <v>1077704600.8699999</v>
      </c>
      <c r="C86" s="118">
        <f>+C64+C83</f>
        <v>829584623.24000001</v>
      </c>
      <c r="D86" s="121">
        <f>+D64+D83</f>
        <v>-248119977.63000003</v>
      </c>
      <c r="E86" s="118">
        <f>+E64+E83</f>
        <v>514958771.6099999</v>
      </c>
      <c r="F86" s="118">
        <f>+F64+F83</f>
        <v>718379225.61000001</v>
      </c>
      <c r="G86" s="122">
        <f>+G64+G83</f>
        <v>-359325375.25999999</v>
      </c>
      <c r="H86" s="120">
        <f>+G86/B86</f>
        <v>-0.33341731581170475</v>
      </c>
      <c r="I86" s="122">
        <f>+I64+I83</f>
        <v>-111205397.63000005</v>
      </c>
      <c r="J86" s="120">
        <f>+I86/C86</f>
        <v>-0.13404949237810085</v>
      </c>
    </row>
  </sheetData>
  <mergeCells count="4">
    <mergeCell ref="A3:J3"/>
    <mergeCell ref="A4:J4"/>
    <mergeCell ref="A70:J70"/>
    <mergeCell ref="A71:J71"/>
  </mergeCells>
  <pageMargins left="0.7" right="0.7" top="0.75" bottom="0.75" header="0.3" footer="0.3"/>
  <pageSetup paperSize="9" orientation="portrait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0"/>
  <sheetViews>
    <sheetView workbookViewId="0">
      <selection activeCell="A2" sqref="A2:J2"/>
    </sheetView>
  </sheetViews>
  <sheetFormatPr baseColWidth="10" defaultRowHeight="12.75" x14ac:dyDescent="0.2"/>
  <cols>
    <col min="1" max="1" width="58.42578125" style="158" bestFit="1" customWidth="1"/>
    <col min="2" max="2" width="18.42578125" style="158" bestFit="1" customWidth="1"/>
    <col min="3" max="3" width="13.7109375" style="158" bestFit="1" customWidth="1"/>
    <col min="4" max="4" width="14.28515625" style="158" bestFit="1" customWidth="1"/>
    <col min="5" max="5" width="17.42578125" style="158" bestFit="1" customWidth="1"/>
    <col min="6" max="6" width="18.42578125" style="158" bestFit="1" customWidth="1"/>
    <col min="7" max="7" width="17" style="158" bestFit="1" customWidth="1"/>
    <col min="8" max="8" width="8.85546875" style="158" bestFit="1" customWidth="1"/>
    <col min="9" max="9" width="18" style="158" bestFit="1" customWidth="1"/>
    <col min="10" max="10" width="8.85546875" style="158" bestFit="1" customWidth="1"/>
    <col min="11" max="16384" width="11.42578125" style="158"/>
  </cols>
  <sheetData>
    <row r="1" spans="1:10" x14ac:dyDescent="0.2">
      <c r="A1" s="95" t="s">
        <v>2126</v>
      </c>
      <c r="B1" s="95"/>
      <c r="C1" s="95"/>
      <c r="D1" s="95"/>
      <c r="E1" s="95"/>
      <c r="F1" s="95"/>
      <c r="G1" s="95"/>
      <c r="H1" s="95"/>
      <c r="I1" s="95"/>
      <c r="J1" s="95"/>
    </row>
    <row r="2" spans="1:10" x14ac:dyDescent="0.2">
      <c r="A2" s="95" t="s">
        <v>2041</v>
      </c>
      <c r="B2" s="95"/>
      <c r="C2" s="95"/>
      <c r="D2" s="95"/>
      <c r="E2" s="95"/>
      <c r="F2" s="95"/>
      <c r="G2" s="95"/>
      <c r="H2" s="95"/>
      <c r="I2" s="95"/>
      <c r="J2" s="95"/>
    </row>
    <row r="3" spans="1:10" x14ac:dyDescent="0.2">
      <c r="B3" s="159"/>
      <c r="C3" s="159"/>
      <c r="D3" s="159"/>
      <c r="E3" s="159"/>
    </row>
    <row r="4" spans="1:10" x14ac:dyDescent="0.2">
      <c r="B4" s="159"/>
      <c r="C4" s="159"/>
      <c r="D4" s="159"/>
      <c r="E4" s="159"/>
    </row>
    <row r="5" spans="1:10" s="157" customFormat="1" ht="51" x14ac:dyDescent="0.2">
      <c r="A5" s="155" t="s">
        <v>2028</v>
      </c>
      <c r="B5" s="156" t="s">
        <v>2009</v>
      </c>
      <c r="C5" s="156" t="s">
        <v>2010</v>
      </c>
      <c r="D5" s="156" t="s">
        <v>2011</v>
      </c>
      <c r="E5" s="156" t="s">
        <v>2043</v>
      </c>
      <c r="F5" s="156" t="s">
        <v>2012</v>
      </c>
      <c r="G5" s="156" t="s">
        <v>2025</v>
      </c>
      <c r="H5" s="156" t="s">
        <v>2027</v>
      </c>
      <c r="I5" s="156" t="s">
        <v>2026</v>
      </c>
      <c r="J5" s="156" t="s">
        <v>2027</v>
      </c>
    </row>
    <row r="6" spans="1:10" x14ac:dyDescent="0.2">
      <c r="A6" s="123" t="s">
        <v>39</v>
      </c>
      <c r="B6" s="124">
        <v>395795114.80000001</v>
      </c>
      <c r="C6" s="125">
        <v>318542596.68000001</v>
      </c>
      <c r="D6" s="125">
        <v>-77047020.890000001</v>
      </c>
      <c r="E6" s="126">
        <v>181328612.95000002</v>
      </c>
      <c r="F6" s="124">
        <v>206503125.70000002</v>
      </c>
      <c r="G6" s="126">
        <v>-189291989.09999999</v>
      </c>
      <c r="H6" s="127">
        <v>-0.47825751764432839</v>
      </c>
      <c r="I6" s="124">
        <v>-112039470.97999999</v>
      </c>
      <c r="J6" s="127">
        <v>-0.35172523909746384</v>
      </c>
    </row>
    <row r="7" spans="1:10" x14ac:dyDescent="0.2">
      <c r="A7" s="128" t="s">
        <v>95</v>
      </c>
      <c r="B7" s="129">
        <v>8878882</v>
      </c>
      <c r="C7" s="130">
        <v>8285138.9399999995</v>
      </c>
      <c r="D7" s="130">
        <v>-2799065.46</v>
      </c>
      <c r="E7" s="131">
        <v>4986746.92</v>
      </c>
      <c r="F7" s="129">
        <v>4485343.08</v>
      </c>
      <c r="G7" s="131">
        <v>-4393538.92</v>
      </c>
      <c r="H7" s="132">
        <v>-0.49483019596386119</v>
      </c>
      <c r="I7" s="129">
        <v>-3799795.8599999994</v>
      </c>
      <c r="J7" s="132">
        <v>-0.45862789839949258</v>
      </c>
    </row>
    <row r="8" spans="1:10" x14ac:dyDescent="0.2">
      <c r="A8" s="133" t="s">
        <v>1792</v>
      </c>
      <c r="B8" s="134">
        <v>6000000</v>
      </c>
      <c r="C8" s="135">
        <v>6000000</v>
      </c>
      <c r="D8" s="135">
        <v>-2204769.41</v>
      </c>
      <c r="E8" s="136">
        <v>3729663.47</v>
      </c>
      <c r="F8" s="134">
        <v>2700000</v>
      </c>
      <c r="G8" s="136">
        <v>-3300000</v>
      </c>
      <c r="H8" s="137">
        <v>-0.55000000000000004</v>
      </c>
      <c r="I8" s="134">
        <v>-3300000</v>
      </c>
      <c r="J8" s="137">
        <v>-0.55000000000000004</v>
      </c>
    </row>
    <row r="9" spans="1:10" x14ac:dyDescent="0.2">
      <c r="A9" s="133" t="s">
        <v>97</v>
      </c>
      <c r="B9" s="134">
        <v>2878882</v>
      </c>
      <c r="C9" s="135">
        <v>2285138.94</v>
      </c>
      <c r="D9" s="135">
        <v>-594296.05000000005</v>
      </c>
      <c r="E9" s="136">
        <v>1257083.4500000002</v>
      </c>
      <c r="F9" s="134">
        <v>1785343.08</v>
      </c>
      <c r="G9" s="136">
        <v>-1093538.92</v>
      </c>
      <c r="H9" s="137">
        <v>-0.37984846895426766</v>
      </c>
      <c r="I9" s="134">
        <v>-499795.85999999987</v>
      </c>
      <c r="J9" s="137">
        <v>-0.21871574250973111</v>
      </c>
    </row>
    <row r="10" spans="1:10" x14ac:dyDescent="0.2">
      <c r="A10" s="128" t="s">
        <v>58</v>
      </c>
      <c r="B10" s="129">
        <v>74874852.790000007</v>
      </c>
      <c r="C10" s="130">
        <v>60347972.559999995</v>
      </c>
      <c r="D10" s="130">
        <v>-14682761.010000002</v>
      </c>
      <c r="E10" s="131">
        <v>24442528.98</v>
      </c>
      <c r="F10" s="129">
        <v>47352585.280000009</v>
      </c>
      <c r="G10" s="131">
        <v>-27522267.509999998</v>
      </c>
      <c r="H10" s="132">
        <v>-0.36757691647409507</v>
      </c>
      <c r="I10" s="129">
        <v>-12995387.279999986</v>
      </c>
      <c r="J10" s="132">
        <v>-0.21534090920916246</v>
      </c>
    </row>
    <row r="11" spans="1:10" x14ac:dyDescent="0.2">
      <c r="A11" s="133" t="s">
        <v>144</v>
      </c>
      <c r="B11" s="134">
        <v>8463184.5100000016</v>
      </c>
      <c r="C11" s="135">
        <v>5932157.0099999998</v>
      </c>
      <c r="D11" s="135">
        <v>-2130176.98</v>
      </c>
      <c r="E11" s="136">
        <v>2689500.1900000013</v>
      </c>
      <c r="F11" s="134">
        <v>6235158.8300000001</v>
      </c>
      <c r="G11" s="136">
        <v>-2228025.6800000016</v>
      </c>
      <c r="H11" s="137">
        <v>-0.26326091288301606</v>
      </c>
      <c r="I11" s="134">
        <v>303001.8200000003</v>
      </c>
      <c r="J11" s="137">
        <v>5.1077848999819431E-2</v>
      </c>
    </row>
    <row r="12" spans="1:10" x14ac:dyDescent="0.2">
      <c r="A12" s="133" t="s">
        <v>150</v>
      </c>
      <c r="B12" s="134">
        <v>11759854.449999999</v>
      </c>
      <c r="C12" s="135">
        <v>10418420.190000001</v>
      </c>
      <c r="D12" s="135">
        <v>-2060624.6400000001</v>
      </c>
      <c r="E12" s="136">
        <v>4173818.6900000004</v>
      </c>
      <c r="F12" s="134">
        <v>6793542.9900000002</v>
      </c>
      <c r="G12" s="136">
        <v>-4966311.459999999</v>
      </c>
      <c r="H12" s="137">
        <v>-0.42231062307067918</v>
      </c>
      <c r="I12" s="134">
        <v>-3624877.2000000011</v>
      </c>
      <c r="J12" s="137">
        <v>-0.34792964133653365</v>
      </c>
    </row>
    <row r="13" spans="1:10" x14ac:dyDescent="0.2">
      <c r="A13" s="133" t="s">
        <v>60</v>
      </c>
      <c r="B13" s="134">
        <v>8495545.0500000026</v>
      </c>
      <c r="C13" s="135">
        <v>7318188.6899999985</v>
      </c>
      <c r="D13" s="135">
        <v>-1282854.83</v>
      </c>
      <c r="E13" s="136">
        <v>2049271.6099999996</v>
      </c>
      <c r="F13" s="134">
        <v>4585865.32</v>
      </c>
      <c r="G13" s="136">
        <v>-3909679.7300000023</v>
      </c>
      <c r="H13" s="137">
        <v>-0.46020351925507136</v>
      </c>
      <c r="I13" s="134">
        <v>-2732323.3699999982</v>
      </c>
      <c r="J13" s="137">
        <v>-0.37336060680337541</v>
      </c>
    </row>
    <row r="14" spans="1:10" x14ac:dyDescent="0.2">
      <c r="A14" s="133" t="s">
        <v>148</v>
      </c>
      <c r="B14" s="134">
        <v>9296739.4400000013</v>
      </c>
      <c r="C14" s="135">
        <v>7797686.2300000004</v>
      </c>
      <c r="D14" s="135">
        <v>-1504103.21</v>
      </c>
      <c r="E14" s="136">
        <v>3375547.1099999994</v>
      </c>
      <c r="F14" s="134">
        <v>6126520.6600000001</v>
      </c>
      <c r="G14" s="136">
        <v>-3170218.7800000012</v>
      </c>
      <c r="H14" s="137">
        <v>-0.34100329480676517</v>
      </c>
      <c r="I14" s="134">
        <v>-1671165.5700000003</v>
      </c>
      <c r="J14" s="137">
        <v>-0.21431557012008678</v>
      </c>
    </row>
    <row r="15" spans="1:10" x14ac:dyDescent="0.2">
      <c r="A15" s="133" t="s">
        <v>140</v>
      </c>
      <c r="B15" s="134">
        <v>8007219.2100000009</v>
      </c>
      <c r="C15" s="135">
        <v>6097368.9299999997</v>
      </c>
      <c r="D15" s="135">
        <v>-1918902.78</v>
      </c>
      <c r="E15" s="136">
        <v>3293377.55</v>
      </c>
      <c r="F15" s="134">
        <v>5577270.04</v>
      </c>
      <c r="G15" s="136">
        <v>-2429949.1700000009</v>
      </c>
      <c r="H15" s="137">
        <v>-0.30346979472790037</v>
      </c>
      <c r="I15" s="134">
        <v>-520098.88999999966</v>
      </c>
      <c r="J15" s="137">
        <v>-8.5298904489940333E-2</v>
      </c>
    </row>
    <row r="16" spans="1:10" x14ac:dyDescent="0.2">
      <c r="A16" s="133" t="s">
        <v>146</v>
      </c>
      <c r="B16" s="134">
        <v>10265907.07</v>
      </c>
      <c r="C16" s="135">
        <v>8284295.3599999985</v>
      </c>
      <c r="D16" s="135">
        <v>-1925392.41</v>
      </c>
      <c r="E16" s="136">
        <v>3140562.7300000004</v>
      </c>
      <c r="F16" s="134">
        <v>5123838.04</v>
      </c>
      <c r="G16" s="136">
        <v>-5142069.03</v>
      </c>
      <c r="H16" s="137">
        <v>-0.50088793858524572</v>
      </c>
      <c r="I16" s="134">
        <v>-3160457.3199999984</v>
      </c>
      <c r="J16" s="137">
        <v>-0.38149983585326913</v>
      </c>
    </row>
    <row r="17" spans="1:10" x14ac:dyDescent="0.2">
      <c r="A17" s="133" t="s">
        <v>138</v>
      </c>
      <c r="B17" s="134">
        <v>7312823.3000000017</v>
      </c>
      <c r="C17" s="135">
        <v>5822357.21</v>
      </c>
      <c r="D17" s="135">
        <v>-1221284.3999999997</v>
      </c>
      <c r="E17" s="136">
        <v>2076257.36</v>
      </c>
      <c r="F17" s="134">
        <v>4203137.45</v>
      </c>
      <c r="G17" s="136">
        <v>-3109685.8500000015</v>
      </c>
      <c r="H17" s="137">
        <v>-0.42523738403469979</v>
      </c>
      <c r="I17" s="134">
        <v>-1619219.7599999998</v>
      </c>
      <c r="J17" s="137">
        <v>-0.27810381630638559</v>
      </c>
    </row>
    <row r="18" spans="1:10" x14ac:dyDescent="0.2">
      <c r="A18" s="133" t="s">
        <v>136</v>
      </c>
      <c r="B18" s="134">
        <v>5934169.0900000008</v>
      </c>
      <c r="C18" s="135">
        <v>4926178.82</v>
      </c>
      <c r="D18" s="135">
        <v>-1018675.1399999998</v>
      </c>
      <c r="E18" s="136">
        <v>1936717.6899999995</v>
      </c>
      <c r="F18" s="134">
        <v>4398709.24</v>
      </c>
      <c r="G18" s="136">
        <v>-1535459.8500000006</v>
      </c>
      <c r="H18" s="137">
        <v>-0.25874892115687931</v>
      </c>
      <c r="I18" s="134">
        <v>-527469.58000000007</v>
      </c>
      <c r="J18" s="137">
        <v>-0.10707479352119825</v>
      </c>
    </row>
    <row r="19" spans="1:10" x14ac:dyDescent="0.2">
      <c r="A19" s="133" t="s">
        <v>106</v>
      </c>
      <c r="B19" s="134">
        <v>2497586.9000000004</v>
      </c>
      <c r="C19" s="135">
        <v>1959394.2799999998</v>
      </c>
      <c r="D19" s="135">
        <v>-559074.46</v>
      </c>
      <c r="E19" s="136">
        <v>592352.66999999993</v>
      </c>
      <c r="F19" s="134">
        <v>2235872.58</v>
      </c>
      <c r="G19" s="136">
        <v>-261714.3200000003</v>
      </c>
      <c r="H19" s="137">
        <v>-0.10478687248079346</v>
      </c>
      <c r="I19" s="134">
        <v>276478.30000000028</v>
      </c>
      <c r="J19" s="137">
        <v>0.14110396402708714</v>
      </c>
    </row>
    <row r="20" spans="1:10" x14ac:dyDescent="0.2">
      <c r="A20" s="133" t="s">
        <v>120</v>
      </c>
      <c r="B20" s="134">
        <v>1648137.6099999999</v>
      </c>
      <c r="C20" s="135">
        <v>909293.16</v>
      </c>
      <c r="D20" s="135">
        <v>-735562.61</v>
      </c>
      <c r="E20" s="136">
        <v>536558.29</v>
      </c>
      <c r="F20" s="134">
        <v>1173868.82</v>
      </c>
      <c r="G20" s="136">
        <v>-474268.7899999998</v>
      </c>
      <c r="H20" s="137">
        <v>-0.28776043160619325</v>
      </c>
      <c r="I20" s="134">
        <v>264575.66000000003</v>
      </c>
      <c r="J20" s="137">
        <v>0.29096849249366402</v>
      </c>
    </row>
    <row r="21" spans="1:10" x14ac:dyDescent="0.2">
      <c r="A21" s="133" t="s">
        <v>130</v>
      </c>
      <c r="B21" s="134">
        <v>1193686.1600000001</v>
      </c>
      <c r="C21" s="135">
        <v>882632.68</v>
      </c>
      <c r="D21" s="135">
        <v>-326109.55</v>
      </c>
      <c r="E21" s="136">
        <v>578565.09</v>
      </c>
      <c r="F21" s="134">
        <v>898801.31</v>
      </c>
      <c r="G21" s="136">
        <v>-294884.85000000009</v>
      </c>
      <c r="H21" s="137">
        <v>-0.24703716930084876</v>
      </c>
      <c r="I21" s="134">
        <v>16168.630000000005</v>
      </c>
      <c r="J21" s="137">
        <v>1.8318639640671364E-2</v>
      </c>
    </row>
    <row r="22" spans="1:10" x14ac:dyDescent="0.2">
      <c r="A22" s="128" t="s">
        <v>40</v>
      </c>
      <c r="B22" s="129">
        <v>231665781.70000002</v>
      </c>
      <c r="C22" s="130">
        <v>194715151.20999998</v>
      </c>
      <c r="D22" s="130">
        <v>-34747041.079999998</v>
      </c>
      <c r="E22" s="131">
        <v>115752860.37000002</v>
      </c>
      <c r="F22" s="129">
        <v>114272036.03</v>
      </c>
      <c r="G22" s="131">
        <v>-117393745.67000002</v>
      </c>
      <c r="H22" s="132">
        <v>-0.50673752855750298</v>
      </c>
      <c r="I22" s="129">
        <v>-80443115.179999977</v>
      </c>
      <c r="J22" s="132">
        <v>-0.41313228416027165</v>
      </c>
    </row>
    <row r="23" spans="1:10" x14ac:dyDescent="0.2">
      <c r="A23" s="133" t="s">
        <v>78</v>
      </c>
      <c r="B23" s="134">
        <v>65513016.560000017</v>
      </c>
      <c r="C23" s="135">
        <v>54736225.80999998</v>
      </c>
      <c r="D23" s="135">
        <v>-10776790.75</v>
      </c>
      <c r="E23" s="136">
        <v>37150321.44000002</v>
      </c>
      <c r="F23" s="134">
        <v>53669436.789999999</v>
      </c>
      <c r="G23" s="136">
        <v>-11843579.770000018</v>
      </c>
      <c r="H23" s="137">
        <v>-0.18078208563565518</v>
      </c>
      <c r="I23" s="134">
        <v>-1066789.0199999809</v>
      </c>
      <c r="J23" s="137">
        <v>-1.9489634226937967E-2</v>
      </c>
    </row>
    <row r="24" spans="1:10" x14ac:dyDescent="0.2">
      <c r="A24" s="133" t="s">
        <v>1833</v>
      </c>
      <c r="B24" s="134">
        <v>26681305</v>
      </c>
      <c r="C24" s="135">
        <v>9159648.5600000005</v>
      </c>
      <c r="D24" s="135">
        <v>-16521656.439999999</v>
      </c>
      <c r="E24" s="136">
        <v>6331989.9199999999</v>
      </c>
      <c r="F24" s="134">
        <v>12000000</v>
      </c>
      <c r="G24" s="136">
        <v>-14681305</v>
      </c>
      <c r="H24" s="137">
        <v>-0.55024688634982433</v>
      </c>
      <c r="I24" s="134">
        <v>2840351.4399999995</v>
      </c>
      <c r="J24" s="137">
        <v>0.31009393225016912</v>
      </c>
    </row>
    <row r="25" spans="1:10" x14ac:dyDescent="0.2">
      <c r="A25" s="133" t="s">
        <v>1824</v>
      </c>
      <c r="B25" s="134">
        <v>90835265.430000007</v>
      </c>
      <c r="C25" s="135">
        <v>89630496.020000011</v>
      </c>
      <c r="D25" s="135">
        <v>0</v>
      </c>
      <c r="E25" s="136">
        <v>45065698.589999996</v>
      </c>
      <c r="F25" s="134">
        <v>26475897.309999999</v>
      </c>
      <c r="G25" s="136">
        <v>-64359368.120000005</v>
      </c>
      <c r="H25" s="137">
        <v>-0.70852843127977638</v>
      </c>
      <c r="I25" s="134">
        <v>-63154598.710000008</v>
      </c>
      <c r="J25" s="137">
        <v>-0.70461061261903302</v>
      </c>
    </row>
    <row r="26" spans="1:10" x14ac:dyDescent="0.2">
      <c r="A26" s="133" t="s">
        <v>1829</v>
      </c>
      <c r="B26" s="134">
        <v>41000000</v>
      </c>
      <c r="C26" s="135">
        <v>37054233.100000001</v>
      </c>
      <c r="D26" s="135">
        <v>-3945766.9</v>
      </c>
      <c r="E26" s="136">
        <v>25404195.149999999</v>
      </c>
      <c r="F26" s="134">
        <v>20000000</v>
      </c>
      <c r="G26" s="136">
        <v>-21000000</v>
      </c>
      <c r="H26" s="137">
        <v>-0.51219512195121952</v>
      </c>
      <c r="I26" s="134">
        <v>-17054233.100000001</v>
      </c>
      <c r="J26" s="137">
        <v>-0.46025060224495651</v>
      </c>
    </row>
    <row r="27" spans="1:10" x14ac:dyDescent="0.2">
      <c r="A27" s="133" t="s">
        <v>42</v>
      </c>
      <c r="B27" s="134">
        <v>7636194.71</v>
      </c>
      <c r="C27" s="135">
        <v>4134547.72</v>
      </c>
      <c r="D27" s="135">
        <v>-3502826.99</v>
      </c>
      <c r="E27" s="136">
        <v>1800655.2700000003</v>
      </c>
      <c r="F27" s="134">
        <v>2126701.9300000002</v>
      </c>
      <c r="G27" s="136">
        <v>-5509492.7799999993</v>
      </c>
      <c r="H27" s="137">
        <v>-0.72149715784290147</v>
      </c>
      <c r="I27" s="134">
        <v>-2007845.79</v>
      </c>
      <c r="J27" s="137">
        <v>-0.48562646412023996</v>
      </c>
    </row>
    <row r="28" spans="1:10" x14ac:dyDescent="0.2">
      <c r="A28" s="128" t="s">
        <v>70</v>
      </c>
      <c r="B28" s="129">
        <v>33703279.339999996</v>
      </c>
      <c r="C28" s="130">
        <v>30121655.489999995</v>
      </c>
      <c r="D28" s="130">
        <v>-3214435.46</v>
      </c>
      <c r="E28" s="131">
        <v>21319964.23</v>
      </c>
      <c r="F28" s="129">
        <v>28566507.800000004</v>
      </c>
      <c r="G28" s="131">
        <v>-5136771.5399999917</v>
      </c>
      <c r="H28" s="132">
        <v>-0.15241162404940006</v>
      </c>
      <c r="I28" s="129">
        <v>-1555147.6899999902</v>
      </c>
      <c r="J28" s="132">
        <v>-5.1628891729283581E-2</v>
      </c>
    </row>
    <row r="29" spans="1:10" x14ac:dyDescent="0.2">
      <c r="A29" s="133" t="s">
        <v>90</v>
      </c>
      <c r="B29" s="134">
        <v>26408034.029999997</v>
      </c>
      <c r="C29" s="135">
        <v>24357139.209999997</v>
      </c>
      <c r="D29" s="135">
        <v>-2050944.82</v>
      </c>
      <c r="E29" s="136">
        <v>16896415.640000001</v>
      </c>
      <c r="F29" s="134">
        <v>23137551.670000002</v>
      </c>
      <c r="G29" s="136">
        <v>-3270482.3599999957</v>
      </c>
      <c r="H29" s="137">
        <v>-0.12384421938735271</v>
      </c>
      <c r="I29" s="134">
        <v>-1219587.5399999954</v>
      </c>
      <c r="J29" s="137">
        <v>-5.0071050195389329E-2</v>
      </c>
    </row>
    <row r="30" spans="1:10" x14ac:dyDescent="0.2">
      <c r="A30" s="133" t="s">
        <v>72</v>
      </c>
      <c r="B30" s="134">
        <v>7295245.3100000015</v>
      </c>
      <c r="C30" s="135">
        <v>5764516.2799999993</v>
      </c>
      <c r="D30" s="135">
        <v>-1163490.6400000001</v>
      </c>
      <c r="E30" s="136">
        <v>4423548.5900000008</v>
      </c>
      <c r="F30" s="134">
        <v>5428956.1300000008</v>
      </c>
      <c r="G30" s="136">
        <v>-1866289.1800000006</v>
      </c>
      <c r="H30" s="137">
        <v>-0.25582267637275657</v>
      </c>
      <c r="I30" s="134">
        <v>-335560.14999999851</v>
      </c>
      <c r="J30" s="137">
        <v>-5.8211328357979507E-2</v>
      </c>
    </row>
    <row r="31" spans="1:10" x14ac:dyDescent="0.2">
      <c r="A31" s="128" t="s">
        <v>66</v>
      </c>
      <c r="B31" s="129">
        <v>46672318.969999999</v>
      </c>
      <c r="C31" s="130">
        <v>25072678.480000004</v>
      </c>
      <c r="D31" s="130">
        <v>-21603717.879999999</v>
      </c>
      <c r="E31" s="131">
        <v>14826512.450000001</v>
      </c>
      <c r="F31" s="129">
        <v>11826653.51</v>
      </c>
      <c r="G31" s="131">
        <v>-34845665.460000001</v>
      </c>
      <c r="H31" s="132">
        <v>-0.74660240221614171</v>
      </c>
      <c r="I31" s="129">
        <v>-13246024.970000004</v>
      </c>
      <c r="J31" s="132">
        <v>-0.52830514221151537</v>
      </c>
    </row>
    <row r="32" spans="1:10" x14ac:dyDescent="0.2">
      <c r="A32" s="133" t="s">
        <v>1844</v>
      </c>
      <c r="B32" s="134">
        <v>13000000</v>
      </c>
      <c r="C32" s="135">
        <v>3250000</v>
      </c>
      <c r="D32" s="135">
        <v>-9750000</v>
      </c>
      <c r="E32" s="136">
        <v>3249999.99</v>
      </c>
      <c r="F32" s="134">
        <v>0</v>
      </c>
      <c r="G32" s="136">
        <v>-13000000</v>
      </c>
      <c r="H32" s="137">
        <v>-1</v>
      </c>
      <c r="I32" s="134">
        <v>-3250000</v>
      </c>
      <c r="J32" s="137">
        <v>-1</v>
      </c>
    </row>
    <row r="33" spans="1:10" x14ac:dyDescent="0.2">
      <c r="A33" s="133" t="s">
        <v>827</v>
      </c>
      <c r="B33" s="134">
        <v>3500000</v>
      </c>
      <c r="C33" s="135">
        <v>2166666.67</v>
      </c>
      <c r="D33" s="135">
        <v>-1333333.33</v>
      </c>
      <c r="E33" s="136">
        <v>1166666.67</v>
      </c>
      <c r="F33" s="134">
        <v>0</v>
      </c>
      <c r="G33" s="136">
        <v>-3500000</v>
      </c>
      <c r="H33" s="137">
        <v>-1</v>
      </c>
      <c r="I33" s="134">
        <v>-2166666.67</v>
      </c>
      <c r="J33" s="137">
        <v>-1</v>
      </c>
    </row>
    <row r="34" spans="1:10" x14ac:dyDescent="0.2">
      <c r="A34" s="133" t="s">
        <v>68</v>
      </c>
      <c r="B34" s="134">
        <v>27474689.530000001</v>
      </c>
      <c r="C34" s="135">
        <v>17325694.890000001</v>
      </c>
      <c r="D34" s="135">
        <v>-10148994.639999999</v>
      </c>
      <c r="E34" s="136">
        <v>8690172.1400000006</v>
      </c>
      <c r="F34" s="134">
        <v>9560980.4100000001</v>
      </c>
      <c r="G34" s="136">
        <v>-17913709.120000001</v>
      </c>
      <c r="H34" s="137">
        <v>-0.65200769968445937</v>
      </c>
      <c r="I34" s="134">
        <v>-7764714.4800000004</v>
      </c>
      <c r="J34" s="137">
        <v>-0.44816179260328648</v>
      </c>
    </row>
    <row r="35" spans="1:10" x14ac:dyDescent="0.2">
      <c r="A35" s="133" t="s">
        <v>122</v>
      </c>
      <c r="B35" s="134">
        <v>2697629.4399999995</v>
      </c>
      <c r="C35" s="135">
        <v>2330316.92</v>
      </c>
      <c r="D35" s="135">
        <v>-371389.91000000003</v>
      </c>
      <c r="E35" s="136">
        <v>1719673.6500000001</v>
      </c>
      <c r="F35" s="134">
        <v>2265673.0999999996</v>
      </c>
      <c r="G35" s="136">
        <v>-431956.33999999985</v>
      </c>
      <c r="H35" s="137">
        <v>-0.16012441649509873</v>
      </c>
      <c r="I35" s="134">
        <v>-64643.820000000298</v>
      </c>
      <c r="J35" s="137">
        <v>-2.7740355590775308E-2</v>
      </c>
    </row>
    <row r="36" spans="1:10" x14ac:dyDescent="0.2">
      <c r="A36" s="123" t="s">
        <v>53</v>
      </c>
      <c r="B36" s="124">
        <v>13746781.57</v>
      </c>
      <c r="C36" s="125">
        <v>11587453.43</v>
      </c>
      <c r="D36" s="125">
        <v>-2150659.4900000002</v>
      </c>
      <c r="E36" s="126">
        <v>4822244.95</v>
      </c>
      <c r="F36" s="124">
        <v>12100430.140000001</v>
      </c>
      <c r="G36" s="126">
        <v>-1646351.4299999997</v>
      </c>
      <c r="H36" s="127">
        <v>-0.11976268202245099</v>
      </c>
      <c r="I36" s="124">
        <v>512976.71000000089</v>
      </c>
      <c r="J36" s="127">
        <v>4.4270012656266691E-2</v>
      </c>
    </row>
    <row r="37" spans="1:10" x14ac:dyDescent="0.2">
      <c r="A37" s="128" t="s">
        <v>54</v>
      </c>
      <c r="B37" s="129">
        <v>8531767.129999999</v>
      </c>
      <c r="C37" s="130">
        <v>3617915.1500000004</v>
      </c>
      <c r="D37" s="130">
        <v>-4403757.55</v>
      </c>
      <c r="E37" s="131">
        <v>1963805.6199999999</v>
      </c>
      <c r="F37" s="129">
        <v>4851369.72</v>
      </c>
      <c r="G37" s="131">
        <v>-3680397.4099999992</v>
      </c>
      <c r="H37" s="132">
        <v>-0.43137574595287853</v>
      </c>
      <c r="I37" s="129">
        <v>1233454.5699999994</v>
      </c>
      <c r="J37" s="132">
        <v>0.34092965668362873</v>
      </c>
    </row>
    <row r="38" spans="1:10" x14ac:dyDescent="0.2">
      <c r="A38" s="133" t="s">
        <v>56</v>
      </c>
      <c r="B38" s="134">
        <v>8101767.1299999999</v>
      </c>
      <c r="C38" s="135">
        <v>3438748.2800000003</v>
      </c>
      <c r="D38" s="135">
        <v>-4152924.42</v>
      </c>
      <c r="E38" s="136">
        <v>1820472.2999999998</v>
      </c>
      <c r="F38" s="134">
        <v>4851369.72</v>
      </c>
      <c r="G38" s="136">
        <v>-3250397.41</v>
      </c>
      <c r="H38" s="137">
        <v>-0.40119610423806396</v>
      </c>
      <c r="I38" s="134">
        <v>1412621.4399999995</v>
      </c>
      <c r="J38" s="137">
        <v>0.41079524436723219</v>
      </c>
    </row>
    <row r="39" spans="1:10" x14ac:dyDescent="0.2">
      <c r="A39" s="133" t="s">
        <v>1785</v>
      </c>
      <c r="B39" s="134">
        <v>430000</v>
      </c>
      <c r="C39" s="135">
        <v>179166.87</v>
      </c>
      <c r="D39" s="135">
        <v>-250833.13</v>
      </c>
      <c r="E39" s="136">
        <v>143333.32</v>
      </c>
      <c r="F39" s="134">
        <v>0</v>
      </c>
      <c r="G39" s="136">
        <v>-430000</v>
      </c>
      <c r="H39" s="137">
        <v>-1</v>
      </c>
      <c r="I39" s="134">
        <v>-179166.87</v>
      </c>
      <c r="J39" s="137">
        <v>-1</v>
      </c>
    </row>
    <row r="40" spans="1:10" x14ac:dyDescent="0.2">
      <c r="A40" s="128" t="s">
        <v>85</v>
      </c>
      <c r="B40" s="129">
        <v>5215014.4400000004</v>
      </c>
      <c r="C40" s="130">
        <v>7969538.2799999993</v>
      </c>
      <c r="D40" s="130">
        <v>2253098.0599999996</v>
      </c>
      <c r="E40" s="131">
        <v>2858439.33</v>
      </c>
      <c r="F40" s="129">
        <v>7249060.4199999999</v>
      </c>
      <c r="G40" s="131">
        <v>2034045.9799999995</v>
      </c>
      <c r="H40" s="132">
        <v>0.39003650007151264</v>
      </c>
      <c r="I40" s="129">
        <v>-720477.8599999994</v>
      </c>
      <c r="J40" s="132">
        <v>-9.0403965033718295E-2</v>
      </c>
    </row>
    <row r="41" spans="1:10" x14ac:dyDescent="0.2">
      <c r="A41" s="133" t="s">
        <v>1807</v>
      </c>
      <c r="B41" s="134">
        <v>1642926</v>
      </c>
      <c r="C41" s="135">
        <v>1437597</v>
      </c>
      <c r="D41" s="135">
        <v>-205329</v>
      </c>
      <c r="E41" s="136">
        <v>684552.5</v>
      </c>
      <c r="F41" s="134">
        <v>1500000</v>
      </c>
      <c r="G41" s="136">
        <v>-142926</v>
      </c>
      <c r="H41" s="137">
        <v>-8.6994788566253131E-2</v>
      </c>
      <c r="I41" s="134">
        <v>62403</v>
      </c>
      <c r="J41" s="137">
        <v>4.3407853522231893E-2</v>
      </c>
    </row>
    <row r="42" spans="1:10" x14ac:dyDescent="0.2">
      <c r="A42" s="133" t="s">
        <v>1812</v>
      </c>
      <c r="B42" s="134">
        <v>2635898.96</v>
      </c>
      <c r="C42" s="135">
        <v>1581526.59</v>
      </c>
      <c r="D42" s="135">
        <v>-1054372.3700000001</v>
      </c>
      <c r="E42" s="136">
        <v>1171505.33</v>
      </c>
      <c r="F42" s="134">
        <v>1000000</v>
      </c>
      <c r="G42" s="136">
        <v>-1635898.96</v>
      </c>
      <c r="H42" s="137">
        <v>-0.6206227874531276</v>
      </c>
      <c r="I42" s="134">
        <v>-581526.59000000008</v>
      </c>
      <c r="J42" s="137">
        <v>-0.36769953390413757</v>
      </c>
    </row>
    <row r="43" spans="1:10" x14ac:dyDescent="0.2">
      <c r="A43" s="133" t="s">
        <v>832</v>
      </c>
      <c r="B43" s="134">
        <v>0</v>
      </c>
      <c r="C43" s="135">
        <v>4369774.92</v>
      </c>
      <c r="D43" s="135">
        <v>3784852.09</v>
      </c>
      <c r="E43" s="136">
        <v>584922.82999999996</v>
      </c>
      <c r="F43" s="134">
        <v>3500000</v>
      </c>
      <c r="G43" s="136">
        <v>3500000</v>
      </c>
      <c r="H43" s="137" t="e">
        <v>#DIV/0!</v>
      </c>
      <c r="I43" s="134">
        <v>-869774.91999999993</v>
      </c>
      <c r="J43" s="137">
        <v>-0.19904341434592698</v>
      </c>
    </row>
    <row r="44" spans="1:10" x14ac:dyDescent="0.2">
      <c r="A44" s="133" t="s">
        <v>87</v>
      </c>
      <c r="B44" s="134">
        <v>936189.4800000001</v>
      </c>
      <c r="C44" s="135">
        <v>580639.7699999999</v>
      </c>
      <c r="D44" s="135">
        <v>-272052.66000000003</v>
      </c>
      <c r="E44" s="136">
        <v>417458.66999999993</v>
      </c>
      <c r="F44" s="134">
        <v>1249060.42</v>
      </c>
      <c r="G44" s="136">
        <v>312870.93999999983</v>
      </c>
      <c r="H44" s="137">
        <v>0.33419617148443048</v>
      </c>
      <c r="I44" s="134">
        <v>668420.65</v>
      </c>
      <c r="J44" s="137">
        <v>1.1511795859246778</v>
      </c>
    </row>
    <row r="45" spans="1:10" x14ac:dyDescent="0.2">
      <c r="A45" s="123" t="s">
        <v>1</v>
      </c>
      <c r="B45" s="124">
        <v>205096989.03999993</v>
      </c>
      <c r="C45" s="125">
        <v>177603989.28</v>
      </c>
      <c r="D45" s="125">
        <v>-27407200.360000007</v>
      </c>
      <c r="E45" s="126">
        <v>116609882.88</v>
      </c>
      <c r="F45" s="124">
        <v>174474005.41</v>
      </c>
      <c r="G45" s="126">
        <v>-30622983.629999936</v>
      </c>
      <c r="H45" s="127">
        <v>-0.14930976692216361</v>
      </c>
      <c r="I45" s="124">
        <v>-3129983.8700000048</v>
      </c>
      <c r="J45" s="127">
        <v>-1.7623387192420865E-2</v>
      </c>
    </row>
    <row r="46" spans="1:10" x14ac:dyDescent="0.2">
      <c r="A46" s="128" t="s">
        <v>2</v>
      </c>
      <c r="B46" s="129">
        <v>174376077.52999997</v>
      </c>
      <c r="C46" s="130">
        <v>149496529.46000001</v>
      </c>
      <c r="D46" s="130">
        <v>-24535661.710000001</v>
      </c>
      <c r="E46" s="131">
        <v>97896269.699999988</v>
      </c>
      <c r="F46" s="129">
        <v>150120565.94999999</v>
      </c>
      <c r="G46" s="131">
        <v>-24255511.579999983</v>
      </c>
      <c r="H46" s="132">
        <v>-0.13909884844053233</v>
      </c>
      <c r="I46" s="129">
        <v>624036.48999997973</v>
      </c>
      <c r="J46" s="132">
        <v>4.1742540261909553E-3</v>
      </c>
    </row>
    <row r="47" spans="1:10" x14ac:dyDescent="0.2">
      <c r="A47" s="133" t="s">
        <v>21</v>
      </c>
      <c r="B47" s="134">
        <v>16203767.469999999</v>
      </c>
      <c r="C47" s="135">
        <v>14106542.420000002</v>
      </c>
      <c r="D47" s="135">
        <v>-1873268.5799999996</v>
      </c>
      <c r="E47" s="136">
        <v>10260887.649999997</v>
      </c>
      <c r="F47" s="134">
        <v>12652446.43</v>
      </c>
      <c r="G47" s="136">
        <v>-3551321.0399999991</v>
      </c>
      <c r="H47" s="137">
        <v>-0.21916637884214216</v>
      </c>
      <c r="I47" s="134">
        <v>-1454095.9900000021</v>
      </c>
      <c r="J47" s="137">
        <v>-0.10307954612169251</v>
      </c>
    </row>
    <row r="48" spans="1:10" x14ac:dyDescent="0.2">
      <c r="A48" s="133" t="s">
        <v>411</v>
      </c>
      <c r="B48" s="134">
        <v>14117000</v>
      </c>
      <c r="C48" s="135">
        <v>10572373.450000001</v>
      </c>
      <c r="D48" s="135">
        <v>-3544626.5500000003</v>
      </c>
      <c r="E48" s="136">
        <v>7274655.040000001</v>
      </c>
      <c r="F48" s="134">
        <v>10011823.16</v>
      </c>
      <c r="G48" s="136">
        <v>-4105176.84</v>
      </c>
      <c r="H48" s="137">
        <v>-0.29079668768151873</v>
      </c>
      <c r="I48" s="134">
        <v>-560550.29000000097</v>
      </c>
      <c r="J48" s="137">
        <v>-5.3020288457555471E-2</v>
      </c>
    </row>
    <row r="49" spans="1:10" x14ac:dyDescent="0.2">
      <c r="A49" s="133" t="s">
        <v>464</v>
      </c>
      <c r="B49" s="134">
        <v>1737463.3599999999</v>
      </c>
      <c r="C49" s="135">
        <v>1404275.77</v>
      </c>
      <c r="D49" s="135">
        <v>-1265183.56</v>
      </c>
      <c r="E49" s="136">
        <v>569218.59</v>
      </c>
      <c r="F49" s="134">
        <v>26000</v>
      </c>
      <c r="G49" s="136">
        <v>-1711463.3599999999</v>
      </c>
      <c r="H49" s="137">
        <v>-0.98503565565837314</v>
      </c>
      <c r="I49" s="134">
        <v>-1378275.77</v>
      </c>
      <c r="J49" s="137">
        <v>-0.9814851181260501</v>
      </c>
    </row>
    <row r="50" spans="1:10" x14ac:dyDescent="0.2">
      <c r="A50" s="133" t="s">
        <v>590</v>
      </c>
      <c r="B50" s="134">
        <v>6590608.71</v>
      </c>
      <c r="C50" s="135">
        <v>3881635.91</v>
      </c>
      <c r="D50" s="135">
        <v>-1776976.8300000005</v>
      </c>
      <c r="E50" s="136">
        <v>326199.95</v>
      </c>
      <c r="F50" s="134">
        <v>1080000</v>
      </c>
      <c r="G50" s="136">
        <v>-5510608.71</v>
      </c>
      <c r="H50" s="137">
        <v>-0.83613046267466851</v>
      </c>
      <c r="I50" s="134">
        <v>-2801635.91</v>
      </c>
      <c r="J50" s="137">
        <v>-0.72176679496970131</v>
      </c>
    </row>
    <row r="51" spans="1:10" x14ac:dyDescent="0.2">
      <c r="A51" s="133" t="s">
        <v>506</v>
      </c>
      <c r="B51" s="134">
        <v>516317</v>
      </c>
      <c r="C51" s="135">
        <v>166582.56</v>
      </c>
      <c r="D51" s="135">
        <v>-349734.44000000006</v>
      </c>
      <c r="E51" s="136">
        <v>224</v>
      </c>
      <c r="F51" s="134">
        <v>10000</v>
      </c>
      <c r="G51" s="136">
        <v>-506317</v>
      </c>
      <c r="H51" s="137">
        <v>-0.98063205356399263</v>
      </c>
      <c r="I51" s="134">
        <v>-156582.56</v>
      </c>
      <c r="J51" s="137">
        <v>-0.93996970631259358</v>
      </c>
    </row>
    <row r="52" spans="1:10" x14ac:dyDescent="0.2">
      <c r="A52" s="133" t="s">
        <v>1534</v>
      </c>
      <c r="B52" s="134">
        <v>7453200</v>
      </c>
      <c r="C52" s="135">
        <v>4379879.8400000008</v>
      </c>
      <c r="D52" s="135">
        <v>-3073320.16</v>
      </c>
      <c r="E52" s="136">
        <v>1358336.3299999998</v>
      </c>
      <c r="F52" s="134">
        <v>3777755.0900000003</v>
      </c>
      <c r="G52" s="136">
        <v>-3675444.9099999997</v>
      </c>
      <c r="H52" s="137">
        <v>-0.4931364930499651</v>
      </c>
      <c r="I52" s="134">
        <v>-602124.75000000047</v>
      </c>
      <c r="J52" s="137">
        <v>-0.13747517557467978</v>
      </c>
    </row>
    <row r="53" spans="1:10" x14ac:dyDescent="0.2">
      <c r="A53" s="133" t="s">
        <v>26</v>
      </c>
      <c r="B53" s="134">
        <v>12853000</v>
      </c>
      <c r="C53" s="135">
        <v>12610400</v>
      </c>
      <c r="D53" s="135">
        <v>-242600</v>
      </c>
      <c r="E53" s="136">
        <v>7932244.2199999997</v>
      </c>
      <c r="F53" s="134">
        <v>9223000</v>
      </c>
      <c r="G53" s="136">
        <v>-3630000</v>
      </c>
      <c r="H53" s="137">
        <v>-0.28242433673072437</v>
      </c>
      <c r="I53" s="134">
        <v>-3387400</v>
      </c>
      <c r="J53" s="137">
        <v>-0.26861955211571403</v>
      </c>
    </row>
    <row r="54" spans="1:10" x14ac:dyDescent="0.2">
      <c r="A54" s="133" t="s">
        <v>14</v>
      </c>
      <c r="B54" s="134">
        <v>606092.28</v>
      </c>
      <c r="C54" s="135">
        <v>171845.83000000002</v>
      </c>
      <c r="D54" s="135">
        <v>-434246.44999999995</v>
      </c>
      <c r="E54" s="136">
        <v>14296.960000000001</v>
      </c>
      <c r="F54" s="134">
        <v>94000</v>
      </c>
      <c r="G54" s="136">
        <v>-512092.28</v>
      </c>
      <c r="H54" s="137">
        <v>-0.84490810541259498</v>
      </c>
      <c r="I54" s="134">
        <v>-77845.830000000016</v>
      </c>
      <c r="J54" s="137">
        <v>-0.45299807391311159</v>
      </c>
    </row>
    <row r="55" spans="1:10" x14ac:dyDescent="0.2">
      <c r="A55" s="133" t="s">
        <v>475</v>
      </c>
      <c r="B55" s="134">
        <v>107482271.31999999</v>
      </c>
      <c r="C55" s="135">
        <v>96526781.270000011</v>
      </c>
      <c r="D55" s="135">
        <v>-10849094.750000002</v>
      </c>
      <c r="E55" s="136">
        <v>66012663.339999996</v>
      </c>
      <c r="F55" s="134">
        <v>107908407.98999999</v>
      </c>
      <c r="G55" s="136">
        <v>426136.67000000179</v>
      </c>
      <c r="H55" s="137">
        <v>3.9647158993439272E-3</v>
      </c>
      <c r="I55" s="134">
        <v>11381626.719999984</v>
      </c>
      <c r="J55" s="137">
        <v>0.11791159479527089</v>
      </c>
    </row>
    <row r="56" spans="1:10" x14ac:dyDescent="0.2">
      <c r="A56" s="133" t="s">
        <v>631</v>
      </c>
      <c r="B56" s="134">
        <v>166000</v>
      </c>
      <c r="C56" s="135">
        <v>85000</v>
      </c>
      <c r="D56" s="135">
        <v>-81000</v>
      </c>
      <c r="E56" s="136">
        <v>0</v>
      </c>
      <c r="F56" s="134">
        <v>500</v>
      </c>
      <c r="G56" s="136">
        <v>-165500</v>
      </c>
      <c r="H56" s="137">
        <v>-0.99698795180722888</v>
      </c>
      <c r="I56" s="134">
        <v>-84500</v>
      </c>
      <c r="J56" s="137">
        <v>-0.99411764705882355</v>
      </c>
    </row>
    <row r="57" spans="1:10" x14ac:dyDescent="0.2">
      <c r="A57" s="133" t="s">
        <v>4</v>
      </c>
      <c r="B57" s="134">
        <v>6650357.3899999997</v>
      </c>
      <c r="C57" s="135">
        <v>5591212.4099999992</v>
      </c>
      <c r="D57" s="135">
        <v>-1045610.39</v>
      </c>
      <c r="E57" s="136">
        <v>4147543.62</v>
      </c>
      <c r="F57" s="134">
        <v>5336633.2799999993</v>
      </c>
      <c r="G57" s="136">
        <v>-1313724.1100000003</v>
      </c>
      <c r="H57" s="137">
        <v>-0.19754188127925565</v>
      </c>
      <c r="I57" s="134">
        <v>-254579.12999999989</v>
      </c>
      <c r="J57" s="137">
        <v>-4.5532008325185398E-2</v>
      </c>
    </row>
    <row r="58" spans="1:10" x14ac:dyDescent="0.2">
      <c r="A58" s="128" t="s">
        <v>91</v>
      </c>
      <c r="B58" s="129">
        <v>10733659.409999998</v>
      </c>
      <c r="C58" s="130">
        <v>10095093.780000003</v>
      </c>
      <c r="D58" s="130">
        <v>-638565.62999999989</v>
      </c>
      <c r="E58" s="131">
        <v>6663883.2900000019</v>
      </c>
      <c r="F58" s="129">
        <v>8541821.4900000002</v>
      </c>
      <c r="G58" s="131">
        <v>-2191837.9199999981</v>
      </c>
      <c r="H58" s="132">
        <v>-0.20420229823558361</v>
      </c>
      <c r="I58" s="129">
        <v>-1553272.2900000028</v>
      </c>
      <c r="J58" s="132">
        <v>-0.15386407732806642</v>
      </c>
    </row>
    <row r="59" spans="1:10" x14ac:dyDescent="0.2">
      <c r="A59" s="133" t="s">
        <v>93</v>
      </c>
      <c r="B59" s="134">
        <v>10733659.409999998</v>
      </c>
      <c r="C59" s="135">
        <v>10095093.780000003</v>
      </c>
      <c r="D59" s="135">
        <v>-638565.62999999989</v>
      </c>
      <c r="E59" s="136">
        <v>6663883.2900000019</v>
      </c>
      <c r="F59" s="134">
        <v>8541821.4900000002</v>
      </c>
      <c r="G59" s="136">
        <v>-2191837.9199999981</v>
      </c>
      <c r="H59" s="137">
        <v>-0.20420229823558361</v>
      </c>
      <c r="I59" s="134">
        <v>-1553272.2900000028</v>
      </c>
      <c r="J59" s="137">
        <v>-0.15386407732806642</v>
      </c>
    </row>
    <row r="60" spans="1:10" x14ac:dyDescent="0.2">
      <c r="A60" s="128" t="s">
        <v>99</v>
      </c>
      <c r="B60" s="129">
        <v>5801417.5999999996</v>
      </c>
      <c r="C60" s="130">
        <v>5468209.2999999998</v>
      </c>
      <c r="D60" s="130">
        <v>-334102.92</v>
      </c>
      <c r="E60" s="131">
        <v>3029094.6300000004</v>
      </c>
      <c r="F60" s="129">
        <v>4226096.66</v>
      </c>
      <c r="G60" s="131">
        <v>-1575320.9399999995</v>
      </c>
      <c r="H60" s="132">
        <v>-0.27154069033058398</v>
      </c>
      <c r="I60" s="129">
        <v>-1242112.6399999997</v>
      </c>
      <c r="J60" s="132">
        <v>-0.22715162713321885</v>
      </c>
    </row>
    <row r="61" spans="1:10" x14ac:dyDescent="0.2">
      <c r="A61" s="133" t="s">
        <v>101</v>
      </c>
      <c r="B61" s="134">
        <v>5801417.5999999996</v>
      </c>
      <c r="C61" s="135">
        <v>5468209.2999999998</v>
      </c>
      <c r="D61" s="135">
        <v>-334102.92</v>
      </c>
      <c r="E61" s="136">
        <v>3029094.6300000004</v>
      </c>
      <c r="F61" s="134">
        <v>4226096.66</v>
      </c>
      <c r="G61" s="136">
        <v>-1575320.9399999995</v>
      </c>
      <c r="H61" s="137">
        <v>-0.27154069033058398</v>
      </c>
      <c r="I61" s="134">
        <v>-1242112.6399999997</v>
      </c>
      <c r="J61" s="137">
        <v>-0.22715162713321885</v>
      </c>
    </row>
    <row r="62" spans="1:10" x14ac:dyDescent="0.2">
      <c r="A62" s="128" t="s">
        <v>16</v>
      </c>
      <c r="B62" s="129">
        <v>12373789.800000001</v>
      </c>
      <c r="C62" s="130">
        <v>11081231.569999998</v>
      </c>
      <c r="D62" s="130">
        <v>-1383799.3</v>
      </c>
      <c r="E62" s="131">
        <v>8066572.4900000012</v>
      </c>
      <c r="F62" s="129">
        <v>10164217.130000001</v>
      </c>
      <c r="G62" s="131">
        <v>-2209572.67</v>
      </c>
      <c r="H62" s="132">
        <v>-0.17856878981409557</v>
      </c>
      <c r="I62" s="129">
        <v>-917014.43999999762</v>
      </c>
      <c r="J62" s="132">
        <v>-8.275383780288581E-2</v>
      </c>
    </row>
    <row r="63" spans="1:10" x14ac:dyDescent="0.2">
      <c r="A63" s="133" t="s">
        <v>104</v>
      </c>
      <c r="B63" s="134">
        <v>4188423.17</v>
      </c>
      <c r="C63" s="135">
        <v>3851064</v>
      </c>
      <c r="D63" s="135">
        <v>-354043.28000000009</v>
      </c>
      <c r="E63" s="136">
        <v>2583194.7000000002</v>
      </c>
      <c r="F63" s="134">
        <v>4046478.91</v>
      </c>
      <c r="G63" s="136">
        <v>-141944.25999999978</v>
      </c>
      <c r="H63" s="137">
        <v>-3.3889665451354044E-2</v>
      </c>
      <c r="I63" s="134">
        <v>195414.91000000015</v>
      </c>
      <c r="J63" s="137">
        <v>5.0743095934006846E-2</v>
      </c>
    </row>
    <row r="64" spans="1:10" x14ac:dyDescent="0.2">
      <c r="A64" s="133" t="s">
        <v>18</v>
      </c>
      <c r="B64" s="134">
        <v>5515967.080000001</v>
      </c>
      <c r="C64" s="135">
        <v>5203294.6899999995</v>
      </c>
      <c r="D64" s="135">
        <v>-313684.34999999998</v>
      </c>
      <c r="E64" s="136">
        <v>3900331.4000000004</v>
      </c>
      <c r="F64" s="134">
        <v>4624015.83</v>
      </c>
      <c r="G64" s="136">
        <v>-891951.25000000093</v>
      </c>
      <c r="H64" s="137">
        <v>-0.16170351219717591</v>
      </c>
      <c r="I64" s="134">
        <v>-579278.8599999994</v>
      </c>
      <c r="J64" s="137">
        <v>-0.11132924320302133</v>
      </c>
    </row>
    <row r="65" spans="1:10" x14ac:dyDescent="0.2">
      <c r="A65" s="133" t="s">
        <v>63</v>
      </c>
      <c r="B65" s="134">
        <v>553692.25</v>
      </c>
      <c r="C65" s="135">
        <v>363557.82</v>
      </c>
      <c r="D65" s="135">
        <v>-229779.43</v>
      </c>
      <c r="E65" s="136">
        <v>201817.43999999994</v>
      </c>
      <c r="F65" s="134">
        <v>323667.14</v>
      </c>
      <c r="G65" s="136">
        <v>-230025.11</v>
      </c>
      <c r="H65" s="137">
        <v>-0.41543855815211428</v>
      </c>
      <c r="I65" s="134">
        <v>-39890.679999999993</v>
      </c>
      <c r="J65" s="137">
        <v>-0.10972306963442567</v>
      </c>
    </row>
    <row r="66" spans="1:10" x14ac:dyDescent="0.2">
      <c r="A66" s="133" t="s">
        <v>65</v>
      </c>
      <c r="B66" s="134">
        <v>697456.57</v>
      </c>
      <c r="C66" s="135">
        <v>424628.10999999993</v>
      </c>
      <c r="D66" s="135">
        <v>-306728.45999999996</v>
      </c>
      <c r="E66" s="136">
        <v>323229.19</v>
      </c>
      <c r="F66" s="134">
        <v>366055.25</v>
      </c>
      <c r="G66" s="136">
        <v>-331401.31999999995</v>
      </c>
      <c r="H66" s="137">
        <v>-0.4751569262585052</v>
      </c>
      <c r="I66" s="134">
        <v>-58572.859999999928</v>
      </c>
      <c r="J66" s="137">
        <v>-0.13793919578239872</v>
      </c>
    </row>
    <row r="67" spans="1:10" x14ac:dyDescent="0.2">
      <c r="A67" s="133" t="s">
        <v>798</v>
      </c>
      <c r="B67" s="134">
        <v>5000</v>
      </c>
      <c r="C67" s="135">
        <v>5000</v>
      </c>
      <c r="D67" s="135">
        <v>0</v>
      </c>
      <c r="E67" s="136">
        <v>0</v>
      </c>
      <c r="F67" s="134">
        <v>4000</v>
      </c>
      <c r="G67" s="136">
        <v>-1000</v>
      </c>
      <c r="H67" s="137">
        <v>-0.2</v>
      </c>
      <c r="I67" s="134">
        <v>-1000</v>
      </c>
      <c r="J67" s="137">
        <v>-0.2</v>
      </c>
    </row>
    <row r="68" spans="1:10" x14ac:dyDescent="0.2">
      <c r="A68" s="133" t="s">
        <v>819</v>
      </c>
      <c r="B68" s="134">
        <v>1413250.73</v>
      </c>
      <c r="C68" s="135">
        <v>1233686.95</v>
      </c>
      <c r="D68" s="135">
        <v>-179563.78</v>
      </c>
      <c r="E68" s="136">
        <v>1057999.76</v>
      </c>
      <c r="F68" s="134">
        <v>800000</v>
      </c>
      <c r="G68" s="136">
        <v>-613250.73</v>
      </c>
      <c r="H68" s="137">
        <v>-0.43392917971462858</v>
      </c>
      <c r="I68" s="134">
        <v>-433686.94999999995</v>
      </c>
      <c r="J68" s="137">
        <v>-0.3515372761298966</v>
      </c>
    </row>
    <row r="69" spans="1:10" x14ac:dyDescent="0.2">
      <c r="A69" s="128" t="s">
        <v>44</v>
      </c>
      <c r="B69" s="129">
        <v>1812044.7</v>
      </c>
      <c r="C69" s="130">
        <v>1462925.1700000004</v>
      </c>
      <c r="D69" s="130">
        <v>-515070.80000000005</v>
      </c>
      <c r="E69" s="131">
        <v>954062.7699999999</v>
      </c>
      <c r="F69" s="129">
        <v>1421304.1799999997</v>
      </c>
      <c r="G69" s="131">
        <v>-390740.52000000025</v>
      </c>
      <c r="H69" s="132">
        <v>-0.21563514409992218</v>
      </c>
      <c r="I69" s="129">
        <v>-41620.990000000689</v>
      </c>
      <c r="J69" s="132">
        <v>-2.8450525600021412E-2</v>
      </c>
    </row>
    <row r="70" spans="1:10" x14ac:dyDescent="0.2">
      <c r="A70" s="133" t="s">
        <v>1837</v>
      </c>
      <c r="B70" s="134">
        <v>300000</v>
      </c>
      <c r="C70" s="135">
        <v>180000</v>
      </c>
      <c r="D70" s="135">
        <v>-120000</v>
      </c>
      <c r="E70" s="136">
        <v>0</v>
      </c>
      <c r="F70" s="134">
        <v>180000</v>
      </c>
      <c r="G70" s="136">
        <v>-120000</v>
      </c>
      <c r="H70" s="137">
        <v>-0.4</v>
      </c>
      <c r="I70" s="134">
        <v>0</v>
      </c>
      <c r="J70" s="137">
        <v>0</v>
      </c>
    </row>
    <row r="71" spans="1:10" x14ac:dyDescent="0.2">
      <c r="A71" s="133" t="s">
        <v>1482</v>
      </c>
      <c r="B71" s="134">
        <v>210528.03</v>
      </c>
      <c r="C71" s="135">
        <v>4050</v>
      </c>
      <c r="D71" s="135">
        <v>-206478.03</v>
      </c>
      <c r="E71" s="136">
        <v>4050</v>
      </c>
      <c r="F71" s="134">
        <v>0</v>
      </c>
      <c r="G71" s="136">
        <v>-210528.03</v>
      </c>
      <c r="H71" s="137">
        <v>-1</v>
      </c>
      <c r="I71" s="134">
        <v>-4050</v>
      </c>
      <c r="J71" s="137">
        <v>-1</v>
      </c>
    </row>
    <row r="72" spans="1:10" x14ac:dyDescent="0.2">
      <c r="A72" s="133" t="s">
        <v>46</v>
      </c>
      <c r="B72" s="134">
        <v>1301516.67</v>
      </c>
      <c r="C72" s="135">
        <v>1278875.1700000004</v>
      </c>
      <c r="D72" s="135">
        <v>-188592.77000000002</v>
      </c>
      <c r="E72" s="136">
        <v>950012.7699999999</v>
      </c>
      <c r="F72" s="134">
        <v>1241304.1799999997</v>
      </c>
      <c r="G72" s="136">
        <v>-60212.490000000224</v>
      </c>
      <c r="H72" s="137">
        <v>-4.6263326001041716E-2</v>
      </c>
      <c r="I72" s="134">
        <v>-37570.990000000689</v>
      </c>
      <c r="J72" s="137">
        <v>-2.9378152677716526E-2</v>
      </c>
    </row>
    <row r="73" spans="1:10" x14ac:dyDescent="0.2">
      <c r="A73" s="123" t="s">
        <v>31</v>
      </c>
      <c r="B73" s="124">
        <v>142691802.46000001</v>
      </c>
      <c r="C73" s="125">
        <v>103393738.03999999</v>
      </c>
      <c r="D73" s="125">
        <v>-39598029.699999996</v>
      </c>
      <c r="E73" s="126">
        <v>56381381.000000007</v>
      </c>
      <c r="F73" s="124">
        <v>94526077.770000011</v>
      </c>
      <c r="G73" s="126">
        <v>-48165724.689999998</v>
      </c>
      <c r="H73" s="127">
        <v>-0.33755074825340459</v>
      </c>
      <c r="I73" s="124">
        <v>-8867660.2699999809</v>
      </c>
      <c r="J73" s="127">
        <v>-8.5765931652160066E-2</v>
      </c>
    </row>
    <row r="74" spans="1:10" x14ac:dyDescent="0.2">
      <c r="A74" s="128" t="s">
        <v>107</v>
      </c>
      <c r="B74" s="129">
        <v>21130469.130000003</v>
      </c>
      <c r="C74" s="130">
        <v>14952911.960000001</v>
      </c>
      <c r="D74" s="130">
        <v>-3197020.7800000003</v>
      </c>
      <c r="E74" s="131">
        <v>9135587.1600000001</v>
      </c>
      <c r="F74" s="129">
        <v>11624778.99</v>
      </c>
      <c r="G74" s="131">
        <v>-9505690.1400000025</v>
      </c>
      <c r="H74" s="132">
        <v>-0.44985703258733095</v>
      </c>
      <c r="I74" s="129">
        <v>-3328132.9700000007</v>
      </c>
      <c r="J74" s="132">
        <v>-0.22257423697156581</v>
      </c>
    </row>
    <row r="75" spans="1:10" x14ac:dyDescent="0.2">
      <c r="A75" s="133" t="s">
        <v>1165</v>
      </c>
      <c r="B75" s="134">
        <v>130000</v>
      </c>
      <c r="C75" s="135">
        <v>0</v>
      </c>
      <c r="D75" s="135">
        <v>-120000</v>
      </c>
      <c r="E75" s="136">
        <v>0</v>
      </c>
      <c r="F75" s="134">
        <v>0</v>
      </c>
      <c r="G75" s="136">
        <v>-130000</v>
      </c>
      <c r="H75" s="137">
        <v>-1</v>
      </c>
      <c r="I75" s="134">
        <v>0</v>
      </c>
      <c r="J75" s="137" t="e">
        <v>#DIV/0!</v>
      </c>
    </row>
    <row r="76" spans="1:10" x14ac:dyDescent="0.2">
      <c r="A76" s="133" t="s">
        <v>1169</v>
      </c>
      <c r="B76" s="134">
        <v>430000</v>
      </c>
      <c r="C76" s="135">
        <v>8580</v>
      </c>
      <c r="D76" s="135">
        <v>-330920</v>
      </c>
      <c r="E76" s="136">
        <v>0</v>
      </c>
      <c r="F76" s="134">
        <v>0</v>
      </c>
      <c r="G76" s="136">
        <v>-430000</v>
      </c>
      <c r="H76" s="137">
        <v>-1</v>
      </c>
      <c r="I76" s="134">
        <v>-8580</v>
      </c>
      <c r="J76" s="137">
        <v>-1</v>
      </c>
    </row>
    <row r="77" spans="1:10" x14ac:dyDescent="0.2">
      <c r="A77" s="133" t="s">
        <v>1797</v>
      </c>
      <c r="B77" s="134">
        <v>5839596</v>
      </c>
      <c r="C77" s="135">
        <v>4539596</v>
      </c>
      <c r="D77" s="135">
        <v>-1300000</v>
      </c>
      <c r="E77" s="136">
        <v>1900000</v>
      </c>
      <c r="F77" s="134">
        <v>2600000</v>
      </c>
      <c r="G77" s="136">
        <v>-3239596</v>
      </c>
      <c r="H77" s="137">
        <v>-0.55476371995596951</v>
      </c>
      <c r="I77" s="134">
        <v>-1939596</v>
      </c>
      <c r="J77" s="137">
        <v>-0.42726180920064255</v>
      </c>
    </row>
    <row r="78" spans="1:10" x14ac:dyDescent="0.2">
      <c r="A78" s="133" t="s">
        <v>1803</v>
      </c>
      <c r="B78" s="134">
        <v>4035016.69</v>
      </c>
      <c r="C78" s="135">
        <v>3735016.69</v>
      </c>
      <c r="D78" s="135">
        <v>-300000</v>
      </c>
      <c r="E78" s="136">
        <v>2610533.36</v>
      </c>
      <c r="F78" s="134">
        <v>2400000</v>
      </c>
      <c r="G78" s="136">
        <v>-1635016.69</v>
      </c>
      <c r="H78" s="137">
        <v>-0.4052069212135031</v>
      </c>
      <c r="I78" s="134">
        <v>-1335016.69</v>
      </c>
      <c r="J78" s="137">
        <v>-0.35743259021420865</v>
      </c>
    </row>
    <row r="79" spans="1:10" x14ac:dyDescent="0.2">
      <c r="A79" s="133" t="s">
        <v>109</v>
      </c>
      <c r="B79" s="134">
        <v>10695856.440000001</v>
      </c>
      <c r="C79" s="135">
        <v>6669719.2700000014</v>
      </c>
      <c r="D79" s="135">
        <v>-1146100.7800000003</v>
      </c>
      <c r="E79" s="136">
        <v>4625053.8000000007</v>
      </c>
      <c r="F79" s="134">
        <v>6624778.9900000002</v>
      </c>
      <c r="G79" s="136">
        <v>-4071077.4500000011</v>
      </c>
      <c r="H79" s="137">
        <v>-0.38062192334361589</v>
      </c>
      <c r="I79" s="134">
        <v>-44940.280000001192</v>
      </c>
      <c r="J79" s="137">
        <v>-6.737956753613287E-3</v>
      </c>
    </row>
    <row r="80" spans="1:10" x14ac:dyDescent="0.2">
      <c r="A80" s="128" t="s">
        <v>79</v>
      </c>
      <c r="B80" s="129">
        <v>60260922.370000005</v>
      </c>
      <c r="C80" s="130">
        <v>31076055.75</v>
      </c>
      <c r="D80" s="130">
        <v>-19284787.98</v>
      </c>
      <c r="E80" s="131">
        <v>18212231.079999998</v>
      </c>
      <c r="F80" s="129">
        <v>35867256.820000008</v>
      </c>
      <c r="G80" s="131">
        <v>-24393665.549999997</v>
      </c>
      <c r="H80" s="132">
        <v>-0.4048007330558886</v>
      </c>
      <c r="I80" s="129">
        <v>4791201.0700000077</v>
      </c>
      <c r="J80" s="132">
        <v>0.15417661457889512</v>
      </c>
    </row>
    <row r="81" spans="1:10" x14ac:dyDescent="0.2">
      <c r="A81" s="133" t="s">
        <v>81</v>
      </c>
      <c r="B81" s="134">
        <v>2173382.06</v>
      </c>
      <c r="C81" s="135">
        <v>1955828.6599999997</v>
      </c>
      <c r="D81" s="135">
        <v>-231529.36</v>
      </c>
      <c r="E81" s="136">
        <v>1284309.1299999999</v>
      </c>
      <c r="F81" s="134">
        <v>1887367.0000000002</v>
      </c>
      <c r="G81" s="136">
        <v>-286015.05999999982</v>
      </c>
      <c r="H81" s="137">
        <v>-0.13159907098892673</v>
      </c>
      <c r="I81" s="134">
        <v>-68461.659999999451</v>
      </c>
      <c r="J81" s="137">
        <v>-3.5003914913487082E-2</v>
      </c>
    </row>
    <row r="82" spans="1:10" x14ac:dyDescent="0.2">
      <c r="A82" s="133" t="s">
        <v>134</v>
      </c>
      <c r="B82" s="134">
        <v>2030703.67</v>
      </c>
      <c r="C82" s="135">
        <v>1965725.83</v>
      </c>
      <c r="D82" s="135">
        <v>-65809.429999999993</v>
      </c>
      <c r="E82" s="136">
        <v>1403054.4899999995</v>
      </c>
      <c r="F82" s="134">
        <v>1960321.6199999999</v>
      </c>
      <c r="G82" s="136">
        <v>-70382.050000000047</v>
      </c>
      <c r="H82" s="137">
        <v>-3.4658946570968699E-2</v>
      </c>
      <c r="I82" s="134">
        <v>-5404.2100000001956</v>
      </c>
      <c r="J82" s="137">
        <v>-2.749218592706896E-3</v>
      </c>
    </row>
    <row r="83" spans="1:10" x14ac:dyDescent="0.2">
      <c r="A83" s="133" t="s">
        <v>84</v>
      </c>
      <c r="B83" s="134">
        <v>40895850.490000002</v>
      </c>
      <c r="C83" s="135">
        <v>13119332.180000002</v>
      </c>
      <c r="D83" s="135">
        <v>-17792595.969999999</v>
      </c>
      <c r="E83" s="136">
        <v>5508490.5900000008</v>
      </c>
      <c r="F83" s="134">
        <v>17898253.030000001</v>
      </c>
      <c r="G83" s="136">
        <v>-22997597.460000001</v>
      </c>
      <c r="H83" s="137">
        <v>-0.56234549922426613</v>
      </c>
      <c r="I83" s="134">
        <v>4778920.8499999996</v>
      </c>
      <c r="J83" s="137">
        <v>0.3642655574561417</v>
      </c>
    </row>
    <row r="84" spans="1:10" x14ac:dyDescent="0.2">
      <c r="A84" s="133" t="s">
        <v>132</v>
      </c>
      <c r="B84" s="134">
        <v>2936802.2500000005</v>
      </c>
      <c r="C84" s="135">
        <v>2846074.46</v>
      </c>
      <c r="D84" s="135">
        <v>-105207.58000000003</v>
      </c>
      <c r="E84" s="136">
        <v>2062335.13</v>
      </c>
      <c r="F84" s="134">
        <v>2866425.6</v>
      </c>
      <c r="G84" s="136">
        <v>-70376.650000000373</v>
      </c>
      <c r="H84" s="137">
        <v>-2.3963700654342786E-2</v>
      </c>
      <c r="I84" s="134">
        <v>20351.14000000013</v>
      </c>
      <c r="J84" s="137">
        <v>7.1505999881676082E-3</v>
      </c>
    </row>
    <row r="85" spans="1:10" x14ac:dyDescent="0.2">
      <c r="A85" s="133" t="s">
        <v>112</v>
      </c>
      <c r="B85" s="134">
        <v>1327070.02</v>
      </c>
      <c r="C85" s="135">
        <v>1430245.66</v>
      </c>
      <c r="D85" s="135">
        <v>90087.430000000037</v>
      </c>
      <c r="E85" s="136">
        <v>1021368.99</v>
      </c>
      <c r="F85" s="134">
        <v>1327639.22</v>
      </c>
      <c r="G85" s="136">
        <v>569.19999999995343</v>
      </c>
      <c r="H85" s="137">
        <v>4.2891482093759711E-4</v>
      </c>
      <c r="I85" s="134">
        <v>-102606.43999999994</v>
      </c>
      <c r="J85" s="137">
        <v>-7.1740430941073408E-2</v>
      </c>
    </row>
    <row r="86" spans="1:10" x14ac:dyDescent="0.2">
      <c r="A86" s="133" t="s">
        <v>114</v>
      </c>
      <c r="B86" s="134">
        <v>1936464.2100000002</v>
      </c>
      <c r="C86" s="135">
        <v>1916980.47</v>
      </c>
      <c r="D86" s="135">
        <v>-36724.690000000024</v>
      </c>
      <c r="E86" s="136">
        <v>1363185.25</v>
      </c>
      <c r="F86" s="134">
        <v>1986722.4200000002</v>
      </c>
      <c r="G86" s="136">
        <v>50258.209999999963</v>
      </c>
      <c r="H86" s="137">
        <v>2.5953596116294841E-2</v>
      </c>
      <c r="I86" s="134">
        <v>69741.950000000186</v>
      </c>
      <c r="J86" s="137">
        <v>3.6381147899748917E-2</v>
      </c>
    </row>
    <row r="87" spans="1:10" x14ac:dyDescent="0.2">
      <c r="A87" s="133" t="s">
        <v>116</v>
      </c>
      <c r="B87" s="134">
        <v>1310763.5200000003</v>
      </c>
      <c r="C87" s="135">
        <v>1287378.47</v>
      </c>
      <c r="D87" s="135">
        <v>-43052.17</v>
      </c>
      <c r="E87" s="136">
        <v>868792.77999999991</v>
      </c>
      <c r="F87" s="134">
        <v>1302820.6299999999</v>
      </c>
      <c r="G87" s="136">
        <v>-7942.8900000003632</v>
      </c>
      <c r="H87" s="137">
        <v>-6.0597429504296559E-3</v>
      </c>
      <c r="I87" s="134">
        <v>15442.159999999916</v>
      </c>
      <c r="J87" s="137">
        <v>1.1995042918497709E-2</v>
      </c>
    </row>
    <row r="88" spans="1:10" x14ac:dyDescent="0.2">
      <c r="A88" s="133" t="s">
        <v>128</v>
      </c>
      <c r="B88" s="134">
        <v>2008183.7399999995</v>
      </c>
      <c r="C88" s="135">
        <v>1906213.3399999999</v>
      </c>
      <c r="D88" s="135">
        <v>-102510.48000000001</v>
      </c>
      <c r="E88" s="136">
        <v>1319937.5999999999</v>
      </c>
      <c r="F88" s="134">
        <v>1918523.1999999995</v>
      </c>
      <c r="G88" s="136">
        <v>-89660.540000000037</v>
      </c>
      <c r="H88" s="137">
        <v>-4.4647577915355521E-2</v>
      </c>
      <c r="I88" s="134">
        <v>12309.859999999637</v>
      </c>
      <c r="J88" s="137">
        <v>6.4577556675789695E-3</v>
      </c>
    </row>
    <row r="89" spans="1:10" x14ac:dyDescent="0.2">
      <c r="A89" s="133" t="s">
        <v>126</v>
      </c>
      <c r="B89" s="134">
        <v>2182834.2899999996</v>
      </c>
      <c r="C89" s="135">
        <v>1367419.4000000004</v>
      </c>
      <c r="D89" s="135">
        <v>-817964.89</v>
      </c>
      <c r="E89" s="136">
        <v>1030301.9500000001</v>
      </c>
      <c r="F89" s="134">
        <v>1486158.3499999999</v>
      </c>
      <c r="G89" s="136">
        <v>-696675.93999999971</v>
      </c>
      <c r="H89" s="137">
        <v>-0.31916116729135668</v>
      </c>
      <c r="I89" s="134">
        <v>118738.94999999949</v>
      </c>
      <c r="J89" s="137">
        <v>8.6834331880913385E-2</v>
      </c>
    </row>
    <row r="90" spans="1:10" x14ac:dyDescent="0.2">
      <c r="A90" s="133" t="s">
        <v>118</v>
      </c>
      <c r="B90" s="134">
        <v>3458868.1199999992</v>
      </c>
      <c r="C90" s="135">
        <v>3280857.2800000007</v>
      </c>
      <c r="D90" s="135">
        <v>-179480.83999999997</v>
      </c>
      <c r="E90" s="136">
        <v>2350455.1699999995</v>
      </c>
      <c r="F90" s="134">
        <v>3233025.75</v>
      </c>
      <c r="G90" s="136">
        <v>-225842.36999999918</v>
      </c>
      <c r="H90" s="137">
        <v>-6.5293720999110905E-2</v>
      </c>
      <c r="I90" s="134">
        <v>-47831.530000000726</v>
      </c>
      <c r="J90" s="137">
        <v>-1.4578973090838233E-2</v>
      </c>
    </row>
    <row r="91" spans="1:10" x14ac:dyDescent="0.2">
      <c r="A91" s="128" t="s">
        <v>49</v>
      </c>
      <c r="B91" s="129">
        <v>34413202.310000002</v>
      </c>
      <c r="C91" s="130">
        <v>21541303.240000002</v>
      </c>
      <c r="D91" s="130">
        <v>-12565955</v>
      </c>
      <c r="E91" s="131">
        <v>14095204.57</v>
      </c>
      <c r="F91" s="129">
        <v>14385646.220000001</v>
      </c>
      <c r="G91" s="131">
        <v>-20027556.090000004</v>
      </c>
      <c r="H91" s="132">
        <v>-0.58197304364727109</v>
      </c>
      <c r="I91" s="129">
        <v>-7155657.0200000014</v>
      </c>
      <c r="J91" s="132">
        <v>-0.33218310611368568</v>
      </c>
    </row>
    <row r="92" spans="1:10" x14ac:dyDescent="0.2">
      <c r="A92" s="133" t="s">
        <v>1849</v>
      </c>
      <c r="B92" s="134">
        <v>750000</v>
      </c>
      <c r="C92" s="135">
        <v>750000</v>
      </c>
      <c r="D92" s="135">
        <v>0</v>
      </c>
      <c r="E92" s="136">
        <v>526000</v>
      </c>
      <c r="F92" s="134">
        <v>750000</v>
      </c>
      <c r="G92" s="136">
        <v>0</v>
      </c>
      <c r="H92" s="137">
        <v>0</v>
      </c>
      <c r="I92" s="134">
        <v>0</v>
      </c>
      <c r="J92" s="137">
        <v>0</v>
      </c>
    </row>
    <row r="93" spans="1:10" x14ac:dyDescent="0.2">
      <c r="A93" s="133" t="s">
        <v>51</v>
      </c>
      <c r="B93" s="134">
        <v>3406296.25</v>
      </c>
      <c r="C93" s="135">
        <v>2575966.3000000003</v>
      </c>
      <c r="D93" s="135">
        <v>-524385.87999999989</v>
      </c>
      <c r="E93" s="136">
        <v>1073311.6400000001</v>
      </c>
      <c r="F93" s="134">
        <v>1842457.1400000001</v>
      </c>
      <c r="G93" s="136">
        <v>-1563839.1099999999</v>
      </c>
      <c r="H93" s="137">
        <v>-0.45910249585601953</v>
      </c>
      <c r="I93" s="134">
        <v>-733509.16000000015</v>
      </c>
      <c r="J93" s="137">
        <v>-0.28475106991888832</v>
      </c>
    </row>
    <row r="94" spans="1:10" x14ac:dyDescent="0.2">
      <c r="A94" s="133" t="s">
        <v>1817</v>
      </c>
      <c r="B94" s="134">
        <v>30256906.059999999</v>
      </c>
      <c r="C94" s="135">
        <v>18215336.940000001</v>
      </c>
      <c r="D94" s="135">
        <v>-12041569.119999999</v>
      </c>
      <c r="E94" s="136">
        <v>12495892.93</v>
      </c>
      <c r="F94" s="134">
        <v>11793189.08</v>
      </c>
      <c r="G94" s="136">
        <v>-18463716.979999997</v>
      </c>
      <c r="H94" s="137">
        <v>-0.61023149370877872</v>
      </c>
      <c r="I94" s="134">
        <v>-6422147.8600000013</v>
      </c>
      <c r="J94" s="137">
        <v>-0.35256816171746319</v>
      </c>
    </row>
    <row r="95" spans="1:10" x14ac:dyDescent="0.2">
      <c r="A95" s="128" t="s">
        <v>32</v>
      </c>
      <c r="B95" s="129">
        <v>26887208.649999999</v>
      </c>
      <c r="C95" s="130">
        <v>35823467.090000004</v>
      </c>
      <c r="D95" s="130">
        <v>-4550265.9399999995</v>
      </c>
      <c r="E95" s="131">
        <v>14938358.190000001</v>
      </c>
      <c r="F95" s="129">
        <v>32648395.740000002</v>
      </c>
      <c r="G95" s="131">
        <v>5761187.0900000036</v>
      </c>
      <c r="H95" s="132">
        <v>0.2142724135106529</v>
      </c>
      <c r="I95" s="129">
        <v>-3175071.3500000015</v>
      </c>
      <c r="J95" s="132">
        <v>-8.863104573388185E-2</v>
      </c>
    </row>
    <row r="96" spans="1:10" x14ac:dyDescent="0.2">
      <c r="A96" s="133" t="s">
        <v>142</v>
      </c>
      <c r="B96" s="134">
        <v>5495390.1199999992</v>
      </c>
      <c r="C96" s="135">
        <v>11804553.000000002</v>
      </c>
      <c r="D96" s="135">
        <v>-1261819.53</v>
      </c>
      <c r="E96" s="136">
        <v>1887375.8400000003</v>
      </c>
      <c r="F96" s="134">
        <v>7332347.4900000002</v>
      </c>
      <c r="G96" s="136">
        <v>1836957.370000001</v>
      </c>
      <c r="H96" s="137">
        <v>0.33427242286485775</v>
      </c>
      <c r="I96" s="134">
        <v>-4472205.5100000016</v>
      </c>
      <c r="J96" s="137">
        <v>-0.37885428698570806</v>
      </c>
    </row>
    <row r="97" spans="1:10" x14ac:dyDescent="0.2">
      <c r="A97" s="133" t="s">
        <v>124</v>
      </c>
      <c r="B97" s="134">
        <v>6117112.4199999999</v>
      </c>
      <c r="C97" s="135">
        <v>3947313.53</v>
      </c>
      <c r="D97" s="135">
        <v>-361412.43999999994</v>
      </c>
      <c r="E97" s="136">
        <v>2534516.8500000006</v>
      </c>
      <c r="F97" s="134">
        <v>4241434.7799999993</v>
      </c>
      <c r="G97" s="136">
        <v>-1875677.6400000006</v>
      </c>
      <c r="H97" s="137">
        <v>-0.30662794979334396</v>
      </c>
      <c r="I97" s="134">
        <v>294121.24999999953</v>
      </c>
      <c r="J97" s="137">
        <v>7.4511752807231282E-2</v>
      </c>
    </row>
    <row r="98" spans="1:10" x14ac:dyDescent="0.2">
      <c r="A98" s="133" t="s">
        <v>76</v>
      </c>
      <c r="B98" s="134">
        <v>6645500.4300000006</v>
      </c>
      <c r="C98" s="135">
        <v>6191144.5199999986</v>
      </c>
      <c r="D98" s="135">
        <v>-1361861.75</v>
      </c>
      <c r="E98" s="136">
        <v>3441124</v>
      </c>
      <c r="F98" s="134">
        <v>6629692.7200000007</v>
      </c>
      <c r="G98" s="136">
        <v>-15807.709999999963</v>
      </c>
      <c r="H98" s="137">
        <v>-2.3787087468445114E-3</v>
      </c>
      <c r="I98" s="134">
        <v>438548.20000000205</v>
      </c>
      <c r="J98" s="137">
        <v>7.0834754153017598E-2</v>
      </c>
    </row>
    <row r="99" spans="1:10" ht="13.5" thickBot="1" x14ac:dyDescent="0.25">
      <c r="A99" s="133" t="s">
        <v>34</v>
      </c>
      <c r="B99" s="134">
        <v>8629205.6799999997</v>
      </c>
      <c r="C99" s="135">
        <v>13880456.039999999</v>
      </c>
      <c r="D99" s="135">
        <v>-1565172.22</v>
      </c>
      <c r="E99" s="136">
        <v>7075341.5000000009</v>
      </c>
      <c r="F99" s="134">
        <v>14444920.750000002</v>
      </c>
      <c r="G99" s="136">
        <v>5815715.0700000022</v>
      </c>
      <c r="H99" s="137">
        <v>0.67395717354137774</v>
      </c>
      <c r="I99" s="134">
        <v>564464.71000000276</v>
      </c>
      <c r="J99" s="137">
        <v>4.0666150187959015E-2</v>
      </c>
    </row>
    <row r="100" spans="1:10" ht="13.5" thickTop="1" x14ac:dyDescent="0.2">
      <c r="A100" s="138" t="s">
        <v>2008</v>
      </c>
      <c r="B100" s="139">
        <v>757330687.86999977</v>
      </c>
      <c r="C100" s="140">
        <v>611127777.42999995</v>
      </c>
      <c r="D100" s="140">
        <v>-146202910.43999997</v>
      </c>
      <c r="E100" s="141">
        <v>359142121.77999997</v>
      </c>
      <c r="F100" s="139">
        <v>487603639.01999998</v>
      </c>
      <c r="G100" s="141">
        <v>-269727048.84999979</v>
      </c>
      <c r="H100" s="142">
        <v>-0.35615491775278491</v>
      </c>
      <c r="I100" s="139">
        <v>-123524138.40999997</v>
      </c>
      <c r="J100" s="142">
        <v>-0.20212489592513855</v>
      </c>
    </row>
    <row r="101" spans="1:10" x14ac:dyDescent="0.2">
      <c r="B101" s="159"/>
      <c r="C101" s="159"/>
      <c r="D101" s="159"/>
      <c r="E101" s="159"/>
    </row>
    <row r="102" spans="1:10" x14ac:dyDescent="0.2">
      <c r="B102" s="159"/>
      <c r="C102" s="159"/>
      <c r="D102" s="159"/>
      <c r="E102" s="159"/>
      <c r="F102" s="159"/>
    </row>
    <row r="103" spans="1:10" x14ac:dyDescent="0.2">
      <c r="B103" s="159"/>
      <c r="C103" s="159"/>
      <c r="D103" s="159"/>
      <c r="E103" s="159"/>
    </row>
    <row r="104" spans="1:10" x14ac:dyDescent="0.2">
      <c r="B104" s="159"/>
      <c r="C104" s="159"/>
      <c r="D104" s="159"/>
      <c r="E104" s="159"/>
    </row>
    <row r="105" spans="1:10" x14ac:dyDescent="0.2">
      <c r="B105" s="159"/>
      <c r="C105" s="159"/>
      <c r="D105" s="159"/>
      <c r="E105" s="159"/>
    </row>
    <row r="106" spans="1:10" x14ac:dyDescent="0.2">
      <c r="B106" s="159"/>
      <c r="C106" s="159"/>
      <c r="D106" s="159"/>
      <c r="E106" s="159"/>
    </row>
    <row r="107" spans="1:10" x14ac:dyDescent="0.2">
      <c r="B107" s="159"/>
      <c r="C107" s="159"/>
      <c r="D107" s="159"/>
      <c r="E107" s="159"/>
    </row>
    <row r="108" spans="1:10" x14ac:dyDescent="0.2">
      <c r="B108" s="159"/>
      <c r="C108" s="159"/>
      <c r="D108" s="159"/>
      <c r="E108" s="159"/>
    </row>
    <row r="109" spans="1:10" x14ac:dyDescent="0.2">
      <c r="A109" s="95" t="s">
        <v>2040</v>
      </c>
      <c r="B109" s="95"/>
      <c r="C109" s="95"/>
      <c r="D109" s="95"/>
      <c r="E109" s="95"/>
      <c r="F109" s="95"/>
      <c r="G109" s="95"/>
      <c r="H109" s="95"/>
      <c r="I109" s="95"/>
      <c r="J109" s="95"/>
    </row>
    <row r="110" spans="1:10" x14ac:dyDescent="0.2">
      <c r="A110" s="95" t="s">
        <v>2034</v>
      </c>
      <c r="B110" s="95"/>
      <c r="C110" s="95"/>
      <c r="D110" s="95"/>
      <c r="E110" s="95"/>
      <c r="F110" s="95"/>
      <c r="G110" s="95"/>
      <c r="H110" s="95"/>
      <c r="I110" s="95"/>
      <c r="J110" s="95"/>
    </row>
    <row r="111" spans="1:10" x14ac:dyDescent="0.2">
      <c r="A111" s="95" t="s">
        <v>2041</v>
      </c>
      <c r="B111" s="95"/>
      <c r="C111" s="95"/>
      <c r="D111" s="95"/>
      <c r="E111" s="95"/>
      <c r="F111" s="95"/>
      <c r="G111" s="95"/>
      <c r="H111" s="95"/>
      <c r="I111" s="95"/>
      <c r="J111" s="95"/>
    </row>
    <row r="112" spans="1:10" x14ac:dyDescent="0.2">
      <c r="B112" s="159"/>
      <c r="C112" s="159"/>
      <c r="D112" s="159"/>
      <c r="E112" s="159"/>
    </row>
    <row r="113" spans="1:10" s="157" customFormat="1" ht="51" x14ac:dyDescent="0.2">
      <c r="A113" s="155" t="s">
        <v>2125</v>
      </c>
      <c r="B113" s="156" t="s">
        <v>2009</v>
      </c>
      <c r="C113" s="156" t="s">
        <v>2010</v>
      </c>
      <c r="D113" s="156" t="s">
        <v>2054</v>
      </c>
      <c r="E113" s="156" t="s">
        <v>2043</v>
      </c>
      <c r="F113" s="156" t="s">
        <v>2012</v>
      </c>
      <c r="G113" s="156" t="s">
        <v>2025</v>
      </c>
      <c r="H113" s="156" t="s">
        <v>2027</v>
      </c>
      <c r="I113" s="156" t="s">
        <v>2026</v>
      </c>
      <c r="J113" s="156" t="s">
        <v>2027</v>
      </c>
    </row>
    <row r="114" spans="1:10" x14ac:dyDescent="0.2">
      <c r="A114" s="123" t="s">
        <v>39</v>
      </c>
      <c r="B114" s="125">
        <v>320373913</v>
      </c>
      <c r="C114" s="125">
        <v>218456845.81000003</v>
      </c>
      <c r="D114" s="125">
        <v>-101917067.19</v>
      </c>
      <c r="E114" s="125">
        <v>93900212.879999995</v>
      </c>
      <c r="F114" s="125">
        <v>230775586.59</v>
      </c>
      <c r="G114" s="125">
        <v>-89598326.409999996</v>
      </c>
      <c r="H114" s="127">
        <v>-0.27966798410955512</v>
      </c>
      <c r="I114" s="125">
        <v>12318740.779999971</v>
      </c>
      <c r="J114" s="127">
        <v>5.6389813440380965E-2</v>
      </c>
    </row>
    <row r="115" spans="1:10" x14ac:dyDescent="0.2">
      <c r="A115" s="128" t="s">
        <v>40</v>
      </c>
      <c r="B115" s="130">
        <v>320373913</v>
      </c>
      <c r="C115" s="130">
        <v>218456845.81000003</v>
      </c>
      <c r="D115" s="130">
        <v>-101917067.19</v>
      </c>
      <c r="E115" s="130">
        <v>93900212.879999995</v>
      </c>
      <c r="F115" s="130">
        <v>230775586.59</v>
      </c>
      <c r="G115" s="130">
        <v>-89598326.409999996</v>
      </c>
      <c r="H115" s="132">
        <v>-0.27966798410955512</v>
      </c>
      <c r="I115" s="130">
        <v>12318740.779999971</v>
      </c>
      <c r="J115" s="132">
        <v>5.6389813440380965E-2</v>
      </c>
    </row>
    <row r="116" spans="1:10" ht="13.5" thickBot="1" x14ac:dyDescent="0.25">
      <c r="A116" s="133" t="s">
        <v>42</v>
      </c>
      <c r="B116" s="135">
        <v>320373913</v>
      </c>
      <c r="C116" s="135">
        <v>218456845.81000003</v>
      </c>
      <c r="D116" s="135">
        <v>-101917067.19</v>
      </c>
      <c r="E116" s="135">
        <v>93900212.879999995</v>
      </c>
      <c r="F116" s="135">
        <v>230775586.59</v>
      </c>
      <c r="G116" s="135">
        <v>-89598326.409999996</v>
      </c>
      <c r="H116" s="137">
        <v>-0.27966798410955512</v>
      </c>
      <c r="I116" s="135">
        <v>12318740.779999971</v>
      </c>
      <c r="J116" s="137">
        <v>5.6389813440380965E-2</v>
      </c>
    </row>
    <row r="117" spans="1:10" ht="13.5" thickTop="1" x14ac:dyDescent="0.2">
      <c r="A117" s="138" t="s">
        <v>2008</v>
      </c>
      <c r="B117" s="140">
        <v>320373913</v>
      </c>
      <c r="C117" s="140">
        <v>218456845.81000003</v>
      </c>
      <c r="D117" s="140">
        <v>-101917067.19</v>
      </c>
      <c r="E117" s="140">
        <v>93900212.879999995</v>
      </c>
      <c r="F117" s="140">
        <v>230775586.59</v>
      </c>
      <c r="G117" s="140">
        <v>-89598326.409999996</v>
      </c>
      <c r="H117" s="142">
        <v>-0.27966798410955512</v>
      </c>
      <c r="I117" s="140">
        <v>12318740.779999971</v>
      </c>
      <c r="J117" s="142">
        <v>5.6389813440380965E-2</v>
      </c>
    </row>
    <row r="118" spans="1:10" x14ac:dyDescent="0.2">
      <c r="B118" s="159"/>
      <c r="C118" s="159"/>
      <c r="D118" s="159"/>
      <c r="E118" s="159"/>
    </row>
    <row r="119" spans="1:10" x14ac:dyDescent="0.2">
      <c r="B119" s="159"/>
      <c r="C119" s="159"/>
      <c r="D119" s="159"/>
      <c r="E119" s="159"/>
    </row>
    <row r="120" spans="1:10" x14ac:dyDescent="0.2">
      <c r="A120" s="160" t="s">
        <v>2008</v>
      </c>
      <c r="B120" s="161">
        <v>1077704600.8699999</v>
      </c>
      <c r="C120" s="161">
        <v>829584623.24000001</v>
      </c>
      <c r="D120" s="161">
        <v>-248119977.62999997</v>
      </c>
      <c r="E120" s="161">
        <v>453042334.65999997</v>
      </c>
      <c r="F120" s="161">
        <v>718379225.61000001</v>
      </c>
      <c r="G120" s="161">
        <v>-359325375.25999975</v>
      </c>
      <c r="H120" s="162">
        <v>-0.33341731581170453</v>
      </c>
      <c r="I120" s="161">
        <v>-111205397.63</v>
      </c>
      <c r="J120" s="162">
        <v>-0.13404949237810079</v>
      </c>
    </row>
  </sheetData>
  <mergeCells count="5">
    <mergeCell ref="A1:J1"/>
    <mergeCell ref="A2:J2"/>
    <mergeCell ref="A109:J109"/>
    <mergeCell ref="A110:J110"/>
    <mergeCell ref="A111:J1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CEDULA 1-12-2020</vt:lpstr>
      <vt:lpstr>CEDULA 1-12-2020 metro</vt:lpstr>
      <vt:lpstr>CEDULA 30102020</vt:lpstr>
      <vt:lpstr>CEDULA 30102020 metro</vt:lpstr>
      <vt:lpstr>DEPENDENCIA</vt:lpstr>
      <vt:lpstr>CUADRO COMPARATIVO</vt:lpstr>
      <vt:lpstr>Gastos TD</vt:lpstr>
      <vt:lpstr>Ingresos</vt:lpstr>
      <vt:lpstr>Gastos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Pedro Fernando Nunez Gomez</cp:lastModifiedBy>
  <cp:revision>1</cp:revision>
  <dcterms:created xsi:type="dcterms:W3CDTF">2020-12-01T21:49:44Z</dcterms:created>
  <dcterms:modified xsi:type="dcterms:W3CDTF">2020-12-02T01:47:40Z</dcterms:modified>
  <cp:category/>
</cp:coreProperties>
</file>